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kinkuadegv\Desktop\"/>
    </mc:Choice>
  </mc:AlternateContent>
  <bookViews>
    <workbookView xWindow="0" yWindow="0" windowWidth="20490" windowHeight="7755" firstSheet="2" activeTab="6"/>
  </bookViews>
  <sheets>
    <sheet name="UNIV. PROJECT" sheetId="1" r:id="rId1"/>
    <sheet name="UNIV. LIBRARY" sheetId="2" r:id="rId2"/>
    <sheet name="UNIV. HIGH IMPACT" sheetId="10" r:id="rId3"/>
    <sheet name="POLY PROJECTS" sheetId="3" r:id="rId4"/>
    <sheet name="POLY LIBRARY" sheetId="4" r:id="rId5"/>
    <sheet name="POLY HIGH IMPACT" sheetId="11" r:id="rId6"/>
    <sheet name="COE PROJECTS" sheetId="5" r:id="rId7"/>
    <sheet name="COE SPEC. HIGH IMPACT PROJECT" sheetId="12" r:id="rId8"/>
    <sheet name="COE LIBRARY" sheetId="6" r:id="rId9"/>
    <sheet name="UNIV. CONTENT BASED INTERVENT." sheetId="7" r:id="rId10"/>
    <sheet name="POLY CONTENT BASED INTERVENTION" sheetId="8" r:id="rId11"/>
    <sheet name="COE CONTENT BASED INTERVENTION" sheetId="9" r:id="rId12"/>
  </sheets>
  <externalReferences>
    <externalReference r:id="rId13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54" i="10" l="1"/>
  <c r="G56" i="10"/>
  <c r="E56" i="10"/>
  <c r="F56" i="10"/>
  <c r="D56" i="10"/>
  <c r="F29" i="11"/>
  <c r="F32" i="12"/>
  <c r="E32" i="12"/>
  <c r="C32" i="12" l="1"/>
  <c r="F30" i="12"/>
  <c r="F29" i="12"/>
  <c r="F28" i="12"/>
  <c r="F27" i="12"/>
  <c r="F26" i="12"/>
  <c r="F25" i="12"/>
  <c r="F24" i="12"/>
  <c r="F23" i="12"/>
  <c r="F22" i="12"/>
  <c r="F21" i="12"/>
  <c r="F20" i="12"/>
  <c r="F19" i="12"/>
  <c r="F18" i="12"/>
  <c r="F17" i="12"/>
  <c r="F16" i="12"/>
  <c r="F15" i="12"/>
  <c r="F14" i="12"/>
  <c r="F13" i="12"/>
  <c r="F12" i="12"/>
  <c r="F11" i="12"/>
  <c r="F10" i="12"/>
  <c r="F9" i="12"/>
  <c r="F8" i="12"/>
  <c r="F7" i="12"/>
  <c r="F6" i="12"/>
  <c r="C29" i="11"/>
  <c r="F27" i="11"/>
  <c r="F26" i="11"/>
  <c r="F25" i="11"/>
  <c r="F24" i="11"/>
  <c r="F23" i="11"/>
  <c r="F22" i="11"/>
  <c r="F21" i="11"/>
  <c r="F20" i="11"/>
  <c r="F19" i="11"/>
  <c r="F18" i="11"/>
  <c r="F17" i="11"/>
  <c r="F16" i="11"/>
  <c r="F15" i="11"/>
  <c r="F14" i="11"/>
  <c r="F13" i="11"/>
  <c r="F12" i="11"/>
  <c r="F11" i="11"/>
  <c r="F10" i="11"/>
  <c r="F9" i="11"/>
  <c r="F8" i="11"/>
  <c r="F7" i="11"/>
  <c r="F6" i="11"/>
  <c r="F5" i="11"/>
  <c r="F4" i="11"/>
  <c r="F3" i="11"/>
  <c r="G7" i="10"/>
  <c r="G9" i="10"/>
  <c r="G11" i="10"/>
  <c r="G12" i="10"/>
  <c r="G13" i="10"/>
  <c r="G14" i="10"/>
  <c r="G15" i="10"/>
  <c r="G16" i="10"/>
  <c r="G17" i="10"/>
  <c r="G18" i="10"/>
  <c r="G19" i="10"/>
  <c r="G20" i="10"/>
  <c r="G21" i="10"/>
  <c r="G22" i="10"/>
  <c r="G23" i="10"/>
  <c r="G24" i="10"/>
  <c r="G25" i="10"/>
  <c r="G26" i="10"/>
  <c r="G27" i="10"/>
  <c r="G28" i="10"/>
  <c r="G29" i="10"/>
  <c r="G30" i="10"/>
  <c r="G31" i="10"/>
  <c r="G32" i="10"/>
  <c r="G33" i="10"/>
  <c r="G34" i="10"/>
  <c r="G35" i="10"/>
  <c r="G36" i="10"/>
  <c r="G37" i="10"/>
  <c r="G38" i="10"/>
  <c r="G39" i="10"/>
  <c r="G40" i="10"/>
  <c r="G41" i="10"/>
  <c r="G42" i="10"/>
  <c r="G43" i="10"/>
  <c r="G44" i="10"/>
  <c r="G45" i="10"/>
  <c r="G46" i="10"/>
  <c r="G47" i="10"/>
  <c r="G48" i="10"/>
  <c r="G49" i="10"/>
  <c r="G50" i="10"/>
  <c r="G51" i="10"/>
  <c r="G52" i="10"/>
  <c r="G53" i="10"/>
  <c r="G6" i="10"/>
  <c r="D11" i="10"/>
  <c r="D10" i="10"/>
  <c r="G10" i="10" s="1"/>
  <c r="D9" i="10"/>
  <c r="D8" i="10"/>
  <c r="G8" i="10" s="1"/>
  <c r="D7" i="10"/>
  <c r="D6" i="10"/>
  <c r="HT7" i="7"/>
  <c r="P158" i="9"/>
  <c r="Y138" i="9"/>
  <c r="U138" i="9"/>
  <c r="T138" i="9"/>
  <c r="V138" i="9" s="1"/>
  <c r="Q138" i="9"/>
  <c r="P138" i="9"/>
  <c r="M138" i="9"/>
  <c r="L138" i="9"/>
  <c r="N138" i="9" s="1"/>
  <c r="I138" i="9"/>
  <c r="H138" i="9"/>
  <c r="J138" i="9" s="1"/>
  <c r="E138" i="9"/>
  <c r="D138" i="9"/>
  <c r="V137" i="9"/>
  <c r="R137" i="9"/>
  <c r="N137" i="9"/>
  <c r="J137" i="9"/>
  <c r="F137" i="9"/>
  <c r="V136" i="9"/>
  <c r="R136" i="9"/>
  <c r="N136" i="9"/>
  <c r="J136" i="9"/>
  <c r="F136" i="9"/>
  <c r="V135" i="9"/>
  <c r="R135" i="9"/>
  <c r="N135" i="9"/>
  <c r="J135" i="9"/>
  <c r="F135" i="9"/>
  <c r="V134" i="9"/>
  <c r="R134" i="9"/>
  <c r="N134" i="9"/>
  <c r="J134" i="9"/>
  <c r="F134" i="9"/>
  <c r="V133" i="9"/>
  <c r="R133" i="9"/>
  <c r="N133" i="9"/>
  <c r="J133" i="9"/>
  <c r="F133" i="9"/>
  <c r="V132" i="9"/>
  <c r="R132" i="9"/>
  <c r="N132" i="9"/>
  <c r="J132" i="9"/>
  <c r="F132" i="9"/>
  <c r="V131" i="9"/>
  <c r="R131" i="9"/>
  <c r="N131" i="9"/>
  <c r="J131" i="9"/>
  <c r="F131" i="9"/>
  <c r="V130" i="9"/>
  <c r="R130" i="9"/>
  <c r="N130" i="9"/>
  <c r="J130" i="9"/>
  <c r="F130" i="9"/>
  <c r="V129" i="9"/>
  <c r="R129" i="9"/>
  <c r="N129" i="9"/>
  <c r="J129" i="9"/>
  <c r="F129" i="9"/>
  <c r="V128" i="9"/>
  <c r="R128" i="9"/>
  <c r="N128" i="9"/>
  <c r="J128" i="9"/>
  <c r="F128" i="9"/>
  <c r="V127" i="9"/>
  <c r="R127" i="9"/>
  <c r="N127" i="9"/>
  <c r="J127" i="9"/>
  <c r="F127" i="9"/>
  <c r="V126" i="9"/>
  <c r="R126" i="9"/>
  <c r="N126" i="9"/>
  <c r="J126" i="9"/>
  <c r="F126" i="9"/>
  <c r="V125" i="9"/>
  <c r="R125" i="9"/>
  <c r="N125" i="9"/>
  <c r="J125" i="9"/>
  <c r="F125" i="9"/>
  <c r="V124" i="9"/>
  <c r="R124" i="9"/>
  <c r="N124" i="9"/>
  <c r="J124" i="9"/>
  <c r="F124" i="9"/>
  <c r="V123" i="9"/>
  <c r="R123" i="9"/>
  <c r="N123" i="9"/>
  <c r="J123" i="9"/>
  <c r="F123" i="9"/>
  <c r="V122" i="9"/>
  <c r="R122" i="9"/>
  <c r="N122" i="9"/>
  <c r="J122" i="9"/>
  <c r="F122" i="9"/>
  <c r="V121" i="9"/>
  <c r="R121" i="9"/>
  <c r="N121" i="9"/>
  <c r="J121" i="9"/>
  <c r="F121" i="9"/>
  <c r="V120" i="9"/>
  <c r="R120" i="9"/>
  <c r="N120" i="9"/>
  <c r="J120" i="9"/>
  <c r="F120" i="9"/>
  <c r="V119" i="9"/>
  <c r="R119" i="9"/>
  <c r="N119" i="9"/>
  <c r="J119" i="9"/>
  <c r="F119" i="9"/>
  <c r="V118" i="9"/>
  <c r="R118" i="9"/>
  <c r="N118" i="9"/>
  <c r="J118" i="9"/>
  <c r="F118" i="9"/>
  <c r="V117" i="9"/>
  <c r="R117" i="9"/>
  <c r="N117" i="9"/>
  <c r="J117" i="9"/>
  <c r="F117" i="9"/>
  <c r="V116" i="9"/>
  <c r="R116" i="9"/>
  <c r="N116" i="9"/>
  <c r="J116" i="9"/>
  <c r="F116" i="9"/>
  <c r="V115" i="9"/>
  <c r="R115" i="9"/>
  <c r="N115" i="9"/>
  <c r="J115" i="9"/>
  <c r="F115" i="9"/>
  <c r="V114" i="9"/>
  <c r="R114" i="9"/>
  <c r="N114" i="9"/>
  <c r="J114" i="9"/>
  <c r="F114" i="9"/>
  <c r="V113" i="9"/>
  <c r="R113" i="9"/>
  <c r="N113" i="9"/>
  <c r="J113" i="9"/>
  <c r="F113" i="9"/>
  <c r="V112" i="9"/>
  <c r="R112" i="9"/>
  <c r="N112" i="9"/>
  <c r="J112" i="9"/>
  <c r="F112" i="9"/>
  <c r="V111" i="9"/>
  <c r="R111" i="9"/>
  <c r="N111" i="9"/>
  <c r="J111" i="9"/>
  <c r="F111" i="9"/>
  <c r="V110" i="9"/>
  <c r="R110" i="9"/>
  <c r="N110" i="9"/>
  <c r="J110" i="9"/>
  <c r="F110" i="9"/>
  <c r="V109" i="9"/>
  <c r="R109" i="9"/>
  <c r="N109" i="9"/>
  <c r="J109" i="9"/>
  <c r="F109" i="9"/>
  <c r="V108" i="9"/>
  <c r="R108" i="9"/>
  <c r="N108" i="9"/>
  <c r="J108" i="9"/>
  <c r="F108" i="9"/>
  <c r="V107" i="9"/>
  <c r="R107" i="9"/>
  <c r="N107" i="9"/>
  <c r="J107" i="9"/>
  <c r="F107" i="9"/>
  <c r="V106" i="9"/>
  <c r="R106" i="9"/>
  <c r="N106" i="9"/>
  <c r="J106" i="9"/>
  <c r="F106" i="9"/>
  <c r="V105" i="9"/>
  <c r="R105" i="9"/>
  <c r="N105" i="9"/>
  <c r="J105" i="9"/>
  <c r="F105" i="9"/>
  <c r="V104" i="9"/>
  <c r="R104" i="9"/>
  <c r="N104" i="9"/>
  <c r="J104" i="9"/>
  <c r="F104" i="9"/>
  <c r="V103" i="9"/>
  <c r="R103" i="9"/>
  <c r="N103" i="9"/>
  <c r="J103" i="9"/>
  <c r="F103" i="9"/>
  <c r="V102" i="9"/>
  <c r="R102" i="9"/>
  <c r="N102" i="9"/>
  <c r="J102" i="9"/>
  <c r="F102" i="9"/>
  <c r="V101" i="9"/>
  <c r="R101" i="9"/>
  <c r="N101" i="9"/>
  <c r="J101" i="9"/>
  <c r="F101" i="9"/>
  <c r="V100" i="9"/>
  <c r="R100" i="9"/>
  <c r="N100" i="9"/>
  <c r="J100" i="9"/>
  <c r="F100" i="9"/>
  <c r="V99" i="9"/>
  <c r="R99" i="9"/>
  <c r="N99" i="9"/>
  <c r="J99" i="9"/>
  <c r="F99" i="9"/>
  <c r="V98" i="9"/>
  <c r="R98" i="9"/>
  <c r="N98" i="9"/>
  <c r="J98" i="9"/>
  <c r="F98" i="9"/>
  <c r="V97" i="9"/>
  <c r="R97" i="9"/>
  <c r="N97" i="9"/>
  <c r="J97" i="9"/>
  <c r="F97" i="9"/>
  <c r="V96" i="9"/>
  <c r="R96" i="9"/>
  <c r="N96" i="9"/>
  <c r="J96" i="9"/>
  <c r="F96" i="9"/>
  <c r="V95" i="9"/>
  <c r="R95" i="9"/>
  <c r="N95" i="9"/>
  <c r="J95" i="9"/>
  <c r="F95" i="9"/>
  <c r="V94" i="9"/>
  <c r="R94" i="9"/>
  <c r="N94" i="9"/>
  <c r="J94" i="9"/>
  <c r="F94" i="9"/>
  <c r="V93" i="9"/>
  <c r="R93" i="9"/>
  <c r="N93" i="9"/>
  <c r="J93" i="9"/>
  <c r="F93" i="9"/>
  <c r="V92" i="9"/>
  <c r="R92" i="9"/>
  <c r="N92" i="9"/>
  <c r="J92" i="9"/>
  <c r="F92" i="9"/>
  <c r="V91" i="9"/>
  <c r="R91" i="9"/>
  <c r="N91" i="9"/>
  <c r="J91" i="9"/>
  <c r="F91" i="9"/>
  <c r="V90" i="9"/>
  <c r="R90" i="9"/>
  <c r="N90" i="9"/>
  <c r="J90" i="9"/>
  <c r="F90" i="9"/>
  <c r="V89" i="9"/>
  <c r="R89" i="9"/>
  <c r="N89" i="9"/>
  <c r="J89" i="9"/>
  <c r="F89" i="9"/>
  <c r="V88" i="9"/>
  <c r="R88" i="9"/>
  <c r="N88" i="9"/>
  <c r="J88" i="9"/>
  <c r="F88" i="9"/>
  <c r="V87" i="9"/>
  <c r="R87" i="9"/>
  <c r="N87" i="9"/>
  <c r="J87" i="9"/>
  <c r="F87" i="9"/>
  <c r="V86" i="9"/>
  <c r="R86" i="9"/>
  <c r="N86" i="9"/>
  <c r="J86" i="9"/>
  <c r="F86" i="9"/>
  <c r="V85" i="9"/>
  <c r="R85" i="9"/>
  <c r="N85" i="9"/>
  <c r="J85" i="9"/>
  <c r="F85" i="9"/>
  <c r="V84" i="9"/>
  <c r="R84" i="9"/>
  <c r="N84" i="9"/>
  <c r="J84" i="9"/>
  <c r="F84" i="9"/>
  <c r="V83" i="9"/>
  <c r="R83" i="9"/>
  <c r="N83" i="9"/>
  <c r="J83" i="9"/>
  <c r="F83" i="9"/>
  <c r="V82" i="9"/>
  <c r="R82" i="9"/>
  <c r="N82" i="9"/>
  <c r="J82" i="9"/>
  <c r="F82" i="9"/>
  <c r="V81" i="9"/>
  <c r="R81" i="9"/>
  <c r="N81" i="9"/>
  <c r="J81" i="9"/>
  <c r="F81" i="9"/>
  <c r="V80" i="9"/>
  <c r="R80" i="9"/>
  <c r="N80" i="9"/>
  <c r="J80" i="9"/>
  <c r="F80" i="9"/>
  <c r="V79" i="9"/>
  <c r="R79" i="9"/>
  <c r="N79" i="9"/>
  <c r="J79" i="9"/>
  <c r="F79" i="9"/>
  <c r="V78" i="9"/>
  <c r="R78" i="9"/>
  <c r="N78" i="9"/>
  <c r="J78" i="9"/>
  <c r="F78" i="9"/>
  <c r="IG71" i="9"/>
  <c r="GS71" i="9"/>
  <c r="GR71" i="9"/>
  <c r="GN71" i="9"/>
  <c r="GK71" i="9"/>
  <c r="GJ71" i="9"/>
  <c r="GG71" i="9"/>
  <c r="GF71" i="9"/>
  <c r="GB71" i="9"/>
  <c r="FX71" i="9"/>
  <c r="FW71" i="9"/>
  <c r="FT71" i="9"/>
  <c r="FS71" i="9"/>
  <c r="FQ71" i="9"/>
  <c r="FP71" i="9"/>
  <c r="FO71" i="9"/>
  <c r="FL71" i="9"/>
  <c r="FK71" i="9"/>
  <c r="FH71" i="9"/>
  <c r="EZ71" i="9"/>
  <c r="EV71" i="9"/>
  <c r="ER71" i="9"/>
  <c r="EN71" i="9"/>
  <c r="EP71" i="9" s="1"/>
  <c r="EJ71" i="9"/>
  <c r="EI71" i="9"/>
  <c r="EF71" i="9"/>
  <c r="EE71" i="9"/>
  <c r="EB71" i="9"/>
  <c r="EA71" i="9"/>
  <c r="DX71" i="9"/>
  <c r="DW71" i="9"/>
  <c r="DT71" i="9"/>
  <c r="DS71" i="9"/>
  <c r="DQ71" i="9"/>
  <c r="DP71" i="9"/>
  <c r="DO71" i="9"/>
  <c r="DL71" i="9"/>
  <c r="DK71" i="9"/>
  <c r="DH71" i="9"/>
  <c r="DG71" i="9"/>
  <c r="DD71" i="9"/>
  <c r="DC71" i="9"/>
  <c r="CZ71" i="9"/>
  <c r="CY71" i="9"/>
  <c r="CV71" i="9"/>
  <c r="CU71" i="9"/>
  <c r="CR71" i="9"/>
  <c r="CQ71" i="9"/>
  <c r="CN71" i="9"/>
  <c r="CM71" i="9"/>
  <c r="CJ71" i="9"/>
  <c r="CI71" i="9"/>
  <c r="CF71" i="9"/>
  <c r="CE71" i="9"/>
  <c r="CB71" i="9"/>
  <c r="CA71" i="9"/>
  <c r="BX71" i="9"/>
  <c r="BW71" i="9"/>
  <c r="BT71" i="9"/>
  <c r="BS71" i="9"/>
  <c r="BP71" i="9"/>
  <c r="BO71" i="9"/>
  <c r="BL71" i="9"/>
  <c r="BK71" i="9"/>
  <c r="BH71" i="9"/>
  <c r="BG71" i="9"/>
  <c r="BE71" i="9"/>
  <c r="BD71" i="9"/>
  <c r="BC71" i="9"/>
  <c r="AZ71" i="9"/>
  <c r="AY71" i="9"/>
  <c r="AV71" i="9"/>
  <c r="AU71" i="9"/>
  <c r="AR71" i="9"/>
  <c r="AQ71" i="9"/>
  <c r="AN71" i="9"/>
  <c r="AM71" i="9"/>
  <c r="AJ71" i="9"/>
  <c r="AI71" i="9"/>
  <c r="AF71" i="9"/>
  <c r="AE71" i="9"/>
  <c r="AB71" i="9"/>
  <c r="T71" i="9"/>
  <c r="S71" i="9"/>
  <c r="O71" i="9"/>
  <c r="K71" i="9"/>
  <c r="H71" i="9"/>
  <c r="G71" i="9"/>
  <c r="E71" i="9"/>
  <c r="D71" i="9"/>
  <c r="HU70" i="9"/>
  <c r="HX70" i="9" s="1"/>
  <c r="HT70" i="9"/>
  <c r="HN70" i="9"/>
  <c r="HJ70" i="9"/>
  <c r="HI70" i="9"/>
  <c r="HE70" i="9"/>
  <c r="HA70" i="9"/>
  <c r="GV70" i="9"/>
  <c r="FZ70" i="9"/>
  <c r="FU70" i="9"/>
  <c r="FV70" i="9" s="1"/>
  <c r="FR70" i="9"/>
  <c r="FN70" i="9"/>
  <c r="FI70" i="9"/>
  <c r="FJ70" i="9" s="1"/>
  <c r="FF70" i="9"/>
  <c r="FB70" i="9"/>
  <c r="EX70" i="9"/>
  <c r="ET70" i="9"/>
  <c r="EP70" i="9"/>
  <c r="EL70" i="9"/>
  <c r="EG70" i="9"/>
  <c r="ED70" i="9"/>
  <c r="DY70" i="9"/>
  <c r="DU70" i="9"/>
  <c r="DR70" i="9"/>
  <c r="DN70" i="9"/>
  <c r="DJ70" i="9"/>
  <c r="DF70" i="9"/>
  <c r="DB70" i="9"/>
  <c r="CX70" i="9"/>
  <c r="CT70" i="9"/>
  <c r="CP70" i="9"/>
  <c r="CL70" i="9"/>
  <c r="CH70" i="9"/>
  <c r="CD70" i="9"/>
  <c r="BZ70" i="9"/>
  <c r="BV70" i="9"/>
  <c r="BR70" i="9"/>
  <c r="BN70" i="9"/>
  <c r="BJ70" i="9"/>
  <c r="BF70" i="9"/>
  <c r="BB70" i="9"/>
  <c r="AX70" i="9"/>
  <c r="AT70" i="9"/>
  <c r="AP70" i="9"/>
  <c r="AL70" i="9"/>
  <c r="AH70" i="9"/>
  <c r="AD70" i="9"/>
  <c r="Z70" i="9"/>
  <c r="V70" i="9"/>
  <c r="R70" i="9"/>
  <c r="N70" i="9"/>
  <c r="J70" i="9"/>
  <c r="F70" i="9"/>
  <c r="HU69" i="9"/>
  <c r="HX69" i="9" s="1"/>
  <c r="HT69" i="9"/>
  <c r="HN69" i="9"/>
  <c r="HJ69" i="9"/>
  <c r="HI69" i="9"/>
  <c r="HF69" i="9"/>
  <c r="HE69" i="9"/>
  <c r="HA69" i="9"/>
  <c r="GV69" i="9"/>
  <c r="GT69" i="9"/>
  <c r="GP69" i="9"/>
  <c r="GL69" i="9"/>
  <c r="GH69" i="9"/>
  <c r="GD69" i="9"/>
  <c r="FZ69" i="9"/>
  <c r="FV69" i="9"/>
  <c r="FR69" i="9"/>
  <c r="FN69" i="9"/>
  <c r="FI69" i="9"/>
  <c r="FJ69" i="9" s="1"/>
  <c r="FF69" i="9"/>
  <c r="FB69" i="9"/>
  <c r="EX69" i="9"/>
  <c r="ET69" i="9"/>
  <c r="EO69" i="9"/>
  <c r="EP69" i="9" s="1"/>
  <c r="EL69" i="9"/>
  <c r="EH69" i="9"/>
  <c r="ED69" i="9"/>
  <c r="DZ69" i="9"/>
  <c r="DU69" i="9"/>
  <c r="DV69" i="9" s="1"/>
  <c r="DR69" i="9"/>
  <c r="DN69" i="9"/>
  <c r="DJ69" i="9"/>
  <c r="DF69" i="9"/>
  <c r="DB69" i="9"/>
  <c r="CW69" i="9"/>
  <c r="CT69" i="9"/>
  <c r="CO69" i="9"/>
  <c r="HO69" i="9" s="1"/>
  <c r="CL69" i="9"/>
  <c r="CH69" i="9"/>
  <c r="CD69" i="9"/>
  <c r="BZ69" i="9"/>
  <c r="BV69" i="9"/>
  <c r="BR69" i="9"/>
  <c r="BN69" i="9"/>
  <c r="BJ69" i="9"/>
  <c r="BF69" i="9"/>
  <c r="BB69" i="9"/>
  <c r="AX69" i="9"/>
  <c r="AT69" i="9"/>
  <c r="AP69" i="9"/>
  <c r="AL69" i="9"/>
  <c r="AH69" i="9"/>
  <c r="AD69" i="9"/>
  <c r="Z69" i="9"/>
  <c r="V69" i="9"/>
  <c r="R69" i="9"/>
  <c r="N69" i="9"/>
  <c r="J69" i="9"/>
  <c r="F69" i="9"/>
  <c r="HU68" i="9"/>
  <c r="HT68" i="9"/>
  <c r="HN68" i="9"/>
  <c r="HJ68" i="9"/>
  <c r="HI68" i="9"/>
  <c r="HE68" i="9"/>
  <c r="HA68" i="9"/>
  <c r="GV68" i="9"/>
  <c r="GT68" i="9"/>
  <c r="GP68" i="9"/>
  <c r="GL68" i="9"/>
  <c r="GH68" i="9"/>
  <c r="GD68" i="9"/>
  <c r="FF68" i="9"/>
  <c r="FA68" i="9"/>
  <c r="FB68" i="9" s="1"/>
  <c r="EX68" i="9"/>
  <c r="ET68" i="9"/>
  <c r="EP68" i="9"/>
  <c r="EL68" i="9"/>
  <c r="EH68" i="9"/>
  <c r="ED68" i="9"/>
  <c r="DZ68" i="9"/>
  <c r="DV68" i="9"/>
  <c r="DR68" i="9"/>
  <c r="DN68" i="9"/>
  <c r="DI68" i="9"/>
  <c r="DJ68" i="9" s="1"/>
  <c r="DF68" i="9"/>
  <c r="DA68" i="9"/>
  <c r="DB68" i="9" s="1"/>
  <c r="CW68" i="9"/>
  <c r="CX68" i="9" s="1"/>
  <c r="CT68" i="9"/>
  <c r="CP68" i="9"/>
  <c r="CL68" i="9"/>
  <c r="CH68" i="9"/>
  <c r="CD68" i="9"/>
  <c r="BZ68" i="9"/>
  <c r="BU68" i="9"/>
  <c r="BV68" i="9" s="1"/>
  <c r="BR68" i="9"/>
  <c r="BN68" i="9"/>
  <c r="BI68" i="9"/>
  <c r="BJ68" i="9" s="1"/>
  <c r="BF68" i="9"/>
  <c r="BA68" i="9"/>
  <c r="BB68" i="9" s="1"/>
  <c r="AX68" i="9"/>
  <c r="AT68" i="9"/>
  <c r="AO68" i="9"/>
  <c r="AP68" i="9" s="1"/>
  <c r="AL68" i="9"/>
  <c r="AH68" i="9"/>
  <c r="AD68" i="9"/>
  <c r="Z68" i="9"/>
  <c r="V68" i="9"/>
  <c r="R68" i="9"/>
  <c r="N68" i="9"/>
  <c r="J68" i="9"/>
  <c r="F68" i="9"/>
  <c r="HT67" i="9"/>
  <c r="HN67" i="9"/>
  <c r="HJ67" i="9"/>
  <c r="HI67" i="9"/>
  <c r="GT67" i="9"/>
  <c r="GP67" i="9"/>
  <c r="GL67" i="9"/>
  <c r="GH67" i="9"/>
  <c r="GD67" i="9"/>
  <c r="FZ67" i="9"/>
  <c r="FV67" i="9"/>
  <c r="FR67" i="9"/>
  <c r="FN67" i="9"/>
  <c r="FJ67" i="9"/>
  <c r="FF67" i="9"/>
  <c r="FB67" i="9"/>
  <c r="EX67" i="9"/>
  <c r="ET67" i="9"/>
  <c r="EP67" i="9"/>
  <c r="EL67" i="9"/>
  <c r="EH67" i="9"/>
  <c r="ED67" i="9"/>
  <c r="DY67" i="9"/>
  <c r="DZ67" i="9" s="1"/>
  <c r="DU67" i="9"/>
  <c r="DV67" i="9" s="1"/>
  <c r="DR67" i="9"/>
  <c r="DN67" i="9"/>
  <c r="DI67" i="9"/>
  <c r="DF67" i="9"/>
  <c r="DB67" i="9"/>
  <c r="CW67" i="9"/>
  <c r="CX67" i="9" s="1"/>
  <c r="CS67" i="9"/>
  <c r="HU67" i="9" s="1"/>
  <c r="CP67" i="9"/>
  <c r="CL67" i="9"/>
  <c r="CG67" i="9"/>
  <c r="CH67" i="9" s="1"/>
  <c r="CC67" i="9"/>
  <c r="CD67" i="9" s="1"/>
  <c r="BZ67" i="9"/>
  <c r="BV67" i="9"/>
  <c r="BR67" i="9"/>
  <c r="BN67" i="9"/>
  <c r="BI67" i="9"/>
  <c r="BJ67" i="9" s="1"/>
  <c r="BF67" i="9"/>
  <c r="BB67" i="9"/>
  <c r="AX67" i="9"/>
  <c r="AT67" i="9"/>
  <c r="AP67" i="9"/>
  <c r="AL67" i="9"/>
  <c r="AH67" i="9"/>
  <c r="AD67" i="9"/>
  <c r="Z67" i="9"/>
  <c r="V67" i="9"/>
  <c r="Q67" i="9"/>
  <c r="P67" i="9"/>
  <c r="P71" i="9" s="1"/>
  <c r="M67" i="9"/>
  <c r="L67" i="9"/>
  <c r="J67" i="9"/>
  <c r="F67" i="9"/>
  <c r="HT66" i="9"/>
  <c r="HN66" i="9"/>
  <c r="HJ66" i="9"/>
  <c r="HI66" i="9"/>
  <c r="HE66" i="9"/>
  <c r="HA66" i="9"/>
  <c r="GV66" i="9"/>
  <c r="GT66" i="9"/>
  <c r="GP66" i="9"/>
  <c r="GL66" i="9"/>
  <c r="GH66" i="9"/>
  <c r="GD66" i="9"/>
  <c r="FZ66" i="9"/>
  <c r="FV66" i="9"/>
  <c r="FR66" i="9"/>
  <c r="FN66" i="9"/>
  <c r="FJ66" i="9"/>
  <c r="FF66" i="9"/>
  <c r="FA66" i="9"/>
  <c r="FB66" i="9" s="1"/>
  <c r="EX66" i="9"/>
  <c r="ET66" i="9"/>
  <c r="EP66" i="9"/>
  <c r="EL66" i="9"/>
  <c r="EG66" i="9"/>
  <c r="ED66" i="9"/>
  <c r="DZ66" i="9"/>
  <c r="DU66" i="9"/>
  <c r="DV66" i="9" s="1"/>
  <c r="DR66" i="9"/>
  <c r="DM66" i="9"/>
  <c r="DN66" i="9" s="1"/>
  <c r="DJ66" i="9"/>
  <c r="DF66" i="9"/>
  <c r="DA66" i="9"/>
  <c r="DB66" i="9" s="1"/>
  <c r="CX66" i="9"/>
  <c r="CS66" i="9"/>
  <c r="CT66" i="9" s="1"/>
  <c r="CP66" i="9"/>
  <c r="CL66" i="9"/>
  <c r="CH66" i="9"/>
  <c r="CC66" i="9"/>
  <c r="CD66" i="9" s="1"/>
  <c r="BZ66" i="9"/>
  <c r="BV66" i="9"/>
  <c r="BR66" i="9"/>
  <c r="BM66" i="9"/>
  <c r="BI66" i="9"/>
  <c r="BJ66" i="9" s="1"/>
  <c r="BF66" i="9"/>
  <c r="BB66" i="9"/>
  <c r="AX66" i="9"/>
  <c r="AT66" i="9"/>
  <c r="AP66" i="9"/>
  <c r="AL66" i="9"/>
  <c r="AH66" i="9"/>
  <c r="AD66" i="9"/>
  <c r="Z66" i="9"/>
  <c r="V66" i="9"/>
  <c r="R66" i="9"/>
  <c r="N66" i="9"/>
  <c r="J66" i="9"/>
  <c r="F66" i="9"/>
  <c r="HT65" i="9"/>
  <c r="HN65" i="9"/>
  <c r="HI65" i="9"/>
  <c r="HE65" i="9"/>
  <c r="HA65" i="9"/>
  <c r="GV65" i="9"/>
  <c r="GT65" i="9"/>
  <c r="GP65" i="9"/>
  <c r="GL65" i="9"/>
  <c r="GH65" i="9"/>
  <c r="GD65" i="9"/>
  <c r="FZ65" i="9"/>
  <c r="FV65" i="9"/>
  <c r="FR65" i="9"/>
  <c r="FN65" i="9"/>
  <c r="FJ65" i="9"/>
  <c r="FF65" i="9"/>
  <c r="FA65" i="9"/>
  <c r="FB65" i="9" s="1"/>
  <c r="EX65" i="9"/>
  <c r="ET65" i="9"/>
  <c r="EP65" i="9"/>
  <c r="EK65" i="9"/>
  <c r="EL65" i="9" s="1"/>
  <c r="EG65" i="9"/>
  <c r="EH65" i="9" s="1"/>
  <c r="ED65" i="9"/>
  <c r="DZ65" i="9"/>
  <c r="DV65" i="9"/>
  <c r="DR65" i="9"/>
  <c r="DM65" i="9"/>
  <c r="DJ65" i="9"/>
  <c r="DF65" i="9"/>
  <c r="DA65" i="9"/>
  <c r="DB65" i="9" s="1"/>
  <c r="CX65" i="9"/>
  <c r="CT65" i="9"/>
  <c r="CP65" i="9"/>
  <c r="CL65" i="9"/>
  <c r="CG65" i="9"/>
  <c r="CH65" i="9" s="1"/>
  <c r="CC65" i="9"/>
  <c r="CD65" i="9" s="1"/>
  <c r="BZ65" i="9"/>
  <c r="BV65" i="9"/>
  <c r="BQ65" i="9"/>
  <c r="BR65" i="9" s="1"/>
  <c r="BN65" i="9"/>
  <c r="BI65" i="9"/>
  <c r="BJ65" i="9" s="1"/>
  <c r="BF65" i="9"/>
  <c r="BB65" i="9"/>
  <c r="AW65" i="9"/>
  <c r="AS65" i="9"/>
  <c r="AP65" i="9"/>
  <c r="AL65" i="9"/>
  <c r="AH65" i="9"/>
  <c r="AD65" i="9"/>
  <c r="Y65" i="9"/>
  <c r="Z65" i="9" s="1"/>
  <c r="V65" i="9"/>
  <c r="R65" i="9"/>
  <c r="M65" i="9"/>
  <c r="J65" i="9"/>
  <c r="F65" i="9"/>
  <c r="HT64" i="9"/>
  <c r="HN64" i="9"/>
  <c r="HJ64" i="9"/>
  <c r="HI64" i="9"/>
  <c r="HF64" i="9"/>
  <c r="HE64" i="9"/>
  <c r="HA64" i="9"/>
  <c r="GV64" i="9"/>
  <c r="GT64" i="9"/>
  <c r="GP64" i="9"/>
  <c r="GL64" i="9"/>
  <c r="GH64" i="9"/>
  <c r="GD64" i="9"/>
  <c r="FZ64" i="9"/>
  <c r="FV64" i="9"/>
  <c r="FR64" i="9"/>
  <c r="FN64" i="9"/>
  <c r="FI64" i="9"/>
  <c r="FJ64" i="9" s="1"/>
  <c r="FF64" i="9"/>
  <c r="FA64" i="9"/>
  <c r="FB64" i="9" s="1"/>
  <c r="EX64" i="9"/>
  <c r="ET64" i="9"/>
  <c r="EO64" i="9"/>
  <c r="EP64" i="9" s="1"/>
  <c r="EK64" i="9"/>
  <c r="EL64" i="9" s="1"/>
  <c r="EG64" i="9"/>
  <c r="ED64" i="9"/>
  <c r="DZ64" i="9"/>
  <c r="DU64" i="9"/>
  <c r="DR64" i="9"/>
  <c r="DN64" i="9"/>
  <c r="DJ64" i="9"/>
  <c r="DF64" i="9"/>
  <c r="DB64" i="9"/>
  <c r="CX64" i="9"/>
  <c r="CS64" i="9"/>
  <c r="CP64" i="9"/>
  <c r="CL64" i="9"/>
  <c r="CH64" i="9"/>
  <c r="CD64" i="9"/>
  <c r="BZ64" i="9"/>
  <c r="BV64" i="9"/>
  <c r="BR64" i="9"/>
  <c r="BN64" i="9"/>
  <c r="BJ64" i="9"/>
  <c r="BF64" i="9"/>
  <c r="BB64" i="9"/>
  <c r="AX64" i="9"/>
  <c r="AT64" i="9"/>
  <c r="AP64" i="9"/>
  <c r="AL64" i="9"/>
  <c r="AH64" i="9"/>
  <c r="AD64" i="9"/>
  <c r="Z64" i="9"/>
  <c r="V64" i="9"/>
  <c r="R64" i="9"/>
  <c r="N64" i="9"/>
  <c r="J64" i="9"/>
  <c r="F64" i="9"/>
  <c r="HN63" i="9"/>
  <c r="HJ63" i="9"/>
  <c r="HI63" i="9"/>
  <c r="HE63" i="9"/>
  <c r="HA63" i="9"/>
  <c r="GT63" i="9"/>
  <c r="GP63" i="9"/>
  <c r="GL63" i="9"/>
  <c r="GH63" i="9"/>
  <c r="GD63" i="9"/>
  <c r="FB63" i="9"/>
  <c r="FD63" i="9" s="1"/>
  <c r="FF63" i="9" s="1"/>
  <c r="EX63" i="9"/>
  <c r="ET63" i="9"/>
  <c r="EP63" i="9"/>
  <c r="EK63" i="9"/>
  <c r="EG63" i="9"/>
  <c r="EH63" i="9" s="1"/>
  <c r="ED63" i="9"/>
  <c r="DY63" i="9"/>
  <c r="DU63" i="9"/>
  <c r="DV63" i="9" s="1"/>
  <c r="DR63" i="9"/>
  <c r="DN63" i="9"/>
  <c r="DJ63" i="9"/>
  <c r="DF63" i="9"/>
  <c r="DB63" i="9"/>
  <c r="CX63" i="9"/>
  <c r="CT63" i="9"/>
  <c r="CP63" i="9"/>
  <c r="CL63" i="9"/>
  <c r="CH63" i="9"/>
  <c r="CD63" i="9"/>
  <c r="BZ63" i="9"/>
  <c r="BU63" i="9"/>
  <c r="BR63" i="9"/>
  <c r="BN63" i="9"/>
  <c r="BI63" i="9"/>
  <c r="BF63" i="9"/>
  <c r="BB63" i="9"/>
  <c r="AX63" i="9"/>
  <c r="AT63" i="9"/>
  <c r="AP63" i="9"/>
  <c r="AL63" i="9"/>
  <c r="AH63" i="9"/>
  <c r="AD63" i="9"/>
  <c r="Z63" i="9"/>
  <c r="V63" i="9"/>
  <c r="R63" i="9"/>
  <c r="N63" i="9"/>
  <c r="J63" i="9"/>
  <c r="F63" i="9"/>
  <c r="HT62" i="9"/>
  <c r="HN62" i="9"/>
  <c r="HI62" i="9"/>
  <c r="HE62" i="9"/>
  <c r="HA62" i="9"/>
  <c r="GV62" i="9"/>
  <c r="GT62" i="9"/>
  <c r="GP62" i="9"/>
  <c r="GL62" i="9"/>
  <c r="GH62" i="9"/>
  <c r="GD62" i="9"/>
  <c r="FZ62" i="9"/>
  <c r="FU62" i="9"/>
  <c r="FV62" i="9" s="1"/>
  <c r="FR62" i="9"/>
  <c r="FN62" i="9"/>
  <c r="FJ62" i="9"/>
  <c r="FE62" i="9"/>
  <c r="FF62" i="9" s="1"/>
  <c r="FA62" i="9"/>
  <c r="FB62" i="9" s="1"/>
  <c r="EW62" i="9"/>
  <c r="EX62" i="9" s="1"/>
  <c r="ES62" i="9"/>
  <c r="ET62" i="9" s="1"/>
  <c r="EO62" i="9"/>
  <c r="EP62" i="9" s="1"/>
  <c r="EL62" i="9"/>
  <c r="EG62" i="9"/>
  <c r="EH62" i="9" s="1"/>
  <c r="EC62" i="9"/>
  <c r="DY62" i="9"/>
  <c r="DZ62" i="9" s="1"/>
  <c r="DU62" i="9"/>
  <c r="DV62" i="9" s="1"/>
  <c r="DR62" i="9"/>
  <c r="DN62" i="9"/>
  <c r="DI62" i="9"/>
  <c r="DJ62" i="9" s="1"/>
  <c r="DF62" i="9"/>
  <c r="DA62" i="9"/>
  <c r="DB62" i="9" s="1"/>
  <c r="CX62" i="9"/>
  <c r="CT62" i="9"/>
  <c r="CP62" i="9"/>
  <c r="CL62" i="9"/>
  <c r="CH62" i="9"/>
  <c r="CD62" i="9"/>
  <c r="BZ62" i="9"/>
  <c r="BV62" i="9"/>
  <c r="BR62" i="9"/>
  <c r="BN62" i="9"/>
  <c r="BJ62" i="9"/>
  <c r="BF62" i="9"/>
  <c r="BB62" i="9"/>
  <c r="AX62" i="9"/>
  <c r="AT62" i="9"/>
  <c r="AP62" i="9"/>
  <c r="AL62" i="9"/>
  <c r="AH62" i="9"/>
  <c r="AD62" i="9"/>
  <c r="Z62" i="9"/>
  <c r="V62" i="9"/>
  <c r="R62" i="9"/>
  <c r="N62" i="9"/>
  <c r="J62" i="9"/>
  <c r="F62" i="9"/>
  <c r="HT61" i="9"/>
  <c r="HN61" i="9"/>
  <c r="HI61" i="9"/>
  <c r="HE61" i="9"/>
  <c r="HA61" i="9"/>
  <c r="GV61" i="9"/>
  <c r="GT61" i="9"/>
  <c r="GP61" i="9"/>
  <c r="GL61" i="9"/>
  <c r="GH61" i="9"/>
  <c r="GD61" i="9"/>
  <c r="FZ61" i="9"/>
  <c r="FV61" i="9"/>
  <c r="FR61" i="9"/>
  <c r="FN61" i="9"/>
  <c r="FJ61" i="9"/>
  <c r="FF61" i="9"/>
  <c r="FA61" i="9"/>
  <c r="FB61" i="9" s="1"/>
  <c r="EX61" i="9"/>
  <c r="ES61" i="9"/>
  <c r="ET61" i="9" s="1"/>
  <c r="EO61" i="9"/>
  <c r="EP61" i="9" s="1"/>
  <c r="EL61" i="9"/>
  <c r="EG61" i="9"/>
  <c r="ED61" i="9"/>
  <c r="DY61" i="9"/>
  <c r="DU61" i="9"/>
  <c r="DR61" i="9"/>
  <c r="DN61" i="9"/>
  <c r="DJ61" i="9"/>
  <c r="DF61" i="9"/>
  <c r="DB61" i="9"/>
  <c r="CX61" i="9"/>
  <c r="CS61" i="9"/>
  <c r="CP61" i="9"/>
  <c r="CK61" i="9"/>
  <c r="CL61" i="9" s="1"/>
  <c r="CH61" i="9"/>
  <c r="CD61" i="9"/>
  <c r="BZ61" i="9"/>
  <c r="BV61" i="9"/>
  <c r="BR61" i="9"/>
  <c r="BN61" i="9"/>
  <c r="BJ61" i="9"/>
  <c r="BF61" i="9"/>
  <c r="BB61" i="9"/>
  <c r="AX61" i="9"/>
  <c r="AT61" i="9"/>
  <c r="AP61" i="9"/>
  <c r="AL61" i="9"/>
  <c r="AH61" i="9"/>
  <c r="AD61" i="9"/>
  <c r="Z61" i="9"/>
  <c r="V61" i="9"/>
  <c r="R61" i="9"/>
  <c r="N61" i="9"/>
  <c r="J61" i="9"/>
  <c r="F61" i="9"/>
  <c r="HT60" i="9"/>
  <c r="HN60" i="9"/>
  <c r="HJ60" i="9"/>
  <c r="HI60" i="9"/>
  <c r="HE60" i="9"/>
  <c r="HA60" i="9"/>
  <c r="GV60" i="9"/>
  <c r="GT60" i="9"/>
  <c r="GO60" i="9"/>
  <c r="GP60" i="9" s="1"/>
  <c r="GL60" i="9"/>
  <c r="GH60" i="9"/>
  <c r="GD60" i="9"/>
  <c r="FZ60" i="9"/>
  <c r="FU60" i="9"/>
  <c r="FV60" i="9" s="1"/>
  <c r="FR60" i="9"/>
  <c r="FN60" i="9"/>
  <c r="FI60" i="9"/>
  <c r="FJ60" i="9" s="1"/>
  <c r="FE60" i="9"/>
  <c r="FF60" i="9" s="1"/>
  <c r="FA60" i="9"/>
  <c r="FB60" i="9" s="1"/>
  <c r="EX60" i="9"/>
  <c r="ES60" i="9"/>
  <c r="ET60" i="9" s="1"/>
  <c r="EO60" i="9"/>
  <c r="EP60" i="9" s="1"/>
  <c r="EK60" i="9"/>
  <c r="EL60" i="9" s="1"/>
  <c r="EH60" i="9"/>
  <c r="ED60" i="9"/>
  <c r="DY60" i="9"/>
  <c r="DZ60" i="9" s="1"/>
  <c r="DU60" i="9"/>
  <c r="DV60" i="9" s="1"/>
  <c r="DR60" i="9"/>
  <c r="DN60" i="9"/>
  <c r="DI60" i="9"/>
  <c r="DJ60" i="9" s="1"/>
  <c r="DF60" i="9"/>
  <c r="DA60" i="9"/>
  <c r="DB60" i="9" s="1"/>
  <c r="CX60" i="9"/>
  <c r="CS60" i="9"/>
  <c r="CO60" i="9"/>
  <c r="CP60" i="9" s="1"/>
  <c r="CL60" i="9"/>
  <c r="CH60" i="9"/>
  <c r="CD60" i="9"/>
  <c r="BZ60" i="9"/>
  <c r="BV60" i="9"/>
  <c r="BR60" i="9"/>
  <c r="BN60" i="9"/>
  <c r="BJ60" i="9"/>
  <c r="BF60" i="9"/>
  <c r="BB60" i="9"/>
  <c r="AX60" i="9"/>
  <c r="AT60" i="9"/>
  <c r="AP60" i="9"/>
  <c r="AL60" i="9"/>
  <c r="AH60" i="9"/>
  <c r="AD60" i="9"/>
  <c r="Z60" i="9"/>
  <c r="V60" i="9"/>
  <c r="R60" i="9"/>
  <c r="N60" i="9"/>
  <c r="J60" i="9"/>
  <c r="F60" i="9"/>
  <c r="HU59" i="9"/>
  <c r="HX59" i="9" s="1"/>
  <c r="HT59" i="9"/>
  <c r="HN59" i="9"/>
  <c r="HJ59" i="9"/>
  <c r="HI59" i="9"/>
  <c r="HF59" i="9"/>
  <c r="HE59" i="9"/>
  <c r="HA59" i="9"/>
  <c r="GV59" i="9"/>
  <c r="GT59" i="9"/>
  <c r="GP59" i="9"/>
  <c r="GL59" i="9"/>
  <c r="GH59" i="9"/>
  <c r="GD59" i="9"/>
  <c r="FZ59" i="9"/>
  <c r="FV59" i="9"/>
  <c r="FR59" i="9"/>
  <c r="FN59" i="9"/>
  <c r="FJ59" i="9"/>
  <c r="FF59" i="9"/>
  <c r="FB59" i="9"/>
  <c r="EX59" i="9"/>
  <c r="ET59" i="9"/>
  <c r="EO59" i="9"/>
  <c r="EP59" i="9" s="1"/>
  <c r="EL59" i="9"/>
  <c r="EG59" i="9"/>
  <c r="EH59" i="9" s="1"/>
  <c r="ED59" i="9"/>
  <c r="DZ59" i="9"/>
  <c r="DU59" i="9"/>
  <c r="DV59" i="9" s="1"/>
  <c r="DR59" i="9"/>
  <c r="DN59" i="9"/>
  <c r="DI59" i="9"/>
  <c r="DF59" i="9"/>
  <c r="DB59" i="9"/>
  <c r="CW59" i="9"/>
  <c r="CX59" i="9" s="1"/>
  <c r="CT59" i="9"/>
  <c r="CP59" i="9"/>
  <c r="CL59" i="9"/>
  <c r="CH59" i="9"/>
  <c r="CC59" i="9"/>
  <c r="CD59" i="9" s="1"/>
  <c r="BZ59" i="9"/>
  <c r="BV59" i="9"/>
  <c r="BR59" i="9"/>
  <c r="BN59" i="9"/>
  <c r="BJ59" i="9"/>
  <c r="BF59" i="9"/>
  <c r="BB59" i="9"/>
  <c r="AX59" i="9"/>
  <c r="AT59" i="9"/>
  <c r="AP59" i="9"/>
  <c r="AL59" i="9"/>
  <c r="AH59" i="9"/>
  <c r="AD59" i="9"/>
  <c r="Z59" i="9"/>
  <c r="V59" i="9"/>
  <c r="R59" i="9"/>
  <c r="N59" i="9"/>
  <c r="J59" i="9"/>
  <c r="F59" i="9"/>
  <c r="HT58" i="9"/>
  <c r="HN58" i="9"/>
  <c r="HJ58" i="9"/>
  <c r="HI58" i="9"/>
  <c r="HE58" i="9"/>
  <c r="HA58" i="9"/>
  <c r="GV58" i="9"/>
  <c r="GT58" i="9"/>
  <c r="GP58" i="9"/>
  <c r="GL58" i="9"/>
  <c r="GH58" i="9"/>
  <c r="GD58" i="9"/>
  <c r="FZ58" i="9"/>
  <c r="FU58" i="9"/>
  <c r="FV58" i="9" s="1"/>
  <c r="FR58" i="9"/>
  <c r="FN58" i="9"/>
  <c r="FI58" i="9"/>
  <c r="FJ58" i="9" s="1"/>
  <c r="FF58" i="9"/>
  <c r="FA58" i="9"/>
  <c r="EX58" i="9"/>
  <c r="ET58" i="9"/>
  <c r="EO58" i="9"/>
  <c r="EL58" i="9"/>
  <c r="EG58" i="9"/>
  <c r="EH58" i="9" s="1"/>
  <c r="ED58" i="9"/>
  <c r="DZ58" i="9"/>
  <c r="DU58" i="9"/>
  <c r="DV58" i="9" s="1"/>
  <c r="DR58" i="9"/>
  <c r="DM58" i="9"/>
  <c r="DN58" i="9" s="1"/>
  <c r="DJ58" i="9"/>
  <c r="DF58" i="9"/>
  <c r="DA58" i="9"/>
  <c r="DB58" i="9" s="1"/>
  <c r="CX58" i="9"/>
  <c r="CS58" i="9"/>
  <c r="CT58" i="9" s="1"/>
  <c r="CP58" i="9"/>
  <c r="CL58" i="9"/>
  <c r="CG58" i="9"/>
  <c r="CD58" i="9"/>
  <c r="BY58" i="9"/>
  <c r="BZ58" i="9" s="1"/>
  <c r="BV58" i="9"/>
  <c r="BR58" i="9"/>
  <c r="BN58" i="9"/>
  <c r="BJ58" i="9"/>
  <c r="BF58" i="9"/>
  <c r="BB58" i="9"/>
  <c r="AX58" i="9"/>
  <c r="AT58" i="9"/>
  <c r="AP58" i="9"/>
  <c r="AL58" i="9"/>
  <c r="AH58" i="9"/>
  <c r="AD58" i="9"/>
  <c r="Z58" i="9"/>
  <c r="V58" i="9"/>
  <c r="R58" i="9"/>
  <c r="N58" i="9"/>
  <c r="J58" i="9"/>
  <c r="F58" i="9"/>
  <c r="HU57" i="9"/>
  <c r="HX57" i="9" s="1"/>
  <c r="HO57" i="9"/>
  <c r="HN57" i="9"/>
  <c r="HJ57" i="9"/>
  <c r="HI57" i="9"/>
  <c r="HF57" i="9"/>
  <c r="HE57" i="9"/>
  <c r="FB57" i="9"/>
  <c r="FD57" i="9" s="1"/>
  <c r="HT57" i="9" s="1"/>
  <c r="EX57" i="9"/>
  <c r="ET57" i="9"/>
  <c r="EP57" i="9"/>
  <c r="EL57" i="9"/>
  <c r="EH57" i="9"/>
  <c r="ED57" i="9"/>
  <c r="DZ57" i="9"/>
  <c r="DV57" i="9"/>
  <c r="DR57" i="9"/>
  <c r="DN57" i="9"/>
  <c r="DJ57" i="9"/>
  <c r="DF57" i="9"/>
  <c r="DB57" i="9"/>
  <c r="CX57" i="9"/>
  <c r="CT57" i="9"/>
  <c r="CP57" i="9"/>
  <c r="CL57" i="9"/>
  <c r="CH57" i="9"/>
  <c r="CD57" i="9"/>
  <c r="BZ57" i="9"/>
  <c r="BV57" i="9"/>
  <c r="BR57" i="9"/>
  <c r="BN57" i="9"/>
  <c r="BJ57" i="9"/>
  <c r="BF57" i="9"/>
  <c r="BB57" i="9"/>
  <c r="AX57" i="9"/>
  <c r="AT57" i="9"/>
  <c r="AP57" i="9"/>
  <c r="AL57" i="9"/>
  <c r="AH57" i="9"/>
  <c r="AD57" i="9"/>
  <c r="Y57" i="9"/>
  <c r="X57" i="9"/>
  <c r="V57" i="9"/>
  <c r="R57" i="9"/>
  <c r="N57" i="9"/>
  <c r="J57" i="9"/>
  <c r="F57" i="9"/>
  <c r="HU56" i="9"/>
  <c r="HX56" i="9" s="1"/>
  <c r="HT56" i="9"/>
  <c r="HN56" i="9"/>
  <c r="HJ56" i="9"/>
  <c r="HI56" i="9"/>
  <c r="HE56" i="9"/>
  <c r="HA56" i="9"/>
  <c r="GV56" i="9"/>
  <c r="GT56" i="9"/>
  <c r="GP56" i="9"/>
  <c r="GL56" i="9"/>
  <c r="GH56" i="9"/>
  <c r="GD56" i="9"/>
  <c r="FZ56" i="9"/>
  <c r="FU56" i="9"/>
  <c r="FV56" i="9" s="1"/>
  <c r="FR56" i="9"/>
  <c r="FN56" i="9"/>
  <c r="FJ56" i="9"/>
  <c r="FF56" i="9"/>
  <c r="FB56" i="9"/>
  <c r="EX56" i="9"/>
  <c r="ET56" i="9"/>
  <c r="EP56" i="9"/>
  <c r="EL56" i="9"/>
  <c r="EH56" i="9"/>
  <c r="ED56" i="9"/>
  <c r="DZ56" i="9"/>
  <c r="DV56" i="9"/>
  <c r="DR56" i="9"/>
  <c r="DN56" i="9"/>
  <c r="DI56" i="9"/>
  <c r="DJ56" i="9" s="1"/>
  <c r="DF56" i="9"/>
  <c r="DA56" i="9"/>
  <c r="CX56" i="9"/>
  <c r="CT56" i="9"/>
  <c r="CP56" i="9"/>
  <c r="CL56" i="9"/>
  <c r="CH56" i="9"/>
  <c r="CC56" i="9"/>
  <c r="BZ56" i="9"/>
  <c r="BV56" i="9"/>
  <c r="BR56" i="9"/>
  <c r="BN56" i="9"/>
  <c r="BI56" i="9"/>
  <c r="BJ56" i="9" s="1"/>
  <c r="BF56" i="9"/>
  <c r="BB56" i="9"/>
  <c r="AX56" i="9"/>
  <c r="AT56" i="9"/>
  <c r="AP56" i="9"/>
  <c r="AL56" i="9"/>
  <c r="AH56" i="9"/>
  <c r="AD56" i="9"/>
  <c r="Z56" i="9"/>
  <c r="V56" i="9"/>
  <c r="R56" i="9"/>
  <c r="N56" i="9"/>
  <c r="J56" i="9"/>
  <c r="F56" i="9"/>
  <c r="HU55" i="9"/>
  <c r="HX55" i="9" s="1"/>
  <c r="HT55" i="9"/>
  <c r="HN55" i="9"/>
  <c r="HJ55" i="9"/>
  <c r="HI55" i="9"/>
  <c r="HE55" i="9"/>
  <c r="HA55" i="9"/>
  <c r="GV55" i="9"/>
  <c r="GT55" i="9"/>
  <c r="GP55" i="9"/>
  <c r="GL55" i="9"/>
  <c r="GH55" i="9"/>
  <c r="GD55" i="9"/>
  <c r="FZ55" i="9"/>
  <c r="FV55" i="9"/>
  <c r="FR55" i="9"/>
  <c r="FN55" i="9"/>
  <c r="FJ55" i="9"/>
  <c r="FF55" i="9"/>
  <c r="FB55" i="9"/>
  <c r="EX55" i="9"/>
  <c r="ET55" i="9"/>
  <c r="EO55" i="9"/>
  <c r="EP55" i="9" s="1"/>
  <c r="EL55" i="9"/>
  <c r="EH55" i="9"/>
  <c r="ED55" i="9"/>
  <c r="DZ55" i="9"/>
  <c r="DU55" i="9"/>
  <c r="DR55" i="9"/>
  <c r="DN55" i="9"/>
  <c r="DI55" i="9"/>
  <c r="DF55" i="9"/>
  <c r="DA55" i="9"/>
  <c r="DB55" i="9" s="1"/>
  <c r="CX55" i="9"/>
  <c r="CT55" i="9"/>
  <c r="CP55" i="9"/>
  <c r="CL55" i="9"/>
  <c r="CG55" i="9"/>
  <c r="CD55" i="9"/>
  <c r="BZ55" i="9"/>
  <c r="BV55" i="9"/>
  <c r="BR55" i="9"/>
  <c r="BN55" i="9"/>
  <c r="BJ55" i="9"/>
  <c r="BF55" i="9"/>
  <c r="BB55" i="9"/>
  <c r="AX55" i="9"/>
  <c r="AT55" i="9"/>
  <c r="AP55" i="9"/>
  <c r="AL55" i="9"/>
  <c r="AH55" i="9"/>
  <c r="AD55" i="9"/>
  <c r="Z55" i="9"/>
  <c r="V55" i="9"/>
  <c r="R55" i="9"/>
  <c r="N55" i="9"/>
  <c r="J55" i="9"/>
  <c r="F55" i="9"/>
  <c r="HU54" i="9"/>
  <c r="HX54" i="9" s="1"/>
  <c r="HN54" i="9"/>
  <c r="HJ54" i="9"/>
  <c r="HI54" i="9"/>
  <c r="HE54" i="9"/>
  <c r="HA54" i="9"/>
  <c r="FZ54" i="9"/>
  <c r="FU54" i="9"/>
  <c r="FV54" i="9" s="1"/>
  <c r="FR54" i="9"/>
  <c r="FN54" i="9"/>
  <c r="FJ54" i="9"/>
  <c r="FB54" i="9"/>
  <c r="FD54" i="9" s="1"/>
  <c r="EX54" i="9"/>
  <c r="ET54" i="9"/>
  <c r="EP54" i="9"/>
  <c r="EL54" i="9"/>
  <c r="EG54" i="9"/>
  <c r="ED54" i="9"/>
  <c r="DY54" i="9"/>
  <c r="DZ54" i="9" s="1"/>
  <c r="DU54" i="9"/>
  <c r="DV54" i="9" s="1"/>
  <c r="DR54" i="9"/>
  <c r="DN54" i="9"/>
  <c r="DJ54" i="9"/>
  <c r="DF54" i="9"/>
  <c r="DB54" i="9"/>
  <c r="CX54" i="9"/>
  <c r="CT54" i="9"/>
  <c r="CP54" i="9"/>
  <c r="CL54" i="9"/>
  <c r="CG54" i="9"/>
  <c r="CC54" i="9"/>
  <c r="CD54" i="9" s="1"/>
  <c r="BZ54" i="9"/>
  <c r="BV54" i="9"/>
  <c r="BR54" i="9"/>
  <c r="BN54" i="9"/>
  <c r="BJ54" i="9"/>
  <c r="BF54" i="9"/>
  <c r="BB54" i="9"/>
  <c r="AX54" i="9"/>
  <c r="AT54" i="9"/>
  <c r="AP54" i="9"/>
  <c r="AL54" i="9"/>
  <c r="AH54" i="9"/>
  <c r="AD54" i="9"/>
  <c r="Z54" i="9"/>
  <c r="V54" i="9"/>
  <c r="R54" i="9"/>
  <c r="N54" i="9"/>
  <c r="J54" i="9"/>
  <c r="F54" i="9"/>
  <c r="HT53" i="9"/>
  <c r="HN53" i="9"/>
  <c r="HJ53" i="9"/>
  <c r="HI53" i="9"/>
  <c r="HE53" i="9"/>
  <c r="HA53" i="9"/>
  <c r="GV53" i="9"/>
  <c r="GT53" i="9"/>
  <c r="GO53" i="9"/>
  <c r="GP53" i="9" s="1"/>
  <c r="GL53" i="9"/>
  <c r="GH53" i="9"/>
  <c r="GD53" i="9"/>
  <c r="FE53" i="9"/>
  <c r="FF53" i="9" s="1"/>
  <c r="FA53" i="9"/>
  <c r="EX53" i="9"/>
  <c r="ET53" i="9"/>
  <c r="EP53" i="9"/>
  <c r="EL53" i="9"/>
  <c r="EH53" i="9"/>
  <c r="ED53" i="9"/>
  <c r="DZ53" i="9"/>
  <c r="DV53" i="9"/>
  <c r="DR53" i="9"/>
  <c r="DN53" i="9"/>
  <c r="DJ53" i="9"/>
  <c r="DF53" i="9"/>
  <c r="DA53" i="9"/>
  <c r="DB53" i="9" s="1"/>
  <c r="CW53" i="9"/>
  <c r="CX53" i="9" s="1"/>
  <c r="CT53" i="9"/>
  <c r="CP53" i="9"/>
  <c r="CL53" i="9"/>
  <c r="CH53" i="9"/>
  <c r="CD53" i="9"/>
  <c r="BZ53" i="9"/>
  <c r="BV53" i="9"/>
  <c r="BR53" i="9"/>
  <c r="BM53" i="9"/>
  <c r="BN53" i="9" s="1"/>
  <c r="BI53" i="9"/>
  <c r="BJ53" i="9" s="1"/>
  <c r="BF53" i="9"/>
  <c r="BB53" i="9"/>
  <c r="AX53" i="9"/>
  <c r="AT53" i="9"/>
  <c r="AP53" i="9"/>
  <c r="AL53" i="9"/>
  <c r="AH53" i="9"/>
  <c r="AD53" i="9"/>
  <c r="Z53" i="9"/>
  <c r="V53" i="9"/>
  <c r="R53" i="9"/>
  <c r="N53" i="9"/>
  <c r="J53" i="9"/>
  <c r="F53" i="9"/>
  <c r="HU52" i="9"/>
  <c r="HX52" i="9" s="1"/>
  <c r="HT52" i="9"/>
  <c r="HN52" i="9"/>
  <c r="HJ52" i="9"/>
  <c r="HI52" i="9"/>
  <c r="HE52" i="9"/>
  <c r="HA52" i="9"/>
  <c r="GV52" i="9"/>
  <c r="GT52" i="9"/>
  <c r="GP52" i="9"/>
  <c r="GL52" i="9"/>
  <c r="GH52" i="9"/>
  <c r="GD52" i="9"/>
  <c r="FZ52" i="9"/>
  <c r="FV52" i="9"/>
  <c r="FR52" i="9"/>
  <c r="FN52" i="9"/>
  <c r="FJ52" i="9"/>
  <c r="FF52" i="9"/>
  <c r="FA52" i="9"/>
  <c r="FB52" i="9" s="1"/>
  <c r="EX52" i="9"/>
  <c r="ET52" i="9"/>
  <c r="EO52" i="9"/>
  <c r="EP52" i="9" s="1"/>
  <c r="EL52" i="9"/>
  <c r="EG52" i="9"/>
  <c r="ED52" i="9"/>
  <c r="DZ52" i="9"/>
  <c r="DU52" i="9"/>
  <c r="DV52" i="9" s="1"/>
  <c r="DR52" i="9"/>
  <c r="DN52" i="9"/>
  <c r="DJ52" i="9"/>
  <c r="DF52" i="9"/>
  <c r="DB52" i="9"/>
  <c r="CW52" i="9"/>
  <c r="CX52" i="9" s="1"/>
  <c r="CT52" i="9"/>
  <c r="CP52" i="9"/>
  <c r="CL52" i="9"/>
  <c r="CH52" i="9"/>
  <c r="CC52" i="9"/>
  <c r="CD52" i="9" s="1"/>
  <c r="BZ52" i="9"/>
  <c r="BV52" i="9"/>
  <c r="BR52" i="9"/>
  <c r="BM52" i="9"/>
  <c r="BJ52" i="9"/>
  <c r="BF52" i="9"/>
  <c r="BB52" i="9"/>
  <c r="AX52" i="9"/>
  <c r="AT52" i="9"/>
  <c r="AP52" i="9"/>
  <c r="AL52" i="9"/>
  <c r="AH52" i="9"/>
  <c r="AD52" i="9"/>
  <c r="Z52" i="9"/>
  <c r="V52" i="9"/>
  <c r="R52" i="9"/>
  <c r="N52" i="9"/>
  <c r="J52" i="9"/>
  <c r="F52" i="9"/>
  <c r="HU51" i="9"/>
  <c r="HT51" i="9"/>
  <c r="HN51" i="9"/>
  <c r="HI51" i="9"/>
  <c r="HE51" i="9"/>
  <c r="HA51" i="9"/>
  <c r="GV51" i="9"/>
  <c r="GT51" i="9"/>
  <c r="GP51" i="9"/>
  <c r="GL51" i="9"/>
  <c r="GH51" i="9"/>
  <c r="GC51" i="9"/>
  <c r="FZ51" i="9"/>
  <c r="FU51" i="9"/>
  <c r="FV51" i="9" s="1"/>
  <c r="FR51" i="9"/>
  <c r="FN51" i="9"/>
  <c r="FI51" i="9"/>
  <c r="FJ51" i="9" s="1"/>
  <c r="FF51" i="9"/>
  <c r="FA51" i="9"/>
  <c r="FB51" i="9" s="1"/>
  <c r="EX51" i="9"/>
  <c r="ES51" i="9"/>
  <c r="ET51" i="9" s="1"/>
  <c r="EO51" i="9"/>
  <c r="EP51" i="9" s="1"/>
  <c r="EG51" i="9"/>
  <c r="EH51" i="9" s="1"/>
  <c r="ED51" i="9"/>
  <c r="DY51" i="9"/>
  <c r="DZ51" i="9" s="1"/>
  <c r="DU51" i="9"/>
  <c r="DV51" i="9" s="1"/>
  <c r="DR51" i="9"/>
  <c r="DN51" i="9"/>
  <c r="DI51" i="9"/>
  <c r="DJ51" i="9" s="1"/>
  <c r="DF51" i="9"/>
  <c r="DA51" i="9"/>
  <c r="DB51" i="9" s="1"/>
  <c r="CW51" i="9"/>
  <c r="CX51" i="9" s="1"/>
  <c r="CT51" i="9"/>
  <c r="CO51" i="9"/>
  <c r="CP51" i="9" s="1"/>
  <c r="CK51" i="9"/>
  <c r="CG51" i="9"/>
  <c r="CH51" i="9" s="1"/>
  <c r="CC51" i="9"/>
  <c r="CD51" i="9" s="1"/>
  <c r="BZ51" i="9"/>
  <c r="BU51" i="9"/>
  <c r="BV51" i="9" s="1"/>
  <c r="BR51" i="9"/>
  <c r="BM51" i="9"/>
  <c r="BN51" i="9" s="1"/>
  <c r="BI51" i="9"/>
  <c r="BJ51" i="9" s="1"/>
  <c r="BF51" i="9"/>
  <c r="BB51" i="9"/>
  <c r="AX51" i="9"/>
  <c r="AS51" i="9"/>
  <c r="AT51" i="9" s="1"/>
  <c r="AO51" i="9"/>
  <c r="AL51" i="9"/>
  <c r="AH51" i="9"/>
  <c r="AD51" i="9"/>
  <c r="Z51" i="9"/>
  <c r="V51" i="9"/>
  <c r="R51" i="9"/>
  <c r="N51" i="9"/>
  <c r="J51" i="9"/>
  <c r="F51" i="9"/>
  <c r="HU50" i="9"/>
  <c r="HN50" i="9"/>
  <c r="HJ50" i="9"/>
  <c r="HI50" i="9"/>
  <c r="HE50" i="9"/>
  <c r="HA50" i="9"/>
  <c r="FZ50" i="9"/>
  <c r="FV50" i="9"/>
  <c r="FR50" i="9"/>
  <c r="FN50" i="9"/>
  <c r="FJ50" i="9"/>
  <c r="FB50" i="9"/>
  <c r="FD50" i="9" s="1"/>
  <c r="EX50" i="9"/>
  <c r="ET50" i="9"/>
  <c r="EP50" i="9"/>
  <c r="EL50" i="9"/>
  <c r="EG50" i="9"/>
  <c r="HO50" i="9" s="1"/>
  <c r="ED50" i="9"/>
  <c r="DY50" i="9"/>
  <c r="DU50" i="9"/>
  <c r="DV50" i="9" s="1"/>
  <c r="DR50" i="9"/>
  <c r="DN50" i="9"/>
  <c r="DJ50" i="9"/>
  <c r="DF50" i="9"/>
  <c r="DB50" i="9"/>
  <c r="CX50" i="9"/>
  <c r="CT50" i="9"/>
  <c r="CP50" i="9"/>
  <c r="CL50" i="9"/>
  <c r="CG50" i="9"/>
  <c r="CH50" i="9" s="1"/>
  <c r="CC50" i="9"/>
  <c r="CD50" i="9" s="1"/>
  <c r="BZ50" i="9"/>
  <c r="BV50" i="9"/>
  <c r="BR50" i="9"/>
  <c r="BN50" i="9"/>
  <c r="BJ50" i="9"/>
  <c r="BF50" i="9"/>
  <c r="BB50" i="9"/>
  <c r="AX50" i="9"/>
  <c r="AS50" i="9"/>
  <c r="AT50" i="9" s="1"/>
  <c r="AO50" i="9"/>
  <c r="AL50" i="9"/>
  <c r="AH50" i="9"/>
  <c r="AD50" i="9"/>
  <c r="Z50" i="9"/>
  <c r="V50" i="9"/>
  <c r="R50" i="9"/>
  <c r="N50" i="9"/>
  <c r="J50" i="9"/>
  <c r="F50" i="9"/>
  <c r="HU49" i="9"/>
  <c r="HT49" i="9"/>
  <c r="HN49" i="9"/>
  <c r="HJ49" i="9"/>
  <c r="HI49" i="9"/>
  <c r="HF49" i="9"/>
  <c r="HE49" i="9"/>
  <c r="HA49" i="9"/>
  <c r="GV49" i="9"/>
  <c r="GT49" i="9"/>
  <c r="GP49" i="9"/>
  <c r="GL49" i="9"/>
  <c r="GH49" i="9"/>
  <c r="GD49" i="9"/>
  <c r="FF49" i="9"/>
  <c r="FA49" i="9"/>
  <c r="EX49" i="9"/>
  <c r="ET49" i="9"/>
  <c r="EO49" i="9"/>
  <c r="EL49" i="9"/>
  <c r="EH49" i="9"/>
  <c r="ED49" i="9"/>
  <c r="DZ49" i="9"/>
  <c r="DV49" i="9"/>
  <c r="DR49" i="9"/>
  <c r="DN49" i="9"/>
  <c r="DI49" i="9"/>
  <c r="DJ49" i="9" s="1"/>
  <c r="DF49" i="9"/>
  <c r="DB49" i="9"/>
  <c r="CW49" i="9"/>
  <c r="CX49" i="9" s="1"/>
  <c r="CT49" i="9"/>
  <c r="CP49" i="9"/>
  <c r="CL49" i="9"/>
  <c r="CH49" i="9"/>
  <c r="CD49" i="9"/>
  <c r="BZ49" i="9"/>
  <c r="BV49" i="9"/>
  <c r="BR49" i="9"/>
  <c r="BN49" i="9"/>
  <c r="BJ49" i="9"/>
  <c r="BF49" i="9"/>
  <c r="BB49" i="9"/>
  <c r="AX49" i="9"/>
  <c r="AT49" i="9"/>
  <c r="AP49" i="9"/>
  <c r="AL49" i="9"/>
  <c r="AH49" i="9"/>
  <c r="AD49" i="9"/>
  <c r="Z49" i="9"/>
  <c r="V49" i="9"/>
  <c r="R49" i="9"/>
  <c r="N49" i="9"/>
  <c r="J49" i="9"/>
  <c r="F49" i="9"/>
  <c r="HT48" i="9"/>
  <c r="HN48" i="9"/>
  <c r="HJ48" i="9"/>
  <c r="HI48" i="9"/>
  <c r="HE48" i="9"/>
  <c r="HA48" i="9"/>
  <c r="GV48" i="9"/>
  <c r="GT48" i="9"/>
  <c r="GP48" i="9"/>
  <c r="GL48" i="9"/>
  <c r="GH48" i="9"/>
  <c r="GD48" i="9"/>
  <c r="FZ48" i="9"/>
  <c r="FV48" i="9"/>
  <c r="FR48" i="9"/>
  <c r="FN48" i="9"/>
  <c r="FJ48" i="9"/>
  <c r="FF48" i="9"/>
  <c r="FA48" i="9"/>
  <c r="FB48" i="9" s="1"/>
  <c r="EX48" i="9"/>
  <c r="ES48" i="9"/>
  <c r="ET48" i="9" s="1"/>
  <c r="EO48" i="9"/>
  <c r="EP48" i="9" s="1"/>
  <c r="EL48" i="9"/>
  <c r="EG48" i="9"/>
  <c r="ED48" i="9"/>
  <c r="DY48" i="9"/>
  <c r="DZ48" i="9" s="1"/>
  <c r="DU48" i="9"/>
  <c r="DR48" i="9"/>
  <c r="DM48" i="9"/>
  <c r="DJ48" i="9"/>
  <c r="DF48" i="9"/>
  <c r="DB48" i="9"/>
  <c r="CX48" i="9"/>
  <c r="CS48" i="9"/>
  <c r="CT48" i="9" s="1"/>
  <c r="CP48" i="9"/>
  <c r="CL48" i="9"/>
  <c r="CH48" i="9"/>
  <c r="CD48" i="9"/>
  <c r="BZ48" i="9"/>
  <c r="BV48" i="9"/>
  <c r="BR48" i="9"/>
  <c r="BN48" i="9"/>
  <c r="BJ48" i="9"/>
  <c r="BF48" i="9"/>
  <c r="BB48" i="9"/>
  <c r="AX48" i="9"/>
  <c r="AT48" i="9"/>
  <c r="AP48" i="9"/>
  <c r="AL48" i="9"/>
  <c r="AH48" i="9"/>
  <c r="AD48" i="9"/>
  <c r="Z48" i="9"/>
  <c r="V48" i="9"/>
  <c r="R48" i="9"/>
  <c r="N48" i="9"/>
  <c r="J48" i="9"/>
  <c r="F48" i="9"/>
  <c r="HT47" i="9"/>
  <c r="HN47" i="9"/>
  <c r="HJ47" i="9"/>
  <c r="HI47" i="9"/>
  <c r="HE47" i="9"/>
  <c r="HA47" i="9"/>
  <c r="GV47" i="9"/>
  <c r="GT47" i="9"/>
  <c r="GP47" i="9"/>
  <c r="GL47" i="9"/>
  <c r="GH47" i="9"/>
  <c r="GD47" i="9"/>
  <c r="FZ47" i="9"/>
  <c r="FU47" i="9"/>
  <c r="FR47" i="9"/>
  <c r="FN47" i="9"/>
  <c r="FI47" i="9"/>
  <c r="FJ47" i="9" s="1"/>
  <c r="FF47" i="9"/>
  <c r="FA47" i="9"/>
  <c r="FB47" i="9" s="1"/>
  <c r="EX47" i="9"/>
  <c r="ES47" i="9"/>
  <c r="ET47" i="9" s="1"/>
  <c r="EO47" i="9"/>
  <c r="EP47" i="9" s="1"/>
  <c r="EL47" i="9"/>
  <c r="EG47" i="9"/>
  <c r="EH47" i="9" s="1"/>
  <c r="ED47" i="9"/>
  <c r="DY47" i="9"/>
  <c r="DZ47" i="9" s="1"/>
  <c r="DU47" i="9"/>
  <c r="DV47" i="9" s="1"/>
  <c r="DR47" i="9"/>
  <c r="DN47" i="9"/>
  <c r="DJ47" i="9"/>
  <c r="DF47" i="9"/>
  <c r="DB47" i="9"/>
  <c r="CX47" i="9"/>
  <c r="CS47" i="9"/>
  <c r="CT47" i="9" s="1"/>
  <c r="CP47" i="9"/>
  <c r="CL47" i="9"/>
  <c r="CH47" i="9"/>
  <c r="CD47" i="9"/>
  <c r="BZ47" i="9"/>
  <c r="BV47" i="9"/>
  <c r="BR47" i="9"/>
  <c r="BN47" i="9"/>
  <c r="BJ47" i="9"/>
  <c r="BF47" i="9"/>
  <c r="BB47" i="9"/>
  <c r="AX47" i="9"/>
  <c r="AT47" i="9"/>
  <c r="AP47" i="9"/>
  <c r="AL47" i="9"/>
  <c r="AH47" i="9"/>
  <c r="AD47" i="9"/>
  <c r="Z47" i="9"/>
  <c r="V47" i="9"/>
  <c r="R47" i="9"/>
  <c r="N47" i="9"/>
  <c r="J47" i="9"/>
  <c r="F47" i="9"/>
  <c r="HU46" i="9"/>
  <c r="HX46" i="9" s="1"/>
  <c r="HN46" i="9"/>
  <c r="HJ46" i="9"/>
  <c r="HI46" i="9"/>
  <c r="HE46" i="9"/>
  <c r="HA46" i="9"/>
  <c r="GT46" i="9"/>
  <c r="GP46" i="9"/>
  <c r="GL46" i="9"/>
  <c r="GH46" i="9"/>
  <c r="GD46" i="9"/>
  <c r="FB46" i="9"/>
  <c r="FD46" i="9" s="1"/>
  <c r="EX46" i="9"/>
  <c r="ET46" i="9"/>
  <c r="EP46" i="9"/>
  <c r="EL46" i="9"/>
  <c r="EG46" i="9"/>
  <c r="EH46" i="9" s="1"/>
  <c r="ED46" i="9"/>
  <c r="DY46" i="9"/>
  <c r="DZ46" i="9" s="1"/>
  <c r="DU46" i="9"/>
  <c r="DV46" i="9" s="1"/>
  <c r="DR46" i="9"/>
  <c r="DN46" i="9"/>
  <c r="DJ46" i="9"/>
  <c r="DF46" i="9"/>
  <c r="DB46" i="9"/>
  <c r="CX46" i="9"/>
  <c r="CT46" i="9"/>
  <c r="CP46" i="9"/>
  <c r="CL46" i="9"/>
  <c r="CH46" i="9"/>
  <c r="CD46" i="9"/>
  <c r="BZ46" i="9"/>
  <c r="BU46" i="9"/>
  <c r="HO46" i="9" s="1"/>
  <c r="BR46" i="9"/>
  <c r="BM46" i="9"/>
  <c r="BI46" i="9"/>
  <c r="BJ46" i="9" s="1"/>
  <c r="BF46" i="9"/>
  <c r="BB46" i="9"/>
  <c r="AX46" i="9"/>
  <c r="AT46" i="9"/>
  <c r="AP46" i="9"/>
  <c r="AL46" i="9"/>
  <c r="AH46" i="9"/>
  <c r="AD46" i="9"/>
  <c r="Z46" i="9"/>
  <c r="V46" i="9"/>
  <c r="R46" i="9"/>
  <c r="N46" i="9"/>
  <c r="J46" i="9"/>
  <c r="F46" i="9"/>
  <c r="HT45" i="9"/>
  <c r="HN45" i="9"/>
  <c r="HI45" i="9"/>
  <c r="HE45" i="9"/>
  <c r="HA45" i="9"/>
  <c r="GV45" i="9"/>
  <c r="FF45" i="9"/>
  <c r="FA45" i="9"/>
  <c r="FB45" i="9" s="1"/>
  <c r="EX45" i="9"/>
  <c r="ES45" i="9"/>
  <c r="ET45" i="9" s="1"/>
  <c r="EO45" i="9"/>
  <c r="EP45" i="9" s="1"/>
  <c r="EL45" i="9"/>
  <c r="EH45" i="9"/>
  <c r="ED45" i="9"/>
  <c r="DZ45" i="9"/>
  <c r="DV45" i="9"/>
  <c r="DR45" i="9"/>
  <c r="DN45" i="9"/>
  <c r="DJ45" i="9"/>
  <c r="DF45" i="9"/>
  <c r="DB45" i="9"/>
  <c r="CX45" i="9"/>
  <c r="CS45" i="9"/>
  <c r="CO45" i="9"/>
  <c r="CP45" i="9" s="1"/>
  <c r="CK45" i="9"/>
  <c r="CL45" i="9" s="1"/>
  <c r="CG45" i="9"/>
  <c r="CH45" i="9" s="1"/>
  <c r="CC45" i="9"/>
  <c r="BZ45" i="9"/>
  <c r="BV45" i="9"/>
  <c r="BR45" i="9"/>
  <c r="BN45" i="9"/>
  <c r="BJ45" i="9"/>
  <c r="BF45" i="9"/>
  <c r="BB45" i="9"/>
  <c r="AX45" i="9"/>
  <c r="AT45" i="9"/>
  <c r="AP45" i="9"/>
  <c r="AK45" i="9"/>
  <c r="AG45" i="9"/>
  <c r="AC45" i="9"/>
  <c r="Z45" i="9"/>
  <c r="V45" i="9"/>
  <c r="R45" i="9"/>
  <c r="N45" i="9"/>
  <c r="J45" i="9"/>
  <c r="F45" i="9"/>
  <c r="HU44" i="9"/>
  <c r="HX44" i="9" s="1"/>
  <c r="HN44" i="9"/>
  <c r="HI44" i="9"/>
  <c r="HF44" i="9"/>
  <c r="HE44" i="9"/>
  <c r="HA44" i="9"/>
  <c r="FZ44" i="9"/>
  <c r="FU44" i="9"/>
  <c r="FV44" i="9" s="1"/>
  <c r="FR44" i="9"/>
  <c r="FN44" i="9"/>
  <c r="FI44" i="9"/>
  <c r="FJ44" i="9" s="1"/>
  <c r="FB44" i="9"/>
  <c r="FD44" i="9" s="1"/>
  <c r="EX44" i="9"/>
  <c r="ET44" i="9"/>
  <c r="EP44" i="9"/>
  <c r="EL44" i="9"/>
  <c r="EH44" i="9"/>
  <c r="ED44" i="9"/>
  <c r="DZ44" i="9"/>
  <c r="DV44" i="9"/>
  <c r="DR44" i="9"/>
  <c r="DN44" i="9"/>
  <c r="DI44" i="9"/>
  <c r="DJ44" i="9" s="1"/>
  <c r="DF44" i="9"/>
  <c r="DB44" i="9"/>
  <c r="CW44" i="9"/>
  <c r="CX44" i="9" s="1"/>
  <c r="CT44" i="9"/>
  <c r="CP44" i="9"/>
  <c r="CL44" i="9"/>
  <c r="CH44" i="9"/>
  <c r="CD44" i="9"/>
  <c r="BZ44" i="9"/>
  <c r="BV44" i="9"/>
  <c r="BR44" i="9"/>
  <c r="BN44" i="9"/>
  <c r="BJ44" i="9"/>
  <c r="BF44" i="9"/>
  <c r="BA44" i="9"/>
  <c r="AX44" i="9"/>
  <c r="AT44" i="9"/>
  <c r="AO44" i="9"/>
  <c r="AP44" i="9" s="1"/>
  <c r="AL44" i="9"/>
  <c r="AH44" i="9"/>
  <c r="AD44" i="9"/>
  <c r="Z44" i="9"/>
  <c r="U44" i="9"/>
  <c r="U71" i="9" s="1"/>
  <c r="R44" i="9"/>
  <c r="M44" i="9"/>
  <c r="N44" i="9" s="1"/>
  <c r="I44" i="9"/>
  <c r="F44" i="9"/>
  <c r="HU43" i="9"/>
  <c r="HT43" i="9"/>
  <c r="HN43" i="9"/>
  <c r="HJ43" i="9"/>
  <c r="HI43" i="9"/>
  <c r="HF43" i="9"/>
  <c r="HE43" i="9"/>
  <c r="HA43" i="9"/>
  <c r="GV43" i="9"/>
  <c r="GT43" i="9"/>
  <c r="GP43" i="9"/>
  <c r="GL43" i="9"/>
  <c r="GH43" i="9"/>
  <c r="GD43" i="9"/>
  <c r="FF43" i="9"/>
  <c r="FB43" i="9"/>
  <c r="EX43" i="9"/>
  <c r="ET43" i="9"/>
  <c r="EO43" i="9"/>
  <c r="EP43" i="9" s="1"/>
  <c r="EL43" i="9"/>
  <c r="EH43" i="9"/>
  <c r="ED43" i="9"/>
  <c r="DZ43" i="9"/>
  <c r="DV43" i="9"/>
  <c r="DR43" i="9"/>
  <c r="DN43" i="9"/>
  <c r="DI43" i="9"/>
  <c r="HO43" i="9" s="1"/>
  <c r="DF43" i="9"/>
  <c r="DB43" i="9"/>
  <c r="CW43" i="9"/>
  <c r="CX43" i="9" s="1"/>
  <c r="CT43" i="9"/>
  <c r="CP43" i="9"/>
  <c r="CL43" i="9"/>
  <c r="CH43" i="9"/>
  <c r="CD43" i="9"/>
  <c r="BZ43" i="9"/>
  <c r="BV43" i="9"/>
  <c r="BR43" i="9"/>
  <c r="BN43" i="9"/>
  <c r="BJ43" i="9"/>
  <c r="BF43" i="9"/>
  <c r="BB43" i="9"/>
  <c r="AX43" i="9"/>
  <c r="AT43" i="9"/>
  <c r="AP43" i="9"/>
  <c r="AL43" i="9"/>
  <c r="AH43" i="9"/>
  <c r="AD43" i="9"/>
  <c r="Z43" i="9"/>
  <c r="V43" i="9"/>
  <c r="R43" i="9"/>
  <c r="N43" i="9"/>
  <c r="J43" i="9"/>
  <c r="F43" i="9"/>
  <c r="HT42" i="9"/>
  <c r="HN42" i="9"/>
  <c r="HI42" i="9"/>
  <c r="HE42" i="9"/>
  <c r="HA42" i="9"/>
  <c r="GV42" i="9"/>
  <c r="GT42" i="9"/>
  <c r="GP42" i="9"/>
  <c r="GL42" i="9"/>
  <c r="GH42" i="9"/>
  <c r="GD42" i="9"/>
  <c r="FZ42" i="9"/>
  <c r="FV42" i="9"/>
  <c r="FR42" i="9"/>
  <c r="FN42" i="9"/>
  <c r="FJ42" i="9"/>
  <c r="FF42" i="9"/>
  <c r="FA42" i="9"/>
  <c r="FB42" i="9" s="1"/>
  <c r="EX42" i="9"/>
  <c r="ET42" i="9"/>
  <c r="EO42" i="9"/>
  <c r="EP42" i="9" s="1"/>
  <c r="EL42" i="9"/>
  <c r="EG42" i="9"/>
  <c r="EH42" i="9" s="1"/>
  <c r="ED42" i="9"/>
  <c r="DZ42" i="9"/>
  <c r="DU42" i="9"/>
  <c r="DR42" i="9"/>
  <c r="DM42" i="9"/>
  <c r="DN42" i="9" s="1"/>
  <c r="DI42" i="9"/>
  <c r="DJ42" i="9" s="1"/>
  <c r="DE42" i="9"/>
  <c r="HJ42" i="9" s="1"/>
  <c r="DA42" i="9"/>
  <c r="HF42" i="9" s="1"/>
  <c r="CX42" i="9"/>
  <c r="CS42" i="9"/>
  <c r="CP42" i="9"/>
  <c r="CL42" i="9"/>
  <c r="CH42" i="9"/>
  <c r="CD42" i="9"/>
  <c r="BZ42" i="9"/>
  <c r="BV42" i="9"/>
  <c r="BR42" i="9"/>
  <c r="BN42" i="9"/>
  <c r="BJ42" i="9"/>
  <c r="BF42" i="9"/>
  <c r="BB42" i="9"/>
  <c r="AX42" i="9"/>
  <c r="AT42" i="9"/>
  <c r="AP42" i="9"/>
  <c r="AL42" i="9"/>
  <c r="AH42" i="9"/>
  <c r="AD42" i="9"/>
  <c r="Z42" i="9"/>
  <c r="V42" i="9"/>
  <c r="R42" i="9"/>
  <c r="N42" i="9"/>
  <c r="J42" i="9"/>
  <c r="F42" i="9"/>
  <c r="HT41" i="9"/>
  <c r="HN41" i="9"/>
  <c r="HJ41" i="9"/>
  <c r="HI41" i="9"/>
  <c r="HE41" i="9"/>
  <c r="HA41" i="9"/>
  <c r="GV41" i="9"/>
  <c r="GT41" i="9"/>
  <c r="GP41" i="9"/>
  <c r="GL41" i="9"/>
  <c r="GH41" i="9"/>
  <c r="GD41" i="9"/>
  <c r="FZ41" i="9"/>
  <c r="FV41" i="9"/>
  <c r="FR41" i="9"/>
  <c r="FN41" i="9"/>
  <c r="FI41" i="9"/>
  <c r="FJ41" i="9" s="1"/>
  <c r="FF41" i="9"/>
  <c r="FA41" i="9"/>
  <c r="FB41" i="9" s="1"/>
  <c r="EX41" i="9"/>
  <c r="ET41" i="9"/>
  <c r="EO41" i="9"/>
  <c r="EP41" i="9" s="1"/>
  <c r="EL41" i="9"/>
  <c r="EG41" i="9"/>
  <c r="EH41" i="9" s="1"/>
  <c r="ED41" i="9"/>
  <c r="DZ41" i="9"/>
  <c r="DU41" i="9"/>
  <c r="DV41" i="9" s="1"/>
  <c r="DR41" i="9"/>
  <c r="DM41" i="9"/>
  <c r="DN41" i="9" s="1"/>
  <c r="DI41" i="9"/>
  <c r="DF41" i="9"/>
  <c r="DA41" i="9"/>
  <c r="DB41" i="9" s="1"/>
  <c r="CX41" i="9"/>
  <c r="CS41" i="9"/>
  <c r="CP41" i="9"/>
  <c r="CL41" i="9"/>
  <c r="CG41" i="9"/>
  <c r="CH41" i="9" s="1"/>
  <c r="CD41" i="9"/>
  <c r="BZ41" i="9"/>
  <c r="BV41" i="9"/>
  <c r="BR41" i="9"/>
  <c r="BN41" i="9"/>
  <c r="BJ41" i="9"/>
  <c r="BF41" i="9"/>
  <c r="BB41" i="9"/>
  <c r="AX41" i="9"/>
  <c r="AS41" i="9"/>
  <c r="AT41" i="9" s="1"/>
  <c r="AP41" i="9"/>
  <c r="AL41" i="9"/>
  <c r="AH41" i="9"/>
  <c r="AD41" i="9"/>
  <c r="Z41" i="9"/>
  <c r="V41" i="9"/>
  <c r="R41" i="9"/>
  <c r="N41" i="9"/>
  <c r="J41" i="9"/>
  <c r="F41" i="9"/>
  <c r="HU40" i="9"/>
  <c r="HX40" i="9" s="1"/>
  <c r="HT40" i="9"/>
  <c r="HN40" i="9"/>
  <c r="HI40" i="9"/>
  <c r="HE40" i="9"/>
  <c r="HA40" i="9"/>
  <c r="GV40" i="9"/>
  <c r="GT40" i="9"/>
  <c r="GP40" i="9"/>
  <c r="GL40" i="9"/>
  <c r="GH40" i="9"/>
  <c r="GD40" i="9"/>
  <c r="FZ40" i="9"/>
  <c r="FV40" i="9"/>
  <c r="FR40" i="9"/>
  <c r="FN40" i="9"/>
  <c r="FI40" i="9"/>
  <c r="FJ40" i="9" s="1"/>
  <c r="FF40" i="9"/>
  <c r="FA40" i="9"/>
  <c r="FB40" i="9" s="1"/>
  <c r="EW40" i="9"/>
  <c r="EX40" i="9" s="1"/>
  <c r="ES40" i="9"/>
  <c r="ET40" i="9" s="1"/>
  <c r="EO40" i="9"/>
  <c r="EP40" i="9" s="1"/>
  <c r="EL40" i="9"/>
  <c r="EG40" i="9"/>
  <c r="EH40" i="9" s="1"/>
  <c r="ED40" i="9"/>
  <c r="DZ40" i="9"/>
  <c r="DU40" i="9"/>
  <c r="DV40" i="9" s="1"/>
  <c r="DR40" i="9"/>
  <c r="DN40" i="9"/>
  <c r="DI40" i="9"/>
  <c r="HO40" i="9" s="1"/>
  <c r="DE40" i="9"/>
  <c r="DA40" i="9"/>
  <c r="CX40" i="9"/>
  <c r="CT40" i="9"/>
  <c r="CP40" i="9"/>
  <c r="CL40" i="9"/>
  <c r="CH40" i="9"/>
  <c r="CD40" i="9"/>
  <c r="BZ40" i="9"/>
  <c r="BV40" i="9"/>
  <c r="BR40" i="9"/>
  <c r="BN40" i="9"/>
  <c r="BJ40" i="9"/>
  <c r="BF40" i="9"/>
  <c r="BB40" i="9"/>
  <c r="AX40" i="9"/>
  <c r="AT40" i="9"/>
  <c r="AP40" i="9"/>
  <c r="AL40" i="9"/>
  <c r="AH40" i="9"/>
  <c r="AD40" i="9"/>
  <c r="Z40" i="9"/>
  <c r="V40" i="9"/>
  <c r="R40" i="9"/>
  <c r="N40" i="9"/>
  <c r="J40" i="9"/>
  <c r="F40" i="9"/>
  <c r="HT39" i="9"/>
  <c r="HN39" i="9"/>
  <c r="HJ39" i="9"/>
  <c r="HI39" i="9"/>
  <c r="HE39" i="9"/>
  <c r="HA39" i="9"/>
  <c r="GV39" i="9"/>
  <c r="GT39" i="9"/>
  <c r="GP39" i="9"/>
  <c r="GL39" i="9"/>
  <c r="GH39" i="9"/>
  <c r="GD39" i="9"/>
  <c r="FZ39" i="9"/>
  <c r="FU39" i="9"/>
  <c r="FV39" i="9" s="1"/>
  <c r="FR39" i="9"/>
  <c r="FN39" i="9"/>
  <c r="FI39" i="9"/>
  <c r="FJ39" i="9" s="1"/>
  <c r="FF39" i="9"/>
  <c r="FA39" i="9"/>
  <c r="FB39" i="9" s="1"/>
  <c r="EX39" i="9"/>
  <c r="ES39" i="9"/>
  <c r="ET39" i="9" s="1"/>
  <c r="EO39" i="9"/>
  <c r="EP39" i="9" s="1"/>
  <c r="EL39" i="9"/>
  <c r="EG39" i="9"/>
  <c r="EH39" i="9" s="1"/>
  <c r="ED39" i="9"/>
  <c r="DZ39" i="9"/>
  <c r="DU39" i="9"/>
  <c r="DV39" i="9" s="1"/>
  <c r="DR39" i="9"/>
  <c r="DM39" i="9"/>
  <c r="DI39" i="9"/>
  <c r="DJ39" i="9" s="1"/>
  <c r="DF39" i="9"/>
  <c r="DA39" i="9"/>
  <c r="CW39" i="9"/>
  <c r="CX39" i="9" s="1"/>
  <c r="CT39" i="9"/>
  <c r="CP39" i="9"/>
  <c r="CL39" i="9"/>
  <c r="CH39" i="9"/>
  <c r="CC39" i="9"/>
  <c r="BZ39" i="9"/>
  <c r="BU39" i="9"/>
  <c r="BR39" i="9"/>
  <c r="BN39" i="9"/>
  <c r="BJ39" i="9"/>
  <c r="BF39" i="9"/>
  <c r="BB39" i="9"/>
  <c r="AX39" i="9"/>
  <c r="AT39" i="9"/>
  <c r="AP39" i="9"/>
  <c r="AL39" i="9"/>
  <c r="AH39" i="9"/>
  <c r="AD39" i="9"/>
  <c r="Z39" i="9"/>
  <c r="V39" i="9"/>
  <c r="R39" i="9"/>
  <c r="N39" i="9"/>
  <c r="J39" i="9"/>
  <c r="F39" i="9"/>
  <c r="HT38" i="9"/>
  <c r="HN38" i="9"/>
  <c r="HJ38" i="9"/>
  <c r="HI38" i="9"/>
  <c r="HK38" i="9" s="1"/>
  <c r="HE38" i="9"/>
  <c r="HA38" i="9"/>
  <c r="GV38" i="9"/>
  <c r="GT38" i="9"/>
  <c r="GP38" i="9"/>
  <c r="GL38" i="9"/>
  <c r="GH38" i="9"/>
  <c r="GD38" i="9"/>
  <c r="FZ38" i="9"/>
  <c r="FU38" i="9"/>
  <c r="FV38" i="9" s="1"/>
  <c r="FR38" i="9"/>
  <c r="FN38" i="9"/>
  <c r="FI38" i="9"/>
  <c r="FJ38" i="9" s="1"/>
  <c r="FF38" i="9"/>
  <c r="FA38" i="9"/>
  <c r="FB38" i="9" s="1"/>
  <c r="EX38" i="9"/>
  <c r="ES38" i="9"/>
  <c r="ET38" i="9" s="1"/>
  <c r="EO38" i="9"/>
  <c r="EP38" i="9" s="1"/>
  <c r="EL38" i="9"/>
  <c r="EG38" i="9"/>
  <c r="ED38" i="9"/>
  <c r="DZ38" i="9"/>
  <c r="DU38" i="9"/>
  <c r="DR38" i="9"/>
  <c r="DM38" i="9"/>
  <c r="DN38" i="9" s="1"/>
  <c r="DI38" i="9"/>
  <c r="DJ38" i="9" s="1"/>
  <c r="DF38" i="9"/>
  <c r="DA38" i="9"/>
  <c r="HF38" i="9" s="1"/>
  <c r="HG38" i="9" s="1"/>
  <c r="CX38" i="9"/>
  <c r="CS38" i="9"/>
  <c r="CP38" i="9"/>
  <c r="CL38" i="9"/>
  <c r="CH38" i="9"/>
  <c r="CD38" i="9"/>
  <c r="BZ38" i="9"/>
  <c r="BV38" i="9"/>
  <c r="BR38" i="9"/>
  <c r="BN38" i="9"/>
  <c r="BJ38" i="9"/>
  <c r="BF38" i="9"/>
  <c r="BB38" i="9"/>
  <c r="AX38" i="9"/>
  <c r="AT38" i="9"/>
  <c r="AP38" i="9"/>
  <c r="AL38" i="9"/>
  <c r="AH38" i="9"/>
  <c r="AD38" i="9"/>
  <c r="Z38" i="9"/>
  <c r="V38" i="9"/>
  <c r="R38" i="9"/>
  <c r="N38" i="9"/>
  <c r="J38" i="9"/>
  <c r="F38" i="9"/>
  <c r="HT37" i="9"/>
  <c r="HN37" i="9"/>
  <c r="HJ37" i="9"/>
  <c r="HI37" i="9"/>
  <c r="HE37" i="9"/>
  <c r="HA37" i="9"/>
  <c r="GV37" i="9"/>
  <c r="GT37" i="9"/>
  <c r="GP37" i="9"/>
  <c r="GL37" i="9"/>
  <c r="GH37" i="9"/>
  <c r="GD37" i="9"/>
  <c r="FZ37" i="9"/>
  <c r="FV37" i="9"/>
  <c r="FR37" i="9"/>
  <c r="FN37" i="9"/>
  <c r="FI37" i="9"/>
  <c r="FJ37" i="9" s="1"/>
  <c r="FF37" i="9"/>
  <c r="FB37" i="9"/>
  <c r="EX37" i="9"/>
  <c r="ES37" i="9"/>
  <c r="HF37" i="9" s="1"/>
  <c r="EO37" i="9"/>
  <c r="EL37" i="9"/>
  <c r="EG37" i="9"/>
  <c r="EH37" i="9" s="1"/>
  <c r="ED37" i="9"/>
  <c r="DZ37" i="9"/>
  <c r="DU37" i="9"/>
  <c r="DV37" i="9" s="1"/>
  <c r="DR37" i="9"/>
  <c r="DM37" i="9"/>
  <c r="DN37" i="9" s="1"/>
  <c r="DI37" i="9"/>
  <c r="DF37" i="9"/>
  <c r="DB37" i="9"/>
  <c r="CX37" i="9"/>
  <c r="CS37" i="9"/>
  <c r="CT37" i="9" s="1"/>
  <c r="CP37" i="9"/>
  <c r="CL37" i="9"/>
  <c r="CH37" i="9"/>
  <c r="CD37" i="9"/>
  <c r="BY37" i="9"/>
  <c r="BZ37" i="9" s="1"/>
  <c r="BV37" i="9"/>
  <c r="BR37" i="9"/>
  <c r="BN37" i="9"/>
  <c r="BJ37" i="9"/>
  <c r="BF37" i="9"/>
  <c r="BB37" i="9"/>
  <c r="AX37" i="9"/>
  <c r="AT37" i="9"/>
  <c r="AP37" i="9"/>
  <c r="AL37" i="9"/>
  <c r="AH37" i="9"/>
  <c r="AD37" i="9"/>
  <c r="Z37" i="9"/>
  <c r="V37" i="9"/>
  <c r="R37" i="9"/>
  <c r="N37" i="9"/>
  <c r="J37" i="9"/>
  <c r="F37" i="9"/>
  <c r="HN36" i="9"/>
  <c r="HJ36" i="9"/>
  <c r="HI36" i="9"/>
  <c r="HE36" i="9"/>
  <c r="HA36" i="9"/>
  <c r="FZ36" i="9"/>
  <c r="FV36" i="9"/>
  <c r="FR36" i="9"/>
  <c r="FM36" i="9"/>
  <c r="FI36" i="9"/>
  <c r="FJ36" i="9" s="1"/>
  <c r="FB36" i="9"/>
  <c r="FD36" i="9" s="1"/>
  <c r="EX36" i="9"/>
  <c r="ET36" i="9"/>
  <c r="EP36" i="9"/>
  <c r="EK36" i="9"/>
  <c r="EL36" i="9" s="1"/>
  <c r="EG36" i="9"/>
  <c r="ED36" i="9"/>
  <c r="DY36" i="9"/>
  <c r="DZ36" i="9" s="1"/>
  <c r="DU36" i="9"/>
  <c r="DV36" i="9" s="1"/>
  <c r="DR36" i="9"/>
  <c r="DN36" i="9"/>
  <c r="DJ36" i="9"/>
  <c r="DF36" i="9"/>
  <c r="DB36" i="9"/>
  <c r="CX36" i="9"/>
  <c r="CS36" i="9"/>
  <c r="CO36" i="9"/>
  <c r="CP36" i="9" s="1"/>
  <c r="CL36" i="9"/>
  <c r="CH36" i="9"/>
  <c r="CC36" i="9"/>
  <c r="CD36" i="9" s="1"/>
  <c r="BZ36" i="9"/>
  <c r="BV36" i="9"/>
  <c r="BR36" i="9"/>
  <c r="BN36" i="9"/>
  <c r="BJ36" i="9"/>
  <c r="BF36" i="9"/>
  <c r="BB36" i="9"/>
  <c r="AX36" i="9"/>
  <c r="AT36" i="9"/>
  <c r="AP36" i="9"/>
  <c r="AL36" i="9"/>
  <c r="AH36" i="9"/>
  <c r="AD36" i="9"/>
  <c r="Z36" i="9"/>
  <c r="V36" i="9"/>
  <c r="R36" i="9"/>
  <c r="N36" i="9"/>
  <c r="J36" i="9"/>
  <c r="F36" i="9"/>
  <c r="HU35" i="9"/>
  <c r="HX35" i="9" s="1"/>
  <c r="HN35" i="9"/>
  <c r="HJ35" i="9"/>
  <c r="HI35" i="9"/>
  <c r="HF35" i="9"/>
  <c r="HE35" i="9"/>
  <c r="HB35" i="9"/>
  <c r="HA35" i="9"/>
  <c r="FZ35" i="9"/>
  <c r="FU35" i="9"/>
  <c r="FV35" i="9" s="1"/>
  <c r="FR35" i="9"/>
  <c r="FN35" i="9"/>
  <c r="FJ35" i="9"/>
  <c r="FB35" i="9"/>
  <c r="FD35" i="9" s="1"/>
  <c r="EX35" i="9"/>
  <c r="ET35" i="9"/>
  <c r="EP35" i="9"/>
  <c r="EL35" i="9"/>
  <c r="EH35" i="9"/>
  <c r="ED35" i="9"/>
  <c r="DZ35" i="9"/>
  <c r="DV35" i="9"/>
  <c r="DR35" i="9"/>
  <c r="DN35" i="9"/>
  <c r="DI35" i="9"/>
  <c r="DF35" i="9"/>
  <c r="DB35" i="9"/>
  <c r="CX35" i="9"/>
  <c r="CT35" i="9"/>
  <c r="CP35" i="9"/>
  <c r="CL35" i="9"/>
  <c r="CH35" i="9"/>
  <c r="CD35" i="9"/>
  <c r="BZ35" i="9"/>
  <c r="BV35" i="9"/>
  <c r="BR35" i="9"/>
  <c r="BN35" i="9"/>
  <c r="BJ35" i="9"/>
  <c r="BF35" i="9"/>
  <c r="BB35" i="9"/>
  <c r="AX35" i="9"/>
  <c r="AT35" i="9"/>
  <c r="AP35" i="9"/>
  <c r="AL35" i="9"/>
  <c r="AH35" i="9"/>
  <c r="AD35" i="9"/>
  <c r="Z35" i="9"/>
  <c r="V35" i="9"/>
  <c r="R35" i="9"/>
  <c r="N35" i="9"/>
  <c r="J35" i="9"/>
  <c r="F35" i="9"/>
  <c r="HU34" i="9"/>
  <c r="HX34" i="9" s="1"/>
  <c r="HT34" i="9"/>
  <c r="HN34" i="9"/>
  <c r="HI34" i="9"/>
  <c r="HF34" i="9"/>
  <c r="HE34" i="9"/>
  <c r="HA34" i="9"/>
  <c r="GV34" i="9"/>
  <c r="FF34" i="9"/>
  <c r="FA34" i="9"/>
  <c r="EX34" i="9"/>
  <c r="ET34" i="9"/>
  <c r="EO34" i="9"/>
  <c r="EL34" i="9"/>
  <c r="EH34" i="9"/>
  <c r="ED34" i="9"/>
  <c r="DZ34" i="9"/>
  <c r="DV34" i="9"/>
  <c r="DR34" i="9"/>
  <c r="DN34" i="9"/>
  <c r="DJ34" i="9"/>
  <c r="DF34" i="9"/>
  <c r="DB34" i="9"/>
  <c r="CX34" i="9"/>
  <c r="CT34" i="9"/>
  <c r="CP34" i="9"/>
  <c r="CK34" i="9"/>
  <c r="CH34" i="9"/>
  <c r="CC34" i="9"/>
  <c r="CD34" i="9" s="1"/>
  <c r="BZ34" i="9"/>
  <c r="BV34" i="9"/>
  <c r="BR34" i="9"/>
  <c r="BN34" i="9"/>
  <c r="BJ34" i="9"/>
  <c r="BF34" i="9"/>
  <c r="BB34" i="9"/>
  <c r="AX34" i="9"/>
  <c r="AT34" i="9"/>
  <c r="AP34" i="9"/>
  <c r="AL34" i="9"/>
  <c r="AH34" i="9"/>
  <c r="AD34" i="9"/>
  <c r="Z34" i="9"/>
  <c r="V34" i="9"/>
  <c r="R34" i="9"/>
  <c r="N34" i="9"/>
  <c r="J34" i="9"/>
  <c r="F34" i="9"/>
  <c r="HU33" i="9"/>
  <c r="HX33" i="9" s="1"/>
  <c r="HN33" i="9"/>
  <c r="HJ33" i="9"/>
  <c r="HI33" i="9"/>
  <c r="HE33" i="9"/>
  <c r="HA33" i="9"/>
  <c r="FZ33" i="9"/>
  <c r="FV33" i="9"/>
  <c r="FR33" i="9"/>
  <c r="FN33" i="9"/>
  <c r="FJ33" i="9"/>
  <c r="FB33" i="9"/>
  <c r="FD33" i="9" s="1"/>
  <c r="EX33" i="9"/>
  <c r="ET33" i="9"/>
  <c r="EP33" i="9"/>
  <c r="EL33" i="9"/>
  <c r="EH33" i="9"/>
  <c r="ED33" i="9"/>
  <c r="DZ33" i="9"/>
  <c r="DV33" i="9"/>
  <c r="DR33" i="9"/>
  <c r="DN33" i="9"/>
  <c r="DI33" i="9"/>
  <c r="DF33" i="9"/>
  <c r="DA33" i="9"/>
  <c r="HF33" i="9" s="1"/>
  <c r="CW33" i="9"/>
  <c r="CX33" i="9" s="1"/>
  <c r="CT33" i="9"/>
  <c r="CP33" i="9"/>
  <c r="CL33" i="9"/>
  <c r="CH33" i="9"/>
  <c r="CD33" i="9"/>
  <c r="BZ33" i="9"/>
  <c r="BV33" i="9"/>
  <c r="BR33" i="9"/>
  <c r="BN33" i="9"/>
  <c r="BI33" i="9"/>
  <c r="BF33" i="9"/>
  <c r="BB33" i="9"/>
  <c r="AX33" i="9"/>
  <c r="AT33" i="9"/>
  <c r="AP33" i="9"/>
  <c r="AL33" i="9"/>
  <c r="AH33" i="9"/>
  <c r="AD33" i="9"/>
  <c r="Z33" i="9"/>
  <c r="V33" i="9"/>
  <c r="R33" i="9"/>
  <c r="N33" i="9"/>
  <c r="J33" i="9"/>
  <c r="F33" i="9"/>
  <c r="HU32" i="9"/>
  <c r="HX32" i="9" s="1"/>
  <c r="HT32" i="9"/>
  <c r="HN32" i="9"/>
  <c r="HJ32" i="9"/>
  <c r="HI32" i="9"/>
  <c r="HE32" i="9"/>
  <c r="HA32" i="9"/>
  <c r="GV32" i="9"/>
  <c r="FF32" i="9"/>
  <c r="FA32" i="9"/>
  <c r="HO32" i="9" s="1"/>
  <c r="EX32" i="9"/>
  <c r="ET32" i="9"/>
  <c r="EO32" i="9"/>
  <c r="EP32" i="9" s="1"/>
  <c r="EL32" i="9"/>
  <c r="EH32" i="9"/>
  <c r="ED32" i="9"/>
  <c r="DZ32" i="9"/>
  <c r="DV32" i="9"/>
  <c r="DR32" i="9"/>
  <c r="DN32" i="9"/>
  <c r="DJ32" i="9"/>
  <c r="DF32" i="9"/>
  <c r="DB32" i="9"/>
  <c r="CX32" i="9"/>
  <c r="CT32" i="9"/>
  <c r="CP32" i="9"/>
  <c r="CL32" i="9"/>
  <c r="CG32" i="9"/>
  <c r="HF32" i="9" s="1"/>
  <c r="CC32" i="9"/>
  <c r="CD32" i="9" s="1"/>
  <c r="BZ32" i="9"/>
  <c r="BV32" i="9"/>
  <c r="BR32" i="9"/>
  <c r="BN32" i="9"/>
  <c r="BJ32" i="9"/>
  <c r="BF32" i="9"/>
  <c r="BB32" i="9"/>
  <c r="AX32" i="9"/>
  <c r="AT32" i="9"/>
  <c r="AP32" i="9"/>
  <c r="AL32" i="9"/>
  <c r="AH32" i="9"/>
  <c r="AD32" i="9"/>
  <c r="Z32" i="9"/>
  <c r="V32" i="9"/>
  <c r="R32" i="9"/>
  <c r="N32" i="9"/>
  <c r="J32" i="9"/>
  <c r="F32" i="9"/>
  <c r="HU31" i="9"/>
  <c r="HX31" i="9" s="1"/>
  <c r="HN31" i="9"/>
  <c r="HJ31" i="9"/>
  <c r="HI31" i="9"/>
  <c r="HF31" i="9"/>
  <c r="HE31" i="9"/>
  <c r="HA31" i="9"/>
  <c r="GT31" i="9"/>
  <c r="GP31" i="9"/>
  <c r="GL31" i="9"/>
  <c r="GH31" i="9"/>
  <c r="GD31" i="9"/>
  <c r="FB31" i="9"/>
  <c r="FD31" i="9" s="1"/>
  <c r="FF31" i="9" s="1"/>
  <c r="EX31" i="9"/>
  <c r="ET31" i="9"/>
  <c r="EP31" i="9"/>
  <c r="EL31" i="9"/>
  <c r="EG31" i="9"/>
  <c r="ED31" i="9"/>
  <c r="DZ31" i="9"/>
  <c r="DU31" i="9"/>
  <c r="DR31" i="9"/>
  <c r="DN31" i="9"/>
  <c r="DJ31" i="9"/>
  <c r="DF31" i="9"/>
  <c r="DB31" i="9"/>
  <c r="CX31" i="9"/>
  <c r="CT31" i="9"/>
  <c r="CP31" i="9"/>
  <c r="CL31" i="9"/>
  <c r="CH31" i="9"/>
  <c r="CD31" i="9"/>
  <c r="BZ31" i="9"/>
  <c r="BV31" i="9"/>
  <c r="BR31" i="9"/>
  <c r="BN31" i="9"/>
  <c r="BJ31" i="9"/>
  <c r="BF31" i="9"/>
  <c r="BB31" i="9"/>
  <c r="AX31" i="9"/>
  <c r="AT31" i="9"/>
  <c r="AP31" i="9"/>
  <c r="AL31" i="9"/>
  <c r="AH31" i="9"/>
  <c r="AD31" i="9"/>
  <c r="Z31" i="9"/>
  <c r="V31" i="9"/>
  <c r="R31" i="9"/>
  <c r="N31" i="9"/>
  <c r="J31" i="9"/>
  <c r="F31" i="9"/>
  <c r="HN30" i="9"/>
  <c r="HJ30" i="9"/>
  <c r="HI30" i="9"/>
  <c r="HE30" i="9"/>
  <c r="HA30" i="9"/>
  <c r="FZ30" i="9"/>
  <c r="FV30" i="9"/>
  <c r="FR30" i="9"/>
  <c r="FN30" i="9"/>
  <c r="FI30" i="9"/>
  <c r="FJ30" i="9" s="1"/>
  <c r="FB30" i="9"/>
  <c r="FD30" i="9" s="1"/>
  <c r="EX30" i="9"/>
  <c r="ET30" i="9"/>
  <c r="EP30" i="9"/>
  <c r="EK30" i="9"/>
  <c r="EL30" i="9" s="1"/>
  <c r="EG30" i="9"/>
  <c r="EH30" i="9" s="1"/>
  <c r="ED30" i="9"/>
  <c r="DY30" i="9"/>
  <c r="HF30" i="9" s="1"/>
  <c r="DU30" i="9"/>
  <c r="DV30" i="9" s="1"/>
  <c r="DR30" i="9"/>
  <c r="DN30" i="9"/>
  <c r="DJ30" i="9"/>
  <c r="DF30" i="9"/>
  <c r="DB30" i="9"/>
  <c r="CX30" i="9"/>
  <c r="CT30" i="9"/>
  <c r="CO30" i="9"/>
  <c r="CP30" i="9" s="1"/>
  <c r="CL30" i="9"/>
  <c r="CH30" i="9"/>
  <c r="CC30" i="9"/>
  <c r="CD30" i="9" s="1"/>
  <c r="BZ30" i="9"/>
  <c r="BV30" i="9"/>
  <c r="BR30" i="9"/>
  <c r="BN30" i="9"/>
  <c r="BJ30" i="9"/>
  <c r="BF30" i="9"/>
  <c r="BB30" i="9"/>
  <c r="AX30" i="9"/>
  <c r="AT30" i="9"/>
  <c r="AP30" i="9"/>
  <c r="AL30" i="9"/>
  <c r="AH30" i="9"/>
  <c r="AD30" i="9"/>
  <c r="Z30" i="9"/>
  <c r="V30" i="9"/>
  <c r="R30" i="9"/>
  <c r="N30" i="9"/>
  <c r="J30" i="9"/>
  <c r="F30" i="9"/>
  <c r="HU29" i="9"/>
  <c r="HT29" i="9"/>
  <c r="HN29" i="9"/>
  <c r="HI29" i="9"/>
  <c r="HE29" i="9"/>
  <c r="HA29" i="9"/>
  <c r="GV29" i="9"/>
  <c r="GT29" i="9"/>
  <c r="GP29" i="9"/>
  <c r="GL29" i="9"/>
  <c r="GH29" i="9"/>
  <c r="GD29" i="9"/>
  <c r="FF29" i="9"/>
  <c r="FA29" i="9"/>
  <c r="FB29" i="9" s="1"/>
  <c r="EW29" i="9"/>
  <c r="EX29" i="9" s="1"/>
  <c r="ES29" i="9"/>
  <c r="EO29" i="9"/>
  <c r="EP29" i="9" s="1"/>
  <c r="EL29" i="9"/>
  <c r="EH29" i="9"/>
  <c r="ED29" i="9"/>
  <c r="DZ29" i="9"/>
  <c r="DV29" i="9"/>
  <c r="DR29" i="9"/>
  <c r="DN29" i="9"/>
  <c r="DI29" i="9"/>
  <c r="DJ29" i="9" s="1"/>
  <c r="DE29" i="9"/>
  <c r="DB29" i="9"/>
  <c r="CW29" i="9"/>
  <c r="CT29" i="9"/>
  <c r="CP29" i="9"/>
  <c r="CL29" i="9"/>
  <c r="CH29" i="9"/>
  <c r="CD29" i="9"/>
  <c r="BZ29" i="9"/>
  <c r="BV29" i="9"/>
  <c r="BR29" i="9"/>
  <c r="BN29" i="9"/>
  <c r="BJ29" i="9"/>
  <c r="BF29" i="9"/>
  <c r="BB29" i="9"/>
  <c r="AX29" i="9"/>
  <c r="AT29" i="9"/>
  <c r="AP29" i="9"/>
  <c r="AL29" i="9"/>
  <c r="AH29" i="9"/>
  <c r="AD29" i="9"/>
  <c r="Z29" i="9"/>
  <c r="V29" i="9"/>
  <c r="R29" i="9"/>
  <c r="N29" i="9"/>
  <c r="J29" i="9"/>
  <c r="F29" i="9"/>
  <c r="HT28" i="9"/>
  <c r="HN28" i="9"/>
  <c r="HJ28" i="9"/>
  <c r="HI28" i="9"/>
  <c r="HE28" i="9"/>
  <c r="HA28" i="9"/>
  <c r="GV28" i="9"/>
  <c r="GT28" i="9"/>
  <c r="GP28" i="9"/>
  <c r="GL28" i="9"/>
  <c r="GH28" i="9"/>
  <c r="GD28" i="9"/>
  <c r="FZ28" i="9"/>
  <c r="FV28" i="9"/>
  <c r="FR28" i="9"/>
  <c r="FN28" i="9"/>
  <c r="FI28" i="9"/>
  <c r="FJ28" i="9" s="1"/>
  <c r="FF28" i="9"/>
  <c r="FA28" i="9"/>
  <c r="FB28" i="9" s="1"/>
  <c r="EX28" i="9"/>
  <c r="ET28" i="9"/>
  <c r="EO28" i="9"/>
  <c r="EP28" i="9" s="1"/>
  <c r="EL28" i="9"/>
  <c r="EG28" i="9"/>
  <c r="EH28" i="9" s="1"/>
  <c r="ED28" i="9"/>
  <c r="DY28" i="9"/>
  <c r="DZ28" i="9" s="1"/>
  <c r="DU28" i="9"/>
  <c r="DV28" i="9" s="1"/>
  <c r="DR28" i="9"/>
  <c r="DN28" i="9"/>
  <c r="DJ28" i="9"/>
  <c r="DF28" i="9"/>
  <c r="DA28" i="9"/>
  <c r="DB28" i="9" s="1"/>
  <c r="CX28" i="9"/>
  <c r="CS28" i="9"/>
  <c r="CT28" i="9" s="1"/>
  <c r="CP28" i="9"/>
  <c r="CL28" i="9"/>
  <c r="CG28" i="9"/>
  <c r="CD28" i="9"/>
  <c r="BZ28" i="9"/>
  <c r="BV28" i="9"/>
  <c r="BR28" i="9"/>
  <c r="BN28" i="9"/>
  <c r="BJ28" i="9"/>
  <c r="BF28" i="9"/>
  <c r="BB28" i="9"/>
  <c r="AX28" i="9"/>
  <c r="AT28" i="9"/>
  <c r="AP28" i="9"/>
  <c r="AL28" i="9"/>
  <c r="AH28" i="9"/>
  <c r="AD28" i="9"/>
  <c r="Z28" i="9"/>
  <c r="V28" i="9"/>
  <c r="R28" i="9"/>
  <c r="N28" i="9"/>
  <c r="J28" i="9"/>
  <c r="F28" i="9"/>
  <c r="HT27" i="9"/>
  <c r="HN27" i="9"/>
  <c r="HI27" i="9"/>
  <c r="HE27" i="9"/>
  <c r="HA27" i="9"/>
  <c r="GV27" i="9"/>
  <c r="GT27" i="9"/>
  <c r="GP27" i="9"/>
  <c r="GL27" i="9"/>
  <c r="GH27" i="9"/>
  <c r="GD27" i="9"/>
  <c r="FZ27" i="9"/>
  <c r="FV27" i="9"/>
  <c r="FR27" i="9"/>
  <c r="FN27" i="9"/>
  <c r="FJ27" i="9"/>
  <c r="FF27" i="9"/>
  <c r="FA27" i="9"/>
  <c r="FB27" i="9" s="1"/>
  <c r="EX27" i="9"/>
  <c r="ET27" i="9"/>
  <c r="EP27" i="9"/>
  <c r="EL27" i="9"/>
  <c r="EG27" i="9"/>
  <c r="EH27" i="9" s="1"/>
  <c r="ED27" i="9"/>
  <c r="DZ27" i="9"/>
  <c r="DU27" i="9"/>
  <c r="DV27" i="9" s="1"/>
  <c r="DR27" i="9"/>
  <c r="DM27" i="9"/>
  <c r="DN27" i="9" s="1"/>
  <c r="DI27" i="9"/>
  <c r="DF27" i="9"/>
  <c r="DA27" i="9"/>
  <c r="HF27" i="9" s="1"/>
  <c r="CX27" i="9"/>
  <c r="CS27" i="9"/>
  <c r="CP27" i="9"/>
  <c r="CL27" i="9"/>
  <c r="CH27" i="9"/>
  <c r="CC27" i="9"/>
  <c r="BZ27" i="9"/>
  <c r="BV27" i="9"/>
  <c r="BQ27" i="9"/>
  <c r="HJ27" i="9" s="1"/>
  <c r="BN27" i="9"/>
  <c r="BJ27" i="9"/>
  <c r="BF27" i="9"/>
  <c r="BB27" i="9"/>
  <c r="AX27" i="9"/>
  <c r="AT27" i="9"/>
  <c r="AP27" i="9"/>
  <c r="AL27" i="9"/>
  <c r="AH27" i="9"/>
  <c r="AD27" i="9"/>
  <c r="Z27" i="9"/>
  <c r="V27" i="9"/>
  <c r="R27" i="9"/>
  <c r="N27" i="9"/>
  <c r="J27" i="9"/>
  <c r="F27" i="9"/>
  <c r="HT26" i="9"/>
  <c r="HN26" i="9"/>
  <c r="HJ26" i="9"/>
  <c r="HI26" i="9"/>
  <c r="HE26" i="9"/>
  <c r="HA26" i="9"/>
  <c r="GV26" i="9"/>
  <c r="GT26" i="9"/>
  <c r="GP26" i="9"/>
  <c r="GL26" i="9"/>
  <c r="GH26" i="9"/>
  <c r="GD26" i="9"/>
  <c r="FZ26" i="9"/>
  <c r="FU26" i="9"/>
  <c r="FV26" i="9" s="1"/>
  <c r="FR26" i="9"/>
  <c r="FN26" i="9"/>
  <c r="FJ26" i="9"/>
  <c r="FF26" i="9"/>
  <c r="FA26" i="9"/>
  <c r="FB26" i="9" s="1"/>
  <c r="EX26" i="9"/>
  <c r="ET26" i="9"/>
  <c r="EP26" i="9"/>
  <c r="EL26" i="9"/>
  <c r="EG26" i="9"/>
  <c r="EH26" i="9" s="1"/>
  <c r="ED26" i="9"/>
  <c r="DZ26" i="9"/>
  <c r="DV26" i="9"/>
  <c r="DR26" i="9"/>
  <c r="DN26" i="9"/>
  <c r="DI26" i="9"/>
  <c r="DJ26" i="9" s="1"/>
  <c r="DF26" i="9"/>
  <c r="DA26" i="9"/>
  <c r="DB26" i="9" s="1"/>
  <c r="CW26" i="9"/>
  <c r="CX26" i="9" s="1"/>
  <c r="CS26" i="9"/>
  <c r="CT26" i="9" s="1"/>
  <c r="CP26" i="9"/>
  <c r="CL26" i="9"/>
  <c r="CH26" i="9"/>
  <c r="CC26" i="9"/>
  <c r="CD26" i="9" s="1"/>
  <c r="BZ26" i="9"/>
  <c r="BV26" i="9"/>
  <c r="BR26" i="9"/>
  <c r="BN26" i="9"/>
  <c r="BJ26" i="9"/>
  <c r="BF26" i="9"/>
  <c r="BB26" i="9"/>
  <c r="AX26" i="9"/>
  <c r="AS26" i="9"/>
  <c r="AP26" i="9"/>
  <c r="AL26" i="9"/>
  <c r="AH26" i="9"/>
  <c r="AD26" i="9"/>
  <c r="Z26" i="9"/>
  <c r="V26" i="9"/>
  <c r="R26" i="9"/>
  <c r="N26" i="9"/>
  <c r="J26" i="9"/>
  <c r="F26" i="9"/>
  <c r="HU25" i="9"/>
  <c r="HX25" i="9" s="1"/>
  <c r="HT25" i="9"/>
  <c r="HN25" i="9"/>
  <c r="HJ25" i="9"/>
  <c r="HI25" i="9"/>
  <c r="HF25" i="9"/>
  <c r="HE25" i="9"/>
  <c r="HA25" i="9"/>
  <c r="GV25" i="9"/>
  <c r="GT25" i="9"/>
  <c r="GP25" i="9"/>
  <c r="GL25" i="9"/>
  <c r="GH25" i="9"/>
  <c r="GD25" i="9"/>
  <c r="FZ25" i="9"/>
  <c r="FV25" i="9"/>
  <c r="FR25" i="9"/>
  <c r="FN25" i="9"/>
  <c r="FJ25" i="9"/>
  <c r="FF25" i="9"/>
  <c r="FB25" i="9"/>
  <c r="EX25" i="9"/>
  <c r="ET25" i="9"/>
  <c r="EO25" i="9"/>
  <c r="EL25" i="9"/>
  <c r="EH25" i="9"/>
  <c r="ED25" i="9"/>
  <c r="DZ25" i="9"/>
  <c r="DU25" i="9"/>
  <c r="DV25" i="9" s="1"/>
  <c r="DR25" i="9"/>
  <c r="DN25" i="9"/>
  <c r="DI25" i="9"/>
  <c r="DJ25" i="9" s="1"/>
  <c r="DF25" i="9"/>
  <c r="DB25" i="9"/>
  <c r="CW25" i="9"/>
  <c r="CX25" i="9" s="1"/>
  <c r="CT25" i="9"/>
  <c r="CO25" i="9"/>
  <c r="CP25" i="9" s="1"/>
  <c r="CL25" i="9"/>
  <c r="CH25" i="9"/>
  <c r="CC25" i="9"/>
  <c r="CD25" i="9" s="1"/>
  <c r="BZ25" i="9"/>
  <c r="BV25" i="9"/>
  <c r="BR25" i="9"/>
  <c r="BN25" i="9"/>
  <c r="BJ25" i="9"/>
  <c r="BF25" i="9"/>
  <c r="BB25" i="9"/>
  <c r="AX25" i="9"/>
  <c r="AT25" i="9"/>
  <c r="AP25" i="9"/>
  <c r="AL25" i="9"/>
  <c r="AH25" i="9"/>
  <c r="AD25" i="9"/>
  <c r="Z25" i="9"/>
  <c r="V25" i="9"/>
  <c r="R25" i="9"/>
  <c r="N25" i="9"/>
  <c r="J25" i="9"/>
  <c r="F25" i="9"/>
  <c r="HU24" i="9"/>
  <c r="HX24" i="9" s="1"/>
  <c r="HT24" i="9"/>
  <c r="HN24" i="9"/>
  <c r="HJ24" i="9"/>
  <c r="HI24" i="9"/>
  <c r="HF24" i="9"/>
  <c r="HE24" i="9"/>
  <c r="HB24" i="9"/>
  <c r="HA24" i="9"/>
  <c r="GV24" i="9"/>
  <c r="GT24" i="9"/>
  <c r="GP24" i="9"/>
  <c r="GL24" i="9"/>
  <c r="GH24" i="9"/>
  <c r="GD24" i="9"/>
  <c r="FZ24" i="9"/>
  <c r="FV24" i="9"/>
  <c r="FR24" i="9"/>
  <c r="FN24" i="9"/>
  <c r="FJ24" i="9"/>
  <c r="FF24" i="9"/>
  <c r="FB24" i="9"/>
  <c r="EX24" i="9"/>
  <c r="ET24" i="9"/>
  <c r="EP24" i="9"/>
  <c r="EL24" i="9"/>
  <c r="EG24" i="9"/>
  <c r="EH24" i="9" s="1"/>
  <c r="ED24" i="9"/>
  <c r="DZ24" i="9"/>
  <c r="DV24" i="9"/>
  <c r="DR24" i="9"/>
  <c r="DN24" i="9"/>
  <c r="DI24" i="9"/>
  <c r="DJ24" i="9" s="1"/>
  <c r="DF24" i="9"/>
  <c r="DB24" i="9"/>
  <c r="CX24" i="9"/>
  <c r="CT24" i="9"/>
  <c r="CP24" i="9"/>
  <c r="CL24" i="9"/>
  <c r="CH24" i="9"/>
  <c r="CD24" i="9"/>
  <c r="BZ24" i="9"/>
  <c r="BV24" i="9"/>
  <c r="BR24" i="9"/>
  <c r="BN24" i="9"/>
  <c r="BJ24" i="9"/>
  <c r="BF24" i="9"/>
  <c r="BB24" i="9"/>
  <c r="AX24" i="9"/>
  <c r="AT24" i="9"/>
  <c r="AP24" i="9"/>
  <c r="AL24" i="9"/>
  <c r="AH24" i="9"/>
  <c r="AD24" i="9"/>
  <c r="Z24" i="9"/>
  <c r="V24" i="9"/>
  <c r="R24" i="9"/>
  <c r="N24" i="9"/>
  <c r="J24" i="9"/>
  <c r="F24" i="9"/>
  <c r="HT23" i="9"/>
  <c r="HN23" i="9"/>
  <c r="HJ23" i="9"/>
  <c r="HI23" i="9"/>
  <c r="HE23" i="9"/>
  <c r="HA23" i="9"/>
  <c r="GV23" i="9"/>
  <c r="GT23" i="9"/>
  <c r="GP23" i="9"/>
  <c r="GL23" i="9"/>
  <c r="GH23" i="9"/>
  <c r="GD23" i="9"/>
  <c r="FZ23" i="9"/>
  <c r="FV23" i="9"/>
  <c r="FR23" i="9"/>
  <c r="FN23" i="9"/>
  <c r="FJ23" i="9"/>
  <c r="FF23" i="9"/>
  <c r="FA23" i="9"/>
  <c r="FB23" i="9" s="1"/>
  <c r="EX23" i="9"/>
  <c r="ET23" i="9"/>
  <c r="EO23" i="9"/>
  <c r="EP23" i="9" s="1"/>
  <c r="EK23" i="9"/>
  <c r="EL23" i="9" s="1"/>
  <c r="EG23" i="9"/>
  <c r="EH23" i="9" s="1"/>
  <c r="ED23" i="9"/>
  <c r="DZ23" i="9"/>
  <c r="DU23" i="9"/>
  <c r="DV23" i="9" s="1"/>
  <c r="DR23" i="9"/>
  <c r="DM23" i="9"/>
  <c r="DJ23" i="9"/>
  <c r="DF23" i="9"/>
  <c r="DA23" i="9"/>
  <c r="DB23" i="9" s="1"/>
  <c r="CW23" i="9"/>
  <c r="CT23" i="9"/>
  <c r="CP23" i="9"/>
  <c r="CL23" i="9"/>
  <c r="CG23" i="9"/>
  <c r="CH23" i="9" s="1"/>
  <c r="CD23" i="9"/>
  <c r="BZ23" i="9"/>
  <c r="BV23" i="9"/>
  <c r="BR23" i="9"/>
  <c r="BM23" i="9"/>
  <c r="BN23" i="9" s="1"/>
  <c r="BJ23" i="9"/>
  <c r="BF23" i="9"/>
  <c r="BB23" i="9"/>
  <c r="AX23" i="9"/>
  <c r="AT23" i="9"/>
  <c r="AP23" i="9"/>
  <c r="AL23" i="9"/>
  <c r="AH23" i="9"/>
  <c r="AD23" i="9"/>
  <c r="Z23" i="9"/>
  <c r="V23" i="9"/>
  <c r="R23" i="9"/>
  <c r="N23" i="9"/>
  <c r="J23" i="9"/>
  <c r="F23" i="9"/>
  <c r="HT22" i="9"/>
  <c r="HN22" i="9"/>
  <c r="HI22" i="9"/>
  <c r="HE22" i="9"/>
  <c r="HA22" i="9"/>
  <c r="GV22" i="9"/>
  <c r="GT22" i="9"/>
  <c r="GP22" i="9"/>
  <c r="GL22" i="9"/>
  <c r="GH22" i="9"/>
  <c r="GD22" i="9"/>
  <c r="FZ22" i="9"/>
  <c r="FV22" i="9"/>
  <c r="FR22" i="9"/>
  <c r="FN22" i="9"/>
  <c r="FJ22" i="9"/>
  <c r="FF22" i="9"/>
  <c r="FA22" i="9"/>
  <c r="FB22" i="9" s="1"/>
  <c r="EX22" i="9"/>
  <c r="ET22" i="9"/>
  <c r="EO22" i="9"/>
  <c r="EP22" i="9" s="1"/>
  <c r="EL22" i="9"/>
  <c r="EG22" i="9"/>
  <c r="EH22" i="9" s="1"/>
  <c r="ED22" i="9"/>
  <c r="DZ22" i="9"/>
  <c r="DU22" i="9"/>
  <c r="DV22" i="9" s="1"/>
  <c r="DR22" i="9"/>
  <c r="DM22" i="9"/>
  <c r="DN22" i="9" s="1"/>
  <c r="DI22" i="9"/>
  <c r="DJ22" i="9" s="1"/>
  <c r="DF22" i="9"/>
  <c r="DB22" i="9"/>
  <c r="CW22" i="9"/>
  <c r="CS22" i="9"/>
  <c r="CT22" i="9" s="1"/>
  <c r="CO22" i="9"/>
  <c r="CL22" i="9"/>
  <c r="CG22" i="9"/>
  <c r="CD22" i="9"/>
  <c r="BZ22" i="9"/>
  <c r="BV22" i="9"/>
  <c r="BQ22" i="9"/>
  <c r="HJ22" i="9" s="1"/>
  <c r="BN22" i="9"/>
  <c r="BJ22" i="9"/>
  <c r="BF22" i="9"/>
  <c r="BB22" i="9"/>
  <c r="AX22" i="9"/>
  <c r="AT22" i="9"/>
  <c r="AP22" i="9"/>
  <c r="AL22" i="9"/>
  <c r="AH22" i="9"/>
  <c r="AD22" i="9"/>
  <c r="Z22" i="9"/>
  <c r="V22" i="9"/>
  <c r="R22" i="9"/>
  <c r="N22" i="9"/>
  <c r="J22" i="9"/>
  <c r="F22" i="9"/>
  <c r="HT21" i="9"/>
  <c r="HN21" i="9"/>
  <c r="HJ21" i="9"/>
  <c r="HI21" i="9"/>
  <c r="HE21" i="9"/>
  <c r="HA21" i="9"/>
  <c r="GV21" i="9"/>
  <c r="GT21" i="9"/>
  <c r="GP21" i="9"/>
  <c r="GL21" i="9"/>
  <c r="GH21" i="9"/>
  <c r="GD21" i="9"/>
  <c r="FZ21" i="9"/>
  <c r="FU21" i="9"/>
  <c r="FV21" i="9" s="1"/>
  <c r="FR21" i="9"/>
  <c r="FN21" i="9"/>
  <c r="FI21" i="9"/>
  <c r="FJ21" i="9" s="1"/>
  <c r="FF21" i="9"/>
  <c r="FA21" i="9"/>
  <c r="FB21" i="9" s="1"/>
  <c r="EX21" i="9"/>
  <c r="ET21" i="9"/>
  <c r="EO21" i="9"/>
  <c r="EP21" i="9" s="1"/>
  <c r="EL21" i="9"/>
  <c r="EH21" i="9"/>
  <c r="ED21" i="9"/>
  <c r="DZ21" i="9"/>
  <c r="DV21" i="9"/>
  <c r="DR21" i="9"/>
  <c r="DM21" i="9"/>
  <c r="DN21" i="9" s="1"/>
  <c r="DI21" i="9"/>
  <c r="DJ21" i="9" s="1"/>
  <c r="DF21" i="9"/>
  <c r="DA21" i="9"/>
  <c r="DB21" i="9" s="1"/>
  <c r="CW21" i="9"/>
  <c r="CX21" i="9" s="1"/>
  <c r="CS21" i="9"/>
  <c r="CT21" i="9" s="1"/>
  <c r="CP21" i="9"/>
  <c r="CL21" i="9"/>
  <c r="CG21" i="9"/>
  <c r="CH21" i="9" s="1"/>
  <c r="CD21" i="9"/>
  <c r="BZ21" i="9"/>
  <c r="BV21" i="9"/>
  <c r="BR21" i="9"/>
  <c r="BN21" i="9"/>
  <c r="BJ21" i="9"/>
  <c r="BF21" i="9"/>
  <c r="BB21" i="9"/>
  <c r="AX21" i="9"/>
  <c r="AS21" i="9"/>
  <c r="AP21" i="9"/>
  <c r="AL21" i="9"/>
  <c r="AH21" i="9"/>
  <c r="AD21" i="9"/>
  <c r="Z21" i="9"/>
  <c r="V21" i="9"/>
  <c r="R21" i="9"/>
  <c r="N21" i="9"/>
  <c r="J21" i="9"/>
  <c r="F21" i="9"/>
  <c r="HT20" i="9"/>
  <c r="HN20" i="9"/>
  <c r="HJ20" i="9"/>
  <c r="HI20" i="9"/>
  <c r="HF20" i="9"/>
  <c r="HE20" i="9"/>
  <c r="HA20" i="9"/>
  <c r="GV20" i="9"/>
  <c r="GT20" i="9"/>
  <c r="GP20" i="9"/>
  <c r="GL20" i="9"/>
  <c r="GH20" i="9"/>
  <c r="GD20" i="9"/>
  <c r="FZ20" i="9"/>
  <c r="FV20" i="9"/>
  <c r="FR20" i="9"/>
  <c r="FN20" i="9"/>
  <c r="FJ20" i="9"/>
  <c r="FF20" i="9"/>
  <c r="FA20" i="9"/>
  <c r="FB20" i="9" s="1"/>
  <c r="EX20" i="9"/>
  <c r="ET20" i="9"/>
  <c r="EO20" i="9"/>
  <c r="EP20" i="9" s="1"/>
  <c r="EK20" i="9"/>
  <c r="EL20" i="9" s="1"/>
  <c r="EG20" i="9"/>
  <c r="ED20" i="9"/>
  <c r="DZ20" i="9"/>
  <c r="DU20" i="9"/>
  <c r="DR20" i="9"/>
  <c r="DM20" i="9"/>
  <c r="DJ20" i="9"/>
  <c r="DF20" i="9"/>
  <c r="DB20" i="9"/>
  <c r="CX20" i="9"/>
  <c r="CT20" i="9"/>
  <c r="CP20" i="9"/>
  <c r="CL20" i="9"/>
  <c r="CH20" i="9"/>
  <c r="CD20" i="9"/>
  <c r="BZ20" i="9"/>
  <c r="BV20" i="9"/>
  <c r="BR20" i="9"/>
  <c r="BN20" i="9"/>
  <c r="BJ20" i="9"/>
  <c r="BF20" i="9"/>
  <c r="BB20" i="9"/>
  <c r="AX20" i="9"/>
  <c r="AT20" i="9"/>
  <c r="AP20" i="9"/>
  <c r="AL20" i="9"/>
  <c r="AH20" i="9"/>
  <c r="AD20" i="9"/>
  <c r="Z20" i="9"/>
  <c r="V20" i="9"/>
  <c r="R20" i="9"/>
  <c r="N20" i="9"/>
  <c r="J20" i="9"/>
  <c r="F20" i="9"/>
  <c r="HT19" i="9"/>
  <c r="HN19" i="9"/>
  <c r="HJ19" i="9"/>
  <c r="HI19" i="9"/>
  <c r="HF19" i="9"/>
  <c r="HE19" i="9"/>
  <c r="HA19" i="9"/>
  <c r="GV19" i="9"/>
  <c r="GT19" i="9"/>
  <c r="GP19" i="9"/>
  <c r="GL19" i="9"/>
  <c r="GH19" i="9"/>
  <c r="GD19" i="9"/>
  <c r="FZ19" i="9"/>
  <c r="FU19" i="9"/>
  <c r="FV19" i="9" s="1"/>
  <c r="FR19" i="9"/>
  <c r="FN19" i="9"/>
  <c r="FI19" i="9"/>
  <c r="FJ19" i="9" s="1"/>
  <c r="FF19" i="9"/>
  <c r="FA19" i="9"/>
  <c r="FB19" i="9" s="1"/>
  <c r="EX19" i="9"/>
  <c r="ET19" i="9"/>
  <c r="EO19" i="9"/>
  <c r="EP19" i="9" s="1"/>
  <c r="EL19" i="9"/>
  <c r="EG19" i="9"/>
  <c r="ED19" i="9"/>
  <c r="DZ19" i="9"/>
  <c r="DU19" i="9"/>
  <c r="DR19" i="9"/>
  <c r="DM19" i="9"/>
  <c r="DN19" i="9" s="1"/>
  <c r="DJ19" i="9"/>
  <c r="DF19" i="9"/>
  <c r="DB19" i="9"/>
  <c r="CX19" i="9"/>
  <c r="CS19" i="9"/>
  <c r="CP19" i="9"/>
  <c r="CL19" i="9"/>
  <c r="CH19" i="9"/>
  <c r="CD19" i="9"/>
  <c r="BZ19" i="9"/>
  <c r="BV19" i="9"/>
  <c r="BR19" i="9"/>
  <c r="BN19" i="9"/>
  <c r="BJ19" i="9"/>
  <c r="BF19" i="9"/>
  <c r="BB19" i="9"/>
  <c r="AX19" i="9"/>
  <c r="AT19" i="9"/>
  <c r="AP19" i="9"/>
  <c r="AL19" i="9"/>
  <c r="AH19" i="9"/>
  <c r="AD19" i="9"/>
  <c r="Z19" i="9"/>
  <c r="V19" i="9"/>
  <c r="R19" i="9"/>
  <c r="N19" i="9"/>
  <c r="J19" i="9"/>
  <c r="F19" i="9"/>
  <c r="HT18" i="9"/>
  <c r="HN18" i="9"/>
  <c r="HJ18" i="9"/>
  <c r="HI18" i="9"/>
  <c r="HE18" i="9"/>
  <c r="HA18" i="9"/>
  <c r="GV18" i="9"/>
  <c r="GT18" i="9"/>
  <c r="GP18" i="9"/>
  <c r="GL18" i="9"/>
  <c r="GH18" i="9"/>
  <c r="GD18" i="9"/>
  <c r="FZ18" i="9"/>
  <c r="FU18" i="9"/>
  <c r="FV18" i="9" s="1"/>
  <c r="FR18" i="9"/>
  <c r="FN18" i="9"/>
  <c r="FI18" i="9"/>
  <c r="FJ18" i="9" s="1"/>
  <c r="FF18" i="9"/>
  <c r="FA18" i="9"/>
  <c r="FB18" i="9" s="1"/>
  <c r="EX18" i="9"/>
  <c r="ES18" i="9"/>
  <c r="ET18" i="9" s="1"/>
  <c r="EO18" i="9"/>
  <c r="EP18" i="9" s="1"/>
  <c r="EL18" i="9"/>
  <c r="EG18" i="9"/>
  <c r="EH18" i="9" s="1"/>
  <c r="ED18" i="9"/>
  <c r="DY18" i="9"/>
  <c r="DZ18" i="9" s="1"/>
  <c r="DU18" i="9"/>
  <c r="DV18" i="9" s="1"/>
  <c r="DR18" i="9"/>
  <c r="DM18" i="9"/>
  <c r="HU18" i="9" s="1"/>
  <c r="DJ18" i="9"/>
  <c r="DF18" i="9"/>
  <c r="DA18" i="9"/>
  <c r="CW18" i="9"/>
  <c r="CX18" i="9" s="1"/>
  <c r="CT18" i="9"/>
  <c r="CP18" i="9"/>
  <c r="CL18" i="9"/>
  <c r="CH18" i="9"/>
  <c r="CD18" i="9"/>
  <c r="BZ18" i="9"/>
  <c r="BV18" i="9"/>
  <c r="BR18" i="9"/>
  <c r="BN18" i="9"/>
  <c r="BJ18" i="9"/>
  <c r="BF18" i="9"/>
  <c r="BB18" i="9"/>
  <c r="AX18" i="9"/>
  <c r="AT18" i="9"/>
  <c r="AP18" i="9"/>
  <c r="AL18" i="9"/>
  <c r="AH18" i="9"/>
  <c r="AD18" i="9"/>
  <c r="Z18" i="9"/>
  <c r="V18" i="9"/>
  <c r="R18" i="9"/>
  <c r="N18" i="9"/>
  <c r="J18" i="9"/>
  <c r="F18" i="9"/>
  <c r="HT17" i="9"/>
  <c r="HN17" i="9"/>
  <c r="HJ17" i="9"/>
  <c r="HI17" i="9"/>
  <c r="HE17" i="9"/>
  <c r="HA17" i="9"/>
  <c r="GV17" i="9"/>
  <c r="GT17" i="9"/>
  <c r="GP17" i="9"/>
  <c r="GL17" i="9"/>
  <c r="GH17" i="9"/>
  <c r="GD17" i="9"/>
  <c r="FZ17" i="9"/>
  <c r="FU17" i="9"/>
  <c r="FV17" i="9" s="1"/>
  <c r="FR17" i="9"/>
  <c r="FN17" i="9"/>
  <c r="FJ17" i="9"/>
  <c r="FF17" i="9"/>
  <c r="FB17" i="9"/>
  <c r="EX17" i="9"/>
  <c r="ET17" i="9"/>
  <c r="EO17" i="9"/>
  <c r="EP17" i="9" s="1"/>
  <c r="EL17" i="9"/>
  <c r="EG17" i="9"/>
  <c r="EH17" i="9" s="1"/>
  <c r="ED17" i="9"/>
  <c r="DY17" i="9"/>
  <c r="DZ17" i="9" s="1"/>
  <c r="DU17" i="9"/>
  <c r="DV17" i="9" s="1"/>
  <c r="DR17" i="9"/>
  <c r="DN17" i="9"/>
  <c r="DI17" i="9"/>
  <c r="DF17" i="9"/>
  <c r="DA17" i="9"/>
  <c r="DB17" i="9" s="1"/>
  <c r="CW17" i="9"/>
  <c r="CX17" i="9" s="1"/>
  <c r="CS17" i="9"/>
  <c r="CT17" i="9" s="1"/>
  <c r="CP17" i="9"/>
  <c r="CL17" i="9"/>
  <c r="CH17" i="9"/>
  <c r="CC17" i="9"/>
  <c r="CD17" i="9" s="1"/>
  <c r="BY17" i="9"/>
  <c r="BV17" i="9"/>
  <c r="BR17" i="9"/>
  <c r="BN17" i="9"/>
  <c r="BJ17" i="9"/>
  <c r="BF17" i="9"/>
  <c r="BB17" i="9"/>
  <c r="AX17" i="9"/>
  <c r="AT17" i="9"/>
  <c r="AO17" i="9"/>
  <c r="AP17" i="9" s="1"/>
  <c r="AL17" i="9"/>
  <c r="AH17" i="9"/>
  <c r="AD17" i="9"/>
  <c r="Z17" i="9"/>
  <c r="V17" i="9"/>
  <c r="R17" i="9"/>
  <c r="N17" i="9"/>
  <c r="J17" i="9"/>
  <c r="F17" i="9"/>
  <c r="HT16" i="9"/>
  <c r="HN16" i="9"/>
  <c r="HJ16" i="9"/>
  <c r="HI16" i="9"/>
  <c r="HE16" i="9"/>
  <c r="HA16" i="9"/>
  <c r="GV16" i="9"/>
  <c r="GT16" i="9"/>
  <c r="GP16" i="9"/>
  <c r="GL16" i="9"/>
  <c r="GH16" i="9"/>
  <c r="GD16" i="9"/>
  <c r="FZ16" i="9"/>
  <c r="FV16" i="9"/>
  <c r="FR16" i="9"/>
  <c r="FN16" i="9"/>
  <c r="FJ16" i="9"/>
  <c r="FF16" i="9"/>
  <c r="FA16" i="9"/>
  <c r="FB16" i="9" s="1"/>
  <c r="EX16" i="9"/>
  <c r="ET16" i="9"/>
  <c r="EO16" i="9"/>
  <c r="EP16" i="9" s="1"/>
  <c r="EK16" i="9"/>
  <c r="EL16" i="9" s="1"/>
  <c r="EG16" i="9"/>
  <c r="EH16" i="9" s="1"/>
  <c r="ED16" i="9"/>
  <c r="DY16" i="9"/>
  <c r="DZ16" i="9" s="1"/>
  <c r="DU16" i="9"/>
  <c r="DV16" i="9" s="1"/>
  <c r="DR16" i="9"/>
  <c r="DM16" i="9"/>
  <c r="DN16" i="9" s="1"/>
  <c r="DI16" i="9"/>
  <c r="DF16" i="9"/>
  <c r="DA16" i="9"/>
  <c r="DB16" i="9" s="1"/>
  <c r="CW16" i="9"/>
  <c r="CS16" i="9"/>
  <c r="CT16" i="9" s="1"/>
  <c r="CP16" i="9"/>
  <c r="CL16" i="9"/>
  <c r="CH16" i="9"/>
  <c r="CD16" i="9"/>
  <c r="BY16" i="9"/>
  <c r="BU16" i="9"/>
  <c r="BV16" i="9" s="1"/>
  <c r="BR16" i="9"/>
  <c r="BN16" i="9"/>
  <c r="BJ16" i="9"/>
  <c r="BF16" i="9"/>
  <c r="BB16" i="9"/>
  <c r="AX16" i="9"/>
  <c r="AS16" i="9"/>
  <c r="AP16" i="9"/>
  <c r="AL16" i="9"/>
  <c r="AH16" i="9"/>
  <c r="AD16" i="9"/>
  <c r="Z16" i="9"/>
  <c r="V16" i="9"/>
  <c r="R16" i="9"/>
  <c r="N16" i="9"/>
  <c r="J16" i="9"/>
  <c r="F16" i="9"/>
  <c r="HT15" i="9"/>
  <c r="HN15" i="9"/>
  <c r="HI15" i="9"/>
  <c r="HE15" i="9"/>
  <c r="HA15" i="9"/>
  <c r="GV15" i="9"/>
  <c r="GT15" i="9"/>
  <c r="GP15" i="9"/>
  <c r="GL15" i="9"/>
  <c r="GH15" i="9"/>
  <c r="GD15" i="9"/>
  <c r="FZ15" i="9"/>
  <c r="FU15" i="9"/>
  <c r="FV15" i="9" s="1"/>
  <c r="FR15" i="9"/>
  <c r="FN15" i="9"/>
  <c r="FJ15" i="9"/>
  <c r="FF15" i="9"/>
  <c r="FA15" i="9"/>
  <c r="FB15" i="9" s="1"/>
  <c r="EX15" i="9"/>
  <c r="ET15" i="9"/>
  <c r="EO15" i="9"/>
  <c r="EP15" i="9" s="1"/>
  <c r="EL15" i="9"/>
  <c r="EG15" i="9"/>
  <c r="EH15" i="9" s="1"/>
  <c r="ED15" i="9"/>
  <c r="DZ15" i="9"/>
  <c r="DU15" i="9"/>
  <c r="DV15" i="9" s="1"/>
  <c r="DR15" i="9"/>
  <c r="DM15" i="9"/>
  <c r="DN15" i="9" s="1"/>
  <c r="DI15" i="9"/>
  <c r="DJ15" i="9" s="1"/>
  <c r="DF15" i="9"/>
  <c r="DA15" i="9"/>
  <c r="DB15" i="9" s="1"/>
  <c r="CW15" i="9"/>
  <c r="CX15" i="9" s="1"/>
  <c r="CS15" i="9"/>
  <c r="CT15" i="9" s="1"/>
  <c r="CP15" i="9"/>
  <c r="CK15" i="9"/>
  <c r="CL15" i="9" s="1"/>
  <c r="CH15" i="9"/>
  <c r="CC15" i="9"/>
  <c r="CD15" i="9" s="1"/>
  <c r="BY15" i="9"/>
  <c r="BV15" i="9"/>
  <c r="BQ15" i="9"/>
  <c r="BN15" i="9"/>
  <c r="BI15" i="9"/>
  <c r="BF15" i="9"/>
  <c r="BB15" i="9"/>
  <c r="AX15" i="9"/>
  <c r="AT15" i="9"/>
  <c r="AO15" i="9"/>
  <c r="AL15" i="9"/>
  <c r="AH15" i="9"/>
  <c r="AD15" i="9"/>
  <c r="Z15" i="9"/>
  <c r="V15" i="9"/>
  <c r="R15" i="9"/>
  <c r="N15" i="9"/>
  <c r="J15" i="9"/>
  <c r="F15" i="9"/>
  <c r="HT14" i="9"/>
  <c r="HN14" i="9"/>
  <c r="HI14" i="9"/>
  <c r="HE14" i="9"/>
  <c r="HA14" i="9"/>
  <c r="GV14" i="9"/>
  <c r="GT14" i="9"/>
  <c r="GP14" i="9"/>
  <c r="GL14" i="9"/>
  <c r="GH14" i="9"/>
  <c r="GD14" i="9"/>
  <c r="FZ14" i="9"/>
  <c r="FU14" i="9"/>
  <c r="FV14" i="9" s="1"/>
  <c r="FR14" i="9"/>
  <c r="FM14" i="9"/>
  <c r="FN14" i="9" s="1"/>
  <c r="FJ14" i="9"/>
  <c r="FF14" i="9"/>
  <c r="FA14" i="9"/>
  <c r="FB14" i="9" s="1"/>
  <c r="EX14" i="9"/>
  <c r="ES14" i="9"/>
  <c r="ET14" i="9" s="1"/>
  <c r="EO14" i="9"/>
  <c r="EP14" i="9" s="1"/>
  <c r="EL14" i="9"/>
  <c r="EG14" i="9"/>
  <c r="ED14" i="9"/>
  <c r="DZ14" i="9"/>
  <c r="DV14" i="9"/>
  <c r="DR14" i="9"/>
  <c r="DM14" i="9"/>
  <c r="DN14" i="9" s="1"/>
  <c r="DJ14" i="9"/>
  <c r="DE14" i="9"/>
  <c r="DF14" i="9" s="1"/>
  <c r="DA14" i="9"/>
  <c r="CW14" i="9"/>
  <c r="CX14" i="9" s="1"/>
  <c r="CT14" i="9"/>
  <c r="CP14" i="9"/>
  <c r="CK14" i="9"/>
  <c r="CL14" i="9" s="1"/>
  <c r="CH14" i="9"/>
  <c r="CC14" i="9"/>
  <c r="BZ14" i="9"/>
  <c r="BV14" i="9"/>
  <c r="BQ14" i="9"/>
  <c r="BR14" i="9" s="1"/>
  <c r="BN14" i="9"/>
  <c r="BJ14" i="9"/>
  <c r="BF14" i="9"/>
  <c r="BB14" i="9"/>
  <c r="AW14" i="9"/>
  <c r="AT14" i="9"/>
  <c r="AP14" i="9"/>
  <c r="AL14" i="9"/>
  <c r="AH14" i="9"/>
  <c r="AD14" i="9"/>
  <c r="Z14" i="9"/>
  <c r="V14" i="9"/>
  <c r="R14" i="9"/>
  <c r="N14" i="9"/>
  <c r="J14" i="9"/>
  <c r="F14" i="9"/>
  <c r="HT13" i="9"/>
  <c r="HN13" i="9"/>
  <c r="HI13" i="9"/>
  <c r="HE13" i="9"/>
  <c r="HA13" i="9"/>
  <c r="GV13" i="9"/>
  <c r="GT13" i="9"/>
  <c r="GP13" i="9"/>
  <c r="GL13" i="9"/>
  <c r="GH13" i="9"/>
  <c r="GD13" i="9"/>
  <c r="FZ13" i="9"/>
  <c r="FV13" i="9"/>
  <c r="FR13" i="9"/>
  <c r="FN13" i="9"/>
  <c r="FJ13" i="9"/>
  <c r="FF13" i="9"/>
  <c r="FA13" i="9"/>
  <c r="FB13" i="9" s="1"/>
  <c r="EX13" i="9"/>
  <c r="ET13" i="9"/>
  <c r="EO13" i="9"/>
  <c r="EP13" i="9" s="1"/>
  <c r="EK13" i="9"/>
  <c r="EL13" i="9" s="1"/>
  <c r="EG13" i="9"/>
  <c r="EH13" i="9" s="1"/>
  <c r="ED13" i="9"/>
  <c r="DY13" i="9"/>
  <c r="DZ13" i="9" s="1"/>
  <c r="DU13" i="9"/>
  <c r="DV13" i="9" s="1"/>
  <c r="DR13" i="9"/>
  <c r="DM13" i="9"/>
  <c r="DJ13" i="9"/>
  <c r="DE13" i="9"/>
  <c r="DA13" i="9"/>
  <c r="DB13" i="9" s="1"/>
  <c r="CX13" i="9"/>
  <c r="CS13" i="9"/>
  <c r="CP13" i="9"/>
  <c r="CL13" i="9"/>
  <c r="CG13" i="9"/>
  <c r="CH13" i="9" s="1"/>
  <c r="CD13" i="9"/>
  <c r="BZ13" i="9"/>
  <c r="BV13" i="9"/>
  <c r="BR13" i="9"/>
  <c r="BN13" i="9"/>
  <c r="BJ13" i="9"/>
  <c r="BF13" i="9"/>
  <c r="BB13" i="9"/>
  <c r="AX13" i="9"/>
  <c r="AS13" i="9"/>
  <c r="AP13" i="9"/>
  <c r="AL13" i="9"/>
  <c r="AH13" i="9"/>
  <c r="AC13" i="9"/>
  <c r="AD13" i="9" s="1"/>
  <c r="Z13" i="9"/>
  <c r="V13" i="9"/>
  <c r="R13" i="9"/>
  <c r="N13" i="9"/>
  <c r="J13" i="9"/>
  <c r="F13" i="9"/>
  <c r="HT12" i="9"/>
  <c r="HN12" i="9"/>
  <c r="HI12" i="9"/>
  <c r="HE12" i="9"/>
  <c r="HA12" i="9"/>
  <c r="GV12" i="9"/>
  <c r="GT12" i="9"/>
  <c r="GP12" i="9"/>
  <c r="GL12" i="9"/>
  <c r="GH12" i="9"/>
  <c r="GD12" i="9"/>
  <c r="FZ12" i="9"/>
  <c r="FV12" i="9"/>
  <c r="FR12" i="9"/>
  <c r="FN12" i="9"/>
  <c r="FI12" i="9"/>
  <c r="FJ12" i="9" s="1"/>
  <c r="FF12" i="9"/>
  <c r="FA12" i="9"/>
  <c r="FB12" i="9" s="1"/>
  <c r="EX12" i="9"/>
  <c r="ET12" i="9"/>
  <c r="EO12" i="9"/>
  <c r="EP12" i="9" s="1"/>
  <c r="EK12" i="9"/>
  <c r="EG12" i="9"/>
  <c r="EH12" i="9" s="1"/>
  <c r="ED12" i="9"/>
  <c r="DZ12" i="9"/>
  <c r="DU12" i="9"/>
  <c r="DV12" i="9" s="1"/>
  <c r="DR12" i="9"/>
  <c r="DM12" i="9"/>
  <c r="DN12" i="9" s="1"/>
  <c r="DI12" i="9"/>
  <c r="DJ12" i="9" s="1"/>
  <c r="DF12" i="9"/>
  <c r="DA12" i="9"/>
  <c r="DB12" i="9" s="1"/>
  <c r="CX12" i="9"/>
  <c r="CT12" i="9"/>
  <c r="CP12" i="9"/>
  <c r="CK12" i="9"/>
  <c r="CG12" i="9"/>
  <c r="CH12" i="9" s="1"/>
  <c r="CC12" i="9"/>
  <c r="BZ12" i="9"/>
  <c r="BV12" i="9"/>
  <c r="BQ12" i="9"/>
  <c r="BN12" i="9"/>
  <c r="BJ12" i="9"/>
  <c r="BF12" i="9"/>
  <c r="BB12" i="9"/>
  <c r="AX12" i="9"/>
  <c r="AT12" i="9"/>
  <c r="AP12" i="9"/>
  <c r="AL12" i="9"/>
  <c r="AH12" i="9"/>
  <c r="AD12" i="9"/>
  <c r="Z12" i="9"/>
  <c r="V12" i="9"/>
  <c r="R12" i="9"/>
  <c r="N12" i="9"/>
  <c r="J12" i="9"/>
  <c r="F12" i="9"/>
  <c r="HT11" i="9"/>
  <c r="HN11" i="9"/>
  <c r="HJ11" i="9"/>
  <c r="HI11" i="9"/>
  <c r="HE11" i="9"/>
  <c r="HA11" i="9"/>
  <c r="GV11" i="9"/>
  <c r="GT11" i="9"/>
  <c r="GP11" i="9"/>
  <c r="GL11" i="9"/>
  <c r="GH11" i="9"/>
  <c r="GD11" i="9"/>
  <c r="FZ11" i="9"/>
  <c r="FU11" i="9"/>
  <c r="FV11" i="9" s="1"/>
  <c r="FR11" i="9"/>
  <c r="FN11" i="9"/>
  <c r="FI11" i="9"/>
  <c r="FJ11" i="9" s="1"/>
  <c r="FF11" i="9"/>
  <c r="FA11" i="9"/>
  <c r="FB11" i="9" s="1"/>
  <c r="EX11" i="9"/>
  <c r="ET11" i="9"/>
  <c r="EO11" i="9"/>
  <c r="EP11" i="9" s="1"/>
  <c r="EL11" i="9"/>
  <c r="EG11" i="9"/>
  <c r="EH11" i="9" s="1"/>
  <c r="ED11" i="9"/>
  <c r="DZ11" i="9"/>
  <c r="DV11" i="9"/>
  <c r="DR11" i="9"/>
  <c r="DM11" i="9"/>
  <c r="DN11" i="9" s="1"/>
  <c r="DJ11" i="9"/>
  <c r="DF11" i="9"/>
  <c r="DA11" i="9"/>
  <c r="DB11" i="9" s="1"/>
  <c r="CW11" i="9"/>
  <c r="CX11" i="9" s="1"/>
  <c r="CT11" i="9"/>
  <c r="CP11" i="9"/>
  <c r="CL11" i="9"/>
  <c r="CG11" i="9"/>
  <c r="CH11" i="9" s="1"/>
  <c r="CD11" i="9"/>
  <c r="BZ11" i="9"/>
  <c r="BV11" i="9"/>
  <c r="BR11" i="9"/>
  <c r="BN11" i="9"/>
  <c r="BJ11" i="9"/>
  <c r="BF11" i="9"/>
  <c r="BB11" i="9"/>
  <c r="AX11" i="9"/>
  <c r="AT11" i="9"/>
  <c r="AP11" i="9"/>
  <c r="AL11" i="9"/>
  <c r="AH11" i="9"/>
  <c r="AD11" i="9"/>
  <c r="Z11" i="9"/>
  <c r="V11" i="9"/>
  <c r="R11" i="9"/>
  <c r="N11" i="9"/>
  <c r="J11" i="9"/>
  <c r="F11" i="9"/>
  <c r="HT10" i="9"/>
  <c r="HN10" i="9"/>
  <c r="HJ10" i="9"/>
  <c r="HI10" i="9"/>
  <c r="HE10" i="9"/>
  <c r="HA10" i="9"/>
  <c r="GV10" i="9"/>
  <c r="GT10" i="9"/>
  <c r="GP10" i="9"/>
  <c r="GL10" i="9"/>
  <c r="GH10" i="9"/>
  <c r="GD10" i="9"/>
  <c r="FZ10" i="9"/>
  <c r="FU10" i="9"/>
  <c r="FV10" i="9" s="1"/>
  <c r="FR10" i="9"/>
  <c r="FN10" i="9"/>
  <c r="FI10" i="9"/>
  <c r="FJ10" i="9" s="1"/>
  <c r="FE10" i="9"/>
  <c r="FF10" i="9" s="1"/>
  <c r="FA10" i="9"/>
  <c r="FB10" i="9" s="1"/>
  <c r="EX10" i="9"/>
  <c r="ES10" i="9"/>
  <c r="ET10" i="9" s="1"/>
  <c r="EO10" i="9"/>
  <c r="EP10" i="9" s="1"/>
  <c r="EL10" i="9"/>
  <c r="EG10" i="9"/>
  <c r="EH10" i="9" s="1"/>
  <c r="ED10" i="9"/>
  <c r="DY10" i="9"/>
  <c r="DU10" i="9"/>
  <c r="DV10" i="9" s="1"/>
  <c r="DR10" i="9"/>
  <c r="DM10" i="9"/>
  <c r="DI10" i="9"/>
  <c r="DJ10" i="9" s="1"/>
  <c r="DF10" i="9"/>
  <c r="DB10" i="9"/>
  <c r="CX10" i="9"/>
  <c r="CT10" i="9"/>
  <c r="CP10" i="9"/>
  <c r="CL10" i="9"/>
  <c r="CH10" i="9"/>
  <c r="CD10" i="9"/>
  <c r="BZ10" i="9"/>
  <c r="BV10" i="9"/>
  <c r="BR10" i="9"/>
  <c r="BN10" i="9"/>
  <c r="BJ10" i="9"/>
  <c r="BF10" i="9"/>
  <c r="BB10" i="9"/>
  <c r="AX10" i="9"/>
  <c r="AT10" i="9"/>
  <c r="AP10" i="9"/>
  <c r="AL10" i="9"/>
  <c r="AH10" i="9"/>
  <c r="AD10" i="9"/>
  <c r="Z10" i="9"/>
  <c r="V10" i="9"/>
  <c r="R10" i="9"/>
  <c r="N10" i="9"/>
  <c r="J10" i="9"/>
  <c r="F10" i="9"/>
  <c r="HT9" i="9"/>
  <c r="HN9" i="9"/>
  <c r="HJ9" i="9"/>
  <c r="HI9" i="9"/>
  <c r="HE9" i="9"/>
  <c r="HA9" i="9"/>
  <c r="GV9" i="9"/>
  <c r="GT9" i="9"/>
  <c r="GP9" i="9"/>
  <c r="GL9" i="9"/>
  <c r="GH9" i="9"/>
  <c r="GD9" i="9"/>
  <c r="FZ9" i="9"/>
  <c r="FV9" i="9"/>
  <c r="FR9" i="9"/>
  <c r="FN9" i="9"/>
  <c r="FI9" i="9"/>
  <c r="FJ9" i="9" s="1"/>
  <c r="FF9" i="9"/>
  <c r="FB9" i="9"/>
  <c r="EX9" i="9"/>
  <c r="ET9" i="9"/>
  <c r="EO9" i="9"/>
  <c r="EP9" i="9" s="1"/>
  <c r="EL9" i="9"/>
  <c r="EG9" i="9"/>
  <c r="EH9" i="9" s="1"/>
  <c r="ED9" i="9"/>
  <c r="DY9" i="9"/>
  <c r="DZ9" i="9" s="1"/>
  <c r="DU9" i="9"/>
  <c r="DV9" i="9" s="1"/>
  <c r="DR9" i="9"/>
  <c r="DM9" i="9"/>
  <c r="DN9" i="9" s="1"/>
  <c r="DI9" i="9"/>
  <c r="DF9" i="9"/>
  <c r="DB9" i="9"/>
  <c r="CX9" i="9"/>
  <c r="CT9" i="9"/>
  <c r="CP9" i="9"/>
  <c r="CL9" i="9"/>
  <c r="CH9" i="9"/>
  <c r="CD9" i="9"/>
  <c r="BZ9" i="9"/>
  <c r="BV9" i="9"/>
  <c r="BR9" i="9"/>
  <c r="BN9" i="9"/>
  <c r="BJ9" i="9"/>
  <c r="BF9" i="9"/>
  <c r="BB9" i="9"/>
  <c r="AX9" i="9"/>
  <c r="AT9" i="9"/>
  <c r="AP9" i="9"/>
  <c r="AL9" i="9"/>
  <c r="AH9" i="9"/>
  <c r="AD9" i="9"/>
  <c r="Z9" i="9"/>
  <c r="V9" i="9"/>
  <c r="R9" i="9"/>
  <c r="N9" i="9"/>
  <c r="J9" i="9"/>
  <c r="F9" i="9"/>
  <c r="HU8" i="9"/>
  <c r="HT8" i="9"/>
  <c r="HN8" i="9"/>
  <c r="HJ8" i="9"/>
  <c r="HI8" i="9"/>
  <c r="HE8" i="9"/>
  <c r="HB8" i="9"/>
  <c r="HA8" i="9"/>
  <c r="HC8" i="9" s="1"/>
  <c r="GV8" i="9"/>
  <c r="GT8" i="9"/>
  <c r="GP8" i="9"/>
  <c r="GL8" i="9"/>
  <c r="GH8" i="9"/>
  <c r="GD8" i="9"/>
  <c r="FZ8" i="9"/>
  <c r="FV8" i="9"/>
  <c r="FR8" i="9"/>
  <c r="FN8" i="9"/>
  <c r="FJ8" i="9"/>
  <c r="FF8" i="9"/>
  <c r="FA8" i="9"/>
  <c r="FB8" i="9" s="1"/>
  <c r="EX8" i="9"/>
  <c r="ET8" i="9"/>
  <c r="EP8" i="9"/>
  <c r="EL8" i="9"/>
  <c r="EG8" i="9"/>
  <c r="EH8" i="9" s="1"/>
  <c r="ED8" i="9"/>
  <c r="DZ8" i="9"/>
  <c r="DV8" i="9"/>
  <c r="DR8" i="9"/>
  <c r="DN8" i="9"/>
  <c r="DI8" i="9"/>
  <c r="DJ8" i="9" s="1"/>
  <c r="DF8" i="9"/>
  <c r="DB8" i="9"/>
  <c r="CX8" i="9"/>
  <c r="CT8" i="9"/>
  <c r="CP8" i="9"/>
  <c r="CL8" i="9"/>
  <c r="CG8" i="9"/>
  <c r="CD8" i="9"/>
  <c r="BZ8" i="9"/>
  <c r="BV8" i="9"/>
  <c r="BR8" i="9"/>
  <c r="BM8" i="9"/>
  <c r="BJ8" i="9"/>
  <c r="BF8" i="9"/>
  <c r="BB8" i="9"/>
  <c r="AX8" i="9"/>
  <c r="AT8" i="9"/>
  <c r="AP8" i="9"/>
  <c r="AL8" i="9"/>
  <c r="AH8" i="9"/>
  <c r="AD8" i="9"/>
  <c r="Z8" i="9"/>
  <c r="V8" i="9"/>
  <c r="R8" i="9"/>
  <c r="N8" i="9"/>
  <c r="J8" i="9"/>
  <c r="F8" i="9"/>
  <c r="HT7" i="9"/>
  <c r="HN7" i="9"/>
  <c r="HJ7" i="9"/>
  <c r="HI7" i="9"/>
  <c r="HE7" i="9"/>
  <c r="HA7" i="9"/>
  <c r="GV7" i="9"/>
  <c r="GT7" i="9"/>
  <c r="GP7" i="9"/>
  <c r="GL7" i="9"/>
  <c r="GH7" i="9"/>
  <c r="GD7" i="9"/>
  <c r="FY7" i="9"/>
  <c r="FV7" i="9"/>
  <c r="FR7" i="9"/>
  <c r="FM7" i="9"/>
  <c r="FI7" i="9"/>
  <c r="FJ7" i="9" s="1"/>
  <c r="FE7" i="9"/>
  <c r="FA7" i="9"/>
  <c r="EX7" i="9"/>
  <c r="ES7" i="9"/>
  <c r="ET7" i="9" s="1"/>
  <c r="EO7" i="9"/>
  <c r="EP7" i="9" s="1"/>
  <c r="EK7" i="9"/>
  <c r="EG7" i="9"/>
  <c r="EH7" i="9" s="1"/>
  <c r="ED7" i="9"/>
  <c r="DY7" i="9"/>
  <c r="DU7" i="9"/>
  <c r="DV7" i="9" s="1"/>
  <c r="DR7" i="9"/>
  <c r="DN7" i="9"/>
  <c r="DJ7" i="9"/>
  <c r="DF7" i="9"/>
  <c r="DB7" i="9"/>
  <c r="CW7" i="9"/>
  <c r="CT7" i="9"/>
  <c r="CP7" i="9"/>
  <c r="CL7" i="9"/>
  <c r="CH7" i="9"/>
  <c r="CD7" i="9"/>
  <c r="BZ7" i="9"/>
  <c r="BV7" i="9"/>
  <c r="BR7" i="9"/>
  <c r="BN7" i="9"/>
  <c r="BJ7" i="9"/>
  <c r="BF7" i="9"/>
  <c r="BB7" i="9"/>
  <c r="AX7" i="9"/>
  <c r="AT7" i="9"/>
  <c r="AP7" i="9"/>
  <c r="AL7" i="9"/>
  <c r="AH7" i="9"/>
  <c r="AD7" i="9"/>
  <c r="Z7" i="9"/>
  <c r="V7" i="9"/>
  <c r="R7" i="9"/>
  <c r="N7" i="9"/>
  <c r="J7" i="9"/>
  <c r="F7" i="9"/>
  <c r="HU6" i="9"/>
  <c r="HT6" i="9"/>
  <c r="HN6" i="9"/>
  <c r="HJ6" i="9"/>
  <c r="HI6" i="9"/>
  <c r="HE6" i="9"/>
  <c r="HA6" i="9"/>
  <c r="GV6" i="9"/>
  <c r="GT6" i="9"/>
  <c r="GP6" i="9"/>
  <c r="GL6" i="9"/>
  <c r="GH6" i="9"/>
  <c r="GD6" i="9"/>
  <c r="FZ6" i="9"/>
  <c r="FV6" i="9"/>
  <c r="FR6" i="9"/>
  <c r="FN6" i="9"/>
  <c r="FJ6" i="9"/>
  <c r="FF6" i="9"/>
  <c r="FB6" i="9"/>
  <c r="EX6" i="9"/>
  <c r="ET6" i="9"/>
  <c r="EO6" i="9"/>
  <c r="EP6" i="9" s="1"/>
  <c r="EL6" i="9"/>
  <c r="EG6" i="9"/>
  <c r="EH6" i="9" s="1"/>
  <c r="ED6" i="9"/>
  <c r="DY6" i="9"/>
  <c r="DZ6" i="9" s="1"/>
  <c r="DU6" i="9"/>
  <c r="DV6" i="9" s="1"/>
  <c r="DR6" i="9"/>
  <c r="DN6" i="9"/>
  <c r="DI6" i="9"/>
  <c r="DJ6" i="9" s="1"/>
  <c r="DF6" i="9"/>
  <c r="DA6" i="9"/>
  <c r="CW6" i="9"/>
  <c r="CX6" i="9" s="1"/>
  <c r="CT6" i="9"/>
  <c r="CP6" i="9"/>
  <c r="CL6" i="9"/>
  <c r="CH6" i="9"/>
  <c r="CC6" i="9"/>
  <c r="CD6" i="9" s="1"/>
  <c r="BZ6" i="9"/>
  <c r="BU6" i="9"/>
  <c r="BR6" i="9"/>
  <c r="BN6" i="9"/>
  <c r="BJ6" i="9"/>
  <c r="BF6" i="9"/>
  <c r="BB6" i="9"/>
  <c r="AX6" i="9"/>
  <c r="AT6" i="9"/>
  <c r="AP6" i="9"/>
  <c r="AL6" i="9"/>
  <c r="AH6" i="9"/>
  <c r="AD6" i="9"/>
  <c r="Z6" i="9"/>
  <c r="V6" i="9"/>
  <c r="R6" i="9"/>
  <c r="N6" i="9"/>
  <c r="J6" i="9"/>
  <c r="F6" i="9"/>
  <c r="HT5" i="9"/>
  <c r="HN5" i="9"/>
  <c r="HI5" i="9"/>
  <c r="HE5" i="9"/>
  <c r="HA5" i="9"/>
  <c r="GV5" i="9"/>
  <c r="GT5" i="9"/>
  <c r="GP5" i="9"/>
  <c r="GL5" i="9"/>
  <c r="GH5" i="9"/>
  <c r="GD5" i="9"/>
  <c r="FZ5" i="9"/>
  <c r="FU5" i="9"/>
  <c r="FR5" i="9"/>
  <c r="FN5" i="9"/>
  <c r="FJ5" i="9"/>
  <c r="FF5" i="9"/>
  <c r="FA5" i="9"/>
  <c r="FB5" i="9" s="1"/>
  <c r="EX5" i="9"/>
  <c r="ES5" i="9"/>
  <c r="ET5" i="9" s="1"/>
  <c r="EO5" i="9"/>
  <c r="EP5" i="9" s="1"/>
  <c r="EL5" i="9"/>
  <c r="EG5" i="9"/>
  <c r="EH5" i="9" s="1"/>
  <c r="ED5" i="9"/>
  <c r="DY5" i="9"/>
  <c r="DZ5" i="9" s="1"/>
  <c r="DU5" i="9"/>
  <c r="DV5" i="9" s="1"/>
  <c r="DR5" i="9"/>
  <c r="DM5" i="9"/>
  <c r="HU5" i="9" s="1"/>
  <c r="DJ5" i="9"/>
  <c r="DE5" i="9"/>
  <c r="HJ5" i="9" s="1"/>
  <c r="DB5" i="9"/>
  <c r="CW5" i="9"/>
  <c r="CT5" i="9"/>
  <c r="CP5" i="9"/>
  <c r="CL5" i="9"/>
  <c r="CH5" i="9"/>
  <c r="CC5" i="9"/>
  <c r="BZ5" i="9"/>
  <c r="BV5" i="9"/>
  <c r="BR5" i="9"/>
  <c r="BN5" i="9"/>
  <c r="BJ5" i="9"/>
  <c r="BF5" i="9"/>
  <c r="BB5" i="9"/>
  <c r="AX5" i="9"/>
  <c r="AT5" i="9"/>
  <c r="AP5" i="9"/>
  <c r="AL5" i="9"/>
  <c r="AH5" i="9"/>
  <c r="AD5" i="9"/>
  <c r="Z5" i="9"/>
  <c r="V5" i="9"/>
  <c r="R5" i="9"/>
  <c r="N5" i="9"/>
  <c r="J5" i="9"/>
  <c r="F5" i="9"/>
  <c r="HU4" i="9"/>
  <c r="HX4" i="9" s="1"/>
  <c r="HT4" i="9"/>
  <c r="HN4" i="9"/>
  <c r="HJ4" i="9"/>
  <c r="HI4" i="9"/>
  <c r="HF4" i="9"/>
  <c r="HE4" i="9"/>
  <c r="HA4" i="9"/>
  <c r="GV4" i="9"/>
  <c r="GT4" i="9"/>
  <c r="GP4" i="9"/>
  <c r="GL4" i="9"/>
  <c r="GH4" i="9"/>
  <c r="GD4" i="9"/>
  <c r="FZ4" i="9"/>
  <c r="FV4" i="9"/>
  <c r="FR4" i="9"/>
  <c r="FN4" i="9"/>
  <c r="FJ4" i="9"/>
  <c r="FF4" i="9"/>
  <c r="FA4" i="9"/>
  <c r="EX4" i="9"/>
  <c r="ET4" i="9"/>
  <c r="EO4" i="9"/>
  <c r="EP4" i="9" s="1"/>
  <c r="EL4" i="9"/>
  <c r="EG4" i="9"/>
  <c r="EH4" i="9" s="1"/>
  <c r="ED4" i="9"/>
  <c r="DZ4" i="9"/>
  <c r="DU4" i="9"/>
  <c r="DV4" i="9" s="1"/>
  <c r="DR4" i="9"/>
  <c r="DN4" i="9"/>
  <c r="DI4" i="9"/>
  <c r="DJ4" i="9" s="1"/>
  <c r="DF4" i="9"/>
  <c r="DB4" i="9"/>
  <c r="CW4" i="9"/>
  <c r="CX4" i="9" s="1"/>
  <c r="CT4" i="9"/>
  <c r="CP4" i="9"/>
  <c r="CL4" i="9"/>
  <c r="CH4" i="9"/>
  <c r="CD4" i="9"/>
  <c r="BZ4" i="9"/>
  <c r="BV4" i="9"/>
  <c r="BR4" i="9"/>
  <c r="BN4" i="9"/>
  <c r="BJ4" i="9"/>
  <c r="BF4" i="9"/>
  <c r="BB4" i="9"/>
  <c r="AX4" i="9"/>
  <c r="AT4" i="9"/>
  <c r="AP4" i="9"/>
  <c r="AL4" i="9"/>
  <c r="AH4" i="9"/>
  <c r="AD4" i="9"/>
  <c r="Z4" i="9"/>
  <c r="V4" i="9"/>
  <c r="R4" i="9"/>
  <c r="N4" i="9"/>
  <c r="J4" i="9"/>
  <c r="F4" i="9"/>
  <c r="GS62" i="8"/>
  <c r="GR62" i="8"/>
  <c r="GN62" i="8"/>
  <c r="GK62" i="8"/>
  <c r="GJ62" i="8"/>
  <c r="GG62" i="8"/>
  <c r="GF62" i="8"/>
  <c r="GB62" i="8"/>
  <c r="FX62" i="8"/>
  <c r="FW62" i="8"/>
  <c r="FT62" i="8"/>
  <c r="FS62" i="8"/>
  <c r="FQ62" i="8"/>
  <c r="FP62" i="8"/>
  <c r="FO62" i="8"/>
  <c r="FL62" i="8"/>
  <c r="FK62" i="8"/>
  <c r="FH62" i="8"/>
  <c r="FD62" i="8"/>
  <c r="FC62" i="8"/>
  <c r="EZ62" i="8"/>
  <c r="EY62" i="8"/>
  <c r="EV62" i="8"/>
  <c r="EU62" i="8"/>
  <c r="ER62" i="8"/>
  <c r="EQ62" i="8"/>
  <c r="EN62" i="8"/>
  <c r="EM62" i="8"/>
  <c r="EJ62" i="8"/>
  <c r="EI62" i="8"/>
  <c r="EF62" i="8"/>
  <c r="EE62" i="8"/>
  <c r="EB62" i="8"/>
  <c r="EA62" i="8"/>
  <c r="DX62" i="8"/>
  <c r="DW62" i="8"/>
  <c r="DT62" i="8"/>
  <c r="DS62" i="8"/>
  <c r="DR62" i="8"/>
  <c r="DQ62" i="8"/>
  <c r="DP62" i="8"/>
  <c r="DO62" i="8"/>
  <c r="DM62" i="8"/>
  <c r="DL62" i="8"/>
  <c r="DK62" i="8"/>
  <c r="DH62" i="8"/>
  <c r="DG62" i="8"/>
  <c r="DD62" i="8"/>
  <c r="DC62" i="8"/>
  <c r="CZ62" i="8"/>
  <c r="CY62" i="8"/>
  <c r="CV62" i="8"/>
  <c r="CU62" i="8"/>
  <c r="CR62" i="8"/>
  <c r="CQ62" i="8"/>
  <c r="CN62" i="8"/>
  <c r="CM62" i="8"/>
  <c r="CJ62" i="8"/>
  <c r="CI62" i="8"/>
  <c r="CF62" i="8"/>
  <c r="CE62" i="8"/>
  <c r="CB62" i="8"/>
  <c r="CA62" i="8"/>
  <c r="BX62" i="8"/>
  <c r="BW62" i="8"/>
  <c r="BT62" i="8"/>
  <c r="BS62" i="8"/>
  <c r="BP62" i="8"/>
  <c r="BO62" i="8"/>
  <c r="BL62" i="8"/>
  <c r="BK62" i="8"/>
  <c r="BH62" i="8"/>
  <c r="BG62" i="8"/>
  <c r="BD62" i="8"/>
  <c r="BC62" i="8"/>
  <c r="AY62" i="8"/>
  <c r="AU62" i="8"/>
  <c r="AR62" i="8"/>
  <c r="AQ62" i="8"/>
  <c r="AN62" i="8"/>
  <c r="AM62" i="8"/>
  <c r="AI62" i="8"/>
  <c r="AE62" i="8"/>
  <c r="AA62" i="8"/>
  <c r="W62" i="8"/>
  <c r="S62" i="8"/>
  <c r="O62" i="8"/>
  <c r="K62" i="8"/>
  <c r="G62" i="8"/>
  <c r="E62" i="8"/>
  <c r="D62" i="8"/>
  <c r="HR61" i="8"/>
  <c r="HQ61" i="8"/>
  <c r="HM61" i="8"/>
  <c r="HJ61" i="8"/>
  <c r="HI61" i="8"/>
  <c r="HF61" i="8"/>
  <c r="HE61" i="8"/>
  <c r="HA61" i="8"/>
  <c r="GV61" i="8"/>
  <c r="FZ61" i="8"/>
  <c r="FV61" i="8"/>
  <c r="FR61" i="8"/>
  <c r="FN61" i="8"/>
  <c r="FJ61" i="8"/>
  <c r="FF61" i="8"/>
  <c r="FB61" i="8"/>
  <c r="EX61" i="8"/>
  <c r="ET61" i="8"/>
  <c r="EL61" i="8"/>
  <c r="EG61" i="8"/>
  <c r="HN61" i="8" s="1"/>
  <c r="ED61" i="8"/>
  <c r="DZ61" i="8"/>
  <c r="DU61" i="8"/>
  <c r="HR60" i="8"/>
  <c r="HQ60" i="8"/>
  <c r="HN60" i="8"/>
  <c r="HM60" i="8"/>
  <c r="HJ60" i="8"/>
  <c r="HI60" i="8"/>
  <c r="HF60" i="8"/>
  <c r="HE60" i="8"/>
  <c r="HB60" i="8"/>
  <c r="HA60" i="8"/>
  <c r="GW60" i="8"/>
  <c r="GV60" i="8"/>
  <c r="GT60" i="8"/>
  <c r="GP60" i="8"/>
  <c r="GL60" i="8"/>
  <c r="GH60" i="8"/>
  <c r="GD60" i="8"/>
  <c r="FZ60" i="8"/>
  <c r="FV60" i="8"/>
  <c r="FR60" i="8"/>
  <c r="FN60" i="8"/>
  <c r="FJ60" i="8"/>
  <c r="FF60" i="8"/>
  <c r="FB60" i="8"/>
  <c r="EX60" i="8"/>
  <c r="ET60" i="8"/>
  <c r="EP60" i="8"/>
  <c r="HR59" i="8"/>
  <c r="HQ59" i="8"/>
  <c r="HN59" i="8"/>
  <c r="HM59" i="8"/>
  <c r="HJ59" i="8"/>
  <c r="HI59" i="8"/>
  <c r="HF59" i="8"/>
  <c r="HE59" i="8"/>
  <c r="HB59" i="8"/>
  <c r="HA59" i="8"/>
  <c r="GW59" i="8"/>
  <c r="GV59" i="8"/>
  <c r="GT59" i="8"/>
  <c r="GP59" i="8"/>
  <c r="GL59" i="8"/>
  <c r="GH59" i="8"/>
  <c r="GD59" i="8"/>
  <c r="FJ59" i="8"/>
  <c r="FF59" i="8"/>
  <c r="FB59" i="8"/>
  <c r="EX59" i="8"/>
  <c r="ET59" i="8"/>
  <c r="EP59" i="8"/>
  <c r="HR58" i="8"/>
  <c r="HQ58" i="8"/>
  <c r="HN58" i="8"/>
  <c r="HM58" i="8"/>
  <c r="HJ58" i="8"/>
  <c r="HI58" i="8"/>
  <c r="HF58" i="8"/>
  <c r="HE58" i="8"/>
  <c r="HB58" i="8"/>
  <c r="HA58" i="8"/>
  <c r="GW58" i="8"/>
  <c r="GV58" i="8"/>
  <c r="GT58" i="8"/>
  <c r="GP58" i="8"/>
  <c r="GL58" i="8"/>
  <c r="GH58" i="8"/>
  <c r="GD58" i="8"/>
  <c r="FZ58" i="8"/>
  <c r="FV58" i="8"/>
  <c r="FR58" i="8"/>
  <c r="FN58" i="8"/>
  <c r="FJ58" i="8"/>
  <c r="FF58" i="8"/>
  <c r="FB58" i="8"/>
  <c r="EX58" i="8"/>
  <c r="ET58" i="8"/>
  <c r="EP58" i="8"/>
  <c r="EL58" i="8"/>
  <c r="EH58" i="8"/>
  <c r="ED58" i="8"/>
  <c r="DZ58" i="8"/>
  <c r="DV58" i="8"/>
  <c r="DN58" i="8"/>
  <c r="DJ58" i="8"/>
  <c r="DF58" i="8"/>
  <c r="DB58" i="8"/>
  <c r="CX58" i="8"/>
  <c r="CT58" i="8"/>
  <c r="CP58" i="8"/>
  <c r="CL58" i="8"/>
  <c r="CH58" i="8"/>
  <c r="CD58" i="8"/>
  <c r="BZ58" i="8"/>
  <c r="BV58" i="8"/>
  <c r="BR58" i="8"/>
  <c r="BN58" i="8"/>
  <c r="BJ58" i="8"/>
  <c r="BF58" i="8"/>
  <c r="BB58" i="8"/>
  <c r="AX58" i="8"/>
  <c r="AT58" i="8"/>
  <c r="AP58" i="8"/>
  <c r="AL58" i="8"/>
  <c r="AH58" i="8"/>
  <c r="AD58" i="8"/>
  <c r="Z58" i="8"/>
  <c r="V58" i="8"/>
  <c r="R58" i="8"/>
  <c r="N58" i="8"/>
  <c r="J58" i="8"/>
  <c r="F58" i="8"/>
  <c r="HR57" i="8"/>
  <c r="HQ57" i="8"/>
  <c r="HN57" i="8"/>
  <c r="HM57" i="8"/>
  <c r="HJ57" i="8"/>
  <c r="HI57" i="8"/>
  <c r="HF57" i="8"/>
  <c r="HE57" i="8"/>
  <c r="HB57" i="8"/>
  <c r="HA57" i="8"/>
  <c r="GW57" i="8"/>
  <c r="GV57" i="8"/>
  <c r="GT57" i="8"/>
  <c r="GP57" i="8"/>
  <c r="GL57" i="8"/>
  <c r="GH57" i="8"/>
  <c r="GD57" i="8"/>
  <c r="FZ57" i="8"/>
  <c r="FV57" i="8"/>
  <c r="FR57" i="8"/>
  <c r="FN57" i="8"/>
  <c r="FJ57" i="8"/>
  <c r="FF57" i="8"/>
  <c r="FB57" i="8"/>
  <c r="EX57" i="8"/>
  <c r="ET57" i="8"/>
  <c r="EP57" i="8"/>
  <c r="EL57" i="8"/>
  <c r="EH57" i="8"/>
  <c r="ED57" i="8"/>
  <c r="DZ57" i="8"/>
  <c r="DV57" i="8"/>
  <c r="DN57" i="8"/>
  <c r="DJ57" i="8"/>
  <c r="DF57" i="8"/>
  <c r="DB57" i="8"/>
  <c r="CX57" i="8"/>
  <c r="CT57" i="8"/>
  <c r="CP57" i="8"/>
  <c r="CL57" i="8"/>
  <c r="CH57" i="8"/>
  <c r="CD57" i="8"/>
  <c r="BZ57" i="8"/>
  <c r="BV57" i="8"/>
  <c r="BR57" i="8"/>
  <c r="BN57" i="8"/>
  <c r="BJ57" i="8"/>
  <c r="BF57" i="8"/>
  <c r="BB57" i="8"/>
  <c r="AX57" i="8"/>
  <c r="AT57" i="8"/>
  <c r="AP57" i="8"/>
  <c r="AL57" i="8"/>
  <c r="AH57" i="8"/>
  <c r="AD57" i="8"/>
  <c r="Z57" i="8"/>
  <c r="V57" i="8"/>
  <c r="R57" i="8"/>
  <c r="N57" i="8"/>
  <c r="J57" i="8"/>
  <c r="F57" i="8"/>
  <c r="HR56" i="8"/>
  <c r="HQ56" i="8"/>
  <c r="HM56" i="8"/>
  <c r="HJ56" i="8"/>
  <c r="HI56" i="8"/>
  <c r="HE56" i="8"/>
  <c r="HA56" i="8"/>
  <c r="GV56" i="8"/>
  <c r="GT56" i="8"/>
  <c r="GP56" i="8"/>
  <c r="GL56" i="8"/>
  <c r="GH56" i="8"/>
  <c r="GD56" i="8"/>
  <c r="FZ56" i="8"/>
  <c r="FV56" i="8"/>
  <c r="FR56" i="8"/>
  <c r="FN56" i="8"/>
  <c r="FJ56" i="8"/>
  <c r="FF56" i="8"/>
  <c r="FB56" i="8"/>
  <c r="EX56" i="8"/>
  <c r="ET56" i="8"/>
  <c r="EO56" i="8"/>
  <c r="EP56" i="8" s="1"/>
  <c r="EL56" i="8"/>
  <c r="EG56" i="8"/>
  <c r="EH56" i="8" s="1"/>
  <c r="ED56" i="8"/>
  <c r="DZ56" i="8"/>
  <c r="DU56" i="8"/>
  <c r="DV56" i="8" s="1"/>
  <c r="DN56" i="8"/>
  <c r="DJ56" i="8"/>
  <c r="DE56" i="8"/>
  <c r="DF56" i="8" s="1"/>
  <c r="DB56" i="8"/>
  <c r="CW56" i="8"/>
  <c r="CX56" i="8" s="1"/>
  <c r="CS56" i="8"/>
  <c r="CT56" i="8" s="1"/>
  <c r="CP56" i="8"/>
  <c r="CK56" i="8"/>
  <c r="CL56" i="8" s="1"/>
  <c r="CH56" i="8"/>
  <c r="CD56" i="8"/>
  <c r="BY56" i="8"/>
  <c r="BZ56" i="8" s="1"/>
  <c r="BV56" i="8"/>
  <c r="BQ56" i="8"/>
  <c r="BR56" i="8" s="1"/>
  <c r="BN56" i="8"/>
  <c r="BI56" i="8"/>
  <c r="BJ56" i="8" s="1"/>
  <c r="BE56" i="8"/>
  <c r="BF56" i="8" s="1"/>
  <c r="BA56" i="8"/>
  <c r="BB56" i="8" s="1"/>
  <c r="AX56" i="8"/>
  <c r="AS56" i="8"/>
  <c r="AO56" i="8"/>
  <c r="AP56" i="8" s="1"/>
  <c r="AL56" i="8"/>
  <c r="AH56" i="8"/>
  <c r="AD56" i="8"/>
  <c r="Z56" i="8"/>
  <c r="V56" i="8"/>
  <c r="R56" i="8"/>
  <c r="N56" i="8"/>
  <c r="J56" i="8"/>
  <c r="F56" i="8"/>
  <c r="HR55" i="8"/>
  <c r="HQ55" i="8"/>
  <c r="HM55" i="8"/>
  <c r="HJ55" i="8"/>
  <c r="HI55" i="8"/>
  <c r="HA55" i="8"/>
  <c r="GT55" i="8"/>
  <c r="GP55" i="8"/>
  <c r="GL55" i="8"/>
  <c r="GH55" i="8"/>
  <c r="GD55" i="8"/>
  <c r="FZ55" i="8"/>
  <c r="FV55" i="8"/>
  <c r="FR55" i="8"/>
  <c r="FN55" i="8"/>
  <c r="FJ55" i="8"/>
  <c r="FF55" i="8"/>
  <c r="FA55" i="8"/>
  <c r="FB55" i="8" s="1"/>
  <c r="EX55" i="8"/>
  <c r="ES55" i="8"/>
  <c r="ET55" i="8" s="1"/>
  <c r="EO55" i="8"/>
  <c r="EP55" i="8" s="1"/>
  <c r="EL55" i="8"/>
  <c r="EG55" i="8"/>
  <c r="EH55" i="8" s="1"/>
  <c r="ED55" i="8"/>
  <c r="DY55" i="8"/>
  <c r="DZ55" i="8" s="1"/>
  <c r="DU55" i="8"/>
  <c r="DV55" i="8" s="1"/>
  <c r="DN55" i="8"/>
  <c r="DJ55" i="8"/>
  <c r="DE55" i="8"/>
  <c r="DF55" i="8" s="1"/>
  <c r="DB55" i="8"/>
  <c r="CW55" i="8"/>
  <c r="CT55" i="8"/>
  <c r="CP55" i="8"/>
  <c r="CK55" i="8"/>
  <c r="CL55" i="8" s="1"/>
  <c r="CH55" i="8"/>
  <c r="CD55" i="8"/>
  <c r="BY55" i="8"/>
  <c r="BZ55" i="8" s="1"/>
  <c r="BV55" i="8"/>
  <c r="BQ55" i="8"/>
  <c r="BR55" i="8" s="1"/>
  <c r="BN55" i="8"/>
  <c r="BJ55" i="8"/>
  <c r="BE55" i="8"/>
  <c r="BF55" i="8" s="1"/>
  <c r="BA55" i="8"/>
  <c r="BB55" i="8" s="1"/>
  <c r="AX55" i="8"/>
  <c r="AT55" i="8"/>
  <c r="AO55" i="8"/>
  <c r="AP55" i="8" s="1"/>
  <c r="AL55" i="8"/>
  <c r="AH55" i="8"/>
  <c r="AB55" i="8"/>
  <c r="HE55" i="8" s="1"/>
  <c r="Z55" i="8"/>
  <c r="V55" i="8"/>
  <c r="R55" i="8"/>
  <c r="N55" i="8"/>
  <c r="J55" i="8"/>
  <c r="F55" i="8"/>
  <c r="HQ54" i="8"/>
  <c r="HF54" i="8"/>
  <c r="GT54" i="8"/>
  <c r="GP54" i="8"/>
  <c r="GL54" i="8"/>
  <c r="GH54" i="8"/>
  <c r="GD54" i="8"/>
  <c r="FZ54" i="8"/>
  <c r="FV54" i="8"/>
  <c r="FR54" i="8"/>
  <c r="FN54" i="8"/>
  <c r="FJ54" i="8"/>
  <c r="FF54" i="8"/>
  <c r="FB54" i="8"/>
  <c r="EX54" i="8"/>
  <c r="ET54" i="8"/>
  <c r="EP54" i="8"/>
  <c r="EL54" i="8"/>
  <c r="EH54" i="8"/>
  <c r="ED54" i="8"/>
  <c r="DZ54" i="8"/>
  <c r="DV54" i="8"/>
  <c r="DN54" i="8"/>
  <c r="DJ54" i="8"/>
  <c r="DE54" i="8"/>
  <c r="DF54" i="8" s="1"/>
  <c r="DB54" i="8"/>
  <c r="CX54" i="8"/>
  <c r="CS54" i="8"/>
  <c r="CT54" i="8" s="1"/>
  <c r="CO54" i="8"/>
  <c r="CK54" i="8"/>
  <c r="CL54" i="8" s="1"/>
  <c r="CH54" i="8"/>
  <c r="CD54" i="8"/>
  <c r="BY54" i="8"/>
  <c r="BZ54" i="8" s="1"/>
  <c r="BV54" i="8"/>
  <c r="BQ54" i="8"/>
  <c r="BR54" i="8" s="1"/>
  <c r="BN54" i="8"/>
  <c r="BJ54" i="8"/>
  <c r="BF54" i="8"/>
  <c r="BA54" i="8"/>
  <c r="AX54" i="8"/>
  <c r="AT54" i="8"/>
  <c r="AO54" i="8"/>
  <c r="AJ54" i="8"/>
  <c r="HM54" i="8" s="1"/>
  <c r="AF54" i="8"/>
  <c r="AH54" i="8" s="1"/>
  <c r="AB54" i="8"/>
  <c r="HE54" i="8" s="1"/>
  <c r="X54" i="8"/>
  <c r="X62" i="8" s="1"/>
  <c r="U54" i="8"/>
  <c r="HJ54" i="8" s="1"/>
  <c r="T54" i="8"/>
  <c r="R54" i="8"/>
  <c r="N54" i="8"/>
  <c r="J54" i="8"/>
  <c r="F54" i="8"/>
  <c r="HQ53" i="8"/>
  <c r="HM53" i="8"/>
  <c r="HI53" i="8"/>
  <c r="HE53" i="8"/>
  <c r="HA53" i="8"/>
  <c r="GV53" i="8"/>
  <c r="GT53" i="8"/>
  <c r="GP53" i="8"/>
  <c r="GL53" i="8"/>
  <c r="GH53" i="8"/>
  <c r="GD53" i="8"/>
  <c r="FZ53" i="8"/>
  <c r="FU53" i="8"/>
  <c r="FV53" i="8" s="1"/>
  <c r="FR53" i="8"/>
  <c r="FM53" i="8"/>
  <c r="FN53" i="8" s="1"/>
  <c r="FJ53" i="8"/>
  <c r="FE53" i="8"/>
  <c r="FF53" i="8" s="1"/>
  <c r="FA53" i="8"/>
  <c r="FB53" i="8" s="1"/>
  <c r="EX53" i="8"/>
  <c r="ES53" i="8"/>
  <c r="ET53" i="8" s="1"/>
  <c r="EO53" i="8"/>
  <c r="EP53" i="8" s="1"/>
  <c r="EK53" i="8"/>
  <c r="EL53" i="8" s="1"/>
  <c r="EG53" i="8"/>
  <c r="EH53" i="8" s="1"/>
  <c r="ED53" i="8"/>
  <c r="DY53" i="8"/>
  <c r="DZ53" i="8" s="1"/>
  <c r="DU53" i="8"/>
  <c r="DV53" i="8" s="1"/>
  <c r="DN53" i="8"/>
  <c r="DI53" i="8"/>
  <c r="DJ53" i="8" s="1"/>
  <c r="DE53" i="8"/>
  <c r="DF53" i="8" s="1"/>
  <c r="DA53" i="8"/>
  <c r="DB53" i="8" s="1"/>
  <c r="CW53" i="8"/>
  <c r="CX53" i="8" s="1"/>
  <c r="CS53" i="8"/>
  <c r="CT53" i="8" s="1"/>
  <c r="CP53" i="8"/>
  <c r="CK53" i="8"/>
  <c r="CL53" i="8" s="1"/>
  <c r="CH53" i="8"/>
  <c r="CC53" i="8"/>
  <c r="CD53" i="8" s="1"/>
  <c r="BY53" i="8"/>
  <c r="BZ53" i="8" s="1"/>
  <c r="BU53" i="8"/>
  <c r="BV53" i="8" s="1"/>
  <c r="BQ53" i="8"/>
  <c r="BR53" i="8" s="1"/>
  <c r="BM53" i="8"/>
  <c r="BN53" i="8" s="1"/>
  <c r="BI53" i="8"/>
  <c r="BJ53" i="8" s="1"/>
  <c r="BE53" i="8"/>
  <c r="BF53" i="8" s="1"/>
  <c r="BA53" i="8"/>
  <c r="BB53" i="8" s="1"/>
  <c r="AW53" i="8"/>
  <c r="AX53" i="8" s="1"/>
  <c r="AS53" i="8"/>
  <c r="AO53" i="8"/>
  <c r="AP53" i="8" s="1"/>
  <c r="AL53" i="8"/>
  <c r="AG53" i="8"/>
  <c r="AD53" i="8"/>
  <c r="Y53" i="8"/>
  <c r="Z53" i="8" s="1"/>
  <c r="V53" i="8"/>
  <c r="R53" i="8"/>
  <c r="N53" i="8"/>
  <c r="J53" i="8"/>
  <c r="F53" i="8"/>
  <c r="HQ52" i="8"/>
  <c r="HM52" i="8"/>
  <c r="HA52" i="8"/>
  <c r="GT52" i="8"/>
  <c r="GP52" i="8"/>
  <c r="GL52" i="8"/>
  <c r="GH52" i="8"/>
  <c r="GD52" i="8"/>
  <c r="FZ52" i="8"/>
  <c r="FV52" i="8"/>
  <c r="FR52" i="8"/>
  <c r="FN52" i="8"/>
  <c r="FI52" i="8"/>
  <c r="FJ52" i="8" s="1"/>
  <c r="FF52" i="8"/>
  <c r="FB52" i="8"/>
  <c r="EX52" i="8"/>
  <c r="ET52" i="8"/>
  <c r="EO52" i="8"/>
  <c r="EP52" i="8" s="1"/>
  <c r="EL52" i="8"/>
  <c r="EG52" i="8"/>
  <c r="EH52" i="8" s="1"/>
  <c r="ED52" i="8"/>
  <c r="DZ52" i="8"/>
  <c r="DU52" i="8"/>
  <c r="DV52" i="8" s="1"/>
  <c r="DN52" i="8"/>
  <c r="DJ52" i="8"/>
  <c r="DE52" i="8"/>
  <c r="DF52" i="8" s="1"/>
  <c r="DB52" i="8"/>
  <c r="CX52" i="8"/>
  <c r="CS52" i="8"/>
  <c r="CT52" i="8" s="1"/>
  <c r="CO52" i="8"/>
  <c r="CK52" i="8"/>
  <c r="CH52" i="8"/>
  <c r="CC52" i="8"/>
  <c r="CD52" i="8" s="1"/>
  <c r="BY52" i="8"/>
  <c r="BZ52" i="8" s="1"/>
  <c r="BV52" i="8"/>
  <c r="BR52" i="8"/>
  <c r="BN52" i="8"/>
  <c r="BI52" i="8"/>
  <c r="BE52" i="8"/>
  <c r="BB52" i="8"/>
  <c r="AW52" i="8"/>
  <c r="AS52" i="8"/>
  <c r="AT52" i="8" s="1"/>
  <c r="AP52" i="8"/>
  <c r="AL52" i="8"/>
  <c r="AF52" i="8"/>
  <c r="HI52" i="8" s="1"/>
  <c r="AB52" i="8"/>
  <c r="AD52" i="8" s="1"/>
  <c r="Z52" i="8"/>
  <c r="V52" i="8"/>
  <c r="P52" i="8"/>
  <c r="N52" i="8"/>
  <c r="J52" i="8"/>
  <c r="F52" i="8"/>
  <c r="HQ51" i="8"/>
  <c r="HM51" i="8"/>
  <c r="HI51" i="8"/>
  <c r="HE51" i="8"/>
  <c r="HA51" i="8"/>
  <c r="GV51" i="8"/>
  <c r="GT51" i="8"/>
  <c r="GP51" i="8"/>
  <c r="GL51" i="8"/>
  <c r="GH51" i="8"/>
  <c r="GD51" i="8"/>
  <c r="FZ51" i="8"/>
  <c r="FV51" i="8"/>
  <c r="FR51" i="8"/>
  <c r="FN51" i="8"/>
  <c r="FJ51" i="8"/>
  <c r="FF51" i="8"/>
  <c r="FA51" i="8"/>
  <c r="FB51" i="8" s="1"/>
  <c r="EX51" i="8"/>
  <c r="ES51" i="8"/>
  <c r="ET51" i="8" s="1"/>
  <c r="EO51" i="8"/>
  <c r="EP51" i="8" s="1"/>
  <c r="EL51" i="8"/>
  <c r="EH51" i="8"/>
  <c r="ED51" i="8"/>
  <c r="DY51" i="8"/>
  <c r="DZ51" i="8" s="1"/>
  <c r="DV51" i="8"/>
  <c r="DN51" i="8"/>
  <c r="DJ51" i="8"/>
  <c r="DE51" i="8"/>
  <c r="DF51" i="8" s="1"/>
  <c r="DB51" i="8"/>
  <c r="CW51" i="8"/>
  <c r="CX51" i="8" s="1"/>
  <c r="CS51" i="8"/>
  <c r="CT51" i="8" s="1"/>
  <c r="CO51" i="8"/>
  <c r="HR51" i="8" s="1"/>
  <c r="CK51" i="8"/>
  <c r="CL51" i="8" s="1"/>
  <c r="CG51" i="8"/>
  <c r="CH51" i="8" s="1"/>
  <c r="CC51" i="8"/>
  <c r="CD51" i="8" s="1"/>
  <c r="BY51" i="8"/>
  <c r="BZ51" i="8" s="1"/>
  <c r="BV51" i="8"/>
  <c r="BQ51" i="8"/>
  <c r="BR51" i="8" s="1"/>
  <c r="BN51" i="8"/>
  <c r="BI51" i="8"/>
  <c r="BJ51" i="8" s="1"/>
  <c r="BE51" i="8"/>
  <c r="BF51" i="8" s="1"/>
  <c r="BA51" i="8"/>
  <c r="BB51" i="8" s="1"/>
  <c r="AW51" i="8"/>
  <c r="AT51" i="8"/>
  <c r="AO51" i="8"/>
  <c r="AL51" i="8"/>
  <c r="AH51" i="8"/>
  <c r="AD51" i="8"/>
  <c r="Z51" i="8"/>
  <c r="V51" i="8"/>
  <c r="R51" i="8"/>
  <c r="N51" i="8"/>
  <c r="J51" i="8"/>
  <c r="F51" i="8"/>
  <c r="HR50" i="8"/>
  <c r="HQ50" i="8"/>
  <c r="HM50" i="8"/>
  <c r="HJ50" i="8"/>
  <c r="HF50" i="8"/>
  <c r="HE50" i="8"/>
  <c r="HA50" i="8"/>
  <c r="GT50" i="8"/>
  <c r="GP50" i="8"/>
  <c r="GL50" i="8"/>
  <c r="GH50" i="8"/>
  <c r="GD50" i="8"/>
  <c r="FZ50" i="8"/>
  <c r="FV50" i="8"/>
  <c r="FR50" i="8"/>
  <c r="FN50" i="8"/>
  <c r="FJ50" i="8"/>
  <c r="FF50" i="8"/>
  <c r="FB50" i="8"/>
  <c r="EX50" i="8"/>
  <c r="ET50" i="8"/>
  <c r="EP50" i="8"/>
  <c r="EL50" i="8"/>
  <c r="EG50" i="8"/>
  <c r="EH50" i="8" s="1"/>
  <c r="ED50" i="8"/>
  <c r="DZ50" i="8"/>
  <c r="DU50" i="8"/>
  <c r="DV50" i="8" s="1"/>
  <c r="DN50" i="8"/>
  <c r="DJ50" i="8"/>
  <c r="DF50" i="8"/>
  <c r="DB50" i="8"/>
  <c r="CX50" i="8"/>
  <c r="CT50" i="8"/>
  <c r="CP50" i="8"/>
  <c r="CL50" i="8"/>
  <c r="CH50" i="8"/>
  <c r="CD50" i="8"/>
  <c r="BZ50" i="8"/>
  <c r="BV50" i="8"/>
  <c r="BQ50" i="8"/>
  <c r="BR50" i="8" s="1"/>
  <c r="BN50" i="8"/>
  <c r="BJ50" i="8"/>
  <c r="BE50" i="8"/>
  <c r="BF50" i="8" s="1"/>
  <c r="BB50" i="8"/>
  <c r="AX50" i="8"/>
  <c r="AT50" i="8"/>
  <c r="AP50" i="8"/>
  <c r="AL50" i="8"/>
  <c r="AH50" i="8"/>
  <c r="AD50" i="8"/>
  <c r="Z50" i="8"/>
  <c r="T50" i="8"/>
  <c r="R50" i="8"/>
  <c r="M50" i="8"/>
  <c r="N50" i="8" s="1"/>
  <c r="I50" i="8"/>
  <c r="J50" i="8" s="1"/>
  <c r="F50" i="8"/>
  <c r="HQ49" i="8"/>
  <c r="HM49" i="8"/>
  <c r="HA49" i="8"/>
  <c r="FZ49" i="8"/>
  <c r="FU49" i="8"/>
  <c r="FV49" i="8" s="1"/>
  <c r="FR49" i="8"/>
  <c r="FN49" i="8"/>
  <c r="FI49" i="8"/>
  <c r="FJ49" i="8" s="1"/>
  <c r="FF49" i="8"/>
  <c r="FB49" i="8"/>
  <c r="EX49" i="8"/>
  <c r="ET49" i="8"/>
  <c r="EP49" i="8"/>
  <c r="EL49" i="8"/>
  <c r="EH49" i="8"/>
  <c r="ED49" i="8"/>
  <c r="DZ49" i="8"/>
  <c r="DV49" i="8"/>
  <c r="DN49" i="8"/>
  <c r="DI49" i="8"/>
  <c r="HR49" i="8" s="1"/>
  <c r="DE49" i="8"/>
  <c r="DF49" i="8" s="1"/>
  <c r="DA49" i="8"/>
  <c r="HJ49" i="8" s="1"/>
  <c r="CW49" i="8"/>
  <c r="CS49" i="8"/>
  <c r="CT49" i="8" s="1"/>
  <c r="CP49" i="8"/>
  <c r="CL49" i="8"/>
  <c r="CH49" i="8"/>
  <c r="CD49" i="8"/>
  <c r="BZ49" i="8"/>
  <c r="BV49" i="8"/>
  <c r="BR49" i="8"/>
  <c r="BN49" i="8"/>
  <c r="BJ49" i="8"/>
  <c r="BF49" i="8"/>
  <c r="BA49" i="8"/>
  <c r="AX49" i="8"/>
  <c r="AT49" i="8"/>
  <c r="AP49" i="8"/>
  <c r="AL49" i="8"/>
  <c r="AH49" i="8"/>
  <c r="AD49" i="8"/>
  <c r="Z49" i="8"/>
  <c r="T49" i="8"/>
  <c r="P49" i="8"/>
  <c r="M49" i="8"/>
  <c r="N49" i="8" s="1"/>
  <c r="J49" i="8"/>
  <c r="F49" i="8"/>
  <c r="HR48" i="8"/>
  <c r="HQ48" i="8"/>
  <c r="HJ48" i="8"/>
  <c r="HA48" i="8"/>
  <c r="FJ48" i="8"/>
  <c r="FF48" i="8"/>
  <c r="FA48" i="8"/>
  <c r="FB48" i="8" s="1"/>
  <c r="EX48" i="8"/>
  <c r="ET48" i="8"/>
  <c r="EO48" i="8"/>
  <c r="EP48" i="8" s="1"/>
  <c r="EL48" i="8"/>
  <c r="EH48" i="8"/>
  <c r="ED48" i="8"/>
  <c r="DZ48" i="8"/>
  <c r="DV48" i="8"/>
  <c r="DN48" i="8"/>
  <c r="DJ48" i="8"/>
  <c r="DF48" i="8"/>
  <c r="DB48" i="8"/>
  <c r="CX48" i="8"/>
  <c r="CT48" i="8"/>
  <c r="CP48" i="8"/>
  <c r="CK48" i="8"/>
  <c r="CH48" i="8"/>
  <c r="CC48" i="8"/>
  <c r="BY48" i="8"/>
  <c r="BZ48" i="8" s="1"/>
  <c r="BV48" i="8"/>
  <c r="BR48" i="8"/>
  <c r="BN48" i="8"/>
  <c r="BJ48" i="8"/>
  <c r="BF48" i="8"/>
  <c r="AT48" i="8"/>
  <c r="AV48" i="8" s="1"/>
  <c r="AP48" i="8"/>
  <c r="AJ48" i="8"/>
  <c r="AL48" i="8" s="1"/>
  <c r="AF48" i="8"/>
  <c r="AH48" i="8" s="1"/>
  <c r="AB48" i="8"/>
  <c r="AD48" i="8" s="1"/>
  <c r="Y48" i="8"/>
  <c r="V48" i="8"/>
  <c r="P48" i="8"/>
  <c r="R48" i="8" s="1"/>
  <c r="N48" i="8"/>
  <c r="J48" i="8"/>
  <c r="F48" i="8"/>
  <c r="HQ47" i="8"/>
  <c r="HM47" i="8"/>
  <c r="HI47" i="8"/>
  <c r="HE47" i="8"/>
  <c r="HA47" i="8"/>
  <c r="GV47" i="8"/>
  <c r="GT47" i="8"/>
  <c r="GP47" i="8"/>
  <c r="GL47" i="8"/>
  <c r="GH47" i="8"/>
  <c r="GD47" i="8"/>
  <c r="FZ47" i="8"/>
  <c r="FV47" i="8"/>
  <c r="FR47" i="8"/>
  <c r="FN47" i="8"/>
  <c r="FI47" i="8"/>
  <c r="FJ47" i="8" s="1"/>
  <c r="FF47" i="8"/>
  <c r="FA47" i="8"/>
  <c r="FB47" i="8" s="1"/>
  <c r="EW47" i="8"/>
  <c r="EX47" i="8" s="1"/>
  <c r="ES47" i="8"/>
  <c r="ET47" i="8" s="1"/>
  <c r="EO47" i="8"/>
  <c r="EP47" i="8" s="1"/>
  <c r="EK47" i="8"/>
  <c r="EL47" i="8" s="1"/>
  <c r="EG47" i="8"/>
  <c r="EH47" i="8" s="1"/>
  <c r="EC47" i="8"/>
  <c r="ED47" i="8" s="1"/>
  <c r="DY47" i="8"/>
  <c r="DZ47" i="8" s="1"/>
  <c r="DU47" i="8"/>
  <c r="DV47" i="8" s="1"/>
  <c r="DN47" i="8"/>
  <c r="DI47" i="8"/>
  <c r="DJ47" i="8" s="1"/>
  <c r="DE47" i="8"/>
  <c r="DF47" i="8" s="1"/>
  <c r="DA47" i="8"/>
  <c r="DB47" i="8" s="1"/>
  <c r="CW47" i="8"/>
  <c r="CX47" i="8" s="1"/>
  <c r="CS47" i="8"/>
  <c r="CT47" i="8" s="1"/>
  <c r="CO47" i="8"/>
  <c r="CK47" i="8"/>
  <c r="CL47" i="8" s="1"/>
  <c r="CG47" i="8"/>
  <c r="CH47" i="8" s="1"/>
  <c r="CC47" i="8"/>
  <c r="CD47" i="8" s="1"/>
  <c r="BY47" i="8"/>
  <c r="BU47" i="8"/>
  <c r="BV47" i="8" s="1"/>
  <c r="BQ47" i="8"/>
  <c r="BR47" i="8" s="1"/>
  <c r="BM47" i="8"/>
  <c r="BN47" i="8" s="1"/>
  <c r="BI47" i="8"/>
  <c r="BJ47" i="8" s="1"/>
  <c r="BE47" i="8"/>
  <c r="BF47" i="8" s="1"/>
  <c r="BA47" i="8"/>
  <c r="BB47" i="8" s="1"/>
  <c r="AW47" i="8"/>
  <c r="AX47" i="8" s="1"/>
  <c r="AS47" i="8"/>
  <c r="AT47" i="8" s="1"/>
  <c r="AP47" i="8"/>
  <c r="AK47" i="8"/>
  <c r="AG47" i="8"/>
  <c r="AC47" i="8"/>
  <c r="Z47" i="8"/>
  <c r="V47" i="8"/>
  <c r="R47" i="8"/>
  <c r="N47" i="8"/>
  <c r="J47" i="8"/>
  <c r="F47" i="8"/>
  <c r="HQ46" i="8"/>
  <c r="HM46" i="8"/>
  <c r="HA46" i="8"/>
  <c r="GT46" i="8"/>
  <c r="GP46" i="8"/>
  <c r="GL46" i="8"/>
  <c r="GH46" i="8"/>
  <c r="GD46" i="8"/>
  <c r="FZ46" i="8"/>
  <c r="FV46" i="8"/>
  <c r="FR46" i="8"/>
  <c r="FN46" i="8"/>
  <c r="FJ46" i="8"/>
  <c r="FE46" i="8"/>
  <c r="FF46" i="8" s="1"/>
  <c r="FA46" i="8"/>
  <c r="FB46" i="8" s="1"/>
  <c r="EX46" i="8"/>
  <c r="ES46" i="8"/>
  <c r="ET46" i="8" s="1"/>
  <c r="EO46" i="8"/>
  <c r="EP46" i="8" s="1"/>
  <c r="EK46" i="8"/>
  <c r="EL46" i="8" s="1"/>
  <c r="EH46" i="8"/>
  <c r="ED46" i="8"/>
  <c r="DY46" i="8"/>
  <c r="DZ46" i="8" s="1"/>
  <c r="DU46" i="8"/>
  <c r="DV46" i="8" s="1"/>
  <c r="DN46" i="8"/>
  <c r="DI46" i="8"/>
  <c r="DJ46" i="8" s="1"/>
  <c r="DE46" i="8"/>
  <c r="DF46" i="8" s="1"/>
  <c r="DA46" i="8"/>
  <c r="DB46" i="8" s="1"/>
  <c r="CW46" i="8"/>
  <c r="CX46" i="8" s="1"/>
  <c r="CS46" i="8"/>
  <c r="CT46" i="8" s="1"/>
  <c r="CO46" i="8"/>
  <c r="CK46" i="8"/>
  <c r="CL46" i="8" s="1"/>
  <c r="CH46" i="8"/>
  <c r="CC46" i="8"/>
  <c r="CD46" i="8" s="1"/>
  <c r="BY46" i="8"/>
  <c r="BZ46" i="8" s="1"/>
  <c r="BV46" i="8"/>
  <c r="BQ46" i="8"/>
  <c r="BM46" i="8"/>
  <c r="BI46" i="8"/>
  <c r="BJ46" i="8" s="1"/>
  <c r="BE46" i="8"/>
  <c r="BF46" i="8" s="1"/>
  <c r="BB46" i="8"/>
  <c r="AX46" i="8"/>
  <c r="AS46" i="8"/>
  <c r="AO46" i="8"/>
  <c r="AP46" i="8" s="1"/>
  <c r="AL46" i="8"/>
  <c r="AF46" i="8"/>
  <c r="AH46" i="8" s="1"/>
  <c r="AB46" i="8"/>
  <c r="AD46" i="8" s="1"/>
  <c r="Z46" i="8"/>
  <c r="T46" i="8"/>
  <c r="P46" i="8"/>
  <c r="R46" i="8" s="1"/>
  <c r="M46" i="8"/>
  <c r="J46" i="8"/>
  <c r="F46" i="8"/>
  <c r="HQ45" i="8"/>
  <c r="HM45" i="8"/>
  <c r="HJ45" i="8"/>
  <c r="HE45" i="8"/>
  <c r="HA45" i="8"/>
  <c r="GT45" i="8"/>
  <c r="GP45" i="8"/>
  <c r="GL45" i="8"/>
  <c r="GH45" i="8"/>
  <c r="GD45" i="8"/>
  <c r="FZ45" i="8"/>
  <c r="FU45" i="8"/>
  <c r="FV45" i="8" s="1"/>
  <c r="FR45" i="8"/>
  <c r="FN45" i="8"/>
  <c r="FJ45" i="8"/>
  <c r="FE45" i="8"/>
  <c r="FF45" i="8" s="1"/>
  <c r="FA45" i="8"/>
  <c r="FB45" i="8" s="1"/>
  <c r="EX45" i="8"/>
  <c r="ES45" i="8"/>
  <c r="ET45" i="8" s="1"/>
  <c r="EO45" i="8"/>
  <c r="EP45" i="8" s="1"/>
  <c r="EK45" i="8"/>
  <c r="EL45" i="8" s="1"/>
  <c r="EG45" i="8"/>
  <c r="EH45" i="8" s="1"/>
  <c r="ED45" i="8"/>
  <c r="DY45" i="8"/>
  <c r="DZ45" i="8" s="1"/>
  <c r="DU45" i="8"/>
  <c r="DV45" i="8" s="1"/>
  <c r="DN45" i="8"/>
  <c r="DI45" i="8"/>
  <c r="DJ45" i="8" s="1"/>
  <c r="DE45" i="8"/>
  <c r="DF45" i="8" s="1"/>
  <c r="DB45" i="8"/>
  <c r="CW45" i="8"/>
  <c r="CX45" i="8" s="1"/>
  <c r="CS45" i="8"/>
  <c r="CT45" i="8" s="1"/>
  <c r="CO45" i="8"/>
  <c r="CP45" i="8" s="1"/>
  <c r="CK45" i="8"/>
  <c r="CL45" i="8" s="1"/>
  <c r="CH45" i="8"/>
  <c r="CC45" i="8"/>
  <c r="CD45" i="8" s="1"/>
  <c r="BY45" i="8"/>
  <c r="BU45" i="8"/>
  <c r="BQ45" i="8"/>
  <c r="BN45" i="8"/>
  <c r="BI45" i="8"/>
  <c r="BJ45" i="8" s="1"/>
  <c r="BE45" i="8"/>
  <c r="BF45" i="8" s="1"/>
  <c r="BB45" i="8"/>
  <c r="AX45" i="8"/>
  <c r="AT45" i="8"/>
  <c r="AP45" i="8"/>
  <c r="AL45" i="8"/>
  <c r="AF45" i="8"/>
  <c r="AH45" i="8" s="1"/>
  <c r="AD45" i="8"/>
  <c r="Z45" i="8"/>
  <c r="T45" i="8"/>
  <c r="R45" i="8"/>
  <c r="N45" i="8"/>
  <c r="J45" i="8"/>
  <c r="F45" i="8"/>
  <c r="HQ44" i="8"/>
  <c r="HM44" i="8"/>
  <c r="HA44" i="8"/>
  <c r="GT44" i="8"/>
  <c r="GO44" i="8"/>
  <c r="GP44" i="8" s="1"/>
  <c r="GL44" i="8"/>
  <c r="GH44" i="8"/>
  <c r="GD44" i="8"/>
  <c r="FY44" i="8"/>
  <c r="FU44" i="8"/>
  <c r="FV44" i="8" s="1"/>
  <c r="FR44" i="8"/>
  <c r="FM44" i="8"/>
  <c r="FN44" i="8" s="1"/>
  <c r="FJ44" i="8"/>
  <c r="FE44" i="8"/>
  <c r="FF44" i="8" s="1"/>
  <c r="FA44" i="8"/>
  <c r="FB44" i="8" s="1"/>
  <c r="EX44" i="8"/>
  <c r="ES44" i="8"/>
  <c r="ET44" i="8" s="1"/>
  <c r="EO44" i="8"/>
  <c r="EP44" i="8" s="1"/>
  <c r="EK44" i="8"/>
  <c r="EL44" i="8" s="1"/>
  <c r="EG44" i="8"/>
  <c r="EH44" i="8" s="1"/>
  <c r="ED44" i="8"/>
  <c r="DY44" i="8"/>
  <c r="DZ44" i="8" s="1"/>
  <c r="DU44" i="8"/>
  <c r="DV44" i="8" s="1"/>
  <c r="DN44" i="8"/>
  <c r="DI44" i="8"/>
  <c r="DJ44" i="8" s="1"/>
  <c r="DE44" i="8"/>
  <c r="DF44" i="8" s="1"/>
  <c r="DA44" i="8"/>
  <c r="DB44" i="8" s="1"/>
  <c r="CW44" i="8"/>
  <c r="CX44" i="8" s="1"/>
  <c r="CS44" i="8"/>
  <c r="CT44" i="8" s="1"/>
  <c r="CO44" i="8"/>
  <c r="CP44" i="8" s="1"/>
  <c r="CK44" i="8"/>
  <c r="CL44" i="8" s="1"/>
  <c r="CG44" i="8"/>
  <c r="CH44" i="8" s="1"/>
  <c r="CC44" i="8"/>
  <c r="CD44" i="8" s="1"/>
  <c r="BY44" i="8"/>
  <c r="BZ44" i="8" s="1"/>
  <c r="BU44" i="8"/>
  <c r="BV44" i="8" s="1"/>
  <c r="BQ44" i="8"/>
  <c r="BR44" i="8" s="1"/>
  <c r="BN44" i="8"/>
  <c r="BI44" i="8"/>
  <c r="BJ44" i="8" s="1"/>
  <c r="BE44" i="8"/>
  <c r="BB44" i="8"/>
  <c r="AX44" i="8"/>
  <c r="AS44" i="8"/>
  <c r="AP44" i="8"/>
  <c r="AL44" i="8"/>
  <c r="AF44" i="8"/>
  <c r="AH44" i="8" s="1"/>
  <c r="AD44" i="8"/>
  <c r="Z44" i="8"/>
  <c r="T44" i="8"/>
  <c r="V44" i="8" s="1"/>
  <c r="P44" i="8"/>
  <c r="R44" i="8" s="1"/>
  <c r="N44" i="8"/>
  <c r="J44" i="8"/>
  <c r="F44" i="8"/>
  <c r="HQ43" i="8"/>
  <c r="HM43" i="8"/>
  <c r="HE43" i="8"/>
  <c r="HA43" i="8"/>
  <c r="GT43" i="8"/>
  <c r="GP43" i="8"/>
  <c r="GL43" i="8"/>
  <c r="GH43" i="8"/>
  <c r="GD43" i="8"/>
  <c r="FZ43" i="8"/>
  <c r="FV43" i="8"/>
  <c r="FR43" i="8"/>
  <c r="FN43" i="8"/>
  <c r="FJ43" i="8"/>
  <c r="FF43" i="8"/>
  <c r="FB43" i="8"/>
  <c r="EX43" i="8"/>
  <c r="ET43" i="8"/>
  <c r="EO43" i="8"/>
  <c r="EP43" i="8" s="1"/>
  <c r="EL43" i="8"/>
  <c r="EH43" i="8"/>
  <c r="ED43" i="8"/>
  <c r="DY43" i="8"/>
  <c r="DZ43" i="8" s="1"/>
  <c r="DU43" i="8"/>
  <c r="DV43" i="8" s="1"/>
  <c r="DN43" i="8"/>
  <c r="DJ43" i="8"/>
  <c r="DE43" i="8"/>
  <c r="DF43" i="8" s="1"/>
  <c r="DB43" i="8"/>
  <c r="CW43" i="8"/>
  <c r="CX43" i="8" s="1"/>
  <c r="CS43" i="8"/>
  <c r="CT43" i="8" s="1"/>
  <c r="CO43" i="8"/>
  <c r="CK43" i="8"/>
  <c r="CL43" i="8" s="1"/>
  <c r="CG43" i="8"/>
  <c r="CH43" i="8" s="1"/>
  <c r="CD43" i="8"/>
  <c r="BY43" i="8"/>
  <c r="BZ43" i="8" s="1"/>
  <c r="BV43" i="8"/>
  <c r="BQ43" i="8"/>
  <c r="BR43" i="8" s="1"/>
  <c r="BM43" i="8"/>
  <c r="BN43" i="8" s="1"/>
  <c r="BJ43" i="8"/>
  <c r="BE43" i="8"/>
  <c r="BF43" i="8" s="1"/>
  <c r="BA43" i="8"/>
  <c r="BB43" i="8" s="1"/>
  <c r="AW43" i="8"/>
  <c r="AX43" i="8" s="1"/>
  <c r="AS43" i="8"/>
  <c r="AT43" i="8" s="1"/>
  <c r="AO43" i="8"/>
  <c r="AP43" i="8" s="1"/>
  <c r="AK43" i="8"/>
  <c r="AF43" i="8"/>
  <c r="AD43" i="8"/>
  <c r="Z43" i="8"/>
  <c r="V43" i="8"/>
  <c r="Q43" i="8"/>
  <c r="N43" i="8"/>
  <c r="J43" i="8"/>
  <c r="F43" i="8"/>
  <c r="HR42" i="8"/>
  <c r="HQ42" i="8"/>
  <c r="HM42" i="8"/>
  <c r="HJ42" i="8"/>
  <c r="HA42" i="8"/>
  <c r="GT42" i="8"/>
  <c r="GP42" i="8"/>
  <c r="GL42" i="8"/>
  <c r="GH42" i="8"/>
  <c r="GD42" i="8"/>
  <c r="FZ42" i="8"/>
  <c r="FU42" i="8"/>
  <c r="FV42" i="8" s="1"/>
  <c r="FR42" i="8"/>
  <c r="FN42" i="8"/>
  <c r="FJ42" i="8"/>
  <c r="FF42" i="8"/>
  <c r="FA42" i="8"/>
  <c r="FB42" i="8" s="1"/>
  <c r="EX42" i="8"/>
  <c r="ET42" i="8"/>
  <c r="EO42" i="8"/>
  <c r="EP42" i="8" s="1"/>
  <c r="EL42" i="8"/>
  <c r="EG42" i="8"/>
  <c r="EH42" i="8" s="1"/>
  <c r="ED42" i="8"/>
  <c r="DY42" i="8"/>
  <c r="DZ42" i="8" s="1"/>
  <c r="DU42" i="8"/>
  <c r="DV42" i="8" s="1"/>
  <c r="DN42" i="8"/>
  <c r="DJ42" i="8"/>
  <c r="DE42" i="8"/>
  <c r="DF42" i="8" s="1"/>
  <c r="DB42" i="8"/>
  <c r="CW42" i="8"/>
  <c r="CX42" i="8" s="1"/>
  <c r="CS42" i="8"/>
  <c r="CT42" i="8" s="1"/>
  <c r="CP42" i="8"/>
  <c r="CK42" i="8"/>
  <c r="CL42" i="8" s="1"/>
  <c r="CH42" i="8"/>
  <c r="CC42" i="8"/>
  <c r="CD42" i="8" s="1"/>
  <c r="BY42" i="8"/>
  <c r="BV42" i="8"/>
  <c r="BQ42" i="8"/>
  <c r="BN42" i="8"/>
  <c r="BI42" i="8"/>
  <c r="BJ42" i="8" s="1"/>
  <c r="BE42" i="8"/>
  <c r="BF42" i="8" s="1"/>
  <c r="BB42" i="8"/>
  <c r="AX42" i="8"/>
  <c r="AS42" i="8"/>
  <c r="AT42" i="8" s="1"/>
  <c r="AO42" i="8"/>
  <c r="AP42" i="8" s="1"/>
  <c r="AL42" i="8"/>
  <c r="AF42" i="8"/>
  <c r="AH42" i="8" s="1"/>
  <c r="AB42" i="8"/>
  <c r="AD42" i="8" s="1"/>
  <c r="Y42" i="8"/>
  <c r="T42" i="8"/>
  <c r="P42" i="8"/>
  <c r="N42" i="8"/>
  <c r="J42" i="8"/>
  <c r="F42" i="8"/>
  <c r="HR41" i="8"/>
  <c r="HQ41" i="8"/>
  <c r="HM41" i="8"/>
  <c r="HA41" i="8"/>
  <c r="FZ41" i="8"/>
  <c r="FU41" i="8"/>
  <c r="FV41" i="8" s="1"/>
  <c r="FR41" i="8"/>
  <c r="FN41" i="8"/>
  <c r="FJ41" i="8"/>
  <c r="FF41" i="8"/>
  <c r="FB41" i="8"/>
  <c r="EX41" i="8"/>
  <c r="ET41" i="8"/>
  <c r="EP41" i="8"/>
  <c r="EL41" i="8"/>
  <c r="EG41" i="8"/>
  <c r="EH41" i="8" s="1"/>
  <c r="EC41" i="8"/>
  <c r="ED41" i="8" s="1"/>
  <c r="DY41" i="8"/>
  <c r="HF41" i="8" s="1"/>
  <c r="DU41" i="8"/>
  <c r="DV41" i="8" s="1"/>
  <c r="DN41" i="8"/>
  <c r="DJ41" i="8"/>
  <c r="DF41" i="8"/>
  <c r="DB41" i="8"/>
  <c r="CX41" i="8"/>
  <c r="CT41" i="8"/>
  <c r="CP41" i="8"/>
  <c r="CK41" i="8"/>
  <c r="CL41" i="8" s="1"/>
  <c r="CG41" i="8"/>
  <c r="CD41" i="8"/>
  <c r="BY41" i="8"/>
  <c r="BZ41" i="8" s="1"/>
  <c r="BV41" i="8"/>
  <c r="BR41" i="8"/>
  <c r="BN41" i="8"/>
  <c r="BJ41" i="8"/>
  <c r="BF41" i="8"/>
  <c r="BA41" i="8"/>
  <c r="BB41" i="8" s="1"/>
  <c r="AX41" i="8"/>
  <c r="AT41" i="8"/>
  <c r="AP41" i="8"/>
  <c r="AL41" i="8"/>
  <c r="AF41" i="8"/>
  <c r="AH41" i="8" s="1"/>
  <c r="AB41" i="8"/>
  <c r="AD41" i="8" s="1"/>
  <c r="Z41" i="8"/>
  <c r="T41" i="8"/>
  <c r="P41" i="8"/>
  <c r="R41" i="8" s="1"/>
  <c r="N41" i="8"/>
  <c r="J41" i="8"/>
  <c r="F41" i="8"/>
  <c r="HQ40" i="8"/>
  <c r="HM40" i="8"/>
  <c r="HA40" i="8"/>
  <c r="GT40" i="8"/>
  <c r="GO40" i="8"/>
  <c r="GP40" i="8" s="1"/>
  <c r="GL40" i="8"/>
  <c r="GH40" i="8"/>
  <c r="GD40" i="8"/>
  <c r="FJ40" i="8"/>
  <c r="FE40" i="8"/>
  <c r="FA40" i="8"/>
  <c r="FB40" i="8" s="1"/>
  <c r="EW40" i="8"/>
  <c r="EX40" i="8" s="1"/>
  <c r="ES40" i="8"/>
  <c r="ET40" i="8" s="1"/>
  <c r="EO40" i="8"/>
  <c r="EP40" i="8" s="1"/>
  <c r="EL40" i="8"/>
  <c r="EH40" i="8"/>
  <c r="ED40" i="8"/>
  <c r="DZ40" i="8"/>
  <c r="DV40" i="8"/>
  <c r="DN40" i="8"/>
  <c r="DJ40" i="8"/>
  <c r="DE40" i="8"/>
  <c r="DF40" i="8" s="1"/>
  <c r="DA40" i="8"/>
  <c r="DB40" i="8" s="1"/>
  <c r="CW40" i="8"/>
  <c r="CX40" i="8" s="1"/>
  <c r="CS40" i="8"/>
  <c r="CT40" i="8" s="1"/>
  <c r="CP40" i="8"/>
  <c r="CL40" i="8"/>
  <c r="CH40" i="8"/>
  <c r="CD40" i="8"/>
  <c r="BZ40" i="8"/>
  <c r="BV40" i="8"/>
  <c r="BQ40" i="8"/>
  <c r="BR40" i="8" s="1"/>
  <c r="BM40" i="8"/>
  <c r="BN40" i="8" s="1"/>
  <c r="BJ40" i="8"/>
  <c r="BE40" i="8"/>
  <c r="BF40" i="8" s="1"/>
  <c r="BA40" i="8"/>
  <c r="AX40" i="8"/>
  <c r="AT40" i="8"/>
  <c r="AO40" i="8"/>
  <c r="AL40" i="8"/>
  <c r="AF40" i="8"/>
  <c r="AH40" i="8" s="1"/>
  <c r="AB40" i="8"/>
  <c r="Z40" i="8"/>
  <c r="T40" i="8"/>
  <c r="R40" i="8"/>
  <c r="N40" i="8"/>
  <c r="J40" i="8"/>
  <c r="F40" i="8"/>
  <c r="HR39" i="8"/>
  <c r="HQ39" i="8"/>
  <c r="HM39" i="8"/>
  <c r="HJ39" i="8"/>
  <c r="HE39" i="8"/>
  <c r="HA39" i="8"/>
  <c r="GT39" i="8"/>
  <c r="GP39" i="8"/>
  <c r="GL39" i="8"/>
  <c r="GH39" i="8"/>
  <c r="GD39" i="8"/>
  <c r="FZ39" i="8"/>
  <c r="FV39" i="8"/>
  <c r="FR39" i="8"/>
  <c r="FN39" i="8"/>
  <c r="FI39" i="8"/>
  <c r="FJ39" i="8" s="1"/>
  <c r="FF39" i="8"/>
  <c r="FB39" i="8"/>
  <c r="EX39" i="8"/>
  <c r="ES39" i="8"/>
  <c r="ET39" i="8" s="1"/>
  <c r="EO39" i="8"/>
  <c r="EP39" i="8" s="1"/>
  <c r="EL39" i="8"/>
  <c r="EH39" i="8"/>
  <c r="ED39" i="8"/>
  <c r="DY39" i="8"/>
  <c r="DZ39" i="8" s="1"/>
  <c r="DU39" i="8"/>
  <c r="DV39" i="8" s="1"/>
  <c r="DN39" i="8"/>
  <c r="DJ39" i="8"/>
  <c r="DE39" i="8"/>
  <c r="DF39" i="8" s="1"/>
  <c r="DB39" i="8"/>
  <c r="CW39" i="8"/>
  <c r="CX39" i="8" s="1"/>
  <c r="CS39" i="8"/>
  <c r="CT39" i="8" s="1"/>
  <c r="CP39" i="8"/>
  <c r="CK39" i="8"/>
  <c r="CL39" i="8" s="1"/>
  <c r="CH39" i="8"/>
  <c r="CC39" i="8"/>
  <c r="CD39" i="8" s="1"/>
  <c r="BY39" i="8"/>
  <c r="BZ39" i="8" s="1"/>
  <c r="BV39" i="8"/>
  <c r="BQ39" i="8"/>
  <c r="BR39" i="8" s="1"/>
  <c r="BN39" i="8"/>
  <c r="BJ39" i="8"/>
  <c r="BE39" i="8"/>
  <c r="BF39" i="8" s="1"/>
  <c r="BA39" i="8"/>
  <c r="BB39" i="8" s="1"/>
  <c r="AX39" i="8"/>
  <c r="AT39" i="8"/>
  <c r="AO39" i="8"/>
  <c r="AP39" i="8" s="1"/>
  <c r="AK39" i="8"/>
  <c r="AF39" i="8"/>
  <c r="AH39" i="8" s="1"/>
  <c r="AC39" i="8"/>
  <c r="AD39" i="8" s="1"/>
  <c r="Z39" i="8"/>
  <c r="V39" i="8"/>
  <c r="Q39" i="8"/>
  <c r="N39" i="8"/>
  <c r="J39" i="8"/>
  <c r="F39" i="8"/>
  <c r="HR38" i="8"/>
  <c r="HQ38" i="8"/>
  <c r="HM38" i="8"/>
  <c r="HI38" i="8"/>
  <c r="HE38" i="8"/>
  <c r="HA38" i="8"/>
  <c r="GV38" i="8"/>
  <c r="GT38" i="8"/>
  <c r="GP38" i="8"/>
  <c r="GL38" i="8"/>
  <c r="GH38" i="8"/>
  <c r="GD38" i="8"/>
  <c r="FJ38" i="8"/>
  <c r="FF38" i="8"/>
  <c r="FA38" i="8"/>
  <c r="FB38" i="8" s="1"/>
  <c r="EX38" i="8"/>
  <c r="ES38" i="8"/>
  <c r="ET38" i="8" s="1"/>
  <c r="EO38" i="8"/>
  <c r="EP38" i="8" s="1"/>
  <c r="EL38" i="8"/>
  <c r="EH38" i="8"/>
  <c r="ED38" i="8"/>
  <c r="DZ38" i="8"/>
  <c r="DV38" i="8"/>
  <c r="DN38" i="8"/>
  <c r="DJ38" i="8"/>
  <c r="DE38" i="8"/>
  <c r="DF38" i="8" s="1"/>
  <c r="DB38" i="8"/>
  <c r="CW38" i="8"/>
  <c r="CX38" i="8" s="1"/>
  <c r="CS38" i="8"/>
  <c r="CP38" i="8"/>
  <c r="CK38" i="8"/>
  <c r="CL38" i="8" s="1"/>
  <c r="CG38" i="8"/>
  <c r="CH38" i="8" s="1"/>
  <c r="CC38" i="8"/>
  <c r="CD38" i="8" s="1"/>
  <c r="BY38" i="8"/>
  <c r="BZ38" i="8" s="1"/>
  <c r="BV38" i="8"/>
  <c r="BQ38" i="8"/>
  <c r="BR38" i="8" s="1"/>
  <c r="BM38" i="8"/>
  <c r="BN38" i="8" s="1"/>
  <c r="BI38" i="8"/>
  <c r="BJ38" i="8" s="1"/>
  <c r="BE38" i="8"/>
  <c r="BF38" i="8" s="1"/>
  <c r="BB38" i="8"/>
  <c r="AW38" i="8"/>
  <c r="AX38" i="8" s="1"/>
  <c r="AT38" i="8"/>
  <c r="AO38" i="8"/>
  <c r="AP38" i="8" s="1"/>
  <c r="AL38" i="8"/>
  <c r="AH38" i="8"/>
  <c r="AC38" i="8"/>
  <c r="AD38" i="8" s="1"/>
  <c r="Z38" i="8"/>
  <c r="V38" i="8"/>
  <c r="R38" i="8"/>
  <c r="N38" i="8"/>
  <c r="J38" i="8"/>
  <c r="F38" i="8"/>
  <c r="HQ37" i="8"/>
  <c r="HM37" i="8"/>
  <c r="HJ37" i="8"/>
  <c r="HE37" i="8"/>
  <c r="HA37" i="8"/>
  <c r="GT37" i="8"/>
  <c r="GP37" i="8"/>
  <c r="GL37" i="8"/>
  <c r="GH37" i="8"/>
  <c r="GD37" i="8"/>
  <c r="FZ37" i="8"/>
  <c r="FV37" i="8"/>
  <c r="FR37" i="8"/>
  <c r="FN37" i="8"/>
  <c r="FJ37" i="8"/>
  <c r="FE37" i="8"/>
  <c r="FF37" i="8" s="1"/>
  <c r="FB37" i="8"/>
  <c r="EX37" i="8"/>
  <c r="ES37" i="8"/>
  <c r="ET37" i="8" s="1"/>
  <c r="EO37" i="8"/>
  <c r="EP37" i="8" s="1"/>
  <c r="EK37" i="8"/>
  <c r="EL37" i="8" s="1"/>
  <c r="EG37" i="8"/>
  <c r="EH37" i="8" s="1"/>
  <c r="ED37" i="8"/>
  <c r="DY37" i="8"/>
  <c r="DZ37" i="8" s="1"/>
  <c r="DU37" i="8"/>
  <c r="DV37" i="8" s="1"/>
  <c r="DN37" i="8"/>
  <c r="DJ37" i="8"/>
  <c r="DE37" i="8"/>
  <c r="DB37" i="8"/>
  <c r="CW37" i="8"/>
  <c r="CX37" i="8" s="1"/>
  <c r="CS37" i="8"/>
  <c r="CT37" i="8" s="1"/>
  <c r="CO37" i="8"/>
  <c r="CP37" i="8" s="1"/>
  <c r="CK37" i="8"/>
  <c r="CL37" i="8" s="1"/>
  <c r="CH37" i="8"/>
  <c r="CC37" i="8"/>
  <c r="CD37" i="8" s="1"/>
  <c r="BY37" i="8"/>
  <c r="BZ37" i="8" s="1"/>
  <c r="BV37" i="8"/>
  <c r="BQ37" i="8"/>
  <c r="BR37" i="8" s="1"/>
  <c r="BN37" i="8"/>
  <c r="BI37" i="8"/>
  <c r="BJ37" i="8" s="1"/>
  <c r="BE37" i="8"/>
  <c r="BB37" i="8"/>
  <c r="AX37" i="8"/>
  <c r="AS37" i="8"/>
  <c r="AT37" i="8" s="1"/>
  <c r="AP37" i="8"/>
  <c r="AL37" i="8"/>
  <c r="AF37" i="8"/>
  <c r="AH37" i="8" s="1"/>
  <c r="AC37" i="8"/>
  <c r="Z37" i="8"/>
  <c r="T37" i="8"/>
  <c r="R37" i="8"/>
  <c r="N37" i="8"/>
  <c r="J37" i="8"/>
  <c r="F37" i="8"/>
  <c r="HQ36" i="8"/>
  <c r="HM36" i="8"/>
  <c r="HI36" i="8"/>
  <c r="HE36" i="8"/>
  <c r="HA36" i="8"/>
  <c r="GV36" i="8"/>
  <c r="GT36" i="8"/>
  <c r="GP36" i="8"/>
  <c r="GL36" i="8"/>
  <c r="GH36" i="8"/>
  <c r="GD36" i="8"/>
  <c r="FZ36" i="8"/>
  <c r="FV36" i="8"/>
  <c r="FR36" i="8"/>
  <c r="FN36" i="8"/>
  <c r="FJ36" i="8"/>
  <c r="FF36" i="8"/>
  <c r="FB36" i="8"/>
  <c r="EX36" i="8"/>
  <c r="ES36" i="8"/>
  <c r="ET36" i="8" s="1"/>
  <c r="EO36" i="8"/>
  <c r="EP36" i="8" s="1"/>
  <c r="EL36" i="8"/>
  <c r="EH36" i="8"/>
  <c r="ED36" i="8"/>
  <c r="DY36" i="8"/>
  <c r="DZ36" i="8" s="1"/>
  <c r="DU36" i="8"/>
  <c r="DV36" i="8" s="1"/>
  <c r="DN36" i="8"/>
  <c r="DJ36" i="8"/>
  <c r="DE36" i="8"/>
  <c r="DF36" i="8" s="1"/>
  <c r="DB36" i="8"/>
  <c r="CW36" i="8"/>
  <c r="CX36" i="8" s="1"/>
  <c r="CS36" i="8"/>
  <c r="CO36" i="8"/>
  <c r="CP36" i="8" s="1"/>
  <c r="CK36" i="8"/>
  <c r="CL36" i="8" s="1"/>
  <c r="CH36" i="8"/>
  <c r="CC36" i="8"/>
  <c r="CD36" i="8" s="1"/>
  <c r="BY36" i="8"/>
  <c r="BZ36" i="8" s="1"/>
  <c r="BU36" i="8"/>
  <c r="BV36" i="8" s="1"/>
  <c r="BQ36" i="8"/>
  <c r="BR36" i="8" s="1"/>
  <c r="BM36" i="8"/>
  <c r="HJ36" i="8" s="1"/>
  <c r="BI36" i="8"/>
  <c r="BJ36" i="8" s="1"/>
  <c r="BE36" i="8"/>
  <c r="BF36" i="8" s="1"/>
  <c r="BB36" i="8"/>
  <c r="AX36" i="8"/>
  <c r="AS36" i="8"/>
  <c r="AT36" i="8" s="1"/>
  <c r="AO36" i="8"/>
  <c r="AP36" i="8" s="1"/>
  <c r="AL36" i="8"/>
  <c r="AH36" i="8"/>
  <c r="AC36" i="8"/>
  <c r="AD36" i="8" s="1"/>
  <c r="Y36" i="8"/>
  <c r="Z36" i="8" s="1"/>
  <c r="V36" i="8"/>
  <c r="Q36" i="8"/>
  <c r="N36" i="8"/>
  <c r="J36" i="8"/>
  <c r="F36" i="8"/>
  <c r="HR35" i="8"/>
  <c r="HQ35" i="8"/>
  <c r="HM35" i="8"/>
  <c r="HJ35" i="8"/>
  <c r="HE35" i="8"/>
  <c r="HA35" i="8"/>
  <c r="GT35" i="8"/>
  <c r="GP35" i="8"/>
  <c r="GL35" i="8"/>
  <c r="GH35" i="8"/>
  <c r="GD35" i="8"/>
  <c r="FZ35" i="8"/>
  <c r="FV35" i="8"/>
  <c r="FR35" i="8"/>
  <c r="FN35" i="8"/>
  <c r="FJ35" i="8"/>
  <c r="FF35" i="8"/>
  <c r="FA35" i="8"/>
  <c r="FB35" i="8" s="1"/>
  <c r="EX35" i="8"/>
  <c r="ES35" i="8"/>
  <c r="ET35" i="8" s="1"/>
  <c r="EP35" i="8"/>
  <c r="EL35" i="8"/>
  <c r="EG35" i="8"/>
  <c r="EH35" i="8" s="1"/>
  <c r="ED35" i="8"/>
  <c r="DY35" i="8"/>
  <c r="DZ35" i="8" s="1"/>
  <c r="DV35" i="8"/>
  <c r="DN35" i="8"/>
  <c r="DJ35" i="8"/>
  <c r="DE35" i="8"/>
  <c r="DF35" i="8" s="1"/>
  <c r="DB35" i="8"/>
  <c r="CW35" i="8"/>
  <c r="CX35" i="8" s="1"/>
  <c r="CT35" i="8"/>
  <c r="CP35" i="8"/>
  <c r="CK35" i="8"/>
  <c r="CL35" i="8" s="1"/>
  <c r="CH35" i="8"/>
  <c r="CC35" i="8"/>
  <c r="CD35" i="8" s="1"/>
  <c r="BY35" i="8"/>
  <c r="BZ35" i="8" s="1"/>
  <c r="BV35" i="8"/>
  <c r="BQ35" i="8"/>
  <c r="BN35" i="8"/>
  <c r="BI35" i="8"/>
  <c r="BJ35" i="8" s="1"/>
  <c r="BE35" i="8"/>
  <c r="BF35" i="8" s="1"/>
  <c r="BB35" i="8"/>
  <c r="AX35" i="8"/>
  <c r="AS35" i="8"/>
  <c r="AO35" i="8"/>
  <c r="AP35" i="8" s="1"/>
  <c r="AL35" i="8"/>
  <c r="AF35" i="8"/>
  <c r="AH35" i="8" s="1"/>
  <c r="AD35" i="8"/>
  <c r="Y35" i="8"/>
  <c r="Z35" i="8" s="1"/>
  <c r="T35" i="8"/>
  <c r="V35" i="8" s="1"/>
  <c r="R35" i="8"/>
  <c r="N35" i="8"/>
  <c r="J35" i="8"/>
  <c r="F35" i="8"/>
  <c r="HQ34" i="8"/>
  <c r="HM34" i="8"/>
  <c r="HE34" i="8"/>
  <c r="HA34" i="8"/>
  <c r="GT34" i="8"/>
  <c r="GP34" i="8"/>
  <c r="GL34" i="8"/>
  <c r="GH34" i="8"/>
  <c r="GD34" i="8"/>
  <c r="FZ34" i="8"/>
  <c r="FU34" i="8"/>
  <c r="FV34" i="8" s="1"/>
  <c r="FR34" i="8"/>
  <c r="FN34" i="8"/>
  <c r="FI34" i="8"/>
  <c r="FJ34" i="8" s="1"/>
  <c r="FF34" i="8"/>
  <c r="FB34" i="8"/>
  <c r="EX34" i="8"/>
  <c r="ES34" i="8"/>
  <c r="ET34" i="8" s="1"/>
  <c r="EO34" i="8"/>
  <c r="EP34" i="8" s="1"/>
  <c r="EK34" i="8"/>
  <c r="EL34" i="8" s="1"/>
  <c r="EG34" i="8"/>
  <c r="EH34" i="8" s="1"/>
  <c r="ED34" i="8"/>
  <c r="DY34" i="8"/>
  <c r="DZ34" i="8" s="1"/>
  <c r="DU34" i="8"/>
  <c r="DV34" i="8" s="1"/>
  <c r="DN34" i="8"/>
  <c r="DI34" i="8"/>
  <c r="DJ34" i="8" s="1"/>
  <c r="DE34" i="8"/>
  <c r="DF34" i="8" s="1"/>
  <c r="DA34" i="8"/>
  <c r="DB34" i="8" s="1"/>
  <c r="CW34" i="8"/>
  <c r="CX34" i="8" s="1"/>
  <c r="CS34" i="8"/>
  <c r="CT34" i="8" s="1"/>
  <c r="CO34" i="8"/>
  <c r="CP34" i="8" s="1"/>
  <c r="CK34" i="8"/>
  <c r="CL34" i="8" s="1"/>
  <c r="CG34" i="8"/>
  <c r="CD34" i="8"/>
  <c r="BY34" i="8"/>
  <c r="BZ34" i="8" s="1"/>
  <c r="BU34" i="8"/>
  <c r="BV34" i="8" s="1"/>
  <c r="BQ34" i="8"/>
  <c r="BN34" i="8"/>
  <c r="BJ34" i="8"/>
  <c r="BE34" i="8"/>
  <c r="BB34" i="8"/>
  <c r="AX34" i="8"/>
  <c r="AT34" i="8"/>
  <c r="AP34" i="8"/>
  <c r="AL34" i="8"/>
  <c r="AF34" i="8"/>
  <c r="AH34" i="8" s="1"/>
  <c r="AC34" i="8"/>
  <c r="Z34" i="8"/>
  <c r="T34" i="8"/>
  <c r="Q34" i="8"/>
  <c r="R34" i="8" s="1"/>
  <c r="N34" i="8"/>
  <c r="J34" i="8"/>
  <c r="F34" i="8"/>
  <c r="HQ33" i="8"/>
  <c r="HM33" i="8"/>
  <c r="HI33" i="8"/>
  <c r="HE33" i="8"/>
  <c r="HA33" i="8"/>
  <c r="GV33" i="8"/>
  <c r="GT33" i="8"/>
  <c r="GP33" i="8"/>
  <c r="GL33" i="8"/>
  <c r="GH33" i="8"/>
  <c r="GD33" i="8"/>
  <c r="FZ33" i="8"/>
  <c r="FU33" i="8"/>
  <c r="FV33" i="8" s="1"/>
  <c r="FR33" i="8"/>
  <c r="FN33" i="8"/>
  <c r="FJ33" i="8"/>
  <c r="FF33" i="8"/>
  <c r="FA33" i="8"/>
  <c r="FB33" i="8" s="1"/>
  <c r="EX33" i="8"/>
  <c r="ES33" i="8"/>
  <c r="ET33" i="8" s="1"/>
  <c r="EO33" i="8"/>
  <c r="EP33" i="8" s="1"/>
  <c r="EL33" i="8"/>
  <c r="EG33" i="8"/>
  <c r="EH33" i="8" s="1"/>
  <c r="ED33" i="8"/>
  <c r="DY33" i="8"/>
  <c r="DZ33" i="8" s="1"/>
  <c r="DU33" i="8"/>
  <c r="DV33" i="8" s="1"/>
  <c r="DN33" i="8"/>
  <c r="DI33" i="8"/>
  <c r="DJ33" i="8" s="1"/>
  <c r="DE33" i="8"/>
  <c r="DF33" i="8" s="1"/>
  <c r="DB33" i="8"/>
  <c r="CW33" i="8"/>
  <c r="CX33" i="8" s="1"/>
  <c r="CS33" i="8"/>
  <c r="CT33" i="8" s="1"/>
  <c r="CO33" i="8"/>
  <c r="CP33" i="8" s="1"/>
  <c r="CK33" i="8"/>
  <c r="CH33" i="8"/>
  <c r="CC33" i="8"/>
  <c r="CD33" i="8" s="1"/>
  <c r="BY33" i="8"/>
  <c r="BZ33" i="8" s="1"/>
  <c r="BV33" i="8"/>
  <c r="BR33" i="8"/>
  <c r="BM33" i="8"/>
  <c r="BN33" i="8" s="1"/>
  <c r="BI33" i="8"/>
  <c r="BF33" i="8"/>
  <c r="BB33" i="8"/>
  <c r="AX33" i="8"/>
  <c r="AT33" i="8"/>
  <c r="AP33" i="8"/>
  <c r="AL33" i="8"/>
  <c r="AH33" i="8"/>
  <c r="AD33" i="8"/>
  <c r="Z33" i="8"/>
  <c r="U33" i="8"/>
  <c r="V33" i="8" s="1"/>
  <c r="R33" i="8"/>
  <c r="N33" i="8"/>
  <c r="J33" i="8"/>
  <c r="F33" i="8"/>
  <c r="HQ32" i="8"/>
  <c r="HM32" i="8"/>
  <c r="HJ32" i="8"/>
  <c r="HE32" i="8"/>
  <c r="HA32" i="8"/>
  <c r="GT32" i="8"/>
  <c r="GP32" i="8"/>
  <c r="GL32" i="8"/>
  <c r="GH32" i="8"/>
  <c r="GD32" i="8"/>
  <c r="FZ32" i="8"/>
  <c r="FU32" i="8"/>
  <c r="FV32" i="8" s="1"/>
  <c r="FR32" i="8"/>
  <c r="FN32" i="8"/>
  <c r="FI32" i="8"/>
  <c r="FJ32" i="8" s="1"/>
  <c r="FE32" i="8"/>
  <c r="FF32" i="8" s="1"/>
  <c r="FA32" i="8"/>
  <c r="FB32" i="8" s="1"/>
  <c r="EX32" i="8"/>
  <c r="ES32" i="8"/>
  <c r="ET32" i="8" s="1"/>
  <c r="EO32" i="8"/>
  <c r="EP32" i="8" s="1"/>
  <c r="EK32" i="8"/>
  <c r="EL32" i="8" s="1"/>
  <c r="EG32" i="8"/>
  <c r="EH32" i="8" s="1"/>
  <c r="ED32" i="8"/>
  <c r="DY32" i="8"/>
  <c r="DZ32" i="8" s="1"/>
  <c r="DU32" i="8"/>
  <c r="DV32" i="8" s="1"/>
  <c r="DN32" i="8"/>
  <c r="DJ32" i="8"/>
  <c r="DE32" i="8"/>
  <c r="DF32" i="8" s="1"/>
  <c r="DB32" i="8"/>
  <c r="CW32" i="8"/>
  <c r="CX32" i="8" s="1"/>
  <c r="CS32" i="8"/>
  <c r="CT32" i="8" s="1"/>
  <c r="CO32" i="8"/>
  <c r="CK32" i="8"/>
  <c r="CL32" i="8" s="1"/>
  <c r="CH32" i="8"/>
  <c r="CC32" i="8"/>
  <c r="CD32" i="8" s="1"/>
  <c r="BY32" i="8"/>
  <c r="BZ32" i="8" s="1"/>
  <c r="BU32" i="8"/>
  <c r="BV32" i="8" s="1"/>
  <c r="BQ32" i="8"/>
  <c r="BR32" i="8" s="1"/>
  <c r="BN32" i="8"/>
  <c r="BI32" i="8"/>
  <c r="BJ32" i="8" s="1"/>
  <c r="BE32" i="8"/>
  <c r="BF32" i="8" s="1"/>
  <c r="BB32" i="8"/>
  <c r="AX32" i="8"/>
  <c r="AS32" i="8"/>
  <c r="AT32" i="8" s="1"/>
  <c r="AP32" i="8"/>
  <c r="AL32" i="8"/>
  <c r="AF32" i="8"/>
  <c r="GV32" i="8" s="1"/>
  <c r="AC32" i="8"/>
  <c r="Z32" i="8"/>
  <c r="V32" i="8"/>
  <c r="R32" i="8"/>
  <c r="N32" i="8"/>
  <c r="J32" i="8"/>
  <c r="F32" i="8"/>
  <c r="HQ31" i="8"/>
  <c r="HM31" i="8"/>
  <c r="HE31" i="8"/>
  <c r="HA31" i="8"/>
  <c r="GT31" i="8"/>
  <c r="GP31" i="8"/>
  <c r="GL31" i="8"/>
  <c r="GH31" i="8"/>
  <c r="GD31" i="8"/>
  <c r="FZ31" i="8"/>
  <c r="FU31" i="8"/>
  <c r="FV31" i="8" s="1"/>
  <c r="FR31" i="8"/>
  <c r="FN31" i="8"/>
  <c r="FI31" i="8"/>
  <c r="FJ31" i="8" s="1"/>
  <c r="FF31" i="8"/>
  <c r="FA31" i="8"/>
  <c r="FB31" i="8" s="1"/>
  <c r="EX31" i="8"/>
  <c r="ES31" i="8"/>
  <c r="ET31" i="8" s="1"/>
  <c r="EO31" i="8"/>
  <c r="EP31" i="8" s="1"/>
  <c r="EK31" i="8"/>
  <c r="EL31" i="8" s="1"/>
  <c r="EG31" i="8"/>
  <c r="EH31" i="8" s="1"/>
  <c r="ED31" i="8"/>
  <c r="DY31" i="8"/>
  <c r="DZ31" i="8" s="1"/>
  <c r="DU31" i="8"/>
  <c r="DV31" i="8" s="1"/>
  <c r="DN31" i="8"/>
  <c r="DI31" i="8"/>
  <c r="DJ31" i="8" s="1"/>
  <c r="DE31" i="8"/>
  <c r="DF31" i="8" s="1"/>
  <c r="DA31" i="8"/>
  <c r="DB31" i="8" s="1"/>
  <c r="CW31" i="8"/>
  <c r="CX31" i="8" s="1"/>
  <c r="CS31" i="8"/>
  <c r="CT31" i="8" s="1"/>
  <c r="CO31" i="8"/>
  <c r="CP31" i="8" s="1"/>
  <c r="CK31" i="8"/>
  <c r="CL31" i="8" s="1"/>
  <c r="CG31" i="8"/>
  <c r="CH31" i="8" s="1"/>
  <c r="CC31" i="8"/>
  <c r="CD31" i="8" s="1"/>
  <c r="BY31" i="8"/>
  <c r="BZ31" i="8" s="1"/>
  <c r="BU31" i="8"/>
  <c r="BQ31" i="8"/>
  <c r="BM31" i="8"/>
  <c r="BN31" i="8" s="1"/>
  <c r="BI31" i="8"/>
  <c r="BJ31" i="8" s="1"/>
  <c r="BE31" i="8"/>
  <c r="BF31" i="8" s="1"/>
  <c r="BA31" i="8"/>
  <c r="BB31" i="8" s="1"/>
  <c r="AW31" i="8"/>
  <c r="AX31" i="8" s="1"/>
  <c r="AT31" i="8"/>
  <c r="AO31" i="8"/>
  <c r="AP31" i="8" s="1"/>
  <c r="AL31" i="8"/>
  <c r="AF31" i="8"/>
  <c r="AH31" i="8" s="1"/>
  <c r="AD31" i="8"/>
  <c r="Y31" i="8"/>
  <c r="Z31" i="8" s="1"/>
  <c r="T31" i="8"/>
  <c r="V31" i="8" s="1"/>
  <c r="R31" i="8"/>
  <c r="M31" i="8"/>
  <c r="I31" i="8"/>
  <c r="J31" i="8" s="1"/>
  <c r="F31" i="8"/>
  <c r="HQ30" i="8"/>
  <c r="HM30" i="8"/>
  <c r="HI30" i="8"/>
  <c r="HE30" i="8"/>
  <c r="HA30" i="8"/>
  <c r="GV30" i="8"/>
  <c r="GT30" i="8"/>
  <c r="GP30" i="8"/>
  <c r="GL30" i="8"/>
  <c r="GH30" i="8"/>
  <c r="GD30" i="8"/>
  <c r="FZ30" i="8"/>
  <c r="FU30" i="8"/>
  <c r="FV30" i="8" s="1"/>
  <c r="FR30" i="8"/>
  <c r="FM30" i="8"/>
  <c r="FI30" i="8"/>
  <c r="FJ30" i="8" s="1"/>
  <c r="FE30" i="8"/>
  <c r="FF30" i="8" s="1"/>
  <c r="FA30" i="8"/>
  <c r="FB30" i="8" s="1"/>
  <c r="EX30" i="8"/>
  <c r="ES30" i="8"/>
  <c r="ET30" i="8" s="1"/>
  <c r="EO30" i="8"/>
  <c r="EP30" i="8" s="1"/>
  <c r="EK30" i="8"/>
  <c r="EG30" i="8"/>
  <c r="EH30" i="8" s="1"/>
  <c r="ED30" i="8"/>
  <c r="DY30" i="8"/>
  <c r="DZ30" i="8" s="1"/>
  <c r="DU30" i="8"/>
  <c r="DV30" i="8" s="1"/>
  <c r="DN30" i="8"/>
  <c r="DI30" i="8"/>
  <c r="DJ30" i="8" s="1"/>
  <c r="DE30" i="8"/>
  <c r="DF30" i="8" s="1"/>
  <c r="DB30" i="8"/>
  <c r="CX30" i="8"/>
  <c r="CS30" i="8"/>
  <c r="CT30" i="8" s="1"/>
  <c r="CO30" i="8"/>
  <c r="CP30" i="8" s="1"/>
  <c r="CK30" i="8"/>
  <c r="CL30" i="8" s="1"/>
  <c r="CG30" i="8"/>
  <c r="CH30" i="8" s="1"/>
  <c r="CC30" i="8"/>
  <c r="CD30" i="8" s="1"/>
  <c r="BY30" i="8"/>
  <c r="BZ30" i="8" s="1"/>
  <c r="BV30" i="8"/>
  <c r="BQ30" i="8"/>
  <c r="BR30" i="8" s="1"/>
  <c r="BM30" i="8"/>
  <c r="BN30" i="8" s="1"/>
  <c r="BI30" i="8"/>
  <c r="BJ30" i="8" s="1"/>
  <c r="BE30" i="8"/>
  <c r="BF30" i="8" s="1"/>
  <c r="BB30" i="8"/>
  <c r="AX30" i="8"/>
  <c r="AS30" i="8"/>
  <c r="AT30" i="8" s="1"/>
  <c r="AP30" i="8"/>
  <c r="AK30" i="8"/>
  <c r="AL30" i="8" s="1"/>
  <c r="AG30" i="8"/>
  <c r="AC30" i="8"/>
  <c r="AD30" i="8" s="1"/>
  <c r="Z30" i="8"/>
  <c r="V30" i="8"/>
  <c r="R30" i="8"/>
  <c r="N30" i="8"/>
  <c r="J30" i="8"/>
  <c r="F30" i="8"/>
  <c r="HQ29" i="8"/>
  <c r="HM29" i="8"/>
  <c r="GT29" i="8"/>
  <c r="GP29" i="8"/>
  <c r="GL29" i="8"/>
  <c r="GH29" i="8"/>
  <c r="GD29" i="8"/>
  <c r="FZ29" i="8"/>
  <c r="FU29" i="8"/>
  <c r="FV29" i="8" s="1"/>
  <c r="FR29" i="8"/>
  <c r="FN29" i="8"/>
  <c r="FJ29" i="8"/>
  <c r="FF29" i="8"/>
  <c r="FA29" i="8"/>
  <c r="FB29" i="8" s="1"/>
  <c r="EX29" i="8"/>
  <c r="ES29" i="8"/>
  <c r="ET29" i="8" s="1"/>
  <c r="EO29" i="8"/>
  <c r="EP29" i="8" s="1"/>
  <c r="EL29" i="8"/>
  <c r="EG29" i="8"/>
  <c r="EH29" i="8" s="1"/>
  <c r="ED29" i="8"/>
  <c r="DZ29" i="8"/>
  <c r="DU29" i="8"/>
  <c r="DV29" i="8" s="1"/>
  <c r="DN29" i="8"/>
  <c r="DJ29" i="8"/>
  <c r="DE29" i="8"/>
  <c r="DF29" i="8" s="1"/>
  <c r="DB29" i="8"/>
  <c r="CW29" i="8"/>
  <c r="CS29" i="8"/>
  <c r="CT29" i="8" s="1"/>
  <c r="CO29" i="8"/>
  <c r="HR29" i="8" s="1"/>
  <c r="CK29" i="8"/>
  <c r="CL29" i="8" s="1"/>
  <c r="CG29" i="8"/>
  <c r="CH29" i="8" s="1"/>
  <c r="CC29" i="8"/>
  <c r="CD29" i="8" s="1"/>
  <c r="BY29" i="8"/>
  <c r="BZ29" i="8" s="1"/>
  <c r="BV29" i="8"/>
  <c r="BQ29" i="8"/>
  <c r="BM29" i="8"/>
  <c r="BN29" i="8" s="1"/>
  <c r="BJ29" i="8"/>
  <c r="BE29" i="8"/>
  <c r="BF29" i="8" s="1"/>
  <c r="BB29" i="8"/>
  <c r="AW29" i="8"/>
  <c r="AT29" i="8"/>
  <c r="AO29" i="8"/>
  <c r="AP29" i="8" s="1"/>
  <c r="AL29" i="8"/>
  <c r="AF29" i="8"/>
  <c r="AH29" i="8" s="1"/>
  <c r="AB29" i="8"/>
  <c r="AD29" i="8" s="1"/>
  <c r="Z29" i="8"/>
  <c r="T29" i="8"/>
  <c r="V29" i="8" s="1"/>
  <c r="P29" i="8"/>
  <c r="L29" i="8"/>
  <c r="H29" i="8"/>
  <c r="H62" i="8" s="1"/>
  <c r="F29" i="8"/>
  <c r="HQ28" i="8"/>
  <c r="HM28" i="8"/>
  <c r="HI28" i="8"/>
  <c r="HE28" i="8"/>
  <c r="HA28" i="8"/>
  <c r="GV28" i="8"/>
  <c r="GT28" i="8"/>
  <c r="GP28" i="8"/>
  <c r="GL28" i="8"/>
  <c r="GH28" i="8"/>
  <c r="GD28" i="8"/>
  <c r="FZ28" i="8"/>
  <c r="FV28" i="8"/>
  <c r="FR28" i="8"/>
  <c r="FN28" i="8"/>
  <c r="FI28" i="8"/>
  <c r="FJ28" i="8" s="1"/>
  <c r="FF28" i="8"/>
  <c r="FA28" i="8"/>
  <c r="FB28" i="8" s="1"/>
  <c r="EX28" i="8"/>
  <c r="ES28" i="8"/>
  <c r="ET28" i="8" s="1"/>
  <c r="EO28" i="8"/>
  <c r="EP28" i="8" s="1"/>
  <c r="EL28" i="8"/>
  <c r="EG28" i="8"/>
  <c r="EH28" i="8" s="1"/>
  <c r="ED28" i="8"/>
  <c r="DY28" i="8"/>
  <c r="DZ28" i="8" s="1"/>
  <c r="DU28" i="8"/>
  <c r="DV28" i="8" s="1"/>
  <c r="DN28" i="8"/>
  <c r="DI28" i="8"/>
  <c r="DJ28" i="8" s="1"/>
  <c r="DE28" i="8"/>
  <c r="DF28" i="8" s="1"/>
  <c r="DA28" i="8"/>
  <c r="DB28" i="8" s="1"/>
  <c r="CX28" i="8"/>
  <c r="CS28" i="8"/>
  <c r="CT28" i="8" s="1"/>
  <c r="CO28" i="8"/>
  <c r="CP28" i="8" s="1"/>
  <c r="CK28" i="8"/>
  <c r="CL28" i="8" s="1"/>
  <c r="CG28" i="8"/>
  <c r="CH28" i="8" s="1"/>
  <c r="CC28" i="8"/>
  <c r="CD28" i="8" s="1"/>
  <c r="BY28" i="8"/>
  <c r="BZ28" i="8" s="1"/>
  <c r="BU28" i="8"/>
  <c r="BQ28" i="8"/>
  <c r="BR28" i="8" s="1"/>
  <c r="BN28" i="8"/>
  <c r="BI28" i="8"/>
  <c r="BE28" i="8"/>
  <c r="BB28" i="8"/>
  <c r="AW28" i="8"/>
  <c r="AT28" i="8"/>
  <c r="AP28" i="8"/>
  <c r="AL28" i="8"/>
  <c r="AH28" i="8"/>
  <c r="AD28" i="8"/>
  <c r="Z28" i="8"/>
  <c r="V28" i="8"/>
  <c r="R28" i="8"/>
  <c r="N28" i="8"/>
  <c r="J28" i="8"/>
  <c r="F28" i="8"/>
  <c r="HR27" i="8"/>
  <c r="HQ27" i="8"/>
  <c r="HM27" i="8"/>
  <c r="HI27" i="8"/>
  <c r="HE27" i="8"/>
  <c r="HA27" i="8"/>
  <c r="GV27" i="8"/>
  <c r="GT27" i="8"/>
  <c r="GP27" i="8"/>
  <c r="GL27" i="8"/>
  <c r="GH27" i="8"/>
  <c r="GD27" i="8"/>
  <c r="FZ27" i="8"/>
  <c r="FV27" i="8"/>
  <c r="FR27" i="8"/>
  <c r="FN27" i="8"/>
  <c r="FI27" i="8"/>
  <c r="FJ27" i="8" s="1"/>
  <c r="FF27" i="8"/>
  <c r="FB27" i="8"/>
  <c r="EX27" i="8"/>
  <c r="ES27" i="8"/>
  <c r="ET27" i="8" s="1"/>
  <c r="EO27" i="8"/>
  <c r="EP27" i="8" s="1"/>
  <c r="EL27" i="8"/>
  <c r="EH27" i="8"/>
  <c r="EC27" i="8"/>
  <c r="ED27" i="8" s="1"/>
  <c r="DY27" i="8"/>
  <c r="DZ27" i="8" s="1"/>
  <c r="DU27" i="8"/>
  <c r="DV27" i="8" s="1"/>
  <c r="DN27" i="8"/>
  <c r="DJ27" i="8"/>
  <c r="DE27" i="8"/>
  <c r="DF27" i="8" s="1"/>
  <c r="DA27" i="8"/>
  <c r="DB27" i="8" s="1"/>
  <c r="CW27" i="8"/>
  <c r="CX27" i="8" s="1"/>
  <c r="CS27" i="8"/>
  <c r="CT27" i="8" s="1"/>
  <c r="CP27" i="8"/>
  <c r="CK27" i="8"/>
  <c r="CL27" i="8" s="1"/>
  <c r="CG27" i="8"/>
  <c r="CH27" i="8" s="1"/>
  <c r="CC27" i="8"/>
  <c r="CD27" i="8" s="1"/>
  <c r="BY27" i="8"/>
  <c r="BZ27" i="8" s="1"/>
  <c r="BV27" i="8"/>
  <c r="BQ27" i="8"/>
  <c r="BR27" i="8" s="1"/>
  <c r="BM27" i="8"/>
  <c r="BI27" i="8"/>
  <c r="BJ27" i="8" s="1"/>
  <c r="BE27" i="8"/>
  <c r="BA27" i="8"/>
  <c r="BB27" i="8" s="1"/>
  <c r="AX27" i="8"/>
  <c r="AS27" i="8"/>
  <c r="AT27" i="8" s="1"/>
  <c r="AP27" i="8"/>
  <c r="AL27" i="8"/>
  <c r="AH27" i="8"/>
  <c r="AC27" i="8"/>
  <c r="AD27" i="8" s="1"/>
  <c r="Z27" i="8"/>
  <c r="V27" i="8"/>
  <c r="Q27" i="8"/>
  <c r="R27" i="8" s="1"/>
  <c r="N27" i="8"/>
  <c r="J27" i="8"/>
  <c r="F27" i="8"/>
  <c r="HQ26" i="8"/>
  <c r="HM26" i="8"/>
  <c r="HI26" i="8"/>
  <c r="HE26" i="8"/>
  <c r="HA26" i="8"/>
  <c r="GV26" i="8"/>
  <c r="GT26" i="8"/>
  <c r="GP26" i="8"/>
  <c r="GL26" i="8"/>
  <c r="GH26" i="8"/>
  <c r="GD26" i="8"/>
  <c r="FZ26" i="8"/>
  <c r="FV26" i="8"/>
  <c r="FR26" i="8"/>
  <c r="FN26" i="8"/>
  <c r="FI26" i="8"/>
  <c r="FJ26" i="8" s="1"/>
  <c r="FE26" i="8"/>
  <c r="FF26" i="8" s="1"/>
  <c r="FA26" i="8"/>
  <c r="FB26" i="8" s="1"/>
  <c r="EX26" i="8"/>
  <c r="ES26" i="8"/>
  <c r="ET26" i="8" s="1"/>
  <c r="EO26" i="8"/>
  <c r="EP26" i="8" s="1"/>
  <c r="EK26" i="8"/>
  <c r="EL26" i="8" s="1"/>
  <c r="EG26" i="8"/>
  <c r="EH26" i="8" s="1"/>
  <c r="ED26" i="8"/>
  <c r="DY26" i="8"/>
  <c r="DZ26" i="8" s="1"/>
  <c r="DU26" i="8"/>
  <c r="DV26" i="8" s="1"/>
  <c r="DN26" i="8"/>
  <c r="DI26" i="8"/>
  <c r="DJ26" i="8" s="1"/>
  <c r="DE26" i="8"/>
  <c r="DF26" i="8" s="1"/>
  <c r="DB26" i="8"/>
  <c r="CW26" i="8"/>
  <c r="CX26" i="8" s="1"/>
  <c r="CS26" i="8"/>
  <c r="CT26" i="8" s="1"/>
  <c r="CO26" i="8"/>
  <c r="CP26" i="8" s="1"/>
  <c r="CK26" i="8"/>
  <c r="CL26" i="8" s="1"/>
  <c r="CG26" i="8"/>
  <c r="CH26" i="8" s="1"/>
  <c r="CD26" i="8"/>
  <c r="BY26" i="8"/>
  <c r="BZ26" i="8" s="1"/>
  <c r="BU26" i="8"/>
  <c r="BV26" i="8" s="1"/>
  <c r="BQ26" i="8"/>
  <c r="BR26" i="8" s="1"/>
  <c r="BM26" i="8"/>
  <c r="BN26" i="8" s="1"/>
  <c r="BI26" i="8"/>
  <c r="BJ26" i="8" s="1"/>
  <c r="BE26" i="8"/>
  <c r="BF26" i="8" s="1"/>
  <c r="BA26" i="8"/>
  <c r="BB26" i="8" s="1"/>
  <c r="AX26" i="8"/>
  <c r="AS26" i="8"/>
  <c r="AT26" i="8" s="1"/>
  <c r="AO26" i="8"/>
  <c r="AP26" i="8" s="1"/>
  <c r="AK26" i="8"/>
  <c r="AL26" i="8" s="1"/>
  <c r="AH26" i="8"/>
  <c r="AC26" i="8"/>
  <c r="AD26" i="8" s="1"/>
  <c r="Y26" i="8"/>
  <c r="Z26" i="8" s="1"/>
  <c r="V26" i="8"/>
  <c r="Q26" i="8"/>
  <c r="R26" i="8" s="1"/>
  <c r="M26" i="8"/>
  <c r="N26" i="8" s="1"/>
  <c r="I26" i="8"/>
  <c r="J26" i="8" s="1"/>
  <c r="F26" i="8"/>
  <c r="HR25" i="8"/>
  <c r="HQ25" i="8"/>
  <c r="HM25" i="8"/>
  <c r="HA25" i="8"/>
  <c r="GT25" i="8"/>
  <c r="GP25" i="8"/>
  <c r="GL25" i="8"/>
  <c r="GH25" i="8"/>
  <c r="GD25" i="8"/>
  <c r="FZ25" i="8"/>
  <c r="FV25" i="8"/>
  <c r="FR25" i="8"/>
  <c r="FN25" i="8"/>
  <c r="FJ25" i="8"/>
  <c r="FF25" i="8"/>
  <c r="FA25" i="8"/>
  <c r="EX25" i="8"/>
  <c r="ET25" i="8"/>
  <c r="EP25" i="8"/>
  <c r="EL25" i="8"/>
  <c r="EG25" i="8"/>
  <c r="EH25" i="8" s="1"/>
  <c r="ED25" i="8"/>
  <c r="DZ25" i="8"/>
  <c r="DU25" i="8"/>
  <c r="DV25" i="8" s="1"/>
  <c r="DN25" i="8"/>
  <c r="DJ25" i="8"/>
  <c r="DE25" i="8"/>
  <c r="DF25" i="8" s="1"/>
  <c r="DA25" i="8"/>
  <c r="CX25" i="8"/>
  <c r="CS25" i="8"/>
  <c r="CT25" i="8" s="1"/>
  <c r="CP25" i="8"/>
  <c r="CK25" i="8"/>
  <c r="CL25" i="8" s="1"/>
  <c r="CH25" i="8"/>
  <c r="CC25" i="8"/>
  <c r="CD25" i="8" s="1"/>
  <c r="BY25" i="8"/>
  <c r="BZ25" i="8" s="1"/>
  <c r="BV25" i="8"/>
  <c r="BQ25" i="8"/>
  <c r="BR25" i="8" s="1"/>
  <c r="BN25" i="8"/>
  <c r="BI25" i="8"/>
  <c r="BJ25" i="8" s="1"/>
  <c r="BE25" i="8"/>
  <c r="BF25" i="8" s="1"/>
  <c r="BB25" i="8"/>
  <c r="AX25" i="8"/>
  <c r="AT25" i="8"/>
  <c r="AO25" i="8"/>
  <c r="AL25" i="8"/>
  <c r="AF25" i="8"/>
  <c r="AH25" i="8" s="1"/>
  <c r="AB25" i="8"/>
  <c r="Z25" i="8"/>
  <c r="T25" i="8"/>
  <c r="R25" i="8"/>
  <c r="N25" i="8"/>
  <c r="J25" i="8"/>
  <c r="F25" i="8"/>
  <c r="HR24" i="8"/>
  <c r="HQ24" i="8"/>
  <c r="HM24" i="8"/>
  <c r="HJ24" i="8"/>
  <c r="HA24" i="8"/>
  <c r="GT24" i="8"/>
  <c r="GP24" i="8"/>
  <c r="GL24" i="8"/>
  <c r="GH24" i="8"/>
  <c r="GD24" i="8"/>
  <c r="FZ24" i="8"/>
  <c r="FV24" i="8"/>
  <c r="FR24" i="8"/>
  <c r="FN24" i="8"/>
  <c r="FJ24" i="8"/>
  <c r="FF24" i="8"/>
  <c r="FA24" i="8"/>
  <c r="FB24" i="8" s="1"/>
  <c r="EX24" i="8"/>
  <c r="ET24" i="8"/>
  <c r="EO24" i="8"/>
  <c r="EP24" i="8" s="1"/>
  <c r="EL24" i="8"/>
  <c r="EG24" i="8"/>
  <c r="EH24" i="8" s="1"/>
  <c r="ED24" i="8"/>
  <c r="DZ24" i="8"/>
  <c r="DU24" i="8"/>
  <c r="DV24" i="8" s="1"/>
  <c r="DN24" i="8"/>
  <c r="DJ24" i="8"/>
  <c r="DE24" i="8"/>
  <c r="DF24" i="8" s="1"/>
  <c r="DB24" i="8"/>
  <c r="CW24" i="8"/>
  <c r="CX24" i="8" s="1"/>
  <c r="CS24" i="8"/>
  <c r="CT24" i="8" s="1"/>
  <c r="CP24" i="8"/>
  <c r="CK24" i="8"/>
  <c r="CL24" i="8" s="1"/>
  <c r="CH24" i="8"/>
  <c r="CC24" i="8"/>
  <c r="CD24" i="8" s="1"/>
  <c r="BY24" i="8"/>
  <c r="BZ24" i="8" s="1"/>
  <c r="BV24" i="8"/>
  <c r="BQ24" i="8"/>
  <c r="BR24" i="8" s="1"/>
  <c r="BN24" i="8"/>
  <c r="BI24" i="8"/>
  <c r="BJ24" i="8" s="1"/>
  <c r="BE24" i="8"/>
  <c r="BF24" i="8" s="1"/>
  <c r="BA24" i="8"/>
  <c r="BB24" i="8" s="1"/>
  <c r="AX24" i="8"/>
  <c r="AS24" i="8"/>
  <c r="AT24" i="8" s="1"/>
  <c r="AO24" i="8"/>
  <c r="AP24" i="8" s="1"/>
  <c r="AL24" i="8"/>
  <c r="AF24" i="8"/>
  <c r="HI24" i="8" s="1"/>
  <c r="AB24" i="8"/>
  <c r="HE24" i="8" s="1"/>
  <c r="Y24" i="8"/>
  <c r="Z24" i="8" s="1"/>
  <c r="V24" i="8"/>
  <c r="R24" i="8"/>
  <c r="N24" i="8"/>
  <c r="I24" i="8"/>
  <c r="F24" i="8"/>
  <c r="HR23" i="8"/>
  <c r="HQ23" i="8"/>
  <c r="HM23" i="8"/>
  <c r="HI23" i="8"/>
  <c r="HA23" i="8"/>
  <c r="GT23" i="8"/>
  <c r="GP23" i="8"/>
  <c r="GL23" i="8"/>
  <c r="GH23" i="8"/>
  <c r="GD23" i="8"/>
  <c r="FZ23" i="8"/>
  <c r="FV23" i="8"/>
  <c r="FR23" i="8"/>
  <c r="FN23" i="8"/>
  <c r="FI23" i="8"/>
  <c r="FJ23" i="8" s="1"/>
  <c r="FF23" i="8"/>
  <c r="FB23" i="8"/>
  <c r="EX23" i="8"/>
  <c r="ET23" i="8"/>
  <c r="EO23" i="8"/>
  <c r="EP23" i="8" s="1"/>
  <c r="EL23" i="8"/>
  <c r="EG23" i="8"/>
  <c r="EH23" i="8" s="1"/>
  <c r="EC23" i="8"/>
  <c r="ED23" i="8" s="1"/>
  <c r="DZ23" i="8"/>
  <c r="DU23" i="8"/>
  <c r="DV23" i="8" s="1"/>
  <c r="DN23" i="8"/>
  <c r="DJ23" i="8"/>
  <c r="DF23" i="8"/>
  <c r="DB23" i="8"/>
  <c r="CX23" i="8"/>
  <c r="CS23" i="8"/>
  <c r="CT23" i="8" s="1"/>
  <c r="CP23" i="8"/>
  <c r="CK23" i="8"/>
  <c r="CL23" i="8" s="1"/>
  <c r="CG23" i="8"/>
  <c r="CD23" i="8"/>
  <c r="BY23" i="8"/>
  <c r="BZ23" i="8" s="1"/>
  <c r="BV23" i="8"/>
  <c r="BR23" i="8"/>
  <c r="BN23" i="8"/>
  <c r="BI23" i="8"/>
  <c r="BJ23" i="8" s="1"/>
  <c r="BE23" i="8"/>
  <c r="BF23" i="8" s="1"/>
  <c r="BA23" i="8"/>
  <c r="BB23" i="8" s="1"/>
  <c r="AX23" i="8"/>
  <c r="AT23" i="8"/>
  <c r="AO23" i="8"/>
  <c r="AP23" i="8" s="1"/>
  <c r="AK23" i="8"/>
  <c r="AL23" i="8" s="1"/>
  <c r="AH23" i="8"/>
  <c r="AB23" i="8"/>
  <c r="AD23" i="8" s="1"/>
  <c r="Z23" i="8"/>
  <c r="V23" i="8"/>
  <c r="P23" i="8"/>
  <c r="R23" i="8" s="1"/>
  <c r="N23" i="8"/>
  <c r="J23" i="8"/>
  <c r="F23" i="8"/>
  <c r="HQ22" i="8"/>
  <c r="HM22" i="8"/>
  <c r="HI22" i="8"/>
  <c r="HE22" i="8"/>
  <c r="HA22" i="8"/>
  <c r="GV22" i="8"/>
  <c r="GT22" i="8"/>
  <c r="GP22" i="8"/>
  <c r="GL22" i="8"/>
  <c r="GH22" i="8"/>
  <c r="GD22" i="8"/>
  <c r="FZ22" i="8"/>
  <c r="FV22" i="8"/>
  <c r="FR22" i="8"/>
  <c r="FN22" i="8"/>
  <c r="FJ22" i="8"/>
  <c r="FF22" i="8"/>
  <c r="FA22" i="8"/>
  <c r="FB22" i="8" s="1"/>
  <c r="EX22" i="8"/>
  <c r="ES22" i="8"/>
  <c r="ET22" i="8" s="1"/>
  <c r="EO22" i="8"/>
  <c r="EP22" i="8" s="1"/>
  <c r="EL22" i="8"/>
  <c r="EG22" i="8"/>
  <c r="EH22" i="8" s="1"/>
  <c r="EC22" i="8"/>
  <c r="ED22" i="8" s="1"/>
  <c r="DY22" i="8"/>
  <c r="DZ22" i="8" s="1"/>
  <c r="DU22" i="8"/>
  <c r="DV22" i="8" s="1"/>
  <c r="DN22" i="8"/>
  <c r="DI22" i="8"/>
  <c r="DE22" i="8"/>
  <c r="DF22" i="8" s="1"/>
  <c r="DA22" i="8"/>
  <c r="CW22" i="8"/>
  <c r="CX22" i="8" s="1"/>
  <c r="CS22" i="8"/>
  <c r="CT22" i="8" s="1"/>
  <c r="CO22" i="8"/>
  <c r="CP22" i="8" s="1"/>
  <c r="CK22" i="8"/>
  <c r="CL22" i="8" s="1"/>
  <c r="CH22" i="8"/>
  <c r="CC22" i="8"/>
  <c r="CD22" i="8" s="1"/>
  <c r="BY22" i="8"/>
  <c r="BZ22" i="8" s="1"/>
  <c r="BU22" i="8"/>
  <c r="BV22" i="8" s="1"/>
  <c r="BQ22" i="8"/>
  <c r="BR22" i="8" s="1"/>
  <c r="BM22" i="8"/>
  <c r="BN22" i="8" s="1"/>
  <c r="BI22" i="8"/>
  <c r="BJ22" i="8" s="1"/>
  <c r="BE22" i="8"/>
  <c r="BF22" i="8" s="1"/>
  <c r="BA22" i="8"/>
  <c r="BB22" i="8" s="1"/>
  <c r="AW22" i="8"/>
  <c r="AX22" i="8" s="1"/>
  <c r="AS22" i="8"/>
  <c r="AT22" i="8" s="1"/>
  <c r="AP22" i="8"/>
  <c r="AK22" i="8"/>
  <c r="AH22" i="8"/>
  <c r="AC22" i="8"/>
  <c r="AD22" i="8" s="1"/>
  <c r="Z22" i="8"/>
  <c r="U22" i="8"/>
  <c r="V22" i="8" s="1"/>
  <c r="Q22" i="8"/>
  <c r="N22" i="8"/>
  <c r="J22" i="8"/>
  <c r="F22" i="8"/>
  <c r="HQ21" i="8"/>
  <c r="HM21" i="8"/>
  <c r="HJ21" i="8"/>
  <c r="HE21" i="8"/>
  <c r="HA21" i="8"/>
  <c r="GT21" i="8"/>
  <c r="GP21" i="8"/>
  <c r="GL21" i="8"/>
  <c r="GH21" i="8"/>
  <c r="GD21" i="8"/>
  <c r="FZ21" i="8"/>
  <c r="FV21" i="8"/>
  <c r="FR21" i="8"/>
  <c r="FN21" i="8"/>
  <c r="FJ21" i="8"/>
  <c r="FF21" i="8"/>
  <c r="FB21" i="8"/>
  <c r="EX21" i="8"/>
  <c r="ET21" i="8"/>
  <c r="EP21" i="8"/>
  <c r="EL21" i="8"/>
  <c r="EH21" i="8"/>
  <c r="ED21" i="8"/>
  <c r="DZ21" i="8"/>
  <c r="DU21" i="8"/>
  <c r="DV21" i="8" s="1"/>
  <c r="DN21" i="8"/>
  <c r="DJ21" i="8"/>
  <c r="DE21" i="8"/>
  <c r="DF21" i="8" s="1"/>
  <c r="DB21" i="8"/>
  <c r="CW21" i="8"/>
  <c r="CX21" i="8" s="1"/>
  <c r="CS21" i="8"/>
  <c r="CT21" i="8" s="1"/>
  <c r="CO21" i="8"/>
  <c r="CP21" i="8" s="1"/>
  <c r="CK21" i="8"/>
  <c r="CL21" i="8" s="1"/>
  <c r="CH21" i="8"/>
  <c r="CC21" i="8"/>
  <c r="CD21" i="8" s="1"/>
  <c r="BY21" i="8"/>
  <c r="BU21" i="8"/>
  <c r="BQ21" i="8"/>
  <c r="BN21" i="8"/>
  <c r="BI21" i="8"/>
  <c r="BJ21" i="8" s="1"/>
  <c r="BE21" i="8"/>
  <c r="BF21" i="8" s="1"/>
  <c r="BB21" i="8"/>
  <c r="AX21" i="8"/>
  <c r="AS21" i="8"/>
  <c r="AT21" i="8" s="1"/>
  <c r="AP21" i="8"/>
  <c r="AL21" i="8"/>
  <c r="AF21" i="8"/>
  <c r="AH21" i="8" s="1"/>
  <c r="AC21" i="8"/>
  <c r="AD21" i="8" s="1"/>
  <c r="Z21" i="8"/>
  <c r="T21" i="8"/>
  <c r="R21" i="8"/>
  <c r="N21" i="8"/>
  <c r="J21" i="8"/>
  <c r="F21" i="8"/>
  <c r="HR20" i="8"/>
  <c r="HQ20" i="8"/>
  <c r="HM20" i="8"/>
  <c r="HJ20" i="8"/>
  <c r="HA20" i="8"/>
  <c r="GT20" i="8"/>
  <c r="GP20" i="8"/>
  <c r="GL20" i="8"/>
  <c r="GH20" i="8"/>
  <c r="GD20" i="8"/>
  <c r="FZ20" i="8"/>
  <c r="FV20" i="8"/>
  <c r="FR20" i="8"/>
  <c r="FN20" i="8"/>
  <c r="FI20" i="8"/>
  <c r="FJ20" i="8" s="1"/>
  <c r="FF20" i="8"/>
  <c r="FA20" i="8"/>
  <c r="FB20" i="8" s="1"/>
  <c r="EX20" i="8"/>
  <c r="ET20" i="8"/>
  <c r="EO20" i="8"/>
  <c r="EP20" i="8" s="1"/>
  <c r="EL20" i="8"/>
  <c r="EG20" i="8"/>
  <c r="EH20" i="8" s="1"/>
  <c r="ED20" i="8"/>
  <c r="DZ20" i="8"/>
  <c r="DU20" i="8"/>
  <c r="DV20" i="8" s="1"/>
  <c r="DN20" i="8"/>
  <c r="DJ20" i="8"/>
  <c r="DE20" i="8"/>
  <c r="DF20" i="8" s="1"/>
  <c r="DB20" i="8"/>
  <c r="CX20" i="8"/>
  <c r="CS20" i="8"/>
  <c r="CT20" i="8" s="1"/>
  <c r="CP20" i="8"/>
  <c r="CK20" i="8"/>
  <c r="CL20" i="8" s="1"/>
  <c r="CH20" i="8"/>
  <c r="CD20" i="8"/>
  <c r="BY20" i="8"/>
  <c r="BZ20" i="8" s="1"/>
  <c r="BV20" i="8"/>
  <c r="BQ20" i="8"/>
  <c r="BR20" i="8" s="1"/>
  <c r="BN20" i="8"/>
  <c r="BI20" i="8"/>
  <c r="HF20" i="8" s="1"/>
  <c r="BE20" i="8"/>
  <c r="BA20" i="8"/>
  <c r="AX20" i="8"/>
  <c r="AT20" i="8"/>
  <c r="AP20" i="8"/>
  <c r="AL20" i="8"/>
  <c r="AF20" i="8"/>
  <c r="AH20" i="8" s="1"/>
  <c r="AB20" i="8"/>
  <c r="AD20" i="8" s="1"/>
  <c r="Z20" i="8"/>
  <c r="T20" i="8"/>
  <c r="P20" i="8"/>
  <c r="R20" i="8" s="1"/>
  <c r="N20" i="8"/>
  <c r="J20" i="8"/>
  <c r="F20" i="8"/>
  <c r="HQ19" i="8"/>
  <c r="HM19" i="8"/>
  <c r="HI19" i="8"/>
  <c r="HE19" i="8"/>
  <c r="HA19" i="8"/>
  <c r="GV19" i="8"/>
  <c r="GT19" i="8"/>
  <c r="GP19" i="8"/>
  <c r="GL19" i="8"/>
  <c r="GH19" i="8"/>
  <c r="GC19" i="8"/>
  <c r="GC62" i="8" s="1"/>
  <c r="FZ19" i="8"/>
  <c r="FU19" i="8"/>
  <c r="FV19" i="8" s="1"/>
  <c r="FR19" i="8"/>
  <c r="FN19" i="8"/>
  <c r="FI19" i="8"/>
  <c r="FJ19" i="8" s="1"/>
  <c r="FE19" i="8"/>
  <c r="FF19" i="8" s="1"/>
  <c r="FA19" i="8"/>
  <c r="FB19" i="8" s="1"/>
  <c r="EX19" i="8"/>
  <c r="ES19" i="8"/>
  <c r="ET19" i="8" s="1"/>
  <c r="EO19" i="8"/>
  <c r="EP19" i="8" s="1"/>
  <c r="EL19" i="8"/>
  <c r="EG19" i="8"/>
  <c r="EH19" i="8" s="1"/>
  <c r="ED19" i="8"/>
  <c r="DY19" i="8"/>
  <c r="DZ19" i="8" s="1"/>
  <c r="DU19" i="8"/>
  <c r="DV19" i="8" s="1"/>
  <c r="DN19" i="8"/>
  <c r="DI19" i="8"/>
  <c r="DJ19" i="8" s="1"/>
  <c r="DE19" i="8"/>
  <c r="DF19" i="8" s="1"/>
  <c r="DB19" i="8"/>
  <c r="CW19" i="8"/>
  <c r="CX19" i="8" s="1"/>
  <c r="CS19" i="8"/>
  <c r="CT19" i="8" s="1"/>
  <c r="CO19" i="8"/>
  <c r="CP19" i="8" s="1"/>
  <c r="CK19" i="8"/>
  <c r="CL19" i="8" s="1"/>
  <c r="CH19" i="8"/>
  <c r="CC19" i="8"/>
  <c r="CD19" i="8" s="1"/>
  <c r="BY19" i="8"/>
  <c r="BZ19" i="8" s="1"/>
  <c r="BU19" i="8"/>
  <c r="BV19" i="8" s="1"/>
  <c r="BQ19" i="8"/>
  <c r="BR19" i="8" s="1"/>
  <c r="BM19" i="8"/>
  <c r="BN19" i="8" s="1"/>
  <c r="BI19" i="8"/>
  <c r="BJ19" i="8" s="1"/>
  <c r="BE19" i="8"/>
  <c r="BF19" i="8" s="1"/>
  <c r="BA19" i="8"/>
  <c r="BB19" i="8" s="1"/>
  <c r="AW19" i="8"/>
  <c r="AX19" i="8" s="1"/>
  <c r="AT19" i="8"/>
  <c r="AO19" i="8"/>
  <c r="AP19" i="8" s="1"/>
  <c r="AK19" i="8"/>
  <c r="AG19" i="8"/>
  <c r="AD19" i="8"/>
  <c r="Y19" i="8"/>
  <c r="Z19" i="8" s="1"/>
  <c r="V19" i="8"/>
  <c r="R19" i="8"/>
  <c r="M19" i="8"/>
  <c r="N19" i="8" s="1"/>
  <c r="I19" i="8"/>
  <c r="F19" i="8"/>
  <c r="HQ18" i="8"/>
  <c r="HM18" i="8"/>
  <c r="HI18" i="8"/>
  <c r="HA18" i="8"/>
  <c r="GT18" i="8"/>
  <c r="GP18" i="8"/>
  <c r="GL18" i="8"/>
  <c r="GH18" i="8"/>
  <c r="GD18" i="8"/>
  <c r="FZ18" i="8"/>
  <c r="FU18" i="8"/>
  <c r="FV18" i="8" s="1"/>
  <c r="FR18" i="8"/>
  <c r="FN18" i="8"/>
  <c r="FI18" i="8"/>
  <c r="FJ18" i="8" s="1"/>
  <c r="FF18" i="8"/>
  <c r="FA18" i="8"/>
  <c r="FB18" i="8" s="1"/>
  <c r="EX18" i="8"/>
  <c r="ET18" i="8"/>
  <c r="EO18" i="8"/>
  <c r="EP18" i="8" s="1"/>
  <c r="EL18" i="8"/>
  <c r="EG18" i="8"/>
  <c r="EH18" i="8" s="1"/>
  <c r="ED18" i="8"/>
  <c r="DY18" i="8"/>
  <c r="DZ18" i="8" s="1"/>
  <c r="DU18" i="8"/>
  <c r="DV18" i="8" s="1"/>
  <c r="DN18" i="8"/>
  <c r="DJ18" i="8"/>
  <c r="DE18" i="8"/>
  <c r="DF18" i="8" s="1"/>
  <c r="DB18" i="8"/>
  <c r="CW18" i="8"/>
  <c r="CX18" i="8" s="1"/>
  <c r="CS18" i="8"/>
  <c r="CT18" i="8" s="1"/>
  <c r="CO18" i="8"/>
  <c r="HR18" i="8" s="1"/>
  <c r="CL18" i="8"/>
  <c r="CH18" i="8"/>
  <c r="CC18" i="8"/>
  <c r="CD18" i="8" s="1"/>
  <c r="BY18" i="8"/>
  <c r="BZ18" i="8" s="1"/>
  <c r="BV18" i="8"/>
  <c r="BQ18" i="8"/>
  <c r="BR18" i="8" s="1"/>
  <c r="BN18" i="8"/>
  <c r="BI18" i="8"/>
  <c r="BJ18" i="8" s="1"/>
  <c r="BE18" i="8"/>
  <c r="BB18" i="8"/>
  <c r="AW18" i="8"/>
  <c r="AX18" i="8" s="1"/>
  <c r="AS18" i="8"/>
  <c r="AT18" i="8" s="1"/>
  <c r="AP18" i="8"/>
  <c r="AL18" i="8"/>
  <c r="AG18" i="8"/>
  <c r="AH18" i="8" s="1"/>
  <c r="AB18" i="8"/>
  <c r="AD18" i="8" s="1"/>
  <c r="Z18" i="8"/>
  <c r="U18" i="8"/>
  <c r="P18" i="8"/>
  <c r="R18" i="8" s="1"/>
  <c r="N18" i="8"/>
  <c r="J18" i="8"/>
  <c r="F18" i="8"/>
  <c r="HR17" i="8"/>
  <c r="HQ17" i="8"/>
  <c r="HM17" i="8"/>
  <c r="HJ17" i="8"/>
  <c r="HE17" i="8"/>
  <c r="HA17" i="8"/>
  <c r="GT17" i="8"/>
  <c r="GP17" i="8"/>
  <c r="GL17" i="8"/>
  <c r="GH17" i="8"/>
  <c r="GD17" i="8"/>
  <c r="FZ17" i="8"/>
  <c r="FV17" i="8"/>
  <c r="FR17" i="8"/>
  <c r="FN17" i="8"/>
  <c r="FJ17" i="8"/>
  <c r="FF17" i="8"/>
  <c r="FB17" i="8"/>
  <c r="EX17" i="8"/>
  <c r="ET17" i="8"/>
  <c r="EO17" i="8"/>
  <c r="EP17" i="8" s="1"/>
  <c r="EL17" i="8"/>
  <c r="EH17" i="8"/>
  <c r="ED17" i="8"/>
  <c r="DZ17" i="8"/>
  <c r="DU17" i="8"/>
  <c r="DV17" i="8" s="1"/>
  <c r="DN17" i="8"/>
  <c r="DJ17" i="8"/>
  <c r="DE17" i="8"/>
  <c r="DF17" i="8" s="1"/>
  <c r="DB17" i="8"/>
  <c r="CX17" i="8"/>
  <c r="CS17" i="8"/>
  <c r="CT17" i="8" s="1"/>
  <c r="CP17" i="8"/>
  <c r="CK17" i="8"/>
  <c r="CL17" i="8" s="1"/>
  <c r="CH17" i="8"/>
  <c r="CC17" i="8"/>
  <c r="BY17" i="8"/>
  <c r="BZ17" i="8" s="1"/>
  <c r="BV17" i="8"/>
  <c r="BQ17" i="8"/>
  <c r="BN17" i="8"/>
  <c r="BJ17" i="8"/>
  <c r="BE17" i="8"/>
  <c r="BB17" i="8"/>
  <c r="AX17" i="8"/>
  <c r="AT17" i="8"/>
  <c r="AP17" i="8"/>
  <c r="AL17" i="8"/>
  <c r="AF17" i="8"/>
  <c r="AH17" i="8" s="1"/>
  <c r="AD17" i="8"/>
  <c r="Z17" i="8"/>
  <c r="T17" i="8"/>
  <c r="R17" i="8"/>
  <c r="N17" i="8"/>
  <c r="J17" i="8"/>
  <c r="F17" i="8"/>
  <c r="HR16" i="8"/>
  <c r="HQ16" i="8"/>
  <c r="HM16" i="8"/>
  <c r="HI16" i="8"/>
  <c r="HE16" i="8"/>
  <c r="HA16" i="8"/>
  <c r="GV16" i="8"/>
  <c r="GT16" i="8"/>
  <c r="GP16" i="8"/>
  <c r="GL16" i="8"/>
  <c r="GH16" i="8"/>
  <c r="GD16" i="8"/>
  <c r="FZ16" i="8"/>
  <c r="FV16" i="8"/>
  <c r="FR16" i="8"/>
  <c r="FN16" i="8"/>
  <c r="FI16" i="8"/>
  <c r="FJ16" i="8" s="1"/>
  <c r="FF16" i="8"/>
  <c r="FA16" i="8"/>
  <c r="FB16" i="8" s="1"/>
  <c r="EX16" i="8"/>
  <c r="ES16" i="8"/>
  <c r="ET16" i="8" s="1"/>
  <c r="EO16" i="8"/>
  <c r="EP16" i="8" s="1"/>
  <c r="EL16" i="8"/>
  <c r="EG16" i="8"/>
  <c r="EH16" i="8" s="1"/>
  <c r="ED16" i="8"/>
  <c r="DY16" i="8"/>
  <c r="DZ16" i="8" s="1"/>
  <c r="DU16" i="8"/>
  <c r="DV16" i="8" s="1"/>
  <c r="DN16" i="8"/>
  <c r="DJ16" i="8"/>
  <c r="DE16" i="8"/>
  <c r="DF16" i="8" s="1"/>
  <c r="DB16" i="8"/>
  <c r="CX16" i="8"/>
  <c r="CS16" i="8"/>
  <c r="CT16" i="8" s="1"/>
  <c r="CP16" i="8"/>
  <c r="CK16" i="8"/>
  <c r="CL16" i="8" s="1"/>
  <c r="CH16" i="8"/>
  <c r="CC16" i="8"/>
  <c r="CD16" i="8" s="1"/>
  <c r="BY16" i="8"/>
  <c r="BZ16" i="8" s="1"/>
  <c r="BV16" i="8"/>
  <c r="BQ16" i="8"/>
  <c r="BR16" i="8" s="1"/>
  <c r="BN16" i="8"/>
  <c r="BI16" i="8"/>
  <c r="BE16" i="8"/>
  <c r="BF16" i="8" s="1"/>
  <c r="BB16" i="8"/>
  <c r="AX16" i="8"/>
  <c r="AT16" i="8"/>
  <c r="AP16" i="8"/>
  <c r="AL16" i="8"/>
  <c r="AH16" i="8"/>
  <c r="AD16" i="8"/>
  <c r="Z16" i="8"/>
  <c r="U16" i="8"/>
  <c r="R16" i="8"/>
  <c r="N16" i="8"/>
  <c r="J16" i="8"/>
  <c r="F16" i="8"/>
  <c r="HQ15" i="8"/>
  <c r="HM15" i="8"/>
  <c r="HI15" i="8"/>
  <c r="HE15" i="8"/>
  <c r="HA15" i="8"/>
  <c r="GV15" i="8"/>
  <c r="GT15" i="8"/>
  <c r="GP15" i="8"/>
  <c r="GL15" i="8"/>
  <c r="GH15" i="8"/>
  <c r="GD15" i="8"/>
  <c r="FZ15" i="8"/>
  <c r="FV15" i="8"/>
  <c r="FR15" i="8"/>
  <c r="FN15" i="8"/>
  <c r="FI15" i="8"/>
  <c r="FJ15" i="8" s="1"/>
  <c r="FF15" i="8"/>
  <c r="FA15" i="8"/>
  <c r="FB15" i="8" s="1"/>
  <c r="EX15" i="8"/>
  <c r="ES15" i="8"/>
  <c r="ET15" i="8" s="1"/>
  <c r="EO15" i="8"/>
  <c r="EP15" i="8" s="1"/>
  <c r="EK15" i="8"/>
  <c r="EL15" i="8" s="1"/>
  <c r="EG15" i="8"/>
  <c r="EH15" i="8" s="1"/>
  <c r="ED15" i="8"/>
  <c r="DY15" i="8"/>
  <c r="DZ15" i="8" s="1"/>
  <c r="DU15" i="8"/>
  <c r="DV15" i="8" s="1"/>
  <c r="DN15" i="8"/>
  <c r="DI15" i="8"/>
  <c r="DJ15" i="8" s="1"/>
  <c r="DE15" i="8"/>
  <c r="DF15" i="8" s="1"/>
  <c r="DB15" i="8"/>
  <c r="CW15" i="8"/>
  <c r="CX15" i="8" s="1"/>
  <c r="CS15" i="8"/>
  <c r="CT15" i="8" s="1"/>
  <c r="CP15" i="8"/>
  <c r="CK15" i="8"/>
  <c r="CL15" i="8" s="1"/>
  <c r="CH15" i="8"/>
  <c r="CC15" i="8"/>
  <c r="CD15" i="8" s="1"/>
  <c r="BY15" i="8"/>
  <c r="BZ15" i="8" s="1"/>
  <c r="BV15" i="8"/>
  <c r="BQ15" i="8"/>
  <c r="BR15" i="8" s="1"/>
  <c r="BN15" i="8"/>
  <c r="BI15" i="8"/>
  <c r="BJ15" i="8" s="1"/>
  <c r="BE15" i="8"/>
  <c r="BF15" i="8" s="1"/>
  <c r="BB15" i="8"/>
  <c r="AX15" i="8"/>
  <c r="AS15" i="8"/>
  <c r="AT15" i="8" s="1"/>
  <c r="AP15" i="8"/>
  <c r="AL15" i="8"/>
  <c r="AG15" i="8"/>
  <c r="AH15" i="8" s="1"/>
  <c r="AD15" i="8"/>
  <c r="Z15" i="8"/>
  <c r="U15" i="8"/>
  <c r="V15" i="8" s="1"/>
  <c r="R15" i="8"/>
  <c r="M15" i="8"/>
  <c r="N15" i="8" s="1"/>
  <c r="J15" i="8"/>
  <c r="F15" i="8"/>
  <c r="HQ14" i="8"/>
  <c r="HM14" i="8"/>
  <c r="HI14" i="8"/>
  <c r="HE14" i="8"/>
  <c r="HA14" i="8"/>
  <c r="GV14" i="8"/>
  <c r="GT14" i="8"/>
  <c r="GP14" i="8"/>
  <c r="GL14" i="8"/>
  <c r="GH14" i="8"/>
  <c r="GD14" i="8"/>
  <c r="FZ14" i="8"/>
  <c r="FU14" i="8"/>
  <c r="FV14" i="8" s="1"/>
  <c r="FR14" i="8"/>
  <c r="FN14" i="8"/>
  <c r="FI14" i="8"/>
  <c r="FJ14" i="8" s="1"/>
  <c r="FE14" i="8"/>
  <c r="FF14" i="8" s="1"/>
  <c r="FA14" i="8"/>
  <c r="FB14" i="8" s="1"/>
  <c r="EX14" i="8"/>
  <c r="ET14" i="8"/>
  <c r="EO14" i="8"/>
  <c r="EP14" i="8" s="1"/>
  <c r="EK14" i="8"/>
  <c r="EG14" i="8"/>
  <c r="EH14" i="8" s="1"/>
  <c r="ED14" i="8"/>
  <c r="DZ14" i="8"/>
  <c r="DU14" i="8"/>
  <c r="DV14" i="8" s="1"/>
  <c r="DN14" i="8"/>
  <c r="DJ14" i="8"/>
  <c r="DE14" i="8"/>
  <c r="DF14" i="8" s="1"/>
  <c r="DB14" i="8"/>
  <c r="CX14" i="8"/>
  <c r="CS14" i="8"/>
  <c r="CT14" i="8" s="1"/>
  <c r="CO14" i="8"/>
  <c r="CP14" i="8" s="1"/>
  <c r="CK14" i="8"/>
  <c r="CH14" i="8"/>
  <c r="CD14" i="8"/>
  <c r="BY14" i="8"/>
  <c r="BZ14" i="8" s="1"/>
  <c r="BU14" i="8"/>
  <c r="BV14" i="8" s="1"/>
  <c r="BR14" i="8"/>
  <c r="BN14" i="8"/>
  <c r="BI14" i="8"/>
  <c r="BJ14" i="8" s="1"/>
  <c r="BE14" i="8"/>
  <c r="BB14" i="8"/>
  <c r="AW14" i="8"/>
  <c r="AS14" i="8"/>
  <c r="AT14" i="8" s="1"/>
  <c r="AP14" i="8"/>
  <c r="AL14" i="8"/>
  <c r="AH14" i="8"/>
  <c r="AC14" i="8"/>
  <c r="AD14" i="8" s="1"/>
  <c r="Z14" i="8"/>
  <c r="V14" i="8"/>
  <c r="Q14" i="8"/>
  <c r="N14" i="8"/>
  <c r="J14" i="8"/>
  <c r="F14" i="8"/>
  <c r="HR13" i="8"/>
  <c r="HQ13" i="8"/>
  <c r="HM13" i="8"/>
  <c r="HA13" i="8"/>
  <c r="GT13" i="8"/>
  <c r="GP13" i="8"/>
  <c r="GL13" i="8"/>
  <c r="GH13" i="8"/>
  <c r="GD13" i="8"/>
  <c r="FZ13" i="8"/>
  <c r="FV13" i="8"/>
  <c r="FR13" i="8"/>
  <c r="FN13" i="8"/>
  <c r="FI13" i="8"/>
  <c r="FJ13" i="8" s="1"/>
  <c r="FF13" i="8"/>
  <c r="FA13" i="8"/>
  <c r="FB13" i="8" s="1"/>
  <c r="EX13" i="8"/>
  <c r="ET13" i="8"/>
  <c r="EO13" i="8"/>
  <c r="EP13" i="8" s="1"/>
  <c r="EL13" i="8"/>
  <c r="EG13" i="8"/>
  <c r="EH13" i="8" s="1"/>
  <c r="ED13" i="8"/>
  <c r="DY13" i="8"/>
  <c r="DZ13" i="8" s="1"/>
  <c r="DV13" i="8"/>
  <c r="DN13" i="8"/>
  <c r="DJ13" i="8"/>
  <c r="DE13" i="8"/>
  <c r="DF13" i="8" s="1"/>
  <c r="DB13" i="8"/>
  <c r="CW13" i="8"/>
  <c r="CX13" i="8" s="1"/>
  <c r="CS13" i="8"/>
  <c r="CT13" i="8" s="1"/>
  <c r="CP13" i="8"/>
  <c r="CK13" i="8"/>
  <c r="CH13" i="8"/>
  <c r="CC13" i="8"/>
  <c r="CD13" i="8" s="1"/>
  <c r="BY13" i="8"/>
  <c r="BZ13" i="8" s="1"/>
  <c r="BV13" i="8"/>
  <c r="BR13" i="8"/>
  <c r="BN13" i="8"/>
  <c r="BI13" i="8"/>
  <c r="BJ13" i="8" s="1"/>
  <c r="BE13" i="8"/>
  <c r="BF13" i="8" s="1"/>
  <c r="BB13" i="8"/>
  <c r="AX13" i="8"/>
  <c r="AS13" i="8"/>
  <c r="AT13" i="8" s="1"/>
  <c r="AP13" i="8"/>
  <c r="AL13" i="8"/>
  <c r="AG13" i="8"/>
  <c r="HJ13" i="8" s="1"/>
  <c r="AB13" i="8"/>
  <c r="AD13" i="8" s="1"/>
  <c r="Z13" i="8"/>
  <c r="T13" i="8"/>
  <c r="V13" i="8" s="1"/>
  <c r="P13" i="8"/>
  <c r="R13" i="8" s="1"/>
  <c r="N13" i="8"/>
  <c r="J13" i="8"/>
  <c r="F13" i="8"/>
  <c r="HR12" i="8"/>
  <c r="HQ12" i="8"/>
  <c r="HM12" i="8"/>
  <c r="HE12" i="8"/>
  <c r="HA12" i="8"/>
  <c r="GT12" i="8"/>
  <c r="GP12" i="8"/>
  <c r="GL12" i="8"/>
  <c r="GH12" i="8"/>
  <c r="GD12" i="8"/>
  <c r="FZ12" i="8"/>
  <c r="FU12" i="8"/>
  <c r="FV12" i="8" s="1"/>
  <c r="FR12" i="8"/>
  <c r="FN12" i="8"/>
  <c r="FJ12" i="8"/>
  <c r="FF12" i="8"/>
  <c r="FA12" i="8"/>
  <c r="FB12" i="8" s="1"/>
  <c r="EX12" i="8"/>
  <c r="ES12" i="8"/>
  <c r="ET12" i="8" s="1"/>
  <c r="EO12" i="8"/>
  <c r="EP12" i="8" s="1"/>
  <c r="EL12" i="8"/>
  <c r="EG12" i="8"/>
  <c r="EH12" i="8" s="1"/>
  <c r="ED12" i="8"/>
  <c r="DY12" i="8"/>
  <c r="DZ12" i="8" s="1"/>
  <c r="DU12" i="8"/>
  <c r="DV12" i="8" s="1"/>
  <c r="DN12" i="8"/>
  <c r="DJ12" i="8"/>
  <c r="DE12" i="8"/>
  <c r="DF12" i="8" s="1"/>
  <c r="DB12" i="8"/>
  <c r="CW12" i="8"/>
  <c r="CX12" i="8" s="1"/>
  <c r="CS12" i="8"/>
  <c r="CT12" i="8" s="1"/>
  <c r="CP12" i="8"/>
  <c r="CK12" i="8"/>
  <c r="CL12" i="8" s="1"/>
  <c r="CG12" i="8"/>
  <c r="CH12" i="8" s="1"/>
  <c r="CC12" i="8"/>
  <c r="CD12" i="8" s="1"/>
  <c r="BY12" i="8"/>
  <c r="BZ12" i="8" s="1"/>
  <c r="BV12" i="8"/>
  <c r="BQ12" i="8"/>
  <c r="BR12" i="8" s="1"/>
  <c r="BN12" i="8"/>
  <c r="BI12" i="8"/>
  <c r="BJ12" i="8" s="1"/>
  <c r="BE12" i="8"/>
  <c r="BF12" i="8" s="1"/>
  <c r="BB12" i="8"/>
  <c r="AX12" i="8"/>
  <c r="AS12" i="8"/>
  <c r="AT12" i="8" s="1"/>
  <c r="AO12" i="8"/>
  <c r="AP12" i="8" s="1"/>
  <c r="AL12" i="8"/>
  <c r="AF12" i="8"/>
  <c r="AH12" i="8" s="1"/>
  <c r="AC12" i="8"/>
  <c r="AD12" i="8" s="1"/>
  <c r="Y12" i="8"/>
  <c r="Z12" i="8" s="1"/>
  <c r="T12" i="8"/>
  <c r="Q12" i="8"/>
  <c r="R12" i="8" s="1"/>
  <c r="M12" i="8"/>
  <c r="N12" i="8" s="1"/>
  <c r="J12" i="8"/>
  <c r="F12" i="8"/>
  <c r="HR11" i="8"/>
  <c r="HQ11" i="8"/>
  <c r="HM11" i="8"/>
  <c r="HJ11" i="8"/>
  <c r="HI11" i="8"/>
  <c r="HA11" i="8"/>
  <c r="GT11" i="8"/>
  <c r="GO11" i="8"/>
  <c r="GP11" i="8" s="1"/>
  <c r="GL11" i="8"/>
  <c r="GH11" i="8"/>
  <c r="GD11" i="8"/>
  <c r="FZ11" i="8"/>
  <c r="FV11" i="8"/>
  <c r="FR11" i="8"/>
  <c r="FN11" i="8"/>
  <c r="FJ11" i="8"/>
  <c r="FF11" i="8"/>
  <c r="FA11" i="8"/>
  <c r="FB11" i="8" s="1"/>
  <c r="EX11" i="8"/>
  <c r="ET11" i="8"/>
  <c r="EO11" i="8"/>
  <c r="EP11" i="8" s="1"/>
  <c r="EL11" i="8"/>
  <c r="EG11" i="8"/>
  <c r="EH11" i="8" s="1"/>
  <c r="ED11" i="8"/>
  <c r="DZ11" i="8"/>
  <c r="DU11" i="8"/>
  <c r="DV11" i="8" s="1"/>
  <c r="DN11" i="8"/>
  <c r="DJ11" i="8"/>
  <c r="DE11" i="8"/>
  <c r="DF11" i="8" s="1"/>
  <c r="DB11" i="8"/>
  <c r="CX11" i="8"/>
  <c r="CS11" i="8"/>
  <c r="CT11" i="8" s="1"/>
  <c r="CP11" i="8"/>
  <c r="CK11" i="8"/>
  <c r="CL11" i="8" s="1"/>
  <c r="CH11" i="8"/>
  <c r="CC11" i="8"/>
  <c r="CD11" i="8" s="1"/>
  <c r="BY11" i="8"/>
  <c r="BZ11" i="8" s="1"/>
  <c r="BV11" i="8"/>
  <c r="BQ11" i="8"/>
  <c r="BR11" i="8" s="1"/>
  <c r="BN11" i="8"/>
  <c r="BI11" i="8"/>
  <c r="BJ11" i="8" s="1"/>
  <c r="BE11" i="8"/>
  <c r="BF11" i="8" s="1"/>
  <c r="BA11" i="8"/>
  <c r="BB11" i="8" s="1"/>
  <c r="AX11" i="8"/>
  <c r="AT11" i="8"/>
  <c r="AO11" i="8"/>
  <c r="AP11" i="8" s="1"/>
  <c r="AK11" i="8"/>
  <c r="AH11" i="8"/>
  <c r="AB11" i="8"/>
  <c r="AD11" i="8" s="1"/>
  <c r="Y11" i="8"/>
  <c r="V11" i="8"/>
  <c r="P11" i="8"/>
  <c r="N11" i="8"/>
  <c r="J11" i="8"/>
  <c r="F11" i="8"/>
  <c r="HQ10" i="8"/>
  <c r="HM10" i="8"/>
  <c r="HJ10" i="8"/>
  <c r="HA10" i="8"/>
  <c r="GT10" i="8"/>
  <c r="GP10" i="8"/>
  <c r="GL10" i="8"/>
  <c r="GH10" i="8"/>
  <c r="GD10" i="8"/>
  <c r="FZ10" i="8"/>
  <c r="FU10" i="8"/>
  <c r="FV10" i="8" s="1"/>
  <c r="FR10" i="8"/>
  <c r="FN10" i="8"/>
  <c r="FJ10" i="8"/>
  <c r="FF10" i="8"/>
  <c r="FA10" i="8"/>
  <c r="FB10" i="8" s="1"/>
  <c r="EX10" i="8"/>
  <c r="ET10" i="8"/>
  <c r="EO10" i="8"/>
  <c r="EP10" i="8" s="1"/>
  <c r="EL10" i="8"/>
  <c r="EG10" i="8"/>
  <c r="EH10" i="8" s="1"/>
  <c r="ED10" i="8"/>
  <c r="DZ10" i="8"/>
  <c r="DU10" i="8"/>
  <c r="DV10" i="8" s="1"/>
  <c r="DN10" i="8"/>
  <c r="DJ10" i="8"/>
  <c r="DE10" i="8"/>
  <c r="DF10" i="8" s="1"/>
  <c r="DB10" i="8"/>
  <c r="CX10" i="8"/>
  <c r="CS10" i="8"/>
  <c r="CT10" i="8" s="1"/>
  <c r="CO10" i="8"/>
  <c r="CP10" i="8" s="1"/>
  <c r="CK10" i="8"/>
  <c r="CL10" i="8" s="1"/>
  <c r="CH10" i="8"/>
  <c r="CD10" i="8"/>
  <c r="BY10" i="8"/>
  <c r="BZ10" i="8" s="1"/>
  <c r="BU10" i="8"/>
  <c r="BV10" i="8" s="1"/>
  <c r="BQ10" i="8"/>
  <c r="BR10" i="8" s="1"/>
  <c r="BN10" i="8"/>
  <c r="BI10" i="8"/>
  <c r="BJ10" i="8" s="1"/>
  <c r="BE10" i="8"/>
  <c r="BF10" i="8" s="1"/>
  <c r="BB10" i="8"/>
  <c r="AX10" i="8"/>
  <c r="AS10" i="8"/>
  <c r="AP10" i="8"/>
  <c r="AL10" i="8"/>
  <c r="AF10" i="8"/>
  <c r="AH10" i="8" s="1"/>
  <c r="AB10" i="8"/>
  <c r="AD10" i="8" s="1"/>
  <c r="Z10" i="8"/>
  <c r="T10" i="8"/>
  <c r="P10" i="8"/>
  <c r="N10" i="8"/>
  <c r="J10" i="8"/>
  <c r="F10" i="8"/>
  <c r="HR9" i="8"/>
  <c r="HQ9" i="8"/>
  <c r="HM9" i="8"/>
  <c r="HJ9" i="8"/>
  <c r="HE9" i="8"/>
  <c r="HA9" i="8"/>
  <c r="GT9" i="8"/>
  <c r="GP9" i="8"/>
  <c r="GL9" i="8"/>
  <c r="GH9" i="8"/>
  <c r="GD9" i="8"/>
  <c r="FZ9" i="8"/>
  <c r="FV9" i="8"/>
  <c r="FR9" i="8"/>
  <c r="FN9" i="8"/>
  <c r="FI9" i="8"/>
  <c r="FJ9" i="8" s="1"/>
  <c r="FF9" i="8"/>
  <c r="FA9" i="8"/>
  <c r="FB9" i="8" s="1"/>
  <c r="EX9" i="8"/>
  <c r="ET9" i="8"/>
  <c r="EO9" i="8"/>
  <c r="EP9" i="8" s="1"/>
  <c r="EL9" i="8"/>
  <c r="EG9" i="8"/>
  <c r="EH9" i="8" s="1"/>
  <c r="ED9" i="8"/>
  <c r="DZ9" i="8"/>
  <c r="DU9" i="8"/>
  <c r="DV9" i="8" s="1"/>
  <c r="DN9" i="8"/>
  <c r="DJ9" i="8"/>
  <c r="DE9" i="8"/>
  <c r="DF9" i="8" s="1"/>
  <c r="DB9" i="8"/>
  <c r="CX9" i="8"/>
  <c r="CS9" i="8"/>
  <c r="CT9" i="8" s="1"/>
  <c r="CP9" i="8"/>
  <c r="CK9" i="8"/>
  <c r="CL9" i="8" s="1"/>
  <c r="CH9" i="8"/>
  <c r="CD9" i="8"/>
  <c r="BZ9" i="8"/>
  <c r="BV9" i="8"/>
  <c r="BQ9" i="8"/>
  <c r="BR9" i="8" s="1"/>
  <c r="BN9" i="8"/>
  <c r="BI9" i="8"/>
  <c r="BJ9" i="8" s="1"/>
  <c r="BE9" i="8"/>
  <c r="BF9" i="8" s="1"/>
  <c r="BA9" i="8"/>
  <c r="BB9" i="8" s="1"/>
  <c r="AX9" i="8"/>
  <c r="AS9" i="8"/>
  <c r="HF9" i="8" s="1"/>
  <c r="AO9" i="8"/>
  <c r="AP9" i="8" s="1"/>
  <c r="AL9" i="8"/>
  <c r="AF9" i="8"/>
  <c r="AH9" i="8" s="1"/>
  <c r="AD9" i="8"/>
  <c r="Y9" i="8"/>
  <c r="Z9" i="8" s="1"/>
  <c r="T9" i="8"/>
  <c r="V9" i="8" s="1"/>
  <c r="R9" i="8"/>
  <c r="N9" i="8"/>
  <c r="J9" i="8"/>
  <c r="F9" i="8"/>
  <c r="HQ8" i="8"/>
  <c r="HM8" i="8"/>
  <c r="HE8" i="8"/>
  <c r="HA8" i="8"/>
  <c r="GT8" i="8"/>
  <c r="GP8" i="8"/>
  <c r="GL8" i="8"/>
  <c r="GH8" i="8"/>
  <c r="GD8" i="8"/>
  <c r="FZ8" i="8"/>
  <c r="FU8" i="8"/>
  <c r="FV8" i="8" s="1"/>
  <c r="FR8" i="8"/>
  <c r="FN8" i="8"/>
  <c r="FJ8" i="8"/>
  <c r="FF8" i="8"/>
  <c r="FA8" i="8"/>
  <c r="FB8" i="8" s="1"/>
  <c r="EX8" i="8"/>
  <c r="ET8" i="8"/>
  <c r="EO8" i="8"/>
  <c r="EP8" i="8" s="1"/>
  <c r="EL8" i="8"/>
  <c r="EG8" i="8"/>
  <c r="EH8" i="8" s="1"/>
  <c r="ED8" i="8"/>
  <c r="DZ8" i="8"/>
  <c r="DU8" i="8"/>
  <c r="DV8" i="8" s="1"/>
  <c r="DN8" i="8"/>
  <c r="DJ8" i="8"/>
  <c r="DE8" i="8"/>
  <c r="DF8" i="8" s="1"/>
  <c r="DB8" i="8"/>
  <c r="CW8" i="8"/>
  <c r="CX8" i="8" s="1"/>
  <c r="CS8" i="8"/>
  <c r="CT8" i="8" s="1"/>
  <c r="CO8" i="8"/>
  <c r="CP8" i="8" s="1"/>
  <c r="CK8" i="8"/>
  <c r="CL8" i="8" s="1"/>
  <c r="CG8" i="8"/>
  <c r="CH8" i="8" s="1"/>
  <c r="CC8" i="8"/>
  <c r="CD8" i="8" s="1"/>
  <c r="BY8" i="8"/>
  <c r="BZ8" i="8" s="1"/>
  <c r="BV8" i="8"/>
  <c r="BQ8" i="8"/>
  <c r="BR8" i="8" s="1"/>
  <c r="BM8" i="8"/>
  <c r="BN8" i="8" s="1"/>
  <c r="BI8" i="8"/>
  <c r="BJ8" i="8" s="1"/>
  <c r="BE8" i="8"/>
  <c r="BF8" i="8" s="1"/>
  <c r="BA8" i="8"/>
  <c r="BB8" i="8" s="1"/>
  <c r="AX8" i="8"/>
  <c r="AT8" i="8"/>
  <c r="AP8" i="8"/>
  <c r="AL8" i="8"/>
  <c r="AF8" i="8"/>
  <c r="AH8" i="8" s="1"/>
  <c r="AC8" i="8"/>
  <c r="AD8" i="8" s="1"/>
  <c r="Z8" i="8"/>
  <c r="T8" i="8"/>
  <c r="Q8" i="8"/>
  <c r="R8" i="8" s="1"/>
  <c r="N8" i="8"/>
  <c r="J8" i="8"/>
  <c r="F8" i="8"/>
  <c r="HQ7" i="8"/>
  <c r="HM7" i="8"/>
  <c r="HI7" i="8"/>
  <c r="HE7" i="8"/>
  <c r="HA7" i="8"/>
  <c r="GV7" i="8"/>
  <c r="GT7" i="8"/>
  <c r="GP7" i="8"/>
  <c r="GL7" i="8"/>
  <c r="GH7" i="8"/>
  <c r="GD7" i="8"/>
  <c r="FZ7" i="8"/>
  <c r="FV7" i="8"/>
  <c r="FR7" i="8"/>
  <c r="FN7" i="8"/>
  <c r="FI7" i="8"/>
  <c r="FJ7" i="8" s="1"/>
  <c r="FF7" i="8"/>
  <c r="FA7" i="8"/>
  <c r="FB7" i="8" s="1"/>
  <c r="EX7" i="8"/>
  <c r="ET7" i="8"/>
  <c r="EO7" i="8"/>
  <c r="EP7" i="8" s="1"/>
  <c r="EL7" i="8"/>
  <c r="EG7" i="8"/>
  <c r="EH7" i="8" s="1"/>
  <c r="ED7" i="8"/>
  <c r="DY7" i="8"/>
  <c r="DZ7" i="8" s="1"/>
  <c r="DU7" i="8"/>
  <c r="DV7" i="8" s="1"/>
  <c r="DN7" i="8"/>
  <c r="DJ7" i="8"/>
  <c r="DE7" i="8"/>
  <c r="DF7" i="8" s="1"/>
  <c r="DB7" i="8"/>
  <c r="CW7" i="8"/>
  <c r="CX7" i="8" s="1"/>
  <c r="CS7" i="8"/>
  <c r="CT7" i="8" s="1"/>
  <c r="CO7" i="8"/>
  <c r="CP7" i="8" s="1"/>
  <c r="CK7" i="8"/>
  <c r="CL7" i="8" s="1"/>
  <c r="CG7" i="8"/>
  <c r="CH7" i="8" s="1"/>
  <c r="CC7" i="8"/>
  <c r="CD7" i="8" s="1"/>
  <c r="BY7" i="8"/>
  <c r="BZ7" i="8" s="1"/>
  <c r="BU7" i="8"/>
  <c r="BR7" i="8"/>
  <c r="BM7" i="8"/>
  <c r="BN7" i="8" s="1"/>
  <c r="BJ7" i="8"/>
  <c r="BE7" i="8"/>
  <c r="BF7" i="8" s="1"/>
  <c r="BA7" i="8"/>
  <c r="BB7" i="8" s="1"/>
  <c r="AW7" i="8"/>
  <c r="AX7" i="8" s="1"/>
  <c r="AT7" i="8"/>
  <c r="AP7" i="8"/>
  <c r="AL7" i="8"/>
  <c r="AH7" i="8"/>
  <c r="AC7" i="8"/>
  <c r="AD7" i="8" s="1"/>
  <c r="Z7" i="8"/>
  <c r="V7" i="8"/>
  <c r="R7" i="8"/>
  <c r="N7" i="8"/>
  <c r="J7" i="8"/>
  <c r="F7" i="8"/>
  <c r="HQ6" i="8"/>
  <c r="HM6" i="8"/>
  <c r="HJ6" i="8"/>
  <c r="HE6" i="8"/>
  <c r="HA6" i="8"/>
  <c r="GT6" i="8"/>
  <c r="GP6" i="8"/>
  <c r="GL6" i="8"/>
  <c r="GH6" i="8"/>
  <c r="GD6" i="8"/>
  <c r="FZ6" i="8"/>
  <c r="FU6" i="8"/>
  <c r="FV6" i="8" s="1"/>
  <c r="FR6" i="8"/>
  <c r="FN6" i="8"/>
  <c r="FI6" i="8"/>
  <c r="FJ6" i="8" s="1"/>
  <c r="FF6" i="8"/>
  <c r="FA6" i="8"/>
  <c r="FB6" i="8" s="1"/>
  <c r="EX6" i="8"/>
  <c r="ES6" i="8"/>
  <c r="ET6" i="8" s="1"/>
  <c r="EO6" i="8"/>
  <c r="EP6" i="8" s="1"/>
  <c r="EL6" i="8"/>
  <c r="EG6" i="8"/>
  <c r="EH6" i="8" s="1"/>
  <c r="ED6" i="8"/>
  <c r="DY6" i="8"/>
  <c r="DZ6" i="8" s="1"/>
  <c r="DV6" i="8"/>
  <c r="DN6" i="8"/>
  <c r="DI6" i="8"/>
  <c r="HR6" i="8" s="1"/>
  <c r="DE6" i="8"/>
  <c r="DF6" i="8" s="1"/>
  <c r="DB6" i="8"/>
  <c r="CW6" i="8"/>
  <c r="CS6" i="8"/>
  <c r="CT6" i="8" s="1"/>
  <c r="CP6" i="8"/>
  <c r="CK6" i="8"/>
  <c r="CL6" i="8" s="1"/>
  <c r="CH6" i="8"/>
  <c r="CC6" i="8"/>
  <c r="CD6" i="8" s="1"/>
  <c r="BY6" i="8"/>
  <c r="BZ6" i="8" s="1"/>
  <c r="BV6" i="8"/>
  <c r="BQ6" i="8"/>
  <c r="BR6" i="8" s="1"/>
  <c r="BN6" i="8"/>
  <c r="BI6" i="8"/>
  <c r="BJ6" i="8" s="1"/>
  <c r="BE6" i="8"/>
  <c r="BF6" i="8" s="1"/>
  <c r="BA6" i="8"/>
  <c r="BB6" i="8" s="1"/>
  <c r="AX6" i="8"/>
  <c r="AS6" i="8"/>
  <c r="AT6" i="8" s="1"/>
  <c r="AP6" i="8"/>
  <c r="AL6" i="8"/>
  <c r="AF6" i="8"/>
  <c r="AH6" i="8" s="1"/>
  <c r="AC6" i="8"/>
  <c r="AD6" i="8" s="1"/>
  <c r="Z6" i="8"/>
  <c r="T6" i="8"/>
  <c r="Q6" i="8"/>
  <c r="N6" i="8"/>
  <c r="J6" i="8"/>
  <c r="F6" i="8"/>
  <c r="HQ5" i="8"/>
  <c r="HM5" i="8"/>
  <c r="HJ5" i="8"/>
  <c r="HA5" i="8"/>
  <c r="GT5" i="8"/>
  <c r="GP5" i="8"/>
  <c r="GL5" i="8"/>
  <c r="GH5" i="8"/>
  <c r="GD5" i="8"/>
  <c r="FZ5" i="8"/>
  <c r="FU5" i="8"/>
  <c r="FV5" i="8" s="1"/>
  <c r="FR5" i="8"/>
  <c r="FN5" i="8"/>
  <c r="FJ5" i="8"/>
  <c r="FF5" i="8"/>
  <c r="FB5" i="8"/>
  <c r="EX5" i="8"/>
  <c r="ET5" i="8"/>
  <c r="EO5" i="8"/>
  <c r="EL5" i="8"/>
  <c r="EG5" i="8"/>
  <c r="EH5" i="8" s="1"/>
  <c r="ED5" i="8"/>
  <c r="DZ5" i="8"/>
  <c r="DU5" i="8"/>
  <c r="DV5" i="8" s="1"/>
  <c r="DN5" i="8"/>
  <c r="DJ5" i="8"/>
  <c r="DE5" i="8"/>
  <c r="DF5" i="8" s="1"/>
  <c r="DB5" i="8"/>
  <c r="CX5" i="8"/>
  <c r="CS5" i="8"/>
  <c r="CT5" i="8" s="1"/>
  <c r="CO5" i="8"/>
  <c r="CP5" i="8" s="1"/>
  <c r="CK5" i="8"/>
  <c r="CL5" i="8" s="1"/>
  <c r="CH5" i="8"/>
  <c r="CC5" i="8"/>
  <c r="CD5" i="8" s="1"/>
  <c r="BY5" i="8"/>
  <c r="BZ5" i="8" s="1"/>
  <c r="BV5" i="8"/>
  <c r="BQ5" i="8"/>
  <c r="BN5" i="8"/>
  <c r="BI5" i="8"/>
  <c r="BJ5" i="8" s="1"/>
  <c r="BE5" i="8"/>
  <c r="BF5" i="8" s="1"/>
  <c r="BB5" i="8"/>
  <c r="AX5" i="8"/>
  <c r="AT5" i="8"/>
  <c r="AP5" i="8"/>
  <c r="AL5" i="8"/>
  <c r="AF5" i="8"/>
  <c r="AH5" i="8" s="1"/>
  <c r="AB5" i="8"/>
  <c r="Z5" i="8"/>
  <c r="T5" i="8"/>
  <c r="P5" i="8"/>
  <c r="N5" i="8"/>
  <c r="J5" i="8"/>
  <c r="F5" i="8"/>
  <c r="HQ4" i="8"/>
  <c r="HM4" i="8"/>
  <c r="HI4" i="8"/>
  <c r="HE4" i="8"/>
  <c r="HA4" i="8"/>
  <c r="GV4" i="8"/>
  <c r="GT4" i="8"/>
  <c r="GO4" i="8"/>
  <c r="GL4" i="8"/>
  <c r="GH4" i="8"/>
  <c r="GD4" i="8"/>
  <c r="FZ4" i="8"/>
  <c r="FV4" i="8"/>
  <c r="FR4" i="8"/>
  <c r="FN4" i="8"/>
  <c r="FJ4" i="8"/>
  <c r="FF4" i="8"/>
  <c r="FA4" i="8"/>
  <c r="FB4" i="8" s="1"/>
  <c r="EX4" i="8"/>
  <c r="ET4" i="8"/>
  <c r="EP4" i="8"/>
  <c r="EL4" i="8"/>
  <c r="EG4" i="8"/>
  <c r="ED4" i="8"/>
  <c r="DZ4" i="8"/>
  <c r="DU4" i="8"/>
  <c r="DN4" i="8"/>
  <c r="DJ4" i="8"/>
  <c r="DE4" i="8"/>
  <c r="DB4" i="8"/>
  <c r="CX4" i="8"/>
  <c r="CS4" i="8"/>
  <c r="CO4" i="8"/>
  <c r="CP4" i="8" s="1"/>
  <c r="CK4" i="8"/>
  <c r="CG4" i="8"/>
  <c r="CH4" i="8" s="1"/>
  <c r="CC4" i="8"/>
  <c r="BY4" i="8"/>
  <c r="BZ4" i="8" s="1"/>
  <c r="BU4" i="8"/>
  <c r="BQ4" i="8"/>
  <c r="BR4" i="8" s="1"/>
  <c r="BM4" i="8"/>
  <c r="BI4" i="8"/>
  <c r="BJ4" i="8" s="1"/>
  <c r="BE4" i="8"/>
  <c r="BA4" i="8"/>
  <c r="AW4" i="8"/>
  <c r="AS4" i="8"/>
  <c r="AP4" i="8"/>
  <c r="AL4" i="8"/>
  <c r="AG4" i="8"/>
  <c r="AD4" i="8"/>
  <c r="Z4" i="8"/>
  <c r="U4" i="8"/>
  <c r="R4" i="8"/>
  <c r="N4" i="8"/>
  <c r="J4" i="8"/>
  <c r="F4" i="8"/>
  <c r="GS85" i="7"/>
  <c r="GR85" i="7"/>
  <c r="GQ85" i="7"/>
  <c r="GN85" i="7"/>
  <c r="GM85" i="7"/>
  <c r="GK85" i="7"/>
  <c r="GJ85" i="7"/>
  <c r="GI85" i="7"/>
  <c r="GG85" i="7"/>
  <c r="GF85" i="7"/>
  <c r="GE85" i="7"/>
  <c r="GB85" i="7"/>
  <c r="GA85" i="7"/>
  <c r="FZ85" i="7"/>
  <c r="FX85" i="7"/>
  <c r="FW85" i="7"/>
  <c r="FT85" i="7"/>
  <c r="FS85" i="7"/>
  <c r="FQ85" i="7"/>
  <c r="FP85" i="7"/>
  <c r="FO85" i="7"/>
  <c r="FL85" i="7"/>
  <c r="FK85" i="7"/>
  <c r="FH85" i="7"/>
  <c r="FG85" i="7"/>
  <c r="FE85" i="7"/>
  <c r="FD85" i="7"/>
  <c r="FC85" i="7"/>
  <c r="EZ85" i="7"/>
  <c r="EY85" i="7"/>
  <c r="EW85" i="7"/>
  <c r="EV85" i="7"/>
  <c r="EU85" i="7"/>
  <c r="ER85" i="7"/>
  <c r="EQ85" i="7"/>
  <c r="EN85" i="7"/>
  <c r="EM85" i="7"/>
  <c r="EJ85" i="7"/>
  <c r="EI85" i="7"/>
  <c r="EF85" i="7"/>
  <c r="EE85" i="7"/>
  <c r="EC85" i="7"/>
  <c r="EB85" i="7"/>
  <c r="EA85" i="7"/>
  <c r="DX85" i="7"/>
  <c r="DW85" i="7"/>
  <c r="DT85" i="7"/>
  <c r="DS85" i="7"/>
  <c r="DO85" i="7"/>
  <c r="DL85" i="7"/>
  <c r="DK85" i="7"/>
  <c r="DH85" i="7"/>
  <c r="DG85" i="7"/>
  <c r="DD85" i="7"/>
  <c r="DC85" i="7"/>
  <c r="CZ85" i="7"/>
  <c r="CY85" i="7"/>
  <c r="CV85" i="7"/>
  <c r="CU85" i="7"/>
  <c r="CR85" i="7"/>
  <c r="CQ85" i="7"/>
  <c r="CN85" i="7"/>
  <c r="CM85" i="7"/>
  <c r="CJ85" i="7"/>
  <c r="CI85" i="7"/>
  <c r="CE85" i="7"/>
  <c r="CB85" i="7"/>
  <c r="CA85" i="7"/>
  <c r="BX85" i="7"/>
  <c r="BW85" i="7"/>
  <c r="BT85" i="7"/>
  <c r="BS85" i="7"/>
  <c r="BP85" i="7"/>
  <c r="BO85" i="7"/>
  <c r="BL85" i="7"/>
  <c r="BK85" i="7"/>
  <c r="BH85" i="7"/>
  <c r="BG85" i="7"/>
  <c r="BC85" i="7"/>
  <c r="AZ85" i="7"/>
  <c r="AY85" i="7"/>
  <c r="AV85" i="7"/>
  <c r="AU85" i="7"/>
  <c r="AR85" i="7"/>
  <c r="AQ85" i="7"/>
  <c r="AM85" i="7"/>
  <c r="AJ85" i="7"/>
  <c r="AI85" i="7"/>
  <c r="AE85" i="7"/>
  <c r="AA85" i="7"/>
  <c r="X85" i="7"/>
  <c r="W85" i="7"/>
  <c r="S85" i="7"/>
  <c r="O85" i="7"/>
  <c r="K85" i="7"/>
  <c r="G85" i="7"/>
  <c r="E85" i="7"/>
  <c r="D85" i="7"/>
  <c r="HS84" i="7"/>
  <c r="HR84" i="7"/>
  <c r="HN84" i="7"/>
  <c r="HM84" i="7"/>
  <c r="HJ84" i="7"/>
  <c r="HI84" i="7"/>
  <c r="HF84" i="7"/>
  <c r="HE84" i="7"/>
  <c r="HB84" i="7"/>
  <c r="HA84" i="7"/>
  <c r="GW84" i="7"/>
  <c r="GV84" i="7"/>
  <c r="HS83" i="7"/>
  <c r="HR83" i="7"/>
  <c r="HM83" i="7"/>
  <c r="HJ83" i="7"/>
  <c r="HI83" i="7"/>
  <c r="HF83" i="7"/>
  <c r="HE83" i="7"/>
  <c r="HA83" i="7"/>
  <c r="GV83" i="7"/>
  <c r="GT83" i="7"/>
  <c r="GO83" i="7"/>
  <c r="GP83" i="7" s="1"/>
  <c r="GL83" i="7"/>
  <c r="GH83" i="7"/>
  <c r="GD83" i="7"/>
  <c r="FU83" i="7"/>
  <c r="FV83" i="7" s="1"/>
  <c r="FR83" i="7"/>
  <c r="FN83" i="7"/>
  <c r="FI83" i="7"/>
  <c r="FJ83" i="7" s="1"/>
  <c r="FF83" i="7"/>
  <c r="FA83" i="7"/>
  <c r="FB83" i="7" s="1"/>
  <c r="EX83" i="7"/>
  <c r="ET83" i="7"/>
  <c r="EO83" i="7"/>
  <c r="EP83" i="7" s="1"/>
  <c r="EL83" i="7"/>
  <c r="EG83" i="7"/>
  <c r="EH83" i="7" s="1"/>
  <c r="ED83" i="7"/>
  <c r="DZ83" i="7"/>
  <c r="DU83" i="7"/>
  <c r="DV83" i="7" s="1"/>
  <c r="DR83" i="7"/>
  <c r="DN83" i="7"/>
  <c r="DJ83" i="7"/>
  <c r="DF83" i="7"/>
  <c r="DB83" i="7"/>
  <c r="CX83" i="7"/>
  <c r="CT83" i="7"/>
  <c r="CP83" i="7"/>
  <c r="CL83" i="7"/>
  <c r="CH83" i="7"/>
  <c r="CD83" i="7"/>
  <c r="BZ83" i="7"/>
  <c r="BV83" i="7"/>
  <c r="BR83" i="7"/>
  <c r="BN83" i="7"/>
  <c r="BJ83" i="7"/>
  <c r="BF83" i="7"/>
  <c r="BB83" i="7"/>
  <c r="AX83" i="7"/>
  <c r="AT83" i="7"/>
  <c r="AP83" i="7"/>
  <c r="AL83" i="7"/>
  <c r="AH83" i="7"/>
  <c r="AD83" i="7"/>
  <c r="Z83" i="7"/>
  <c r="V83" i="7"/>
  <c r="R83" i="7"/>
  <c r="N83" i="7"/>
  <c r="J83" i="7"/>
  <c r="F83" i="7"/>
  <c r="HS82" i="7"/>
  <c r="HR82" i="7"/>
  <c r="HM82" i="7"/>
  <c r="HI82" i="7"/>
  <c r="HE82" i="7"/>
  <c r="HA82" i="7"/>
  <c r="GV82" i="7"/>
  <c r="FV82" i="7"/>
  <c r="FR82" i="7"/>
  <c r="FN82" i="7"/>
  <c r="FI82" i="7"/>
  <c r="FJ82" i="7" s="1"/>
  <c r="FF82" i="7"/>
  <c r="FB82" i="7"/>
  <c r="EX82" i="7"/>
  <c r="ET82" i="7"/>
  <c r="EP82" i="7"/>
  <c r="EL82" i="7"/>
  <c r="EG82" i="7"/>
  <c r="EH82" i="7" s="1"/>
  <c r="ED82" i="7"/>
  <c r="DY82" i="7"/>
  <c r="DZ82" i="7" s="1"/>
  <c r="DU82" i="7"/>
  <c r="DV82" i="7" s="1"/>
  <c r="DR82" i="7"/>
  <c r="DN82" i="7"/>
  <c r="DI82" i="7"/>
  <c r="DJ82" i="7" s="1"/>
  <c r="DE82" i="7"/>
  <c r="HJ82" i="7" s="1"/>
  <c r="DA82" i="7"/>
  <c r="CW82" i="7"/>
  <c r="CX82" i="7" s="1"/>
  <c r="CT82" i="7"/>
  <c r="CP82" i="7"/>
  <c r="CL82" i="7"/>
  <c r="CH82" i="7"/>
  <c r="CD82" i="7"/>
  <c r="BZ82" i="7"/>
  <c r="BV82" i="7"/>
  <c r="BR82" i="7"/>
  <c r="BN82" i="7"/>
  <c r="BJ82" i="7"/>
  <c r="BF82" i="7"/>
  <c r="BB82" i="7"/>
  <c r="AX82" i="7"/>
  <c r="AT82" i="7"/>
  <c r="AP82" i="7"/>
  <c r="AL82" i="7"/>
  <c r="AH82" i="7"/>
  <c r="AD82" i="7"/>
  <c r="Z82" i="7"/>
  <c r="V82" i="7"/>
  <c r="R82" i="7"/>
  <c r="N82" i="7"/>
  <c r="J82" i="7"/>
  <c r="F82" i="7"/>
  <c r="HR81" i="7"/>
  <c r="HM81" i="7"/>
  <c r="HJ81" i="7"/>
  <c r="HI81" i="7"/>
  <c r="HE81" i="7"/>
  <c r="GT81" i="7"/>
  <c r="GP81" i="7"/>
  <c r="GL81" i="7"/>
  <c r="GH81" i="7"/>
  <c r="GD81" i="7"/>
  <c r="FU81" i="7"/>
  <c r="FV81" i="7" s="1"/>
  <c r="FR81" i="7"/>
  <c r="FN81" i="7"/>
  <c r="FJ81" i="7"/>
  <c r="FF81" i="7"/>
  <c r="FA81" i="7"/>
  <c r="FB81" i="7" s="1"/>
  <c r="EX81" i="7"/>
  <c r="ES81" i="7"/>
  <c r="ET81" i="7" s="1"/>
  <c r="EO81" i="7"/>
  <c r="EP81" i="7" s="1"/>
  <c r="EL81" i="7"/>
  <c r="EG81" i="7"/>
  <c r="EH81" i="7" s="1"/>
  <c r="ED81" i="7"/>
  <c r="DY81" i="7"/>
  <c r="DZ81" i="7" s="1"/>
  <c r="DU81" i="7"/>
  <c r="DV81" i="7" s="1"/>
  <c r="DR81" i="7"/>
  <c r="DM81" i="7"/>
  <c r="HS81" i="7" s="1"/>
  <c r="DI81" i="7"/>
  <c r="DJ81" i="7" s="1"/>
  <c r="DF81" i="7"/>
  <c r="DA81" i="7"/>
  <c r="DB81" i="7" s="1"/>
  <c r="CW81" i="7"/>
  <c r="CX81" i="7" s="1"/>
  <c r="CS81" i="7"/>
  <c r="CP81" i="7"/>
  <c r="CK81" i="7"/>
  <c r="CG81" i="7"/>
  <c r="CF81" i="7"/>
  <c r="HA81" i="7" s="1"/>
  <c r="CD81" i="7"/>
  <c r="BZ81" i="7"/>
  <c r="BV81" i="7"/>
  <c r="BR81" i="7"/>
  <c r="BN81" i="7"/>
  <c r="BJ81" i="7"/>
  <c r="BF81" i="7"/>
  <c r="BB81" i="7"/>
  <c r="AX81" i="7"/>
  <c r="AT81" i="7"/>
  <c r="AP81" i="7"/>
  <c r="AL81" i="7"/>
  <c r="AH81" i="7"/>
  <c r="AD81" i="7"/>
  <c r="Z81" i="7"/>
  <c r="V81" i="7"/>
  <c r="R81" i="7"/>
  <c r="N81" i="7"/>
  <c r="J81" i="7"/>
  <c r="F81" i="7"/>
  <c r="HS80" i="7"/>
  <c r="HR80" i="7"/>
  <c r="HM80" i="7"/>
  <c r="HJ80" i="7"/>
  <c r="HI80" i="7"/>
  <c r="HF80" i="7"/>
  <c r="HE80" i="7"/>
  <c r="GT80" i="7"/>
  <c r="GP80" i="7"/>
  <c r="GL80" i="7"/>
  <c r="GH80" i="7"/>
  <c r="GD80" i="7"/>
  <c r="FV80" i="7"/>
  <c r="FR80" i="7"/>
  <c r="FN80" i="7"/>
  <c r="FJ80" i="7"/>
  <c r="FF80" i="7"/>
  <c r="FB80" i="7"/>
  <c r="EX80" i="7"/>
  <c r="ET80" i="7"/>
  <c r="EP80" i="7"/>
  <c r="EL80" i="7"/>
  <c r="EG80" i="7"/>
  <c r="EH80" i="7" s="1"/>
  <c r="ED80" i="7"/>
  <c r="DZ80" i="7"/>
  <c r="DU80" i="7"/>
  <c r="DV80" i="7" s="1"/>
  <c r="DR80" i="7"/>
  <c r="DN80" i="7"/>
  <c r="DI80" i="7"/>
  <c r="DJ80" i="7" s="1"/>
  <c r="DF80" i="7"/>
  <c r="DB80" i="7"/>
  <c r="CW80" i="7"/>
  <c r="CX80" i="7" s="1"/>
  <c r="CS80" i="7"/>
  <c r="CT80" i="7" s="1"/>
  <c r="CP80" i="7"/>
  <c r="CL80" i="7"/>
  <c r="CG80" i="7"/>
  <c r="CF80" i="7"/>
  <c r="CD80" i="7"/>
  <c r="BZ80" i="7"/>
  <c r="BV80" i="7"/>
  <c r="BR80" i="7"/>
  <c r="BN80" i="7"/>
  <c r="BJ80" i="7"/>
  <c r="BF80" i="7"/>
  <c r="BB80" i="7"/>
  <c r="AX80" i="7"/>
  <c r="AT80" i="7"/>
  <c r="AP80" i="7"/>
  <c r="AL80" i="7"/>
  <c r="AH80" i="7"/>
  <c r="AD80" i="7"/>
  <c r="Z80" i="7"/>
  <c r="V80" i="7"/>
  <c r="R80" i="7"/>
  <c r="N80" i="7"/>
  <c r="J80" i="7"/>
  <c r="F80" i="7"/>
  <c r="HR79" i="7"/>
  <c r="HM79" i="7"/>
  <c r="HJ79" i="7"/>
  <c r="HI79" i="7"/>
  <c r="HE79" i="7"/>
  <c r="HA79" i="7"/>
  <c r="GV79" i="7"/>
  <c r="GT79" i="7"/>
  <c r="GP79" i="7"/>
  <c r="GL79" i="7"/>
  <c r="GH79" i="7"/>
  <c r="GD79" i="7"/>
  <c r="FU79" i="7"/>
  <c r="FV79" i="7" s="1"/>
  <c r="FR79" i="7"/>
  <c r="FN79" i="7"/>
  <c r="FJ79" i="7"/>
  <c r="FF79" i="7"/>
  <c r="FA79" i="7"/>
  <c r="FB79" i="7" s="1"/>
  <c r="EX79" i="7"/>
  <c r="ES79" i="7"/>
  <c r="ET79" i="7" s="1"/>
  <c r="EO79" i="7"/>
  <c r="EP79" i="7" s="1"/>
  <c r="EL79" i="7"/>
  <c r="EG79" i="7"/>
  <c r="EH79" i="7" s="1"/>
  <c r="ED79" i="7"/>
  <c r="DY79" i="7"/>
  <c r="DU79" i="7"/>
  <c r="DV79" i="7" s="1"/>
  <c r="DR79" i="7"/>
  <c r="DM79" i="7"/>
  <c r="DN79" i="7" s="1"/>
  <c r="DI79" i="7"/>
  <c r="DJ79" i="7" s="1"/>
  <c r="DF79" i="7"/>
  <c r="DB79" i="7"/>
  <c r="CW79" i="7"/>
  <c r="CX79" i="7" s="1"/>
  <c r="CT79" i="7"/>
  <c r="CP79" i="7"/>
  <c r="CL79" i="7"/>
  <c r="CH79" i="7"/>
  <c r="CD79" i="7"/>
  <c r="BZ79" i="7"/>
  <c r="BV79" i="7"/>
  <c r="BR79" i="7"/>
  <c r="BN79" i="7"/>
  <c r="BJ79" i="7"/>
  <c r="BF79" i="7"/>
  <c r="BB79" i="7"/>
  <c r="AX79" i="7"/>
  <c r="AT79" i="7"/>
  <c r="AP79" i="7"/>
  <c r="AL79" i="7"/>
  <c r="AH79" i="7"/>
  <c r="AD79" i="7"/>
  <c r="Z79" i="7"/>
  <c r="V79" i="7"/>
  <c r="R79" i="7"/>
  <c r="N79" i="7"/>
  <c r="J79" i="7"/>
  <c r="F79" i="7"/>
  <c r="HR78" i="7"/>
  <c r="HM78" i="7"/>
  <c r="HI78" i="7"/>
  <c r="HE78" i="7"/>
  <c r="HA78" i="7"/>
  <c r="GV78" i="7"/>
  <c r="GT78" i="7"/>
  <c r="GP78" i="7"/>
  <c r="GL78" i="7"/>
  <c r="GH78" i="7"/>
  <c r="GD78" i="7"/>
  <c r="FV78" i="7"/>
  <c r="FR78" i="7"/>
  <c r="FN78" i="7"/>
  <c r="FJ78" i="7"/>
  <c r="FF78" i="7"/>
  <c r="FA78" i="7"/>
  <c r="FB78" i="7" s="1"/>
  <c r="EX78" i="7"/>
  <c r="ES78" i="7"/>
  <c r="ET78" i="7" s="1"/>
  <c r="EO78" i="7"/>
  <c r="EP78" i="7" s="1"/>
  <c r="EL78" i="7"/>
  <c r="EG78" i="7"/>
  <c r="ED78" i="7"/>
  <c r="DY78" i="7"/>
  <c r="DZ78" i="7" s="1"/>
  <c r="DU78" i="7"/>
  <c r="DV78" i="7" s="1"/>
  <c r="DR78" i="7"/>
  <c r="DM78" i="7"/>
  <c r="DI78" i="7"/>
  <c r="DJ78" i="7" s="1"/>
  <c r="DE78" i="7"/>
  <c r="DA78" i="7"/>
  <c r="DB78" i="7" s="1"/>
  <c r="CW78" i="7"/>
  <c r="CT78" i="7"/>
  <c r="CP78" i="7"/>
  <c r="CL78" i="7"/>
  <c r="CH78" i="7"/>
  <c r="CD78" i="7"/>
  <c r="BZ78" i="7"/>
  <c r="BV78" i="7"/>
  <c r="BR78" i="7"/>
  <c r="BN78" i="7"/>
  <c r="BJ78" i="7"/>
  <c r="BF78" i="7"/>
  <c r="BB78" i="7"/>
  <c r="AX78" i="7"/>
  <c r="AT78" i="7"/>
  <c r="AP78" i="7"/>
  <c r="AL78" i="7"/>
  <c r="AH78" i="7"/>
  <c r="AD78" i="7"/>
  <c r="Z78" i="7"/>
  <c r="V78" i="7"/>
  <c r="R78" i="7"/>
  <c r="N78" i="7"/>
  <c r="J78" i="7"/>
  <c r="F78" i="7"/>
  <c r="HR77" i="7"/>
  <c r="HM77" i="7"/>
  <c r="HJ77" i="7"/>
  <c r="HI77" i="7"/>
  <c r="HE77" i="7"/>
  <c r="HA77" i="7"/>
  <c r="GV77" i="7"/>
  <c r="GT77" i="7"/>
  <c r="GP77" i="7"/>
  <c r="GL77" i="7"/>
  <c r="GH77" i="7"/>
  <c r="GD77" i="7"/>
  <c r="FY77" i="7"/>
  <c r="FV77" i="7"/>
  <c r="FR77" i="7"/>
  <c r="FN77" i="7"/>
  <c r="FJ77" i="7"/>
  <c r="FF77" i="7"/>
  <c r="FB77" i="7"/>
  <c r="EX77" i="7"/>
  <c r="ES77" i="7"/>
  <c r="ET77" i="7" s="1"/>
  <c r="EO77" i="7"/>
  <c r="EP77" i="7" s="1"/>
  <c r="EK77" i="7"/>
  <c r="EL77" i="7" s="1"/>
  <c r="EG77" i="7"/>
  <c r="EH77" i="7" s="1"/>
  <c r="ED77" i="7"/>
  <c r="DY77" i="7"/>
  <c r="DZ77" i="7" s="1"/>
  <c r="DU77" i="7"/>
  <c r="DV77" i="7" s="1"/>
  <c r="DR77" i="7"/>
  <c r="DM77" i="7"/>
  <c r="DN77" i="7" s="1"/>
  <c r="DI77" i="7"/>
  <c r="DJ77" i="7" s="1"/>
  <c r="DF77" i="7"/>
  <c r="DA77" i="7"/>
  <c r="DB77" i="7" s="1"/>
  <c r="CW77" i="7"/>
  <c r="CX77" i="7" s="1"/>
  <c r="CT77" i="7"/>
  <c r="CP77" i="7"/>
  <c r="CL77" i="7"/>
  <c r="CH77" i="7"/>
  <c r="CD77" i="7"/>
  <c r="BZ77" i="7"/>
  <c r="BV77" i="7"/>
  <c r="BR77" i="7"/>
  <c r="BN77" i="7"/>
  <c r="BJ77" i="7"/>
  <c r="BF77" i="7"/>
  <c r="BB77" i="7"/>
  <c r="AX77" i="7"/>
  <c r="AT77" i="7"/>
  <c r="AP77" i="7"/>
  <c r="AL77" i="7"/>
  <c r="AH77" i="7"/>
  <c r="AD77" i="7"/>
  <c r="Z77" i="7"/>
  <c r="V77" i="7"/>
  <c r="R77" i="7"/>
  <c r="N77" i="7"/>
  <c r="J77" i="7"/>
  <c r="F77" i="7"/>
  <c r="HR76" i="7"/>
  <c r="HM76" i="7"/>
  <c r="HJ76" i="7"/>
  <c r="HI76" i="7"/>
  <c r="HE76" i="7"/>
  <c r="HA76" i="7"/>
  <c r="GV76" i="7"/>
  <c r="GT76" i="7"/>
  <c r="GP76" i="7"/>
  <c r="GL76" i="7"/>
  <c r="GH76" i="7"/>
  <c r="GD76" i="7"/>
  <c r="FV76" i="7"/>
  <c r="FR76" i="7"/>
  <c r="FM76" i="7"/>
  <c r="FN76" i="7" s="1"/>
  <c r="FI76" i="7"/>
  <c r="FJ76" i="7" s="1"/>
  <c r="FF76" i="7"/>
  <c r="FA76" i="7"/>
  <c r="FB76" i="7" s="1"/>
  <c r="EX76" i="7"/>
  <c r="ES76" i="7"/>
  <c r="ET76" i="7" s="1"/>
  <c r="EO76" i="7"/>
  <c r="EP76" i="7" s="1"/>
  <c r="EL76" i="7"/>
  <c r="EG76" i="7"/>
  <c r="EH76" i="7" s="1"/>
  <c r="ED76" i="7"/>
  <c r="DZ76" i="7"/>
  <c r="DU76" i="7"/>
  <c r="DV76" i="7" s="1"/>
  <c r="DR76" i="7"/>
  <c r="DM76" i="7"/>
  <c r="DI76" i="7"/>
  <c r="DJ76" i="7" s="1"/>
  <c r="DF76" i="7"/>
  <c r="DA76" i="7"/>
  <c r="CW76" i="7"/>
  <c r="CT76" i="7"/>
  <c r="CP76" i="7"/>
  <c r="CL76" i="7"/>
  <c r="CH76" i="7"/>
  <c r="CD76" i="7"/>
  <c r="BZ76" i="7"/>
  <c r="BV76" i="7"/>
  <c r="BR76" i="7"/>
  <c r="BN76" i="7"/>
  <c r="BJ76" i="7"/>
  <c r="BF76" i="7"/>
  <c r="BB76" i="7"/>
  <c r="AX76" i="7"/>
  <c r="AT76" i="7"/>
  <c r="AP76" i="7"/>
  <c r="AL76" i="7"/>
  <c r="AH76" i="7"/>
  <c r="AD76" i="7"/>
  <c r="Z76" i="7"/>
  <c r="V76" i="7"/>
  <c r="R76" i="7"/>
  <c r="N76" i="7"/>
  <c r="J76" i="7"/>
  <c r="F76" i="7"/>
  <c r="HS75" i="7"/>
  <c r="HR75" i="7"/>
  <c r="HM75" i="7"/>
  <c r="HI75" i="7"/>
  <c r="HE75" i="7"/>
  <c r="GT75" i="7"/>
  <c r="GP75" i="7"/>
  <c r="GL75" i="7"/>
  <c r="GH75" i="7"/>
  <c r="GD75" i="7"/>
  <c r="FV75" i="7"/>
  <c r="FR75" i="7"/>
  <c r="FN75" i="7"/>
  <c r="FJ75" i="7"/>
  <c r="FF75" i="7"/>
  <c r="FB75" i="7"/>
  <c r="EX75" i="7"/>
  <c r="ET75" i="7"/>
  <c r="EO75" i="7"/>
  <c r="EP75" i="7" s="1"/>
  <c r="EL75" i="7"/>
  <c r="EH75" i="7"/>
  <c r="ED75" i="7"/>
  <c r="DZ75" i="7"/>
  <c r="DU75" i="7"/>
  <c r="DV75" i="7" s="1"/>
  <c r="DR75" i="7"/>
  <c r="DN75" i="7"/>
  <c r="DI75" i="7"/>
  <c r="DJ75" i="7" s="1"/>
  <c r="DF75" i="7"/>
  <c r="DA75" i="7"/>
  <c r="DB75" i="7" s="1"/>
  <c r="CX75" i="7"/>
  <c r="CS75" i="7"/>
  <c r="CT75" i="7" s="1"/>
  <c r="CO75" i="7"/>
  <c r="HJ75" i="7" s="1"/>
  <c r="CK75" i="7"/>
  <c r="CL75" i="7" s="1"/>
  <c r="CG75" i="7"/>
  <c r="CF75" i="7"/>
  <c r="HA75" i="7" s="1"/>
  <c r="CD75" i="7"/>
  <c r="BZ75" i="7"/>
  <c r="BV75" i="7"/>
  <c r="BR75" i="7"/>
  <c r="BN75" i="7"/>
  <c r="BJ75" i="7"/>
  <c r="BF75" i="7"/>
  <c r="BB75" i="7"/>
  <c r="AX75" i="7"/>
  <c r="AT75" i="7"/>
  <c r="AP75" i="7"/>
  <c r="AL75" i="7"/>
  <c r="AH75" i="7"/>
  <c r="AD75" i="7"/>
  <c r="Z75" i="7"/>
  <c r="V75" i="7"/>
  <c r="R75" i="7"/>
  <c r="N75" i="7"/>
  <c r="J75" i="7"/>
  <c r="F75" i="7"/>
  <c r="HR74" i="7"/>
  <c r="HM74" i="7"/>
  <c r="HI74" i="7"/>
  <c r="HE74" i="7"/>
  <c r="GT74" i="7"/>
  <c r="GP74" i="7"/>
  <c r="GL74" i="7"/>
  <c r="GH74" i="7"/>
  <c r="GD74" i="7"/>
  <c r="FU74" i="7"/>
  <c r="FV74" i="7" s="1"/>
  <c r="FR74" i="7"/>
  <c r="FN74" i="7"/>
  <c r="FI74" i="7"/>
  <c r="FJ74" i="7" s="1"/>
  <c r="FF74" i="7"/>
  <c r="FA74" i="7"/>
  <c r="FB74" i="7" s="1"/>
  <c r="EX74" i="7"/>
  <c r="ET74" i="7"/>
  <c r="EO74" i="7"/>
  <c r="EP74" i="7" s="1"/>
  <c r="EL74" i="7"/>
  <c r="EG74" i="7"/>
  <c r="EH74" i="7" s="1"/>
  <c r="ED74" i="7"/>
  <c r="DY74" i="7"/>
  <c r="DZ74" i="7" s="1"/>
  <c r="DU74" i="7"/>
  <c r="DV74" i="7" s="1"/>
  <c r="DR74" i="7"/>
  <c r="DN74" i="7"/>
  <c r="DI74" i="7"/>
  <c r="DJ74" i="7" s="1"/>
  <c r="DF74" i="7"/>
  <c r="DA74" i="7"/>
  <c r="DB74" i="7" s="1"/>
  <c r="CW74" i="7"/>
  <c r="CX74" i="7" s="1"/>
  <c r="CS74" i="7"/>
  <c r="CO74" i="7"/>
  <c r="CK74" i="7"/>
  <c r="CG74" i="7"/>
  <c r="CF74" i="7"/>
  <c r="CD74" i="7"/>
  <c r="BZ74" i="7"/>
  <c r="BV74" i="7"/>
  <c r="BR74" i="7"/>
  <c r="BN74" i="7"/>
  <c r="BJ74" i="7"/>
  <c r="BE74" i="7"/>
  <c r="HS74" i="7" s="1"/>
  <c r="BB74" i="7"/>
  <c r="AX74" i="7"/>
  <c r="AT74" i="7"/>
  <c r="AP74" i="7"/>
  <c r="AL74" i="7"/>
  <c r="AH74" i="7"/>
  <c r="AD74" i="7"/>
  <c r="Z74" i="7"/>
  <c r="V74" i="7"/>
  <c r="R74" i="7"/>
  <c r="N74" i="7"/>
  <c r="J74" i="7"/>
  <c r="F74" i="7"/>
  <c r="HR73" i="7"/>
  <c r="HM73" i="7"/>
  <c r="HI73" i="7"/>
  <c r="HE73" i="7"/>
  <c r="GT73" i="7"/>
  <c r="GP73" i="7"/>
  <c r="GL73" i="7"/>
  <c r="GH73" i="7"/>
  <c r="GD73" i="7"/>
  <c r="FV73" i="7"/>
  <c r="FR73" i="7"/>
  <c r="FN73" i="7"/>
  <c r="FI73" i="7"/>
  <c r="FJ73" i="7" s="1"/>
  <c r="FF73" i="7"/>
  <c r="FA73" i="7"/>
  <c r="FB73" i="7" s="1"/>
  <c r="EX73" i="7"/>
  <c r="ET73" i="7"/>
  <c r="EO73" i="7"/>
  <c r="EP73" i="7" s="1"/>
  <c r="EL73" i="7"/>
  <c r="EG73" i="7"/>
  <c r="ED73" i="7"/>
  <c r="DY73" i="7"/>
  <c r="DZ73" i="7" s="1"/>
  <c r="DU73" i="7"/>
  <c r="DV73" i="7" s="1"/>
  <c r="DR73" i="7"/>
  <c r="DM73" i="7"/>
  <c r="DN73" i="7" s="1"/>
  <c r="DI73" i="7"/>
  <c r="DJ73" i="7" s="1"/>
  <c r="DF73" i="7"/>
  <c r="DA73" i="7"/>
  <c r="DB73" i="7" s="1"/>
  <c r="CW73" i="7"/>
  <c r="CX73" i="7" s="1"/>
  <c r="CS73" i="7"/>
  <c r="CT73" i="7" s="1"/>
  <c r="CO73" i="7"/>
  <c r="CP73" i="7" s="1"/>
  <c r="CK73" i="7"/>
  <c r="CL73" i="7" s="1"/>
  <c r="CG73" i="7"/>
  <c r="CF73" i="7"/>
  <c r="CD73" i="7"/>
  <c r="BZ73" i="7"/>
  <c r="BV73" i="7"/>
  <c r="BR73" i="7"/>
  <c r="BN73" i="7"/>
  <c r="BJ73" i="7"/>
  <c r="BE73" i="7"/>
  <c r="BB73" i="7"/>
  <c r="AX73" i="7"/>
  <c r="AT73" i="7"/>
  <c r="AP73" i="7"/>
  <c r="AL73" i="7"/>
  <c r="AH73" i="7"/>
  <c r="AD73" i="7"/>
  <c r="Z73" i="7"/>
  <c r="V73" i="7"/>
  <c r="R73" i="7"/>
  <c r="N73" i="7"/>
  <c r="J73" i="7"/>
  <c r="F73" i="7"/>
  <c r="HR72" i="7"/>
  <c r="HM72" i="7"/>
  <c r="HJ72" i="7"/>
  <c r="HI72" i="7"/>
  <c r="HE72" i="7"/>
  <c r="GT72" i="7"/>
  <c r="GP72" i="7"/>
  <c r="GL72" i="7"/>
  <c r="GH72" i="7"/>
  <c r="GD72" i="7"/>
  <c r="FV72" i="7"/>
  <c r="FR72" i="7"/>
  <c r="FN72" i="7"/>
  <c r="FI72" i="7"/>
  <c r="FJ72" i="7" s="1"/>
  <c r="FF72" i="7"/>
  <c r="FA72" i="7"/>
  <c r="FB72" i="7" s="1"/>
  <c r="EX72" i="7"/>
  <c r="ET72" i="7"/>
  <c r="EO72" i="7"/>
  <c r="EP72" i="7" s="1"/>
  <c r="EL72" i="7"/>
  <c r="EG72" i="7"/>
  <c r="EH72" i="7" s="1"/>
  <c r="ED72" i="7"/>
  <c r="DZ72" i="7"/>
  <c r="DU72" i="7"/>
  <c r="DV72" i="7" s="1"/>
  <c r="DR72" i="7"/>
  <c r="DN72" i="7"/>
  <c r="DI72" i="7"/>
  <c r="DJ72" i="7" s="1"/>
  <c r="DF72" i="7"/>
  <c r="DA72" i="7"/>
  <c r="HF72" i="7" s="1"/>
  <c r="CW72" i="7"/>
  <c r="CX72" i="7" s="1"/>
  <c r="CS72" i="7"/>
  <c r="CT72" i="7" s="1"/>
  <c r="CP72" i="7"/>
  <c r="CL72" i="7"/>
  <c r="CG72" i="7"/>
  <c r="CF72" i="7"/>
  <c r="HA72" i="7" s="1"/>
  <c r="CD72" i="7"/>
  <c r="BZ72" i="7"/>
  <c r="BV72" i="7"/>
  <c r="BR72" i="7"/>
  <c r="BN72" i="7"/>
  <c r="BJ72" i="7"/>
  <c r="BE72" i="7"/>
  <c r="HS72" i="7" s="1"/>
  <c r="BB72" i="7"/>
  <c r="AX72" i="7"/>
  <c r="AT72" i="7"/>
  <c r="AP72" i="7"/>
  <c r="AL72" i="7"/>
  <c r="AH72" i="7"/>
  <c r="AD72" i="7"/>
  <c r="Z72" i="7"/>
  <c r="V72" i="7"/>
  <c r="R72" i="7"/>
  <c r="N72" i="7"/>
  <c r="J72" i="7"/>
  <c r="F72" i="7"/>
  <c r="HR71" i="7"/>
  <c r="HM71" i="7"/>
  <c r="HI71" i="7"/>
  <c r="HE71" i="7"/>
  <c r="GT71" i="7"/>
  <c r="GP71" i="7"/>
  <c r="GL71" i="7"/>
  <c r="GH71" i="7"/>
  <c r="GD71" i="7"/>
  <c r="FV71" i="7"/>
  <c r="FR71" i="7"/>
  <c r="FN71" i="7"/>
  <c r="FJ71" i="7"/>
  <c r="FF71" i="7"/>
  <c r="FA71" i="7"/>
  <c r="FB71" i="7" s="1"/>
  <c r="EX71" i="7"/>
  <c r="ET71" i="7"/>
  <c r="EO71" i="7"/>
  <c r="EP71" i="7" s="1"/>
  <c r="EL71" i="7"/>
  <c r="EG71" i="7"/>
  <c r="EH71" i="7" s="1"/>
  <c r="ED71" i="7"/>
  <c r="DY71" i="7"/>
  <c r="DZ71" i="7" s="1"/>
  <c r="DU71" i="7"/>
  <c r="DV71" i="7" s="1"/>
  <c r="DR71" i="7"/>
  <c r="DN71" i="7"/>
  <c r="DI71" i="7"/>
  <c r="DJ71" i="7" s="1"/>
  <c r="DF71" i="7"/>
  <c r="DA71" i="7"/>
  <c r="DB71" i="7" s="1"/>
  <c r="CW71" i="7"/>
  <c r="CX71" i="7" s="1"/>
  <c r="CS71" i="7"/>
  <c r="CT71" i="7" s="1"/>
  <c r="CO71" i="7"/>
  <c r="HJ71" i="7" s="1"/>
  <c r="CK71" i="7"/>
  <c r="CL71" i="7" s="1"/>
  <c r="CG71" i="7"/>
  <c r="CF71" i="7"/>
  <c r="HA71" i="7" s="1"/>
  <c r="CD71" i="7"/>
  <c r="BZ71" i="7"/>
  <c r="BV71" i="7"/>
  <c r="BR71" i="7"/>
  <c r="BN71" i="7"/>
  <c r="BJ71" i="7"/>
  <c r="BE71" i="7"/>
  <c r="BB71" i="7"/>
  <c r="AX71" i="7"/>
  <c r="AT71" i="7"/>
  <c r="AP71" i="7"/>
  <c r="AL71" i="7"/>
  <c r="AH71" i="7"/>
  <c r="AD71" i="7"/>
  <c r="Z71" i="7"/>
  <c r="V71" i="7"/>
  <c r="R71" i="7"/>
  <c r="N71" i="7"/>
  <c r="J71" i="7"/>
  <c r="F71" i="7"/>
  <c r="HR70" i="7"/>
  <c r="HM70" i="7"/>
  <c r="HI70" i="7"/>
  <c r="HE70" i="7"/>
  <c r="GT70" i="7"/>
  <c r="GP70" i="7"/>
  <c r="GL70" i="7"/>
  <c r="GH70" i="7"/>
  <c r="GD70" i="7"/>
  <c r="FU70" i="7"/>
  <c r="FV70" i="7" s="1"/>
  <c r="FR70" i="7"/>
  <c r="FN70" i="7"/>
  <c r="FJ70" i="7"/>
  <c r="FF70" i="7"/>
  <c r="FA70" i="7"/>
  <c r="FB70" i="7" s="1"/>
  <c r="EX70" i="7"/>
  <c r="ET70" i="7"/>
  <c r="EO70" i="7"/>
  <c r="EP70" i="7" s="1"/>
  <c r="EL70" i="7"/>
  <c r="EG70" i="7"/>
  <c r="EH70" i="7" s="1"/>
  <c r="ED70" i="7"/>
  <c r="DZ70" i="7"/>
  <c r="DV70" i="7"/>
  <c r="DR70" i="7"/>
  <c r="DN70" i="7"/>
  <c r="DI70" i="7"/>
  <c r="DJ70" i="7" s="1"/>
  <c r="DE70" i="7"/>
  <c r="DB70" i="7"/>
  <c r="CW70" i="7"/>
  <c r="CX70" i="7" s="1"/>
  <c r="CS70" i="7"/>
  <c r="CT70" i="7" s="1"/>
  <c r="CP70" i="7"/>
  <c r="CK70" i="7"/>
  <c r="CL70" i="7" s="1"/>
  <c r="CG70" i="7"/>
  <c r="CF70" i="7"/>
  <c r="HA70" i="7" s="1"/>
  <c r="CD70" i="7"/>
  <c r="BZ70" i="7"/>
  <c r="BV70" i="7"/>
  <c r="BR70" i="7"/>
  <c r="BN70" i="7"/>
  <c r="BJ70" i="7"/>
  <c r="BE70" i="7"/>
  <c r="HS70" i="7" s="1"/>
  <c r="BB70" i="7"/>
  <c r="AX70" i="7"/>
  <c r="AT70" i="7"/>
  <c r="AP70" i="7"/>
  <c r="AL70" i="7"/>
  <c r="AH70" i="7"/>
  <c r="AD70" i="7"/>
  <c r="Z70" i="7"/>
  <c r="V70" i="7"/>
  <c r="R70" i="7"/>
  <c r="N70" i="7"/>
  <c r="J70" i="7"/>
  <c r="F70" i="7"/>
  <c r="HR69" i="7"/>
  <c r="HM69" i="7"/>
  <c r="HJ69" i="7"/>
  <c r="HI69" i="7"/>
  <c r="HE69" i="7"/>
  <c r="GT69" i="7"/>
  <c r="GP69" i="7"/>
  <c r="GL69" i="7"/>
  <c r="GH69" i="7"/>
  <c r="GC69" i="7"/>
  <c r="GD69" i="7" s="1"/>
  <c r="FU69" i="7"/>
  <c r="FV69" i="7" s="1"/>
  <c r="FR69" i="7"/>
  <c r="FN69" i="7"/>
  <c r="FI69" i="7"/>
  <c r="FJ69" i="7" s="1"/>
  <c r="FF69" i="7"/>
  <c r="FA69" i="7"/>
  <c r="FB69" i="7" s="1"/>
  <c r="EX69" i="7"/>
  <c r="ES69" i="7"/>
  <c r="ET69" i="7" s="1"/>
  <c r="EO69" i="7"/>
  <c r="EP69" i="7" s="1"/>
  <c r="EK69" i="7"/>
  <c r="EL69" i="7" s="1"/>
  <c r="EG69" i="7"/>
  <c r="EH69" i="7" s="1"/>
  <c r="ED69" i="7"/>
  <c r="DY69" i="7"/>
  <c r="DZ69" i="7" s="1"/>
  <c r="DU69" i="7"/>
  <c r="DV69" i="7" s="1"/>
  <c r="DR69" i="7"/>
  <c r="DM69" i="7"/>
  <c r="DN69" i="7" s="1"/>
  <c r="DI69" i="7"/>
  <c r="DJ69" i="7" s="1"/>
  <c r="DF69" i="7"/>
  <c r="DA69" i="7"/>
  <c r="DB69" i="7" s="1"/>
  <c r="CW69" i="7"/>
  <c r="CX69" i="7" s="1"/>
  <c r="CS69" i="7"/>
  <c r="CT69" i="7" s="1"/>
  <c r="CP69" i="7"/>
  <c r="CK69" i="7"/>
  <c r="CL69" i="7" s="1"/>
  <c r="CG69" i="7"/>
  <c r="CF69" i="7"/>
  <c r="GV69" i="7" s="1"/>
  <c r="CD69" i="7"/>
  <c r="BZ69" i="7"/>
  <c r="BV69" i="7"/>
  <c r="BR69" i="7"/>
  <c r="BN69" i="7"/>
  <c r="BJ69" i="7"/>
  <c r="BE69" i="7"/>
  <c r="BB69" i="7"/>
  <c r="AX69" i="7"/>
  <c r="AT69" i="7"/>
  <c r="AP69" i="7"/>
  <c r="AL69" i="7"/>
  <c r="AH69" i="7"/>
  <c r="AD69" i="7"/>
  <c r="Z69" i="7"/>
  <c r="V69" i="7"/>
  <c r="R69" i="7"/>
  <c r="N69" i="7"/>
  <c r="J69" i="7"/>
  <c r="F69" i="7"/>
  <c r="HR68" i="7"/>
  <c r="HM68" i="7"/>
  <c r="HJ68" i="7"/>
  <c r="HI68" i="7"/>
  <c r="HE68" i="7"/>
  <c r="GT68" i="7"/>
  <c r="GP68" i="7"/>
  <c r="GL68" i="7"/>
  <c r="GH68" i="7"/>
  <c r="GD68" i="7"/>
  <c r="FU68" i="7"/>
  <c r="FR68" i="7"/>
  <c r="FN68" i="7"/>
  <c r="FJ68" i="7"/>
  <c r="FF68" i="7"/>
  <c r="FA68" i="7"/>
  <c r="FB68" i="7" s="1"/>
  <c r="EX68" i="7"/>
  <c r="ET68" i="7"/>
  <c r="EO68" i="7"/>
  <c r="EP68" i="7" s="1"/>
  <c r="EL68" i="7"/>
  <c r="EG68" i="7"/>
  <c r="EH68" i="7" s="1"/>
  <c r="ED68" i="7"/>
  <c r="DY68" i="7"/>
  <c r="DZ68" i="7" s="1"/>
  <c r="DU68" i="7"/>
  <c r="DV68" i="7" s="1"/>
  <c r="DR68" i="7"/>
  <c r="DN68" i="7"/>
  <c r="DI68" i="7"/>
  <c r="DJ68" i="7" s="1"/>
  <c r="DF68" i="7"/>
  <c r="DA68" i="7"/>
  <c r="DB68" i="7" s="1"/>
  <c r="CW68" i="7"/>
  <c r="CX68" i="7" s="1"/>
  <c r="CS68" i="7"/>
  <c r="CT68" i="7" s="1"/>
  <c r="CP68" i="7"/>
  <c r="CK68" i="7"/>
  <c r="CL68" i="7" s="1"/>
  <c r="CG68" i="7"/>
  <c r="CF68" i="7"/>
  <c r="CD68" i="7"/>
  <c r="BZ68" i="7"/>
  <c r="BV68" i="7"/>
  <c r="BR68" i="7"/>
  <c r="BN68" i="7"/>
  <c r="BJ68" i="7"/>
  <c r="BE68" i="7"/>
  <c r="BF68" i="7" s="1"/>
  <c r="BB68" i="7"/>
  <c r="AX68" i="7"/>
  <c r="AT68" i="7"/>
  <c r="AP68" i="7"/>
  <c r="AL68" i="7"/>
  <c r="AH68" i="7"/>
  <c r="AD68" i="7"/>
  <c r="Z68" i="7"/>
  <c r="V68" i="7"/>
  <c r="R68" i="7"/>
  <c r="N68" i="7"/>
  <c r="J68" i="7"/>
  <c r="F68" i="7"/>
  <c r="HR67" i="7"/>
  <c r="HM67" i="7"/>
  <c r="HJ67" i="7"/>
  <c r="HI67" i="7"/>
  <c r="HE67" i="7"/>
  <c r="GT67" i="7"/>
  <c r="GP67" i="7"/>
  <c r="GL67" i="7"/>
  <c r="GH67" i="7"/>
  <c r="GD67" i="7"/>
  <c r="FY67" i="7"/>
  <c r="FU67" i="7"/>
  <c r="FV67" i="7" s="1"/>
  <c r="FR67" i="7"/>
  <c r="FM67" i="7"/>
  <c r="FN67" i="7" s="1"/>
  <c r="FI67" i="7"/>
  <c r="FJ67" i="7" s="1"/>
  <c r="FF67" i="7"/>
  <c r="FA67" i="7"/>
  <c r="FB67" i="7" s="1"/>
  <c r="EX67" i="7"/>
  <c r="ES67" i="7"/>
  <c r="ET67" i="7" s="1"/>
  <c r="EO67" i="7"/>
  <c r="EP67" i="7" s="1"/>
  <c r="EK67" i="7"/>
  <c r="EL67" i="7" s="1"/>
  <c r="EG67" i="7"/>
  <c r="EH67" i="7" s="1"/>
  <c r="ED67" i="7"/>
  <c r="DY67" i="7"/>
  <c r="DZ67" i="7" s="1"/>
  <c r="DU67" i="7"/>
  <c r="DV67" i="7" s="1"/>
  <c r="DR67" i="7"/>
  <c r="DM67" i="7"/>
  <c r="DN67" i="7" s="1"/>
  <c r="DI67" i="7"/>
  <c r="DJ67" i="7" s="1"/>
  <c r="DF67" i="7"/>
  <c r="DA67" i="7"/>
  <c r="DB67" i="7" s="1"/>
  <c r="CW67" i="7"/>
  <c r="CX67" i="7" s="1"/>
  <c r="CS67" i="7"/>
  <c r="CT67" i="7" s="1"/>
  <c r="CP67" i="7"/>
  <c r="CK67" i="7"/>
  <c r="CL67" i="7" s="1"/>
  <c r="CG67" i="7"/>
  <c r="CF67" i="7"/>
  <c r="HA67" i="7" s="1"/>
  <c r="CD67" i="7"/>
  <c r="BZ67" i="7"/>
  <c r="BV67" i="7"/>
  <c r="BR67" i="7"/>
  <c r="BN67" i="7"/>
  <c r="BJ67" i="7"/>
  <c r="BE67" i="7"/>
  <c r="BF67" i="7" s="1"/>
  <c r="BB67" i="7"/>
  <c r="AX67" i="7"/>
  <c r="AT67" i="7"/>
  <c r="AP67" i="7"/>
  <c r="AL67" i="7"/>
  <c r="AH67" i="7"/>
  <c r="AD67" i="7"/>
  <c r="Z67" i="7"/>
  <c r="V67" i="7"/>
  <c r="R67" i="7"/>
  <c r="N67" i="7"/>
  <c r="J67" i="7"/>
  <c r="F67" i="7"/>
  <c r="HR66" i="7"/>
  <c r="HM66" i="7"/>
  <c r="HJ66" i="7"/>
  <c r="HI66" i="7"/>
  <c r="HF66" i="7"/>
  <c r="HE66" i="7"/>
  <c r="GT66" i="7"/>
  <c r="GP66" i="7"/>
  <c r="GL66" i="7"/>
  <c r="GH66" i="7"/>
  <c r="GD66" i="7"/>
  <c r="FV66" i="7"/>
  <c r="FR66" i="7"/>
  <c r="FN66" i="7"/>
  <c r="FJ66" i="7"/>
  <c r="FF66" i="7"/>
  <c r="FA66" i="7"/>
  <c r="FB66" i="7" s="1"/>
  <c r="EX66" i="7"/>
  <c r="ET66" i="7"/>
  <c r="EO66" i="7"/>
  <c r="EP66" i="7" s="1"/>
  <c r="EL66" i="7"/>
  <c r="EG66" i="7"/>
  <c r="EH66" i="7" s="1"/>
  <c r="ED66" i="7"/>
  <c r="DZ66" i="7"/>
  <c r="DU66" i="7"/>
  <c r="DV66" i="7" s="1"/>
  <c r="DR66" i="7"/>
  <c r="DM66" i="7"/>
  <c r="DN66" i="7" s="1"/>
  <c r="DI66" i="7"/>
  <c r="DF66" i="7"/>
  <c r="DB66" i="7"/>
  <c r="CW66" i="7"/>
  <c r="CX66" i="7" s="1"/>
  <c r="CT66" i="7"/>
  <c r="CP66" i="7"/>
  <c r="CL66" i="7"/>
  <c r="CG66" i="7"/>
  <c r="CF66" i="7"/>
  <c r="GV66" i="7" s="1"/>
  <c r="CD66" i="7"/>
  <c r="BZ66" i="7"/>
  <c r="BU66" i="7"/>
  <c r="BV66" i="7" s="1"/>
  <c r="BR66" i="7"/>
  <c r="BN66" i="7"/>
  <c r="BI66" i="7"/>
  <c r="BJ66" i="7" s="1"/>
  <c r="BE66" i="7"/>
  <c r="BB66" i="7"/>
  <c r="AX66" i="7"/>
  <c r="AT66" i="7"/>
  <c r="AP66" i="7"/>
  <c r="AL66" i="7"/>
  <c r="AH66" i="7"/>
  <c r="AD66" i="7"/>
  <c r="Z66" i="7"/>
  <c r="V66" i="7"/>
  <c r="R66" i="7"/>
  <c r="N66" i="7"/>
  <c r="J66" i="7"/>
  <c r="F66" i="7"/>
  <c r="HR65" i="7"/>
  <c r="HM65" i="7"/>
  <c r="HJ65" i="7"/>
  <c r="HI65" i="7"/>
  <c r="HF65" i="7"/>
  <c r="HE65" i="7"/>
  <c r="FU65" i="7"/>
  <c r="FV65" i="7" s="1"/>
  <c r="FR65" i="7"/>
  <c r="FN65" i="7"/>
  <c r="FJ65" i="7"/>
  <c r="FF65" i="7"/>
  <c r="FB65" i="7"/>
  <c r="EX65" i="7"/>
  <c r="ET65" i="7"/>
  <c r="EP65" i="7"/>
  <c r="EL65" i="7"/>
  <c r="EG65" i="7"/>
  <c r="EH65" i="7" s="1"/>
  <c r="ED65" i="7"/>
  <c r="DZ65" i="7"/>
  <c r="DU65" i="7"/>
  <c r="DV65" i="7" s="1"/>
  <c r="DR65" i="7"/>
  <c r="DN65" i="7"/>
  <c r="DJ65" i="7"/>
  <c r="DF65" i="7"/>
  <c r="DB65" i="7"/>
  <c r="CX65" i="7"/>
  <c r="CS65" i="7"/>
  <c r="CT65" i="7" s="1"/>
  <c r="CP65" i="7"/>
  <c r="CL65" i="7"/>
  <c r="CG65" i="7"/>
  <c r="CF65" i="7"/>
  <c r="CD65" i="7"/>
  <c r="BZ65" i="7"/>
  <c r="BV65" i="7"/>
  <c r="BR65" i="7"/>
  <c r="BN65" i="7"/>
  <c r="BJ65" i="7"/>
  <c r="BE65" i="7"/>
  <c r="BF65" i="7" s="1"/>
  <c r="BB65" i="7"/>
  <c r="AX65" i="7"/>
  <c r="AT65" i="7"/>
  <c r="AP65" i="7"/>
  <c r="AL65" i="7"/>
  <c r="AH65" i="7"/>
  <c r="AD65" i="7"/>
  <c r="Z65" i="7"/>
  <c r="V65" i="7"/>
  <c r="R65" i="7"/>
  <c r="N65" i="7"/>
  <c r="J65" i="7"/>
  <c r="F65" i="7"/>
  <c r="HR64" i="7"/>
  <c r="HM64" i="7"/>
  <c r="HI64" i="7"/>
  <c r="HE64" i="7"/>
  <c r="GT64" i="7"/>
  <c r="GP64" i="7"/>
  <c r="GL64" i="7"/>
  <c r="GH64" i="7"/>
  <c r="GD64" i="7"/>
  <c r="FU64" i="7"/>
  <c r="FV64" i="7" s="1"/>
  <c r="FR64" i="7"/>
  <c r="FN64" i="7"/>
  <c r="FI64" i="7"/>
  <c r="FJ64" i="7" s="1"/>
  <c r="FF64" i="7"/>
  <c r="FA64" i="7"/>
  <c r="FB64" i="7" s="1"/>
  <c r="EX64" i="7"/>
  <c r="ET64" i="7"/>
  <c r="EO64" i="7"/>
  <c r="EP64" i="7" s="1"/>
  <c r="EL64" i="7"/>
  <c r="EG64" i="7"/>
  <c r="EH64" i="7" s="1"/>
  <c r="ED64" i="7"/>
  <c r="DZ64" i="7"/>
  <c r="DU64" i="7"/>
  <c r="DV64" i="7" s="1"/>
  <c r="DR64" i="7"/>
  <c r="DN64" i="7"/>
  <c r="DI64" i="7"/>
  <c r="DJ64" i="7" s="1"/>
  <c r="DF64" i="7"/>
  <c r="DA64" i="7"/>
  <c r="DB64" i="7" s="1"/>
  <c r="CW64" i="7"/>
  <c r="CX64" i="7" s="1"/>
  <c r="CS64" i="7"/>
  <c r="CT64" i="7" s="1"/>
  <c r="CP64" i="7"/>
  <c r="CK64" i="7"/>
  <c r="CL64" i="7" s="1"/>
  <c r="CG64" i="7"/>
  <c r="CF64" i="7"/>
  <c r="CD64" i="7"/>
  <c r="BZ64" i="7"/>
  <c r="BU64" i="7"/>
  <c r="BV64" i="7" s="1"/>
  <c r="BR64" i="7"/>
  <c r="BM64" i="7"/>
  <c r="BN64" i="7" s="1"/>
  <c r="BI64" i="7"/>
  <c r="BJ64" i="7" s="1"/>
  <c r="BE64" i="7"/>
  <c r="BA64" i="7"/>
  <c r="BB64" i="7" s="1"/>
  <c r="AW64" i="7"/>
  <c r="AX64" i="7" s="1"/>
  <c r="AS64" i="7"/>
  <c r="AO64" i="7"/>
  <c r="AP64" i="7" s="1"/>
  <c r="AL64" i="7"/>
  <c r="AH64" i="7"/>
  <c r="AD64" i="7"/>
  <c r="Z64" i="7"/>
  <c r="V64" i="7"/>
  <c r="R64" i="7"/>
  <c r="N64" i="7"/>
  <c r="J64" i="7"/>
  <c r="F64" i="7"/>
  <c r="HR63" i="7"/>
  <c r="HM63" i="7"/>
  <c r="HJ63" i="7"/>
  <c r="HI63" i="7"/>
  <c r="HE63" i="7"/>
  <c r="GT63" i="7"/>
  <c r="GP63" i="7"/>
  <c r="GL63" i="7"/>
  <c r="GH63" i="7"/>
  <c r="GD63" i="7"/>
  <c r="FU63" i="7"/>
  <c r="FV63" i="7" s="1"/>
  <c r="FR63" i="7"/>
  <c r="FN63" i="7"/>
  <c r="FJ63" i="7"/>
  <c r="FF63" i="7"/>
  <c r="FA63" i="7"/>
  <c r="FB63" i="7" s="1"/>
  <c r="EX63" i="7"/>
  <c r="ET63" i="7"/>
  <c r="EO63" i="7"/>
  <c r="EP63" i="7" s="1"/>
  <c r="EL63" i="7"/>
  <c r="EG63" i="7"/>
  <c r="EH63" i="7" s="1"/>
  <c r="ED63" i="7"/>
  <c r="DZ63" i="7"/>
  <c r="DU63" i="7"/>
  <c r="DR63" i="7"/>
  <c r="DM63" i="7"/>
  <c r="DN63" i="7" s="1"/>
  <c r="DI63" i="7"/>
  <c r="DJ63" i="7" s="1"/>
  <c r="DF63" i="7"/>
  <c r="DB63" i="7"/>
  <c r="CW63" i="7"/>
  <c r="CX63" i="7" s="1"/>
  <c r="CS63" i="7"/>
  <c r="CT63" i="7" s="1"/>
  <c r="CP63" i="7"/>
  <c r="CK63" i="7"/>
  <c r="CL63" i="7" s="1"/>
  <c r="CG63" i="7"/>
  <c r="CF63" i="7"/>
  <c r="HA63" i="7" s="1"/>
  <c r="CD63" i="7"/>
  <c r="BY63" i="7"/>
  <c r="BZ63" i="7" s="1"/>
  <c r="BU63" i="7"/>
  <c r="BV63" i="7" s="1"/>
  <c r="BR63" i="7"/>
  <c r="BM63" i="7"/>
  <c r="BN63" i="7" s="1"/>
  <c r="BI63" i="7"/>
  <c r="BJ63" i="7" s="1"/>
  <c r="BE63" i="7"/>
  <c r="BB63" i="7"/>
  <c r="AX63" i="7"/>
  <c r="AT63" i="7"/>
  <c r="AO63" i="7"/>
  <c r="AP63" i="7" s="1"/>
  <c r="AL63" i="7"/>
  <c r="AH63" i="7"/>
  <c r="AD63" i="7"/>
  <c r="Z63" i="7"/>
  <c r="V63" i="7"/>
  <c r="R63" i="7"/>
  <c r="N63" i="7"/>
  <c r="J63" i="7"/>
  <c r="F63" i="7"/>
  <c r="HR62" i="7"/>
  <c r="HM62" i="7"/>
  <c r="HJ62" i="7"/>
  <c r="HI62" i="7"/>
  <c r="GT62" i="7"/>
  <c r="GP62" i="7"/>
  <c r="GL62" i="7"/>
  <c r="GH62" i="7"/>
  <c r="GD62" i="7"/>
  <c r="FU62" i="7"/>
  <c r="FV62" i="7" s="1"/>
  <c r="FR62" i="7"/>
  <c r="FN62" i="7"/>
  <c r="FJ62" i="7"/>
  <c r="FF62" i="7"/>
  <c r="FA62" i="7"/>
  <c r="FB62" i="7" s="1"/>
  <c r="EX62" i="7"/>
  <c r="ES62" i="7"/>
  <c r="ET62" i="7" s="1"/>
  <c r="EP62" i="7"/>
  <c r="EL62" i="7"/>
  <c r="EG62" i="7"/>
  <c r="EH62" i="7" s="1"/>
  <c r="ED62" i="7"/>
  <c r="DY62" i="7"/>
  <c r="DZ62" i="7" s="1"/>
  <c r="DU62" i="7"/>
  <c r="DV62" i="7" s="1"/>
  <c r="DR62" i="7"/>
  <c r="DN62" i="7"/>
  <c r="DI62" i="7"/>
  <c r="DJ62" i="7" s="1"/>
  <c r="DF62" i="7"/>
  <c r="DA62" i="7"/>
  <c r="DB62" i="7" s="1"/>
  <c r="CW62" i="7"/>
  <c r="CX62" i="7" s="1"/>
  <c r="CS62" i="7"/>
  <c r="CT62" i="7" s="1"/>
  <c r="CP62" i="7"/>
  <c r="CL62" i="7"/>
  <c r="CG62" i="7"/>
  <c r="CF62" i="7"/>
  <c r="HA62" i="7" s="1"/>
  <c r="CD62" i="7"/>
  <c r="BZ62" i="7"/>
  <c r="BU62" i="7"/>
  <c r="BV62" i="7" s="1"/>
  <c r="BR62" i="7"/>
  <c r="BM62" i="7"/>
  <c r="BN62" i="7" s="1"/>
  <c r="BI62" i="7"/>
  <c r="BJ62" i="7" s="1"/>
  <c r="BE62" i="7"/>
  <c r="HS62" i="7" s="1"/>
  <c r="BB62" i="7"/>
  <c r="AX62" i="7"/>
  <c r="AT62" i="7"/>
  <c r="AO62" i="7"/>
  <c r="AP62" i="7" s="1"/>
  <c r="AL62" i="7"/>
  <c r="AH62" i="7"/>
  <c r="AC62" i="7"/>
  <c r="AD62" i="7" s="1"/>
  <c r="Z62" i="7"/>
  <c r="V62" i="7"/>
  <c r="Q62" i="7"/>
  <c r="P62" i="7"/>
  <c r="HE62" i="7" s="1"/>
  <c r="N62" i="7"/>
  <c r="J62" i="7"/>
  <c r="F62" i="7"/>
  <c r="HS61" i="7"/>
  <c r="HR61" i="7"/>
  <c r="HN61" i="7"/>
  <c r="HM61" i="7"/>
  <c r="HJ61" i="7"/>
  <c r="HI61" i="7"/>
  <c r="HF61" i="7"/>
  <c r="HE61" i="7"/>
  <c r="HB61" i="7"/>
  <c r="HA61" i="7"/>
  <c r="GW61" i="7"/>
  <c r="GV61" i="7"/>
  <c r="FJ61" i="7"/>
  <c r="FF61" i="7"/>
  <c r="FB61" i="7"/>
  <c r="EX61" i="7"/>
  <c r="ET61" i="7"/>
  <c r="EP61" i="7"/>
  <c r="EL61" i="7"/>
  <c r="EH61" i="7"/>
  <c r="ED61" i="7"/>
  <c r="DZ61" i="7"/>
  <c r="DV61" i="7"/>
  <c r="DR61" i="7"/>
  <c r="DN61" i="7"/>
  <c r="DJ61" i="7"/>
  <c r="DF61" i="7"/>
  <c r="DB61" i="7"/>
  <c r="CX61" i="7"/>
  <c r="CT61" i="7"/>
  <c r="CP61" i="7"/>
  <c r="CL61" i="7"/>
  <c r="CH61" i="7"/>
  <c r="CD61" i="7"/>
  <c r="BZ61" i="7"/>
  <c r="BV61" i="7"/>
  <c r="BR61" i="7"/>
  <c r="BN61" i="7"/>
  <c r="BJ61" i="7"/>
  <c r="BF61" i="7"/>
  <c r="BB61" i="7"/>
  <c r="AX61" i="7"/>
  <c r="AT61" i="7"/>
  <c r="AP61" i="7"/>
  <c r="AL61" i="7"/>
  <c r="AH61" i="7"/>
  <c r="AD61" i="7"/>
  <c r="Z61" i="7"/>
  <c r="V61" i="7"/>
  <c r="R61" i="7"/>
  <c r="N61" i="7"/>
  <c r="J61" i="7"/>
  <c r="F61" i="7"/>
  <c r="HR60" i="7"/>
  <c r="HM60" i="7"/>
  <c r="HI60" i="7"/>
  <c r="HE60" i="7"/>
  <c r="GT60" i="7"/>
  <c r="GO60" i="7"/>
  <c r="GP60" i="7" s="1"/>
  <c r="GL60" i="7"/>
  <c r="GH60" i="7"/>
  <c r="GD60" i="7"/>
  <c r="FU60" i="7"/>
  <c r="FV60" i="7" s="1"/>
  <c r="FR60" i="7"/>
  <c r="FN60" i="7"/>
  <c r="FJ60" i="7"/>
  <c r="FF60" i="7"/>
  <c r="FA60" i="7"/>
  <c r="FB60" i="7" s="1"/>
  <c r="EX60" i="7"/>
  <c r="ES60" i="7"/>
  <c r="ET60" i="7" s="1"/>
  <c r="EO60" i="7"/>
  <c r="EP60" i="7" s="1"/>
  <c r="EL60" i="7"/>
  <c r="EG60" i="7"/>
  <c r="EH60" i="7" s="1"/>
  <c r="ED60" i="7"/>
  <c r="DY60" i="7"/>
  <c r="DZ60" i="7" s="1"/>
  <c r="DU60" i="7"/>
  <c r="DV60" i="7" s="1"/>
  <c r="DR60" i="7"/>
  <c r="DM60" i="7"/>
  <c r="DN60" i="7" s="1"/>
  <c r="DI60" i="7"/>
  <c r="DJ60" i="7" s="1"/>
  <c r="DF60" i="7"/>
  <c r="DA60" i="7"/>
  <c r="DB60" i="7" s="1"/>
  <c r="CW60" i="7"/>
  <c r="CX60" i="7" s="1"/>
  <c r="CS60" i="7"/>
  <c r="CT60" i="7" s="1"/>
  <c r="CP60" i="7"/>
  <c r="CK60" i="7"/>
  <c r="CL60" i="7" s="1"/>
  <c r="CG60" i="7"/>
  <c r="CF60" i="7"/>
  <c r="HA60" i="7" s="1"/>
  <c r="CD60" i="7"/>
  <c r="BY60" i="7"/>
  <c r="BU60" i="7"/>
  <c r="BV60" i="7" s="1"/>
  <c r="BR60" i="7"/>
  <c r="BM60" i="7"/>
  <c r="BN60" i="7" s="1"/>
  <c r="BI60" i="7"/>
  <c r="BJ60" i="7" s="1"/>
  <c r="BE60" i="7"/>
  <c r="BF60" i="7" s="1"/>
  <c r="BB60" i="7"/>
  <c r="AX60" i="7"/>
  <c r="AS60" i="7"/>
  <c r="AT60" i="7" s="1"/>
  <c r="AP60" i="7"/>
  <c r="AL60" i="7"/>
  <c r="AG60" i="7"/>
  <c r="AH60" i="7" s="1"/>
  <c r="AC60" i="7"/>
  <c r="AD60" i="7" s="1"/>
  <c r="Z60" i="7"/>
  <c r="U60" i="7"/>
  <c r="V60" i="7" s="1"/>
  <c r="R60" i="7"/>
  <c r="N60" i="7"/>
  <c r="J60" i="7"/>
  <c r="F60" i="7"/>
  <c r="HR59" i="7"/>
  <c r="HM59" i="7"/>
  <c r="HI59" i="7"/>
  <c r="HE59" i="7"/>
  <c r="GT59" i="7"/>
  <c r="GP59" i="7"/>
  <c r="GL59" i="7"/>
  <c r="GH59" i="7"/>
  <c r="GD59" i="7"/>
  <c r="FV59" i="7"/>
  <c r="FR59" i="7"/>
  <c r="FN59" i="7"/>
  <c r="FJ59" i="7"/>
  <c r="FF59" i="7"/>
  <c r="FA59" i="7"/>
  <c r="FB59" i="7" s="1"/>
  <c r="EX59" i="7"/>
  <c r="ES59" i="7"/>
  <c r="ET59" i="7" s="1"/>
  <c r="EP59" i="7"/>
  <c r="EL59" i="7"/>
  <c r="EG59" i="7"/>
  <c r="EH59" i="7" s="1"/>
  <c r="ED59" i="7"/>
  <c r="DY59" i="7"/>
  <c r="DZ59" i="7" s="1"/>
  <c r="DV59" i="7"/>
  <c r="DR59" i="7"/>
  <c r="DN59" i="7"/>
  <c r="DI59" i="7"/>
  <c r="DJ59" i="7" s="1"/>
  <c r="DE59" i="7"/>
  <c r="DF59" i="7" s="1"/>
  <c r="DA59" i="7"/>
  <c r="DB59" i="7" s="1"/>
  <c r="CW59" i="7"/>
  <c r="CX59" i="7" s="1"/>
  <c r="CS59" i="7"/>
  <c r="CT59" i="7" s="1"/>
  <c r="CO59" i="7"/>
  <c r="CP59" i="7" s="1"/>
  <c r="CK59" i="7"/>
  <c r="CL59" i="7" s="1"/>
  <c r="CG59" i="7"/>
  <c r="CF59" i="7"/>
  <c r="HA59" i="7" s="1"/>
  <c r="CD59" i="7"/>
  <c r="BZ59" i="7"/>
  <c r="BU59" i="7"/>
  <c r="BV59" i="7" s="1"/>
  <c r="BR59" i="7"/>
  <c r="BM59" i="7"/>
  <c r="BN59" i="7" s="1"/>
  <c r="BI59" i="7"/>
  <c r="BJ59" i="7" s="1"/>
  <c r="BE59" i="7"/>
  <c r="HS59" i="7" s="1"/>
  <c r="BB59" i="7"/>
  <c r="AW59" i="7"/>
  <c r="AX59" i="7" s="1"/>
  <c r="AS59" i="7"/>
  <c r="AT59" i="7" s="1"/>
  <c r="AO59" i="7"/>
  <c r="AP59" i="7" s="1"/>
  <c r="AL59" i="7"/>
  <c r="AH59" i="7"/>
  <c r="AC59" i="7"/>
  <c r="AD59" i="7" s="1"/>
  <c r="Y59" i="7"/>
  <c r="Z59" i="7" s="1"/>
  <c r="V59" i="7"/>
  <c r="R59" i="7"/>
  <c r="N59" i="7"/>
  <c r="J59" i="7"/>
  <c r="F59" i="7"/>
  <c r="HR58" i="7"/>
  <c r="HM58" i="7"/>
  <c r="HE58" i="7"/>
  <c r="GT58" i="7"/>
  <c r="GP58" i="7"/>
  <c r="GL58" i="7"/>
  <c r="GH58" i="7"/>
  <c r="GD58" i="7"/>
  <c r="FV58" i="7"/>
  <c r="FR58" i="7"/>
  <c r="FN58" i="7"/>
  <c r="FJ58" i="7"/>
  <c r="FF58" i="7"/>
  <c r="FA58" i="7"/>
  <c r="FB58" i="7" s="1"/>
  <c r="EX58" i="7"/>
  <c r="ET58" i="7"/>
  <c r="EO58" i="7"/>
  <c r="EP58" i="7" s="1"/>
  <c r="EL58" i="7"/>
  <c r="EG58" i="7"/>
  <c r="EH58" i="7" s="1"/>
  <c r="ED58" i="7"/>
  <c r="DY58" i="7"/>
  <c r="DZ58" i="7" s="1"/>
  <c r="DU58" i="7"/>
  <c r="DV58" i="7" s="1"/>
  <c r="DR58" i="7"/>
  <c r="DN58" i="7"/>
  <c r="DI58" i="7"/>
  <c r="DF58" i="7"/>
  <c r="DA58" i="7"/>
  <c r="DB58" i="7" s="1"/>
  <c r="CW58" i="7"/>
  <c r="CX58" i="7" s="1"/>
  <c r="CS58" i="7"/>
  <c r="CT58" i="7" s="1"/>
  <c r="CO58" i="7"/>
  <c r="CP58" i="7" s="1"/>
  <c r="CL58" i="7"/>
  <c r="CG58" i="7"/>
  <c r="CF58" i="7"/>
  <c r="CD58" i="7"/>
  <c r="BY58" i="7"/>
  <c r="BZ58" i="7" s="1"/>
  <c r="BU58" i="7"/>
  <c r="BV58" i="7" s="1"/>
  <c r="BR58" i="7"/>
  <c r="BN58" i="7"/>
  <c r="BI58" i="7"/>
  <c r="BJ58" i="7" s="1"/>
  <c r="BE58" i="7"/>
  <c r="BA58" i="7"/>
  <c r="BB58" i="7" s="1"/>
  <c r="AW58" i="7"/>
  <c r="AX58" i="7" s="1"/>
  <c r="AT58" i="7"/>
  <c r="AO58" i="7"/>
  <c r="AP58" i="7" s="1"/>
  <c r="AK58" i="7"/>
  <c r="AL58" i="7" s="1"/>
  <c r="AF58" i="7"/>
  <c r="AH58" i="7" s="1"/>
  <c r="AC58" i="7"/>
  <c r="AD58" i="7" s="1"/>
  <c r="Z58" i="7"/>
  <c r="T58" i="7"/>
  <c r="Q58" i="7"/>
  <c r="R58" i="7" s="1"/>
  <c r="N58" i="7"/>
  <c r="J58" i="7"/>
  <c r="F58" i="7"/>
  <c r="HR57" i="7"/>
  <c r="HM57" i="7"/>
  <c r="GT57" i="7"/>
  <c r="GP57" i="7"/>
  <c r="GL57" i="7"/>
  <c r="GH57" i="7"/>
  <c r="GD57" i="7"/>
  <c r="FV57" i="7"/>
  <c r="FR57" i="7"/>
  <c r="FN57" i="7"/>
  <c r="FJ57" i="7"/>
  <c r="FF57" i="7"/>
  <c r="FA57" i="7"/>
  <c r="FB57" i="7" s="1"/>
  <c r="EX57" i="7"/>
  <c r="ES57" i="7"/>
  <c r="ET57" i="7" s="1"/>
  <c r="EO57" i="7"/>
  <c r="EP57" i="7" s="1"/>
  <c r="EL57" i="7"/>
  <c r="EG57" i="7"/>
  <c r="EH57" i="7" s="1"/>
  <c r="ED57" i="7"/>
  <c r="DY57" i="7"/>
  <c r="DZ57" i="7" s="1"/>
  <c r="DU57" i="7"/>
  <c r="DV57" i="7" s="1"/>
  <c r="DR57" i="7"/>
  <c r="DN57" i="7"/>
  <c r="DI57" i="7"/>
  <c r="DJ57" i="7" s="1"/>
  <c r="DF57" i="7"/>
  <c r="DA57" i="7"/>
  <c r="DB57" i="7" s="1"/>
  <c r="CW57" i="7"/>
  <c r="CX57" i="7" s="1"/>
  <c r="CS57" i="7"/>
  <c r="CT57" i="7" s="1"/>
  <c r="CP57" i="7"/>
  <c r="CK57" i="7"/>
  <c r="CL57" i="7" s="1"/>
  <c r="CG57" i="7"/>
  <c r="CF57" i="7"/>
  <c r="CD57" i="7"/>
  <c r="BY57" i="7"/>
  <c r="BZ57" i="7" s="1"/>
  <c r="BU57" i="7"/>
  <c r="BR57" i="7"/>
  <c r="BN57" i="7"/>
  <c r="BI57" i="7"/>
  <c r="BJ57" i="7" s="1"/>
  <c r="BE57" i="7"/>
  <c r="BF57" i="7" s="1"/>
  <c r="BB57" i="7"/>
  <c r="AW57" i="7"/>
  <c r="AX57" i="7" s="1"/>
  <c r="AS57" i="7"/>
  <c r="AT57" i="7" s="1"/>
  <c r="AO57" i="7"/>
  <c r="AP57" i="7" s="1"/>
  <c r="AL57" i="7"/>
  <c r="AF57" i="7"/>
  <c r="HI57" i="7" s="1"/>
  <c r="AC57" i="7"/>
  <c r="AB57" i="7"/>
  <c r="Y57" i="7"/>
  <c r="Z57" i="7" s="1"/>
  <c r="U57" i="7"/>
  <c r="V57" i="7" s="1"/>
  <c r="Q57" i="7"/>
  <c r="R57" i="7" s="1"/>
  <c r="M57" i="7"/>
  <c r="I57" i="7"/>
  <c r="J57" i="7" s="1"/>
  <c r="F57" i="7"/>
  <c r="HR56" i="7"/>
  <c r="HM56" i="7"/>
  <c r="HF56" i="7"/>
  <c r="GT56" i="7"/>
  <c r="GP56" i="7"/>
  <c r="GL56" i="7"/>
  <c r="GH56" i="7"/>
  <c r="GD56" i="7"/>
  <c r="FV56" i="7"/>
  <c r="FR56" i="7"/>
  <c r="FN56" i="7"/>
  <c r="FI56" i="7"/>
  <c r="FJ56" i="7" s="1"/>
  <c r="FF56" i="7"/>
  <c r="FA56" i="7"/>
  <c r="FB56" i="7" s="1"/>
  <c r="EX56" i="7"/>
  <c r="ET56" i="7"/>
  <c r="EO56" i="7"/>
  <c r="EP56" i="7" s="1"/>
  <c r="EL56" i="7"/>
  <c r="EG56" i="7"/>
  <c r="EH56" i="7" s="1"/>
  <c r="ED56" i="7"/>
  <c r="DZ56" i="7"/>
  <c r="DU56" i="7"/>
  <c r="DV56" i="7" s="1"/>
  <c r="DR56" i="7"/>
  <c r="DN56" i="7"/>
  <c r="DI56" i="7"/>
  <c r="DJ56" i="7" s="1"/>
  <c r="DF56" i="7"/>
  <c r="DB56" i="7"/>
  <c r="CW56" i="7"/>
  <c r="CX56" i="7" s="1"/>
  <c r="CS56" i="7"/>
  <c r="CT56" i="7" s="1"/>
  <c r="CP56" i="7"/>
  <c r="CL56" i="7"/>
  <c r="CG56" i="7"/>
  <c r="CF56" i="7"/>
  <c r="HA56" i="7" s="1"/>
  <c r="CD56" i="7"/>
  <c r="BZ56" i="7"/>
  <c r="BU56" i="7"/>
  <c r="BV56" i="7" s="1"/>
  <c r="BR56" i="7"/>
  <c r="BN56" i="7"/>
  <c r="BI56" i="7"/>
  <c r="BJ56" i="7" s="1"/>
  <c r="BE56" i="7"/>
  <c r="BF56" i="7" s="1"/>
  <c r="BB56" i="7"/>
  <c r="AW56" i="7"/>
  <c r="AT56" i="7"/>
  <c r="AP56" i="7"/>
  <c r="AL56" i="7"/>
  <c r="AF56" i="7"/>
  <c r="HI56" i="7" s="1"/>
  <c r="AB56" i="7"/>
  <c r="AD56" i="7" s="1"/>
  <c r="Z56" i="7"/>
  <c r="V56" i="7"/>
  <c r="P56" i="7"/>
  <c r="R56" i="7" s="1"/>
  <c r="N56" i="7"/>
  <c r="J56" i="7"/>
  <c r="F56" i="7"/>
  <c r="HM55" i="7"/>
  <c r="HJ55" i="7"/>
  <c r="HF55" i="7"/>
  <c r="FV55" i="7"/>
  <c r="FR55" i="7"/>
  <c r="FN55" i="7"/>
  <c r="FI55" i="7"/>
  <c r="FJ55" i="7" s="1"/>
  <c r="FF55" i="7"/>
  <c r="FB55" i="7"/>
  <c r="EX55" i="7"/>
  <c r="ET55" i="7"/>
  <c r="EP55" i="7"/>
  <c r="EL55" i="7"/>
  <c r="EG55" i="7"/>
  <c r="EH55" i="7" s="1"/>
  <c r="ED55" i="7"/>
  <c r="DZ55" i="7"/>
  <c r="DU55" i="7"/>
  <c r="DV55" i="7" s="1"/>
  <c r="DR55" i="7"/>
  <c r="DN55" i="7"/>
  <c r="DJ55" i="7"/>
  <c r="DF55" i="7"/>
  <c r="DB55" i="7"/>
  <c r="CX55" i="7"/>
  <c r="CS55" i="7"/>
  <c r="CP55" i="7"/>
  <c r="CL55" i="7"/>
  <c r="CG55" i="7"/>
  <c r="CF55" i="7"/>
  <c r="CD55" i="7"/>
  <c r="BZ55" i="7"/>
  <c r="BV55" i="7"/>
  <c r="BR55" i="7"/>
  <c r="BN55" i="7"/>
  <c r="BJ55" i="7"/>
  <c r="BE55" i="7"/>
  <c r="HS55" i="7" s="1"/>
  <c r="BD55" i="7"/>
  <c r="HR55" i="7" s="1"/>
  <c r="BB55" i="7"/>
  <c r="AX55" i="7"/>
  <c r="AT55" i="7"/>
  <c r="AP55" i="7"/>
  <c r="AL55" i="7"/>
  <c r="AH55" i="7"/>
  <c r="AD55" i="7"/>
  <c r="Z55" i="7"/>
  <c r="T55" i="7"/>
  <c r="P55" i="7"/>
  <c r="HE55" i="7" s="1"/>
  <c r="N55" i="7"/>
  <c r="I55" i="7"/>
  <c r="J55" i="7" s="1"/>
  <c r="F55" i="7"/>
  <c r="HR54" i="7"/>
  <c r="HM54" i="7"/>
  <c r="HJ54" i="7"/>
  <c r="HF54" i="7"/>
  <c r="GT54" i="7"/>
  <c r="GP54" i="7"/>
  <c r="GL54" i="7"/>
  <c r="GH54" i="7"/>
  <c r="GD54" i="7"/>
  <c r="FV54" i="7"/>
  <c r="FR54" i="7"/>
  <c r="FN54" i="7"/>
  <c r="FJ54" i="7"/>
  <c r="FF54" i="7"/>
  <c r="FA54" i="7"/>
  <c r="FB54" i="7" s="1"/>
  <c r="EX54" i="7"/>
  <c r="ET54" i="7"/>
  <c r="EO54" i="7"/>
  <c r="EP54" i="7" s="1"/>
  <c r="EL54" i="7"/>
  <c r="EG54" i="7"/>
  <c r="EH54" i="7" s="1"/>
  <c r="ED54" i="7"/>
  <c r="DZ54" i="7"/>
  <c r="DU54" i="7"/>
  <c r="DV54" i="7" s="1"/>
  <c r="DR54" i="7"/>
  <c r="DN54" i="7"/>
  <c r="DI54" i="7"/>
  <c r="DJ54" i="7" s="1"/>
  <c r="DF54" i="7"/>
  <c r="DB54" i="7"/>
  <c r="CW54" i="7"/>
  <c r="CX54" i="7" s="1"/>
  <c r="CS54" i="7"/>
  <c r="CT54" i="7" s="1"/>
  <c r="CP54" i="7"/>
  <c r="CL54" i="7"/>
  <c r="CG54" i="7"/>
  <c r="CF54" i="7"/>
  <c r="HA54" i="7" s="1"/>
  <c r="CD54" i="7"/>
  <c r="BZ54" i="7"/>
  <c r="BU54" i="7"/>
  <c r="BV54" i="7" s="1"/>
  <c r="BR54" i="7"/>
  <c r="BN54" i="7"/>
  <c r="BI54" i="7"/>
  <c r="BJ54" i="7" s="1"/>
  <c r="BE54" i="7"/>
  <c r="BB54" i="7"/>
  <c r="AX54" i="7"/>
  <c r="AT54" i="7"/>
  <c r="AP54" i="7"/>
  <c r="AL54" i="7"/>
  <c r="AF54" i="7"/>
  <c r="AH54" i="7" s="1"/>
  <c r="AD54" i="7"/>
  <c r="Z54" i="7"/>
  <c r="T54" i="7"/>
  <c r="P54" i="7"/>
  <c r="R54" i="7" s="1"/>
  <c r="N54" i="7"/>
  <c r="J54" i="7"/>
  <c r="F54" i="7"/>
  <c r="HR53" i="7"/>
  <c r="HM53" i="7"/>
  <c r="HJ53" i="7"/>
  <c r="HI53" i="7"/>
  <c r="HE53" i="7"/>
  <c r="GT53" i="7"/>
  <c r="GP53" i="7"/>
  <c r="GL53" i="7"/>
  <c r="GH53" i="7"/>
  <c r="GD53" i="7"/>
  <c r="FV53" i="7"/>
  <c r="FR53" i="7"/>
  <c r="FN53" i="7"/>
  <c r="FJ53" i="7"/>
  <c r="FF53" i="7"/>
  <c r="FA53" i="7"/>
  <c r="FB53" i="7" s="1"/>
  <c r="EX53" i="7"/>
  <c r="ET53" i="7"/>
  <c r="EO53" i="7"/>
  <c r="EP53" i="7" s="1"/>
  <c r="EL53" i="7"/>
  <c r="EG53" i="7"/>
  <c r="EH53" i="7" s="1"/>
  <c r="ED53" i="7"/>
  <c r="DZ53" i="7"/>
  <c r="DU53" i="7"/>
  <c r="DV53" i="7" s="1"/>
  <c r="DR53" i="7"/>
  <c r="DN53" i="7"/>
  <c r="DI53" i="7"/>
  <c r="DJ53" i="7" s="1"/>
  <c r="DF53" i="7"/>
  <c r="DB53" i="7"/>
  <c r="CW53" i="7"/>
  <c r="CX53" i="7" s="1"/>
  <c r="CS53" i="7"/>
  <c r="CT53" i="7" s="1"/>
  <c r="CP53" i="7"/>
  <c r="CK53" i="7"/>
  <c r="CL53" i="7" s="1"/>
  <c r="CG53" i="7"/>
  <c r="CF53" i="7"/>
  <c r="GV53" i="7" s="1"/>
  <c r="CD53" i="7"/>
  <c r="BZ53" i="7"/>
  <c r="BU53" i="7"/>
  <c r="BV53" i="7" s="1"/>
  <c r="BR53" i="7"/>
  <c r="BN53" i="7"/>
  <c r="BI53" i="7"/>
  <c r="BJ53" i="7" s="1"/>
  <c r="BE53" i="7"/>
  <c r="BF53" i="7" s="1"/>
  <c r="BA53" i="7"/>
  <c r="AX53" i="7"/>
  <c r="AS53" i="7"/>
  <c r="HF53" i="7" s="1"/>
  <c r="AO53" i="7"/>
  <c r="AP53" i="7" s="1"/>
  <c r="AL53" i="7"/>
  <c r="AH53" i="7"/>
  <c r="AD53" i="7"/>
  <c r="Y53" i="7"/>
  <c r="Z53" i="7" s="1"/>
  <c r="V53" i="7"/>
  <c r="R53" i="7"/>
  <c r="N53" i="7"/>
  <c r="J53" i="7"/>
  <c r="F53" i="7"/>
  <c r="HR52" i="7"/>
  <c r="HM52" i="7"/>
  <c r="HI52" i="7"/>
  <c r="HE52" i="7"/>
  <c r="GT52" i="7"/>
  <c r="GP52" i="7"/>
  <c r="GL52" i="7"/>
  <c r="GH52" i="7"/>
  <c r="GD52" i="7"/>
  <c r="FV52" i="7"/>
  <c r="FR52" i="7"/>
  <c r="FM52" i="7"/>
  <c r="FN52" i="7" s="1"/>
  <c r="FJ52" i="7"/>
  <c r="FF52" i="7"/>
  <c r="FA52" i="7"/>
  <c r="FB52" i="7" s="1"/>
  <c r="EX52" i="7"/>
  <c r="ES52" i="7"/>
  <c r="ET52" i="7" s="1"/>
  <c r="EO52" i="7"/>
  <c r="EP52" i="7" s="1"/>
  <c r="EK52" i="7"/>
  <c r="EL52" i="7" s="1"/>
  <c r="EG52" i="7"/>
  <c r="EH52" i="7" s="1"/>
  <c r="ED52" i="7"/>
  <c r="DZ52" i="7"/>
  <c r="DU52" i="7"/>
  <c r="DV52" i="7" s="1"/>
  <c r="DR52" i="7"/>
  <c r="DM52" i="7"/>
  <c r="DN52" i="7" s="1"/>
  <c r="DI52" i="7"/>
  <c r="DJ52" i="7" s="1"/>
  <c r="DF52" i="7"/>
  <c r="DB52" i="7"/>
  <c r="CW52" i="7"/>
  <c r="CX52" i="7" s="1"/>
  <c r="CS52" i="7"/>
  <c r="CT52" i="7" s="1"/>
  <c r="CP52" i="7"/>
  <c r="CK52" i="7"/>
  <c r="CL52" i="7" s="1"/>
  <c r="CG52" i="7"/>
  <c r="CF52" i="7"/>
  <c r="CD52" i="7"/>
  <c r="BY52" i="7"/>
  <c r="BZ52" i="7" s="1"/>
  <c r="BU52" i="7"/>
  <c r="BV52" i="7" s="1"/>
  <c r="BR52" i="7"/>
  <c r="BM52" i="7"/>
  <c r="BN52" i="7" s="1"/>
  <c r="BI52" i="7"/>
  <c r="BJ52" i="7" s="1"/>
  <c r="BE52" i="7"/>
  <c r="BB52" i="7"/>
  <c r="AX52" i="7"/>
  <c r="AT52" i="7"/>
  <c r="AO52" i="7"/>
  <c r="AL52" i="7"/>
  <c r="AG52" i="7"/>
  <c r="AH52" i="7" s="1"/>
  <c r="AC52" i="7"/>
  <c r="AD52" i="7" s="1"/>
  <c r="Z52" i="7"/>
  <c r="U52" i="7"/>
  <c r="Q52" i="7"/>
  <c r="R52" i="7" s="1"/>
  <c r="N52" i="7"/>
  <c r="J52" i="7"/>
  <c r="F52" i="7"/>
  <c r="HR51" i="7"/>
  <c r="HM51" i="7"/>
  <c r="HJ51" i="7"/>
  <c r="GT51" i="7"/>
  <c r="GP51" i="7"/>
  <c r="GL51" i="7"/>
  <c r="GH51" i="7"/>
  <c r="GD51" i="7"/>
  <c r="FV51" i="7"/>
  <c r="FR51" i="7"/>
  <c r="FN51" i="7"/>
  <c r="FJ51" i="7"/>
  <c r="FF51" i="7"/>
  <c r="FB51" i="7"/>
  <c r="EX51" i="7"/>
  <c r="ET51" i="7"/>
  <c r="EO51" i="7"/>
  <c r="EP51" i="7" s="1"/>
  <c r="EL51" i="7"/>
  <c r="EG51" i="7"/>
  <c r="EH51" i="7" s="1"/>
  <c r="ED51" i="7"/>
  <c r="DZ51" i="7"/>
  <c r="DU51" i="7"/>
  <c r="DV51" i="7" s="1"/>
  <c r="DR51" i="7"/>
  <c r="DN51" i="7"/>
  <c r="DI51" i="7"/>
  <c r="DJ51" i="7" s="1"/>
  <c r="DF51" i="7"/>
  <c r="DB51" i="7"/>
  <c r="CW51" i="7"/>
  <c r="CX51" i="7" s="1"/>
  <c r="CS51" i="7"/>
  <c r="CT51" i="7" s="1"/>
  <c r="CP51" i="7"/>
  <c r="CL51" i="7"/>
  <c r="CG51" i="7"/>
  <c r="CF51" i="7"/>
  <c r="HA51" i="7" s="1"/>
  <c r="CD51" i="7"/>
  <c r="BY51" i="7"/>
  <c r="BU51" i="7"/>
  <c r="BV51" i="7" s="1"/>
  <c r="BR51" i="7"/>
  <c r="BM51" i="7"/>
  <c r="HF51" i="7" s="1"/>
  <c r="BI51" i="7"/>
  <c r="BF51" i="7"/>
  <c r="BA51" i="7"/>
  <c r="BB51" i="7" s="1"/>
  <c r="AX51" i="7"/>
  <c r="AT51" i="7"/>
  <c r="AP51" i="7"/>
  <c r="AK51" i="7"/>
  <c r="AF51" i="7"/>
  <c r="AH51" i="7" s="1"/>
  <c r="AB51" i="7"/>
  <c r="HE51" i="7" s="1"/>
  <c r="Z51" i="7"/>
  <c r="T51" i="7"/>
  <c r="R51" i="7"/>
  <c r="N51" i="7"/>
  <c r="J51" i="7"/>
  <c r="F51" i="7"/>
  <c r="HR50" i="7"/>
  <c r="HM50" i="7"/>
  <c r="HE50" i="7"/>
  <c r="GT50" i="7"/>
  <c r="GP50" i="7"/>
  <c r="GL50" i="7"/>
  <c r="GH50" i="7"/>
  <c r="GD50" i="7"/>
  <c r="FV50" i="7"/>
  <c r="FR50" i="7"/>
  <c r="FN50" i="7"/>
  <c r="FJ50" i="7"/>
  <c r="FF50" i="7"/>
  <c r="FA50" i="7"/>
  <c r="FB50" i="7" s="1"/>
  <c r="EX50" i="7"/>
  <c r="ES50" i="7"/>
  <c r="ET50" i="7" s="1"/>
  <c r="EO50" i="7"/>
  <c r="EP50" i="7" s="1"/>
  <c r="EK50" i="7"/>
  <c r="EL50" i="7" s="1"/>
  <c r="EG50" i="7"/>
  <c r="EH50" i="7" s="1"/>
  <c r="ED50" i="7"/>
  <c r="DY50" i="7"/>
  <c r="DZ50" i="7" s="1"/>
  <c r="DV50" i="7"/>
  <c r="DR50" i="7"/>
  <c r="DM50" i="7"/>
  <c r="DN50" i="7" s="1"/>
  <c r="DI50" i="7"/>
  <c r="DJ50" i="7" s="1"/>
  <c r="DF50" i="7"/>
  <c r="DA50" i="7"/>
  <c r="DB50" i="7" s="1"/>
  <c r="CW50" i="7"/>
  <c r="CX50" i="7" s="1"/>
  <c r="CS50" i="7"/>
  <c r="CT50" i="7" s="1"/>
  <c r="CP50" i="7"/>
  <c r="CK50" i="7"/>
  <c r="CL50" i="7" s="1"/>
  <c r="CG50" i="7"/>
  <c r="CF50" i="7"/>
  <c r="HA50" i="7" s="1"/>
  <c r="CD50" i="7"/>
  <c r="BY50" i="7"/>
  <c r="BZ50" i="7" s="1"/>
  <c r="BU50" i="7"/>
  <c r="BV50" i="7" s="1"/>
  <c r="BQ50" i="7"/>
  <c r="BR50" i="7" s="1"/>
  <c r="BM50" i="7"/>
  <c r="BN50" i="7" s="1"/>
  <c r="BI50" i="7"/>
  <c r="BJ50" i="7" s="1"/>
  <c r="BF50" i="7"/>
  <c r="BA50" i="7"/>
  <c r="BB50" i="7" s="1"/>
  <c r="AW50" i="7"/>
  <c r="AX50" i="7" s="1"/>
  <c r="AS50" i="7"/>
  <c r="AT50" i="7" s="1"/>
  <c r="AO50" i="7"/>
  <c r="AL50" i="7"/>
  <c r="AF50" i="7"/>
  <c r="AH50" i="7" s="1"/>
  <c r="AC50" i="7"/>
  <c r="AD50" i="7" s="1"/>
  <c r="Z50" i="7"/>
  <c r="T50" i="7"/>
  <c r="V50" i="7" s="1"/>
  <c r="Q50" i="7"/>
  <c r="R50" i="7" s="1"/>
  <c r="N50" i="7"/>
  <c r="J50" i="7"/>
  <c r="F50" i="7"/>
  <c r="HR49" i="7"/>
  <c r="HM49" i="7"/>
  <c r="HJ49" i="7"/>
  <c r="GT49" i="7"/>
  <c r="GP49" i="7"/>
  <c r="GL49" i="7"/>
  <c r="GH49" i="7"/>
  <c r="GD49" i="7"/>
  <c r="FU49" i="7"/>
  <c r="FV49" i="7" s="1"/>
  <c r="FR49" i="7"/>
  <c r="FN49" i="7"/>
  <c r="FI49" i="7"/>
  <c r="FJ49" i="7" s="1"/>
  <c r="FF49" i="7"/>
  <c r="FA49" i="7"/>
  <c r="FB49" i="7" s="1"/>
  <c r="EX49" i="7"/>
  <c r="ET49" i="7"/>
  <c r="EO49" i="7"/>
  <c r="EP49" i="7" s="1"/>
  <c r="EL49" i="7"/>
  <c r="EG49" i="7"/>
  <c r="EH49" i="7" s="1"/>
  <c r="ED49" i="7"/>
  <c r="DZ49" i="7"/>
  <c r="DU49" i="7"/>
  <c r="DV49" i="7" s="1"/>
  <c r="DQ49" i="7"/>
  <c r="DP49" i="7"/>
  <c r="DM49" i="7"/>
  <c r="HS49" i="7" s="1"/>
  <c r="DI49" i="7"/>
  <c r="DJ49" i="7" s="1"/>
  <c r="DF49" i="7"/>
  <c r="DB49" i="7"/>
  <c r="CW49" i="7"/>
  <c r="CX49" i="7" s="1"/>
  <c r="CS49" i="7"/>
  <c r="CT49" i="7" s="1"/>
  <c r="CP49" i="7"/>
  <c r="CK49" i="7"/>
  <c r="CL49" i="7" s="1"/>
  <c r="CG49" i="7"/>
  <c r="CF49" i="7"/>
  <c r="CD49" i="7"/>
  <c r="BZ49" i="7"/>
  <c r="BU49" i="7"/>
  <c r="BV49" i="7" s="1"/>
  <c r="BR49" i="7"/>
  <c r="BN49" i="7"/>
  <c r="BI49" i="7"/>
  <c r="BJ49" i="7" s="1"/>
  <c r="BF49" i="7"/>
  <c r="BA49" i="7"/>
  <c r="BB49" i="7" s="1"/>
  <c r="AX49" i="7"/>
  <c r="AS49" i="7"/>
  <c r="AT49" i="7" s="1"/>
  <c r="AO49" i="7"/>
  <c r="AK49" i="7"/>
  <c r="AF49" i="7"/>
  <c r="AH49" i="7" s="1"/>
  <c r="AB49" i="7"/>
  <c r="AD49" i="7" s="1"/>
  <c r="Z49" i="7"/>
  <c r="T49" i="7"/>
  <c r="P49" i="7"/>
  <c r="R49" i="7" s="1"/>
  <c r="N49" i="7"/>
  <c r="J49" i="7"/>
  <c r="F49" i="7"/>
  <c r="HR48" i="7"/>
  <c r="HM48" i="7"/>
  <c r="HI48" i="7"/>
  <c r="HE48" i="7"/>
  <c r="GT48" i="7"/>
  <c r="GP48" i="7"/>
  <c r="GL48" i="7"/>
  <c r="GH48" i="7"/>
  <c r="GD48" i="7"/>
  <c r="FU48" i="7"/>
  <c r="FV48" i="7" s="1"/>
  <c r="FR48" i="7"/>
  <c r="FN48" i="7"/>
  <c r="FJ48" i="7"/>
  <c r="FF48" i="7"/>
  <c r="FA48" i="7"/>
  <c r="FB48" i="7" s="1"/>
  <c r="EX48" i="7"/>
  <c r="ET48" i="7"/>
  <c r="EO48" i="7"/>
  <c r="EP48" i="7" s="1"/>
  <c r="EK48" i="7"/>
  <c r="EL48" i="7" s="1"/>
  <c r="EG48" i="7"/>
  <c r="EH48" i="7" s="1"/>
  <c r="ED48" i="7"/>
  <c r="DY48" i="7"/>
  <c r="DZ48" i="7" s="1"/>
  <c r="DU48" i="7"/>
  <c r="DV48" i="7" s="1"/>
  <c r="DR48" i="7"/>
  <c r="DM48" i="7"/>
  <c r="DN48" i="7" s="1"/>
  <c r="DI48" i="7"/>
  <c r="DJ48" i="7" s="1"/>
  <c r="DF48" i="7"/>
  <c r="DA48" i="7"/>
  <c r="DB48" i="7" s="1"/>
  <c r="CW48" i="7"/>
  <c r="CX48" i="7" s="1"/>
  <c r="CS48" i="7"/>
  <c r="CT48" i="7" s="1"/>
  <c r="CP48" i="7"/>
  <c r="CL48" i="7"/>
  <c r="CG48" i="7"/>
  <c r="CF48" i="7"/>
  <c r="CD48" i="7"/>
  <c r="BZ48" i="7"/>
  <c r="BU48" i="7"/>
  <c r="BV48" i="7" s="1"/>
  <c r="BQ48" i="7"/>
  <c r="BR48" i="7" s="1"/>
  <c r="BN48" i="7"/>
  <c r="BI48" i="7"/>
  <c r="BJ48" i="7" s="1"/>
  <c r="BE48" i="7"/>
  <c r="BF48" i="7" s="1"/>
  <c r="BB48" i="7"/>
  <c r="AW48" i="7"/>
  <c r="AX48" i="7" s="1"/>
  <c r="AT48" i="7"/>
  <c r="AP48" i="7"/>
  <c r="AL48" i="7"/>
  <c r="AG48" i="7"/>
  <c r="AD48" i="7"/>
  <c r="Z48" i="7"/>
  <c r="V48" i="7"/>
  <c r="R48" i="7"/>
  <c r="N48" i="7"/>
  <c r="J48" i="7"/>
  <c r="F48" i="7"/>
  <c r="HR47" i="7"/>
  <c r="HM47" i="7"/>
  <c r="HI47" i="7"/>
  <c r="HE47" i="7"/>
  <c r="GT47" i="7"/>
  <c r="GP47" i="7"/>
  <c r="GL47" i="7"/>
  <c r="GH47" i="7"/>
  <c r="GD47" i="7"/>
  <c r="FV47" i="7"/>
  <c r="FR47" i="7"/>
  <c r="FN47" i="7"/>
  <c r="FJ47" i="7"/>
  <c r="FF47" i="7"/>
  <c r="FB47" i="7"/>
  <c r="EX47" i="7"/>
  <c r="ET47" i="7"/>
  <c r="EO47" i="7"/>
  <c r="EP47" i="7" s="1"/>
  <c r="EL47" i="7"/>
  <c r="EG47" i="7"/>
  <c r="EH47" i="7" s="1"/>
  <c r="ED47" i="7"/>
  <c r="DZ47" i="7"/>
  <c r="DU47" i="7"/>
  <c r="DV47" i="7" s="1"/>
  <c r="DR47" i="7"/>
  <c r="DN47" i="7"/>
  <c r="DI47" i="7"/>
  <c r="DJ47" i="7" s="1"/>
  <c r="DF47" i="7"/>
  <c r="DB47" i="7"/>
  <c r="CW47" i="7"/>
  <c r="CX47" i="7" s="1"/>
  <c r="CS47" i="7"/>
  <c r="CO47" i="7"/>
  <c r="CP47" i="7" s="1"/>
  <c r="CL47" i="7"/>
  <c r="CG47" i="7"/>
  <c r="CF47" i="7"/>
  <c r="CD47" i="7"/>
  <c r="BZ47" i="7"/>
  <c r="BU47" i="7"/>
  <c r="BV47" i="7" s="1"/>
  <c r="BQ47" i="7"/>
  <c r="BN47" i="7"/>
  <c r="BI47" i="7"/>
  <c r="BJ47" i="7" s="1"/>
  <c r="BE47" i="7"/>
  <c r="HS47" i="7" s="1"/>
  <c r="BB47" i="7"/>
  <c r="AW47" i="7"/>
  <c r="AT47" i="7"/>
  <c r="AO47" i="7"/>
  <c r="AP47" i="7" s="1"/>
  <c r="AL47" i="7"/>
  <c r="AG47" i="7"/>
  <c r="AH47" i="7" s="1"/>
  <c r="AC47" i="7"/>
  <c r="AD47" i="7" s="1"/>
  <c r="Z47" i="7"/>
  <c r="V47" i="7"/>
  <c r="Q47" i="7"/>
  <c r="R47" i="7" s="1"/>
  <c r="M47" i="7"/>
  <c r="N47" i="7" s="1"/>
  <c r="I47" i="7"/>
  <c r="F47" i="7"/>
  <c r="HR46" i="7"/>
  <c r="HM46" i="7"/>
  <c r="HJ46" i="7"/>
  <c r="HI46" i="7"/>
  <c r="HE46" i="7"/>
  <c r="GT46" i="7"/>
  <c r="GP46" i="7"/>
  <c r="GL46" i="7"/>
  <c r="GH46" i="7"/>
  <c r="GD46" i="7"/>
  <c r="FV46" i="7"/>
  <c r="FR46" i="7"/>
  <c r="FN46" i="7"/>
  <c r="FJ46" i="7"/>
  <c r="FF46" i="7"/>
  <c r="FB46" i="7"/>
  <c r="EX46" i="7"/>
  <c r="ET46" i="7"/>
  <c r="EO46" i="7"/>
  <c r="EP46" i="7" s="1"/>
  <c r="EL46" i="7"/>
  <c r="EG46" i="7"/>
  <c r="EH46" i="7" s="1"/>
  <c r="ED46" i="7"/>
  <c r="DZ46" i="7"/>
  <c r="DU46" i="7"/>
  <c r="DV46" i="7" s="1"/>
  <c r="DR46" i="7"/>
  <c r="DN46" i="7"/>
  <c r="DI46" i="7"/>
  <c r="DJ46" i="7" s="1"/>
  <c r="DF46" i="7"/>
  <c r="DA46" i="7"/>
  <c r="DB46" i="7" s="1"/>
  <c r="CW46" i="7"/>
  <c r="CX46" i="7" s="1"/>
  <c r="CS46" i="7"/>
  <c r="CT46" i="7" s="1"/>
  <c r="CP46" i="7"/>
  <c r="CL46" i="7"/>
  <c r="CG46" i="7"/>
  <c r="CF46" i="7"/>
  <c r="CD46" i="7"/>
  <c r="BY46" i="7"/>
  <c r="BU46" i="7"/>
  <c r="BV46" i="7" s="1"/>
  <c r="BR46" i="7"/>
  <c r="BM46" i="7"/>
  <c r="BI46" i="7"/>
  <c r="BJ46" i="7" s="1"/>
  <c r="BE46" i="7"/>
  <c r="BF46" i="7" s="1"/>
  <c r="BB46" i="7"/>
  <c r="AX46" i="7"/>
  <c r="AT46" i="7"/>
  <c r="AO46" i="7"/>
  <c r="AL46" i="7"/>
  <c r="AH46" i="7"/>
  <c r="AD46" i="7"/>
  <c r="Z46" i="7"/>
  <c r="V46" i="7"/>
  <c r="R46" i="7"/>
  <c r="N46" i="7"/>
  <c r="J46" i="7"/>
  <c r="F46" i="7"/>
  <c r="HR45" i="7"/>
  <c r="HM45" i="7"/>
  <c r="HJ45" i="7"/>
  <c r="HI45" i="7"/>
  <c r="GT45" i="7"/>
  <c r="GP45" i="7"/>
  <c r="GL45" i="7"/>
  <c r="GH45" i="7"/>
  <c r="GD45" i="7"/>
  <c r="FU45" i="7"/>
  <c r="FV45" i="7" s="1"/>
  <c r="FR45" i="7"/>
  <c r="FN45" i="7"/>
  <c r="FI45" i="7"/>
  <c r="FJ45" i="7" s="1"/>
  <c r="FF45" i="7"/>
  <c r="FA45" i="7"/>
  <c r="FB45" i="7" s="1"/>
  <c r="EX45" i="7"/>
  <c r="ET45" i="7"/>
  <c r="EO45" i="7"/>
  <c r="EP45" i="7" s="1"/>
  <c r="EL45" i="7"/>
  <c r="EG45" i="7"/>
  <c r="EH45" i="7" s="1"/>
  <c r="ED45" i="7"/>
  <c r="DZ45" i="7"/>
  <c r="DU45" i="7"/>
  <c r="DV45" i="7" s="1"/>
  <c r="DR45" i="7"/>
  <c r="DN45" i="7"/>
  <c r="DI45" i="7"/>
  <c r="DJ45" i="7" s="1"/>
  <c r="DF45" i="7"/>
  <c r="DB45" i="7"/>
  <c r="CW45" i="7"/>
  <c r="CX45" i="7" s="1"/>
  <c r="CS45" i="7"/>
  <c r="CT45" i="7" s="1"/>
  <c r="CP45" i="7"/>
  <c r="CK45" i="7"/>
  <c r="CG45" i="7"/>
  <c r="CF45" i="7"/>
  <c r="HA45" i="7" s="1"/>
  <c r="CD45" i="7"/>
  <c r="BZ45" i="7"/>
  <c r="BU45" i="7"/>
  <c r="BR45" i="7"/>
  <c r="BM45" i="7"/>
  <c r="BN45" i="7" s="1"/>
  <c r="BI45" i="7"/>
  <c r="BJ45" i="7" s="1"/>
  <c r="BE45" i="7"/>
  <c r="BF45" i="7" s="1"/>
  <c r="BB45" i="7"/>
  <c r="AX45" i="7"/>
  <c r="AS45" i="7"/>
  <c r="AT45" i="7" s="1"/>
  <c r="AO45" i="7"/>
  <c r="AL45" i="7"/>
  <c r="AH45" i="7"/>
  <c r="AB45" i="7"/>
  <c r="Y45" i="7"/>
  <c r="Z45" i="7" s="1"/>
  <c r="V45" i="7"/>
  <c r="P45" i="7"/>
  <c r="M45" i="7"/>
  <c r="N45" i="7" s="1"/>
  <c r="I45" i="7"/>
  <c r="J45" i="7" s="1"/>
  <c r="F45" i="7"/>
  <c r="HR44" i="7"/>
  <c r="HM44" i="7"/>
  <c r="HI44" i="7"/>
  <c r="HE44" i="7"/>
  <c r="GT44" i="7"/>
  <c r="GP44" i="7"/>
  <c r="GL44" i="7"/>
  <c r="GH44" i="7"/>
  <c r="GD44" i="7"/>
  <c r="FU44" i="7"/>
  <c r="FV44" i="7" s="1"/>
  <c r="FR44" i="7"/>
  <c r="FN44" i="7"/>
  <c r="FJ44" i="7"/>
  <c r="FF44" i="7"/>
  <c r="FA44" i="7"/>
  <c r="FB44" i="7" s="1"/>
  <c r="EX44" i="7"/>
  <c r="ES44" i="7"/>
  <c r="HF44" i="7" s="1"/>
  <c r="EP44" i="7"/>
  <c r="EL44" i="7"/>
  <c r="EG44" i="7"/>
  <c r="EH44" i="7" s="1"/>
  <c r="ED44" i="7"/>
  <c r="DZ44" i="7"/>
  <c r="DU44" i="7"/>
  <c r="DV44" i="7" s="1"/>
  <c r="DR44" i="7"/>
  <c r="DN44" i="7"/>
  <c r="DI44" i="7"/>
  <c r="DJ44" i="7" s="1"/>
  <c r="DF44" i="7"/>
  <c r="DB44" i="7"/>
  <c r="CW44" i="7"/>
  <c r="CX44" i="7" s="1"/>
  <c r="CS44" i="7"/>
  <c r="CT44" i="7" s="1"/>
  <c r="CO44" i="7"/>
  <c r="CP44" i="7" s="1"/>
  <c r="CL44" i="7"/>
  <c r="CG44" i="7"/>
  <c r="CF44" i="7"/>
  <c r="CD44" i="7"/>
  <c r="BY44" i="7"/>
  <c r="BZ44" i="7" s="1"/>
  <c r="BU44" i="7"/>
  <c r="BV44" i="7" s="1"/>
  <c r="BR44" i="7"/>
  <c r="BN44" i="7"/>
  <c r="BI44" i="7"/>
  <c r="BE44" i="7"/>
  <c r="BF44" i="7" s="1"/>
  <c r="BA44" i="7"/>
  <c r="AX44" i="7"/>
  <c r="AT44" i="7"/>
  <c r="AP44" i="7"/>
  <c r="AL44" i="7"/>
  <c r="AG44" i="7"/>
  <c r="AH44" i="7" s="1"/>
  <c r="AD44" i="7"/>
  <c r="Z44" i="7"/>
  <c r="V44" i="7"/>
  <c r="R44" i="7"/>
  <c r="N44" i="7"/>
  <c r="J44" i="7"/>
  <c r="F44" i="7"/>
  <c r="HR43" i="7"/>
  <c r="HM43" i="7"/>
  <c r="HI43" i="7"/>
  <c r="HE43" i="7"/>
  <c r="GT43" i="7"/>
  <c r="GP43" i="7"/>
  <c r="GL43" i="7"/>
  <c r="GH43" i="7"/>
  <c r="GD43" i="7"/>
  <c r="FV43" i="7"/>
  <c r="FR43" i="7"/>
  <c r="FM43" i="7"/>
  <c r="FN43" i="7" s="1"/>
  <c r="FJ43" i="7"/>
  <c r="FF43" i="7"/>
  <c r="FA43" i="7"/>
  <c r="FB43" i="7" s="1"/>
  <c r="EX43" i="7"/>
  <c r="ES43" i="7"/>
  <c r="ET43" i="7" s="1"/>
  <c r="EP43" i="7"/>
  <c r="EL43" i="7"/>
  <c r="EG43" i="7"/>
  <c r="EH43" i="7" s="1"/>
  <c r="ED43" i="7"/>
  <c r="DY43" i="7"/>
  <c r="DZ43" i="7" s="1"/>
  <c r="DV43" i="7"/>
  <c r="DR43" i="7"/>
  <c r="DM43" i="7"/>
  <c r="DN43" i="7" s="1"/>
  <c r="DI43" i="7"/>
  <c r="DJ43" i="7" s="1"/>
  <c r="DF43" i="7"/>
  <c r="DA43" i="7"/>
  <c r="DB43" i="7" s="1"/>
  <c r="CX43" i="7"/>
  <c r="CS43" i="7"/>
  <c r="CT43" i="7" s="1"/>
  <c r="CP43" i="7"/>
  <c r="CK43" i="7"/>
  <c r="CL43" i="7" s="1"/>
  <c r="CG43" i="7"/>
  <c r="CF43" i="7"/>
  <c r="HA43" i="7" s="1"/>
  <c r="CD43" i="7"/>
  <c r="BY43" i="7"/>
  <c r="BZ43" i="7" s="1"/>
  <c r="BU43" i="7"/>
  <c r="BV43" i="7" s="1"/>
  <c r="BQ43" i="7"/>
  <c r="BR43" i="7" s="1"/>
  <c r="BM43" i="7"/>
  <c r="BN43" i="7" s="1"/>
  <c r="BI43" i="7"/>
  <c r="BJ43" i="7" s="1"/>
  <c r="BE43" i="7"/>
  <c r="BA43" i="7"/>
  <c r="AW43" i="7"/>
  <c r="AX43" i="7" s="1"/>
  <c r="AS43" i="7"/>
  <c r="AT43" i="7" s="1"/>
  <c r="AO43" i="7"/>
  <c r="AP43" i="7" s="1"/>
  <c r="AL43" i="7"/>
  <c r="AG43" i="7"/>
  <c r="AH43" i="7" s="1"/>
  <c r="AC43" i="7"/>
  <c r="AD43" i="7" s="1"/>
  <c r="Y43" i="7"/>
  <c r="U43" i="7"/>
  <c r="V43" i="7" s="1"/>
  <c r="Q43" i="7"/>
  <c r="N43" i="7"/>
  <c r="J43" i="7"/>
  <c r="F43" i="7"/>
  <c r="HS42" i="7"/>
  <c r="HR42" i="7"/>
  <c r="HM42" i="7"/>
  <c r="HJ42" i="7"/>
  <c r="HI42" i="7"/>
  <c r="HE42" i="7"/>
  <c r="GT42" i="7"/>
  <c r="GP42" i="7"/>
  <c r="GL42" i="7"/>
  <c r="GH42" i="7"/>
  <c r="GD42" i="7"/>
  <c r="FV42" i="7"/>
  <c r="FR42" i="7"/>
  <c r="FN42" i="7"/>
  <c r="FJ42" i="7"/>
  <c r="FF42" i="7"/>
  <c r="FB42" i="7"/>
  <c r="EX42" i="7"/>
  <c r="ES42" i="7"/>
  <c r="ET42" i="7" s="1"/>
  <c r="EO42" i="7"/>
  <c r="EP42" i="7" s="1"/>
  <c r="EL42" i="7"/>
  <c r="EH42" i="7"/>
  <c r="ED42" i="7"/>
  <c r="DZ42" i="7"/>
  <c r="DU42" i="7"/>
  <c r="DV42" i="7" s="1"/>
  <c r="DR42" i="7"/>
  <c r="DN42" i="7"/>
  <c r="DI42" i="7"/>
  <c r="DJ42" i="7" s="1"/>
  <c r="DF42" i="7"/>
  <c r="DA42" i="7"/>
  <c r="DB42" i="7" s="1"/>
  <c r="CW42" i="7"/>
  <c r="CX42" i="7" s="1"/>
  <c r="CS42" i="7"/>
  <c r="CT42" i="7" s="1"/>
  <c r="CP42" i="7"/>
  <c r="CK42" i="7"/>
  <c r="CL42" i="7" s="1"/>
  <c r="CG42" i="7"/>
  <c r="CF42" i="7"/>
  <c r="HA42" i="7" s="1"/>
  <c r="CD42" i="7"/>
  <c r="BZ42" i="7"/>
  <c r="BU42" i="7"/>
  <c r="BV42" i="7" s="1"/>
  <c r="BR42" i="7"/>
  <c r="BN42" i="7"/>
  <c r="BI42" i="7"/>
  <c r="BJ42" i="7" s="1"/>
  <c r="BF42" i="7"/>
  <c r="BA42" i="7"/>
  <c r="BB42" i="7" s="1"/>
  <c r="AX42" i="7"/>
  <c r="AS42" i="7"/>
  <c r="AO42" i="7"/>
  <c r="AP42" i="7" s="1"/>
  <c r="AL42" i="7"/>
  <c r="AH42" i="7"/>
  <c r="AD42" i="7"/>
  <c r="Y42" i="7"/>
  <c r="Z42" i="7" s="1"/>
  <c r="V42" i="7"/>
  <c r="R42" i="7"/>
  <c r="N42" i="7"/>
  <c r="J42" i="7"/>
  <c r="F42" i="7"/>
  <c r="HR41" i="7"/>
  <c r="HM41" i="7"/>
  <c r="HJ41" i="7"/>
  <c r="HE41" i="7"/>
  <c r="GT41" i="7"/>
  <c r="GP41" i="7"/>
  <c r="GL41" i="7"/>
  <c r="GH41" i="7"/>
  <c r="GD41" i="7"/>
  <c r="FV41" i="7"/>
  <c r="FR41" i="7"/>
  <c r="FN41" i="7"/>
  <c r="FJ41" i="7"/>
  <c r="FF41" i="7"/>
  <c r="FA41" i="7"/>
  <c r="FB41" i="7" s="1"/>
  <c r="EX41" i="7"/>
  <c r="ET41" i="7"/>
  <c r="EO41" i="7"/>
  <c r="EP41" i="7" s="1"/>
  <c r="EL41" i="7"/>
  <c r="EG41" i="7"/>
  <c r="EH41" i="7" s="1"/>
  <c r="ED41" i="7"/>
  <c r="DZ41" i="7"/>
  <c r="DU41" i="7"/>
  <c r="DV41" i="7" s="1"/>
  <c r="DR41" i="7"/>
  <c r="DN41" i="7"/>
  <c r="DI41" i="7"/>
  <c r="DJ41" i="7" s="1"/>
  <c r="DF41" i="7"/>
  <c r="DA41" i="7"/>
  <c r="DB41" i="7" s="1"/>
  <c r="CW41" i="7"/>
  <c r="CX41" i="7" s="1"/>
  <c r="CS41" i="7"/>
  <c r="CT41" i="7" s="1"/>
  <c r="CP41" i="7"/>
  <c r="CK41" i="7"/>
  <c r="CL41" i="7" s="1"/>
  <c r="CG41" i="7"/>
  <c r="CF41" i="7"/>
  <c r="HA41" i="7" s="1"/>
  <c r="CD41" i="7"/>
  <c r="BY41" i="7"/>
  <c r="BZ41" i="7" s="1"/>
  <c r="BU41" i="7"/>
  <c r="BV41" i="7" s="1"/>
  <c r="BR41" i="7"/>
  <c r="BN41" i="7"/>
  <c r="BI41" i="7"/>
  <c r="BJ41" i="7" s="1"/>
  <c r="BF41" i="7"/>
  <c r="BA41" i="7"/>
  <c r="BB41" i="7" s="1"/>
  <c r="AX41" i="7"/>
  <c r="AT41" i="7"/>
  <c r="AO41" i="7"/>
  <c r="AP41" i="7" s="1"/>
  <c r="AL41" i="7"/>
  <c r="AF41" i="7"/>
  <c r="AH41" i="7" s="1"/>
  <c r="AD41" i="7"/>
  <c r="Z41" i="7"/>
  <c r="T41" i="7"/>
  <c r="R41" i="7"/>
  <c r="N41" i="7"/>
  <c r="J41" i="7"/>
  <c r="F41" i="7"/>
  <c r="HR40" i="7"/>
  <c r="HM40" i="7"/>
  <c r="HI40" i="7"/>
  <c r="HE40" i="7"/>
  <c r="GT40" i="7"/>
  <c r="GP40" i="7"/>
  <c r="GL40" i="7"/>
  <c r="GH40" i="7"/>
  <c r="GD40" i="7"/>
  <c r="FV40" i="7"/>
  <c r="FR40" i="7"/>
  <c r="FN40" i="7"/>
  <c r="FJ40" i="7"/>
  <c r="FF40" i="7"/>
  <c r="FA40" i="7"/>
  <c r="FB40" i="7" s="1"/>
  <c r="EX40" i="7"/>
  <c r="ES40" i="7"/>
  <c r="ET40" i="7" s="1"/>
  <c r="EO40" i="7"/>
  <c r="EP40" i="7" s="1"/>
  <c r="EL40" i="7"/>
  <c r="EG40" i="7"/>
  <c r="EH40" i="7" s="1"/>
  <c r="ED40" i="7"/>
  <c r="DY40" i="7"/>
  <c r="DZ40" i="7" s="1"/>
  <c r="DU40" i="7"/>
  <c r="DV40" i="7" s="1"/>
  <c r="DR40" i="7"/>
  <c r="DM40" i="7"/>
  <c r="DN40" i="7" s="1"/>
  <c r="DI40" i="7"/>
  <c r="DJ40" i="7" s="1"/>
  <c r="DE40" i="7"/>
  <c r="DF40" i="7" s="1"/>
  <c r="DA40" i="7"/>
  <c r="DB40" i="7" s="1"/>
  <c r="CW40" i="7"/>
  <c r="CX40" i="7" s="1"/>
  <c r="CS40" i="7"/>
  <c r="CT40" i="7" s="1"/>
  <c r="CO40" i="7"/>
  <c r="CP40" i="7" s="1"/>
  <c r="CK40" i="7"/>
  <c r="CL40" i="7" s="1"/>
  <c r="CG40" i="7"/>
  <c r="CF40" i="7"/>
  <c r="HA40" i="7" s="1"/>
  <c r="CD40" i="7"/>
  <c r="BY40" i="7"/>
  <c r="BZ40" i="7" s="1"/>
  <c r="BU40" i="7"/>
  <c r="BV40" i="7" s="1"/>
  <c r="BQ40" i="7"/>
  <c r="BR40" i="7" s="1"/>
  <c r="BM40" i="7"/>
  <c r="BN40" i="7" s="1"/>
  <c r="BI40" i="7"/>
  <c r="BJ40" i="7" s="1"/>
  <c r="BE40" i="7"/>
  <c r="BA40" i="7"/>
  <c r="BB40" i="7" s="1"/>
  <c r="AW40" i="7"/>
  <c r="AX40" i="7" s="1"/>
  <c r="AS40" i="7"/>
  <c r="AT40" i="7" s="1"/>
  <c r="AO40" i="7"/>
  <c r="AP40" i="7" s="1"/>
  <c r="AK40" i="7"/>
  <c r="AG40" i="7"/>
  <c r="AC40" i="7"/>
  <c r="AD40" i="7" s="1"/>
  <c r="Y40" i="7"/>
  <c r="Z40" i="7" s="1"/>
  <c r="V40" i="7"/>
  <c r="Q40" i="7"/>
  <c r="R40" i="7" s="1"/>
  <c r="M40" i="7"/>
  <c r="N40" i="7" s="1"/>
  <c r="I40" i="7"/>
  <c r="F40" i="7"/>
  <c r="HR39" i="7"/>
  <c r="HM39" i="7"/>
  <c r="HJ39" i="7"/>
  <c r="HE39" i="7"/>
  <c r="GT39" i="7"/>
  <c r="GP39" i="7"/>
  <c r="GL39" i="7"/>
  <c r="GH39" i="7"/>
  <c r="GD39" i="7"/>
  <c r="FV39" i="7"/>
  <c r="FR39" i="7"/>
  <c r="FN39" i="7"/>
  <c r="FJ39" i="7"/>
  <c r="FF39" i="7"/>
  <c r="FA39" i="7"/>
  <c r="FB39" i="7" s="1"/>
  <c r="EX39" i="7"/>
  <c r="ES39" i="7"/>
  <c r="ET39" i="7" s="1"/>
  <c r="EP39" i="7"/>
  <c r="EL39" i="7"/>
  <c r="EG39" i="7"/>
  <c r="EH39" i="7" s="1"/>
  <c r="ED39" i="7"/>
  <c r="DY39" i="7"/>
  <c r="DZ39" i="7" s="1"/>
  <c r="DU39" i="7"/>
  <c r="DV39" i="7" s="1"/>
  <c r="DR39" i="7"/>
  <c r="DN39" i="7"/>
  <c r="DI39" i="7"/>
  <c r="DJ39" i="7" s="1"/>
  <c r="DF39" i="7"/>
  <c r="DA39" i="7"/>
  <c r="DB39" i="7" s="1"/>
  <c r="CW39" i="7"/>
  <c r="CX39" i="7" s="1"/>
  <c r="CS39" i="7"/>
  <c r="CT39" i="7" s="1"/>
  <c r="CP39" i="7"/>
  <c r="CK39" i="7"/>
  <c r="CL39" i="7" s="1"/>
  <c r="CG39" i="7"/>
  <c r="CF39" i="7"/>
  <c r="CD39" i="7"/>
  <c r="BZ39" i="7"/>
  <c r="BU39" i="7"/>
  <c r="BR39" i="7"/>
  <c r="BM39" i="7"/>
  <c r="BI39" i="7"/>
  <c r="BJ39" i="7" s="1"/>
  <c r="BE39" i="7"/>
  <c r="BB39" i="7"/>
  <c r="AX39" i="7"/>
  <c r="AT39" i="7"/>
  <c r="AP39" i="7"/>
  <c r="AL39" i="7"/>
  <c r="AH39" i="7"/>
  <c r="AD39" i="7"/>
  <c r="Z39" i="7"/>
  <c r="T39" i="7"/>
  <c r="V39" i="7" s="1"/>
  <c r="R39" i="7"/>
  <c r="N39" i="7"/>
  <c r="J39" i="7"/>
  <c r="F39" i="7"/>
  <c r="HR38" i="7"/>
  <c r="HM38" i="7"/>
  <c r="HJ38" i="7"/>
  <c r="HE38" i="7"/>
  <c r="GT38" i="7"/>
  <c r="GP38" i="7"/>
  <c r="GL38" i="7"/>
  <c r="GH38" i="7"/>
  <c r="GD38" i="7"/>
  <c r="FU38" i="7"/>
  <c r="FV38" i="7" s="1"/>
  <c r="FR38" i="7"/>
  <c r="FN38" i="7"/>
  <c r="FI38" i="7"/>
  <c r="FJ38" i="7" s="1"/>
  <c r="FF38" i="7"/>
  <c r="FA38" i="7"/>
  <c r="FB38" i="7" s="1"/>
  <c r="EX38" i="7"/>
  <c r="ET38" i="7"/>
  <c r="EO38" i="7"/>
  <c r="EP38" i="7" s="1"/>
  <c r="EL38" i="7"/>
  <c r="EG38" i="7"/>
  <c r="EH38" i="7" s="1"/>
  <c r="ED38" i="7"/>
  <c r="DY38" i="7"/>
  <c r="DZ38" i="7" s="1"/>
  <c r="DU38" i="7"/>
  <c r="DV38" i="7" s="1"/>
  <c r="DR38" i="7"/>
  <c r="DN38" i="7"/>
  <c r="DI38" i="7"/>
  <c r="DJ38" i="7" s="1"/>
  <c r="DF38" i="7"/>
  <c r="DA38" i="7"/>
  <c r="CW38" i="7"/>
  <c r="CX38" i="7" s="1"/>
  <c r="CS38" i="7"/>
  <c r="CT38" i="7" s="1"/>
  <c r="CP38" i="7"/>
  <c r="CK38" i="7"/>
  <c r="CL38" i="7" s="1"/>
  <c r="CG38" i="7"/>
  <c r="CF38" i="7"/>
  <c r="HA38" i="7" s="1"/>
  <c r="CD38" i="7"/>
  <c r="BZ38" i="7"/>
  <c r="BU38" i="7"/>
  <c r="BV38" i="7" s="1"/>
  <c r="BR38" i="7"/>
  <c r="BM38" i="7"/>
  <c r="BN38" i="7" s="1"/>
  <c r="BI38" i="7"/>
  <c r="BJ38" i="7" s="1"/>
  <c r="BE38" i="7"/>
  <c r="BF38" i="7" s="1"/>
  <c r="BB38" i="7"/>
  <c r="AX38" i="7"/>
  <c r="AS38" i="7"/>
  <c r="AT38" i="7" s="1"/>
  <c r="AP38" i="7"/>
  <c r="AL38" i="7"/>
  <c r="AF38" i="7"/>
  <c r="HI38" i="7" s="1"/>
  <c r="AD38" i="7"/>
  <c r="Z38" i="7"/>
  <c r="V38" i="7"/>
  <c r="R38" i="7"/>
  <c r="N38" i="7"/>
  <c r="J38" i="7"/>
  <c r="F38" i="7"/>
  <c r="HR37" i="7"/>
  <c r="HM37" i="7"/>
  <c r="HE37" i="7"/>
  <c r="GT37" i="7"/>
  <c r="GP37" i="7"/>
  <c r="GL37" i="7"/>
  <c r="GH37" i="7"/>
  <c r="GD37" i="7"/>
  <c r="FV37" i="7"/>
  <c r="FR37" i="7"/>
  <c r="FN37" i="7"/>
  <c r="FJ37" i="7"/>
  <c r="FF37" i="7"/>
  <c r="FA37" i="7"/>
  <c r="FB37" i="7" s="1"/>
  <c r="EX37" i="7"/>
  <c r="ES37" i="7"/>
  <c r="ET37" i="7" s="1"/>
  <c r="EO37" i="7"/>
  <c r="EP37" i="7" s="1"/>
  <c r="EL37" i="7"/>
  <c r="EG37" i="7"/>
  <c r="EH37" i="7" s="1"/>
  <c r="ED37" i="7"/>
  <c r="DY37" i="7"/>
  <c r="DZ37" i="7" s="1"/>
  <c r="DU37" i="7"/>
  <c r="DV37" i="7" s="1"/>
  <c r="DR37" i="7"/>
  <c r="DN37" i="7"/>
  <c r="DI37" i="7"/>
  <c r="DJ37" i="7" s="1"/>
  <c r="DF37" i="7"/>
  <c r="DB37" i="7"/>
  <c r="CX37" i="7"/>
  <c r="CS37" i="7"/>
  <c r="CT37" i="7" s="1"/>
  <c r="CP37" i="7"/>
  <c r="CL37" i="7"/>
  <c r="CG37" i="7"/>
  <c r="CF37" i="7"/>
  <c r="CD37" i="7"/>
  <c r="BZ37" i="7"/>
  <c r="BU37" i="7"/>
  <c r="BV37" i="7" s="1"/>
  <c r="BR37" i="7"/>
  <c r="BM37" i="7"/>
  <c r="BN37" i="7" s="1"/>
  <c r="BI37" i="7"/>
  <c r="BJ37" i="7" s="1"/>
  <c r="BE37" i="7"/>
  <c r="BF37" i="7" s="1"/>
  <c r="BB37" i="7"/>
  <c r="AX37" i="7"/>
  <c r="AT37" i="7"/>
  <c r="AO37" i="7"/>
  <c r="AP37" i="7" s="1"/>
  <c r="AL37" i="7"/>
  <c r="AF37" i="7"/>
  <c r="HI37" i="7" s="1"/>
  <c r="AC37" i="7"/>
  <c r="Y37" i="7"/>
  <c r="Z37" i="7" s="1"/>
  <c r="U37" i="7"/>
  <c r="R37" i="7"/>
  <c r="M37" i="7"/>
  <c r="N37" i="7" s="1"/>
  <c r="I37" i="7"/>
  <c r="J37" i="7" s="1"/>
  <c r="F37" i="7"/>
  <c r="HR36" i="7"/>
  <c r="HM36" i="7"/>
  <c r="HE36" i="7"/>
  <c r="HA36" i="7"/>
  <c r="GT36" i="7"/>
  <c r="GP36" i="7"/>
  <c r="GL36" i="7"/>
  <c r="GH36" i="7"/>
  <c r="GD36" i="7"/>
  <c r="FN36" i="7"/>
  <c r="FJ36" i="7"/>
  <c r="FF36" i="7"/>
  <c r="FA36" i="7"/>
  <c r="FB36" i="7" s="1"/>
  <c r="EX36" i="7"/>
  <c r="ES36" i="7"/>
  <c r="ET36" i="7" s="1"/>
  <c r="EO36" i="7"/>
  <c r="EP36" i="7" s="1"/>
  <c r="EL36" i="7"/>
  <c r="EH36" i="7"/>
  <c r="ED36" i="7"/>
  <c r="DZ36" i="7"/>
  <c r="DV36" i="7"/>
  <c r="DR36" i="7"/>
  <c r="DN36" i="7"/>
  <c r="DI36" i="7"/>
  <c r="DJ36" i="7" s="1"/>
  <c r="DE36" i="7"/>
  <c r="DF36" i="7" s="1"/>
  <c r="DA36" i="7"/>
  <c r="DB36" i="7" s="1"/>
  <c r="CW36" i="7"/>
  <c r="CX36" i="7" s="1"/>
  <c r="CT36" i="7"/>
  <c r="CP36" i="7"/>
  <c r="CL36" i="7"/>
  <c r="CH36" i="7"/>
  <c r="CD36" i="7"/>
  <c r="BY36" i="7"/>
  <c r="BZ36" i="7" s="1"/>
  <c r="BU36" i="7"/>
  <c r="BV36" i="7" s="1"/>
  <c r="BR36" i="7"/>
  <c r="BM36" i="7"/>
  <c r="BN36" i="7" s="1"/>
  <c r="BI36" i="7"/>
  <c r="BJ36" i="7" s="1"/>
  <c r="BE36" i="7"/>
  <c r="BF36" i="7" s="1"/>
  <c r="BA36" i="7"/>
  <c r="BB36" i="7" s="1"/>
  <c r="AW36" i="7"/>
  <c r="AX36" i="7" s="1"/>
  <c r="AS36" i="7"/>
  <c r="AO36" i="7"/>
  <c r="AP36" i="7" s="1"/>
  <c r="AK36" i="7"/>
  <c r="AF36" i="7"/>
  <c r="AH36" i="7" s="1"/>
  <c r="AD36" i="7"/>
  <c r="Y36" i="7"/>
  <c r="Z36" i="7" s="1"/>
  <c r="T36" i="7"/>
  <c r="V36" i="7" s="1"/>
  <c r="R36" i="7"/>
  <c r="M36" i="7"/>
  <c r="N36" i="7" s="1"/>
  <c r="J36" i="7"/>
  <c r="F36" i="7"/>
  <c r="HR35" i="7"/>
  <c r="HM35" i="7"/>
  <c r="HJ35" i="7"/>
  <c r="HE35" i="7"/>
  <c r="GT35" i="7"/>
  <c r="GP35" i="7"/>
  <c r="GL35" i="7"/>
  <c r="GH35" i="7"/>
  <c r="GD35" i="7"/>
  <c r="FU35" i="7"/>
  <c r="FV35" i="7" s="1"/>
  <c r="FR35" i="7"/>
  <c r="FN35" i="7"/>
  <c r="FJ35" i="7"/>
  <c r="FF35" i="7"/>
  <c r="FA35" i="7"/>
  <c r="FB35" i="7" s="1"/>
  <c r="EX35" i="7"/>
  <c r="ES35" i="7"/>
  <c r="ET35" i="7" s="1"/>
  <c r="EO35" i="7"/>
  <c r="EP35" i="7" s="1"/>
  <c r="EK35" i="7"/>
  <c r="EL35" i="7" s="1"/>
  <c r="EG35" i="7"/>
  <c r="EH35" i="7" s="1"/>
  <c r="ED35" i="7"/>
  <c r="DY35" i="7"/>
  <c r="DZ35" i="7" s="1"/>
  <c r="DU35" i="7"/>
  <c r="DV35" i="7" s="1"/>
  <c r="DR35" i="7"/>
  <c r="DM35" i="7"/>
  <c r="DN35" i="7" s="1"/>
  <c r="DI35" i="7"/>
  <c r="DJ35" i="7" s="1"/>
  <c r="DF35" i="7"/>
  <c r="DA35" i="7"/>
  <c r="DB35" i="7" s="1"/>
  <c r="CW35" i="7"/>
  <c r="CX35" i="7" s="1"/>
  <c r="CS35" i="7"/>
  <c r="CT35" i="7" s="1"/>
  <c r="CP35" i="7"/>
  <c r="CL35" i="7"/>
  <c r="CG35" i="7"/>
  <c r="CF35" i="7"/>
  <c r="HA35" i="7" s="1"/>
  <c r="CD35" i="7"/>
  <c r="BZ35" i="7"/>
  <c r="BU35" i="7"/>
  <c r="BV35" i="7" s="1"/>
  <c r="BR35" i="7"/>
  <c r="BM35" i="7"/>
  <c r="BN35" i="7" s="1"/>
  <c r="BI35" i="7"/>
  <c r="BJ35" i="7" s="1"/>
  <c r="BE35" i="7"/>
  <c r="BF35" i="7" s="1"/>
  <c r="BA35" i="7"/>
  <c r="BB35" i="7" s="1"/>
  <c r="AX35" i="7"/>
  <c r="AS35" i="7"/>
  <c r="AT35" i="7" s="1"/>
  <c r="AP35" i="7"/>
  <c r="AL35" i="7"/>
  <c r="AF35" i="7"/>
  <c r="AH35" i="7" s="1"/>
  <c r="AC35" i="7"/>
  <c r="AD35" i="7" s="1"/>
  <c r="Z35" i="7"/>
  <c r="T35" i="7"/>
  <c r="Q35" i="7"/>
  <c r="R35" i="7" s="1"/>
  <c r="N35" i="7"/>
  <c r="J35" i="7"/>
  <c r="F35" i="7"/>
  <c r="HR34" i="7"/>
  <c r="HM34" i="7"/>
  <c r="HJ34" i="7"/>
  <c r="HF34" i="7"/>
  <c r="HA34" i="7"/>
  <c r="GT34" i="7"/>
  <c r="GP34" i="7"/>
  <c r="GL34" i="7"/>
  <c r="GH34" i="7"/>
  <c r="GD34" i="7"/>
  <c r="FN34" i="7"/>
  <c r="FJ34" i="7"/>
  <c r="FF34" i="7"/>
  <c r="FA34" i="7"/>
  <c r="FB34" i="7" s="1"/>
  <c r="EX34" i="7"/>
  <c r="ET34" i="7"/>
  <c r="EO34" i="7"/>
  <c r="EP34" i="7" s="1"/>
  <c r="EL34" i="7"/>
  <c r="EH34" i="7"/>
  <c r="ED34" i="7"/>
  <c r="DZ34" i="7"/>
  <c r="DV34" i="7"/>
  <c r="DR34" i="7"/>
  <c r="DN34" i="7"/>
  <c r="DI34" i="7"/>
  <c r="DJ34" i="7" s="1"/>
  <c r="DF34" i="7"/>
  <c r="DB34" i="7"/>
  <c r="CW34" i="7"/>
  <c r="CX34" i="7" s="1"/>
  <c r="CT34" i="7"/>
  <c r="CP34" i="7"/>
  <c r="CL34" i="7"/>
  <c r="CH34" i="7"/>
  <c r="CD34" i="7"/>
  <c r="BY34" i="7"/>
  <c r="BZ34" i="7" s="1"/>
  <c r="BU34" i="7"/>
  <c r="BR34" i="7"/>
  <c r="BN34" i="7"/>
  <c r="BI34" i="7"/>
  <c r="BF34" i="7"/>
  <c r="BB34" i="7"/>
  <c r="AX34" i="7"/>
  <c r="AT34" i="7"/>
  <c r="AP34" i="7"/>
  <c r="AL34" i="7"/>
  <c r="AF34" i="7"/>
  <c r="AH34" i="7" s="1"/>
  <c r="AB34" i="7"/>
  <c r="AD34" i="7" s="1"/>
  <c r="Z34" i="7"/>
  <c r="T34" i="7"/>
  <c r="V34" i="7" s="1"/>
  <c r="R34" i="7"/>
  <c r="N34" i="7"/>
  <c r="J34" i="7"/>
  <c r="F34" i="7"/>
  <c r="HS33" i="7"/>
  <c r="HR33" i="7"/>
  <c r="HM33" i="7"/>
  <c r="HI33" i="7"/>
  <c r="HE33" i="7"/>
  <c r="GT33" i="7"/>
  <c r="GO33" i="7"/>
  <c r="GP33" i="7" s="1"/>
  <c r="GL33" i="7"/>
  <c r="GH33" i="7"/>
  <c r="GD33" i="7"/>
  <c r="FU33" i="7"/>
  <c r="FV33" i="7" s="1"/>
  <c r="FR33" i="7"/>
  <c r="FN33" i="7"/>
  <c r="FJ33" i="7"/>
  <c r="FF33" i="7"/>
  <c r="FA33" i="7"/>
  <c r="FB33" i="7" s="1"/>
  <c r="EX33" i="7"/>
  <c r="ES33" i="7"/>
  <c r="ET33" i="7" s="1"/>
  <c r="EO33" i="7"/>
  <c r="EP33" i="7" s="1"/>
  <c r="EL33" i="7"/>
  <c r="EG33" i="7"/>
  <c r="EH33" i="7" s="1"/>
  <c r="ED33" i="7"/>
  <c r="DY33" i="7"/>
  <c r="DZ33" i="7" s="1"/>
  <c r="DU33" i="7"/>
  <c r="DV33" i="7" s="1"/>
  <c r="DR33" i="7"/>
  <c r="DN33" i="7"/>
  <c r="DI33" i="7"/>
  <c r="DJ33" i="7" s="1"/>
  <c r="DF33" i="7"/>
  <c r="DA33" i="7"/>
  <c r="DB33" i="7" s="1"/>
  <c r="CW33" i="7"/>
  <c r="CX33" i="7" s="1"/>
  <c r="CS33" i="7"/>
  <c r="CT33" i="7" s="1"/>
  <c r="CP33" i="7"/>
  <c r="CK33" i="7"/>
  <c r="CL33" i="7" s="1"/>
  <c r="CG33" i="7"/>
  <c r="CF33" i="7"/>
  <c r="HA33" i="7" s="1"/>
  <c r="CD33" i="7"/>
  <c r="BZ33" i="7"/>
  <c r="BU33" i="7"/>
  <c r="BQ33" i="7"/>
  <c r="BR33" i="7" s="1"/>
  <c r="BM33" i="7"/>
  <c r="BI33" i="7"/>
  <c r="BF33" i="7"/>
  <c r="BB33" i="7"/>
  <c r="AW33" i="7"/>
  <c r="AX33" i="7" s="1"/>
  <c r="AT33" i="7"/>
  <c r="AP33" i="7"/>
  <c r="AL33" i="7"/>
  <c r="AG33" i="7"/>
  <c r="AD33" i="7"/>
  <c r="Z33" i="7"/>
  <c r="V33" i="7"/>
  <c r="R33" i="7"/>
  <c r="N33" i="7"/>
  <c r="J33" i="7"/>
  <c r="F33" i="7"/>
  <c r="HR32" i="7"/>
  <c r="HM32" i="7"/>
  <c r="HI32" i="7"/>
  <c r="GT32" i="7"/>
  <c r="GP32" i="7"/>
  <c r="GL32" i="7"/>
  <c r="GH32" i="7"/>
  <c r="GD32" i="7"/>
  <c r="FU32" i="7"/>
  <c r="FV32" i="7" s="1"/>
  <c r="FR32" i="7"/>
  <c r="FN32" i="7"/>
  <c r="FJ32" i="7"/>
  <c r="FF32" i="7"/>
  <c r="FA32" i="7"/>
  <c r="FB32" i="7" s="1"/>
  <c r="EX32" i="7"/>
  <c r="ES32" i="7"/>
  <c r="ET32" i="7" s="1"/>
  <c r="EO32" i="7"/>
  <c r="EP32" i="7" s="1"/>
  <c r="EL32" i="7"/>
  <c r="EG32" i="7"/>
  <c r="EH32" i="7" s="1"/>
  <c r="ED32" i="7"/>
  <c r="DY32" i="7"/>
  <c r="DZ32" i="7" s="1"/>
  <c r="DU32" i="7"/>
  <c r="DV32" i="7" s="1"/>
  <c r="DR32" i="7"/>
  <c r="DM32" i="7"/>
  <c r="DN32" i="7" s="1"/>
  <c r="DI32" i="7"/>
  <c r="DJ32" i="7" s="1"/>
  <c r="DF32" i="7"/>
  <c r="DB32" i="7"/>
  <c r="CW32" i="7"/>
  <c r="CX32" i="7" s="1"/>
  <c r="CS32" i="7"/>
  <c r="CT32" i="7" s="1"/>
  <c r="CO32" i="7"/>
  <c r="CP32" i="7" s="1"/>
  <c r="CK32" i="7"/>
  <c r="CL32" i="7" s="1"/>
  <c r="CG32" i="7"/>
  <c r="CF32" i="7"/>
  <c r="CD32" i="7"/>
  <c r="BZ32" i="7"/>
  <c r="BU32" i="7"/>
  <c r="BV32" i="7" s="1"/>
  <c r="BR32" i="7"/>
  <c r="BN32" i="7"/>
  <c r="BI32" i="7"/>
  <c r="BJ32" i="7" s="1"/>
  <c r="BF32" i="7"/>
  <c r="BB32" i="7"/>
  <c r="AW32" i="7"/>
  <c r="AX32" i="7" s="1"/>
  <c r="AT32" i="7"/>
  <c r="AO32" i="7"/>
  <c r="AP32" i="7" s="1"/>
  <c r="AL32" i="7"/>
  <c r="AH32" i="7"/>
  <c r="AB32" i="7"/>
  <c r="Z32" i="7"/>
  <c r="V32" i="7"/>
  <c r="Q32" i="7"/>
  <c r="R32" i="7" s="1"/>
  <c r="L32" i="7"/>
  <c r="L85" i="7" s="1"/>
  <c r="H32" i="7"/>
  <c r="F32" i="7"/>
  <c r="HS31" i="7"/>
  <c r="HR31" i="7"/>
  <c r="HM31" i="7"/>
  <c r="HJ31" i="7"/>
  <c r="HE31" i="7"/>
  <c r="GT31" i="7"/>
  <c r="GP31" i="7"/>
  <c r="GL31" i="7"/>
  <c r="GH31" i="7"/>
  <c r="GD31" i="7"/>
  <c r="FU31" i="7"/>
  <c r="FV31" i="7" s="1"/>
  <c r="FR31" i="7"/>
  <c r="FN31" i="7"/>
  <c r="FJ31" i="7"/>
  <c r="FF31" i="7"/>
  <c r="FA31" i="7"/>
  <c r="FB31" i="7" s="1"/>
  <c r="EX31" i="7"/>
  <c r="ET31" i="7"/>
  <c r="EO31" i="7"/>
  <c r="EP31" i="7" s="1"/>
  <c r="EL31" i="7"/>
  <c r="EG31" i="7"/>
  <c r="EH31" i="7" s="1"/>
  <c r="ED31" i="7"/>
  <c r="DY31" i="7"/>
  <c r="DZ31" i="7" s="1"/>
  <c r="DU31" i="7"/>
  <c r="DV31" i="7" s="1"/>
  <c r="DR31" i="7"/>
  <c r="DN31" i="7"/>
  <c r="DI31" i="7"/>
  <c r="DJ31" i="7" s="1"/>
  <c r="DF31" i="7"/>
  <c r="DA31" i="7"/>
  <c r="DB31" i="7" s="1"/>
  <c r="CW31" i="7"/>
  <c r="CX31" i="7" s="1"/>
  <c r="CS31" i="7"/>
  <c r="CT31" i="7" s="1"/>
  <c r="CP31" i="7"/>
  <c r="CK31" i="7"/>
  <c r="CL31" i="7" s="1"/>
  <c r="CG31" i="7"/>
  <c r="CF31" i="7"/>
  <c r="CD31" i="7"/>
  <c r="BZ31" i="7"/>
  <c r="BU31" i="7"/>
  <c r="BR31" i="7"/>
  <c r="BM31" i="7"/>
  <c r="BN31" i="7" s="1"/>
  <c r="BI31" i="7"/>
  <c r="BJ31" i="7" s="1"/>
  <c r="BF31" i="7"/>
  <c r="BB31" i="7"/>
  <c r="AX31" i="7"/>
  <c r="AS31" i="7"/>
  <c r="AO31" i="7"/>
  <c r="AL31" i="7"/>
  <c r="AF31" i="7"/>
  <c r="AH31" i="7" s="1"/>
  <c r="AD31" i="7"/>
  <c r="Z31" i="7"/>
  <c r="T31" i="7"/>
  <c r="V31" i="7" s="1"/>
  <c r="R31" i="7"/>
  <c r="N31" i="7"/>
  <c r="J31" i="7"/>
  <c r="F31" i="7"/>
  <c r="HR30" i="7"/>
  <c r="HM30" i="7"/>
  <c r="HI30" i="7"/>
  <c r="HE30" i="7"/>
  <c r="GT30" i="7"/>
  <c r="GO30" i="7"/>
  <c r="GP30" i="7" s="1"/>
  <c r="GL30" i="7"/>
  <c r="GH30" i="7"/>
  <c r="GD30" i="7"/>
  <c r="FJ30" i="7"/>
  <c r="FF30" i="7"/>
  <c r="FA30" i="7"/>
  <c r="FB30" i="7" s="1"/>
  <c r="EX30" i="7"/>
  <c r="ET30" i="7"/>
  <c r="EO30" i="7"/>
  <c r="EP30" i="7" s="1"/>
  <c r="EL30" i="7"/>
  <c r="EH30" i="7"/>
  <c r="ED30" i="7"/>
  <c r="DZ30" i="7"/>
  <c r="DV30" i="7"/>
  <c r="DR30" i="7"/>
  <c r="DN30" i="7"/>
  <c r="DJ30" i="7"/>
  <c r="DF30" i="7"/>
  <c r="DB30" i="7"/>
  <c r="CX30" i="7"/>
  <c r="CS30" i="7"/>
  <c r="CT30" i="7" s="1"/>
  <c r="CP30" i="7"/>
  <c r="CK30" i="7"/>
  <c r="CL30" i="7" s="1"/>
  <c r="CG30" i="7"/>
  <c r="CF30" i="7"/>
  <c r="GV30" i="7" s="1"/>
  <c r="CC30" i="7"/>
  <c r="CC85" i="7" s="1"/>
  <c r="BZ30" i="7"/>
  <c r="BU30" i="7"/>
  <c r="BV30" i="7" s="1"/>
  <c r="BR30" i="7"/>
  <c r="BM30" i="7"/>
  <c r="BN30" i="7" s="1"/>
  <c r="BI30" i="7"/>
  <c r="BE30" i="7"/>
  <c r="HS30" i="7" s="1"/>
  <c r="BA30" i="7"/>
  <c r="AX30" i="7"/>
  <c r="AS30" i="7"/>
  <c r="AT30" i="7" s="1"/>
  <c r="AP30" i="7"/>
  <c r="AL30" i="7"/>
  <c r="AG30" i="7"/>
  <c r="AH30" i="7" s="1"/>
  <c r="AD30" i="7"/>
  <c r="Z30" i="7"/>
  <c r="U30" i="7"/>
  <c r="R30" i="7"/>
  <c r="N30" i="7"/>
  <c r="J30" i="7"/>
  <c r="F30" i="7"/>
  <c r="HR29" i="7"/>
  <c r="HM29" i="7"/>
  <c r="HI29" i="7"/>
  <c r="GT29" i="7"/>
  <c r="GP29" i="7"/>
  <c r="GL29" i="7"/>
  <c r="GH29" i="7"/>
  <c r="GD29" i="7"/>
  <c r="FV29" i="7"/>
  <c r="FR29" i="7"/>
  <c r="FN29" i="7"/>
  <c r="FJ29" i="7"/>
  <c r="FF29" i="7"/>
  <c r="FA29" i="7"/>
  <c r="FB29" i="7" s="1"/>
  <c r="EX29" i="7"/>
  <c r="ET29" i="7"/>
  <c r="EP29" i="7"/>
  <c r="EL29" i="7"/>
  <c r="EG29" i="7"/>
  <c r="EH29" i="7" s="1"/>
  <c r="ED29" i="7"/>
  <c r="DZ29" i="7"/>
  <c r="DU29" i="7"/>
  <c r="DV29" i="7" s="1"/>
  <c r="DR29" i="7"/>
  <c r="DM29" i="7"/>
  <c r="DI29" i="7"/>
  <c r="DJ29" i="7" s="1"/>
  <c r="DF29" i="7"/>
  <c r="DB29" i="7"/>
  <c r="CW29" i="7"/>
  <c r="CX29" i="7" s="1"/>
  <c r="CS29" i="7"/>
  <c r="CP29" i="7"/>
  <c r="CK29" i="7"/>
  <c r="CL29" i="7" s="1"/>
  <c r="CG29" i="7"/>
  <c r="CF29" i="7"/>
  <c r="HA29" i="7" s="1"/>
  <c r="CD29" i="7"/>
  <c r="BY29" i="7"/>
  <c r="BZ29" i="7" s="1"/>
  <c r="BU29" i="7"/>
  <c r="BV29" i="7" s="1"/>
  <c r="BR29" i="7"/>
  <c r="BN29" i="7"/>
  <c r="BI29" i="7"/>
  <c r="BJ29" i="7" s="1"/>
  <c r="BE29" i="7"/>
  <c r="BF29" i="7" s="1"/>
  <c r="BB29" i="7"/>
  <c r="AW29" i="7"/>
  <c r="AS29" i="7"/>
  <c r="AT29" i="7" s="1"/>
  <c r="AO29" i="7"/>
  <c r="AL29" i="7"/>
  <c r="AH29" i="7"/>
  <c r="AB29" i="7"/>
  <c r="AD29" i="7" s="1"/>
  <c r="Z29" i="7"/>
  <c r="V29" i="7"/>
  <c r="P29" i="7"/>
  <c r="N29" i="7"/>
  <c r="J29" i="7"/>
  <c r="F29" i="7"/>
  <c r="HR28" i="7"/>
  <c r="HM28" i="7"/>
  <c r="HI28" i="7"/>
  <c r="HE28" i="7"/>
  <c r="GT28" i="7"/>
  <c r="GP28" i="7"/>
  <c r="GL28" i="7"/>
  <c r="GH28" i="7"/>
  <c r="GD28" i="7"/>
  <c r="FV28" i="7"/>
  <c r="FR28" i="7"/>
  <c r="FN28" i="7"/>
  <c r="FJ28" i="7"/>
  <c r="FF28" i="7"/>
  <c r="FB28" i="7"/>
  <c r="EX28" i="7"/>
  <c r="ES28" i="7"/>
  <c r="ET28" i="7" s="1"/>
  <c r="EO28" i="7"/>
  <c r="EP28" i="7" s="1"/>
  <c r="EL28" i="7"/>
  <c r="EG28" i="7"/>
  <c r="EH28" i="7" s="1"/>
  <c r="ED28" i="7"/>
  <c r="DY28" i="7"/>
  <c r="DZ28" i="7" s="1"/>
  <c r="DU28" i="7"/>
  <c r="DV28" i="7" s="1"/>
  <c r="DR28" i="7"/>
  <c r="DM28" i="7"/>
  <c r="DN28" i="7" s="1"/>
  <c r="DI28" i="7"/>
  <c r="DJ28" i="7" s="1"/>
  <c r="DF28" i="7"/>
  <c r="DA28" i="7"/>
  <c r="DB28" i="7" s="1"/>
  <c r="CW28" i="7"/>
  <c r="CX28" i="7" s="1"/>
  <c r="CS28" i="7"/>
  <c r="CT28" i="7" s="1"/>
  <c r="CP28" i="7"/>
  <c r="CK28" i="7"/>
  <c r="CL28" i="7" s="1"/>
  <c r="CG28" i="7"/>
  <c r="CF28" i="7"/>
  <c r="GV28" i="7" s="1"/>
  <c r="CD28" i="7"/>
  <c r="BY28" i="7"/>
  <c r="BZ28" i="7" s="1"/>
  <c r="BU28" i="7"/>
  <c r="BV28" i="7" s="1"/>
  <c r="BQ28" i="7"/>
  <c r="BR28" i="7" s="1"/>
  <c r="BN28" i="7"/>
  <c r="BI28" i="7"/>
  <c r="BJ28" i="7" s="1"/>
  <c r="BF28" i="7"/>
  <c r="BB28" i="7"/>
  <c r="AW28" i="7"/>
  <c r="AS28" i="7"/>
  <c r="AT28" i="7" s="1"/>
  <c r="AO28" i="7"/>
  <c r="AP28" i="7" s="1"/>
  <c r="AL28" i="7"/>
  <c r="AH28" i="7"/>
  <c r="AC28" i="7"/>
  <c r="Y28" i="7"/>
  <c r="Z28" i="7" s="1"/>
  <c r="V28" i="7"/>
  <c r="R28" i="7"/>
  <c r="N28" i="7"/>
  <c r="J28" i="7"/>
  <c r="F28" i="7"/>
  <c r="HR27" i="7"/>
  <c r="HM27" i="7"/>
  <c r="HJ27" i="7"/>
  <c r="HE27" i="7"/>
  <c r="GT27" i="7"/>
  <c r="GP27" i="7"/>
  <c r="GL27" i="7"/>
  <c r="GH27" i="7"/>
  <c r="GD27" i="7"/>
  <c r="FU27" i="7"/>
  <c r="FV27" i="7" s="1"/>
  <c r="FR27" i="7"/>
  <c r="FN27" i="7"/>
  <c r="FJ27" i="7"/>
  <c r="FF27" i="7"/>
  <c r="FA27" i="7"/>
  <c r="FB27" i="7" s="1"/>
  <c r="EX27" i="7"/>
  <c r="ET27" i="7"/>
  <c r="EO27" i="7"/>
  <c r="EP27" i="7" s="1"/>
  <c r="EL27" i="7"/>
  <c r="EG27" i="7"/>
  <c r="EH27" i="7" s="1"/>
  <c r="ED27" i="7"/>
  <c r="DZ27" i="7"/>
  <c r="DU27" i="7"/>
  <c r="DV27" i="7" s="1"/>
  <c r="DR27" i="7"/>
  <c r="DN27" i="7"/>
  <c r="DI27" i="7"/>
  <c r="DJ27" i="7" s="1"/>
  <c r="DF27" i="7"/>
  <c r="DB27" i="7"/>
  <c r="CW27" i="7"/>
  <c r="CX27" i="7" s="1"/>
  <c r="CS27" i="7"/>
  <c r="CT27" i="7" s="1"/>
  <c r="CP27" i="7"/>
  <c r="CK27" i="7"/>
  <c r="CL27" i="7" s="1"/>
  <c r="CG27" i="7"/>
  <c r="CF27" i="7"/>
  <c r="HA27" i="7" s="1"/>
  <c r="CD27" i="7"/>
  <c r="BY27" i="7"/>
  <c r="BZ27" i="7" s="1"/>
  <c r="BU27" i="7"/>
  <c r="BV27" i="7" s="1"/>
  <c r="BR27" i="7"/>
  <c r="BM27" i="7"/>
  <c r="BN27" i="7" s="1"/>
  <c r="BI27" i="7"/>
  <c r="BJ27" i="7" s="1"/>
  <c r="BE27" i="7"/>
  <c r="BB27" i="7"/>
  <c r="AX27" i="7"/>
  <c r="AS27" i="7"/>
  <c r="AP27" i="7"/>
  <c r="AL27" i="7"/>
  <c r="AF27" i="7"/>
  <c r="AH27" i="7" s="1"/>
  <c r="AD27" i="7"/>
  <c r="Z27" i="7"/>
  <c r="T27" i="7"/>
  <c r="V27" i="7" s="1"/>
  <c r="R27" i="7"/>
  <c r="N27" i="7"/>
  <c r="J27" i="7"/>
  <c r="F27" i="7"/>
  <c r="HR26" i="7"/>
  <c r="HM26" i="7"/>
  <c r="HJ26" i="7"/>
  <c r="HE26" i="7"/>
  <c r="GT26" i="7"/>
  <c r="GP26" i="7"/>
  <c r="GL26" i="7"/>
  <c r="GH26" i="7"/>
  <c r="GD26" i="7"/>
  <c r="FV26" i="7"/>
  <c r="FR26" i="7"/>
  <c r="FN26" i="7"/>
  <c r="FJ26" i="7"/>
  <c r="FF26" i="7"/>
  <c r="FB26" i="7"/>
  <c r="EX26" i="7"/>
  <c r="ET26" i="7"/>
  <c r="EO26" i="7"/>
  <c r="EP26" i="7" s="1"/>
  <c r="EL26" i="7"/>
  <c r="EH26" i="7"/>
  <c r="ED26" i="7"/>
  <c r="DZ26" i="7"/>
  <c r="DU26" i="7"/>
  <c r="DV26" i="7" s="1"/>
  <c r="DR26" i="7"/>
  <c r="DN26" i="7"/>
  <c r="DI26" i="7"/>
  <c r="DJ26" i="7" s="1"/>
  <c r="DF26" i="7"/>
  <c r="DB26" i="7"/>
  <c r="CW26" i="7"/>
  <c r="CX26" i="7" s="1"/>
  <c r="CS26" i="7"/>
  <c r="CT26" i="7" s="1"/>
  <c r="CP26" i="7"/>
  <c r="CK26" i="7"/>
  <c r="CL26" i="7" s="1"/>
  <c r="CG26" i="7"/>
  <c r="CF26" i="7"/>
  <c r="HA26" i="7" s="1"/>
  <c r="CD26" i="7"/>
  <c r="BY26" i="7"/>
  <c r="BZ26" i="7" s="1"/>
  <c r="BU26" i="7"/>
  <c r="BV26" i="7" s="1"/>
  <c r="BR26" i="7"/>
  <c r="BM26" i="7"/>
  <c r="BN26" i="7" s="1"/>
  <c r="BI26" i="7"/>
  <c r="BJ26" i="7" s="1"/>
  <c r="BE26" i="7"/>
  <c r="BF26" i="7" s="1"/>
  <c r="BA26" i="7"/>
  <c r="BB26" i="7" s="1"/>
  <c r="AX26" i="7"/>
  <c r="AS26" i="7"/>
  <c r="AT26" i="7" s="1"/>
  <c r="AP26" i="7"/>
  <c r="AL26" i="7"/>
  <c r="AF26" i="7"/>
  <c r="AH26" i="7" s="1"/>
  <c r="AC26" i="7"/>
  <c r="Z26" i="7"/>
  <c r="T26" i="7"/>
  <c r="R26" i="7"/>
  <c r="N26" i="7"/>
  <c r="J26" i="7"/>
  <c r="F26" i="7"/>
  <c r="HR25" i="7"/>
  <c r="HM25" i="7"/>
  <c r="HE25" i="7"/>
  <c r="GT25" i="7"/>
  <c r="GP25" i="7"/>
  <c r="GL25" i="7"/>
  <c r="GH25" i="7"/>
  <c r="GD25" i="7"/>
  <c r="FU25" i="7"/>
  <c r="FV25" i="7" s="1"/>
  <c r="FR25" i="7"/>
  <c r="FN25" i="7"/>
  <c r="FJ25" i="7"/>
  <c r="FF25" i="7"/>
  <c r="FA25" i="7"/>
  <c r="FB25" i="7" s="1"/>
  <c r="EX25" i="7"/>
  <c r="ET25" i="7"/>
  <c r="EO25" i="7"/>
  <c r="EP25" i="7" s="1"/>
  <c r="EK25" i="7"/>
  <c r="EL25" i="7" s="1"/>
  <c r="EG25" i="7"/>
  <c r="EH25" i="7" s="1"/>
  <c r="ED25" i="7"/>
  <c r="DZ25" i="7"/>
  <c r="DU25" i="7"/>
  <c r="DV25" i="7" s="1"/>
  <c r="DR25" i="7"/>
  <c r="DM25" i="7"/>
  <c r="DN25" i="7" s="1"/>
  <c r="DI25" i="7"/>
  <c r="DJ25" i="7" s="1"/>
  <c r="DE25" i="7"/>
  <c r="DF25" i="7" s="1"/>
  <c r="DB25" i="7"/>
  <c r="CW25" i="7"/>
  <c r="CX25" i="7" s="1"/>
  <c r="CS25" i="7"/>
  <c r="CT25" i="7" s="1"/>
  <c r="CO25" i="7"/>
  <c r="CP25" i="7" s="1"/>
  <c r="CK25" i="7"/>
  <c r="CL25" i="7" s="1"/>
  <c r="CG25" i="7"/>
  <c r="CF25" i="7"/>
  <c r="HA25" i="7" s="1"/>
  <c r="CD25" i="7"/>
  <c r="BY25" i="7"/>
  <c r="BZ25" i="7" s="1"/>
  <c r="BU25" i="7"/>
  <c r="BV25" i="7" s="1"/>
  <c r="BR25" i="7"/>
  <c r="BM25" i="7"/>
  <c r="BN25" i="7" s="1"/>
  <c r="BI25" i="7"/>
  <c r="BJ25" i="7" s="1"/>
  <c r="BE25" i="7"/>
  <c r="BB25" i="7"/>
  <c r="AW25" i="7"/>
  <c r="AX25" i="7" s="1"/>
  <c r="AS25" i="7"/>
  <c r="AT25" i="7" s="1"/>
  <c r="AP25" i="7"/>
  <c r="AL25" i="7"/>
  <c r="AF25" i="7"/>
  <c r="AH25" i="7" s="1"/>
  <c r="AD25" i="7"/>
  <c r="Z25" i="7"/>
  <c r="T25" i="7"/>
  <c r="R25" i="7"/>
  <c r="N25" i="7"/>
  <c r="J25" i="7"/>
  <c r="F25" i="7"/>
  <c r="HR24" i="7"/>
  <c r="HM24" i="7"/>
  <c r="HJ24" i="7"/>
  <c r="HI24" i="7"/>
  <c r="HE24" i="7"/>
  <c r="GT24" i="7"/>
  <c r="GP24" i="7"/>
  <c r="GL24" i="7"/>
  <c r="GH24" i="7"/>
  <c r="GD24" i="7"/>
  <c r="FU24" i="7"/>
  <c r="FV24" i="7" s="1"/>
  <c r="FR24" i="7"/>
  <c r="FN24" i="7"/>
  <c r="FJ24" i="7"/>
  <c r="FF24" i="7"/>
  <c r="FA24" i="7"/>
  <c r="FB24" i="7" s="1"/>
  <c r="EX24" i="7"/>
  <c r="ET24" i="7"/>
  <c r="EP24" i="7"/>
  <c r="EL24" i="7"/>
  <c r="EG24" i="7"/>
  <c r="EH24" i="7" s="1"/>
  <c r="ED24" i="7"/>
  <c r="DZ24" i="7"/>
  <c r="DV24" i="7"/>
  <c r="DR24" i="7"/>
  <c r="DN24" i="7"/>
  <c r="DI24" i="7"/>
  <c r="DJ24" i="7" s="1"/>
  <c r="DF24" i="7"/>
  <c r="DB24" i="7"/>
  <c r="CW24" i="7"/>
  <c r="CX24" i="7" s="1"/>
  <c r="CS24" i="7"/>
  <c r="CT24" i="7" s="1"/>
  <c r="CP24" i="7"/>
  <c r="CL24" i="7"/>
  <c r="CG24" i="7"/>
  <c r="CF24" i="7"/>
  <c r="CD24" i="7"/>
  <c r="BY24" i="7"/>
  <c r="BZ24" i="7" s="1"/>
  <c r="BU24" i="7"/>
  <c r="BV24" i="7" s="1"/>
  <c r="BR24" i="7"/>
  <c r="BN24" i="7"/>
  <c r="BI24" i="7"/>
  <c r="BJ24" i="7" s="1"/>
  <c r="BE24" i="7"/>
  <c r="BF24" i="7" s="1"/>
  <c r="BB24" i="7"/>
  <c r="AX24" i="7"/>
  <c r="AS24" i="7"/>
  <c r="AT24" i="7" s="1"/>
  <c r="AP24" i="7"/>
  <c r="AL24" i="7"/>
  <c r="AH24" i="7"/>
  <c r="AC24" i="7"/>
  <c r="Z24" i="7"/>
  <c r="V24" i="7"/>
  <c r="R24" i="7"/>
  <c r="N24" i="7"/>
  <c r="J24" i="7"/>
  <c r="F24" i="7"/>
  <c r="HR23" i="7"/>
  <c r="HM23" i="7"/>
  <c r="HJ23" i="7"/>
  <c r="HE23" i="7"/>
  <c r="GT23" i="7"/>
  <c r="GP23" i="7"/>
  <c r="GL23" i="7"/>
  <c r="GH23" i="7"/>
  <c r="GD23" i="7"/>
  <c r="FV23" i="7"/>
  <c r="FR23" i="7"/>
  <c r="FN23" i="7"/>
  <c r="FJ23" i="7"/>
  <c r="FF23" i="7"/>
  <c r="FA23" i="7"/>
  <c r="FB23" i="7" s="1"/>
  <c r="EX23" i="7"/>
  <c r="ET23" i="7"/>
  <c r="EO23" i="7"/>
  <c r="EP23" i="7" s="1"/>
  <c r="EL23" i="7"/>
  <c r="EG23" i="7"/>
  <c r="EH23" i="7" s="1"/>
  <c r="ED23" i="7"/>
  <c r="DZ23" i="7"/>
  <c r="DU23" i="7"/>
  <c r="DV23" i="7" s="1"/>
  <c r="DR23" i="7"/>
  <c r="DN23" i="7"/>
  <c r="DI23" i="7"/>
  <c r="DJ23" i="7" s="1"/>
  <c r="DF23" i="7"/>
  <c r="DA23" i="7"/>
  <c r="DB23" i="7" s="1"/>
  <c r="CW23" i="7"/>
  <c r="CX23" i="7" s="1"/>
  <c r="CS23" i="7"/>
  <c r="CT23" i="7" s="1"/>
  <c r="CP23" i="7"/>
  <c r="CK23" i="7"/>
  <c r="CG23" i="7"/>
  <c r="CF23" i="7"/>
  <c r="CD23" i="7"/>
  <c r="BZ23" i="7"/>
  <c r="BU23" i="7"/>
  <c r="BV23" i="7" s="1"/>
  <c r="BR23" i="7"/>
  <c r="BN23" i="7"/>
  <c r="BI23" i="7"/>
  <c r="BJ23" i="7" s="1"/>
  <c r="BE23" i="7"/>
  <c r="BF23" i="7" s="1"/>
  <c r="BA23" i="7"/>
  <c r="BB23" i="7" s="1"/>
  <c r="AX23" i="7"/>
  <c r="AT23" i="7"/>
  <c r="AP23" i="7"/>
  <c r="AL23" i="7"/>
  <c r="AF23" i="7"/>
  <c r="AH23" i="7" s="1"/>
  <c r="AD23" i="7"/>
  <c r="Z23" i="7"/>
  <c r="T23" i="7"/>
  <c r="R23" i="7"/>
  <c r="N23" i="7"/>
  <c r="J23" i="7"/>
  <c r="F23" i="7"/>
  <c r="HR20" i="7"/>
  <c r="HM20" i="7"/>
  <c r="HI20" i="7"/>
  <c r="GT20" i="7"/>
  <c r="GP20" i="7"/>
  <c r="GL20" i="7"/>
  <c r="GH20" i="7"/>
  <c r="GD20" i="7"/>
  <c r="FU20" i="7"/>
  <c r="FV20" i="7" s="1"/>
  <c r="FR20" i="7"/>
  <c r="FN20" i="7"/>
  <c r="FI20" i="7"/>
  <c r="FJ20" i="7" s="1"/>
  <c r="FF20" i="7"/>
  <c r="FA20" i="7"/>
  <c r="FB20" i="7" s="1"/>
  <c r="EX20" i="7"/>
  <c r="ET20" i="7"/>
  <c r="EO20" i="7"/>
  <c r="EP20" i="7" s="1"/>
  <c r="EL20" i="7"/>
  <c r="EG20" i="7"/>
  <c r="EH20" i="7" s="1"/>
  <c r="ED20" i="7"/>
  <c r="DY20" i="7"/>
  <c r="DZ20" i="7" s="1"/>
  <c r="DU20" i="7"/>
  <c r="DV20" i="7" s="1"/>
  <c r="DR20" i="7"/>
  <c r="DM20" i="7"/>
  <c r="DN20" i="7" s="1"/>
  <c r="DI20" i="7"/>
  <c r="DJ20" i="7" s="1"/>
  <c r="DF20" i="7"/>
  <c r="DA20" i="7"/>
  <c r="DB20" i="7" s="1"/>
  <c r="CW20" i="7"/>
  <c r="CX20" i="7" s="1"/>
  <c r="CS20" i="7"/>
  <c r="CT20" i="7" s="1"/>
  <c r="CP20" i="7"/>
  <c r="CK20" i="7"/>
  <c r="CL20" i="7" s="1"/>
  <c r="CG20" i="7"/>
  <c r="CF20" i="7"/>
  <c r="HA20" i="7" s="1"/>
  <c r="CD20" i="7"/>
  <c r="BY20" i="7"/>
  <c r="BZ20" i="7" s="1"/>
  <c r="BU20" i="7"/>
  <c r="BV20" i="7" s="1"/>
  <c r="BQ20" i="7"/>
  <c r="BR20" i="7" s="1"/>
  <c r="BM20" i="7"/>
  <c r="BN20" i="7" s="1"/>
  <c r="BI20" i="7"/>
  <c r="BJ20" i="7" s="1"/>
  <c r="BE20" i="7"/>
  <c r="BB20" i="7"/>
  <c r="AW20" i="7"/>
  <c r="AS20" i="7"/>
  <c r="AT20" i="7" s="1"/>
  <c r="AP20" i="7"/>
  <c r="AL20" i="7"/>
  <c r="AH20" i="7"/>
  <c r="AB20" i="7"/>
  <c r="AD20" i="7" s="1"/>
  <c r="Z20" i="7"/>
  <c r="V20" i="7"/>
  <c r="Q20" i="7"/>
  <c r="P20" i="7"/>
  <c r="N20" i="7"/>
  <c r="J20" i="7"/>
  <c r="F20" i="7"/>
  <c r="HR19" i="7"/>
  <c r="HM19" i="7"/>
  <c r="HI19" i="7"/>
  <c r="HE19" i="7"/>
  <c r="GT19" i="7"/>
  <c r="GP19" i="7"/>
  <c r="GL19" i="7"/>
  <c r="GH19" i="7"/>
  <c r="GD19" i="7"/>
  <c r="FV19" i="7"/>
  <c r="FR19" i="7"/>
  <c r="FN19" i="7"/>
  <c r="FJ19" i="7"/>
  <c r="FF19" i="7"/>
  <c r="FB19" i="7"/>
  <c r="EX19" i="7"/>
  <c r="ES19" i="7"/>
  <c r="ET19" i="7" s="1"/>
  <c r="EO19" i="7"/>
  <c r="EP19" i="7" s="1"/>
  <c r="EL19" i="7"/>
  <c r="EG19" i="7"/>
  <c r="EH19" i="7" s="1"/>
  <c r="ED19" i="7"/>
  <c r="DY19" i="7"/>
  <c r="DZ19" i="7" s="1"/>
  <c r="DU19" i="7"/>
  <c r="DV19" i="7" s="1"/>
  <c r="DR19" i="7"/>
  <c r="DM19" i="7"/>
  <c r="DN19" i="7" s="1"/>
  <c r="DI19" i="7"/>
  <c r="DJ19" i="7" s="1"/>
  <c r="DE19" i="7"/>
  <c r="DF19" i="7" s="1"/>
  <c r="DB19" i="7"/>
  <c r="CW19" i="7"/>
  <c r="CX19" i="7" s="1"/>
  <c r="CS19" i="7"/>
  <c r="CT19" i="7" s="1"/>
  <c r="CO19" i="7"/>
  <c r="CP19" i="7" s="1"/>
  <c r="CK19" i="7"/>
  <c r="CL19" i="7" s="1"/>
  <c r="CG19" i="7"/>
  <c r="CF19" i="7"/>
  <c r="HA19" i="7" s="1"/>
  <c r="CD19" i="7"/>
  <c r="BZ19" i="7"/>
  <c r="BU19" i="7"/>
  <c r="BV19" i="7" s="1"/>
  <c r="BR19" i="7"/>
  <c r="BN19" i="7"/>
  <c r="BI19" i="7"/>
  <c r="BJ19" i="7" s="1"/>
  <c r="BE19" i="7"/>
  <c r="HS19" i="7" s="1"/>
  <c r="BA19" i="7"/>
  <c r="AW19" i="7"/>
  <c r="AX19" i="7" s="1"/>
  <c r="AS19" i="7"/>
  <c r="AT19" i="7" s="1"/>
  <c r="AO19" i="7"/>
  <c r="AL19" i="7"/>
  <c r="AH19" i="7"/>
  <c r="AD19" i="7"/>
  <c r="Z19" i="7"/>
  <c r="V19" i="7"/>
  <c r="R19" i="7"/>
  <c r="N19" i="7"/>
  <c r="J19" i="7"/>
  <c r="F19" i="7"/>
  <c r="HR18" i="7"/>
  <c r="HM18" i="7"/>
  <c r="HI18" i="7"/>
  <c r="HE18" i="7"/>
  <c r="GT18" i="7"/>
  <c r="GP18" i="7"/>
  <c r="GL18" i="7"/>
  <c r="GH18" i="7"/>
  <c r="GD18" i="7"/>
  <c r="FV18" i="7"/>
  <c r="FR18" i="7"/>
  <c r="FN18" i="7"/>
  <c r="FI18" i="7"/>
  <c r="FJ18" i="7" s="1"/>
  <c r="FF18" i="7"/>
  <c r="FA18" i="7"/>
  <c r="FB18" i="7" s="1"/>
  <c r="EX18" i="7"/>
  <c r="ET18" i="7"/>
  <c r="EO18" i="7"/>
  <c r="EP18" i="7" s="1"/>
  <c r="EL18" i="7"/>
  <c r="EG18" i="7"/>
  <c r="EH18" i="7" s="1"/>
  <c r="ED18" i="7"/>
  <c r="DY18" i="7"/>
  <c r="DZ18" i="7" s="1"/>
  <c r="DU18" i="7"/>
  <c r="DV18" i="7" s="1"/>
  <c r="DR18" i="7"/>
  <c r="DN18" i="7"/>
  <c r="DI18" i="7"/>
  <c r="DJ18" i="7" s="1"/>
  <c r="DE18" i="7"/>
  <c r="DF18" i="7" s="1"/>
  <c r="DA18" i="7"/>
  <c r="DB18" i="7" s="1"/>
  <c r="CW18" i="7"/>
  <c r="CX18" i="7" s="1"/>
  <c r="CS18" i="7"/>
  <c r="CT18" i="7" s="1"/>
  <c r="CO18" i="7"/>
  <c r="CP18" i="7" s="1"/>
  <c r="CK18" i="7"/>
  <c r="CL18" i="7" s="1"/>
  <c r="CG18" i="7"/>
  <c r="CF18" i="7"/>
  <c r="HA18" i="7" s="1"/>
  <c r="CD18" i="7"/>
  <c r="BZ18" i="7"/>
  <c r="BU18" i="7"/>
  <c r="BV18" i="7" s="1"/>
  <c r="BQ18" i="7"/>
  <c r="BR18" i="7" s="1"/>
  <c r="BM18" i="7"/>
  <c r="BN18" i="7" s="1"/>
  <c r="BI18" i="7"/>
  <c r="BJ18" i="7" s="1"/>
  <c r="BE18" i="7"/>
  <c r="HS18" i="7" s="1"/>
  <c r="BB18" i="7"/>
  <c r="AW18" i="7"/>
  <c r="AX18" i="7" s="1"/>
  <c r="AT18" i="7"/>
  <c r="AO18" i="7"/>
  <c r="AP18" i="7" s="1"/>
  <c r="AL18" i="7"/>
  <c r="AH18" i="7"/>
  <c r="AD18" i="7"/>
  <c r="Z18" i="7"/>
  <c r="V18" i="7"/>
  <c r="R18" i="7"/>
  <c r="N18" i="7"/>
  <c r="J18" i="7"/>
  <c r="F18" i="7"/>
  <c r="HR17" i="7"/>
  <c r="HM17" i="7"/>
  <c r="HI17" i="7"/>
  <c r="HE17" i="7"/>
  <c r="GT17" i="7"/>
  <c r="GO17" i="7"/>
  <c r="GP17" i="7" s="1"/>
  <c r="GL17" i="7"/>
  <c r="GH17" i="7"/>
  <c r="GD17" i="7"/>
  <c r="FU17" i="7"/>
  <c r="FV17" i="7" s="1"/>
  <c r="FR17" i="7"/>
  <c r="FN17" i="7"/>
  <c r="FJ17" i="7"/>
  <c r="FF17" i="7"/>
  <c r="FA17" i="7"/>
  <c r="FB17" i="7" s="1"/>
  <c r="EX17" i="7"/>
  <c r="ET17" i="7"/>
  <c r="EO17" i="7"/>
  <c r="EP17" i="7" s="1"/>
  <c r="EL17" i="7"/>
  <c r="EG17" i="7"/>
  <c r="EH17" i="7" s="1"/>
  <c r="ED17" i="7"/>
  <c r="DZ17" i="7"/>
  <c r="DU17" i="7"/>
  <c r="DV17" i="7" s="1"/>
  <c r="DR17" i="7"/>
  <c r="DN17" i="7"/>
  <c r="DI17" i="7"/>
  <c r="DJ17" i="7" s="1"/>
  <c r="DF17" i="7"/>
  <c r="DB17" i="7"/>
  <c r="CW17" i="7"/>
  <c r="CX17" i="7" s="1"/>
  <c r="CS17" i="7"/>
  <c r="CT17" i="7" s="1"/>
  <c r="CP17" i="7"/>
  <c r="CK17" i="7"/>
  <c r="CL17" i="7" s="1"/>
  <c r="CG17" i="7"/>
  <c r="CF17" i="7"/>
  <c r="HA17" i="7" s="1"/>
  <c r="CD17" i="7"/>
  <c r="BZ17" i="7"/>
  <c r="BU17" i="7"/>
  <c r="BV17" i="7" s="1"/>
  <c r="BR17" i="7"/>
  <c r="BN17" i="7"/>
  <c r="BI17" i="7"/>
  <c r="BJ17" i="7" s="1"/>
  <c r="BE17" i="7"/>
  <c r="BF17" i="7" s="1"/>
  <c r="BB17" i="7"/>
  <c r="AX17" i="7"/>
  <c r="AT17" i="7"/>
  <c r="AP17" i="7"/>
  <c r="AL17" i="7"/>
  <c r="AG17" i="7"/>
  <c r="HJ17" i="7" s="1"/>
  <c r="AD17" i="7"/>
  <c r="Z17" i="7"/>
  <c r="V17" i="7"/>
  <c r="R17" i="7"/>
  <c r="N17" i="7"/>
  <c r="J17" i="7"/>
  <c r="F17" i="7"/>
  <c r="HS16" i="7"/>
  <c r="HR16" i="7"/>
  <c r="HM16" i="7"/>
  <c r="HJ16" i="7"/>
  <c r="HI16" i="7"/>
  <c r="HF16" i="7"/>
  <c r="HE16" i="7"/>
  <c r="GT16" i="7"/>
  <c r="GO16" i="7"/>
  <c r="GP16" i="7" s="1"/>
  <c r="GL16" i="7"/>
  <c r="GH16" i="7"/>
  <c r="GD16" i="7"/>
  <c r="FU16" i="7"/>
  <c r="FV16" i="7" s="1"/>
  <c r="FR16" i="7"/>
  <c r="FN16" i="7"/>
  <c r="FI16" i="7"/>
  <c r="FJ16" i="7" s="1"/>
  <c r="FF16" i="7"/>
  <c r="FA16" i="7"/>
  <c r="FB16" i="7" s="1"/>
  <c r="EX16" i="7"/>
  <c r="ET16" i="7"/>
  <c r="EO16" i="7"/>
  <c r="EP16" i="7" s="1"/>
  <c r="EL16" i="7"/>
  <c r="EG16" i="7"/>
  <c r="EH16" i="7" s="1"/>
  <c r="ED16" i="7"/>
  <c r="DZ16" i="7"/>
  <c r="DU16" i="7"/>
  <c r="DV16" i="7" s="1"/>
  <c r="DR16" i="7"/>
  <c r="DN16" i="7"/>
  <c r="DI16" i="7"/>
  <c r="DJ16" i="7" s="1"/>
  <c r="DF16" i="7"/>
  <c r="DB16" i="7"/>
  <c r="CW16" i="7"/>
  <c r="CX16" i="7" s="1"/>
  <c r="CS16" i="7"/>
  <c r="CT16" i="7" s="1"/>
  <c r="CP16" i="7"/>
  <c r="CL16" i="7"/>
  <c r="CG16" i="7"/>
  <c r="CF16" i="7"/>
  <c r="CD16" i="7"/>
  <c r="BZ16" i="7"/>
  <c r="BU16" i="7"/>
  <c r="BR16" i="7"/>
  <c r="BN16" i="7"/>
  <c r="BI16" i="7"/>
  <c r="BF16" i="7"/>
  <c r="BB16" i="7"/>
  <c r="AX16" i="7"/>
  <c r="AT16" i="7"/>
  <c r="AP16" i="7"/>
  <c r="AL16" i="7"/>
  <c r="AH16" i="7"/>
  <c r="AD16" i="7"/>
  <c r="Z16" i="7"/>
  <c r="V16" i="7"/>
  <c r="R16" i="7"/>
  <c r="N16" i="7"/>
  <c r="J16" i="7"/>
  <c r="F16" i="7"/>
  <c r="HS15" i="7"/>
  <c r="HR15" i="7"/>
  <c r="HM15" i="7"/>
  <c r="HI15" i="7"/>
  <c r="HE15" i="7"/>
  <c r="GT15" i="7"/>
  <c r="GP15" i="7"/>
  <c r="GL15" i="7"/>
  <c r="GH15" i="7"/>
  <c r="GD15" i="7"/>
  <c r="FU15" i="7"/>
  <c r="FV15" i="7" s="1"/>
  <c r="FR15" i="7"/>
  <c r="FN15" i="7"/>
  <c r="FJ15" i="7"/>
  <c r="FF15" i="7"/>
  <c r="FA15" i="7"/>
  <c r="FB15" i="7" s="1"/>
  <c r="EX15" i="7"/>
  <c r="ES15" i="7"/>
  <c r="ET15" i="7" s="1"/>
  <c r="EO15" i="7"/>
  <c r="EP15" i="7" s="1"/>
  <c r="EL15" i="7"/>
  <c r="EG15" i="7"/>
  <c r="EH15" i="7" s="1"/>
  <c r="ED15" i="7"/>
  <c r="DY15" i="7"/>
  <c r="DZ15" i="7" s="1"/>
  <c r="DU15" i="7"/>
  <c r="DV15" i="7" s="1"/>
  <c r="DR15" i="7"/>
  <c r="DN15" i="7"/>
  <c r="DI15" i="7"/>
  <c r="DJ15" i="7" s="1"/>
  <c r="DF15" i="7"/>
  <c r="DA15" i="7"/>
  <c r="CW15" i="7"/>
  <c r="CX15" i="7" s="1"/>
  <c r="CS15" i="7"/>
  <c r="CT15" i="7" s="1"/>
  <c r="CP15" i="7"/>
  <c r="CK15" i="7"/>
  <c r="CL15" i="7" s="1"/>
  <c r="CG15" i="7"/>
  <c r="CF15" i="7"/>
  <c r="HA15" i="7" s="1"/>
  <c r="CD15" i="7"/>
  <c r="BZ15" i="7"/>
  <c r="BU15" i="7"/>
  <c r="BV15" i="7" s="1"/>
  <c r="BQ15" i="7"/>
  <c r="BR15" i="7" s="1"/>
  <c r="BN15" i="7"/>
  <c r="BI15" i="7"/>
  <c r="BJ15" i="7" s="1"/>
  <c r="BF15" i="7"/>
  <c r="BB15" i="7"/>
  <c r="AW15" i="7"/>
  <c r="AX15" i="7" s="1"/>
  <c r="AS15" i="7"/>
  <c r="AT15" i="7" s="1"/>
  <c r="AP15" i="7"/>
  <c r="AK15" i="7"/>
  <c r="AG15" i="7"/>
  <c r="AH15" i="7" s="1"/>
  <c r="AD15" i="7"/>
  <c r="Z15" i="7"/>
  <c r="V15" i="7"/>
  <c r="R15" i="7"/>
  <c r="N15" i="7"/>
  <c r="J15" i="7"/>
  <c r="F15" i="7"/>
  <c r="HR14" i="7"/>
  <c r="HM14" i="7"/>
  <c r="HE14" i="7"/>
  <c r="GT14" i="7"/>
  <c r="GO14" i="7"/>
  <c r="GP14" i="7" s="1"/>
  <c r="GL14" i="7"/>
  <c r="GH14" i="7"/>
  <c r="GD14" i="7"/>
  <c r="FU14" i="7"/>
  <c r="FV14" i="7" s="1"/>
  <c r="FR14" i="7"/>
  <c r="FN14" i="7"/>
  <c r="FJ14" i="7"/>
  <c r="FF14" i="7"/>
  <c r="FA14" i="7"/>
  <c r="FB14" i="7" s="1"/>
  <c r="EX14" i="7"/>
  <c r="ES14" i="7"/>
  <c r="ET14" i="7" s="1"/>
  <c r="EO14" i="7"/>
  <c r="EP14" i="7" s="1"/>
  <c r="EK14" i="7"/>
  <c r="EL14" i="7" s="1"/>
  <c r="EG14" i="7"/>
  <c r="EH14" i="7" s="1"/>
  <c r="ED14" i="7"/>
  <c r="DY14" i="7"/>
  <c r="DZ14" i="7" s="1"/>
  <c r="DU14" i="7"/>
  <c r="DV14" i="7" s="1"/>
  <c r="DR14" i="7"/>
  <c r="DM14" i="7"/>
  <c r="DN14" i="7" s="1"/>
  <c r="DI14" i="7"/>
  <c r="DJ14" i="7" s="1"/>
  <c r="DE14" i="7"/>
  <c r="DF14" i="7" s="1"/>
  <c r="DA14" i="7"/>
  <c r="DB14" i="7" s="1"/>
  <c r="CW14" i="7"/>
  <c r="CX14" i="7" s="1"/>
  <c r="CS14" i="7"/>
  <c r="CT14" i="7" s="1"/>
  <c r="CO14" i="7"/>
  <c r="CP14" i="7" s="1"/>
  <c r="CK14" i="7"/>
  <c r="CL14" i="7" s="1"/>
  <c r="CG14" i="7"/>
  <c r="CF14" i="7"/>
  <c r="HA14" i="7" s="1"/>
  <c r="CD14" i="7"/>
  <c r="BY14" i="7"/>
  <c r="BZ14" i="7" s="1"/>
  <c r="BU14" i="7"/>
  <c r="BV14" i="7" s="1"/>
  <c r="BQ14" i="7"/>
  <c r="BR14" i="7" s="1"/>
  <c r="BM14" i="7"/>
  <c r="BN14" i="7" s="1"/>
  <c r="BI14" i="7"/>
  <c r="BJ14" i="7" s="1"/>
  <c r="BE14" i="7"/>
  <c r="BA14" i="7"/>
  <c r="AW14" i="7"/>
  <c r="AX14" i="7" s="1"/>
  <c r="AS14" i="7"/>
  <c r="AT14" i="7" s="1"/>
  <c r="AO14" i="7"/>
  <c r="AP14" i="7" s="1"/>
  <c r="AL14" i="7"/>
  <c r="AF14" i="7"/>
  <c r="AH14" i="7" s="1"/>
  <c r="AC14" i="7"/>
  <c r="Y14" i="7"/>
  <c r="T14" i="7"/>
  <c r="R14" i="7"/>
  <c r="M14" i="7"/>
  <c r="N14" i="7" s="1"/>
  <c r="I14" i="7"/>
  <c r="F14" i="7"/>
  <c r="HR13" i="7"/>
  <c r="HM13" i="7"/>
  <c r="HJ13" i="7"/>
  <c r="HI13" i="7"/>
  <c r="HE13" i="7"/>
  <c r="GT13" i="7"/>
  <c r="GP13" i="7"/>
  <c r="GL13" i="7"/>
  <c r="GH13" i="7"/>
  <c r="GD13" i="7"/>
  <c r="FU13" i="7"/>
  <c r="FV13" i="7" s="1"/>
  <c r="FR13" i="7"/>
  <c r="FN13" i="7"/>
  <c r="FI13" i="7"/>
  <c r="FJ13" i="7" s="1"/>
  <c r="FF13" i="7"/>
  <c r="FA13" i="7"/>
  <c r="FB13" i="7" s="1"/>
  <c r="EX13" i="7"/>
  <c r="ES13" i="7"/>
  <c r="ET13" i="7" s="1"/>
  <c r="EO13" i="7"/>
  <c r="EP13" i="7" s="1"/>
  <c r="EL13" i="7"/>
  <c r="EG13" i="7"/>
  <c r="EH13" i="7" s="1"/>
  <c r="ED13" i="7"/>
  <c r="DY13" i="7"/>
  <c r="DZ13" i="7" s="1"/>
  <c r="DU13" i="7"/>
  <c r="DV13" i="7" s="1"/>
  <c r="DR13" i="7"/>
  <c r="DN13" i="7"/>
  <c r="DI13" i="7"/>
  <c r="DJ13" i="7" s="1"/>
  <c r="DF13" i="7"/>
  <c r="DA13" i="7"/>
  <c r="DB13" i="7" s="1"/>
  <c r="CW13" i="7"/>
  <c r="CX13" i="7" s="1"/>
  <c r="CS13" i="7"/>
  <c r="CT13" i="7" s="1"/>
  <c r="CP13" i="7"/>
  <c r="CK13" i="7"/>
  <c r="CL13" i="7" s="1"/>
  <c r="CG13" i="7"/>
  <c r="CF13" i="7"/>
  <c r="CD13" i="7"/>
  <c r="BZ13" i="7"/>
  <c r="BU13" i="7"/>
  <c r="BV13" i="7" s="1"/>
  <c r="BR13" i="7"/>
  <c r="BM13" i="7"/>
  <c r="BN13" i="7" s="1"/>
  <c r="BI13" i="7"/>
  <c r="BE13" i="7"/>
  <c r="BF13" i="7" s="1"/>
  <c r="BB13" i="7"/>
  <c r="AX13" i="7"/>
  <c r="AS13" i="7"/>
  <c r="AT13" i="7" s="1"/>
  <c r="AP13" i="7"/>
  <c r="AL13" i="7"/>
  <c r="AH13" i="7"/>
  <c r="AD13" i="7"/>
  <c r="Z13" i="7"/>
  <c r="V13" i="7"/>
  <c r="R13" i="7"/>
  <c r="N13" i="7"/>
  <c r="J13" i="7"/>
  <c r="F13" i="7"/>
  <c r="HR12" i="7"/>
  <c r="HM12" i="7"/>
  <c r="HJ12" i="7"/>
  <c r="HI12" i="7"/>
  <c r="HE12" i="7"/>
  <c r="GT12" i="7"/>
  <c r="GP12" i="7"/>
  <c r="GL12" i="7"/>
  <c r="GH12" i="7"/>
  <c r="GD12" i="7"/>
  <c r="FV12" i="7"/>
  <c r="FR12" i="7"/>
  <c r="FN12" i="7"/>
  <c r="FI12" i="7"/>
  <c r="FJ12" i="7" s="1"/>
  <c r="FF12" i="7"/>
  <c r="FA12" i="7"/>
  <c r="FB12" i="7" s="1"/>
  <c r="EX12" i="7"/>
  <c r="ES12" i="7"/>
  <c r="ET12" i="7" s="1"/>
  <c r="EO12" i="7"/>
  <c r="EP12" i="7" s="1"/>
  <c r="EL12" i="7"/>
  <c r="EG12" i="7"/>
  <c r="EH12" i="7" s="1"/>
  <c r="ED12" i="7"/>
  <c r="DZ12" i="7"/>
  <c r="DU12" i="7"/>
  <c r="DV12" i="7" s="1"/>
  <c r="DR12" i="7"/>
  <c r="DN12" i="7"/>
  <c r="DI12" i="7"/>
  <c r="DJ12" i="7" s="1"/>
  <c r="DF12" i="7"/>
  <c r="DA12" i="7"/>
  <c r="DB12" i="7" s="1"/>
  <c r="CW12" i="7"/>
  <c r="CX12" i="7" s="1"/>
  <c r="CS12" i="7"/>
  <c r="CT12" i="7" s="1"/>
  <c r="CP12" i="7"/>
  <c r="CK12" i="7"/>
  <c r="CL12" i="7" s="1"/>
  <c r="CG12" i="7"/>
  <c r="CF12" i="7"/>
  <c r="HA12" i="7" s="1"/>
  <c r="CD12" i="7"/>
  <c r="BZ12" i="7"/>
  <c r="BU12" i="7"/>
  <c r="BV12" i="7" s="1"/>
  <c r="BR12" i="7"/>
  <c r="BM12" i="7"/>
  <c r="BN12" i="7" s="1"/>
  <c r="BI12" i="7"/>
  <c r="BJ12" i="7" s="1"/>
  <c r="BE12" i="7"/>
  <c r="BF12" i="7" s="1"/>
  <c r="BB12" i="7"/>
  <c r="AX12" i="7"/>
  <c r="AS12" i="7"/>
  <c r="AT12" i="7" s="1"/>
  <c r="AP12" i="7"/>
  <c r="AL12" i="7"/>
  <c r="AH12" i="7"/>
  <c r="AD12" i="7"/>
  <c r="Z12" i="7"/>
  <c r="V12" i="7"/>
  <c r="R12" i="7"/>
  <c r="N12" i="7"/>
  <c r="J12" i="7"/>
  <c r="F12" i="7"/>
  <c r="HR11" i="7"/>
  <c r="HM11" i="7"/>
  <c r="HI11" i="7"/>
  <c r="HE11" i="7"/>
  <c r="GT11" i="7"/>
  <c r="GP11" i="7"/>
  <c r="GL11" i="7"/>
  <c r="GH11" i="7"/>
  <c r="GD11" i="7"/>
  <c r="FU11" i="7"/>
  <c r="FV11" i="7" s="1"/>
  <c r="FR11" i="7"/>
  <c r="FN11" i="7"/>
  <c r="FJ11" i="7"/>
  <c r="FF11" i="7"/>
  <c r="FA11" i="7"/>
  <c r="FB11" i="7" s="1"/>
  <c r="EX11" i="7"/>
  <c r="ES11" i="7"/>
  <c r="ET11" i="7" s="1"/>
  <c r="EO11" i="7"/>
  <c r="EP11" i="7" s="1"/>
  <c r="EL11" i="7"/>
  <c r="EG11" i="7"/>
  <c r="EH11" i="7" s="1"/>
  <c r="ED11" i="7"/>
  <c r="DY11" i="7"/>
  <c r="DZ11" i="7" s="1"/>
  <c r="DU11" i="7"/>
  <c r="DV11" i="7" s="1"/>
  <c r="DR11" i="7"/>
  <c r="DN11" i="7"/>
  <c r="DI11" i="7"/>
  <c r="DJ11" i="7" s="1"/>
  <c r="DF11" i="7"/>
  <c r="DB11" i="7"/>
  <c r="CW11" i="7"/>
  <c r="CX11" i="7" s="1"/>
  <c r="CS11" i="7"/>
  <c r="CT11" i="7" s="1"/>
  <c r="CP11" i="7"/>
  <c r="CK11" i="7"/>
  <c r="CL11" i="7" s="1"/>
  <c r="CG11" i="7"/>
  <c r="CF11" i="7"/>
  <c r="GV11" i="7" s="1"/>
  <c r="CD11" i="7"/>
  <c r="BY11" i="7"/>
  <c r="BZ11" i="7" s="1"/>
  <c r="BU11" i="7"/>
  <c r="BV11" i="7" s="1"/>
  <c r="BR11" i="7"/>
  <c r="BM11" i="7"/>
  <c r="BN11" i="7" s="1"/>
  <c r="BI11" i="7"/>
  <c r="BE11" i="7"/>
  <c r="BF11" i="7" s="1"/>
  <c r="BA11" i="7"/>
  <c r="BB11" i="7" s="1"/>
  <c r="AW11" i="7"/>
  <c r="AX11" i="7" s="1"/>
  <c r="AS11" i="7"/>
  <c r="AT11" i="7" s="1"/>
  <c r="AP11" i="7"/>
  <c r="AL11" i="7"/>
  <c r="AG11" i="7"/>
  <c r="HJ11" i="7" s="1"/>
  <c r="AC11" i="7"/>
  <c r="AD11" i="7" s="1"/>
  <c r="Z11" i="7"/>
  <c r="V11" i="7"/>
  <c r="Q11" i="7"/>
  <c r="N11" i="7"/>
  <c r="J11" i="7"/>
  <c r="F11" i="7"/>
  <c r="HR10" i="7"/>
  <c r="HM10" i="7"/>
  <c r="HE10" i="7"/>
  <c r="GT10" i="7"/>
  <c r="GP10" i="7"/>
  <c r="GL10" i="7"/>
  <c r="GH10" i="7"/>
  <c r="GD10" i="7"/>
  <c r="FV10" i="7"/>
  <c r="FR10" i="7"/>
  <c r="FN10" i="7"/>
  <c r="FJ10" i="7"/>
  <c r="FF10" i="7"/>
  <c r="FA10" i="7"/>
  <c r="FB10" i="7" s="1"/>
  <c r="EX10" i="7"/>
  <c r="ET10" i="7"/>
  <c r="EO10" i="7"/>
  <c r="EP10" i="7" s="1"/>
  <c r="EL10" i="7"/>
  <c r="EG10" i="7"/>
  <c r="EH10" i="7" s="1"/>
  <c r="ED10" i="7"/>
  <c r="DY10" i="7"/>
  <c r="DZ10" i="7" s="1"/>
  <c r="DU10" i="7"/>
  <c r="DV10" i="7" s="1"/>
  <c r="DR10" i="7"/>
  <c r="DN10" i="7"/>
  <c r="DI10" i="7"/>
  <c r="DJ10" i="7" s="1"/>
  <c r="DF10" i="7"/>
  <c r="DA10" i="7"/>
  <c r="DB10" i="7" s="1"/>
  <c r="CW10" i="7"/>
  <c r="CX10" i="7" s="1"/>
  <c r="CS10" i="7"/>
  <c r="CT10" i="7" s="1"/>
  <c r="CP10" i="7"/>
  <c r="CK10" i="7"/>
  <c r="CL10" i="7" s="1"/>
  <c r="CG10" i="7"/>
  <c r="CF10" i="7"/>
  <c r="HA10" i="7" s="1"/>
  <c r="CD10" i="7"/>
  <c r="BZ10" i="7"/>
  <c r="BU10" i="7"/>
  <c r="BV10" i="7" s="1"/>
  <c r="BQ10" i="7"/>
  <c r="BR10" i="7" s="1"/>
  <c r="BM10" i="7"/>
  <c r="BN10" i="7" s="1"/>
  <c r="BI10" i="7"/>
  <c r="BJ10" i="7" s="1"/>
  <c r="BE10" i="7"/>
  <c r="BF10" i="7" s="1"/>
  <c r="BA10" i="7"/>
  <c r="BB10" i="7" s="1"/>
  <c r="AW10" i="7"/>
  <c r="AS10" i="7"/>
  <c r="AT10" i="7" s="1"/>
  <c r="AP10" i="7"/>
  <c r="AL10" i="7"/>
  <c r="AF10" i="7"/>
  <c r="AH10" i="7" s="1"/>
  <c r="AD10" i="7"/>
  <c r="Z10" i="7"/>
  <c r="T10" i="7"/>
  <c r="R10" i="7"/>
  <c r="N10" i="7"/>
  <c r="J10" i="7"/>
  <c r="F10" i="7"/>
  <c r="HR9" i="7"/>
  <c r="HM9" i="7"/>
  <c r="HJ9" i="7"/>
  <c r="HE9" i="7"/>
  <c r="GT9" i="7"/>
  <c r="GP9" i="7"/>
  <c r="GL9" i="7"/>
  <c r="GH9" i="7"/>
  <c r="GD9" i="7"/>
  <c r="FU9" i="7"/>
  <c r="FV9" i="7" s="1"/>
  <c r="FR9" i="7"/>
  <c r="FN9" i="7"/>
  <c r="FJ9" i="7"/>
  <c r="FF9" i="7"/>
  <c r="FA9" i="7"/>
  <c r="FB9" i="7" s="1"/>
  <c r="EX9" i="7"/>
  <c r="ES9" i="7"/>
  <c r="ET9" i="7" s="1"/>
  <c r="EP9" i="7"/>
  <c r="EL9" i="7"/>
  <c r="EG9" i="7"/>
  <c r="EH9" i="7" s="1"/>
  <c r="ED9" i="7"/>
  <c r="DY9" i="7"/>
  <c r="DZ9" i="7" s="1"/>
  <c r="DU9" i="7"/>
  <c r="DV9" i="7" s="1"/>
  <c r="DR9" i="7"/>
  <c r="DN9" i="7"/>
  <c r="DI9" i="7"/>
  <c r="DJ9" i="7" s="1"/>
  <c r="DF9" i="7"/>
  <c r="DA9" i="7"/>
  <c r="DB9" i="7" s="1"/>
  <c r="CW9" i="7"/>
  <c r="CX9" i="7" s="1"/>
  <c r="CS9" i="7"/>
  <c r="CT9" i="7" s="1"/>
  <c r="CP9" i="7"/>
  <c r="CK9" i="7"/>
  <c r="CL9" i="7" s="1"/>
  <c r="CG9" i="7"/>
  <c r="CF9" i="7"/>
  <c r="HA9" i="7" s="1"/>
  <c r="CD9" i="7"/>
  <c r="BY9" i="7"/>
  <c r="BZ9" i="7" s="1"/>
  <c r="BU9" i="7"/>
  <c r="BV9" i="7" s="1"/>
  <c r="BR9" i="7"/>
  <c r="BM9" i="7"/>
  <c r="BN9" i="7" s="1"/>
  <c r="BI9" i="7"/>
  <c r="BJ9" i="7" s="1"/>
  <c r="BF9" i="7"/>
  <c r="BA9" i="7"/>
  <c r="BB9" i="7" s="1"/>
  <c r="AX9" i="7"/>
  <c r="AS9" i="7"/>
  <c r="AT9" i="7" s="1"/>
  <c r="AO9" i="7"/>
  <c r="AP9" i="7" s="1"/>
  <c r="AK9" i="7"/>
  <c r="AL9" i="7" s="1"/>
  <c r="AF9" i="7"/>
  <c r="AH9" i="7" s="1"/>
  <c r="AC9" i="7"/>
  <c r="AD9" i="7" s="1"/>
  <c r="Z9" i="7"/>
  <c r="T9" i="7"/>
  <c r="Q9" i="7"/>
  <c r="R9" i="7" s="1"/>
  <c r="N9" i="7"/>
  <c r="J9" i="7"/>
  <c r="F9" i="7"/>
  <c r="HR8" i="7"/>
  <c r="HM8" i="7"/>
  <c r="HJ8" i="7"/>
  <c r="HI8" i="7"/>
  <c r="HE8" i="7"/>
  <c r="GT8" i="7"/>
  <c r="GP8" i="7"/>
  <c r="GL8" i="7"/>
  <c r="GH8" i="7"/>
  <c r="GD8" i="7"/>
  <c r="FU8" i="7"/>
  <c r="FV8" i="7" s="1"/>
  <c r="FR8" i="7"/>
  <c r="FN8" i="7"/>
  <c r="FJ8" i="7"/>
  <c r="FF8" i="7"/>
  <c r="FA8" i="7"/>
  <c r="FB8" i="7" s="1"/>
  <c r="EX8" i="7"/>
  <c r="ET8" i="7"/>
  <c r="EO8" i="7"/>
  <c r="EP8" i="7" s="1"/>
  <c r="EL8" i="7"/>
  <c r="EG8" i="7"/>
  <c r="EH8" i="7" s="1"/>
  <c r="ED8" i="7"/>
  <c r="DY8" i="7"/>
  <c r="DZ8" i="7" s="1"/>
  <c r="DU8" i="7"/>
  <c r="DV8" i="7" s="1"/>
  <c r="DR8" i="7"/>
  <c r="DN8" i="7"/>
  <c r="DI8" i="7"/>
  <c r="DJ8" i="7" s="1"/>
  <c r="DF8" i="7"/>
  <c r="DA8" i="7"/>
  <c r="DB8" i="7" s="1"/>
  <c r="CW8" i="7"/>
  <c r="CX8" i="7" s="1"/>
  <c r="CS8" i="7"/>
  <c r="CT8" i="7" s="1"/>
  <c r="CP8" i="7"/>
  <c r="CK8" i="7"/>
  <c r="CL8" i="7" s="1"/>
  <c r="CG8" i="7"/>
  <c r="CF8" i="7"/>
  <c r="GV8" i="7" s="1"/>
  <c r="CD8" i="7"/>
  <c r="BY8" i="7"/>
  <c r="BZ8" i="7" s="1"/>
  <c r="BU8" i="7"/>
  <c r="BV8" i="7" s="1"/>
  <c r="BR8" i="7"/>
  <c r="BN8" i="7"/>
  <c r="BI8" i="7"/>
  <c r="BE8" i="7"/>
  <c r="BB8" i="7"/>
  <c r="AX8" i="7"/>
  <c r="AT8" i="7"/>
  <c r="AP8" i="7"/>
  <c r="AL8" i="7"/>
  <c r="AH8" i="7"/>
  <c r="AC8" i="7"/>
  <c r="AD8" i="7" s="1"/>
  <c r="Z8" i="7"/>
  <c r="V8" i="7"/>
  <c r="Q8" i="7"/>
  <c r="R8" i="7" s="1"/>
  <c r="N8" i="7"/>
  <c r="J8" i="7"/>
  <c r="F8" i="7"/>
  <c r="HR7" i="7"/>
  <c r="HM7" i="7"/>
  <c r="HJ7" i="7"/>
  <c r="HI7" i="7"/>
  <c r="HF7" i="7"/>
  <c r="HE7" i="7"/>
  <c r="GT7" i="7"/>
  <c r="GO7" i="7"/>
  <c r="GP7" i="7" s="1"/>
  <c r="GL7" i="7"/>
  <c r="GH7" i="7"/>
  <c r="GD7" i="7"/>
  <c r="FU7" i="7"/>
  <c r="FV7" i="7" s="1"/>
  <c r="FR7" i="7"/>
  <c r="FN7" i="7"/>
  <c r="FI7" i="7"/>
  <c r="FJ7" i="7" s="1"/>
  <c r="FF7" i="7"/>
  <c r="FA7" i="7"/>
  <c r="FB7" i="7" s="1"/>
  <c r="EX7" i="7"/>
  <c r="ET7" i="7"/>
  <c r="EO7" i="7"/>
  <c r="EP7" i="7" s="1"/>
  <c r="EL7" i="7"/>
  <c r="EG7" i="7"/>
  <c r="EH7" i="7" s="1"/>
  <c r="ED7" i="7"/>
  <c r="DZ7" i="7"/>
  <c r="DU7" i="7"/>
  <c r="DV7" i="7" s="1"/>
  <c r="DQ7" i="7"/>
  <c r="DP7" i="7"/>
  <c r="DN7" i="7"/>
  <c r="DI7" i="7"/>
  <c r="DJ7" i="7" s="1"/>
  <c r="DF7" i="7"/>
  <c r="DB7" i="7"/>
  <c r="CW7" i="7"/>
  <c r="CX7" i="7" s="1"/>
  <c r="CS7" i="7"/>
  <c r="CT7" i="7" s="1"/>
  <c r="CP7" i="7"/>
  <c r="CL7" i="7"/>
  <c r="CG7" i="7"/>
  <c r="CF7" i="7"/>
  <c r="CD7" i="7"/>
  <c r="BZ7" i="7"/>
  <c r="BV7" i="7"/>
  <c r="BR7" i="7"/>
  <c r="BN7" i="7"/>
  <c r="BI7" i="7"/>
  <c r="BJ7" i="7" s="1"/>
  <c r="BE7" i="7"/>
  <c r="HS7" i="7" s="1"/>
  <c r="BA7" i="7"/>
  <c r="BB7" i="7" s="1"/>
  <c r="AX7" i="7"/>
  <c r="AT7" i="7"/>
  <c r="AO7" i="7"/>
  <c r="AN7" i="7"/>
  <c r="AK7" i="7"/>
  <c r="AL7" i="7" s="1"/>
  <c r="AH7" i="7"/>
  <c r="AD7" i="7"/>
  <c r="Z7" i="7"/>
  <c r="V7" i="7"/>
  <c r="R7" i="7"/>
  <c r="N7" i="7"/>
  <c r="J7" i="7"/>
  <c r="F7" i="7"/>
  <c r="HR6" i="7"/>
  <c r="HM6" i="7"/>
  <c r="HE6" i="7"/>
  <c r="GT6" i="7"/>
  <c r="GP6" i="7"/>
  <c r="GL6" i="7"/>
  <c r="GH6" i="7"/>
  <c r="GD6" i="7"/>
  <c r="FU6" i="7"/>
  <c r="FV6" i="7" s="1"/>
  <c r="FR6" i="7"/>
  <c r="FN6" i="7"/>
  <c r="FJ6" i="7"/>
  <c r="FF6" i="7"/>
  <c r="FA6" i="7"/>
  <c r="FB6" i="7" s="1"/>
  <c r="EX6" i="7"/>
  <c r="ES6" i="7"/>
  <c r="ET6" i="7" s="1"/>
  <c r="EO6" i="7"/>
  <c r="EP6" i="7" s="1"/>
  <c r="EL6" i="7"/>
  <c r="EG6" i="7"/>
  <c r="EH6" i="7" s="1"/>
  <c r="ED6" i="7"/>
  <c r="DY6" i="7"/>
  <c r="DZ6" i="7" s="1"/>
  <c r="DU6" i="7"/>
  <c r="DV6" i="7" s="1"/>
  <c r="DR6" i="7"/>
  <c r="DM6" i="7"/>
  <c r="DI6" i="7"/>
  <c r="DJ6" i="7" s="1"/>
  <c r="DE6" i="7"/>
  <c r="DA6" i="7"/>
  <c r="CW6" i="7"/>
  <c r="CX6" i="7" s="1"/>
  <c r="CS6" i="7"/>
  <c r="CT6" i="7" s="1"/>
  <c r="CO6" i="7"/>
  <c r="CK6" i="7"/>
  <c r="CL6" i="7" s="1"/>
  <c r="CG6" i="7"/>
  <c r="CF6" i="7"/>
  <c r="HA6" i="7" s="1"/>
  <c r="CD6" i="7"/>
  <c r="BY6" i="7"/>
  <c r="BU6" i="7"/>
  <c r="BV6" i="7" s="1"/>
  <c r="BR6" i="7"/>
  <c r="BM6" i="7"/>
  <c r="BN6" i="7" s="1"/>
  <c r="BI6" i="7"/>
  <c r="BJ6" i="7" s="1"/>
  <c r="BF6" i="7"/>
  <c r="BB6" i="7"/>
  <c r="AX6" i="7"/>
  <c r="AS6" i="7"/>
  <c r="AP6" i="7"/>
  <c r="AL6" i="7"/>
  <c r="AF6" i="7"/>
  <c r="AC6" i="7"/>
  <c r="Z6" i="7"/>
  <c r="V6" i="7"/>
  <c r="R6" i="7"/>
  <c r="N6" i="7"/>
  <c r="J6" i="7"/>
  <c r="F6" i="7"/>
  <c r="HR5" i="7"/>
  <c r="HM5" i="7"/>
  <c r="HE5" i="7"/>
  <c r="GT5" i="7"/>
  <c r="GP5" i="7"/>
  <c r="GL5" i="7"/>
  <c r="GH5" i="7"/>
  <c r="GD5" i="7"/>
  <c r="FU5" i="7"/>
  <c r="FV5" i="7" s="1"/>
  <c r="FR5" i="7"/>
  <c r="FN5" i="7"/>
  <c r="FI5" i="7"/>
  <c r="FF5" i="7"/>
  <c r="FA5" i="7"/>
  <c r="FB5" i="7" s="1"/>
  <c r="EX5" i="7"/>
  <c r="ET5" i="7"/>
  <c r="EO5" i="7"/>
  <c r="EP5" i="7" s="1"/>
  <c r="EL5" i="7"/>
  <c r="EG5" i="7"/>
  <c r="EH5" i="7" s="1"/>
  <c r="ED5" i="7"/>
  <c r="DZ5" i="7"/>
  <c r="DU5" i="7"/>
  <c r="DV5" i="7" s="1"/>
  <c r="DR5" i="7"/>
  <c r="DN5" i="7"/>
  <c r="DI5" i="7"/>
  <c r="DJ5" i="7" s="1"/>
  <c r="DF5" i="7"/>
  <c r="DB5" i="7"/>
  <c r="CW5" i="7"/>
  <c r="CX5" i="7" s="1"/>
  <c r="CS5" i="7"/>
  <c r="CT5" i="7" s="1"/>
  <c r="CP5" i="7"/>
  <c r="CK5" i="7"/>
  <c r="CL5" i="7" s="1"/>
  <c r="CG5" i="7"/>
  <c r="CF5" i="7"/>
  <c r="CD5" i="7"/>
  <c r="BZ5" i="7"/>
  <c r="BU5" i="7"/>
  <c r="BV5" i="7" s="1"/>
  <c r="BQ5" i="7"/>
  <c r="BM5" i="7"/>
  <c r="BI5" i="7"/>
  <c r="BJ5" i="7" s="1"/>
  <c r="BE5" i="7"/>
  <c r="BF5" i="7" s="1"/>
  <c r="BB5" i="7"/>
  <c r="AX5" i="7"/>
  <c r="AT5" i="7"/>
  <c r="AO5" i="7"/>
  <c r="AP5" i="7" s="1"/>
  <c r="AL5" i="7"/>
  <c r="AF5" i="7"/>
  <c r="AH5" i="7" s="1"/>
  <c r="AD5" i="7"/>
  <c r="Z5" i="7"/>
  <c r="T5" i="7"/>
  <c r="R5" i="7"/>
  <c r="N5" i="7"/>
  <c r="J5" i="7"/>
  <c r="F5" i="7"/>
  <c r="HR4" i="7"/>
  <c r="HM4" i="7"/>
  <c r="HJ4" i="7"/>
  <c r="GT4" i="7"/>
  <c r="GO4" i="7"/>
  <c r="GL4" i="7"/>
  <c r="GH4" i="7"/>
  <c r="GD4" i="7"/>
  <c r="FU4" i="7"/>
  <c r="FV4" i="7" s="1"/>
  <c r="FR4" i="7"/>
  <c r="FN4" i="7"/>
  <c r="FJ4" i="7"/>
  <c r="FF4" i="7"/>
  <c r="FA4" i="7"/>
  <c r="FB4" i="7" s="1"/>
  <c r="EX4" i="7"/>
  <c r="ES4" i="7"/>
  <c r="HF4" i="7" s="1"/>
  <c r="EO4" i="7"/>
  <c r="EL4" i="7"/>
  <c r="EG4" i="7"/>
  <c r="EH4" i="7" s="1"/>
  <c r="ED4" i="7"/>
  <c r="DZ4" i="7"/>
  <c r="DU4" i="7"/>
  <c r="DV4" i="7" s="1"/>
  <c r="DR4" i="7"/>
  <c r="DN4" i="7"/>
  <c r="DI4" i="7"/>
  <c r="DJ4" i="7" s="1"/>
  <c r="DF4" i="7"/>
  <c r="DB4" i="7"/>
  <c r="CW4" i="7"/>
  <c r="CX4" i="7" s="1"/>
  <c r="CS4" i="7"/>
  <c r="CT4" i="7" s="1"/>
  <c r="CP4" i="7"/>
  <c r="CL4" i="7"/>
  <c r="CG4" i="7"/>
  <c r="CF4" i="7"/>
  <c r="CD4" i="7"/>
  <c r="BZ4" i="7"/>
  <c r="BU4" i="7"/>
  <c r="BR4" i="7"/>
  <c r="BN4" i="7"/>
  <c r="BI4" i="7"/>
  <c r="BE4" i="7"/>
  <c r="BA4" i="7"/>
  <c r="AX4" i="7"/>
  <c r="AT4" i="7"/>
  <c r="AO4" i="7"/>
  <c r="AK4" i="7"/>
  <c r="AF4" i="7"/>
  <c r="AB4" i="7"/>
  <c r="Z4" i="7"/>
  <c r="T4" i="7"/>
  <c r="V4" i="7" s="1"/>
  <c r="P4" i="7"/>
  <c r="R4" i="7" s="1"/>
  <c r="N4" i="7"/>
  <c r="J4" i="7"/>
  <c r="F4" i="7"/>
  <c r="BK147" i="6"/>
  <c r="BH147" i="6"/>
  <c r="BG147" i="6"/>
  <c r="BC147" i="6"/>
  <c r="AV147" i="6"/>
  <c r="AU147" i="6"/>
  <c r="AQ147" i="6"/>
  <c r="AM147" i="6"/>
  <c r="AI147" i="6"/>
  <c r="AF147" i="6"/>
  <c r="AE147" i="6"/>
  <c r="AB147" i="6"/>
  <c r="AA147" i="6"/>
  <c r="W147" i="6"/>
  <c r="T147" i="6"/>
  <c r="S147" i="6"/>
  <c r="O147" i="6"/>
  <c r="K147" i="6"/>
  <c r="G147" i="6"/>
  <c r="D147" i="6"/>
  <c r="BX146" i="6"/>
  <c r="BV146" i="6"/>
  <c r="BR146" i="6"/>
  <c r="BQ146" i="6"/>
  <c r="BY146" i="6" s="1"/>
  <c r="BZ146" i="6" s="1"/>
  <c r="BN146" i="6"/>
  <c r="BU145" i="6"/>
  <c r="BT145" i="6"/>
  <c r="BV145" i="6" s="1"/>
  <c r="BQ145" i="6"/>
  <c r="BP145" i="6"/>
  <c r="BR145" i="6" s="1"/>
  <c r="BN145" i="6"/>
  <c r="BM145" i="6"/>
  <c r="BL145" i="6"/>
  <c r="BJ145" i="6"/>
  <c r="BI145" i="6"/>
  <c r="AS145" i="6"/>
  <c r="AR145" i="6"/>
  <c r="AO145" i="6"/>
  <c r="BY145" i="6" s="1"/>
  <c r="AN145" i="6"/>
  <c r="BX144" i="6"/>
  <c r="BV144" i="6"/>
  <c r="BU144" i="6"/>
  <c r="BT144" i="6"/>
  <c r="BR144" i="6"/>
  <c r="BQ144" i="6"/>
  <c r="BP144" i="6"/>
  <c r="BM144" i="6"/>
  <c r="BL144" i="6"/>
  <c r="BN144" i="6" s="1"/>
  <c r="BI144" i="6"/>
  <c r="BJ144" i="6" s="1"/>
  <c r="BF144" i="6"/>
  <c r="BE144" i="6"/>
  <c r="BD144" i="6"/>
  <c r="BA144" i="6"/>
  <c r="AZ144" i="6"/>
  <c r="BB144" i="6" s="1"/>
  <c r="AW144" i="6"/>
  <c r="AX144" i="6" s="1"/>
  <c r="AT144" i="6"/>
  <c r="AS144" i="6"/>
  <c r="AR144" i="6"/>
  <c r="AO144" i="6"/>
  <c r="AN144" i="6"/>
  <c r="AP144" i="6" s="1"/>
  <c r="AK144" i="6"/>
  <c r="AL144" i="6" s="1"/>
  <c r="AH144" i="6"/>
  <c r="AG144" i="6"/>
  <c r="AC144" i="6"/>
  <c r="AD144" i="6" s="1"/>
  <c r="Z144" i="6"/>
  <c r="Y144" i="6"/>
  <c r="U144" i="6"/>
  <c r="V144" i="6" s="1"/>
  <c r="R144" i="6"/>
  <c r="Q144" i="6"/>
  <c r="M144" i="6"/>
  <c r="N144" i="6" s="1"/>
  <c r="J144" i="6"/>
  <c r="I144" i="6"/>
  <c r="E144" i="6"/>
  <c r="F144" i="6" s="1"/>
  <c r="BU143" i="6"/>
  <c r="BT143" i="6"/>
  <c r="BV143" i="6" s="1"/>
  <c r="BQ143" i="6"/>
  <c r="BP143" i="6"/>
  <c r="BR143" i="6" s="1"/>
  <c r="BN143" i="6"/>
  <c r="BM143" i="6"/>
  <c r="BL143" i="6"/>
  <c r="BJ143" i="6"/>
  <c r="BI143" i="6"/>
  <c r="BE143" i="6"/>
  <c r="BD143" i="6"/>
  <c r="BF143" i="6" s="1"/>
  <c r="BB143" i="6"/>
  <c r="BA143" i="6"/>
  <c r="AZ143" i="6"/>
  <c r="AX143" i="6"/>
  <c r="AW143" i="6"/>
  <c r="AS143" i="6"/>
  <c r="AR143" i="6"/>
  <c r="AT143" i="6" s="1"/>
  <c r="AP143" i="6"/>
  <c r="AO143" i="6"/>
  <c r="AN143" i="6"/>
  <c r="AL143" i="6"/>
  <c r="AK143" i="6"/>
  <c r="AG143" i="6"/>
  <c r="AH143" i="6" s="1"/>
  <c r="AD143" i="6"/>
  <c r="AC143" i="6"/>
  <c r="Y143" i="6"/>
  <c r="Z143" i="6" s="1"/>
  <c r="V143" i="6"/>
  <c r="U143" i="6"/>
  <c r="Q143" i="6"/>
  <c r="R143" i="6" s="1"/>
  <c r="N143" i="6"/>
  <c r="M143" i="6"/>
  <c r="I143" i="6"/>
  <c r="J143" i="6" s="1"/>
  <c r="F143" i="6"/>
  <c r="E143" i="6"/>
  <c r="BY143" i="6" s="1"/>
  <c r="BX142" i="6"/>
  <c r="BV142" i="6"/>
  <c r="BU142" i="6"/>
  <c r="BT142" i="6"/>
  <c r="BR142" i="6"/>
  <c r="BQ142" i="6"/>
  <c r="BP142" i="6"/>
  <c r="BM142" i="6"/>
  <c r="BL142" i="6"/>
  <c r="BN142" i="6" s="1"/>
  <c r="BI142" i="6"/>
  <c r="BJ142" i="6" s="1"/>
  <c r="BF142" i="6"/>
  <c r="BE142" i="6"/>
  <c r="BD142" i="6"/>
  <c r="BA142" i="6"/>
  <c r="AZ142" i="6"/>
  <c r="BB142" i="6" s="1"/>
  <c r="AW142" i="6"/>
  <c r="AX142" i="6" s="1"/>
  <c r="AT142" i="6"/>
  <c r="AS142" i="6"/>
  <c r="AR142" i="6"/>
  <c r="AO142" i="6"/>
  <c r="AN142" i="6"/>
  <c r="AP142" i="6" s="1"/>
  <c r="AK142" i="6"/>
  <c r="AL142" i="6" s="1"/>
  <c r="AH142" i="6"/>
  <c r="AG142" i="6"/>
  <c r="AC142" i="6"/>
  <c r="AD142" i="6" s="1"/>
  <c r="Z142" i="6"/>
  <c r="Y142" i="6"/>
  <c r="U142" i="6"/>
  <c r="V142" i="6" s="1"/>
  <c r="R142" i="6"/>
  <c r="Q142" i="6"/>
  <c r="M142" i="6"/>
  <c r="N142" i="6" s="1"/>
  <c r="J142" i="6"/>
  <c r="I142" i="6"/>
  <c r="E142" i="6"/>
  <c r="F142" i="6" s="1"/>
  <c r="BU141" i="6"/>
  <c r="BT141" i="6"/>
  <c r="BV141" i="6" s="1"/>
  <c r="BQ141" i="6"/>
  <c r="BP141" i="6"/>
  <c r="BR141" i="6" s="1"/>
  <c r="BN141" i="6"/>
  <c r="BM141" i="6"/>
  <c r="BL141" i="6"/>
  <c r="BJ141" i="6"/>
  <c r="BI141" i="6"/>
  <c r="BE141" i="6"/>
  <c r="BD141" i="6"/>
  <c r="BF141" i="6" s="1"/>
  <c r="BB141" i="6"/>
  <c r="BA141" i="6"/>
  <c r="AZ141" i="6"/>
  <c r="AX141" i="6"/>
  <c r="AW141" i="6"/>
  <c r="AS141" i="6"/>
  <c r="AR141" i="6"/>
  <c r="AT141" i="6" s="1"/>
  <c r="AP141" i="6"/>
  <c r="AO141" i="6"/>
  <c r="AN141" i="6"/>
  <c r="AL141" i="6"/>
  <c r="AK141" i="6"/>
  <c r="AG141" i="6"/>
  <c r="AH141" i="6" s="1"/>
  <c r="AD141" i="6"/>
  <c r="AC141" i="6"/>
  <c r="Y141" i="6"/>
  <c r="X141" i="6"/>
  <c r="V141" i="6"/>
  <c r="U141" i="6"/>
  <c r="T141" i="6"/>
  <c r="R141" i="6"/>
  <c r="Q141" i="6"/>
  <c r="P141" i="6"/>
  <c r="M141" i="6"/>
  <c r="L141" i="6"/>
  <c r="N141" i="6" s="1"/>
  <c r="I141" i="6"/>
  <c r="H141" i="6"/>
  <c r="F141" i="6"/>
  <c r="E141" i="6"/>
  <c r="BU140" i="6"/>
  <c r="BT140" i="6"/>
  <c r="BR140" i="6"/>
  <c r="BQ140" i="6"/>
  <c r="BP140" i="6"/>
  <c r="BN140" i="6"/>
  <c r="BM140" i="6"/>
  <c r="BL140" i="6"/>
  <c r="BI140" i="6"/>
  <c r="BJ140" i="6" s="1"/>
  <c r="BF140" i="6"/>
  <c r="BE140" i="6"/>
  <c r="BD140" i="6"/>
  <c r="BB140" i="6"/>
  <c r="BA140" i="6"/>
  <c r="AZ140" i="6"/>
  <c r="AW140" i="6"/>
  <c r="AX140" i="6" s="1"/>
  <c r="AT140" i="6"/>
  <c r="AS140" i="6"/>
  <c r="AR140" i="6"/>
  <c r="AP140" i="6"/>
  <c r="AO140" i="6"/>
  <c r="AN140" i="6"/>
  <c r="AK140" i="6"/>
  <c r="AL140" i="6" s="1"/>
  <c r="AH140" i="6"/>
  <c r="AG140" i="6"/>
  <c r="AC140" i="6"/>
  <c r="AD140" i="6" s="1"/>
  <c r="Z140" i="6"/>
  <c r="Y140" i="6"/>
  <c r="U140" i="6"/>
  <c r="V140" i="6" s="1"/>
  <c r="R140" i="6"/>
  <c r="Q140" i="6"/>
  <c r="M140" i="6"/>
  <c r="N140" i="6" s="1"/>
  <c r="J140" i="6"/>
  <c r="I140" i="6"/>
  <c r="E140" i="6"/>
  <c r="BV139" i="6"/>
  <c r="BU139" i="6"/>
  <c r="BT139" i="6"/>
  <c r="BQ139" i="6"/>
  <c r="BP139" i="6"/>
  <c r="BM139" i="6"/>
  <c r="BL139" i="6"/>
  <c r="BN139" i="6" s="1"/>
  <c r="BJ139" i="6"/>
  <c r="BI139" i="6"/>
  <c r="BE139" i="6"/>
  <c r="BD139" i="6"/>
  <c r="BA139" i="6"/>
  <c r="AZ139" i="6"/>
  <c r="BB139" i="6" s="1"/>
  <c r="AX139" i="6"/>
  <c r="AW139" i="6"/>
  <c r="AS139" i="6"/>
  <c r="AR139" i="6"/>
  <c r="AO139" i="6"/>
  <c r="AN139" i="6"/>
  <c r="AL139" i="6"/>
  <c r="AK139" i="6"/>
  <c r="AG139" i="6"/>
  <c r="AH139" i="6" s="1"/>
  <c r="AD139" i="6"/>
  <c r="AC139" i="6"/>
  <c r="Y139" i="6"/>
  <c r="Z139" i="6" s="1"/>
  <c r="V139" i="6"/>
  <c r="U139" i="6"/>
  <c r="Q139" i="6"/>
  <c r="R139" i="6" s="1"/>
  <c r="N139" i="6"/>
  <c r="M139" i="6"/>
  <c r="I139" i="6"/>
  <c r="J139" i="6" s="1"/>
  <c r="F139" i="6"/>
  <c r="E139" i="6"/>
  <c r="BU138" i="6"/>
  <c r="BT138" i="6"/>
  <c r="BR138" i="6"/>
  <c r="BQ138" i="6"/>
  <c r="BP138" i="6"/>
  <c r="BN138" i="6"/>
  <c r="BM138" i="6"/>
  <c r="BL138" i="6"/>
  <c r="BI138" i="6"/>
  <c r="BJ138" i="6" s="1"/>
  <c r="BF138" i="6"/>
  <c r="BE138" i="6"/>
  <c r="BD138" i="6"/>
  <c r="BB138" i="6"/>
  <c r="BA138" i="6"/>
  <c r="AZ138" i="6"/>
  <c r="AW138" i="6"/>
  <c r="AX138" i="6" s="1"/>
  <c r="AT138" i="6"/>
  <c r="AS138" i="6"/>
  <c r="AR138" i="6"/>
  <c r="AP138" i="6"/>
  <c r="AO138" i="6"/>
  <c r="AN138" i="6"/>
  <c r="AK138" i="6"/>
  <c r="AL138" i="6" s="1"/>
  <c r="AH138" i="6"/>
  <c r="AG138" i="6"/>
  <c r="AC138" i="6"/>
  <c r="AD138" i="6" s="1"/>
  <c r="Z138" i="6"/>
  <c r="Y138" i="6"/>
  <c r="U138" i="6"/>
  <c r="V138" i="6" s="1"/>
  <c r="R138" i="6"/>
  <c r="Q138" i="6"/>
  <c r="M138" i="6"/>
  <c r="N138" i="6" s="1"/>
  <c r="J138" i="6"/>
  <c r="I138" i="6"/>
  <c r="E138" i="6"/>
  <c r="F138" i="6" s="1"/>
  <c r="BV137" i="6"/>
  <c r="BU137" i="6"/>
  <c r="BT137" i="6"/>
  <c r="BQ137" i="6"/>
  <c r="BP137" i="6"/>
  <c r="BR137" i="6" s="1"/>
  <c r="BM137" i="6"/>
  <c r="BL137" i="6"/>
  <c r="BN137" i="6" s="1"/>
  <c r="BJ137" i="6"/>
  <c r="BI137" i="6"/>
  <c r="BE137" i="6"/>
  <c r="BD137" i="6"/>
  <c r="BF137" i="6" s="1"/>
  <c r="BA137" i="6"/>
  <c r="AZ137" i="6"/>
  <c r="BB137" i="6" s="1"/>
  <c r="AX137" i="6"/>
  <c r="AW137" i="6"/>
  <c r="AS137" i="6"/>
  <c r="AR137" i="6"/>
  <c r="AT137" i="6" s="1"/>
  <c r="AO137" i="6"/>
  <c r="AN137" i="6"/>
  <c r="AL137" i="6"/>
  <c r="AK137" i="6"/>
  <c r="AG137" i="6"/>
  <c r="AH137" i="6" s="1"/>
  <c r="AD137" i="6"/>
  <c r="AC137" i="6"/>
  <c r="Y137" i="6"/>
  <c r="Z137" i="6" s="1"/>
  <c r="V137" i="6"/>
  <c r="U137" i="6"/>
  <c r="Q137" i="6"/>
  <c r="R137" i="6" s="1"/>
  <c r="N137" i="6"/>
  <c r="M137" i="6"/>
  <c r="I137" i="6"/>
  <c r="J137" i="6" s="1"/>
  <c r="F137" i="6"/>
  <c r="E137" i="6"/>
  <c r="BU136" i="6"/>
  <c r="BT136" i="6"/>
  <c r="BR136" i="6"/>
  <c r="BQ136" i="6"/>
  <c r="BP136" i="6"/>
  <c r="BM136" i="6"/>
  <c r="BN136" i="6" s="1"/>
  <c r="BL136" i="6"/>
  <c r="BI136" i="6"/>
  <c r="BJ136" i="6" s="1"/>
  <c r="BF136" i="6"/>
  <c r="BE136" i="6"/>
  <c r="BD136" i="6"/>
  <c r="BB136" i="6"/>
  <c r="BA136" i="6"/>
  <c r="AZ136" i="6"/>
  <c r="AW136" i="6"/>
  <c r="AX136" i="6" s="1"/>
  <c r="AT136" i="6"/>
  <c r="AS136" i="6"/>
  <c r="AR136" i="6"/>
  <c r="AO136" i="6"/>
  <c r="AP136" i="6" s="1"/>
  <c r="AN136" i="6"/>
  <c r="AK136" i="6"/>
  <c r="AL136" i="6" s="1"/>
  <c r="AH136" i="6"/>
  <c r="AG136" i="6"/>
  <c r="AC136" i="6"/>
  <c r="AD136" i="6" s="1"/>
  <c r="Z136" i="6"/>
  <c r="Y136" i="6"/>
  <c r="U136" i="6"/>
  <c r="V136" i="6" s="1"/>
  <c r="R136" i="6"/>
  <c r="Q136" i="6"/>
  <c r="M136" i="6"/>
  <c r="N136" i="6" s="1"/>
  <c r="J136" i="6"/>
  <c r="I136" i="6"/>
  <c r="E136" i="6"/>
  <c r="F136" i="6" s="1"/>
  <c r="BV135" i="6"/>
  <c r="BU135" i="6"/>
  <c r="BT135" i="6"/>
  <c r="BQ135" i="6"/>
  <c r="BP135" i="6"/>
  <c r="BR135" i="6" s="1"/>
  <c r="BM135" i="6"/>
  <c r="BL135" i="6"/>
  <c r="BN135" i="6" s="1"/>
  <c r="BJ135" i="6"/>
  <c r="BI135" i="6"/>
  <c r="BE135" i="6"/>
  <c r="BD135" i="6"/>
  <c r="BF135" i="6" s="1"/>
  <c r="BA135" i="6"/>
  <c r="AZ135" i="6"/>
  <c r="BB135" i="6" s="1"/>
  <c r="AX135" i="6"/>
  <c r="AW135" i="6"/>
  <c r="AS135" i="6"/>
  <c r="AR135" i="6"/>
  <c r="AT135" i="6" s="1"/>
  <c r="AO135" i="6"/>
  <c r="AN135" i="6"/>
  <c r="AL135" i="6"/>
  <c r="AK135" i="6"/>
  <c r="AG135" i="6"/>
  <c r="AH135" i="6" s="1"/>
  <c r="AD135" i="6"/>
  <c r="AC135" i="6"/>
  <c r="Y135" i="6"/>
  <c r="Z135" i="6" s="1"/>
  <c r="V135" i="6"/>
  <c r="U135" i="6"/>
  <c r="Q135" i="6"/>
  <c r="R135" i="6" s="1"/>
  <c r="N135" i="6"/>
  <c r="M135" i="6"/>
  <c r="I135" i="6"/>
  <c r="J135" i="6" s="1"/>
  <c r="F135" i="6"/>
  <c r="E135" i="6"/>
  <c r="BY135" i="6" s="1"/>
  <c r="BU134" i="6"/>
  <c r="BT134" i="6"/>
  <c r="BR134" i="6"/>
  <c r="BQ134" i="6"/>
  <c r="BP134" i="6"/>
  <c r="BN134" i="6"/>
  <c r="BM134" i="6"/>
  <c r="BL134" i="6"/>
  <c r="BI134" i="6"/>
  <c r="BJ134" i="6" s="1"/>
  <c r="BF134" i="6"/>
  <c r="BE134" i="6"/>
  <c r="BD134" i="6"/>
  <c r="BA134" i="6"/>
  <c r="BB134" i="6" s="1"/>
  <c r="AZ134" i="6"/>
  <c r="AW134" i="6"/>
  <c r="AX134" i="6" s="1"/>
  <c r="AT134" i="6"/>
  <c r="AS134" i="6"/>
  <c r="AR134" i="6"/>
  <c r="AP134" i="6"/>
  <c r="AO134" i="6"/>
  <c r="AN134" i="6"/>
  <c r="AK134" i="6"/>
  <c r="AL134" i="6" s="1"/>
  <c r="AH134" i="6"/>
  <c r="AG134" i="6"/>
  <c r="AC134" i="6"/>
  <c r="AD134" i="6" s="1"/>
  <c r="Z134" i="6"/>
  <c r="Y134" i="6"/>
  <c r="U134" i="6"/>
  <c r="V134" i="6" s="1"/>
  <c r="R134" i="6"/>
  <c r="Q134" i="6"/>
  <c r="M134" i="6"/>
  <c r="N134" i="6" s="1"/>
  <c r="I134" i="6"/>
  <c r="J134" i="6" s="1"/>
  <c r="E134" i="6"/>
  <c r="BY134" i="6" s="1"/>
  <c r="BU133" i="6"/>
  <c r="BT133" i="6"/>
  <c r="BV133" i="6" s="1"/>
  <c r="BQ133" i="6"/>
  <c r="BR133" i="6" s="1"/>
  <c r="BP133" i="6"/>
  <c r="BN133" i="6"/>
  <c r="BM133" i="6"/>
  <c r="BL133" i="6"/>
  <c r="BI133" i="6"/>
  <c r="BJ133" i="6" s="1"/>
  <c r="BE133" i="6"/>
  <c r="BF133" i="6" s="1"/>
  <c r="BD133" i="6"/>
  <c r="BB133" i="6"/>
  <c r="BA133" i="6"/>
  <c r="AZ133" i="6"/>
  <c r="AW133" i="6"/>
  <c r="AX133" i="6" s="1"/>
  <c r="AS133" i="6"/>
  <c r="AT133" i="6" s="1"/>
  <c r="AR133" i="6"/>
  <c r="AP133" i="6"/>
  <c r="AO133" i="6"/>
  <c r="AN133" i="6"/>
  <c r="BX133" i="6" s="1"/>
  <c r="AK133" i="6"/>
  <c r="AL133" i="6" s="1"/>
  <c r="AG133" i="6"/>
  <c r="AH133" i="6" s="1"/>
  <c r="AC133" i="6"/>
  <c r="AD133" i="6" s="1"/>
  <c r="Y133" i="6"/>
  <c r="Z133" i="6" s="1"/>
  <c r="U133" i="6"/>
  <c r="V133" i="6" s="1"/>
  <c r="Q133" i="6"/>
  <c r="R133" i="6" s="1"/>
  <c r="M133" i="6"/>
  <c r="N133" i="6" s="1"/>
  <c r="I133" i="6"/>
  <c r="J133" i="6" s="1"/>
  <c r="E133" i="6"/>
  <c r="F133" i="6" s="1"/>
  <c r="BV132" i="6"/>
  <c r="BU132" i="6"/>
  <c r="BT132" i="6"/>
  <c r="BQ132" i="6"/>
  <c r="BP132" i="6"/>
  <c r="BM132" i="6"/>
  <c r="BL132" i="6"/>
  <c r="BN132" i="6" s="1"/>
  <c r="BI132" i="6"/>
  <c r="BJ132" i="6" s="1"/>
  <c r="BE132" i="6"/>
  <c r="BD132" i="6"/>
  <c r="BF132" i="6" s="1"/>
  <c r="BA132" i="6"/>
  <c r="AZ132" i="6"/>
  <c r="BB132" i="6" s="1"/>
  <c r="AW132" i="6"/>
  <c r="AX132" i="6" s="1"/>
  <c r="AS132" i="6"/>
  <c r="AR132" i="6"/>
  <c r="AT132" i="6" s="1"/>
  <c r="AO132" i="6"/>
  <c r="AN132" i="6"/>
  <c r="AK132" i="6"/>
  <c r="AL132" i="6" s="1"/>
  <c r="AG132" i="6"/>
  <c r="AH132" i="6" s="1"/>
  <c r="AC132" i="6"/>
  <c r="AD132" i="6" s="1"/>
  <c r="Y132" i="6"/>
  <c r="Z132" i="6" s="1"/>
  <c r="U132" i="6"/>
  <c r="V132" i="6" s="1"/>
  <c r="Q132" i="6"/>
  <c r="R132" i="6" s="1"/>
  <c r="M132" i="6"/>
  <c r="N132" i="6" s="1"/>
  <c r="I132" i="6"/>
  <c r="J132" i="6" s="1"/>
  <c r="E132" i="6"/>
  <c r="F132" i="6" s="1"/>
  <c r="BU131" i="6"/>
  <c r="BT131" i="6"/>
  <c r="BV131" i="6" s="1"/>
  <c r="BQ131" i="6"/>
  <c r="BR131" i="6" s="1"/>
  <c r="BP131" i="6"/>
  <c r="BN131" i="6"/>
  <c r="BM131" i="6"/>
  <c r="BL131" i="6"/>
  <c r="BI131" i="6"/>
  <c r="BJ131" i="6" s="1"/>
  <c r="BE131" i="6"/>
  <c r="BF131" i="6" s="1"/>
  <c r="BD131" i="6"/>
  <c r="BB131" i="6"/>
  <c r="BA131" i="6"/>
  <c r="AZ131" i="6"/>
  <c r="AW131" i="6"/>
  <c r="AX131" i="6" s="1"/>
  <c r="AS131" i="6"/>
  <c r="AT131" i="6" s="1"/>
  <c r="AR131" i="6"/>
  <c r="AP131" i="6"/>
  <c r="AO131" i="6"/>
  <c r="AN131" i="6"/>
  <c r="BX131" i="6" s="1"/>
  <c r="AK131" i="6"/>
  <c r="AL131" i="6" s="1"/>
  <c r="AG131" i="6"/>
  <c r="AH131" i="6" s="1"/>
  <c r="AC131" i="6"/>
  <c r="AD131" i="6" s="1"/>
  <c r="Y131" i="6"/>
  <c r="Z131" i="6" s="1"/>
  <c r="U131" i="6"/>
  <c r="V131" i="6" s="1"/>
  <c r="Q131" i="6"/>
  <c r="R131" i="6" s="1"/>
  <c r="M131" i="6"/>
  <c r="N131" i="6" s="1"/>
  <c r="I131" i="6"/>
  <c r="J131" i="6" s="1"/>
  <c r="E131" i="6"/>
  <c r="F131" i="6" s="1"/>
  <c r="BV130" i="6"/>
  <c r="BU130" i="6"/>
  <c r="BT130" i="6"/>
  <c r="BQ130" i="6"/>
  <c r="BP130" i="6"/>
  <c r="BM130" i="6"/>
  <c r="BL130" i="6"/>
  <c r="BN130" i="6" s="1"/>
  <c r="BI130" i="6"/>
  <c r="BJ130" i="6" s="1"/>
  <c r="BE130" i="6"/>
  <c r="BD130" i="6"/>
  <c r="BA130" i="6"/>
  <c r="AZ130" i="6"/>
  <c r="BB130" i="6" s="1"/>
  <c r="AW130" i="6"/>
  <c r="AX130" i="6" s="1"/>
  <c r="AS130" i="6"/>
  <c r="AR130" i="6"/>
  <c r="AT130" i="6" s="1"/>
  <c r="AO130" i="6"/>
  <c r="AN130" i="6"/>
  <c r="AK130" i="6"/>
  <c r="AL130" i="6" s="1"/>
  <c r="AG130" i="6"/>
  <c r="AH130" i="6" s="1"/>
  <c r="AC130" i="6"/>
  <c r="AD130" i="6" s="1"/>
  <c r="Y130" i="6"/>
  <c r="Z130" i="6" s="1"/>
  <c r="U130" i="6"/>
  <c r="V130" i="6" s="1"/>
  <c r="Q130" i="6"/>
  <c r="R130" i="6" s="1"/>
  <c r="M130" i="6"/>
  <c r="N130" i="6" s="1"/>
  <c r="I130" i="6"/>
  <c r="J130" i="6" s="1"/>
  <c r="E130" i="6"/>
  <c r="F130" i="6" s="1"/>
  <c r="BU129" i="6"/>
  <c r="BT129" i="6"/>
  <c r="BV129" i="6" s="1"/>
  <c r="BQ129" i="6"/>
  <c r="BR129" i="6" s="1"/>
  <c r="BP129" i="6"/>
  <c r="BN129" i="6"/>
  <c r="BM129" i="6"/>
  <c r="BL129" i="6"/>
  <c r="BI129" i="6"/>
  <c r="BJ129" i="6" s="1"/>
  <c r="BE129" i="6"/>
  <c r="BF129" i="6" s="1"/>
  <c r="BD129" i="6"/>
  <c r="BB129" i="6"/>
  <c r="BA129" i="6"/>
  <c r="AZ129" i="6"/>
  <c r="AW129" i="6"/>
  <c r="AX129" i="6" s="1"/>
  <c r="AS129" i="6"/>
  <c r="AT129" i="6" s="1"/>
  <c r="AR129" i="6"/>
  <c r="AP129" i="6"/>
  <c r="AO129" i="6"/>
  <c r="AN129" i="6"/>
  <c r="BX129" i="6" s="1"/>
  <c r="AK129" i="6"/>
  <c r="AL129" i="6" s="1"/>
  <c r="AG129" i="6"/>
  <c r="AH129" i="6" s="1"/>
  <c r="AC129" i="6"/>
  <c r="AD129" i="6" s="1"/>
  <c r="Y129" i="6"/>
  <c r="Z129" i="6" s="1"/>
  <c r="U129" i="6"/>
  <c r="V129" i="6" s="1"/>
  <c r="Q129" i="6"/>
  <c r="R129" i="6" s="1"/>
  <c r="M129" i="6"/>
  <c r="N129" i="6" s="1"/>
  <c r="I129" i="6"/>
  <c r="J129" i="6" s="1"/>
  <c r="E129" i="6"/>
  <c r="F129" i="6" s="1"/>
  <c r="BV128" i="6"/>
  <c r="BU128" i="6"/>
  <c r="BT128" i="6"/>
  <c r="BQ128" i="6"/>
  <c r="BP128" i="6"/>
  <c r="BR128" i="6" s="1"/>
  <c r="BM128" i="6"/>
  <c r="BL128" i="6"/>
  <c r="BN128" i="6" s="1"/>
  <c r="BI128" i="6"/>
  <c r="BJ128" i="6" s="1"/>
  <c r="BE128" i="6"/>
  <c r="BD128" i="6"/>
  <c r="BA128" i="6"/>
  <c r="AZ128" i="6"/>
  <c r="BB128" i="6" s="1"/>
  <c r="AW128" i="6"/>
  <c r="AX128" i="6" s="1"/>
  <c r="AS128" i="6"/>
  <c r="AR128" i="6"/>
  <c r="AT128" i="6" s="1"/>
  <c r="AO128" i="6"/>
  <c r="AN128" i="6"/>
  <c r="AK128" i="6"/>
  <c r="AL128" i="6" s="1"/>
  <c r="AG128" i="6"/>
  <c r="AH128" i="6" s="1"/>
  <c r="AC128" i="6"/>
  <c r="AD128" i="6" s="1"/>
  <c r="Y128" i="6"/>
  <c r="Z128" i="6" s="1"/>
  <c r="U128" i="6"/>
  <c r="V128" i="6" s="1"/>
  <c r="Q128" i="6"/>
  <c r="R128" i="6" s="1"/>
  <c r="M128" i="6"/>
  <c r="N128" i="6" s="1"/>
  <c r="I128" i="6"/>
  <c r="J128" i="6" s="1"/>
  <c r="E128" i="6"/>
  <c r="F128" i="6" s="1"/>
  <c r="BU127" i="6"/>
  <c r="BT127" i="6"/>
  <c r="BV127" i="6" s="1"/>
  <c r="BQ127" i="6"/>
  <c r="BR127" i="6" s="1"/>
  <c r="BP127" i="6"/>
  <c r="BN127" i="6"/>
  <c r="BM127" i="6"/>
  <c r="BL127" i="6"/>
  <c r="BI127" i="6"/>
  <c r="BJ127" i="6" s="1"/>
  <c r="BE127" i="6"/>
  <c r="BF127" i="6" s="1"/>
  <c r="BD127" i="6"/>
  <c r="BB127" i="6"/>
  <c r="BA127" i="6"/>
  <c r="AZ127" i="6"/>
  <c r="AW127" i="6"/>
  <c r="AX127" i="6" s="1"/>
  <c r="AS127" i="6"/>
  <c r="AT127" i="6" s="1"/>
  <c r="AR127" i="6"/>
  <c r="AP127" i="6"/>
  <c r="AO127" i="6"/>
  <c r="AN127" i="6"/>
  <c r="AK127" i="6"/>
  <c r="AL127" i="6" s="1"/>
  <c r="AG127" i="6"/>
  <c r="AH127" i="6" s="1"/>
  <c r="AC127" i="6"/>
  <c r="AD127" i="6" s="1"/>
  <c r="Y127" i="6"/>
  <c r="Z127" i="6" s="1"/>
  <c r="U127" i="6"/>
  <c r="V127" i="6" s="1"/>
  <c r="Q127" i="6"/>
  <c r="R127" i="6" s="1"/>
  <c r="M127" i="6"/>
  <c r="N127" i="6" s="1"/>
  <c r="I127" i="6"/>
  <c r="J127" i="6" s="1"/>
  <c r="E127" i="6"/>
  <c r="F127" i="6" s="1"/>
  <c r="BV126" i="6"/>
  <c r="BU126" i="6"/>
  <c r="BT126" i="6"/>
  <c r="BQ126" i="6"/>
  <c r="BP126" i="6"/>
  <c r="BM126" i="6"/>
  <c r="BL126" i="6"/>
  <c r="BN126" i="6" s="1"/>
  <c r="BI126" i="6"/>
  <c r="BJ126" i="6" s="1"/>
  <c r="BE126" i="6"/>
  <c r="BD126" i="6"/>
  <c r="BF126" i="6" s="1"/>
  <c r="BA126" i="6"/>
  <c r="AZ126" i="6"/>
  <c r="BB126" i="6" s="1"/>
  <c r="AW126" i="6"/>
  <c r="AX126" i="6" s="1"/>
  <c r="AS126" i="6"/>
  <c r="AR126" i="6"/>
  <c r="AO126" i="6"/>
  <c r="AN126" i="6"/>
  <c r="AK126" i="6"/>
  <c r="AL126" i="6" s="1"/>
  <c r="AG126" i="6"/>
  <c r="AH126" i="6" s="1"/>
  <c r="AC126" i="6"/>
  <c r="AD126" i="6" s="1"/>
  <c r="Y126" i="6"/>
  <c r="Z126" i="6" s="1"/>
  <c r="U126" i="6"/>
  <c r="V126" i="6" s="1"/>
  <c r="Q126" i="6"/>
  <c r="R126" i="6" s="1"/>
  <c r="M126" i="6"/>
  <c r="N126" i="6" s="1"/>
  <c r="I126" i="6"/>
  <c r="J126" i="6" s="1"/>
  <c r="E126" i="6"/>
  <c r="F126" i="6" s="1"/>
  <c r="BU125" i="6"/>
  <c r="BT125" i="6"/>
  <c r="BV125" i="6" s="1"/>
  <c r="BQ125" i="6"/>
  <c r="BR125" i="6" s="1"/>
  <c r="BP125" i="6"/>
  <c r="BN125" i="6"/>
  <c r="BM125" i="6"/>
  <c r="BL125" i="6"/>
  <c r="BI125" i="6"/>
  <c r="BJ125" i="6" s="1"/>
  <c r="BE125" i="6"/>
  <c r="BF125" i="6" s="1"/>
  <c r="BD125" i="6"/>
  <c r="BA125" i="6"/>
  <c r="AZ125" i="6"/>
  <c r="BB125" i="6" s="1"/>
  <c r="AW125" i="6"/>
  <c r="AX125" i="6" s="1"/>
  <c r="AS125" i="6"/>
  <c r="AT125" i="6" s="1"/>
  <c r="AR125" i="6"/>
  <c r="AP125" i="6"/>
  <c r="AO125" i="6"/>
  <c r="AN125" i="6"/>
  <c r="AK125" i="6"/>
  <c r="AL125" i="6" s="1"/>
  <c r="AG125" i="6"/>
  <c r="AH125" i="6" s="1"/>
  <c r="AC125" i="6"/>
  <c r="AD125" i="6" s="1"/>
  <c r="Y125" i="6"/>
  <c r="Z125" i="6" s="1"/>
  <c r="U125" i="6"/>
  <c r="V125" i="6" s="1"/>
  <c r="Q125" i="6"/>
  <c r="R125" i="6" s="1"/>
  <c r="M125" i="6"/>
  <c r="N125" i="6" s="1"/>
  <c r="I125" i="6"/>
  <c r="J125" i="6" s="1"/>
  <c r="E125" i="6"/>
  <c r="F125" i="6" s="1"/>
  <c r="BV124" i="6"/>
  <c r="BU124" i="6"/>
  <c r="BT124" i="6"/>
  <c r="BQ124" i="6"/>
  <c r="BP124" i="6"/>
  <c r="BM124" i="6"/>
  <c r="BL124" i="6"/>
  <c r="BN124" i="6" s="1"/>
  <c r="BI124" i="6"/>
  <c r="BJ124" i="6" s="1"/>
  <c r="BE124" i="6"/>
  <c r="BD124" i="6"/>
  <c r="BB124" i="6"/>
  <c r="BA124" i="6"/>
  <c r="AZ124" i="6"/>
  <c r="AW124" i="6"/>
  <c r="AX124" i="6" s="1"/>
  <c r="AS124" i="6"/>
  <c r="AR124" i="6"/>
  <c r="AO124" i="6"/>
  <c r="AN124" i="6"/>
  <c r="AK124" i="6"/>
  <c r="AL124" i="6" s="1"/>
  <c r="AG124" i="6"/>
  <c r="AH124" i="6" s="1"/>
  <c r="AC124" i="6"/>
  <c r="AD124" i="6" s="1"/>
  <c r="Y124" i="6"/>
  <c r="Z124" i="6" s="1"/>
  <c r="V124" i="6"/>
  <c r="U124" i="6"/>
  <c r="Q124" i="6"/>
  <c r="R124" i="6" s="1"/>
  <c r="M124" i="6"/>
  <c r="N124" i="6" s="1"/>
  <c r="I124" i="6"/>
  <c r="J124" i="6" s="1"/>
  <c r="F124" i="6"/>
  <c r="E124" i="6"/>
  <c r="BU123" i="6"/>
  <c r="BT123" i="6"/>
  <c r="BV123" i="6" s="1"/>
  <c r="BQ123" i="6"/>
  <c r="BP123" i="6"/>
  <c r="BM123" i="6"/>
  <c r="BL123" i="6"/>
  <c r="BN123" i="6" s="1"/>
  <c r="BI123" i="6"/>
  <c r="BJ123" i="6" s="1"/>
  <c r="BE123" i="6"/>
  <c r="BD123" i="6"/>
  <c r="BF123" i="6" s="1"/>
  <c r="BB123" i="6"/>
  <c r="BA123" i="6"/>
  <c r="AZ123" i="6"/>
  <c r="AW123" i="6"/>
  <c r="AX123" i="6" s="1"/>
  <c r="AS123" i="6"/>
  <c r="AR123" i="6"/>
  <c r="AO123" i="6"/>
  <c r="AN123" i="6"/>
  <c r="AK123" i="6"/>
  <c r="AL123" i="6" s="1"/>
  <c r="AG123" i="6"/>
  <c r="AH123" i="6" s="1"/>
  <c r="AC123" i="6"/>
  <c r="AD123" i="6" s="1"/>
  <c r="Y123" i="6"/>
  <c r="Z123" i="6" s="1"/>
  <c r="U123" i="6"/>
  <c r="V123" i="6" s="1"/>
  <c r="Q123" i="6"/>
  <c r="R123" i="6" s="1"/>
  <c r="M123" i="6"/>
  <c r="N123" i="6" s="1"/>
  <c r="I123" i="6"/>
  <c r="E123" i="6"/>
  <c r="F123" i="6" s="1"/>
  <c r="BV122" i="6"/>
  <c r="BU122" i="6"/>
  <c r="BT122" i="6"/>
  <c r="BQ122" i="6"/>
  <c r="BR122" i="6" s="1"/>
  <c r="BP122" i="6"/>
  <c r="BN122" i="6"/>
  <c r="BM122" i="6"/>
  <c r="BL122" i="6"/>
  <c r="BI122" i="6"/>
  <c r="BJ122" i="6" s="1"/>
  <c r="BE122" i="6"/>
  <c r="BF122" i="6" s="1"/>
  <c r="BD122" i="6"/>
  <c r="BA122" i="6"/>
  <c r="AZ122" i="6"/>
  <c r="BB122" i="6" s="1"/>
  <c r="AW122" i="6"/>
  <c r="AX122" i="6" s="1"/>
  <c r="AS122" i="6"/>
  <c r="AT122" i="6" s="1"/>
  <c r="AR122" i="6"/>
  <c r="AP122" i="6"/>
  <c r="AO122" i="6"/>
  <c r="AN122" i="6"/>
  <c r="AK122" i="6"/>
  <c r="AL122" i="6" s="1"/>
  <c r="AG122" i="6"/>
  <c r="AH122" i="6" s="1"/>
  <c r="AC122" i="6"/>
  <c r="AD122" i="6" s="1"/>
  <c r="Y122" i="6"/>
  <c r="Z122" i="6" s="1"/>
  <c r="U122" i="6"/>
  <c r="V122" i="6" s="1"/>
  <c r="Q122" i="6"/>
  <c r="R122" i="6" s="1"/>
  <c r="M122" i="6"/>
  <c r="N122" i="6" s="1"/>
  <c r="I122" i="6"/>
  <c r="J122" i="6" s="1"/>
  <c r="E122" i="6"/>
  <c r="BU121" i="6"/>
  <c r="BT121" i="6"/>
  <c r="BV121" i="6" s="1"/>
  <c r="BQ121" i="6"/>
  <c r="BP121" i="6"/>
  <c r="BM121" i="6"/>
  <c r="BL121" i="6"/>
  <c r="BN121" i="6" s="1"/>
  <c r="BI121" i="6"/>
  <c r="BJ121" i="6" s="1"/>
  <c r="BE121" i="6"/>
  <c r="BD121" i="6"/>
  <c r="BF121" i="6" s="1"/>
  <c r="BB121" i="6"/>
  <c r="BA121" i="6"/>
  <c r="AZ121" i="6"/>
  <c r="AW121" i="6"/>
  <c r="AX121" i="6" s="1"/>
  <c r="AS121" i="6"/>
  <c r="AR121" i="6"/>
  <c r="AO121" i="6"/>
  <c r="AN121" i="6"/>
  <c r="AK121" i="6"/>
  <c r="AL121" i="6" s="1"/>
  <c r="AG121" i="6"/>
  <c r="AH121" i="6" s="1"/>
  <c r="AC121" i="6"/>
  <c r="AD121" i="6" s="1"/>
  <c r="Y121" i="6"/>
  <c r="Z121" i="6" s="1"/>
  <c r="U121" i="6"/>
  <c r="V121" i="6" s="1"/>
  <c r="Q121" i="6"/>
  <c r="R121" i="6" s="1"/>
  <c r="M121" i="6"/>
  <c r="N121" i="6" s="1"/>
  <c r="I121" i="6"/>
  <c r="J121" i="6" s="1"/>
  <c r="E121" i="6"/>
  <c r="F121" i="6" s="1"/>
  <c r="BV120" i="6"/>
  <c r="BU120" i="6"/>
  <c r="BT120" i="6"/>
  <c r="BQ120" i="6"/>
  <c r="BR120" i="6" s="1"/>
  <c r="BP120" i="6"/>
  <c r="BN120" i="6"/>
  <c r="BM120" i="6"/>
  <c r="BL120" i="6"/>
  <c r="BI120" i="6"/>
  <c r="BJ120" i="6" s="1"/>
  <c r="BE120" i="6"/>
  <c r="BF120" i="6" s="1"/>
  <c r="BD120" i="6"/>
  <c r="BA120" i="6"/>
  <c r="AZ120" i="6"/>
  <c r="BB120" i="6" s="1"/>
  <c r="AX120" i="6"/>
  <c r="AW120" i="6"/>
  <c r="AT120" i="6"/>
  <c r="AS120" i="6"/>
  <c r="AY120" i="6" s="1"/>
  <c r="AY147" i="6" s="1"/>
  <c r="AR120" i="6"/>
  <c r="AO120" i="6"/>
  <c r="AP120" i="6" s="1"/>
  <c r="AN120" i="6"/>
  <c r="AL120" i="6"/>
  <c r="AK120" i="6"/>
  <c r="AH120" i="6"/>
  <c r="AG120" i="6"/>
  <c r="AD120" i="6"/>
  <c r="AC120" i="6"/>
  <c r="Z120" i="6"/>
  <c r="Y120" i="6"/>
  <c r="V120" i="6"/>
  <c r="U120" i="6"/>
  <c r="R120" i="6"/>
  <c r="Q120" i="6"/>
  <c r="N120" i="6"/>
  <c r="M120" i="6"/>
  <c r="J120" i="6"/>
  <c r="I120" i="6"/>
  <c r="F120" i="6"/>
  <c r="E120" i="6"/>
  <c r="BU119" i="6"/>
  <c r="BV119" i="6" s="1"/>
  <c r="BT119" i="6"/>
  <c r="BQ119" i="6"/>
  <c r="BP119" i="6"/>
  <c r="BR119" i="6" s="1"/>
  <c r="BM119" i="6"/>
  <c r="BL119" i="6"/>
  <c r="BJ119" i="6"/>
  <c r="BI119" i="6"/>
  <c r="BE119" i="6"/>
  <c r="BD119" i="6"/>
  <c r="BF119" i="6" s="1"/>
  <c r="BA119" i="6"/>
  <c r="AZ119" i="6"/>
  <c r="AX119" i="6"/>
  <c r="AW119" i="6"/>
  <c r="AT119" i="6"/>
  <c r="AS119" i="6"/>
  <c r="AR119" i="6"/>
  <c r="AO119" i="6"/>
  <c r="AN119" i="6"/>
  <c r="AL119" i="6"/>
  <c r="AK119" i="6"/>
  <c r="AH119" i="6"/>
  <c r="AG119" i="6"/>
  <c r="AD119" i="6"/>
  <c r="AC119" i="6"/>
  <c r="Z119" i="6"/>
  <c r="Y119" i="6"/>
  <c r="V119" i="6"/>
  <c r="U119" i="6"/>
  <c r="R119" i="6"/>
  <c r="Q119" i="6"/>
  <c r="N119" i="6"/>
  <c r="M119" i="6"/>
  <c r="J119" i="6"/>
  <c r="I119" i="6"/>
  <c r="F119" i="6"/>
  <c r="E119" i="6"/>
  <c r="BU118" i="6"/>
  <c r="BT118" i="6"/>
  <c r="BR118" i="6"/>
  <c r="BQ118" i="6"/>
  <c r="BP118" i="6"/>
  <c r="BM118" i="6"/>
  <c r="BN118" i="6" s="1"/>
  <c r="BL118" i="6"/>
  <c r="BJ118" i="6"/>
  <c r="BI118" i="6"/>
  <c r="BE118" i="6"/>
  <c r="BD118" i="6"/>
  <c r="BF118" i="6" s="1"/>
  <c r="BA118" i="6"/>
  <c r="BB118" i="6" s="1"/>
  <c r="AZ118" i="6"/>
  <c r="AX118" i="6"/>
  <c r="AW118" i="6"/>
  <c r="AS118" i="6"/>
  <c r="AR118" i="6"/>
  <c r="AT118" i="6" s="1"/>
  <c r="AO118" i="6"/>
  <c r="AP118" i="6" s="1"/>
  <c r="AN118" i="6"/>
  <c r="AL118" i="6"/>
  <c r="AK118" i="6"/>
  <c r="AH118" i="6"/>
  <c r="AG118" i="6"/>
  <c r="AD118" i="6"/>
  <c r="AC118" i="6"/>
  <c r="Z118" i="6"/>
  <c r="Y118" i="6"/>
  <c r="V118" i="6"/>
  <c r="U118" i="6"/>
  <c r="R118" i="6"/>
  <c r="Q118" i="6"/>
  <c r="N118" i="6"/>
  <c r="M118" i="6"/>
  <c r="J118" i="6"/>
  <c r="I118" i="6"/>
  <c r="F118" i="6"/>
  <c r="E118" i="6"/>
  <c r="BU117" i="6"/>
  <c r="BV117" i="6" s="1"/>
  <c r="BT117" i="6"/>
  <c r="BR117" i="6"/>
  <c r="BQ117" i="6"/>
  <c r="BP117" i="6"/>
  <c r="BM117" i="6"/>
  <c r="BL117" i="6"/>
  <c r="BN117" i="6" s="1"/>
  <c r="BJ117" i="6"/>
  <c r="BI117" i="6"/>
  <c r="BF117" i="6"/>
  <c r="BE117" i="6"/>
  <c r="BD117" i="6"/>
  <c r="BA117" i="6"/>
  <c r="AZ117" i="6"/>
  <c r="BB117" i="6" s="1"/>
  <c r="AX117" i="6"/>
  <c r="AW117" i="6"/>
  <c r="AS117" i="6"/>
  <c r="AR117" i="6"/>
  <c r="AO117" i="6"/>
  <c r="AN117" i="6"/>
  <c r="AL117" i="6"/>
  <c r="AK117" i="6"/>
  <c r="AH117" i="6"/>
  <c r="AG117" i="6"/>
  <c r="AD117" i="6"/>
  <c r="AC117" i="6"/>
  <c r="Z117" i="6"/>
  <c r="Y117" i="6"/>
  <c r="V117" i="6"/>
  <c r="U117" i="6"/>
  <c r="R117" i="6"/>
  <c r="Q117" i="6"/>
  <c r="N117" i="6"/>
  <c r="M117" i="6"/>
  <c r="J117" i="6"/>
  <c r="I117" i="6"/>
  <c r="F117" i="6"/>
  <c r="E117" i="6"/>
  <c r="BY117" i="6" s="1"/>
  <c r="BU116" i="6"/>
  <c r="BT116" i="6"/>
  <c r="BV116" i="6" s="1"/>
  <c r="BQ116" i="6"/>
  <c r="BP116" i="6"/>
  <c r="BR116" i="6" s="1"/>
  <c r="BM116" i="6"/>
  <c r="BN116" i="6" s="1"/>
  <c r="BL116" i="6"/>
  <c r="BJ116" i="6"/>
  <c r="BI116" i="6"/>
  <c r="BF116" i="6"/>
  <c r="BE116" i="6"/>
  <c r="BD116" i="6"/>
  <c r="BA116" i="6"/>
  <c r="BB116" i="6" s="1"/>
  <c r="AZ116" i="6"/>
  <c r="AX116" i="6"/>
  <c r="AW116" i="6"/>
  <c r="AT116" i="6"/>
  <c r="AS116" i="6"/>
  <c r="AR116" i="6"/>
  <c r="AO116" i="6"/>
  <c r="AP116" i="6" s="1"/>
  <c r="AN116" i="6"/>
  <c r="AL116" i="6"/>
  <c r="AK116" i="6"/>
  <c r="AH116" i="6"/>
  <c r="AG116" i="6"/>
  <c r="AD116" i="6"/>
  <c r="AC116" i="6"/>
  <c r="Z116" i="6"/>
  <c r="Y116" i="6"/>
  <c r="V116" i="6"/>
  <c r="U116" i="6"/>
  <c r="R116" i="6"/>
  <c r="Q116" i="6"/>
  <c r="N116" i="6"/>
  <c r="M116" i="6"/>
  <c r="J116" i="6"/>
  <c r="I116" i="6"/>
  <c r="F116" i="6"/>
  <c r="E116" i="6"/>
  <c r="BU115" i="6"/>
  <c r="BV115" i="6" s="1"/>
  <c r="BT115" i="6"/>
  <c r="BQ115" i="6"/>
  <c r="BP115" i="6"/>
  <c r="BR115" i="6" s="1"/>
  <c r="BM115" i="6"/>
  <c r="BL115" i="6"/>
  <c r="BJ115" i="6"/>
  <c r="BI115" i="6"/>
  <c r="BF115" i="6"/>
  <c r="BE115" i="6"/>
  <c r="BD115" i="6"/>
  <c r="BX115" i="6" s="1"/>
  <c r="BA115" i="6"/>
  <c r="AZ115" i="6"/>
  <c r="BB115" i="6" s="1"/>
  <c r="AX115" i="6"/>
  <c r="AW115" i="6"/>
  <c r="AT115" i="6"/>
  <c r="AS115" i="6"/>
  <c r="AR115" i="6"/>
  <c r="AO115" i="6"/>
  <c r="AN115" i="6"/>
  <c r="AL115" i="6"/>
  <c r="AK115" i="6"/>
  <c r="AH115" i="6"/>
  <c r="AG115" i="6"/>
  <c r="AD115" i="6"/>
  <c r="AC115" i="6"/>
  <c r="Z115" i="6"/>
  <c r="Y115" i="6"/>
  <c r="V115" i="6"/>
  <c r="U115" i="6"/>
  <c r="R115" i="6"/>
  <c r="Q115" i="6"/>
  <c r="N115" i="6"/>
  <c r="M115" i="6"/>
  <c r="J115" i="6"/>
  <c r="I115" i="6"/>
  <c r="F115" i="6"/>
  <c r="E115" i="6"/>
  <c r="BX114" i="6"/>
  <c r="BU114" i="6"/>
  <c r="BT114" i="6"/>
  <c r="BV114" i="6" s="1"/>
  <c r="BR114" i="6"/>
  <c r="BQ114" i="6"/>
  <c r="BP114" i="6"/>
  <c r="BN114" i="6"/>
  <c r="BM114" i="6"/>
  <c r="BL114" i="6"/>
  <c r="BI114" i="6"/>
  <c r="BJ114" i="6" s="1"/>
  <c r="BF114" i="6"/>
  <c r="BE114" i="6"/>
  <c r="BD114" i="6"/>
  <c r="BB114" i="6"/>
  <c r="BA114" i="6"/>
  <c r="AZ114" i="6"/>
  <c r="AW114" i="6"/>
  <c r="AX114" i="6" s="1"/>
  <c r="AT114" i="6"/>
  <c r="AS114" i="6"/>
  <c r="AR114" i="6"/>
  <c r="AO114" i="6"/>
  <c r="AP114" i="6" s="1"/>
  <c r="AN114" i="6"/>
  <c r="AK114" i="6"/>
  <c r="AL114" i="6" s="1"/>
  <c r="AH114" i="6"/>
  <c r="AG114" i="6"/>
  <c r="AC114" i="6"/>
  <c r="AD114" i="6" s="1"/>
  <c r="Z114" i="6"/>
  <c r="Y114" i="6"/>
  <c r="U114" i="6"/>
  <c r="V114" i="6" s="1"/>
  <c r="R114" i="6"/>
  <c r="Q114" i="6"/>
  <c r="M114" i="6"/>
  <c r="N114" i="6" s="1"/>
  <c r="J114" i="6"/>
  <c r="I114" i="6"/>
  <c r="E114" i="6"/>
  <c r="F114" i="6" s="1"/>
  <c r="BX113" i="6"/>
  <c r="BU113" i="6"/>
  <c r="BV113" i="6" s="1"/>
  <c r="BT113" i="6"/>
  <c r="BR113" i="6"/>
  <c r="BQ113" i="6"/>
  <c r="BP113" i="6"/>
  <c r="BM113" i="6"/>
  <c r="BL113" i="6"/>
  <c r="BN113" i="6" s="1"/>
  <c r="BJ113" i="6"/>
  <c r="BI113" i="6"/>
  <c r="BE113" i="6"/>
  <c r="BF113" i="6" s="1"/>
  <c r="BD113" i="6"/>
  <c r="BA113" i="6"/>
  <c r="AZ113" i="6"/>
  <c r="AX113" i="6"/>
  <c r="AW113" i="6"/>
  <c r="AS113" i="6"/>
  <c r="AR113" i="6"/>
  <c r="AT113" i="6" s="1"/>
  <c r="AO113" i="6"/>
  <c r="AN113" i="6"/>
  <c r="AP113" i="6" s="1"/>
  <c r="AL113" i="6"/>
  <c r="AK113" i="6"/>
  <c r="AG113" i="6"/>
  <c r="AH113" i="6" s="1"/>
  <c r="AD113" i="6"/>
  <c r="AC113" i="6"/>
  <c r="Y113" i="6"/>
  <c r="Z113" i="6" s="1"/>
  <c r="V113" i="6"/>
  <c r="U113" i="6"/>
  <c r="Q113" i="6"/>
  <c r="R113" i="6" s="1"/>
  <c r="N113" i="6"/>
  <c r="M113" i="6"/>
  <c r="I113" i="6"/>
  <c r="J113" i="6" s="1"/>
  <c r="F113" i="6"/>
  <c r="E113" i="6"/>
  <c r="BY112" i="6"/>
  <c r="BU112" i="6"/>
  <c r="BT112" i="6"/>
  <c r="BR112" i="6"/>
  <c r="BQ112" i="6"/>
  <c r="BP112" i="6"/>
  <c r="BM112" i="6"/>
  <c r="BN112" i="6" s="1"/>
  <c r="BL112" i="6"/>
  <c r="BJ112" i="6"/>
  <c r="BI112" i="6"/>
  <c r="BF112" i="6"/>
  <c r="BE112" i="6"/>
  <c r="BD112" i="6"/>
  <c r="BA112" i="6"/>
  <c r="BB112" i="6" s="1"/>
  <c r="AZ112" i="6"/>
  <c r="AX112" i="6"/>
  <c r="AW112" i="6"/>
  <c r="AS112" i="6"/>
  <c r="AR112" i="6"/>
  <c r="AO112" i="6"/>
  <c r="AP112" i="6" s="1"/>
  <c r="AN112" i="6"/>
  <c r="AL112" i="6"/>
  <c r="AK112" i="6"/>
  <c r="AH112" i="6"/>
  <c r="AG112" i="6"/>
  <c r="AD112" i="6"/>
  <c r="AC112" i="6"/>
  <c r="Z112" i="6"/>
  <c r="Y112" i="6"/>
  <c r="V112" i="6"/>
  <c r="U112" i="6"/>
  <c r="R112" i="6"/>
  <c r="Q112" i="6"/>
  <c r="N112" i="6"/>
  <c r="M112" i="6"/>
  <c r="J112" i="6"/>
  <c r="I112" i="6"/>
  <c r="F112" i="6"/>
  <c r="E112" i="6"/>
  <c r="BV111" i="6"/>
  <c r="BU111" i="6"/>
  <c r="BT111" i="6"/>
  <c r="BQ111" i="6"/>
  <c r="BR111" i="6" s="1"/>
  <c r="BP111" i="6"/>
  <c r="BM111" i="6"/>
  <c r="BL111" i="6"/>
  <c r="BJ111" i="6"/>
  <c r="BI111" i="6"/>
  <c r="BE111" i="6"/>
  <c r="BD111" i="6"/>
  <c r="BF111" i="6" s="1"/>
  <c r="BA111" i="6"/>
  <c r="AZ111" i="6"/>
  <c r="BB111" i="6" s="1"/>
  <c r="AX111" i="6"/>
  <c r="AW111" i="6"/>
  <c r="AS111" i="6"/>
  <c r="AR111" i="6"/>
  <c r="BX111" i="6" s="1"/>
  <c r="AO111" i="6"/>
  <c r="AN111" i="6"/>
  <c r="AL111" i="6"/>
  <c r="AK111" i="6"/>
  <c r="AH111" i="6"/>
  <c r="AG111" i="6"/>
  <c r="AD111" i="6"/>
  <c r="AC111" i="6"/>
  <c r="Z111" i="6"/>
  <c r="Y111" i="6"/>
  <c r="V111" i="6"/>
  <c r="U111" i="6"/>
  <c r="R111" i="6"/>
  <c r="Q111" i="6"/>
  <c r="N111" i="6"/>
  <c r="M111" i="6"/>
  <c r="J111" i="6"/>
  <c r="I111" i="6"/>
  <c r="F111" i="6"/>
  <c r="E111" i="6"/>
  <c r="BU110" i="6"/>
  <c r="BT110" i="6"/>
  <c r="BQ110" i="6"/>
  <c r="BP110" i="6"/>
  <c r="BR110" i="6" s="1"/>
  <c r="BN110" i="6"/>
  <c r="BM110" i="6"/>
  <c r="BL110" i="6"/>
  <c r="BI110" i="6"/>
  <c r="BJ110" i="6" s="1"/>
  <c r="BE110" i="6"/>
  <c r="BD110" i="6"/>
  <c r="BF110" i="6" s="1"/>
  <c r="BB110" i="6"/>
  <c r="BA110" i="6"/>
  <c r="AZ110" i="6"/>
  <c r="AW110" i="6"/>
  <c r="AX110" i="6" s="1"/>
  <c r="AS110" i="6"/>
  <c r="AR110" i="6"/>
  <c r="AT110" i="6" s="1"/>
  <c r="AP110" i="6"/>
  <c r="AO110" i="6"/>
  <c r="AN110" i="6"/>
  <c r="AL110" i="6"/>
  <c r="AK110" i="6"/>
  <c r="AH110" i="6"/>
  <c r="AG110" i="6"/>
  <c r="AD110" i="6"/>
  <c r="AC110" i="6"/>
  <c r="Z110" i="6"/>
  <c r="Y110" i="6"/>
  <c r="V110" i="6"/>
  <c r="U110" i="6"/>
  <c r="R110" i="6"/>
  <c r="Q110" i="6"/>
  <c r="N110" i="6"/>
  <c r="M110" i="6"/>
  <c r="J110" i="6"/>
  <c r="I110" i="6"/>
  <c r="F110" i="6"/>
  <c r="E110" i="6"/>
  <c r="BV109" i="6"/>
  <c r="BU109" i="6"/>
  <c r="BT109" i="6"/>
  <c r="BQ109" i="6"/>
  <c r="BR109" i="6" s="1"/>
  <c r="BP109" i="6"/>
  <c r="BM109" i="6"/>
  <c r="BL109" i="6"/>
  <c r="BN109" i="6" s="1"/>
  <c r="BJ109" i="6"/>
  <c r="BI109" i="6"/>
  <c r="BE109" i="6"/>
  <c r="BD109" i="6"/>
  <c r="BF109" i="6" s="1"/>
  <c r="BA109" i="6"/>
  <c r="AZ109" i="6"/>
  <c r="AX109" i="6"/>
  <c r="AW109" i="6"/>
  <c r="AT109" i="6"/>
  <c r="AS109" i="6"/>
  <c r="AR109" i="6"/>
  <c r="AO109" i="6"/>
  <c r="AN109" i="6"/>
  <c r="AL109" i="6"/>
  <c r="AK109" i="6"/>
  <c r="AG109" i="6"/>
  <c r="AH109" i="6" s="1"/>
  <c r="AD109" i="6"/>
  <c r="AC109" i="6"/>
  <c r="Y109" i="6"/>
  <c r="Z109" i="6" s="1"/>
  <c r="V109" i="6"/>
  <c r="U109" i="6"/>
  <c r="Q109" i="6"/>
  <c r="R109" i="6" s="1"/>
  <c r="P109" i="6"/>
  <c r="M109" i="6"/>
  <c r="N109" i="6" s="1"/>
  <c r="I109" i="6"/>
  <c r="J109" i="6" s="1"/>
  <c r="E109" i="6"/>
  <c r="BV108" i="6"/>
  <c r="BU108" i="6"/>
  <c r="BT108" i="6"/>
  <c r="BQ108" i="6"/>
  <c r="BP108" i="6"/>
  <c r="BR108" i="6" s="1"/>
  <c r="BM108" i="6"/>
  <c r="BL108" i="6"/>
  <c r="BN108" i="6" s="1"/>
  <c r="BJ108" i="6"/>
  <c r="BI108" i="6"/>
  <c r="BE108" i="6"/>
  <c r="BD108" i="6"/>
  <c r="BB108" i="6"/>
  <c r="BA108" i="6"/>
  <c r="AZ108" i="6"/>
  <c r="AW108" i="6"/>
  <c r="AX108" i="6" s="1"/>
  <c r="AS108" i="6"/>
  <c r="AR108" i="6"/>
  <c r="AT108" i="6" s="1"/>
  <c r="AP108" i="6"/>
  <c r="AO108" i="6"/>
  <c r="AN108" i="6"/>
  <c r="AL108" i="6"/>
  <c r="AK108" i="6"/>
  <c r="AG108" i="6"/>
  <c r="AH108" i="6" s="1"/>
  <c r="AC108" i="6"/>
  <c r="AD108" i="6" s="1"/>
  <c r="Y108" i="6"/>
  <c r="Z108" i="6" s="1"/>
  <c r="V108" i="6"/>
  <c r="U108" i="6"/>
  <c r="Q108" i="6"/>
  <c r="N108" i="6"/>
  <c r="M108" i="6"/>
  <c r="I108" i="6"/>
  <c r="J108" i="6" s="1"/>
  <c r="F108" i="6"/>
  <c r="E108" i="6"/>
  <c r="BV107" i="6"/>
  <c r="BU107" i="6"/>
  <c r="BT107" i="6"/>
  <c r="BQ107" i="6"/>
  <c r="BR107" i="6" s="1"/>
  <c r="BP107" i="6"/>
  <c r="BN107" i="6"/>
  <c r="BM107" i="6"/>
  <c r="BL107" i="6"/>
  <c r="BI107" i="6"/>
  <c r="BJ107" i="6" s="1"/>
  <c r="BF107" i="6"/>
  <c r="BE107" i="6"/>
  <c r="BD107" i="6"/>
  <c r="BA107" i="6"/>
  <c r="BB107" i="6" s="1"/>
  <c r="AZ107" i="6"/>
  <c r="AW107" i="6"/>
  <c r="AX107" i="6" s="1"/>
  <c r="AS107" i="6"/>
  <c r="AT107" i="6" s="1"/>
  <c r="AR107" i="6"/>
  <c r="AO107" i="6"/>
  <c r="AN107" i="6"/>
  <c r="AK107" i="6"/>
  <c r="AL107" i="6" s="1"/>
  <c r="AG107" i="6"/>
  <c r="AH107" i="6" s="1"/>
  <c r="AC107" i="6"/>
  <c r="AD107" i="6" s="1"/>
  <c r="Y107" i="6"/>
  <c r="Z107" i="6" s="1"/>
  <c r="U107" i="6"/>
  <c r="V107" i="6" s="1"/>
  <c r="R107" i="6"/>
  <c r="Q107" i="6"/>
  <c r="M107" i="6"/>
  <c r="N107" i="6" s="1"/>
  <c r="I107" i="6"/>
  <c r="E107" i="6"/>
  <c r="F107" i="6" s="1"/>
  <c r="BV106" i="6"/>
  <c r="BU106" i="6"/>
  <c r="BT106" i="6"/>
  <c r="BQ106" i="6"/>
  <c r="BP106" i="6"/>
  <c r="BR106" i="6" s="1"/>
  <c r="BM106" i="6"/>
  <c r="BL106" i="6"/>
  <c r="BN106" i="6" s="1"/>
  <c r="BJ106" i="6"/>
  <c r="BI106" i="6"/>
  <c r="BE106" i="6"/>
  <c r="BD106" i="6"/>
  <c r="BA106" i="6"/>
  <c r="AZ106" i="6"/>
  <c r="BB106" i="6" s="1"/>
  <c r="AX106" i="6"/>
  <c r="AW106" i="6"/>
  <c r="AS106" i="6"/>
  <c r="AR106" i="6"/>
  <c r="AT106" i="6" s="1"/>
  <c r="AP106" i="6"/>
  <c r="AO106" i="6"/>
  <c r="AN106" i="6"/>
  <c r="AL106" i="6"/>
  <c r="AK106" i="6"/>
  <c r="AG106" i="6"/>
  <c r="AH106" i="6" s="1"/>
  <c r="AC106" i="6"/>
  <c r="AD106" i="6" s="1"/>
  <c r="Y106" i="6"/>
  <c r="Z106" i="6" s="1"/>
  <c r="V106" i="6"/>
  <c r="U106" i="6"/>
  <c r="Q106" i="6"/>
  <c r="R106" i="6" s="1"/>
  <c r="N106" i="6"/>
  <c r="M106" i="6"/>
  <c r="I106" i="6"/>
  <c r="J106" i="6" s="1"/>
  <c r="E106" i="6"/>
  <c r="BU105" i="6"/>
  <c r="BT105" i="6"/>
  <c r="BV105" i="6" s="1"/>
  <c r="BQ105" i="6"/>
  <c r="BR105" i="6" s="1"/>
  <c r="BP105" i="6"/>
  <c r="BN105" i="6"/>
  <c r="BM105" i="6"/>
  <c r="BL105" i="6"/>
  <c r="BI105" i="6"/>
  <c r="BJ105" i="6" s="1"/>
  <c r="BF105" i="6"/>
  <c r="BE105" i="6"/>
  <c r="BD105" i="6"/>
  <c r="BA105" i="6"/>
  <c r="BB105" i="6" s="1"/>
  <c r="AZ105" i="6"/>
  <c r="AW105" i="6"/>
  <c r="AX105" i="6" s="1"/>
  <c r="AS105" i="6"/>
  <c r="AT105" i="6" s="1"/>
  <c r="AR105" i="6"/>
  <c r="AO105" i="6"/>
  <c r="AN105" i="6"/>
  <c r="AP105" i="6" s="1"/>
  <c r="AK105" i="6"/>
  <c r="AL105" i="6" s="1"/>
  <c r="AH105" i="6"/>
  <c r="AG105" i="6"/>
  <c r="AC105" i="6"/>
  <c r="AD105" i="6" s="1"/>
  <c r="Y105" i="6"/>
  <c r="Z105" i="6" s="1"/>
  <c r="U105" i="6"/>
  <c r="V105" i="6" s="1"/>
  <c r="R105" i="6"/>
  <c r="Q105" i="6"/>
  <c r="M105" i="6"/>
  <c r="L105" i="6"/>
  <c r="J105" i="6"/>
  <c r="I105" i="6"/>
  <c r="F105" i="6"/>
  <c r="E105" i="6"/>
  <c r="BY105" i="6" s="1"/>
  <c r="BU104" i="6"/>
  <c r="BV104" i="6" s="1"/>
  <c r="BT104" i="6"/>
  <c r="BQ104" i="6"/>
  <c r="BP104" i="6"/>
  <c r="BR104" i="6" s="1"/>
  <c r="BM104" i="6"/>
  <c r="BL104" i="6"/>
  <c r="BJ104" i="6"/>
  <c r="BI104" i="6"/>
  <c r="BF104" i="6"/>
  <c r="BE104" i="6"/>
  <c r="BD104" i="6"/>
  <c r="BA104" i="6"/>
  <c r="AZ104" i="6"/>
  <c r="BB104" i="6" s="1"/>
  <c r="AX104" i="6"/>
  <c r="AW104" i="6"/>
  <c r="AS104" i="6"/>
  <c r="AT104" i="6" s="1"/>
  <c r="AR104" i="6"/>
  <c r="AO104" i="6"/>
  <c r="AN104" i="6"/>
  <c r="AL104" i="6"/>
  <c r="AK104" i="6"/>
  <c r="AG104" i="6"/>
  <c r="AH104" i="6" s="1"/>
  <c r="AD104" i="6"/>
  <c r="AC104" i="6"/>
  <c r="Y104" i="6"/>
  <c r="Z104" i="6" s="1"/>
  <c r="V104" i="6"/>
  <c r="U104" i="6"/>
  <c r="Q104" i="6"/>
  <c r="R104" i="6" s="1"/>
  <c r="N104" i="6"/>
  <c r="M104" i="6"/>
  <c r="I104" i="6"/>
  <c r="J104" i="6" s="1"/>
  <c r="F104" i="6"/>
  <c r="E104" i="6"/>
  <c r="BX103" i="6"/>
  <c r="BU103" i="6"/>
  <c r="BT103" i="6"/>
  <c r="BV103" i="6" s="1"/>
  <c r="BR103" i="6"/>
  <c r="BQ103" i="6"/>
  <c r="BP103" i="6"/>
  <c r="BM103" i="6"/>
  <c r="BN103" i="6" s="1"/>
  <c r="BL103" i="6"/>
  <c r="BI103" i="6"/>
  <c r="BJ103" i="6" s="1"/>
  <c r="BF103" i="6"/>
  <c r="BE103" i="6"/>
  <c r="BD103" i="6"/>
  <c r="BA103" i="6"/>
  <c r="BB103" i="6" s="1"/>
  <c r="AZ103" i="6"/>
  <c r="AW103" i="6"/>
  <c r="AX103" i="6" s="1"/>
  <c r="AT103" i="6"/>
  <c r="AS103" i="6"/>
  <c r="AR103" i="6"/>
  <c r="AP103" i="6"/>
  <c r="AO103" i="6"/>
  <c r="AN103" i="6"/>
  <c r="AK103" i="6"/>
  <c r="AL103" i="6" s="1"/>
  <c r="AH103" i="6"/>
  <c r="AG103" i="6"/>
  <c r="AC103" i="6"/>
  <c r="AD103" i="6" s="1"/>
  <c r="Z103" i="6"/>
  <c r="Y103" i="6"/>
  <c r="U103" i="6"/>
  <c r="V103" i="6" s="1"/>
  <c r="R103" i="6"/>
  <c r="Q103" i="6"/>
  <c r="M103" i="6"/>
  <c r="N103" i="6" s="1"/>
  <c r="J103" i="6"/>
  <c r="I103" i="6"/>
  <c r="E103" i="6"/>
  <c r="F103" i="6" s="1"/>
  <c r="BU102" i="6"/>
  <c r="BV102" i="6" s="1"/>
  <c r="BT102" i="6"/>
  <c r="BR102" i="6"/>
  <c r="BQ102" i="6"/>
  <c r="BP102" i="6"/>
  <c r="BM102" i="6"/>
  <c r="BL102" i="6"/>
  <c r="BN102" i="6" s="1"/>
  <c r="BJ102" i="6"/>
  <c r="BI102" i="6"/>
  <c r="BE102" i="6"/>
  <c r="BF102" i="6" s="1"/>
  <c r="BD102" i="6"/>
  <c r="BA102" i="6"/>
  <c r="AZ102" i="6"/>
  <c r="BB102" i="6" s="1"/>
  <c r="AX102" i="6"/>
  <c r="AW102" i="6"/>
  <c r="AS102" i="6"/>
  <c r="AR102" i="6"/>
  <c r="AT102" i="6" s="1"/>
  <c r="AO102" i="6"/>
  <c r="AN102" i="6"/>
  <c r="AP102" i="6" s="1"/>
  <c r="AL102" i="6"/>
  <c r="AK102" i="6"/>
  <c r="AJ102" i="6"/>
  <c r="AJ147" i="6" s="1"/>
  <c r="AG102" i="6"/>
  <c r="AH102" i="6" s="1"/>
  <c r="AC102" i="6"/>
  <c r="AD102" i="6" s="1"/>
  <c r="Y102" i="6"/>
  <c r="Z102" i="6" s="1"/>
  <c r="U102" i="6"/>
  <c r="V102" i="6" s="1"/>
  <c r="R102" i="6"/>
  <c r="Q102" i="6"/>
  <c r="M102" i="6"/>
  <c r="N102" i="6" s="1"/>
  <c r="I102" i="6"/>
  <c r="J102" i="6" s="1"/>
  <c r="E102" i="6"/>
  <c r="BV101" i="6"/>
  <c r="BU101" i="6"/>
  <c r="BT101" i="6"/>
  <c r="BQ101" i="6"/>
  <c r="BP101" i="6"/>
  <c r="BR101" i="6" s="1"/>
  <c r="BM101" i="6"/>
  <c r="BL101" i="6"/>
  <c r="BN101" i="6" s="1"/>
  <c r="BJ101" i="6"/>
  <c r="BI101" i="6"/>
  <c r="BE101" i="6"/>
  <c r="BD101" i="6"/>
  <c r="BA101" i="6"/>
  <c r="AZ101" i="6"/>
  <c r="BB101" i="6" s="1"/>
  <c r="AW101" i="6"/>
  <c r="AX101" i="6" s="1"/>
  <c r="AS101" i="6"/>
  <c r="AR101" i="6"/>
  <c r="AT101" i="6" s="1"/>
  <c r="AP101" i="6"/>
  <c r="AO101" i="6"/>
  <c r="AN101" i="6"/>
  <c r="AL101" i="6"/>
  <c r="AK101" i="6"/>
  <c r="AG101" i="6"/>
  <c r="AH101" i="6" s="1"/>
  <c r="AC101" i="6"/>
  <c r="AD101" i="6" s="1"/>
  <c r="Y101" i="6"/>
  <c r="Z101" i="6" s="1"/>
  <c r="V101" i="6"/>
  <c r="U101" i="6"/>
  <c r="Q101" i="6"/>
  <c r="R101" i="6" s="1"/>
  <c r="N101" i="6"/>
  <c r="M101" i="6"/>
  <c r="I101" i="6"/>
  <c r="J101" i="6" s="1"/>
  <c r="E101" i="6"/>
  <c r="BU100" i="6"/>
  <c r="BT100" i="6"/>
  <c r="BV100" i="6" s="1"/>
  <c r="BQ100" i="6"/>
  <c r="BR100" i="6" s="1"/>
  <c r="BP100" i="6"/>
  <c r="BN100" i="6"/>
  <c r="BM100" i="6"/>
  <c r="BL100" i="6"/>
  <c r="BI100" i="6"/>
  <c r="BJ100" i="6" s="1"/>
  <c r="BF100" i="6"/>
  <c r="BE100" i="6"/>
  <c r="BD100" i="6"/>
  <c r="BA100" i="6"/>
  <c r="BB100" i="6" s="1"/>
  <c r="AZ100" i="6"/>
  <c r="AW100" i="6"/>
  <c r="AX100" i="6" s="1"/>
  <c r="AS100" i="6"/>
  <c r="AT100" i="6" s="1"/>
  <c r="AR100" i="6"/>
  <c r="AO100" i="6"/>
  <c r="AN100" i="6"/>
  <c r="AK100" i="6"/>
  <c r="AL100" i="6" s="1"/>
  <c r="AG100" i="6"/>
  <c r="AH100" i="6" s="1"/>
  <c r="AC100" i="6"/>
  <c r="AD100" i="6" s="1"/>
  <c r="Y100" i="6"/>
  <c r="Z100" i="6" s="1"/>
  <c r="U100" i="6"/>
  <c r="V100" i="6" s="1"/>
  <c r="Q100" i="6"/>
  <c r="R100" i="6" s="1"/>
  <c r="M100" i="6"/>
  <c r="N100" i="6" s="1"/>
  <c r="I100" i="6"/>
  <c r="J100" i="6" s="1"/>
  <c r="E100" i="6"/>
  <c r="F100" i="6" s="1"/>
  <c r="BU99" i="6"/>
  <c r="BT99" i="6"/>
  <c r="BV99" i="6" s="1"/>
  <c r="BQ99" i="6"/>
  <c r="BP99" i="6"/>
  <c r="BR99" i="6" s="1"/>
  <c r="BN99" i="6"/>
  <c r="BM99" i="6"/>
  <c r="BL99" i="6"/>
  <c r="BI99" i="6"/>
  <c r="BJ99" i="6" s="1"/>
  <c r="BE99" i="6"/>
  <c r="BD99" i="6"/>
  <c r="BA99" i="6"/>
  <c r="AZ99" i="6"/>
  <c r="BB99" i="6" s="1"/>
  <c r="AW99" i="6"/>
  <c r="AX99" i="6" s="1"/>
  <c r="AS99" i="6"/>
  <c r="AR99" i="6"/>
  <c r="AT99" i="6" s="1"/>
  <c r="AO99" i="6"/>
  <c r="AN99" i="6"/>
  <c r="AL99" i="6"/>
  <c r="AK99" i="6"/>
  <c r="AG99" i="6"/>
  <c r="AH99" i="6" s="1"/>
  <c r="AC99" i="6"/>
  <c r="AD99" i="6" s="1"/>
  <c r="Y99" i="6"/>
  <c r="Z99" i="6" s="1"/>
  <c r="U99" i="6"/>
  <c r="V99" i="6" s="1"/>
  <c r="Q99" i="6"/>
  <c r="R99" i="6" s="1"/>
  <c r="M99" i="6"/>
  <c r="N99" i="6" s="1"/>
  <c r="I99" i="6"/>
  <c r="J99" i="6" s="1"/>
  <c r="F99" i="6"/>
  <c r="E99" i="6"/>
  <c r="BY99" i="6" s="1"/>
  <c r="BV98" i="6"/>
  <c r="BU98" i="6"/>
  <c r="BT98" i="6"/>
  <c r="BQ98" i="6"/>
  <c r="BR98" i="6" s="1"/>
  <c r="BP98" i="6"/>
  <c r="BM98" i="6"/>
  <c r="BL98" i="6"/>
  <c r="BN98" i="6" s="1"/>
  <c r="BI98" i="6"/>
  <c r="BJ98" i="6" s="1"/>
  <c r="BE98" i="6"/>
  <c r="BF98" i="6" s="1"/>
  <c r="BD98" i="6"/>
  <c r="BA98" i="6"/>
  <c r="AZ98" i="6"/>
  <c r="BB98" i="6" s="1"/>
  <c r="AW98" i="6"/>
  <c r="AX98" i="6" s="1"/>
  <c r="AS98" i="6"/>
  <c r="AT98" i="6" s="1"/>
  <c r="AR98" i="6"/>
  <c r="AP98" i="6"/>
  <c r="AO98" i="6"/>
  <c r="AN98" i="6"/>
  <c r="AK98" i="6"/>
  <c r="AL98" i="6" s="1"/>
  <c r="AH98" i="6"/>
  <c r="AG98" i="6"/>
  <c r="AC98" i="6"/>
  <c r="AD98" i="6" s="1"/>
  <c r="Y98" i="6"/>
  <c r="Z98" i="6" s="1"/>
  <c r="U98" i="6"/>
  <c r="V98" i="6" s="1"/>
  <c r="Q98" i="6"/>
  <c r="R98" i="6" s="1"/>
  <c r="M98" i="6"/>
  <c r="N98" i="6" s="1"/>
  <c r="I98" i="6"/>
  <c r="J98" i="6" s="1"/>
  <c r="E98" i="6"/>
  <c r="F98" i="6" s="1"/>
  <c r="BU97" i="6"/>
  <c r="BT97" i="6"/>
  <c r="BV97" i="6" s="1"/>
  <c r="BQ97" i="6"/>
  <c r="BP97" i="6"/>
  <c r="BR97" i="6" s="1"/>
  <c r="BN97" i="6"/>
  <c r="BM97" i="6"/>
  <c r="BL97" i="6"/>
  <c r="BI97" i="6"/>
  <c r="BJ97" i="6" s="1"/>
  <c r="BE97" i="6"/>
  <c r="BD97" i="6"/>
  <c r="BA97" i="6"/>
  <c r="AZ97" i="6"/>
  <c r="BB97" i="6" s="1"/>
  <c r="AW97" i="6"/>
  <c r="AX97" i="6" s="1"/>
  <c r="AS97" i="6"/>
  <c r="AR97" i="6"/>
  <c r="AT97" i="6" s="1"/>
  <c r="AO97" i="6"/>
  <c r="AN97" i="6"/>
  <c r="AL97" i="6"/>
  <c r="AK97" i="6"/>
  <c r="AG97" i="6"/>
  <c r="AH97" i="6" s="1"/>
  <c r="AC97" i="6"/>
  <c r="AD97" i="6" s="1"/>
  <c r="Y97" i="6"/>
  <c r="Z97" i="6" s="1"/>
  <c r="U97" i="6"/>
  <c r="V97" i="6" s="1"/>
  <c r="Q97" i="6"/>
  <c r="R97" i="6" s="1"/>
  <c r="M97" i="6"/>
  <c r="N97" i="6" s="1"/>
  <c r="I97" i="6"/>
  <c r="J97" i="6" s="1"/>
  <c r="F97" i="6"/>
  <c r="E97" i="6"/>
  <c r="BV96" i="6"/>
  <c r="BU96" i="6"/>
  <c r="BT96" i="6"/>
  <c r="BQ96" i="6"/>
  <c r="BR96" i="6" s="1"/>
  <c r="BP96" i="6"/>
  <c r="BM96" i="6"/>
  <c r="BL96" i="6"/>
  <c r="BN96" i="6" s="1"/>
  <c r="BI96" i="6"/>
  <c r="BJ96" i="6" s="1"/>
  <c r="BE96" i="6"/>
  <c r="BF96" i="6" s="1"/>
  <c r="BD96" i="6"/>
  <c r="BA96" i="6"/>
  <c r="AZ96" i="6"/>
  <c r="BB96" i="6" s="1"/>
  <c r="AW96" i="6"/>
  <c r="AX96" i="6" s="1"/>
  <c r="AS96" i="6"/>
  <c r="AT96" i="6" s="1"/>
  <c r="AR96" i="6"/>
  <c r="AP96" i="6"/>
  <c r="AO96" i="6"/>
  <c r="AN96" i="6"/>
  <c r="AK96" i="6"/>
  <c r="AL96" i="6" s="1"/>
  <c r="AH96" i="6"/>
  <c r="AG96" i="6"/>
  <c r="AC96" i="6"/>
  <c r="AD96" i="6" s="1"/>
  <c r="Y96" i="6"/>
  <c r="Z96" i="6" s="1"/>
  <c r="U96" i="6"/>
  <c r="V96" i="6" s="1"/>
  <c r="Q96" i="6"/>
  <c r="R96" i="6" s="1"/>
  <c r="M96" i="6"/>
  <c r="N96" i="6" s="1"/>
  <c r="I96" i="6"/>
  <c r="J96" i="6" s="1"/>
  <c r="E96" i="6"/>
  <c r="F96" i="6" s="1"/>
  <c r="BU95" i="6"/>
  <c r="BT95" i="6"/>
  <c r="BV95" i="6" s="1"/>
  <c r="BQ95" i="6"/>
  <c r="BP95" i="6"/>
  <c r="BR95" i="6" s="1"/>
  <c r="BN95" i="6"/>
  <c r="BM95" i="6"/>
  <c r="BL95" i="6"/>
  <c r="BI95" i="6"/>
  <c r="BJ95" i="6" s="1"/>
  <c r="BE95" i="6"/>
  <c r="BD95" i="6"/>
  <c r="BA95" i="6"/>
  <c r="AZ95" i="6"/>
  <c r="BB95" i="6" s="1"/>
  <c r="AW95" i="6"/>
  <c r="AX95" i="6" s="1"/>
  <c r="AS95" i="6"/>
  <c r="AR95" i="6"/>
  <c r="AT95" i="6" s="1"/>
  <c r="AO95" i="6"/>
  <c r="AN95" i="6"/>
  <c r="AL95" i="6"/>
  <c r="AK95" i="6"/>
  <c r="AG95" i="6"/>
  <c r="AH95" i="6" s="1"/>
  <c r="AC95" i="6"/>
  <c r="AD95" i="6" s="1"/>
  <c r="Y95" i="6"/>
  <c r="Z95" i="6" s="1"/>
  <c r="U95" i="6"/>
  <c r="V95" i="6" s="1"/>
  <c r="Q95" i="6"/>
  <c r="R95" i="6" s="1"/>
  <c r="M95" i="6"/>
  <c r="N95" i="6" s="1"/>
  <c r="I95" i="6"/>
  <c r="J95" i="6" s="1"/>
  <c r="F95" i="6"/>
  <c r="E95" i="6"/>
  <c r="BY95" i="6" s="1"/>
  <c r="BV94" i="6"/>
  <c r="BU94" i="6"/>
  <c r="BT94" i="6"/>
  <c r="BQ94" i="6"/>
  <c r="BR94" i="6" s="1"/>
  <c r="BP94" i="6"/>
  <c r="BM94" i="6"/>
  <c r="BL94" i="6"/>
  <c r="BN94" i="6" s="1"/>
  <c r="BI94" i="6"/>
  <c r="BJ94" i="6" s="1"/>
  <c r="BE94" i="6"/>
  <c r="BD94" i="6"/>
  <c r="BF94" i="6" s="1"/>
  <c r="BA94" i="6"/>
  <c r="AZ94" i="6"/>
  <c r="BB94" i="6" s="1"/>
  <c r="AX94" i="6"/>
  <c r="AW94" i="6"/>
  <c r="AS94" i="6"/>
  <c r="AR94" i="6"/>
  <c r="AT94" i="6" s="1"/>
  <c r="AO94" i="6"/>
  <c r="AN94" i="6"/>
  <c r="AP94" i="6" s="1"/>
  <c r="AL94" i="6"/>
  <c r="AK94" i="6"/>
  <c r="AG94" i="6"/>
  <c r="AH94" i="6" s="1"/>
  <c r="AD94" i="6"/>
  <c r="AC94" i="6"/>
  <c r="Y94" i="6"/>
  <c r="Z94" i="6" s="1"/>
  <c r="V94" i="6"/>
  <c r="U94" i="6"/>
  <c r="Q94" i="6"/>
  <c r="R94" i="6" s="1"/>
  <c r="N94" i="6"/>
  <c r="M94" i="6"/>
  <c r="I94" i="6"/>
  <c r="J94" i="6" s="1"/>
  <c r="F94" i="6"/>
  <c r="E94" i="6"/>
  <c r="BY94" i="6" s="1"/>
  <c r="BX93" i="6"/>
  <c r="BU93" i="6"/>
  <c r="BT93" i="6"/>
  <c r="BV93" i="6" s="1"/>
  <c r="BR93" i="6"/>
  <c r="BQ93" i="6"/>
  <c r="BP93" i="6"/>
  <c r="BM93" i="6"/>
  <c r="BN93" i="6" s="1"/>
  <c r="BL93" i="6"/>
  <c r="BI93" i="6"/>
  <c r="BJ93" i="6" s="1"/>
  <c r="BF93" i="6"/>
  <c r="BE93" i="6"/>
  <c r="BD93" i="6"/>
  <c r="BA93" i="6"/>
  <c r="BB93" i="6" s="1"/>
  <c r="AZ93" i="6"/>
  <c r="AW93" i="6"/>
  <c r="AX93" i="6" s="1"/>
  <c r="AT93" i="6"/>
  <c r="AS93" i="6"/>
  <c r="AR93" i="6"/>
  <c r="AO93" i="6"/>
  <c r="AP93" i="6" s="1"/>
  <c r="AN93" i="6"/>
  <c r="AK93" i="6"/>
  <c r="AL93" i="6" s="1"/>
  <c r="AH93" i="6"/>
  <c r="AG93" i="6"/>
  <c r="AC93" i="6"/>
  <c r="AD93" i="6" s="1"/>
  <c r="Z93" i="6"/>
  <c r="Y93" i="6"/>
  <c r="U93" i="6"/>
  <c r="V93" i="6" s="1"/>
  <c r="R93" i="6"/>
  <c r="Q93" i="6"/>
  <c r="M93" i="6"/>
  <c r="N93" i="6" s="1"/>
  <c r="J93" i="6"/>
  <c r="I93" i="6"/>
  <c r="E93" i="6"/>
  <c r="F93" i="6" s="1"/>
  <c r="BU92" i="6"/>
  <c r="BV92" i="6" s="1"/>
  <c r="BT92" i="6"/>
  <c r="BQ92" i="6"/>
  <c r="BP92" i="6"/>
  <c r="BR92" i="6" s="1"/>
  <c r="BM92" i="6"/>
  <c r="BL92" i="6"/>
  <c r="BN92" i="6" s="1"/>
  <c r="BJ92" i="6"/>
  <c r="BI92" i="6"/>
  <c r="BE92" i="6"/>
  <c r="BD92" i="6"/>
  <c r="BF92" i="6" s="1"/>
  <c r="BA92" i="6"/>
  <c r="AZ92" i="6"/>
  <c r="BB92" i="6" s="1"/>
  <c r="AX92" i="6"/>
  <c r="AW92" i="6"/>
  <c r="AS92" i="6"/>
  <c r="AR92" i="6"/>
  <c r="AT92" i="6" s="1"/>
  <c r="AO92" i="6"/>
  <c r="AN92" i="6"/>
  <c r="AP92" i="6" s="1"/>
  <c r="AL92" i="6"/>
  <c r="AK92" i="6"/>
  <c r="AG92" i="6"/>
  <c r="AH92" i="6" s="1"/>
  <c r="AD92" i="6"/>
  <c r="AC92" i="6"/>
  <c r="Y92" i="6"/>
  <c r="Z92" i="6" s="1"/>
  <c r="V92" i="6"/>
  <c r="U92" i="6"/>
  <c r="Q92" i="6"/>
  <c r="R92" i="6" s="1"/>
  <c r="N92" i="6"/>
  <c r="M92" i="6"/>
  <c r="I92" i="6"/>
  <c r="J92" i="6" s="1"/>
  <c r="F92" i="6"/>
  <c r="E92" i="6"/>
  <c r="BY92" i="6" s="1"/>
  <c r="BX91" i="6"/>
  <c r="BU91" i="6"/>
  <c r="BT91" i="6"/>
  <c r="BV91" i="6" s="1"/>
  <c r="BR91" i="6"/>
  <c r="BQ91" i="6"/>
  <c r="BP91" i="6"/>
  <c r="BM91" i="6"/>
  <c r="BN91" i="6" s="1"/>
  <c r="BL91" i="6"/>
  <c r="BI91" i="6"/>
  <c r="BJ91" i="6" s="1"/>
  <c r="BF91" i="6"/>
  <c r="BE91" i="6"/>
  <c r="BD91" i="6"/>
  <c r="BA91" i="6"/>
  <c r="BB91" i="6" s="1"/>
  <c r="AZ91" i="6"/>
  <c r="AW91" i="6"/>
  <c r="AX91" i="6" s="1"/>
  <c r="AT91" i="6"/>
  <c r="AS91" i="6"/>
  <c r="AR91" i="6"/>
  <c r="AO91" i="6"/>
  <c r="AP91" i="6" s="1"/>
  <c r="AN91" i="6"/>
  <c r="AK91" i="6"/>
  <c r="AL91" i="6" s="1"/>
  <c r="AH91" i="6"/>
  <c r="AG91" i="6"/>
  <c r="AC91" i="6"/>
  <c r="AD91" i="6" s="1"/>
  <c r="Z91" i="6"/>
  <c r="Y91" i="6"/>
  <c r="U91" i="6"/>
  <c r="V91" i="6" s="1"/>
  <c r="R91" i="6"/>
  <c r="Q91" i="6"/>
  <c r="M91" i="6"/>
  <c r="N91" i="6" s="1"/>
  <c r="J91" i="6"/>
  <c r="I91" i="6"/>
  <c r="E91" i="6"/>
  <c r="F91" i="6" s="1"/>
  <c r="BU90" i="6"/>
  <c r="BV90" i="6" s="1"/>
  <c r="BT90" i="6"/>
  <c r="BQ90" i="6"/>
  <c r="BP90" i="6"/>
  <c r="BR90" i="6" s="1"/>
  <c r="BM90" i="6"/>
  <c r="BL90" i="6"/>
  <c r="BN90" i="6" s="1"/>
  <c r="BJ90" i="6"/>
  <c r="BI90" i="6"/>
  <c r="BE90" i="6"/>
  <c r="BD90" i="6"/>
  <c r="BF90" i="6" s="1"/>
  <c r="BA90" i="6"/>
  <c r="AZ90" i="6"/>
  <c r="BB90" i="6" s="1"/>
  <c r="AX90" i="6"/>
  <c r="AW90" i="6"/>
  <c r="AS90" i="6"/>
  <c r="AR90" i="6"/>
  <c r="AT90" i="6" s="1"/>
  <c r="AO90" i="6"/>
  <c r="AN90" i="6"/>
  <c r="AP90" i="6" s="1"/>
  <c r="AL90" i="6"/>
  <c r="AK90" i="6"/>
  <c r="AG90" i="6"/>
  <c r="AH90" i="6" s="1"/>
  <c r="AD90" i="6"/>
  <c r="AC90" i="6"/>
  <c r="Y90" i="6"/>
  <c r="Z90" i="6" s="1"/>
  <c r="V90" i="6"/>
  <c r="U90" i="6"/>
  <c r="Q90" i="6"/>
  <c r="R90" i="6" s="1"/>
  <c r="N90" i="6"/>
  <c r="M90" i="6"/>
  <c r="I90" i="6"/>
  <c r="J90" i="6" s="1"/>
  <c r="F90" i="6"/>
  <c r="E90" i="6"/>
  <c r="BY90" i="6" s="1"/>
  <c r="BX89" i="6"/>
  <c r="BU89" i="6"/>
  <c r="BT89" i="6"/>
  <c r="BV89" i="6" s="1"/>
  <c r="BR89" i="6"/>
  <c r="BQ89" i="6"/>
  <c r="BP89" i="6"/>
  <c r="BM89" i="6"/>
  <c r="BN89" i="6" s="1"/>
  <c r="BL89" i="6"/>
  <c r="BI89" i="6"/>
  <c r="BJ89" i="6" s="1"/>
  <c r="BF89" i="6"/>
  <c r="BE89" i="6"/>
  <c r="BD89" i="6"/>
  <c r="BA89" i="6"/>
  <c r="BB89" i="6" s="1"/>
  <c r="AZ89" i="6"/>
  <c r="AW89" i="6"/>
  <c r="AX89" i="6" s="1"/>
  <c r="AT89" i="6"/>
  <c r="AS89" i="6"/>
  <c r="AR89" i="6"/>
  <c r="AO89" i="6"/>
  <c r="AP89" i="6" s="1"/>
  <c r="AN89" i="6"/>
  <c r="AK89" i="6"/>
  <c r="AL89" i="6" s="1"/>
  <c r="AH89" i="6"/>
  <c r="AG89" i="6"/>
  <c r="AC89" i="6"/>
  <c r="AD89" i="6" s="1"/>
  <c r="Z89" i="6"/>
  <c r="Y89" i="6"/>
  <c r="U89" i="6"/>
  <c r="V89" i="6" s="1"/>
  <c r="R89" i="6"/>
  <c r="Q89" i="6"/>
  <c r="P89" i="6"/>
  <c r="P147" i="6" s="1"/>
  <c r="M89" i="6"/>
  <c r="N89" i="6" s="1"/>
  <c r="L89" i="6"/>
  <c r="L147" i="6" s="1"/>
  <c r="J89" i="6"/>
  <c r="I89" i="6"/>
  <c r="F89" i="6"/>
  <c r="E89" i="6"/>
  <c r="BY89" i="6" s="1"/>
  <c r="BX88" i="6"/>
  <c r="BU88" i="6"/>
  <c r="BV88" i="6" s="1"/>
  <c r="BT88" i="6"/>
  <c r="BR88" i="6"/>
  <c r="BQ88" i="6"/>
  <c r="BP88" i="6"/>
  <c r="BM88" i="6"/>
  <c r="BL88" i="6"/>
  <c r="BN88" i="6" s="1"/>
  <c r="BJ88" i="6"/>
  <c r="BI88" i="6"/>
  <c r="BF88" i="6"/>
  <c r="BE88" i="6"/>
  <c r="BD88" i="6"/>
  <c r="BA88" i="6"/>
  <c r="AZ88" i="6"/>
  <c r="BB88" i="6" s="1"/>
  <c r="AX88" i="6"/>
  <c r="AW88" i="6"/>
  <c r="AT88" i="6"/>
  <c r="AS88" i="6"/>
  <c r="AR88" i="6"/>
  <c r="AO88" i="6"/>
  <c r="AN88" i="6"/>
  <c r="AL88" i="6"/>
  <c r="AK88" i="6"/>
  <c r="AH88" i="6"/>
  <c r="AG88" i="6"/>
  <c r="AD88" i="6"/>
  <c r="AC88" i="6"/>
  <c r="Z88" i="6"/>
  <c r="Y88" i="6"/>
  <c r="V88" i="6"/>
  <c r="U88" i="6"/>
  <c r="R88" i="6"/>
  <c r="Q88" i="6"/>
  <c r="N88" i="6"/>
  <c r="M88" i="6"/>
  <c r="J88" i="6"/>
  <c r="I88" i="6"/>
  <c r="F88" i="6"/>
  <c r="E88" i="6"/>
  <c r="BY88" i="6" s="1"/>
  <c r="BU87" i="6"/>
  <c r="BT87" i="6"/>
  <c r="BV87" i="6" s="1"/>
  <c r="BQ87" i="6"/>
  <c r="BP87" i="6"/>
  <c r="BR87" i="6" s="1"/>
  <c r="BM87" i="6"/>
  <c r="BN87" i="6" s="1"/>
  <c r="BL87" i="6"/>
  <c r="BJ87" i="6"/>
  <c r="BI87" i="6"/>
  <c r="BE87" i="6"/>
  <c r="BD87" i="6"/>
  <c r="BF87" i="6" s="1"/>
  <c r="BB87" i="6"/>
  <c r="BA87" i="6"/>
  <c r="AZ87" i="6"/>
  <c r="AX87" i="6"/>
  <c r="AW87" i="6"/>
  <c r="AS87" i="6"/>
  <c r="AR87" i="6"/>
  <c r="AT87" i="6" s="1"/>
  <c r="AP87" i="6"/>
  <c r="AO87" i="6"/>
  <c r="AN87" i="6"/>
  <c r="BX87" i="6" s="1"/>
  <c r="BZ87" i="6" s="1"/>
  <c r="AL87" i="6"/>
  <c r="AK87" i="6"/>
  <c r="AH87" i="6"/>
  <c r="AG87" i="6"/>
  <c r="AD87" i="6"/>
  <c r="AC87" i="6"/>
  <c r="Z87" i="6"/>
  <c r="Y87" i="6"/>
  <c r="V87" i="6"/>
  <c r="U87" i="6"/>
  <c r="R87" i="6"/>
  <c r="Q87" i="6"/>
  <c r="N87" i="6"/>
  <c r="M87" i="6"/>
  <c r="J87" i="6"/>
  <c r="I87" i="6"/>
  <c r="F87" i="6"/>
  <c r="E87" i="6"/>
  <c r="BY87" i="6" s="1"/>
  <c r="BX86" i="6"/>
  <c r="BV86" i="6"/>
  <c r="BU86" i="6"/>
  <c r="BT86" i="6"/>
  <c r="BR86" i="6"/>
  <c r="BQ86" i="6"/>
  <c r="BP86" i="6"/>
  <c r="BM86" i="6"/>
  <c r="BL86" i="6"/>
  <c r="BN86" i="6" s="1"/>
  <c r="BJ86" i="6"/>
  <c r="BI86" i="6"/>
  <c r="BF86" i="6"/>
  <c r="BE86" i="6"/>
  <c r="BD86" i="6"/>
  <c r="BA86" i="6"/>
  <c r="AZ86" i="6"/>
  <c r="BB86" i="6" s="1"/>
  <c r="AX86" i="6"/>
  <c r="AW86" i="6"/>
  <c r="AT86" i="6"/>
  <c r="AS86" i="6"/>
  <c r="AR86" i="6"/>
  <c r="AO86" i="6"/>
  <c r="AN86" i="6"/>
  <c r="AL86" i="6"/>
  <c r="AK86" i="6"/>
  <c r="AH86" i="6"/>
  <c r="AG86" i="6"/>
  <c r="AD86" i="6"/>
  <c r="AC86" i="6"/>
  <c r="Z86" i="6"/>
  <c r="Y86" i="6"/>
  <c r="V86" i="6"/>
  <c r="U86" i="6"/>
  <c r="R86" i="6"/>
  <c r="Q86" i="6"/>
  <c r="N86" i="6"/>
  <c r="M86" i="6"/>
  <c r="J86" i="6"/>
  <c r="I86" i="6"/>
  <c r="F86" i="6"/>
  <c r="E86" i="6"/>
  <c r="BY86" i="6" s="1"/>
  <c r="BU85" i="6"/>
  <c r="BT85" i="6"/>
  <c r="BV85" i="6" s="1"/>
  <c r="BQ85" i="6"/>
  <c r="BP85" i="6"/>
  <c r="BR85" i="6" s="1"/>
  <c r="BN85" i="6"/>
  <c r="BM85" i="6"/>
  <c r="BL85" i="6"/>
  <c r="BJ85" i="6"/>
  <c r="BI85" i="6"/>
  <c r="BE85" i="6"/>
  <c r="BD85" i="6"/>
  <c r="BF85" i="6" s="1"/>
  <c r="BB85" i="6"/>
  <c r="BA85" i="6"/>
  <c r="AZ85" i="6"/>
  <c r="AX85" i="6"/>
  <c r="AW85" i="6"/>
  <c r="AS85" i="6"/>
  <c r="AR85" i="6"/>
  <c r="AT85" i="6" s="1"/>
  <c r="AP85" i="6"/>
  <c r="AO85" i="6"/>
  <c r="AN85" i="6"/>
  <c r="AL85" i="6"/>
  <c r="AK85" i="6"/>
  <c r="AH85" i="6"/>
  <c r="AG85" i="6"/>
  <c r="AD85" i="6"/>
  <c r="AC85" i="6"/>
  <c r="Z85" i="6"/>
  <c r="Y85" i="6"/>
  <c r="V85" i="6"/>
  <c r="U85" i="6"/>
  <c r="R85" i="6"/>
  <c r="Q85" i="6"/>
  <c r="N85" i="6"/>
  <c r="M85" i="6"/>
  <c r="J85" i="6"/>
  <c r="I85" i="6"/>
  <c r="F85" i="6"/>
  <c r="E85" i="6"/>
  <c r="BY85" i="6" s="1"/>
  <c r="BX84" i="6"/>
  <c r="BV84" i="6"/>
  <c r="BU84" i="6"/>
  <c r="BT84" i="6"/>
  <c r="BR84" i="6"/>
  <c r="BQ84" i="6"/>
  <c r="BP84" i="6"/>
  <c r="BM84" i="6"/>
  <c r="BL84" i="6"/>
  <c r="BJ84" i="6"/>
  <c r="BI84" i="6"/>
  <c r="BF84" i="6"/>
  <c r="BE84" i="6"/>
  <c r="BD84" i="6"/>
  <c r="BA84" i="6"/>
  <c r="AZ84" i="6"/>
  <c r="BB84" i="6" s="1"/>
  <c r="AX84" i="6"/>
  <c r="AW84" i="6"/>
  <c r="AT84" i="6"/>
  <c r="AS84" i="6"/>
  <c r="AR84" i="6"/>
  <c r="AO84" i="6"/>
  <c r="AN84" i="6"/>
  <c r="AP84" i="6" s="1"/>
  <c r="AL84" i="6"/>
  <c r="AK84" i="6"/>
  <c r="AH84" i="6"/>
  <c r="AG84" i="6"/>
  <c r="AD84" i="6"/>
  <c r="AC84" i="6"/>
  <c r="Z84" i="6"/>
  <c r="Y84" i="6"/>
  <c r="V84" i="6"/>
  <c r="U84" i="6"/>
  <c r="R84" i="6"/>
  <c r="Q84" i="6"/>
  <c r="N84" i="6"/>
  <c r="M84" i="6"/>
  <c r="J84" i="6"/>
  <c r="I84" i="6"/>
  <c r="F84" i="6"/>
  <c r="E84" i="6"/>
  <c r="BU83" i="6"/>
  <c r="BT83" i="6"/>
  <c r="BV83" i="6" s="1"/>
  <c r="BQ83" i="6"/>
  <c r="BP83" i="6"/>
  <c r="BR83" i="6" s="1"/>
  <c r="BM83" i="6"/>
  <c r="BN83" i="6" s="1"/>
  <c r="BL83" i="6"/>
  <c r="BJ83" i="6"/>
  <c r="BI83" i="6"/>
  <c r="BE83" i="6"/>
  <c r="BD83" i="6"/>
  <c r="BF83" i="6" s="1"/>
  <c r="BB83" i="6"/>
  <c r="BA83" i="6"/>
  <c r="AZ83" i="6"/>
  <c r="AX83" i="6"/>
  <c r="AW83" i="6"/>
  <c r="AS83" i="6"/>
  <c r="AR83" i="6"/>
  <c r="AP83" i="6"/>
  <c r="AO83" i="6"/>
  <c r="AK83" i="6"/>
  <c r="AL83" i="6" s="1"/>
  <c r="AH83" i="6"/>
  <c r="AG83" i="6"/>
  <c r="AC83" i="6"/>
  <c r="AD83" i="6" s="1"/>
  <c r="Z83" i="6"/>
  <c r="Y83" i="6"/>
  <c r="U83" i="6"/>
  <c r="V83" i="6" s="1"/>
  <c r="R83" i="6"/>
  <c r="Q83" i="6"/>
  <c r="M83" i="6"/>
  <c r="N83" i="6" s="1"/>
  <c r="J83" i="6"/>
  <c r="I83" i="6"/>
  <c r="E83" i="6"/>
  <c r="BV82" i="6"/>
  <c r="BU82" i="6"/>
  <c r="BT82" i="6"/>
  <c r="BQ82" i="6"/>
  <c r="BP82" i="6"/>
  <c r="BR82" i="6" s="1"/>
  <c r="BM82" i="6"/>
  <c r="BL82" i="6"/>
  <c r="BN82" i="6" s="1"/>
  <c r="BJ82" i="6"/>
  <c r="BI82" i="6"/>
  <c r="BE82" i="6"/>
  <c r="BD82" i="6"/>
  <c r="BA82" i="6"/>
  <c r="AZ82" i="6"/>
  <c r="BB82" i="6" s="1"/>
  <c r="AX82" i="6"/>
  <c r="AW82" i="6"/>
  <c r="AS82" i="6"/>
  <c r="AR82" i="6"/>
  <c r="AT82" i="6" s="1"/>
  <c r="AO82" i="6"/>
  <c r="AN82" i="6"/>
  <c r="AL82" i="6"/>
  <c r="AK82" i="6"/>
  <c r="AG82" i="6"/>
  <c r="AH82" i="6" s="1"/>
  <c r="AD82" i="6"/>
  <c r="AC82" i="6"/>
  <c r="Y82" i="6"/>
  <c r="Z82" i="6" s="1"/>
  <c r="V82" i="6"/>
  <c r="U82" i="6"/>
  <c r="Q82" i="6"/>
  <c r="R82" i="6" s="1"/>
  <c r="N82" i="6"/>
  <c r="M82" i="6"/>
  <c r="I82" i="6"/>
  <c r="J82" i="6" s="1"/>
  <c r="F82" i="6"/>
  <c r="E82" i="6"/>
  <c r="BU81" i="6"/>
  <c r="BT81" i="6"/>
  <c r="BV81" i="6" s="1"/>
  <c r="BR81" i="6"/>
  <c r="BQ81" i="6"/>
  <c r="BP81" i="6"/>
  <c r="BN81" i="6"/>
  <c r="BM81" i="6"/>
  <c r="BL81" i="6"/>
  <c r="BI81" i="6"/>
  <c r="BJ81" i="6" s="1"/>
  <c r="BF81" i="6"/>
  <c r="BE81" i="6"/>
  <c r="BD81" i="6"/>
  <c r="BB81" i="6"/>
  <c r="BA81" i="6"/>
  <c r="AZ81" i="6"/>
  <c r="AW81" i="6"/>
  <c r="AX81" i="6" s="1"/>
  <c r="AT81" i="6"/>
  <c r="AS81" i="6"/>
  <c r="AR81" i="6"/>
  <c r="AP81" i="6"/>
  <c r="AO81" i="6"/>
  <c r="AN81" i="6"/>
  <c r="BX81" i="6" s="1"/>
  <c r="AK81" i="6"/>
  <c r="AL81" i="6" s="1"/>
  <c r="AH81" i="6"/>
  <c r="AG81" i="6"/>
  <c r="AC81" i="6"/>
  <c r="AD81" i="6" s="1"/>
  <c r="Z81" i="6"/>
  <c r="Y81" i="6"/>
  <c r="U81" i="6"/>
  <c r="V81" i="6" s="1"/>
  <c r="R81" i="6"/>
  <c r="Q81" i="6"/>
  <c r="M81" i="6"/>
  <c r="N81" i="6" s="1"/>
  <c r="J81" i="6"/>
  <c r="I81" i="6"/>
  <c r="E81" i="6"/>
  <c r="F81" i="6" s="1"/>
  <c r="BV80" i="6"/>
  <c r="BU80" i="6"/>
  <c r="BT80" i="6"/>
  <c r="BQ80" i="6"/>
  <c r="BP80" i="6"/>
  <c r="BR80" i="6" s="1"/>
  <c r="BM80" i="6"/>
  <c r="BL80" i="6"/>
  <c r="BN80" i="6" s="1"/>
  <c r="BJ80" i="6"/>
  <c r="BI80" i="6"/>
  <c r="BE80" i="6"/>
  <c r="BD80" i="6"/>
  <c r="BA80" i="6"/>
  <c r="AZ80" i="6"/>
  <c r="BB80" i="6" s="1"/>
  <c r="AX80" i="6"/>
  <c r="AW80" i="6"/>
  <c r="AS80" i="6"/>
  <c r="AR80" i="6"/>
  <c r="AT80" i="6" s="1"/>
  <c r="AO80" i="6"/>
  <c r="AN80" i="6"/>
  <c r="AL80" i="6"/>
  <c r="AK80" i="6"/>
  <c r="AG80" i="6"/>
  <c r="AH80" i="6" s="1"/>
  <c r="AD80" i="6"/>
  <c r="AC80" i="6"/>
  <c r="Y80" i="6"/>
  <c r="Z80" i="6" s="1"/>
  <c r="V80" i="6"/>
  <c r="U80" i="6"/>
  <c r="Q80" i="6"/>
  <c r="R80" i="6" s="1"/>
  <c r="N80" i="6"/>
  <c r="M80" i="6"/>
  <c r="I80" i="6"/>
  <c r="J80" i="6" s="1"/>
  <c r="F80" i="6"/>
  <c r="E80" i="6"/>
  <c r="BY80" i="6" s="1"/>
  <c r="BU79" i="6"/>
  <c r="BT79" i="6"/>
  <c r="BR79" i="6"/>
  <c r="BQ79" i="6"/>
  <c r="BP79" i="6"/>
  <c r="BN79" i="6"/>
  <c r="BM79" i="6"/>
  <c r="BL79" i="6"/>
  <c r="BI79" i="6"/>
  <c r="BF79" i="6"/>
  <c r="BE79" i="6"/>
  <c r="BD79" i="6"/>
  <c r="BB79" i="6"/>
  <c r="BA79" i="6"/>
  <c r="AZ79" i="6"/>
  <c r="AW79" i="6"/>
  <c r="AT79" i="6"/>
  <c r="AS79" i="6"/>
  <c r="AR79" i="6"/>
  <c r="AP79" i="6"/>
  <c r="AO79" i="6"/>
  <c r="AN79" i="6"/>
  <c r="AK79" i="6"/>
  <c r="AH79" i="6"/>
  <c r="AG79" i="6"/>
  <c r="AC79" i="6"/>
  <c r="Z79" i="6"/>
  <c r="Y79" i="6"/>
  <c r="U79" i="6"/>
  <c r="R79" i="6"/>
  <c r="Q79" i="6"/>
  <c r="M79" i="6"/>
  <c r="J79" i="6"/>
  <c r="I79" i="6"/>
  <c r="E79" i="6"/>
  <c r="FA76" i="6"/>
  <c r="EY76" i="6"/>
  <c r="EU72" i="6"/>
  <c r="ED72" i="6"/>
  <c r="DT72" i="6"/>
  <c r="DP72" i="6"/>
  <c r="DH72" i="6"/>
  <c r="DD72" i="6"/>
  <c r="CY72" i="6"/>
  <c r="CV72" i="6"/>
  <c r="CU72" i="6"/>
  <c r="CR72" i="6"/>
  <c r="CQ72" i="6"/>
  <c r="CN72" i="6"/>
  <c r="CM72" i="6"/>
  <c r="CJ72" i="6"/>
  <c r="CI72" i="6"/>
  <c r="CE72" i="6"/>
  <c r="CA72" i="6"/>
  <c r="BX72" i="6"/>
  <c r="BW72" i="6"/>
  <c r="BT72" i="6"/>
  <c r="BS72" i="6"/>
  <c r="BP72" i="6"/>
  <c r="BO72" i="6"/>
  <c r="BL72" i="6"/>
  <c r="BK72" i="6"/>
  <c r="BH72" i="6"/>
  <c r="BG72" i="6"/>
  <c r="BD72" i="6"/>
  <c r="BC72" i="6"/>
  <c r="AZ72" i="6"/>
  <c r="AY72" i="6"/>
  <c r="AV72" i="6"/>
  <c r="AU72" i="6"/>
  <c r="AQ72" i="6"/>
  <c r="AN72" i="6"/>
  <c r="AM72" i="6"/>
  <c r="AJ72" i="6"/>
  <c r="AI72" i="6"/>
  <c r="AF72" i="6"/>
  <c r="AE72" i="6"/>
  <c r="AB72" i="6"/>
  <c r="AA72" i="6"/>
  <c r="W72" i="6"/>
  <c r="T72" i="6"/>
  <c r="S72" i="6"/>
  <c r="P72" i="6"/>
  <c r="O72" i="6"/>
  <c r="L72" i="6"/>
  <c r="K72" i="6"/>
  <c r="H72" i="6"/>
  <c r="G72" i="6"/>
  <c r="D72" i="6"/>
  <c r="HP71" i="6"/>
  <c r="HQ71" i="6" s="1"/>
  <c r="HO71" i="6"/>
  <c r="GZ71" i="6"/>
  <c r="HA71" i="6" s="1"/>
  <c r="GY71" i="6"/>
  <c r="GW71" i="6"/>
  <c r="GV71" i="6"/>
  <c r="GU71" i="6"/>
  <c r="IA71" i="6" s="1"/>
  <c r="GR71" i="6"/>
  <c r="GQ71" i="6"/>
  <c r="GO71" i="6"/>
  <c r="GN71" i="6"/>
  <c r="GM71" i="6"/>
  <c r="GK71" i="6"/>
  <c r="GJ71" i="6"/>
  <c r="GI71" i="6"/>
  <c r="GF71" i="6"/>
  <c r="GE71" i="6"/>
  <c r="GG71" i="6" s="1"/>
  <c r="GB71" i="6"/>
  <c r="GA71" i="6"/>
  <c r="FY71" i="6"/>
  <c r="FX71" i="6"/>
  <c r="FW71" i="6"/>
  <c r="FT71" i="6"/>
  <c r="FS71" i="6"/>
  <c r="FU71" i="6" s="1"/>
  <c r="FP71" i="6"/>
  <c r="FO71" i="6"/>
  <c r="FQ71" i="6" s="1"/>
  <c r="FL71" i="6"/>
  <c r="IF71" i="6" s="1"/>
  <c r="IG71" i="6" s="1"/>
  <c r="FK71" i="6"/>
  <c r="IE71" i="6" s="1"/>
  <c r="FJ71" i="6"/>
  <c r="FI71" i="6"/>
  <c r="FH71" i="6"/>
  <c r="FE71" i="6"/>
  <c r="FD71" i="6"/>
  <c r="FA71" i="6"/>
  <c r="EZ71" i="6"/>
  <c r="EW71" i="6"/>
  <c r="EV71" i="6"/>
  <c r="EX71" i="6" s="1"/>
  <c r="ET71" i="6"/>
  <c r="ES71" i="6"/>
  <c r="ER71" i="6"/>
  <c r="EO71" i="6"/>
  <c r="EP71" i="6" s="1"/>
  <c r="EN71" i="6"/>
  <c r="EK71" i="6"/>
  <c r="IJ71" i="6" s="1"/>
  <c r="EJ71" i="6"/>
  <c r="EG71" i="6"/>
  <c r="HX71" i="6" s="1"/>
  <c r="EF71" i="6"/>
  <c r="EH71" i="6" s="1"/>
  <c r="ED71" i="6"/>
  <c r="EC71" i="6"/>
  <c r="EB71" i="6"/>
  <c r="DY71" i="6"/>
  <c r="DZ71" i="6" s="1"/>
  <c r="DX71" i="6"/>
  <c r="DV71" i="6"/>
  <c r="DU71" i="6"/>
  <c r="DR71" i="6"/>
  <c r="DQ71" i="6"/>
  <c r="DM71" i="6"/>
  <c r="DL71" i="6"/>
  <c r="HK71" i="6" s="1"/>
  <c r="DI71" i="6"/>
  <c r="DE71" i="6"/>
  <c r="DA71" i="6"/>
  <c r="CZ71" i="6"/>
  <c r="DB71" i="6" s="1"/>
  <c r="CX71" i="6"/>
  <c r="CW71" i="6"/>
  <c r="CT71" i="6"/>
  <c r="CS71" i="6"/>
  <c r="CP71" i="6"/>
  <c r="CO71" i="6"/>
  <c r="CL71" i="6"/>
  <c r="CK71" i="6"/>
  <c r="CG71" i="6"/>
  <c r="CF71" i="6"/>
  <c r="CC71" i="6"/>
  <c r="CD71" i="6" s="1"/>
  <c r="CB71" i="6"/>
  <c r="BZ71" i="6"/>
  <c r="BY71" i="6"/>
  <c r="BV71" i="6"/>
  <c r="BU71" i="6"/>
  <c r="BR71" i="6"/>
  <c r="BQ71" i="6"/>
  <c r="BN71" i="6"/>
  <c r="BM71" i="6"/>
  <c r="BJ71" i="6"/>
  <c r="BI71" i="6"/>
  <c r="BF71" i="6"/>
  <c r="BE71" i="6"/>
  <c r="BB71" i="6"/>
  <c r="BA71" i="6"/>
  <c r="AX71" i="6"/>
  <c r="AW71" i="6"/>
  <c r="AT71" i="6"/>
  <c r="AS71" i="6"/>
  <c r="AP71" i="6"/>
  <c r="AO71" i="6"/>
  <c r="AL71" i="6"/>
  <c r="AK71" i="6"/>
  <c r="AH71" i="6"/>
  <c r="AG71" i="6"/>
  <c r="AD71" i="6"/>
  <c r="AC71" i="6"/>
  <c r="Z71" i="6"/>
  <c r="Y71" i="6"/>
  <c r="V71" i="6"/>
  <c r="U71" i="6"/>
  <c r="R71" i="6"/>
  <c r="Q71" i="6"/>
  <c r="N71" i="6"/>
  <c r="M71" i="6"/>
  <c r="J71" i="6"/>
  <c r="I71" i="6"/>
  <c r="F71" i="6"/>
  <c r="E71" i="6"/>
  <c r="HH71" i="6" s="1"/>
  <c r="II70" i="6"/>
  <c r="IK70" i="6" s="1"/>
  <c r="HS70" i="6"/>
  <c r="HO70" i="6"/>
  <c r="GZ70" i="6"/>
  <c r="GY70" i="6"/>
  <c r="HA70" i="6" s="1"/>
  <c r="GW70" i="6"/>
  <c r="GV70" i="6"/>
  <c r="GU70" i="6"/>
  <c r="IA70" i="6" s="1"/>
  <c r="GR70" i="6"/>
  <c r="GQ70" i="6"/>
  <c r="GN70" i="6"/>
  <c r="GM70" i="6"/>
  <c r="GO70" i="6" s="1"/>
  <c r="GJ70" i="6"/>
  <c r="GK70" i="6" s="1"/>
  <c r="GI70" i="6"/>
  <c r="GG70" i="6"/>
  <c r="GF70" i="6"/>
  <c r="GE70" i="6"/>
  <c r="GB70" i="6"/>
  <c r="GA70" i="6"/>
  <c r="FX70" i="6"/>
  <c r="FW70" i="6"/>
  <c r="FY70" i="6" s="1"/>
  <c r="FT70" i="6"/>
  <c r="FU70" i="6" s="1"/>
  <c r="FS70" i="6"/>
  <c r="FQ70" i="6"/>
  <c r="FP70" i="6"/>
  <c r="FO70" i="6"/>
  <c r="FL70" i="6"/>
  <c r="IF70" i="6" s="1"/>
  <c r="FK70" i="6"/>
  <c r="IE70" i="6" s="1"/>
  <c r="IG70" i="6" s="1"/>
  <c r="FI70" i="6"/>
  <c r="FH70" i="6"/>
  <c r="FJ70" i="6" s="1"/>
  <c r="FE70" i="6"/>
  <c r="FD70" i="6"/>
  <c r="FB70" i="6"/>
  <c r="FA70" i="6"/>
  <c r="EZ70" i="6"/>
  <c r="EW70" i="6"/>
  <c r="EV70" i="6"/>
  <c r="EX70" i="6" s="1"/>
  <c r="ES70" i="6"/>
  <c r="ER70" i="6"/>
  <c r="ET70" i="6" s="1"/>
  <c r="EO70" i="6"/>
  <c r="EP70" i="6" s="1"/>
  <c r="EN70" i="6"/>
  <c r="EL70" i="6"/>
  <c r="EK70" i="6"/>
  <c r="IJ70" i="6" s="1"/>
  <c r="EJ70" i="6"/>
  <c r="EG70" i="6"/>
  <c r="HX70" i="6" s="1"/>
  <c r="EF70" i="6"/>
  <c r="EC70" i="6"/>
  <c r="EB70" i="6"/>
  <c r="DY70" i="6"/>
  <c r="DZ70" i="6" s="1"/>
  <c r="DX70" i="6"/>
  <c r="DU70" i="6"/>
  <c r="DQ70" i="6"/>
  <c r="DM70" i="6"/>
  <c r="DL70" i="6"/>
  <c r="HC70" i="6" s="1"/>
  <c r="DI70" i="6"/>
  <c r="DE70" i="6"/>
  <c r="DA70" i="6"/>
  <c r="CW70" i="6"/>
  <c r="CS70" i="6"/>
  <c r="CO70" i="6"/>
  <c r="CK70" i="6"/>
  <c r="HT70" i="6" s="1"/>
  <c r="CG70" i="6"/>
  <c r="CC70" i="6"/>
  <c r="BY70" i="6"/>
  <c r="BU70" i="6"/>
  <c r="BQ70" i="6"/>
  <c r="BM70" i="6"/>
  <c r="BI70" i="6"/>
  <c r="HL70" i="6" s="1"/>
  <c r="BE70" i="6"/>
  <c r="BA70" i="6"/>
  <c r="AW70" i="6"/>
  <c r="AS70" i="6"/>
  <c r="AO70" i="6"/>
  <c r="AK70" i="6"/>
  <c r="AG70" i="6"/>
  <c r="AC70" i="6"/>
  <c r="Y70" i="6"/>
  <c r="U70" i="6"/>
  <c r="Q70" i="6"/>
  <c r="M70" i="6"/>
  <c r="I70" i="6"/>
  <c r="E70" i="6"/>
  <c r="HH70" i="6" s="1"/>
  <c r="HW69" i="6"/>
  <c r="HY69" i="6" s="1"/>
  <c r="HO69" i="6"/>
  <c r="HG69" i="6"/>
  <c r="HI69" i="6" s="1"/>
  <c r="HA69" i="6"/>
  <c r="GZ69" i="6"/>
  <c r="GY69" i="6"/>
  <c r="GV69" i="6"/>
  <c r="GU69" i="6"/>
  <c r="GR69" i="6"/>
  <c r="GQ69" i="6"/>
  <c r="GS69" i="6" s="1"/>
  <c r="GN69" i="6"/>
  <c r="GM69" i="6"/>
  <c r="GO69" i="6" s="1"/>
  <c r="GK69" i="6"/>
  <c r="GJ69" i="6"/>
  <c r="GI69" i="6"/>
  <c r="GF69" i="6"/>
  <c r="GG69" i="6" s="1"/>
  <c r="GE69" i="6"/>
  <c r="GB69" i="6"/>
  <c r="GA69" i="6"/>
  <c r="GC69" i="6" s="1"/>
  <c r="FX69" i="6"/>
  <c r="FW69" i="6"/>
  <c r="FY69" i="6" s="1"/>
  <c r="FU69" i="6"/>
  <c r="FT69" i="6"/>
  <c r="FS69" i="6"/>
  <c r="FP69" i="6"/>
  <c r="FQ69" i="6" s="1"/>
  <c r="FO69" i="6"/>
  <c r="FL69" i="6"/>
  <c r="IF69" i="6" s="1"/>
  <c r="FK69" i="6"/>
  <c r="FI69" i="6"/>
  <c r="FH69" i="6"/>
  <c r="FJ69" i="6" s="1"/>
  <c r="FF69" i="6"/>
  <c r="FE69" i="6"/>
  <c r="FD69" i="6"/>
  <c r="FA69" i="6"/>
  <c r="FB69" i="6" s="1"/>
  <c r="EZ69" i="6"/>
  <c r="EW69" i="6"/>
  <c r="EV69" i="6"/>
  <c r="EX69" i="6" s="1"/>
  <c r="ES69" i="6"/>
  <c r="ER69" i="6"/>
  <c r="ET69" i="6" s="1"/>
  <c r="EP69" i="6"/>
  <c r="EO69" i="6"/>
  <c r="EN69" i="6"/>
  <c r="HS69" i="6" s="1"/>
  <c r="EK69" i="6"/>
  <c r="EJ69" i="6"/>
  <c r="II69" i="6" s="1"/>
  <c r="EG69" i="6"/>
  <c r="HX69" i="6" s="1"/>
  <c r="EF69" i="6"/>
  <c r="EH69" i="6" s="1"/>
  <c r="EC69" i="6"/>
  <c r="EB69" i="6"/>
  <c r="ED69" i="6" s="1"/>
  <c r="DZ69" i="6"/>
  <c r="DY69" i="6"/>
  <c r="DX69" i="6"/>
  <c r="DU69" i="6"/>
  <c r="DQ69" i="6"/>
  <c r="DR69" i="6" s="1"/>
  <c r="DM69" i="6"/>
  <c r="HL69" i="6" s="1"/>
  <c r="DL69" i="6"/>
  <c r="DN69" i="6" s="1"/>
  <c r="DJ69" i="6"/>
  <c r="DI69" i="6"/>
  <c r="DF69" i="6"/>
  <c r="DE69" i="6"/>
  <c r="DB69" i="6"/>
  <c r="DA69" i="6"/>
  <c r="CX69" i="6"/>
  <c r="CW69" i="6"/>
  <c r="CT69" i="6"/>
  <c r="CS69" i="6"/>
  <c r="CP69" i="6"/>
  <c r="CO69" i="6"/>
  <c r="CL69" i="6"/>
  <c r="CK69" i="6"/>
  <c r="CH69" i="6"/>
  <c r="CG69" i="6"/>
  <c r="CF69" i="6"/>
  <c r="CC69" i="6"/>
  <c r="CB69" i="6"/>
  <c r="HK69" i="6" s="1"/>
  <c r="BZ69" i="6"/>
  <c r="BY69" i="6"/>
  <c r="BV69" i="6"/>
  <c r="BU69" i="6"/>
  <c r="BR69" i="6"/>
  <c r="BQ69" i="6"/>
  <c r="BN69" i="6"/>
  <c r="BM69" i="6"/>
  <c r="BJ69" i="6"/>
  <c r="BI69" i="6"/>
  <c r="BF69" i="6"/>
  <c r="BE69" i="6"/>
  <c r="BB69" i="6"/>
  <c r="BA69" i="6"/>
  <c r="AX69" i="6"/>
  <c r="AW69" i="6"/>
  <c r="AT69" i="6"/>
  <c r="AS69" i="6"/>
  <c r="AP69" i="6"/>
  <c r="AO69" i="6"/>
  <c r="AL69" i="6"/>
  <c r="AK69" i="6"/>
  <c r="AH69" i="6"/>
  <c r="AG69" i="6"/>
  <c r="AD69" i="6"/>
  <c r="AC69" i="6"/>
  <c r="Z69" i="6"/>
  <c r="Y69" i="6"/>
  <c r="V69" i="6"/>
  <c r="U69" i="6"/>
  <c r="R69" i="6"/>
  <c r="Q69" i="6"/>
  <c r="N69" i="6"/>
  <c r="M69" i="6"/>
  <c r="HP69" i="6" s="1"/>
  <c r="HQ69" i="6" s="1"/>
  <c r="J69" i="6"/>
  <c r="I69" i="6"/>
  <c r="F69" i="6"/>
  <c r="E69" i="6"/>
  <c r="HH69" i="6" s="1"/>
  <c r="IF68" i="6"/>
  <c r="IA68" i="6"/>
  <c r="HO68" i="6"/>
  <c r="GZ68" i="6"/>
  <c r="HA68" i="6" s="1"/>
  <c r="GY68" i="6"/>
  <c r="GV68" i="6"/>
  <c r="GU68" i="6"/>
  <c r="GW68" i="6" s="1"/>
  <c r="GR68" i="6"/>
  <c r="GQ68" i="6"/>
  <c r="GO68" i="6"/>
  <c r="GN68" i="6"/>
  <c r="GM68" i="6"/>
  <c r="GJ68" i="6"/>
  <c r="GI68" i="6"/>
  <c r="GK68" i="6" s="1"/>
  <c r="GG68" i="6"/>
  <c r="GF68" i="6"/>
  <c r="GE68" i="6"/>
  <c r="GB68" i="6"/>
  <c r="GC68" i="6" s="1"/>
  <c r="GA68" i="6"/>
  <c r="FX68" i="6"/>
  <c r="FW68" i="6"/>
  <c r="FY68" i="6" s="1"/>
  <c r="FT68" i="6"/>
  <c r="FS68" i="6"/>
  <c r="FU68" i="6" s="1"/>
  <c r="FP68" i="6"/>
  <c r="FO68" i="6"/>
  <c r="FQ68" i="6" s="1"/>
  <c r="FL68" i="6"/>
  <c r="FK68" i="6"/>
  <c r="FJ68" i="6"/>
  <c r="FI68" i="6"/>
  <c r="FH68" i="6"/>
  <c r="FE68" i="6"/>
  <c r="FD68" i="6"/>
  <c r="FF68" i="6" s="1"/>
  <c r="FB68" i="6"/>
  <c r="FA68" i="6"/>
  <c r="EZ68" i="6"/>
  <c r="HS68" i="6" s="1"/>
  <c r="EW68" i="6"/>
  <c r="EV68" i="6"/>
  <c r="ES68" i="6"/>
  <c r="ER68" i="6"/>
  <c r="ET68" i="6" s="1"/>
  <c r="EO68" i="6"/>
  <c r="EN68" i="6"/>
  <c r="EP68" i="6" s="1"/>
  <c r="EK68" i="6"/>
  <c r="IJ68" i="6" s="1"/>
  <c r="EJ68" i="6"/>
  <c r="II68" i="6" s="1"/>
  <c r="IK68" i="6" s="1"/>
  <c r="EG68" i="6"/>
  <c r="HX68" i="6" s="1"/>
  <c r="EF68" i="6"/>
  <c r="ED68" i="6"/>
  <c r="EC68" i="6"/>
  <c r="EB68" i="6"/>
  <c r="DY68" i="6"/>
  <c r="DX68" i="6"/>
  <c r="DZ68" i="6" s="1"/>
  <c r="DV68" i="6"/>
  <c r="DU68" i="6"/>
  <c r="DR68" i="6"/>
  <c r="DQ68" i="6"/>
  <c r="DN68" i="6"/>
  <c r="DM68" i="6"/>
  <c r="DL68" i="6"/>
  <c r="DI68" i="6"/>
  <c r="DE68" i="6"/>
  <c r="DA68" i="6"/>
  <c r="DB68" i="6" s="1"/>
  <c r="CW68" i="6"/>
  <c r="CX68" i="6" s="1"/>
  <c r="CS68" i="6"/>
  <c r="CT68" i="6" s="1"/>
  <c r="CO68" i="6"/>
  <c r="CP68" i="6" s="1"/>
  <c r="CK68" i="6"/>
  <c r="CG68" i="6"/>
  <c r="CH68" i="6" s="1"/>
  <c r="CF68" i="6"/>
  <c r="HG68" i="6" s="1"/>
  <c r="CD68" i="6"/>
  <c r="CC68" i="6"/>
  <c r="CB68" i="6"/>
  <c r="HK68" i="6" s="1"/>
  <c r="BY68" i="6"/>
  <c r="BZ68" i="6" s="1"/>
  <c r="BU68" i="6"/>
  <c r="BV68" i="6" s="1"/>
  <c r="BQ68" i="6"/>
  <c r="BR68" i="6" s="1"/>
  <c r="BM68" i="6"/>
  <c r="BN68" i="6" s="1"/>
  <c r="BI68" i="6"/>
  <c r="BE68" i="6"/>
  <c r="BF68" i="6" s="1"/>
  <c r="BA68" i="6"/>
  <c r="BB68" i="6" s="1"/>
  <c r="AW68" i="6"/>
  <c r="AX68" i="6" s="1"/>
  <c r="AS68" i="6"/>
  <c r="AT68" i="6" s="1"/>
  <c r="AO68" i="6"/>
  <c r="AP68" i="6" s="1"/>
  <c r="AK68" i="6"/>
  <c r="AL68" i="6" s="1"/>
  <c r="AG68" i="6"/>
  <c r="AH68" i="6" s="1"/>
  <c r="AC68" i="6"/>
  <c r="AD68" i="6" s="1"/>
  <c r="Y68" i="6"/>
  <c r="Z68" i="6" s="1"/>
  <c r="U68" i="6"/>
  <c r="V68" i="6" s="1"/>
  <c r="Q68" i="6"/>
  <c r="R68" i="6" s="1"/>
  <c r="M68" i="6"/>
  <c r="I68" i="6"/>
  <c r="J68" i="6" s="1"/>
  <c r="E68" i="6"/>
  <c r="F68" i="6" s="1"/>
  <c r="IB67" i="6"/>
  <c r="HW67" i="6"/>
  <c r="HO67" i="6"/>
  <c r="HL67" i="6"/>
  <c r="HA67" i="6"/>
  <c r="GZ67" i="6"/>
  <c r="GY67" i="6"/>
  <c r="GV67" i="6"/>
  <c r="GU67" i="6"/>
  <c r="GW67" i="6" s="1"/>
  <c r="GR67" i="6"/>
  <c r="GQ67" i="6"/>
  <c r="GS67" i="6" s="1"/>
  <c r="GN67" i="6"/>
  <c r="GO67" i="6" s="1"/>
  <c r="GM67" i="6"/>
  <c r="GJ67" i="6"/>
  <c r="GI67" i="6"/>
  <c r="GF67" i="6"/>
  <c r="GE67" i="6"/>
  <c r="GG67" i="6" s="1"/>
  <c r="GB67" i="6"/>
  <c r="GA67" i="6"/>
  <c r="GC67" i="6" s="1"/>
  <c r="FX67" i="6"/>
  <c r="FY67" i="6" s="1"/>
  <c r="FW67" i="6"/>
  <c r="FU67" i="6"/>
  <c r="FT67" i="6"/>
  <c r="FS67" i="6"/>
  <c r="FP67" i="6"/>
  <c r="FO67" i="6"/>
  <c r="FQ67" i="6" s="1"/>
  <c r="FM67" i="6"/>
  <c r="FL67" i="6"/>
  <c r="FK67" i="6"/>
  <c r="IE67" i="6" s="1"/>
  <c r="FI67" i="6"/>
  <c r="FJ67" i="6" s="1"/>
  <c r="FH67" i="6"/>
  <c r="FE67" i="6"/>
  <c r="FD67" i="6"/>
  <c r="FA67" i="6"/>
  <c r="EZ67" i="6"/>
  <c r="FB67" i="6" s="1"/>
  <c r="EW67" i="6"/>
  <c r="EV67" i="6"/>
  <c r="EX67" i="6" s="1"/>
  <c r="ES67" i="6"/>
  <c r="ET67" i="6" s="1"/>
  <c r="ER67" i="6"/>
  <c r="EP67" i="6"/>
  <c r="EO67" i="6"/>
  <c r="EN67" i="6"/>
  <c r="HS67" i="6" s="1"/>
  <c r="EK67" i="6"/>
  <c r="IJ67" i="6" s="1"/>
  <c r="EJ67" i="6"/>
  <c r="II67" i="6" s="1"/>
  <c r="IK67" i="6" s="1"/>
  <c r="EH67" i="6"/>
  <c r="EG67" i="6"/>
  <c r="EF67" i="6"/>
  <c r="EC67" i="6"/>
  <c r="ED67" i="6" s="1"/>
  <c r="EB67" i="6"/>
  <c r="DY67" i="6"/>
  <c r="DX67" i="6"/>
  <c r="DZ67" i="6" s="1"/>
  <c r="DU67" i="6"/>
  <c r="DV67" i="6" s="1"/>
  <c r="DQ67" i="6"/>
  <c r="DR67" i="6" s="1"/>
  <c r="DM67" i="6"/>
  <c r="DL67" i="6"/>
  <c r="DN67" i="6" s="1"/>
  <c r="DJ67" i="6"/>
  <c r="DI67" i="6"/>
  <c r="DF67" i="6"/>
  <c r="DE67" i="6"/>
  <c r="DB67" i="6"/>
  <c r="DA67" i="6"/>
  <c r="CZ67" i="6"/>
  <c r="CW67" i="6"/>
  <c r="CX67" i="6" s="1"/>
  <c r="CS67" i="6"/>
  <c r="CT67" i="6" s="1"/>
  <c r="CO67" i="6"/>
  <c r="CP67" i="6" s="1"/>
  <c r="CK67" i="6"/>
  <c r="CL67" i="6" s="1"/>
  <c r="CG67" i="6"/>
  <c r="CH67" i="6" s="1"/>
  <c r="CC67" i="6"/>
  <c r="HD67" i="6" s="1"/>
  <c r="CB67" i="6"/>
  <c r="BZ67" i="6"/>
  <c r="BY67" i="6"/>
  <c r="BV67" i="6"/>
  <c r="BU67" i="6"/>
  <c r="BR67" i="6"/>
  <c r="BQ67" i="6"/>
  <c r="BN67" i="6"/>
  <c r="BM67" i="6"/>
  <c r="BJ67" i="6"/>
  <c r="BI67" i="6"/>
  <c r="BF67" i="6"/>
  <c r="BE67" i="6"/>
  <c r="BB67" i="6"/>
  <c r="BA67" i="6"/>
  <c r="AX67" i="6"/>
  <c r="AW67" i="6"/>
  <c r="AT67" i="6"/>
  <c r="AS67" i="6"/>
  <c r="AP67" i="6"/>
  <c r="AO67" i="6"/>
  <c r="AL67" i="6"/>
  <c r="AK67" i="6"/>
  <c r="AH67" i="6"/>
  <c r="AG67" i="6"/>
  <c r="AD67" i="6"/>
  <c r="AC67" i="6"/>
  <c r="Z67" i="6"/>
  <c r="Y67" i="6"/>
  <c r="V67" i="6"/>
  <c r="U67" i="6"/>
  <c r="R67" i="6"/>
  <c r="Q67" i="6"/>
  <c r="N67" i="6"/>
  <c r="M67" i="6"/>
  <c r="HP67" i="6" s="1"/>
  <c r="HQ67" i="6" s="1"/>
  <c r="J67" i="6"/>
  <c r="I67" i="6"/>
  <c r="F67" i="6"/>
  <c r="E67" i="6"/>
  <c r="HX66" i="6"/>
  <c r="HS66" i="6"/>
  <c r="HO66" i="6"/>
  <c r="HK66" i="6"/>
  <c r="GZ66" i="6"/>
  <c r="GY66" i="6"/>
  <c r="GV66" i="6"/>
  <c r="GU66" i="6"/>
  <c r="GR66" i="6"/>
  <c r="GS66" i="6" s="1"/>
  <c r="GQ66" i="6"/>
  <c r="GN66" i="6"/>
  <c r="GM66" i="6"/>
  <c r="GO66" i="6" s="1"/>
  <c r="GJ66" i="6"/>
  <c r="GI66" i="6"/>
  <c r="GG66" i="6"/>
  <c r="GF66" i="6"/>
  <c r="GE66" i="6"/>
  <c r="GB66" i="6"/>
  <c r="GC66" i="6" s="1"/>
  <c r="GA66" i="6"/>
  <c r="FX66" i="6"/>
  <c r="FW66" i="6"/>
  <c r="FY66" i="6" s="1"/>
  <c r="FT66" i="6"/>
  <c r="FS66" i="6"/>
  <c r="FP66" i="6"/>
  <c r="FO66" i="6"/>
  <c r="FQ66" i="6" s="1"/>
  <c r="FL66" i="6"/>
  <c r="FM66" i="6" s="1"/>
  <c r="FK66" i="6"/>
  <c r="IE66" i="6" s="1"/>
  <c r="FI66" i="6"/>
  <c r="FH66" i="6"/>
  <c r="FJ66" i="6" s="1"/>
  <c r="FE66" i="6"/>
  <c r="IB66" i="6" s="1"/>
  <c r="FD66" i="6"/>
  <c r="FB66" i="6"/>
  <c r="FA66" i="6"/>
  <c r="EZ66" i="6"/>
  <c r="EW66" i="6"/>
  <c r="EV66" i="6"/>
  <c r="EX66" i="6" s="1"/>
  <c r="ET66" i="6"/>
  <c r="ES66" i="6"/>
  <c r="ER66" i="6"/>
  <c r="EO66" i="6"/>
  <c r="EP66" i="6" s="1"/>
  <c r="EN66" i="6"/>
  <c r="EK66" i="6"/>
  <c r="IJ66" i="6" s="1"/>
  <c r="EJ66" i="6"/>
  <c r="EG66" i="6"/>
  <c r="EF66" i="6"/>
  <c r="EH66" i="6" s="1"/>
  <c r="EC66" i="6"/>
  <c r="EB66" i="6"/>
  <c r="ED66" i="6" s="1"/>
  <c r="DY66" i="6"/>
  <c r="DX66" i="6"/>
  <c r="DV66" i="6"/>
  <c r="DU66" i="6"/>
  <c r="DR66" i="6"/>
  <c r="DQ66" i="6"/>
  <c r="DN66" i="6"/>
  <c r="DM66" i="6"/>
  <c r="DL66" i="6"/>
  <c r="DI66" i="6"/>
  <c r="DE66" i="6"/>
  <c r="DF66" i="6" s="1"/>
  <c r="DA66" i="6"/>
  <c r="CZ66" i="6"/>
  <c r="DB66" i="6" s="1"/>
  <c r="CX66" i="6"/>
  <c r="CW66" i="6"/>
  <c r="CT66" i="6"/>
  <c r="CS66" i="6"/>
  <c r="CP66" i="6"/>
  <c r="CO66" i="6"/>
  <c r="CL66" i="6"/>
  <c r="CK66" i="6"/>
  <c r="CH66" i="6"/>
  <c r="CG66" i="6"/>
  <c r="CF66" i="6"/>
  <c r="CC66" i="6"/>
  <c r="CB66" i="6"/>
  <c r="BZ66" i="6"/>
  <c r="BY66" i="6"/>
  <c r="BV66" i="6"/>
  <c r="BU66" i="6"/>
  <c r="BR66" i="6"/>
  <c r="BQ66" i="6"/>
  <c r="BN66" i="6"/>
  <c r="BM66" i="6"/>
  <c r="BJ66" i="6"/>
  <c r="BI66" i="6"/>
  <c r="BF66" i="6"/>
  <c r="BE66" i="6"/>
  <c r="BB66" i="6"/>
  <c r="BA66" i="6"/>
  <c r="AX66" i="6"/>
  <c r="AW66" i="6"/>
  <c r="AT66" i="6"/>
  <c r="AS66" i="6"/>
  <c r="AR66" i="6"/>
  <c r="HC66" i="6" s="1"/>
  <c r="AO66" i="6"/>
  <c r="AP66" i="6" s="1"/>
  <c r="AK66" i="6"/>
  <c r="AL66" i="6" s="1"/>
  <c r="AG66" i="6"/>
  <c r="AH66" i="6" s="1"/>
  <c r="AC66" i="6"/>
  <c r="AD66" i="6" s="1"/>
  <c r="Y66" i="6"/>
  <c r="Z66" i="6" s="1"/>
  <c r="U66" i="6"/>
  <c r="V66" i="6" s="1"/>
  <c r="Q66" i="6"/>
  <c r="R66" i="6" s="1"/>
  <c r="M66" i="6"/>
  <c r="N66" i="6" s="1"/>
  <c r="I66" i="6"/>
  <c r="J66" i="6" s="1"/>
  <c r="E66" i="6"/>
  <c r="IB65" i="6"/>
  <c r="HW65" i="6"/>
  <c r="HO65" i="6"/>
  <c r="HG65" i="6"/>
  <c r="GZ65" i="6"/>
  <c r="GY65" i="6"/>
  <c r="HA65" i="6" s="1"/>
  <c r="GV65" i="6"/>
  <c r="GU65" i="6"/>
  <c r="GW65" i="6" s="1"/>
  <c r="GS65" i="6"/>
  <c r="GR65" i="6"/>
  <c r="GQ65" i="6"/>
  <c r="GN65" i="6"/>
  <c r="GM65" i="6"/>
  <c r="GK65" i="6"/>
  <c r="GJ65" i="6"/>
  <c r="GI65" i="6"/>
  <c r="GF65" i="6"/>
  <c r="GG65" i="6" s="1"/>
  <c r="GE65" i="6"/>
  <c r="GB65" i="6"/>
  <c r="GA65" i="6"/>
  <c r="GC65" i="6" s="1"/>
  <c r="FX65" i="6"/>
  <c r="FW65" i="6"/>
  <c r="FT65" i="6"/>
  <c r="FS65" i="6"/>
  <c r="FU65" i="6" s="1"/>
  <c r="FP65" i="6"/>
  <c r="FO65" i="6"/>
  <c r="FQ65" i="6" s="1"/>
  <c r="FM65" i="6"/>
  <c r="FL65" i="6"/>
  <c r="IF65" i="6" s="1"/>
  <c r="FK65" i="6"/>
  <c r="IE65" i="6" s="1"/>
  <c r="IG65" i="6" s="1"/>
  <c r="FI65" i="6"/>
  <c r="FH65" i="6"/>
  <c r="FF65" i="6"/>
  <c r="FE65" i="6"/>
  <c r="FD65" i="6"/>
  <c r="IA65" i="6" s="1"/>
  <c r="FA65" i="6"/>
  <c r="EZ65" i="6"/>
  <c r="FB65" i="6" s="1"/>
  <c r="EW65" i="6"/>
  <c r="EV65" i="6"/>
  <c r="EX65" i="6" s="1"/>
  <c r="ES65" i="6"/>
  <c r="ER65" i="6"/>
  <c r="EO65" i="6"/>
  <c r="EN65" i="6"/>
  <c r="EK65" i="6"/>
  <c r="IJ65" i="6" s="1"/>
  <c r="EJ65" i="6"/>
  <c r="II65" i="6" s="1"/>
  <c r="EH65" i="6"/>
  <c r="EG65" i="6"/>
  <c r="EF65" i="6"/>
  <c r="EC65" i="6"/>
  <c r="EB65" i="6"/>
  <c r="DZ65" i="6"/>
  <c r="DY65" i="6"/>
  <c r="DX65" i="6"/>
  <c r="DU65" i="6"/>
  <c r="DV65" i="6" s="1"/>
  <c r="DQ65" i="6"/>
  <c r="DR65" i="6" s="1"/>
  <c r="DM65" i="6"/>
  <c r="DL65" i="6"/>
  <c r="DN65" i="6" s="1"/>
  <c r="DJ65" i="6"/>
  <c r="DI65" i="6"/>
  <c r="DF65" i="6"/>
  <c r="DE65" i="6"/>
  <c r="DB65" i="6"/>
  <c r="DA65" i="6"/>
  <c r="CZ65" i="6"/>
  <c r="CW65" i="6"/>
  <c r="CX65" i="6" s="1"/>
  <c r="CS65" i="6"/>
  <c r="CT65" i="6" s="1"/>
  <c r="CO65" i="6"/>
  <c r="CP65" i="6" s="1"/>
  <c r="CK65" i="6"/>
  <c r="CL65" i="6" s="1"/>
  <c r="CG65" i="6"/>
  <c r="CF65" i="6"/>
  <c r="CD65" i="6"/>
  <c r="CC65" i="6"/>
  <c r="CB65" i="6"/>
  <c r="BY65" i="6"/>
  <c r="BZ65" i="6" s="1"/>
  <c r="BU65" i="6"/>
  <c r="BQ65" i="6"/>
  <c r="BR65" i="6" s="1"/>
  <c r="BM65" i="6"/>
  <c r="BN65" i="6" s="1"/>
  <c r="BI65" i="6"/>
  <c r="BJ65" i="6" s="1"/>
  <c r="BE65" i="6"/>
  <c r="BF65" i="6" s="1"/>
  <c r="BA65" i="6"/>
  <c r="BB65" i="6" s="1"/>
  <c r="AW65" i="6"/>
  <c r="AX65" i="6" s="1"/>
  <c r="AS65" i="6"/>
  <c r="AT65" i="6" s="1"/>
  <c r="AO65" i="6"/>
  <c r="AP65" i="6" s="1"/>
  <c r="AK65" i="6"/>
  <c r="AL65" i="6" s="1"/>
  <c r="AG65" i="6"/>
  <c r="AH65" i="6" s="1"/>
  <c r="AC65" i="6"/>
  <c r="AD65" i="6" s="1"/>
  <c r="Y65" i="6"/>
  <c r="Z65" i="6" s="1"/>
  <c r="U65" i="6"/>
  <c r="V65" i="6" s="1"/>
  <c r="Q65" i="6"/>
  <c r="R65" i="6" s="1"/>
  <c r="M65" i="6"/>
  <c r="I65" i="6"/>
  <c r="J65" i="6" s="1"/>
  <c r="E65" i="6"/>
  <c r="IE64" i="6"/>
  <c r="HT64" i="6"/>
  <c r="HO64" i="6"/>
  <c r="HA64" i="6"/>
  <c r="GZ64" i="6"/>
  <c r="GY64" i="6"/>
  <c r="GV64" i="6"/>
  <c r="IB64" i="6" s="1"/>
  <c r="GU64" i="6"/>
  <c r="GS64" i="6"/>
  <c r="GR64" i="6"/>
  <c r="GQ64" i="6"/>
  <c r="GN64" i="6"/>
  <c r="GM64" i="6"/>
  <c r="GO64" i="6" s="1"/>
  <c r="GJ64" i="6"/>
  <c r="GI64" i="6"/>
  <c r="GK64" i="6" s="1"/>
  <c r="GF64" i="6"/>
  <c r="GE64" i="6"/>
  <c r="GB64" i="6"/>
  <c r="GA64" i="6"/>
  <c r="GC64" i="6" s="1"/>
  <c r="FX64" i="6"/>
  <c r="FY64" i="6" s="1"/>
  <c r="FW64" i="6"/>
  <c r="FU64" i="6"/>
  <c r="FT64" i="6"/>
  <c r="FS64" i="6"/>
  <c r="FP64" i="6"/>
  <c r="FO64" i="6"/>
  <c r="FM64" i="6"/>
  <c r="FL64" i="6"/>
  <c r="FK64" i="6"/>
  <c r="FI64" i="6"/>
  <c r="FJ64" i="6" s="1"/>
  <c r="FH64" i="6"/>
  <c r="FE64" i="6"/>
  <c r="FD64" i="6"/>
  <c r="FA64" i="6"/>
  <c r="EZ64" i="6"/>
  <c r="EW64" i="6"/>
  <c r="EV64" i="6"/>
  <c r="ES64" i="6"/>
  <c r="ER64" i="6"/>
  <c r="ET64" i="6" s="1"/>
  <c r="EP64" i="6"/>
  <c r="EO64" i="6"/>
  <c r="EN64" i="6"/>
  <c r="HS64" i="6" s="1"/>
  <c r="EK64" i="6"/>
  <c r="IJ64" i="6" s="1"/>
  <c r="EJ64" i="6"/>
  <c r="II64" i="6" s="1"/>
  <c r="EH64" i="6"/>
  <c r="EG64" i="6"/>
  <c r="EF64" i="6"/>
  <c r="HW64" i="6" s="1"/>
  <c r="EC64" i="6"/>
  <c r="EB64" i="6"/>
  <c r="ED64" i="6" s="1"/>
  <c r="DY64" i="6"/>
  <c r="DX64" i="6"/>
  <c r="DZ64" i="6" s="1"/>
  <c r="DU64" i="6"/>
  <c r="DV64" i="6" s="1"/>
  <c r="DQ64" i="6"/>
  <c r="DR64" i="6" s="1"/>
  <c r="DM64" i="6"/>
  <c r="DL64" i="6"/>
  <c r="DJ64" i="6"/>
  <c r="DI64" i="6"/>
  <c r="DF64" i="6"/>
  <c r="DE64" i="6"/>
  <c r="DB64" i="6"/>
  <c r="DA64" i="6"/>
  <c r="CZ64" i="6"/>
  <c r="CW64" i="6"/>
  <c r="CX64" i="6" s="1"/>
  <c r="CS64" i="6"/>
  <c r="CT64" i="6" s="1"/>
  <c r="CO64" i="6"/>
  <c r="CP64" i="6" s="1"/>
  <c r="CK64" i="6"/>
  <c r="CL64" i="6" s="1"/>
  <c r="CG64" i="6"/>
  <c r="CF64" i="6"/>
  <c r="CH64" i="6" s="1"/>
  <c r="CC64" i="6"/>
  <c r="CB64" i="6"/>
  <c r="BY64" i="6"/>
  <c r="BZ64" i="6" s="1"/>
  <c r="BU64" i="6"/>
  <c r="BV64" i="6" s="1"/>
  <c r="BQ64" i="6"/>
  <c r="BR64" i="6" s="1"/>
  <c r="BM64" i="6"/>
  <c r="BN64" i="6" s="1"/>
  <c r="BI64" i="6"/>
  <c r="BE64" i="6"/>
  <c r="BF64" i="6" s="1"/>
  <c r="BA64" i="6"/>
  <c r="BB64" i="6" s="1"/>
  <c r="AW64" i="6"/>
  <c r="AX64" i="6" s="1"/>
  <c r="AS64" i="6"/>
  <c r="AT64" i="6" s="1"/>
  <c r="AO64" i="6"/>
  <c r="AP64" i="6" s="1"/>
  <c r="AK64" i="6"/>
  <c r="AL64" i="6" s="1"/>
  <c r="AG64" i="6"/>
  <c r="AH64" i="6" s="1"/>
  <c r="AC64" i="6"/>
  <c r="AD64" i="6" s="1"/>
  <c r="Y64" i="6"/>
  <c r="Z64" i="6" s="1"/>
  <c r="U64" i="6"/>
  <c r="V64" i="6" s="1"/>
  <c r="Q64" i="6"/>
  <c r="R64" i="6" s="1"/>
  <c r="M64" i="6"/>
  <c r="I64" i="6"/>
  <c r="J64" i="6" s="1"/>
  <c r="E64" i="6"/>
  <c r="IB63" i="6"/>
  <c r="HW63" i="6"/>
  <c r="HO63" i="6"/>
  <c r="HA63" i="6"/>
  <c r="GZ63" i="6"/>
  <c r="GY63" i="6"/>
  <c r="GV63" i="6"/>
  <c r="GW63" i="6" s="1"/>
  <c r="GU63" i="6"/>
  <c r="GR63" i="6"/>
  <c r="GQ63" i="6"/>
  <c r="GS63" i="6" s="1"/>
  <c r="GN63" i="6"/>
  <c r="GM63" i="6"/>
  <c r="GJ63" i="6"/>
  <c r="GI63" i="6"/>
  <c r="GF63" i="6"/>
  <c r="GG63" i="6" s="1"/>
  <c r="GE63" i="6"/>
  <c r="GC63" i="6"/>
  <c r="GB63" i="6"/>
  <c r="GA63" i="6"/>
  <c r="FX63" i="6"/>
  <c r="FW63" i="6"/>
  <c r="FU63" i="6"/>
  <c r="FT63" i="6"/>
  <c r="FS63" i="6"/>
  <c r="FP63" i="6"/>
  <c r="FQ63" i="6" s="1"/>
  <c r="FO63" i="6"/>
  <c r="FL63" i="6"/>
  <c r="FK63" i="6"/>
  <c r="IE63" i="6" s="1"/>
  <c r="FI63" i="6"/>
  <c r="FH63" i="6"/>
  <c r="FE63" i="6"/>
  <c r="FD63" i="6"/>
  <c r="FA63" i="6"/>
  <c r="FB63" i="6" s="1"/>
  <c r="EZ63" i="6"/>
  <c r="EX63" i="6"/>
  <c r="EW63" i="6"/>
  <c r="EV63" i="6"/>
  <c r="ES63" i="6"/>
  <c r="ER63" i="6"/>
  <c r="EP63" i="6"/>
  <c r="EO63" i="6"/>
  <c r="EN63" i="6"/>
  <c r="HS63" i="6" s="1"/>
  <c r="EK63" i="6"/>
  <c r="EL63" i="6" s="1"/>
  <c r="EJ63" i="6"/>
  <c r="II63" i="6" s="1"/>
  <c r="EG63" i="6"/>
  <c r="EF63" i="6"/>
  <c r="EH63" i="6" s="1"/>
  <c r="EC63" i="6"/>
  <c r="EB63" i="6"/>
  <c r="DY63" i="6"/>
  <c r="DX63" i="6"/>
  <c r="DZ63" i="6" s="1"/>
  <c r="DU63" i="6"/>
  <c r="DV63" i="6" s="1"/>
  <c r="DQ63" i="6"/>
  <c r="DR63" i="6" s="1"/>
  <c r="DM63" i="6"/>
  <c r="DN63" i="6" s="1"/>
  <c r="DL63" i="6"/>
  <c r="DI63" i="6"/>
  <c r="DE63" i="6"/>
  <c r="DB63" i="6"/>
  <c r="DA63" i="6"/>
  <c r="CZ63" i="6"/>
  <c r="CW63" i="6"/>
  <c r="CX63" i="6" s="1"/>
  <c r="CS63" i="6"/>
  <c r="CT63" i="6" s="1"/>
  <c r="CO63" i="6"/>
  <c r="CP63" i="6" s="1"/>
  <c r="CK63" i="6"/>
  <c r="CL63" i="6" s="1"/>
  <c r="CG63" i="6"/>
  <c r="CH63" i="6" s="1"/>
  <c r="CF63" i="6"/>
  <c r="CD63" i="6"/>
  <c r="CC63" i="6"/>
  <c r="CB63" i="6"/>
  <c r="BY63" i="6"/>
  <c r="BZ63" i="6" s="1"/>
  <c r="BU63" i="6"/>
  <c r="BQ63" i="6"/>
  <c r="BR63" i="6" s="1"/>
  <c r="BM63" i="6"/>
  <c r="BN63" i="6" s="1"/>
  <c r="BI63" i="6"/>
  <c r="BJ63" i="6" s="1"/>
  <c r="BE63" i="6"/>
  <c r="BF63" i="6" s="1"/>
  <c r="BA63" i="6"/>
  <c r="BB63" i="6" s="1"/>
  <c r="AW63" i="6"/>
  <c r="AX63" i="6" s="1"/>
  <c r="AS63" i="6"/>
  <c r="AT63" i="6" s="1"/>
  <c r="AO63" i="6"/>
  <c r="AP63" i="6" s="1"/>
  <c r="AK63" i="6"/>
  <c r="AL63" i="6" s="1"/>
  <c r="AG63" i="6"/>
  <c r="AH63" i="6" s="1"/>
  <c r="AC63" i="6"/>
  <c r="AD63" i="6" s="1"/>
  <c r="Y63" i="6"/>
  <c r="Z63" i="6" s="1"/>
  <c r="U63" i="6"/>
  <c r="V63" i="6" s="1"/>
  <c r="Q63" i="6"/>
  <c r="R63" i="6" s="1"/>
  <c r="M63" i="6"/>
  <c r="I63" i="6"/>
  <c r="J63" i="6" s="1"/>
  <c r="E63" i="6"/>
  <c r="IE62" i="6"/>
  <c r="IG62" i="6" s="1"/>
  <c r="HO62" i="6"/>
  <c r="HA62" i="6"/>
  <c r="GZ62" i="6"/>
  <c r="GY62" i="6"/>
  <c r="GV62" i="6"/>
  <c r="IB62" i="6" s="1"/>
  <c r="GU62" i="6"/>
  <c r="GS62" i="6"/>
  <c r="GR62" i="6"/>
  <c r="GQ62" i="6"/>
  <c r="GN62" i="6"/>
  <c r="GO62" i="6" s="1"/>
  <c r="GM62" i="6"/>
  <c r="GJ62" i="6"/>
  <c r="GI62" i="6"/>
  <c r="GK62" i="6" s="1"/>
  <c r="GF62" i="6"/>
  <c r="GE62" i="6"/>
  <c r="GB62" i="6"/>
  <c r="GA62" i="6"/>
  <c r="GC62" i="6" s="1"/>
  <c r="FX62" i="6"/>
  <c r="FY62" i="6" s="1"/>
  <c r="FW62" i="6"/>
  <c r="FU62" i="6"/>
  <c r="FT62" i="6"/>
  <c r="IF62" i="6" s="1"/>
  <c r="FS62" i="6"/>
  <c r="FP62" i="6"/>
  <c r="FO62" i="6"/>
  <c r="FM62" i="6"/>
  <c r="FL62" i="6"/>
  <c r="FK62" i="6"/>
  <c r="FI62" i="6"/>
  <c r="FJ62" i="6" s="1"/>
  <c r="FH62" i="6"/>
  <c r="FE62" i="6"/>
  <c r="FD62" i="6"/>
  <c r="FA62" i="6"/>
  <c r="HT62" i="6" s="1"/>
  <c r="EZ62" i="6"/>
  <c r="EW62" i="6"/>
  <c r="EV62" i="6"/>
  <c r="ES62" i="6"/>
  <c r="ET62" i="6" s="1"/>
  <c r="ER62" i="6"/>
  <c r="EP62" i="6"/>
  <c r="EO62" i="6"/>
  <c r="EN62" i="6"/>
  <c r="HS62" i="6" s="1"/>
  <c r="EK62" i="6"/>
  <c r="IJ62" i="6" s="1"/>
  <c r="EJ62" i="6"/>
  <c r="II62" i="6" s="1"/>
  <c r="EH62" i="6"/>
  <c r="EG62" i="6"/>
  <c r="EF62" i="6"/>
  <c r="HW62" i="6" s="1"/>
  <c r="EC62" i="6"/>
  <c r="ED62" i="6" s="1"/>
  <c r="EB62" i="6"/>
  <c r="DY62" i="6"/>
  <c r="DX62" i="6"/>
  <c r="DZ62" i="6" s="1"/>
  <c r="DU62" i="6"/>
  <c r="DV62" i="6" s="1"/>
  <c r="DQ62" i="6"/>
  <c r="DR62" i="6" s="1"/>
  <c r="DM62" i="6"/>
  <c r="DL62" i="6"/>
  <c r="DJ62" i="6"/>
  <c r="DI62" i="6"/>
  <c r="DF62" i="6"/>
  <c r="DE62" i="6"/>
  <c r="DB62" i="6"/>
  <c r="DA62" i="6"/>
  <c r="CZ62" i="6"/>
  <c r="CW62" i="6"/>
  <c r="CX62" i="6" s="1"/>
  <c r="CS62" i="6"/>
  <c r="CT62" i="6" s="1"/>
  <c r="CO62" i="6"/>
  <c r="CP62" i="6" s="1"/>
  <c r="CK62" i="6"/>
  <c r="CL62" i="6" s="1"/>
  <c r="CG62" i="6"/>
  <c r="CH62" i="6" s="1"/>
  <c r="CF62" i="6"/>
  <c r="CC62" i="6"/>
  <c r="CB62" i="6"/>
  <c r="BY62" i="6"/>
  <c r="BZ62" i="6" s="1"/>
  <c r="BU62" i="6"/>
  <c r="BV62" i="6" s="1"/>
  <c r="BQ62" i="6"/>
  <c r="BR62" i="6" s="1"/>
  <c r="BM62" i="6"/>
  <c r="BN62" i="6" s="1"/>
  <c r="BI62" i="6"/>
  <c r="BE62" i="6"/>
  <c r="BF62" i="6" s="1"/>
  <c r="BA62" i="6"/>
  <c r="BB62" i="6" s="1"/>
  <c r="AW62" i="6"/>
  <c r="AX62" i="6" s="1"/>
  <c r="AS62" i="6"/>
  <c r="AT62" i="6" s="1"/>
  <c r="AO62" i="6"/>
  <c r="AP62" i="6" s="1"/>
  <c r="AK62" i="6"/>
  <c r="AL62" i="6" s="1"/>
  <c r="AG62" i="6"/>
  <c r="AH62" i="6" s="1"/>
  <c r="AC62" i="6"/>
  <c r="AD62" i="6" s="1"/>
  <c r="Y62" i="6"/>
  <c r="Z62" i="6" s="1"/>
  <c r="U62" i="6"/>
  <c r="V62" i="6" s="1"/>
  <c r="Q62" i="6"/>
  <c r="R62" i="6" s="1"/>
  <c r="M62" i="6"/>
  <c r="I62" i="6"/>
  <c r="J62" i="6" s="1"/>
  <c r="E62" i="6"/>
  <c r="IB61" i="6"/>
  <c r="HW61" i="6"/>
  <c r="HO61" i="6"/>
  <c r="HL61" i="6"/>
  <c r="HA61" i="6"/>
  <c r="GZ61" i="6"/>
  <c r="GY61" i="6"/>
  <c r="GV61" i="6"/>
  <c r="GU61" i="6"/>
  <c r="GW61" i="6" s="1"/>
  <c r="GR61" i="6"/>
  <c r="GQ61" i="6"/>
  <c r="GS61" i="6" s="1"/>
  <c r="GN61" i="6"/>
  <c r="GO61" i="6" s="1"/>
  <c r="GM61" i="6"/>
  <c r="GJ61" i="6"/>
  <c r="GI61" i="6"/>
  <c r="GF61" i="6"/>
  <c r="GE61" i="6"/>
  <c r="GG61" i="6" s="1"/>
  <c r="GC61" i="6"/>
  <c r="GB61" i="6"/>
  <c r="GA61" i="6"/>
  <c r="FX61" i="6"/>
  <c r="FY61" i="6" s="1"/>
  <c r="FW61" i="6"/>
  <c r="FU61" i="6"/>
  <c r="FT61" i="6"/>
  <c r="FS61" i="6"/>
  <c r="FP61" i="6"/>
  <c r="FO61" i="6"/>
  <c r="FQ61" i="6" s="1"/>
  <c r="FL61" i="6"/>
  <c r="FK61" i="6"/>
  <c r="IE61" i="6" s="1"/>
  <c r="FI61" i="6"/>
  <c r="FJ61" i="6" s="1"/>
  <c r="FH61" i="6"/>
  <c r="FE61" i="6"/>
  <c r="FD61" i="6"/>
  <c r="FA61" i="6"/>
  <c r="EZ61" i="6"/>
  <c r="FB61" i="6" s="1"/>
  <c r="EX61" i="6"/>
  <c r="EW61" i="6"/>
  <c r="EV61" i="6"/>
  <c r="ES61" i="6"/>
  <c r="ET61" i="6" s="1"/>
  <c r="ER61" i="6"/>
  <c r="EP61" i="6"/>
  <c r="EO61" i="6"/>
  <c r="EN61" i="6"/>
  <c r="HS61" i="6" s="1"/>
  <c r="EK61" i="6"/>
  <c r="IJ61" i="6" s="1"/>
  <c r="EJ61" i="6"/>
  <c r="II61" i="6" s="1"/>
  <c r="EG61" i="6"/>
  <c r="EF61" i="6"/>
  <c r="EH61" i="6" s="1"/>
  <c r="EC61" i="6"/>
  <c r="ED61" i="6" s="1"/>
  <c r="EB61" i="6"/>
  <c r="DY61" i="6"/>
  <c r="DX61" i="6"/>
  <c r="DZ61" i="6" s="1"/>
  <c r="DU61" i="6"/>
  <c r="DV61" i="6" s="1"/>
  <c r="DQ61" i="6"/>
  <c r="DR61" i="6" s="1"/>
  <c r="DM61" i="6"/>
  <c r="DL61" i="6"/>
  <c r="DN61" i="6" s="1"/>
  <c r="DJ61" i="6"/>
  <c r="DI61" i="6"/>
  <c r="DF61" i="6"/>
  <c r="DE61" i="6"/>
  <c r="DA61" i="6"/>
  <c r="CZ61" i="6"/>
  <c r="DB61" i="6" s="1"/>
  <c r="CW61" i="6"/>
  <c r="CX61" i="6" s="1"/>
  <c r="CS61" i="6"/>
  <c r="CT61" i="6" s="1"/>
  <c r="CO61" i="6"/>
  <c r="CP61" i="6" s="1"/>
  <c r="CK61" i="6"/>
  <c r="CL61" i="6" s="1"/>
  <c r="CG61" i="6"/>
  <c r="CH61" i="6" s="1"/>
  <c r="CF61" i="6"/>
  <c r="CC61" i="6"/>
  <c r="CB61" i="6"/>
  <c r="BY61" i="6"/>
  <c r="BZ61" i="6" s="1"/>
  <c r="BU61" i="6"/>
  <c r="BV61" i="6" s="1"/>
  <c r="BQ61" i="6"/>
  <c r="BR61" i="6" s="1"/>
  <c r="BM61" i="6"/>
  <c r="BN61" i="6" s="1"/>
  <c r="BI61" i="6"/>
  <c r="BJ61" i="6" s="1"/>
  <c r="BE61" i="6"/>
  <c r="BF61" i="6" s="1"/>
  <c r="BA61" i="6"/>
  <c r="BB61" i="6" s="1"/>
  <c r="AW61" i="6"/>
  <c r="AX61" i="6" s="1"/>
  <c r="AS61" i="6"/>
  <c r="AT61" i="6" s="1"/>
  <c r="AO61" i="6"/>
  <c r="AP61" i="6" s="1"/>
  <c r="AK61" i="6"/>
  <c r="AL61" i="6" s="1"/>
  <c r="AG61" i="6"/>
  <c r="AH61" i="6" s="1"/>
  <c r="AC61" i="6"/>
  <c r="AD61" i="6" s="1"/>
  <c r="Y61" i="6"/>
  <c r="Z61" i="6" s="1"/>
  <c r="U61" i="6"/>
  <c r="V61" i="6" s="1"/>
  <c r="Q61" i="6"/>
  <c r="R61" i="6" s="1"/>
  <c r="M61" i="6"/>
  <c r="I61" i="6"/>
  <c r="J61" i="6" s="1"/>
  <c r="E61" i="6"/>
  <c r="HO60" i="6"/>
  <c r="HD60" i="6"/>
  <c r="GZ60" i="6"/>
  <c r="GY60" i="6"/>
  <c r="HA60" i="6" s="1"/>
  <c r="GV60" i="6"/>
  <c r="IB60" i="6" s="1"/>
  <c r="GU60" i="6"/>
  <c r="GR60" i="6"/>
  <c r="GQ60" i="6"/>
  <c r="GS60" i="6" s="1"/>
  <c r="GN60" i="6"/>
  <c r="GO60" i="6" s="1"/>
  <c r="GM60" i="6"/>
  <c r="GK60" i="6"/>
  <c r="GJ60" i="6"/>
  <c r="GI60" i="6"/>
  <c r="GF60" i="6"/>
  <c r="GE60" i="6"/>
  <c r="GC60" i="6"/>
  <c r="GB60" i="6"/>
  <c r="GA60" i="6"/>
  <c r="FX60" i="6"/>
  <c r="FY60" i="6" s="1"/>
  <c r="FW60" i="6"/>
  <c r="FT60" i="6"/>
  <c r="IF60" i="6" s="1"/>
  <c r="FS60" i="6"/>
  <c r="FU60" i="6" s="1"/>
  <c r="FP60" i="6"/>
  <c r="FO60" i="6"/>
  <c r="FL60" i="6"/>
  <c r="FK60" i="6"/>
  <c r="FI60" i="6"/>
  <c r="FJ60" i="6" s="1"/>
  <c r="FH60" i="6"/>
  <c r="FF60" i="6"/>
  <c r="FE60" i="6"/>
  <c r="FD60" i="6"/>
  <c r="FA60" i="6"/>
  <c r="EZ60" i="6"/>
  <c r="EX60" i="6"/>
  <c r="EW60" i="6"/>
  <c r="EV60" i="6"/>
  <c r="HG60" i="6" s="1"/>
  <c r="ES60" i="6"/>
  <c r="ET60" i="6" s="1"/>
  <c r="ER60" i="6"/>
  <c r="EO60" i="6"/>
  <c r="EN60" i="6"/>
  <c r="HS60" i="6" s="1"/>
  <c r="EK60" i="6"/>
  <c r="IJ60" i="6" s="1"/>
  <c r="EJ60" i="6"/>
  <c r="II60" i="6" s="1"/>
  <c r="EG60" i="6"/>
  <c r="HX60" i="6" s="1"/>
  <c r="EF60" i="6"/>
  <c r="EC60" i="6"/>
  <c r="ED60" i="6" s="1"/>
  <c r="EB60" i="6"/>
  <c r="DZ60" i="6"/>
  <c r="DY60" i="6"/>
  <c r="DX60" i="6"/>
  <c r="DU60" i="6"/>
  <c r="DV60" i="6" s="1"/>
  <c r="DQ60" i="6"/>
  <c r="DR60" i="6" s="1"/>
  <c r="DM60" i="6"/>
  <c r="DL60" i="6"/>
  <c r="DJ60" i="6"/>
  <c r="DI60" i="6"/>
  <c r="DF60" i="6"/>
  <c r="DE60" i="6"/>
  <c r="DA60" i="6"/>
  <c r="CZ60" i="6"/>
  <c r="DB60" i="6" s="1"/>
  <c r="CW60" i="6"/>
  <c r="CX60" i="6" s="1"/>
  <c r="CS60" i="6"/>
  <c r="CT60" i="6" s="1"/>
  <c r="CO60" i="6"/>
  <c r="CP60" i="6" s="1"/>
  <c r="CK60" i="6"/>
  <c r="CG60" i="6"/>
  <c r="CH60" i="6" s="1"/>
  <c r="CF60" i="6"/>
  <c r="CD60" i="6"/>
  <c r="CC60" i="6"/>
  <c r="CB60" i="6"/>
  <c r="BY60" i="6"/>
  <c r="BZ60" i="6" s="1"/>
  <c r="BU60" i="6"/>
  <c r="BV60" i="6" s="1"/>
  <c r="BQ60" i="6"/>
  <c r="BR60" i="6" s="1"/>
  <c r="BM60" i="6"/>
  <c r="BN60" i="6" s="1"/>
  <c r="BI60" i="6"/>
  <c r="BJ60" i="6" s="1"/>
  <c r="BE60" i="6"/>
  <c r="BF60" i="6" s="1"/>
  <c r="BA60" i="6"/>
  <c r="BB60" i="6" s="1"/>
  <c r="AW60" i="6"/>
  <c r="AX60" i="6" s="1"/>
  <c r="AS60" i="6"/>
  <c r="AT60" i="6" s="1"/>
  <c r="AO60" i="6"/>
  <c r="AP60" i="6" s="1"/>
  <c r="AK60" i="6"/>
  <c r="AL60" i="6" s="1"/>
  <c r="AG60" i="6"/>
  <c r="AH60" i="6" s="1"/>
  <c r="AC60" i="6"/>
  <c r="AD60" i="6" s="1"/>
  <c r="Y60" i="6"/>
  <c r="Z60" i="6" s="1"/>
  <c r="U60" i="6"/>
  <c r="V60" i="6" s="1"/>
  <c r="Q60" i="6"/>
  <c r="R60" i="6" s="1"/>
  <c r="M60" i="6"/>
  <c r="I60" i="6"/>
  <c r="J60" i="6" s="1"/>
  <c r="E60" i="6"/>
  <c r="IB59" i="6"/>
  <c r="HW59" i="6"/>
  <c r="HO59" i="6"/>
  <c r="HG59" i="6"/>
  <c r="GZ59" i="6"/>
  <c r="GY59" i="6"/>
  <c r="HA59" i="6" s="1"/>
  <c r="GV59" i="6"/>
  <c r="GU59" i="6"/>
  <c r="GW59" i="6" s="1"/>
  <c r="GS59" i="6"/>
  <c r="GR59" i="6"/>
  <c r="GQ59" i="6"/>
  <c r="GN59" i="6"/>
  <c r="GO59" i="6" s="1"/>
  <c r="GM59" i="6"/>
  <c r="GK59" i="6"/>
  <c r="GJ59" i="6"/>
  <c r="GI59" i="6"/>
  <c r="GF59" i="6"/>
  <c r="GE59" i="6"/>
  <c r="GG59" i="6" s="1"/>
  <c r="GB59" i="6"/>
  <c r="GA59" i="6"/>
  <c r="GC59" i="6" s="1"/>
  <c r="FX59" i="6"/>
  <c r="FY59" i="6" s="1"/>
  <c r="FW59" i="6"/>
  <c r="FT59" i="6"/>
  <c r="FS59" i="6"/>
  <c r="FP59" i="6"/>
  <c r="FO59" i="6"/>
  <c r="FQ59" i="6" s="1"/>
  <c r="FM59" i="6"/>
  <c r="FL59" i="6"/>
  <c r="FK59" i="6"/>
  <c r="FI59" i="6"/>
  <c r="FJ59" i="6" s="1"/>
  <c r="FH59" i="6"/>
  <c r="FF59" i="6"/>
  <c r="FE59" i="6"/>
  <c r="FD59" i="6"/>
  <c r="IA59" i="6" s="1"/>
  <c r="FA59" i="6"/>
  <c r="EZ59" i="6"/>
  <c r="FB59" i="6" s="1"/>
  <c r="EW59" i="6"/>
  <c r="EV59" i="6"/>
  <c r="EX59" i="6" s="1"/>
  <c r="ES59" i="6"/>
  <c r="ET59" i="6" s="1"/>
  <c r="ER59" i="6"/>
  <c r="EO59" i="6"/>
  <c r="EN59" i="6"/>
  <c r="EK59" i="6"/>
  <c r="IJ59" i="6" s="1"/>
  <c r="EJ59" i="6"/>
  <c r="II59" i="6" s="1"/>
  <c r="EH59" i="6"/>
  <c r="EG59" i="6"/>
  <c r="HX59" i="6" s="1"/>
  <c r="EF59" i="6"/>
  <c r="EC59" i="6"/>
  <c r="ED59" i="6" s="1"/>
  <c r="EB59" i="6"/>
  <c r="DZ59" i="6"/>
  <c r="DY59" i="6"/>
  <c r="DX59" i="6"/>
  <c r="DU59" i="6"/>
  <c r="DV59" i="6" s="1"/>
  <c r="DQ59" i="6"/>
  <c r="DR59" i="6" s="1"/>
  <c r="DM59" i="6"/>
  <c r="DL59" i="6"/>
  <c r="DN59" i="6" s="1"/>
  <c r="DJ59" i="6"/>
  <c r="DI59" i="6"/>
  <c r="DF59" i="6"/>
  <c r="DE59" i="6"/>
  <c r="DB59" i="6"/>
  <c r="DA59" i="6"/>
  <c r="CZ59" i="6"/>
  <c r="CW59" i="6"/>
  <c r="CX59" i="6" s="1"/>
  <c r="CS59" i="6"/>
  <c r="CT59" i="6" s="1"/>
  <c r="CO59" i="6"/>
  <c r="CP59" i="6" s="1"/>
  <c r="CK59" i="6"/>
  <c r="CL59" i="6" s="1"/>
  <c r="CG59" i="6"/>
  <c r="CH59" i="6" s="1"/>
  <c r="CF59" i="6"/>
  <c r="CD59" i="6"/>
  <c r="CC59" i="6"/>
  <c r="CB59" i="6"/>
  <c r="BY59" i="6"/>
  <c r="BZ59" i="6" s="1"/>
  <c r="BU59" i="6"/>
  <c r="BQ59" i="6"/>
  <c r="BR59" i="6" s="1"/>
  <c r="BM59" i="6"/>
  <c r="BN59" i="6" s="1"/>
  <c r="BI59" i="6"/>
  <c r="BJ59" i="6" s="1"/>
  <c r="BE59" i="6"/>
  <c r="BF59" i="6" s="1"/>
  <c r="BA59" i="6"/>
  <c r="BB59" i="6" s="1"/>
  <c r="AW59" i="6"/>
  <c r="AX59" i="6" s="1"/>
  <c r="AS59" i="6"/>
  <c r="AT59" i="6" s="1"/>
  <c r="AO59" i="6"/>
  <c r="AP59" i="6" s="1"/>
  <c r="AK59" i="6"/>
  <c r="AL59" i="6" s="1"/>
  <c r="AG59" i="6"/>
  <c r="AH59" i="6" s="1"/>
  <c r="AC59" i="6"/>
  <c r="AD59" i="6" s="1"/>
  <c r="Y59" i="6"/>
  <c r="Z59" i="6" s="1"/>
  <c r="U59" i="6"/>
  <c r="V59" i="6" s="1"/>
  <c r="Q59" i="6"/>
  <c r="R59" i="6" s="1"/>
  <c r="M59" i="6"/>
  <c r="I59" i="6"/>
  <c r="J59" i="6" s="1"/>
  <c r="E59" i="6"/>
  <c r="IJ58" i="6"/>
  <c r="IE58" i="6"/>
  <c r="HO58" i="6"/>
  <c r="HA58" i="6"/>
  <c r="GZ58" i="6"/>
  <c r="GY58" i="6"/>
  <c r="GV58" i="6"/>
  <c r="GU58" i="6"/>
  <c r="GS58" i="6"/>
  <c r="GR58" i="6"/>
  <c r="GQ58" i="6"/>
  <c r="HW58" i="6" s="1"/>
  <c r="HY58" i="6" s="1"/>
  <c r="GN58" i="6"/>
  <c r="GO58" i="6" s="1"/>
  <c r="GM58" i="6"/>
  <c r="GJ58" i="6"/>
  <c r="GI58" i="6"/>
  <c r="GK58" i="6" s="1"/>
  <c r="GF58" i="6"/>
  <c r="GE58" i="6"/>
  <c r="GB58" i="6"/>
  <c r="GA58" i="6"/>
  <c r="GC58" i="6" s="1"/>
  <c r="FX58" i="6"/>
  <c r="FY58" i="6" s="1"/>
  <c r="FW58" i="6"/>
  <c r="FU58" i="6"/>
  <c r="FT58" i="6"/>
  <c r="FS58" i="6"/>
  <c r="FP58" i="6"/>
  <c r="FO58" i="6"/>
  <c r="FQ58" i="6" s="1"/>
  <c r="FL58" i="6"/>
  <c r="FK58" i="6"/>
  <c r="FM58" i="6" s="1"/>
  <c r="FJ58" i="6"/>
  <c r="FI58" i="6"/>
  <c r="FH58" i="6"/>
  <c r="FE58" i="6"/>
  <c r="FD58" i="6"/>
  <c r="FA58" i="6"/>
  <c r="EZ58" i="6"/>
  <c r="EX58" i="6"/>
  <c r="EW58" i="6"/>
  <c r="EV58" i="6"/>
  <c r="HG58" i="6" s="1"/>
  <c r="ES58" i="6"/>
  <c r="ET58" i="6" s="1"/>
  <c r="ER58" i="6"/>
  <c r="EO58" i="6"/>
  <c r="EN58" i="6"/>
  <c r="EK58" i="6"/>
  <c r="EJ58" i="6"/>
  <c r="EH58" i="6"/>
  <c r="EG58" i="6"/>
  <c r="HX58" i="6" s="1"/>
  <c r="EF58" i="6"/>
  <c r="ED58" i="6"/>
  <c r="EC58" i="6"/>
  <c r="EB58" i="6"/>
  <c r="DY58" i="6"/>
  <c r="DX58" i="6"/>
  <c r="DZ58" i="6" s="1"/>
  <c r="DU58" i="6"/>
  <c r="DV58" i="6" s="1"/>
  <c r="DQ58" i="6"/>
  <c r="DR58" i="6" s="1"/>
  <c r="DM58" i="6"/>
  <c r="DL58" i="6"/>
  <c r="DN58" i="6" s="1"/>
  <c r="DJ58" i="6"/>
  <c r="DI58" i="6"/>
  <c r="DE58" i="6"/>
  <c r="DA58" i="6"/>
  <c r="CZ58" i="6"/>
  <c r="DB58" i="6" s="1"/>
  <c r="CX58" i="6"/>
  <c r="CW58" i="6"/>
  <c r="CS58" i="6"/>
  <c r="CT58" i="6" s="1"/>
  <c r="CO58" i="6"/>
  <c r="CP58" i="6" s="1"/>
  <c r="CK58" i="6"/>
  <c r="CL58" i="6" s="1"/>
  <c r="CH58" i="6"/>
  <c r="CG58" i="6"/>
  <c r="CF58" i="6"/>
  <c r="CC58" i="6"/>
  <c r="CB58" i="6"/>
  <c r="BY58" i="6"/>
  <c r="BZ58" i="6" s="1"/>
  <c r="BU58" i="6"/>
  <c r="BV58" i="6" s="1"/>
  <c r="BQ58" i="6"/>
  <c r="BR58" i="6" s="1"/>
  <c r="BN58" i="6"/>
  <c r="BM58" i="6"/>
  <c r="BI58" i="6"/>
  <c r="BJ58" i="6" s="1"/>
  <c r="BE58" i="6"/>
  <c r="BF58" i="6" s="1"/>
  <c r="BA58" i="6"/>
  <c r="BB58" i="6" s="1"/>
  <c r="AX58" i="6"/>
  <c r="AW58" i="6"/>
  <c r="AS58" i="6"/>
  <c r="AT58" i="6" s="1"/>
  <c r="AO58" i="6"/>
  <c r="AP58" i="6" s="1"/>
  <c r="AK58" i="6"/>
  <c r="AL58" i="6" s="1"/>
  <c r="AH58" i="6"/>
  <c r="AG58" i="6"/>
  <c r="AC58" i="6"/>
  <c r="AD58" i="6" s="1"/>
  <c r="Y58" i="6"/>
  <c r="Z58" i="6" s="1"/>
  <c r="U58" i="6"/>
  <c r="V58" i="6" s="1"/>
  <c r="R58" i="6"/>
  <c r="Q58" i="6"/>
  <c r="M58" i="6"/>
  <c r="I58" i="6"/>
  <c r="J58" i="6" s="1"/>
  <c r="E58" i="6"/>
  <c r="HW57" i="6"/>
  <c r="HO57" i="6"/>
  <c r="HA57" i="6"/>
  <c r="GZ57" i="6"/>
  <c r="GY57" i="6"/>
  <c r="GV57" i="6"/>
  <c r="GU57" i="6"/>
  <c r="GW57" i="6" s="1"/>
  <c r="GR57" i="6"/>
  <c r="GQ57" i="6"/>
  <c r="GS57" i="6" s="1"/>
  <c r="GO57" i="6"/>
  <c r="GN57" i="6"/>
  <c r="GM57" i="6"/>
  <c r="GJ57" i="6"/>
  <c r="GK57" i="6" s="1"/>
  <c r="GI57" i="6"/>
  <c r="GF57" i="6"/>
  <c r="GE57" i="6"/>
  <c r="GC57" i="6"/>
  <c r="GB57" i="6"/>
  <c r="GA57" i="6"/>
  <c r="FX57" i="6"/>
  <c r="FY57" i="6" s="1"/>
  <c r="FW57" i="6"/>
  <c r="FT57" i="6"/>
  <c r="IF57" i="6" s="1"/>
  <c r="FS57" i="6"/>
  <c r="FP57" i="6"/>
  <c r="FO57" i="6"/>
  <c r="FQ57" i="6" s="1"/>
  <c r="FM57" i="6"/>
  <c r="FL57" i="6"/>
  <c r="FK57" i="6"/>
  <c r="FJ57" i="6"/>
  <c r="FI57" i="6"/>
  <c r="FH57" i="6"/>
  <c r="FE57" i="6"/>
  <c r="IB57" i="6" s="1"/>
  <c r="FD57" i="6"/>
  <c r="FF57" i="6" s="1"/>
  <c r="FA57" i="6"/>
  <c r="EZ57" i="6"/>
  <c r="EW57" i="6"/>
  <c r="EV57" i="6"/>
  <c r="EX57" i="6" s="1"/>
  <c r="ES57" i="6"/>
  <c r="ET57" i="6" s="1"/>
  <c r="ER57" i="6"/>
  <c r="EP57" i="6"/>
  <c r="EO57" i="6"/>
  <c r="EN57" i="6"/>
  <c r="HS57" i="6" s="1"/>
  <c r="EK57" i="6"/>
  <c r="IJ57" i="6" s="1"/>
  <c r="EJ57" i="6"/>
  <c r="EG57" i="6"/>
  <c r="EF57" i="6"/>
  <c r="EH57" i="6" s="1"/>
  <c r="ED57" i="6"/>
  <c r="EC57" i="6"/>
  <c r="EB57" i="6"/>
  <c r="DY57" i="6"/>
  <c r="DZ57" i="6" s="1"/>
  <c r="DX57" i="6"/>
  <c r="DU57" i="6"/>
  <c r="DV57" i="6" s="1"/>
  <c r="DQ57" i="6"/>
  <c r="DR57" i="6" s="1"/>
  <c r="DM57" i="6"/>
  <c r="DL57" i="6"/>
  <c r="DN57" i="6" s="1"/>
  <c r="DI57" i="6"/>
  <c r="DE57" i="6"/>
  <c r="DA57" i="6"/>
  <c r="CZ57" i="6"/>
  <c r="DB57" i="6" s="1"/>
  <c r="CW57" i="6"/>
  <c r="CS57" i="6"/>
  <c r="CT57" i="6" s="1"/>
  <c r="CO57" i="6"/>
  <c r="CP57" i="6" s="1"/>
  <c r="CL57" i="6"/>
  <c r="CK57" i="6"/>
  <c r="CG57" i="6"/>
  <c r="CF57" i="6"/>
  <c r="CD57" i="6"/>
  <c r="CC57" i="6"/>
  <c r="CB57" i="6"/>
  <c r="HK57" i="6" s="1"/>
  <c r="BY57" i="6"/>
  <c r="BZ57" i="6" s="1"/>
  <c r="BU57" i="6"/>
  <c r="BV57" i="6" s="1"/>
  <c r="BR57" i="6"/>
  <c r="BQ57" i="6"/>
  <c r="BM57" i="6"/>
  <c r="BN57" i="6" s="1"/>
  <c r="BI57" i="6"/>
  <c r="BJ57" i="6" s="1"/>
  <c r="BE57" i="6"/>
  <c r="BF57" i="6" s="1"/>
  <c r="BA57" i="6"/>
  <c r="BB57" i="6" s="1"/>
  <c r="AW57" i="6"/>
  <c r="AX57" i="6" s="1"/>
  <c r="AS57" i="6"/>
  <c r="AT57" i="6" s="1"/>
  <c r="AO57" i="6"/>
  <c r="AP57" i="6" s="1"/>
  <c r="AK57" i="6"/>
  <c r="AL57" i="6" s="1"/>
  <c r="AG57" i="6"/>
  <c r="AH57" i="6" s="1"/>
  <c r="AC57" i="6"/>
  <c r="AD57" i="6" s="1"/>
  <c r="Y57" i="6"/>
  <c r="Z57" i="6" s="1"/>
  <c r="U57" i="6"/>
  <c r="V57" i="6" s="1"/>
  <c r="Q57" i="6"/>
  <c r="R57" i="6" s="1"/>
  <c r="M57" i="6"/>
  <c r="N57" i="6" s="1"/>
  <c r="I57" i="6"/>
  <c r="J57" i="6" s="1"/>
  <c r="E57" i="6"/>
  <c r="IJ56" i="6"/>
  <c r="IE56" i="6"/>
  <c r="IG56" i="6" s="1"/>
  <c r="HO56" i="6"/>
  <c r="GZ56" i="6"/>
  <c r="GY56" i="6"/>
  <c r="HA56" i="6" s="1"/>
  <c r="GV56" i="6"/>
  <c r="IB56" i="6" s="1"/>
  <c r="GU56" i="6"/>
  <c r="GW56" i="6" s="1"/>
  <c r="GS56" i="6"/>
  <c r="GR56" i="6"/>
  <c r="GQ56" i="6"/>
  <c r="GN56" i="6"/>
  <c r="GO56" i="6" s="1"/>
  <c r="GM56" i="6"/>
  <c r="GJ56" i="6"/>
  <c r="GI56" i="6"/>
  <c r="GK56" i="6" s="1"/>
  <c r="GF56" i="6"/>
  <c r="GE56" i="6"/>
  <c r="GG56" i="6" s="1"/>
  <c r="GC56" i="6"/>
  <c r="GB56" i="6"/>
  <c r="GA56" i="6"/>
  <c r="FX56" i="6"/>
  <c r="FY56" i="6" s="1"/>
  <c r="FW56" i="6"/>
  <c r="FT56" i="6"/>
  <c r="IF56" i="6" s="1"/>
  <c r="FS56" i="6"/>
  <c r="FU56" i="6" s="1"/>
  <c r="FP56" i="6"/>
  <c r="FO56" i="6"/>
  <c r="FQ56" i="6" s="1"/>
  <c r="FM56" i="6"/>
  <c r="FL56" i="6"/>
  <c r="FK56" i="6"/>
  <c r="FI56" i="6"/>
  <c r="FJ56" i="6" s="1"/>
  <c r="FH56" i="6"/>
  <c r="FE56" i="6"/>
  <c r="FD56" i="6"/>
  <c r="FA56" i="6"/>
  <c r="EZ56" i="6"/>
  <c r="FB56" i="6" s="1"/>
  <c r="EX56" i="6"/>
  <c r="EW56" i="6"/>
  <c r="EV56" i="6"/>
  <c r="ES56" i="6"/>
  <c r="ET56" i="6" s="1"/>
  <c r="ER56" i="6"/>
  <c r="EO56" i="6"/>
  <c r="EN56" i="6"/>
  <c r="EK56" i="6"/>
  <c r="EJ56" i="6"/>
  <c r="II56" i="6" s="1"/>
  <c r="EH56" i="6"/>
  <c r="EG56" i="6"/>
  <c r="HX56" i="6" s="1"/>
  <c r="EF56" i="6"/>
  <c r="HW56" i="6" s="1"/>
  <c r="HY56" i="6" s="1"/>
  <c r="EC56" i="6"/>
  <c r="ED56" i="6" s="1"/>
  <c r="EB56" i="6"/>
  <c r="DY56" i="6"/>
  <c r="DX56" i="6"/>
  <c r="DZ56" i="6" s="1"/>
  <c r="DU56" i="6"/>
  <c r="DV56" i="6" s="1"/>
  <c r="DQ56" i="6"/>
  <c r="DR56" i="6" s="1"/>
  <c r="DM56" i="6"/>
  <c r="DL56" i="6"/>
  <c r="DN56" i="6" s="1"/>
  <c r="DJ56" i="6"/>
  <c r="DI56" i="6"/>
  <c r="DF56" i="6"/>
  <c r="DE56" i="6"/>
  <c r="DB56" i="6"/>
  <c r="DA56" i="6"/>
  <c r="CZ56" i="6"/>
  <c r="CW56" i="6"/>
  <c r="CS56" i="6"/>
  <c r="CT56" i="6" s="1"/>
  <c r="CO56" i="6"/>
  <c r="CP56" i="6" s="1"/>
  <c r="CK56" i="6"/>
  <c r="CL56" i="6" s="1"/>
  <c r="CG56" i="6"/>
  <c r="CH56" i="6" s="1"/>
  <c r="CF56" i="6"/>
  <c r="CC56" i="6"/>
  <c r="CB56" i="6"/>
  <c r="BY56" i="6"/>
  <c r="BZ56" i="6" s="1"/>
  <c r="BU56" i="6"/>
  <c r="BV56" i="6" s="1"/>
  <c r="BQ56" i="6"/>
  <c r="BR56" i="6" s="1"/>
  <c r="BM56" i="6"/>
  <c r="BN56" i="6" s="1"/>
  <c r="BI56" i="6"/>
  <c r="BJ56" i="6" s="1"/>
  <c r="BE56" i="6"/>
  <c r="BF56" i="6" s="1"/>
  <c r="BA56" i="6"/>
  <c r="BB56" i="6" s="1"/>
  <c r="AW56" i="6"/>
  <c r="AX56" i="6" s="1"/>
  <c r="AS56" i="6"/>
  <c r="AT56" i="6" s="1"/>
  <c r="AO56" i="6"/>
  <c r="AP56" i="6" s="1"/>
  <c r="AK56" i="6"/>
  <c r="AL56" i="6" s="1"/>
  <c r="AG56" i="6"/>
  <c r="AH56" i="6" s="1"/>
  <c r="AC56" i="6"/>
  <c r="AD56" i="6" s="1"/>
  <c r="Y56" i="6"/>
  <c r="Z56" i="6" s="1"/>
  <c r="U56" i="6"/>
  <c r="V56" i="6" s="1"/>
  <c r="Q56" i="6"/>
  <c r="R56" i="6" s="1"/>
  <c r="M56" i="6"/>
  <c r="N56" i="6" s="1"/>
  <c r="I56" i="6"/>
  <c r="J56" i="6" s="1"/>
  <c r="E56" i="6"/>
  <c r="IJ55" i="6"/>
  <c r="IE55" i="6"/>
  <c r="HO55" i="6"/>
  <c r="GZ55" i="6"/>
  <c r="GY55" i="6"/>
  <c r="HA55" i="6" s="1"/>
  <c r="GV55" i="6"/>
  <c r="GU55" i="6"/>
  <c r="GW55" i="6" s="1"/>
  <c r="GS55" i="6"/>
  <c r="GR55" i="6"/>
  <c r="GQ55" i="6"/>
  <c r="GN55" i="6"/>
  <c r="GO55" i="6" s="1"/>
  <c r="GM55" i="6"/>
  <c r="GJ55" i="6"/>
  <c r="GI55" i="6"/>
  <c r="GK55" i="6" s="1"/>
  <c r="GF55" i="6"/>
  <c r="GE55" i="6"/>
  <c r="GG55" i="6" s="1"/>
  <c r="GC55" i="6"/>
  <c r="GB55" i="6"/>
  <c r="GA55" i="6"/>
  <c r="FX55" i="6"/>
  <c r="FY55" i="6" s="1"/>
  <c r="FW55" i="6"/>
  <c r="FT55" i="6"/>
  <c r="IF55" i="6" s="1"/>
  <c r="FS55" i="6"/>
  <c r="FU55" i="6" s="1"/>
  <c r="FP55" i="6"/>
  <c r="FO55" i="6"/>
  <c r="FQ55" i="6" s="1"/>
  <c r="FM55" i="6"/>
  <c r="FL55" i="6"/>
  <c r="FK55" i="6"/>
  <c r="FI55" i="6"/>
  <c r="FJ55" i="6" s="1"/>
  <c r="FH55" i="6"/>
  <c r="FE55" i="6"/>
  <c r="IB55" i="6" s="1"/>
  <c r="FD55" i="6"/>
  <c r="FA55" i="6"/>
  <c r="EZ55" i="6"/>
  <c r="FB55" i="6" s="1"/>
  <c r="EX55" i="6"/>
  <c r="EW55" i="6"/>
  <c r="EV55" i="6"/>
  <c r="ES55" i="6"/>
  <c r="ET55" i="6" s="1"/>
  <c r="ER55" i="6"/>
  <c r="EO55" i="6"/>
  <c r="EN55" i="6"/>
  <c r="EK55" i="6"/>
  <c r="EJ55" i="6"/>
  <c r="II55" i="6" s="1"/>
  <c r="EH55" i="6"/>
  <c r="EG55" i="6"/>
  <c r="HX55" i="6" s="1"/>
  <c r="EF55" i="6"/>
  <c r="HW55" i="6" s="1"/>
  <c r="HY55" i="6" s="1"/>
  <c r="EC55" i="6"/>
  <c r="ED55" i="6" s="1"/>
  <c r="EB55" i="6"/>
  <c r="DY55" i="6"/>
  <c r="DX55" i="6"/>
  <c r="DZ55" i="6" s="1"/>
  <c r="DU55" i="6"/>
  <c r="DV55" i="6" s="1"/>
  <c r="DQ55" i="6"/>
  <c r="DR55" i="6" s="1"/>
  <c r="DM55" i="6"/>
  <c r="DL55" i="6"/>
  <c r="DN55" i="6" s="1"/>
  <c r="DJ55" i="6"/>
  <c r="DI55" i="6"/>
  <c r="DF55" i="6"/>
  <c r="DE55" i="6"/>
  <c r="DB55" i="6"/>
  <c r="DA55" i="6"/>
  <c r="CZ55" i="6"/>
  <c r="CW55" i="6"/>
  <c r="CS55" i="6"/>
  <c r="CT55" i="6" s="1"/>
  <c r="CO55" i="6"/>
  <c r="CP55" i="6" s="1"/>
  <c r="CK55" i="6"/>
  <c r="CL55" i="6" s="1"/>
  <c r="CG55" i="6"/>
  <c r="CH55" i="6" s="1"/>
  <c r="CF55" i="6"/>
  <c r="CC55" i="6"/>
  <c r="CB55" i="6"/>
  <c r="BY55" i="6"/>
  <c r="BZ55" i="6" s="1"/>
  <c r="BU55" i="6"/>
  <c r="BV55" i="6" s="1"/>
  <c r="BQ55" i="6"/>
  <c r="BR55" i="6" s="1"/>
  <c r="BM55" i="6"/>
  <c r="BN55" i="6" s="1"/>
  <c r="BI55" i="6"/>
  <c r="BJ55" i="6" s="1"/>
  <c r="BE55" i="6"/>
  <c r="BF55" i="6" s="1"/>
  <c r="BA55" i="6"/>
  <c r="BB55" i="6" s="1"/>
  <c r="AW55" i="6"/>
  <c r="AX55" i="6" s="1"/>
  <c r="AS55" i="6"/>
  <c r="AT55" i="6" s="1"/>
  <c r="AO55" i="6"/>
  <c r="AP55" i="6" s="1"/>
  <c r="AK55" i="6"/>
  <c r="AL55" i="6" s="1"/>
  <c r="AG55" i="6"/>
  <c r="AH55" i="6" s="1"/>
  <c r="AC55" i="6"/>
  <c r="AD55" i="6" s="1"/>
  <c r="Y55" i="6"/>
  <c r="Z55" i="6" s="1"/>
  <c r="U55" i="6"/>
  <c r="V55" i="6" s="1"/>
  <c r="Q55" i="6"/>
  <c r="R55" i="6" s="1"/>
  <c r="M55" i="6"/>
  <c r="N55" i="6" s="1"/>
  <c r="I55" i="6"/>
  <c r="J55" i="6" s="1"/>
  <c r="E55" i="6"/>
  <c r="IJ54" i="6"/>
  <c r="IE54" i="6"/>
  <c r="IG54" i="6" s="1"/>
  <c r="HO54" i="6"/>
  <c r="GZ54" i="6"/>
  <c r="GY54" i="6"/>
  <c r="HA54" i="6" s="1"/>
  <c r="GV54" i="6"/>
  <c r="GU54" i="6"/>
  <c r="GW54" i="6" s="1"/>
  <c r="GS54" i="6"/>
  <c r="GR54" i="6"/>
  <c r="GQ54" i="6"/>
  <c r="GN54" i="6"/>
  <c r="GO54" i="6" s="1"/>
  <c r="GM54" i="6"/>
  <c r="GJ54" i="6"/>
  <c r="GI54" i="6"/>
  <c r="GK54" i="6" s="1"/>
  <c r="GF54" i="6"/>
  <c r="GE54" i="6"/>
  <c r="GG54" i="6" s="1"/>
  <c r="GC54" i="6"/>
  <c r="GB54" i="6"/>
  <c r="GA54" i="6"/>
  <c r="FX54" i="6"/>
  <c r="FY54" i="6" s="1"/>
  <c r="FW54" i="6"/>
  <c r="FT54" i="6"/>
  <c r="IF54" i="6" s="1"/>
  <c r="FS54" i="6"/>
  <c r="FU54" i="6" s="1"/>
  <c r="FP54" i="6"/>
  <c r="FO54" i="6"/>
  <c r="FQ54" i="6" s="1"/>
  <c r="FM54" i="6"/>
  <c r="FL54" i="6"/>
  <c r="FK54" i="6"/>
  <c r="FI54" i="6"/>
  <c r="FJ54" i="6" s="1"/>
  <c r="FH54" i="6"/>
  <c r="FE54" i="6"/>
  <c r="IB54" i="6" s="1"/>
  <c r="FD54" i="6"/>
  <c r="FA54" i="6"/>
  <c r="EZ54" i="6"/>
  <c r="FB54" i="6" s="1"/>
  <c r="EX54" i="6"/>
  <c r="EW54" i="6"/>
  <c r="EV54" i="6"/>
  <c r="ES54" i="6"/>
  <c r="ET54" i="6" s="1"/>
  <c r="ER54" i="6"/>
  <c r="EO54" i="6"/>
  <c r="EN54" i="6"/>
  <c r="EK54" i="6"/>
  <c r="EJ54" i="6"/>
  <c r="II54" i="6" s="1"/>
  <c r="EH54" i="6"/>
  <c r="EG54" i="6"/>
  <c r="HX54" i="6" s="1"/>
  <c r="EF54" i="6"/>
  <c r="HW54" i="6" s="1"/>
  <c r="HY54" i="6" s="1"/>
  <c r="EC54" i="6"/>
  <c r="ED54" i="6" s="1"/>
  <c r="EB54" i="6"/>
  <c r="DY54" i="6"/>
  <c r="DX54" i="6"/>
  <c r="DZ54" i="6" s="1"/>
  <c r="DU54" i="6"/>
  <c r="DV54" i="6" s="1"/>
  <c r="DQ54" i="6"/>
  <c r="DR54" i="6" s="1"/>
  <c r="DM54" i="6"/>
  <c r="DL54" i="6"/>
  <c r="DN54" i="6" s="1"/>
  <c r="DJ54" i="6"/>
  <c r="DI54" i="6"/>
  <c r="DF54" i="6"/>
  <c r="DE54" i="6"/>
  <c r="DB54" i="6"/>
  <c r="DA54" i="6"/>
  <c r="CZ54" i="6"/>
  <c r="CW54" i="6"/>
  <c r="CS54" i="6"/>
  <c r="CT54" i="6" s="1"/>
  <c r="CO54" i="6"/>
  <c r="CP54" i="6" s="1"/>
  <c r="CK54" i="6"/>
  <c r="CL54" i="6" s="1"/>
  <c r="CG54" i="6"/>
  <c r="CH54" i="6" s="1"/>
  <c r="CF54" i="6"/>
  <c r="CC54" i="6"/>
  <c r="CB54" i="6"/>
  <c r="BY54" i="6"/>
  <c r="BZ54" i="6" s="1"/>
  <c r="BU54" i="6"/>
  <c r="BV54" i="6" s="1"/>
  <c r="BQ54" i="6"/>
  <c r="BR54" i="6" s="1"/>
  <c r="BM54" i="6"/>
  <c r="BN54" i="6" s="1"/>
  <c r="BI54" i="6"/>
  <c r="BJ54" i="6" s="1"/>
  <c r="BE54" i="6"/>
  <c r="BF54" i="6" s="1"/>
  <c r="BA54" i="6"/>
  <c r="BB54" i="6" s="1"/>
  <c r="AW54" i="6"/>
  <c r="AX54" i="6" s="1"/>
  <c r="AS54" i="6"/>
  <c r="AT54" i="6" s="1"/>
  <c r="AO54" i="6"/>
  <c r="AP54" i="6" s="1"/>
  <c r="AK54" i="6"/>
  <c r="AL54" i="6" s="1"/>
  <c r="AG54" i="6"/>
  <c r="AH54" i="6" s="1"/>
  <c r="AC54" i="6"/>
  <c r="AD54" i="6" s="1"/>
  <c r="Y54" i="6"/>
  <c r="Z54" i="6" s="1"/>
  <c r="U54" i="6"/>
  <c r="V54" i="6" s="1"/>
  <c r="Q54" i="6"/>
  <c r="R54" i="6" s="1"/>
  <c r="M54" i="6"/>
  <c r="N54" i="6" s="1"/>
  <c r="I54" i="6"/>
  <c r="J54" i="6" s="1"/>
  <c r="E54" i="6"/>
  <c r="IJ53" i="6"/>
  <c r="IE53" i="6"/>
  <c r="HO53" i="6"/>
  <c r="GZ53" i="6"/>
  <c r="GY53" i="6"/>
  <c r="HA53" i="6" s="1"/>
  <c r="GV53" i="6"/>
  <c r="GU53" i="6"/>
  <c r="GW53" i="6" s="1"/>
  <c r="GS53" i="6"/>
  <c r="GR53" i="6"/>
  <c r="GQ53" i="6"/>
  <c r="GN53" i="6"/>
  <c r="GO53" i="6" s="1"/>
  <c r="GM53" i="6"/>
  <c r="GJ53" i="6"/>
  <c r="GI53" i="6"/>
  <c r="GK53" i="6" s="1"/>
  <c r="GF53" i="6"/>
  <c r="GE53" i="6"/>
  <c r="GG53" i="6" s="1"/>
  <c r="GC53" i="6"/>
  <c r="GB53" i="6"/>
  <c r="GA53" i="6"/>
  <c r="FX53" i="6"/>
  <c r="FY53" i="6" s="1"/>
  <c r="FW53" i="6"/>
  <c r="FT53" i="6"/>
  <c r="IF53" i="6" s="1"/>
  <c r="FS53" i="6"/>
  <c r="FU53" i="6" s="1"/>
  <c r="FP53" i="6"/>
  <c r="FO53" i="6"/>
  <c r="FQ53" i="6" s="1"/>
  <c r="FM53" i="6"/>
  <c r="FL53" i="6"/>
  <c r="FK53" i="6"/>
  <c r="FI53" i="6"/>
  <c r="FJ53" i="6" s="1"/>
  <c r="FH53" i="6"/>
  <c r="FE53" i="6"/>
  <c r="IB53" i="6" s="1"/>
  <c r="FD53" i="6"/>
  <c r="FA53" i="6"/>
  <c r="EZ53" i="6"/>
  <c r="FB53" i="6" s="1"/>
  <c r="EX53" i="6"/>
  <c r="EW53" i="6"/>
  <c r="EV53" i="6"/>
  <c r="ES53" i="6"/>
  <c r="ET53" i="6" s="1"/>
  <c r="ER53" i="6"/>
  <c r="EO53" i="6"/>
  <c r="EN53" i="6"/>
  <c r="EK53" i="6"/>
  <c r="EJ53" i="6"/>
  <c r="II53" i="6" s="1"/>
  <c r="EH53" i="6"/>
  <c r="EG53" i="6"/>
  <c r="HX53" i="6" s="1"/>
  <c r="EF53" i="6"/>
  <c r="HW53" i="6" s="1"/>
  <c r="HY53" i="6" s="1"/>
  <c r="EC53" i="6"/>
  <c r="ED53" i="6" s="1"/>
  <c r="EB53" i="6"/>
  <c r="DY53" i="6"/>
  <c r="DX53" i="6"/>
  <c r="DZ53" i="6" s="1"/>
  <c r="DU53" i="6"/>
  <c r="DV53" i="6" s="1"/>
  <c r="DQ53" i="6"/>
  <c r="DR53" i="6" s="1"/>
  <c r="DM53" i="6"/>
  <c r="DL53" i="6"/>
  <c r="DN53" i="6" s="1"/>
  <c r="DI53" i="6"/>
  <c r="DE53" i="6"/>
  <c r="DF53" i="6" s="1"/>
  <c r="DA53" i="6"/>
  <c r="DB53" i="6" s="1"/>
  <c r="CZ53" i="6"/>
  <c r="CX53" i="6"/>
  <c r="CW53" i="6"/>
  <c r="CT53" i="6"/>
  <c r="CS53" i="6"/>
  <c r="CP53" i="6"/>
  <c r="CO53" i="6"/>
  <c r="CL53" i="6"/>
  <c r="CK53" i="6"/>
  <c r="CG53" i="6"/>
  <c r="CF53" i="6"/>
  <c r="CC53" i="6"/>
  <c r="CB53" i="6"/>
  <c r="HC53" i="6" s="1"/>
  <c r="BZ53" i="6"/>
  <c r="BY53" i="6"/>
  <c r="BV53" i="6"/>
  <c r="BU53" i="6"/>
  <c r="HL53" i="6" s="1"/>
  <c r="BR53" i="6"/>
  <c r="BQ53" i="6"/>
  <c r="BN53" i="6"/>
  <c r="BM53" i="6"/>
  <c r="BJ53" i="6"/>
  <c r="BI53" i="6"/>
  <c r="BF53" i="6"/>
  <c r="BE53" i="6"/>
  <c r="BB53" i="6"/>
  <c r="BA53" i="6"/>
  <c r="AX53" i="6"/>
  <c r="AW53" i="6"/>
  <c r="AT53" i="6"/>
  <c r="AS53" i="6"/>
  <c r="AP53" i="6"/>
  <c r="AO53" i="6"/>
  <c r="AL53" i="6"/>
  <c r="AK53" i="6"/>
  <c r="AH53" i="6"/>
  <c r="AG53" i="6"/>
  <c r="HP53" i="6" s="1"/>
  <c r="AD53" i="6"/>
  <c r="AC53" i="6"/>
  <c r="Z53" i="6"/>
  <c r="Y53" i="6"/>
  <c r="V53" i="6"/>
  <c r="U53" i="6"/>
  <c r="R53" i="6"/>
  <c r="Q53" i="6"/>
  <c r="N53" i="6"/>
  <c r="M53" i="6"/>
  <c r="J53" i="6"/>
  <c r="I53" i="6"/>
  <c r="F53" i="6"/>
  <c r="E53" i="6"/>
  <c r="IJ52" i="6"/>
  <c r="II52" i="6"/>
  <c r="IK52" i="6" s="1"/>
  <c r="HS52" i="6"/>
  <c r="HO52" i="6"/>
  <c r="HQ52" i="6" s="1"/>
  <c r="GZ52" i="6"/>
  <c r="GY52" i="6"/>
  <c r="HA52" i="6" s="1"/>
  <c r="GW52" i="6"/>
  <c r="GV52" i="6"/>
  <c r="GU52" i="6"/>
  <c r="GR52" i="6"/>
  <c r="GS52" i="6" s="1"/>
  <c r="GQ52" i="6"/>
  <c r="GN52" i="6"/>
  <c r="GM52" i="6"/>
  <c r="GO52" i="6" s="1"/>
  <c r="GJ52" i="6"/>
  <c r="GI52" i="6"/>
  <c r="GK52" i="6" s="1"/>
  <c r="GG52" i="6"/>
  <c r="GF52" i="6"/>
  <c r="GE52" i="6"/>
  <c r="GB52" i="6"/>
  <c r="GC52" i="6" s="1"/>
  <c r="GA52" i="6"/>
  <c r="FX52" i="6"/>
  <c r="FW52" i="6"/>
  <c r="FY52" i="6" s="1"/>
  <c r="FT52" i="6"/>
  <c r="FS52" i="6"/>
  <c r="FU52" i="6" s="1"/>
  <c r="FQ52" i="6"/>
  <c r="FP52" i="6"/>
  <c r="FO52" i="6"/>
  <c r="FL52" i="6"/>
  <c r="FK52" i="6"/>
  <c r="FI52" i="6"/>
  <c r="FH52" i="6"/>
  <c r="FJ52" i="6" s="1"/>
  <c r="FE52" i="6"/>
  <c r="IB52" i="6" s="1"/>
  <c r="FD52" i="6"/>
  <c r="FF52" i="6" s="1"/>
  <c r="FB52" i="6"/>
  <c r="FA52" i="6"/>
  <c r="EZ52" i="6"/>
  <c r="EW52" i="6"/>
  <c r="EV52" i="6"/>
  <c r="ES52" i="6"/>
  <c r="ER52" i="6"/>
  <c r="ET52" i="6" s="1"/>
  <c r="EO52" i="6"/>
  <c r="EN52" i="6"/>
  <c r="EP52" i="6" s="1"/>
  <c r="EL52" i="6"/>
  <c r="EK52" i="6"/>
  <c r="EJ52" i="6"/>
  <c r="EG52" i="6"/>
  <c r="EH52" i="6" s="1"/>
  <c r="EF52" i="6"/>
  <c r="EC52" i="6"/>
  <c r="EB52" i="6"/>
  <c r="DY52" i="6"/>
  <c r="DX52" i="6"/>
  <c r="DZ52" i="6" s="1"/>
  <c r="DV52" i="6"/>
  <c r="DU52" i="6"/>
  <c r="DQ52" i="6"/>
  <c r="DR52" i="6" s="1"/>
  <c r="DN52" i="6"/>
  <c r="DM52" i="6"/>
  <c r="DL52" i="6"/>
  <c r="DI52" i="6"/>
  <c r="DE52" i="6"/>
  <c r="DF52" i="6" s="1"/>
  <c r="DA52" i="6"/>
  <c r="DB52" i="6" s="1"/>
  <c r="CZ52" i="6"/>
  <c r="CX52" i="6"/>
  <c r="CW52" i="6"/>
  <c r="CT52" i="6"/>
  <c r="CS52" i="6"/>
  <c r="CP52" i="6"/>
  <c r="CO52" i="6"/>
  <c r="CL52" i="6"/>
  <c r="CK52" i="6"/>
  <c r="CG52" i="6"/>
  <c r="CF52" i="6"/>
  <c r="CC52" i="6"/>
  <c r="CB52" i="6"/>
  <c r="CD52" i="6" s="1"/>
  <c r="BZ52" i="6"/>
  <c r="BY52" i="6"/>
  <c r="BV52" i="6"/>
  <c r="BU52" i="6"/>
  <c r="BR52" i="6"/>
  <c r="BQ52" i="6"/>
  <c r="BN52" i="6"/>
  <c r="BM52" i="6"/>
  <c r="BJ52" i="6"/>
  <c r="BI52" i="6"/>
  <c r="BF52" i="6"/>
  <c r="BE52" i="6"/>
  <c r="BB52" i="6"/>
  <c r="BA52" i="6"/>
  <c r="AX52" i="6"/>
  <c r="AW52" i="6"/>
  <c r="AT52" i="6"/>
  <c r="AS52" i="6"/>
  <c r="AP52" i="6"/>
  <c r="AO52" i="6"/>
  <c r="AL52" i="6"/>
  <c r="AK52" i="6"/>
  <c r="AH52" i="6"/>
  <c r="AG52" i="6"/>
  <c r="HP52" i="6" s="1"/>
  <c r="AD52" i="6"/>
  <c r="AC52" i="6"/>
  <c r="Z52" i="6"/>
  <c r="Y52" i="6"/>
  <c r="V52" i="6"/>
  <c r="U52" i="6"/>
  <c r="R52" i="6"/>
  <c r="Q52" i="6"/>
  <c r="N52" i="6"/>
  <c r="M52" i="6"/>
  <c r="I52" i="6"/>
  <c r="J52" i="6" s="1"/>
  <c r="F52" i="6"/>
  <c r="E52" i="6"/>
  <c r="IJ51" i="6"/>
  <c r="II51" i="6"/>
  <c r="IK51" i="6" s="1"/>
  <c r="HO51" i="6"/>
  <c r="HC51" i="6"/>
  <c r="GZ51" i="6"/>
  <c r="GY51" i="6"/>
  <c r="GW51" i="6"/>
  <c r="GV51" i="6"/>
  <c r="GU51" i="6"/>
  <c r="GR51" i="6"/>
  <c r="GS51" i="6" s="1"/>
  <c r="GQ51" i="6"/>
  <c r="GN51" i="6"/>
  <c r="GM51" i="6"/>
  <c r="GO51" i="6" s="1"/>
  <c r="GJ51" i="6"/>
  <c r="GI51" i="6"/>
  <c r="GF51" i="6"/>
  <c r="GE51" i="6"/>
  <c r="GG51" i="6" s="1"/>
  <c r="GC51" i="6"/>
  <c r="GB51" i="6"/>
  <c r="GA51" i="6"/>
  <c r="FY51" i="6"/>
  <c r="FX51" i="6"/>
  <c r="FW51" i="6"/>
  <c r="FT51" i="6"/>
  <c r="FS51" i="6"/>
  <c r="FP51" i="6"/>
  <c r="FO51" i="6"/>
  <c r="FQ51" i="6" s="1"/>
  <c r="FM51" i="6"/>
  <c r="FL51" i="6"/>
  <c r="FK51" i="6"/>
  <c r="FI51" i="6"/>
  <c r="FJ51" i="6" s="1"/>
  <c r="FH51" i="6"/>
  <c r="FE51" i="6"/>
  <c r="IB51" i="6" s="1"/>
  <c r="FD51" i="6"/>
  <c r="FB51" i="6"/>
  <c r="FA51" i="6"/>
  <c r="EZ51" i="6"/>
  <c r="EW51" i="6"/>
  <c r="EX51" i="6" s="1"/>
  <c r="EV51" i="6"/>
  <c r="ES51" i="6"/>
  <c r="ER51" i="6"/>
  <c r="ET51" i="6" s="1"/>
  <c r="EO51" i="6"/>
  <c r="EN51" i="6"/>
  <c r="EL51" i="6"/>
  <c r="EK51" i="6"/>
  <c r="EJ51" i="6"/>
  <c r="EG51" i="6"/>
  <c r="HX51" i="6" s="1"/>
  <c r="EF51" i="6"/>
  <c r="HW51" i="6" s="1"/>
  <c r="HY51" i="6" s="1"/>
  <c r="EC51" i="6"/>
  <c r="EB51" i="6"/>
  <c r="ED51" i="6" s="1"/>
  <c r="DY51" i="6"/>
  <c r="DX51" i="6"/>
  <c r="DV51" i="6"/>
  <c r="DU51" i="6"/>
  <c r="DR51" i="6"/>
  <c r="DQ51" i="6"/>
  <c r="DM51" i="6"/>
  <c r="DL51" i="6"/>
  <c r="DN51" i="6" s="1"/>
  <c r="DJ51" i="6"/>
  <c r="DI51" i="6"/>
  <c r="DE51" i="6"/>
  <c r="DF51" i="6" s="1"/>
  <c r="DB51" i="6"/>
  <c r="DA51" i="6"/>
  <c r="CZ51" i="6"/>
  <c r="CW51" i="6"/>
  <c r="CT51" i="6"/>
  <c r="CS51" i="6"/>
  <c r="CO51" i="6"/>
  <c r="CP51" i="6" s="1"/>
  <c r="CL51" i="6"/>
  <c r="CK51" i="6"/>
  <c r="CG51" i="6"/>
  <c r="CH51" i="6" s="1"/>
  <c r="CF51" i="6"/>
  <c r="CC51" i="6"/>
  <c r="CB51" i="6"/>
  <c r="CD51" i="6" s="1"/>
  <c r="BZ51" i="6"/>
  <c r="BY51" i="6"/>
  <c r="BU51" i="6"/>
  <c r="BV51" i="6" s="1"/>
  <c r="BR51" i="6"/>
  <c r="BQ51" i="6"/>
  <c r="BM51" i="6"/>
  <c r="BN51" i="6" s="1"/>
  <c r="BJ51" i="6"/>
  <c r="BI51" i="6"/>
  <c r="BE51" i="6"/>
  <c r="BF51" i="6" s="1"/>
  <c r="BB51" i="6"/>
  <c r="BA51" i="6"/>
  <c r="AW51" i="6"/>
  <c r="AX51" i="6" s="1"/>
  <c r="AT51" i="6"/>
  <c r="AS51" i="6"/>
  <c r="AO51" i="6"/>
  <c r="AP51" i="6" s="1"/>
  <c r="AL51" i="6"/>
  <c r="AK51" i="6"/>
  <c r="AG51" i="6"/>
  <c r="HP51" i="6" s="1"/>
  <c r="AD51" i="6"/>
  <c r="AC51" i="6"/>
  <c r="Y51" i="6"/>
  <c r="Z51" i="6" s="1"/>
  <c r="V51" i="6"/>
  <c r="U51" i="6"/>
  <c r="Q51" i="6"/>
  <c r="R51" i="6" s="1"/>
  <c r="N51" i="6"/>
  <c r="M51" i="6"/>
  <c r="I51" i="6"/>
  <c r="F51" i="6"/>
  <c r="E51" i="6"/>
  <c r="IJ50" i="6"/>
  <c r="II50" i="6"/>
  <c r="IK50" i="6" s="1"/>
  <c r="IA50" i="6"/>
  <c r="HT50" i="6"/>
  <c r="HO50" i="6"/>
  <c r="GZ50" i="6"/>
  <c r="GY50" i="6"/>
  <c r="HA50" i="6" s="1"/>
  <c r="GV50" i="6"/>
  <c r="GU50" i="6"/>
  <c r="GW50" i="6" s="1"/>
  <c r="GS50" i="6"/>
  <c r="GR50" i="6"/>
  <c r="GQ50" i="6"/>
  <c r="GN50" i="6"/>
  <c r="GO50" i="6" s="1"/>
  <c r="GM50" i="6"/>
  <c r="GJ50" i="6"/>
  <c r="GI50" i="6"/>
  <c r="GK50" i="6" s="1"/>
  <c r="GG50" i="6"/>
  <c r="GF50" i="6"/>
  <c r="GE50" i="6"/>
  <c r="GB50" i="6"/>
  <c r="GC50" i="6" s="1"/>
  <c r="GA50" i="6"/>
  <c r="FX50" i="6"/>
  <c r="FW50" i="6"/>
  <c r="FY50" i="6" s="1"/>
  <c r="FT50" i="6"/>
  <c r="FS50" i="6"/>
  <c r="FQ50" i="6"/>
  <c r="FP50" i="6"/>
  <c r="FO50" i="6"/>
  <c r="FL50" i="6"/>
  <c r="IF50" i="6" s="1"/>
  <c r="FK50" i="6"/>
  <c r="FI50" i="6"/>
  <c r="FH50" i="6"/>
  <c r="FJ50" i="6" s="1"/>
  <c r="FE50" i="6"/>
  <c r="IB50" i="6" s="1"/>
  <c r="FD50" i="6"/>
  <c r="FA50" i="6"/>
  <c r="EZ50" i="6"/>
  <c r="FB50" i="6" s="1"/>
  <c r="EX50" i="6"/>
  <c r="EW50" i="6"/>
  <c r="EV50" i="6"/>
  <c r="ET50" i="6"/>
  <c r="ES50" i="6"/>
  <c r="ER50" i="6"/>
  <c r="EO50" i="6"/>
  <c r="EN50" i="6"/>
  <c r="EK50" i="6"/>
  <c r="EJ50" i="6"/>
  <c r="EL50" i="6" s="1"/>
  <c r="EH50" i="6"/>
  <c r="EG50" i="6"/>
  <c r="HX50" i="6" s="1"/>
  <c r="EF50" i="6"/>
  <c r="EC50" i="6"/>
  <c r="ED50" i="6" s="1"/>
  <c r="EB50" i="6"/>
  <c r="DY50" i="6"/>
  <c r="DX50" i="6"/>
  <c r="DZ50" i="6" s="1"/>
  <c r="DV50" i="6"/>
  <c r="DU50" i="6"/>
  <c r="DQ50" i="6"/>
  <c r="DR50" i="6" s="1"/>
  <c r="DN50" i="6"/>
  <c r="DM50" i="6"/>
  <c r="DL50" i="6"/>
  <c r="DI50" i="6"/>
  <c r="DE50" i="6"/>
  <c r="DF50" i="6" s="1"/>
  <c r="DA50" i="6"/>
  <c r="DB50" i="6" s="1"/>
  <c r="CZ50" i="6"/>
  <c r="CX50" i="6"/>
  <c r="CW50" i="6"/>
  <c r="CT50" i="6"/>
  <c r="CS50" i="6"/>
  <c r="CP50" i="6"/>
  <c r="CO50" i="6"/>
  <c r="CL50" i="6"/>
  <c r="CK50" i="6"/>
  <c r="CG50" i="6"/>
  <c r="CF50" i="6"/>
  <c r="HG50" i="6" s="1"/>
  <c r="CC50" i="6"/>
  <c r="CB50" i="6"/>
  <c r="HC50" i="6" s="1"/>
  <c r="BZ50" i="6"/>
  <c r="BY50" i="6"/>
  <c r="BV50" i="6"/>
  <c r="BU50" i="6"/>
  <c r="BR50" i="6"/>
  <c r="BQ50" i="6"/>
  <c r="BN50" i="6"/>
  <c r="BM50" i="6"/>
  <c r="BJ50" i="6"/>
  <c r="BI50" i="6"/>
  <c r="BF50" i="6"/>
  <c r="BE50" i="6"/>
  <c r="BB50" i="6"/>
  <c r="BA50" i="6"/>
  <c r="AX50" i="6"/>
  <c r="AW50" i="6"/>
  <c r="AT50" i="6"/>
  <c r="AS50" i="6"/>
  <c r="AP50" i="6"/>
  <c r="AO50" i="6"/>
  <c r="AL50" i="6"/>
  <c r="AK50" i="6"/>
  <c r="AH50" i="6"/>
  <c r="AG50" i="6"/>
  <c r="HP50" i="6" s="1"/>
  <c r="AD50" i="6"/>
  <c r="AC50" i="6"/>
  <c r="Z50" i="6"/>
  <c r="Y50" i="6"/>
  <c r="V50" i="6"/>
  <c r="U50" i="6"/>
  <c r="R50" i="6"/>
  <c r="Q50" i="6"/>
  <c r="N50" i="6"/>
  <c r="M50" i="6"/>
  <c r="J50" i="6"/>
  <c r="I50" i="6"/>
  <c r="F50" i="6"/>
  <c r="E50" i="6"/>
  <c r="IJ49" i="6"/>
  <c r="HX49" i="6"/>
  <c r="HO49" i="6"/>
  <c r="GZ49" i="6"/>
  <c r="GY49" i="6"/>
  <c r="GW49" i="6"/>
  <c r="GV49" i="6"/>
  <c r="GU49" i="6"/>
  <c r="GR49" i="6"/>
  <c r="GS49" i="6" s="1"/>
  <c r="GQ49" i="6"/>
  <c r="GN49" i="6"/>
  <c r="GM49" i="6"/>
  <c r="GO49" i="6" s="1"/>
  <c r="GJ49" i="6"/>
  <c r="GI49" i="6"/>
  <c r="GF49" i="6"/>
  <c r="GE49" i="6"/>
  <c r="GC49" i="6"/>
  <c r="GB49" i="6"/>
  <c r="GA49" i="6"/>
  <c r="FY49" i="6"/>
  <c r="FX49" i="6"/>
  <c r="FW49" i="6"/>
  <c r="FT49" i="6"/>
  <c r="IF49" i="6" s="1"/>
  <c r="FS49" i="6"/>
  <c r="FU49" i="6" s="1"/>
  <c r="FP49" i="6"/>
  <c r="FO49" i="6"/>
  <c r="FQ49" i="6" s="1"/>
  <c r="FM49" i="6"/>
  <c r="FL49" i="6"/>
  <c r="FK49" i="6"/>
  <c r="FI49" i="6"/>
  <c r="FJ49" i="6" s="1"/>
  <c r="FH49" i="6"/>
  <c r="FE49" i="6"/>
  <c r="IB49" i="6" s="1"/>
  <c r="FD49" i="6"/>
  <c r="FF49" i="6" s="1"/>
  <c r="FB49" i="6"/>
  <c r="FA49" i="6"/>
  <c r="EZ49" i="6"/>
  <c r="EW49" i="6"/>
  <c r="EX49" i="6" s="1"/>
  <c r="EV49" i="6"/>
  <c r="ES49" i="6"/>
  <c r="ER49" i="6"/>
  <c r="ET49" i="6" s="1"/>
  <c r="EO49" i="6"/>
  <c r="EN49" i="6"/>
  <c r="EL49" i="6"/>
  <c r="EK49" i="6"/>
  <c r="EJ49" i="6"/>
  <c r="II49" i="6" s="1"/>
  <c r="IK49" i="6" s="1"/>
  <c r="EG49" i="6"/>
  <c r="EH49" i="6" s="1"/>
  <c r="EF49" i="6"/>
  <c r="HW49" i="6" s="1"/>
  <c r="HY49" i="6" s="1"/>
  <c r="EC49" i="6"/>
  <c r="EB49" i="6"/>
  <c r="ED49" i="6" s="1"/>
  <c r="DY49" i="6"/>
  <c r="DX49" i="6"/>
  <c r="DV49" i="6"/>
  <c r="DU49" i="6"/>
  <c r="DR49" i="6"/>
  <c r="DQ49" i="6"/>
  <c r="DM49" i="6"/>
  <c r="DL49" i="6"/>
  <c r="DI49" i="6"/>
  <c r="DF49" i="6"/>
  <c r="DE49" i="6"/>
  <c r="DB49" i="6"/>
  <c r="DA49" i="6"/>
  <c r="CZ49" i="6"/>
  <c r="CW49" i="6"/>
  <c r="CX49" i="6" s="1"/>
  <c r="CT49" i="6"/>
  <c r="CS49" i="6"/>
  <c r="CO49" i="6"/>
  <c r="CP49" i="6" s="1"/>
  <c r="CK49" i="6"/>
  <c r="CG49" i="6"/>
  <c r="CF49" i="6"/>
  <c r="CD49" i="6"/>
  <c r="CC49" i="6"/>
  <c r="CB49" i="6"/>
  <c r="BY49" i="6"/>
  <c r="BZ49" i="6" s="1"/>
  <c r="BU49" i="6"/>
  <c r="BV49" i="6" s="1"/>
  <c r="BR49" i="6"/>
  <c r="BQ49" i="6"/>
  <c r="BM49" i="6"/>
  <c r="BN49" i="6" s="1"/>
  <c r="BJ49" i="6"/>
  <c r="BI49" i="6"/>
  <c r="BE49" i="6"/>
  <c r="BF49" i="6" s="1"/>
  <c r="BA49" i="6"/>
  <c r="BB49" i="6" s="1"/>
  <c r="AW49" i="6"/>
  <c r="AX49" i="6" s="1"/>
  <c r="AS49" i="6"/>
  <c r="AT49" i="6" s="1"/>
  <c r="AO49" i="6"/>
  <c r="AP49" i="6" s="1"/>
  <c r="AL49" i="6"/>
  <c r="AK49" i="6"/>
  <c r="AG49" i="6"/>
  <c r="AH49" i="6" s="1"/>
  <c r="AD49" i="6"/>
  <c r="AC49" i="6"/>
  <c r="Y49" i="6"/>
  <c r="Z49" i="6" s="1"/>
  <c r="U49" i="6"/>
  <c r="V49" i="6" s="1"/>
  <c r="Q49" i="6"/>
  <c r="R49" i="6" s="1"/>
  <c r="M49" i="6"/>
  <c r="N49" i="6" s="1"/>
  <c r="I49" i="6"/>
  <c r="F49" i="6"/>
  <c r="E49" i="6"/>
  <c r="HH49" i="6" s="1"/>
  <c r="II48" i="6"/>
  <c r="IB48" i="6"/>
  <c r="IC48" i="6" s="1"/>
  <c r="HO48" i="6"/>
  <c r="HG48" i="6"/>
  <c r="HA48" i="6"/>
  <c r="GZ48" i="6"/>
  <c r="GY48" i="6"/>
  <c r="GV48" i="6"/>
  <c r="GW48" i="6" s="1"/>
  <c r="GU48" i="6"/>
  <c r="GR48" i="6"/>
  <c r="GQ48" i="6"/>
  <c r="GS48" i="6" s="1"/>
  <c r="GN48" i="6"/>
  <c r="GM48" i="6"/>
  <c r="GJ48" i="6"/>
  <c r="GI48" i="6"/>
  <c r="GK48" i="6" s="1"/>
  <c r="GG48" i="6"/>
  <c r="GF48" i="6"/>
  <c r="GE48" i="6"/>
  <c r="GC48" i="6"/>
  <c r="GB48" i="6"/>
  <c r="GA48" i="6"/>
  <c r="FX48" i="6"/>
  <c r="FW48" i="6"/>
  <c r="FY48" i="6" s="1"/>
  <c r="FT48" i="6"/>
  <c r="FS48" i="6"/>
  <c r="FU48" i="6" s="1"/>
  <c r="FQ48" i="6"/>
  <c r="FP48" i="6"/>
  <c r="FO48" i="6"/>
  <c r="FL48" i="6"/>
  <c r="FK48" i="6"/>
  <c r="IE48" i="6" s="1"/>
  <c r="FI48" i="6"/>
  <c r="FH48" i="6"/>
  <c r="FJ48" i="6" s="1"/>
  <c r="FF48" i="6"/>
  <c r="FE48" i="6"/>
  <c r="FD48" i="6"/>
  <c r="IA48" i="6" s="1"/>
  <c r="FA48" i="6"/>
  <c r="FB48" i="6" s="1"/>
  <c r="EZ48" i="6"/>
  <c r="EW48" i="6"/>
  <c r="EV48" i="6"/>
  <c r="EX48" i="6" s="1"/>
  <c r="ES48" i="6"/>
  <c r="ER48" i="6"/>
  <c r="EP48" i="6"/>
  <c r="EO48" i="6"/>
  <c r="EN48" i="6"/>
  <c r="HS48" i="6" s="1"/>
  <c r="EK48" i="6"/>
  <c r="EL48" i="6" s="1"/>
  <c r="EJ48" i="6"/>
  <c r="EG48" i="6"/>
  <c r="HX48" i="6" s="1"/>
  <c r="EF48" i="6"/>
  <c r="EH48" i="6" s="1"/>
  <c r="EC48" i="6"/>
  <c r="EB48" i="6"/>
  <c r="DY48" i="6"/>
  <c r="DX48" i="6"/>
  <c r="DZ48" i="6" s="1"/>
  <c r="DU48" i="6"/>
  <c r="DV48" i="6" s="1"/>
  <c r="DQ48" i="6"/>
  <c r="DR48" i="6" s="1"/>
  <c r="DN48" i="6"/>
  <c r="DM48" i="6"/>
  <c r="DL48" i="6"/>
  <c r="DI48" i="6"/>
  <c r="DF48" i="6"/>
  <c r="DE48" i="6"/>
  <c r="DA48" i="6"/>
  <c r="DB48" i="6" s="1"/>
  <c r="CZ48" i="6"/>
  <c r="CW48" i="6"/>
  <c r="CX48" i="6" s="1"/>
  <c r="CS48" i="6"/>
  <c r="CT48" i="6" s="1"/>
  <c r="CO48" i="6"/>
  <c r="CP48" i="6" s="1"/>
  <c r="CK48" i="6"/>
  <c r="CL48" i="6" s="1"/>
  <c r="CG48" i="6"/>
  <c r="CF48" i="6"/>
  <c r="CC48" i="6"/>
  <c r="CB48" i="6"/>
  <c r="BZ48" i="6"/>
  <c r="BY48" i="6"/>
  <c r="BU48" i="6"/>
  <c r="BV48" i="6" s="1"/>
  <c r="BR48" i="6"/>
  <c r="BQ48" i="6"/>
  <c r="BM48" i="6"/>
  <c r="BN48" i="6" s="1"/>
  <c r="BI48" i="6"/>
  <c r="BE48" i="6"/>
  <c r="BF48" i="6" s="1"/>
  <c r="BA48" i="6"/>
  <c r="BB48" i="6" s="1"/>
  <c r="AW48" i="6"/>
  <c r="AX48" i="6" s="1"/>
  <c r="AT48" i="6"/>
  <c r="AS48" i="6"/>
  <c r="AO48" i="6"/>
  <c r="AP48" i="6" s="1"/>
  <c r="AL48" i="6"/>
  <c r="AK48" i="6"/>
  <c r="AG48" i="6"/>
  <c r="AH48" i="6" s="1"/>
  <c r="AC48" i="6"/>
  <c r="AD48" i="6" s="1"/>
  <c r="Y48" i="6"/>
  <c r="Z48" i="6" s="1"/>
  <c r="U48" i="6"/>
  <c r="V48" i="6" s="1"/>
  <c r="Q48" i="6"/>
  <c r="R48" i="6" s="1"/>
  <c r="N48" i="6"/>
  <c r="M48" i="6"/>
  <c r="I48" i="6"/>
  <c r="J48" i="6" s="1"/>
  <c r="F48" i="6"/>
  <c r="E48" i="6"/>
  <c r="II47" i="6"/>
  <c r="HO47" i="6"/>
  <c r="GZ47" i="6"/>
  <c r="GY47" i="6"/>
  <c r="HA47" i="6" s="1"/>
  <c r="GW47" i="6"/>
  <c r="GV47" i="6"/>
  <c r="GU47" i="6"/>
  <c r="GS47" i="6"/>
  <c r="GR47" i="6"/>
  <c r="GQ47" i="6"/>
  <c r="GN47" i="6"/>
  <c r="GM47" i="6"/>
  <c r="GO47" i="6" s="1"/>
  <c r="GJ47" i="6"/>
  <c r="GI47" i="6"/>
  <c r="GK47" i="6" s="1"/>
  <c r="GG47" i="6"/>
  <c r="GF47" i="6"/>
  <c r="GE47" i="6"/>
  <c r="GB47" i="6"/>
  <c r="GA47" i="6"/>
  <c r="FX47" i="6"/>
  <c r="FW47" i="6"/>
  <c r="FY47" i="6" s="1"/>
  <c r="FU47" i="6"/>
  <c r="FT47" i="6"/>
  <c r="FS47" i="6"/>
  <c r="FP47" i="6"/>
  <c r="FQ47" i="6" s="1"/>
  <c r="FO47" i="6"/>
  <c r="FL47" i="6"/>
  <c r="IF47" i="6" s="1"/>
  <c r="FK47" i="6"/>
  <c r="FI47" i="6"/>
  <c r="FH47" i="6"/>
  <c r="FF47" i="6"/>
  <c r="FE47" i="6"/>
  <c r="FD47" i="6"/>
  <c r="IA47" i="6" s="1"/>
  <c r="FA47" i="6"/>
  <c r="FB47" i="6" s="1"/>
  <c r="EZ47" i="6"/>
  <c r="EW47" i="6"/>
  <c r="EV47" i="6"/>
  <c r="EX47" i="6" s="1"/>
  <c r="ES47" i="6"/>
  <c r="ER47" i="6"/>
  <c r="EO47" i="6"/>
  <c r="EN47" i="6"/>
  <c r="EP47" i="6" s="1"/>
  <c r="EL47" i="6"/>
  <c r="EK47" i="6"/>
  <c r="IJ47" i="6" s="1"/>
  <c r="EJ47" i="6"/>
  <c r="EH47" i="6"/>
  <c r="EG47" i="6"/>
  <c r="HX47" i="6" s="1"/>
  <c r="HY47" i="6" s="1"/>
  <c r="EF47" i="6"/>
  <c r="HW47" i="6" s="1"/>
  <c r="EC47" i="6"/>
  <c r="EB47" i="6"/>
  <c r="DY47" i="6"/>
  <c r="DX47" i="6"/>
  <c r="DZ47" i="6" s="1"/>
  <c r="DV47" i="6"/>
  <c r="DU47" i="6"/>
  <c r="DQ47" i="6"/>
  <c r="DR47" i="6" s="1"/>
  <c r="DM47" i="6"/>
  <c r="DN47" i="6" s="1"/>
  <c r="DL47" i="6"/>
  <c r="DI47" i="6"/>
  <c r="HD47" i="6" s="1"/>
  <c r="DF47" i="6"/>
  <c r="DE47" i="6"/>
  <c r="DA47" i="6"/>
  <c r="CZ47" i="6"/>
  <c r="DB47" i="6" s="1"/>
  <c r="CW47" i="6"/>
  <c r="CX47" i="6" s="1"/>
  <c r="CS47" i="6"/>
  <c r="CT47" i="6" s="1"/>
  <c r="CO47" i="6"/>
  <c r="CP47" i="6" s="1"/>
  <c r="CL47" i="6"/>
  <c r="CK47" i="6"/>
  <c r="CG47" i="6"/>
  <c r="CF47" i="6"/>
  <c r="CC47" i="6"/>
  <c r="CB47" i="6"/>
  <c r="BZ47" i="6"/>
  <c r="BY47" i="6"/>
  <c r="BU47" i="6"/>
  <c r="BV47" i="6" s="1"/>
  <c r="BQ47" i="6"/>
  <c r="BR47" i="6" s="1"/>
  <c r="BM47" i="6"/>
  <c r="BN47" i="6" s="1"/>
  <c r="BI47" i="6"/>
  <c r="BE47" i="6"/>
  <c r="BF47" i="6" s="1"/>
  <c r="BB47" i="6"/>
  <c r="BA47" i="6"/>
  <c r="AW47" i="6"/>
  <c r="AX47" i="6" s="1"/>
  <c r="AT47" i="6"/>
  <c r="AS47" i="6"/>
  <c r="AO47" i="6"/>
  <c r="AP47" i="6" s="1"/>
  <c r="AL47" i="6"/>
  <c r="AK47" i="6"/>
  <c r="AG47" i="6"/>
  <c r="AH47" i="6" s="1"/>
  <c r="AC47" i="6"/>
  <c r="AD47" i="6" s="1"/>
  <c r="Y47" i="6"/>
  <c r="Z47" i="6" s="1"/>
  <c r="V47" i="6"/>
  <c r="U47" i="6"/>
  <c r="Q47" i="6"/>
  <c r="R47" i="6" s="1"/>
  <c r="N47" i="6"/>
  <c r="M47" i="6"/>
  <c r="HP47" i="6" s="1"/>
  <c r="HQ47" i="6" s="1"/>
  <c r="I47" i="6"/>
  <c r="J47" i="6" s="1"/>
  <c r="E47" i="6"/>
  <c r="II46" i="6"/>
  <c r="HQ46" i="6"/>
  <c r="HO46" i="6"/>
  <c r="HC46" i="6"/>
  <c r="GZ46" i="6"/>
  <c r="GY46" i="6"/>
  <c r="HA46" i="6" s="1"/>
  <c r="GW46" i="6"/>
  <c r="GV46" i="6"/>
  <c r="GU46" i="6"/>
  <c r="GS46" i="6"/>
  <c r="GR46" i="6"/>
  <c r="GQ46" i="6"/>
  <c r="GN46" i="6"/>
  <c r="GM46" i="6"/>
  <c r="GO46" i="6" s="1"/>
  <c r="GK46" i="6"/>
  <c r="GJ46" i="6"/>
  <c r="GI46" i="6"/>
  <c r="GG46" i="6"/>
  <c r="GF46" i="6"/>
  <c r="GE46" i="6"/>
  <c r="GB46" i="6"/>
  <c r="IB46" i="6" s="1"/>
  <c r="GA46" i="6"/>
  <c r="GC46" i="6" s="1"/>
  <c r="FX46" i="6"/>
  <c r="FW46" i="6"/>
  <c r="FU46" i="6"/>
  <c r="FT46" i="6"/>
  <c r="FS46" i="6"/>
  <c r="FP46" i="6"/>
  <c r="FQ46" i="6" s="1"/>
  <c r="FO46" i="6"/>
  <c r="FL46" i="6"/>
  <c r="IF46" i="6" s="1"/>
  <c r="FK46" i="6"/>
  <c r="FM46" i="6" s="1"/>
  <c r="FI46" i="6"/>
  <c r="FH46" i="6"/>
  <c r="FE46" i="6"/>
  <c r="FD46" i="6"/>
  <c r="FB46" i="6"/>
  <c r="FA46" i="6"/>
  <c r="EZ46" i="6"/>
  <c r="EX46" i="6"/>
  <c r="EW46" i="6"/>
  <c r="EV46" i="6"/>
  <c r="ES46" i="6"/>
  <c r="ER46" i="6"/>
  <c r="EO46" i="6"/>
  <c r="EN46" i="6"/>
  <c r="EP46" i="6" s="1"/>
  <c r="EL46" i="6"/>
  <c r="EK46" i="6"/>
  <c r="IJ46" i="6" s="1"/>
  <c r="EJ46" i="6"/>
  <c r="EG46" i="6"/>
  <c r="HX46" i="6" s="1"/>
  <c r="HY46" i="6" s="1"/>
  <c r="EF46" i="6"/>
  <c r="HW46" i="6" s="1"/>
  <c r="EC46" i="6"/>
  <c r="EB46" i="6"/>
  <c r="ED46" i="6" s="1"/>
  <c r="DZ46" i="6"/>
  <c r="DY46" i="6"/>
  <c r="DX46" i="6"/>
  <c r="DU46" i="6"/>
  <c r="DV46" i="6" s="1"/>
  <c r="DQ46" i="6"/>
  <c r="DR46" i="6" s="1"/>
  <c r="DM46" i="6"/>
  <c r="DN46" i="6" s="1"/>
  <c r="DL46" i="6"/>
  <c r="DI46" i="6"/>
  <c r="DE46" i="6"/>
  <c r="DF46" i="6" s="1"/>
  <c r="DA46" i="6"/>
  <c r="HL46" i="6" s="1"/>
  <c r="CZ46" i="6"/>
  <c r="CX46" i="6"/>
  <c r="CW46" i="6"/>
  <c r="CT46" i="6"/>
  <c r="CS46" i="6"/>
  <c r="CP46" i="6"/>
  <c r="CO46" i="6"/>
  <c r="CL46" i="6"/>
  <c r="CK46" i="6"/>
  <c r="CG46" i="6"/>
  <c r="CF46" i="6"/>
  <c r="CD46" i="6"/>
  <c r="CC46" i="6"/>
  <c r="CB46" i="6"/>
  <c r="HK46" i="6" s="1"/>
  <c r="BZ46" i="6"/>
  <c r="BY46" i="6"/>
  <c r="BV46" i="6"/>
  <c r="BU46" i="6"/>
  <c r="BR46" i="6"/>
  <c r="BQ46" i="6"/>
  <c r="BN46" i="6"/>
  <c r="BM46" i="6"/>
  <c r="BJ46" i="6"/>
  <c r="BI46" i="6"/>
  <c r="BF46" i="6"/>
  <c r="BE46" i="6"/>
  <c r="BB46" i="6"/>
  <c r="BA46" i="6"/>
  <c r="AX46" i="6"/>
  <c r="AW46" i="6"/>
  <c r="AT46" i="6"/>
  <c r="AS46" i="6"/>
  <c r="AP46" i="6"/>
  <c r="AO46" i="6"/>
  <c r="AL46" i="6"/>
  <c r="AK46" i="6"/>
  <c r="AH46" i="6"/>
  <c r="AG46" i="6"/>
  <c r="AD46" i="6"/>
  <c r="AC46" i="6"/>
  <c r="Z46" i="6"/>
  <c r="Y46" i="6"/>
  <c r="V46" i="6"/>
  <c r="U46" i="6"/>
  <c r="R46" i="6"/>
  <c r="Q46" i="6"/>
  <c r="N46" i="6"/>
  <c r="M46" i="6"/>
  <c r="HP46" i="6" s="1"/>
  <c r="J46" i="6"/>
  <c r="I46" i="6"/>
  <c r="F46" i="6"/>
  <c r="E46" i="6"/>
  <c r="HH46" i="6" s="1"/>
  <c r="IA45" i="6"/>
  <c r="IC45" i="6" s="1"/>
  <c r="HO45" i="6"/>
  <c r="HG45" i="6"/>
  <c r="GZ45" i="6"/>
  <c r="HA45" i="6" s="1"/>
  <c r="GY45" i="6"/>
  <c r="GV45" i="6"/>
  <c r="IB45" i="6" s="1"/>
  <c r="GU45" i="6"/>
  <c r="GR45" i="6"/>
  <c r="GQ45" i="6"/>
  <c r="GS45" i="6" s="1"/>
  <c r="GO45" i="6"/>
  <c r="GN45" i="6"/>
  <c r="GM45" i="6"/>
  <c r="GJ45" i="6"/>
  <c r="GK45" i="6" s="1"/>
  <c r="GI45" i="6"/>
  <c r="GF45" i="6"/>
  <c r="GE45" i="6"/>
  <c r="GB45" i="6"/>
  <c r="GA45" i="6"/>
  <c r="FX45" i="6"/>
  <c r="FW45" i="6"/>
  <c r="FY45" i="6" s="1"/>
  <c r="FT45" i="6"/>
  <c r="FU45" i="6" s="1"/>
  <c r="FS45" i="6"/>
  <c r="FQ45" i="6"/>
  <c r="FP45" i="6"/>
  <c r="FO45" i="6"/>
  <c r="FL45" i="6"/>
  <c r="IF45" i="6" s="1"/>
  <c r="FK45" i="6"/>
  <c r="FI45" i="6"/>
  <c r="FH45" i="6"/>
  <c r="FJ45" i="6" s="1"/>
  <c r="FF45" i="6"/>
  <c r="FE45" i="6"/>
  <c r="FD45" i="6"/>
  <c r="FA45" i="6"/>
  <c r="FB45" i="6" s="1"/>
  <c r="EZ45" i="6"/>
  <c r="EW45" i="6"/>
  <c r="EV45" i="6"/>
  <c r="EX45" i="6" s="1"/>
  <c r="ET45" i="6"/>
  <c r="ES45" i="6"/>
  <c r="ER45" i="6"/>
  <c r="EO45" i="6"/>
  <c r="EP45" i="6" s="1"/>
  <c r="EN45" i="6"/>
  <c r="EK45" i="6"/>
  <c r="IJ45" i="6" s="1"/>
  <c r="EJ45" i="6"/>
  <c r="EG45" i="6"/>
  <c r="HX45" i="6" s="1"/>
  <c r="EF45" i="6"/>
  <c r="EH45" i="6" s="1"/>
  <c r="ED45" i="6"/>
  <c r="EC45" i="6"/>
  <c r="EB45" i="6"/>
  <c r="DY45" i="6"/>
  <c r="DZ45" i="6" s="1"/>
  <c r="DX45" i="6"/>
  <c r="DU45" i="6"/>
  <c r="DV45" i="6" s="1"/>
  <c r="DR45" i="6"/>
  <c r="DQ45" i="6"/>
  <c r="DM45" i="6"/>
  <c r="DL45" i="6"/>
  <c r="DN45" i="6" s="1"/>
  <c r="DI45" i="6"/>
  <c r="DE45" i="6"/>
  <c r="DF45" i="6" s="1"/>
  <c r="DA45" i="6"/>
  <c r="CZ45" i="6"/>
  <c r="CX45" i="6"/>
  <c r="CW45" i="6"/>
  <c r="CT45" i="6"/>
  <c r="CS45" i="6"/>
  <c r="CP45" i="6"/>
  <c r="CO45" i="6"/>
  <c r="CL45" i="6"/>
  <c r="CK45" i="6"/>
  <c r="CG45" i="6"/>
  <c r="CF45" i="6"/>
  <c r="CD45" i="6"/>
  <c r="CC45" i="6"/>
  <c r="CB45" i="6"/>
  <c r="BY45" i="6"/>
  <c r="BZ45" i="6" s="1"/>
  <c r="BV45" i="6"/>
  <c r="BU45" i="6"/>
  <c r="BQ45" i="6"/>
  <c r="BR45" i="6" s="1"/>
  <c r="BN45" i="6"/>
  <c r="BM45" i="6"/>
  <c r="BI45" i="6"/>
  <c r="BF45" i="6"/>
  <c r="BE45" i="6"/>
  <c r="BA45" i="6"/>
  <c r="BB45" i="6" s="1"/>
  <c r="AX45" i="6"/>
  <c r="AW45" i="6"/>
  <c r="AS45" i="6"/>
  <c r="AT45" i="6" s="1"/>
  <c r="AP45" i="6"/>
  <c r="AO45" i="6"/>
  <c r="AK45" i="6"/>
  <c r="AL45" i="6" s="1"/>
  <c r="AH45" i="6"/>
  <c r="AG45" i="6"/>
  <c r="AC45" i="6"/>
  <c r="AD45" i="6" s="1"/>
  <c r="Z45" i="6"/>
  <c r="Y45" i="6"/>
  <c r="U45" i="6"/>
  <c r="V45" i="6" s="1"/>
  <c r="R45" i="6"/>
  <c r="Q45" i="6"/>
  <c r="M45" i="6"/>
  <c r="J45" i="6"/>
  <c r="I45" i="6"/>
  <c r="E45" i="6"/>
  <c r="IF44" i="6"/>
  <c r="HO44" i="6"/>
  <c r="HG44" i="6"/>
  <c r="GZ44" i="6"/>
  <c r="HA44" i="6" s="1"/>
  <c r="GY44" i="6"/>
  <c r="GV44" i="6"/>
  <c r="GU44" i="6"/>
  <c r="GW44" i="6" s="1"/>
  <c r="GR44" i="6"/>
  <c r="HX44" i="6" s="1"/>
  <c r="GQ44" i="6"/>
  <c r="GN44" i="6"/>
  <c r="GM44" i="6"/>
  <c r="GO44" i="6" s="1"/>
  <c r="GJ44" i="6"/>
  <c r="GK44" i="6" s="1"/>
  <c r="GI44" i="6"/>
  <c r="GG44" i="6"/>
  <c r="GF44" i="6"/>
  <c r="GE44" i="6"/>
  <c r="GB44" i="6"/>
  <c r="GA44" i="6"/>
  <c r="GC44" i="6" s="1"/>
  <c r="FX44" i="6"/>
  <c r="FW44" i="6"/>
  <c r="FY44" i="6" s="1"/>
  <c r="FU44" i="6"/>
  <c r="FT44" i="6"/>
  <c r="FS44" i="6"/>
  <c r="FQ44" i="6"/>
  <c r="FP44" i="6"/>
  <c r="FO44" i="6"/>
  <c r="FL44" i="6"/>
  <c r="FK44" i="6"/>
  <c r="FJ44" i="6"/>
  <c r="FI44" i="6"/>
  <c r="FH44" i="6"/>
  <c r="FF44" i="6"/>
  <c r="FE44" i="6"/>
  <c r="IB44" i="6" s="1"/>
  <c r="FD44" i="6"/>
  <c r="FA44" i="6"/>
  <c r="EZ44" i="6"/>
  <c r="EW44" i="6"/>
  <c r="EV44" i="6"/>
  <c r="EX44" i="6" s="1"/>
  <c r="ET44" i="6"/>
  <c r="ES44" i="6"/>
  <c r="ER44" i="6"/>
  <c r="EO44" i="6"/>
  <c r="EP44" i="6" s="1"/>
  <c r="EN44" i="6"/>
  <c r="EK44" i="6"/>
  <c r="IJ44" i="6" s="1"/>
  <c r="EJ44" i="6"/>
  <c r="EG44" i="6"/>
  <c r="EF44" i="6"/>
  <c r="EC44" i="6"/>
  <c r="EB44" i="6"/>
  <c r="ED44" i="6" s="1"/>
  <c r="DY44" i="6"/>
  <c r="DZ44" i="6" s="1"/>
  <c r="DX44" i="6"/>
  <c r="DV44" i="6"/>
  <c r="DU44" i="6"/>
  <c r="DR44" i="6"/>
  <c r="DQ44" i="6"/>
  <c r="DN44" i="6"/>
  <c r="DM44" i="6"/>
  <c r="DL44" i="6"/>
  <c r="DI44" i="6"/>
  <c r="DF44" i="6"/>
  <c r="DE44" i="6"/>
  <c r="DA44" i="6"/>
  <c r="CZ44" i="6"/>
  <c r="DB44" i="6" s="1"/>
  <c r="CW44" i="6"/>
  <c r="CX44" i="6" s="1"/>
  <c r="CS44" i="6"/>
  <c r="CT44" i="6" s="1"/>
  <c r="CP44" i="6"/>
  <c r="CO44" i="6"/>
  <c r="CK44" i="6"/>
  <c r="CG44" i="6"/>
  <c r="CH44" i="6" s="1"/>
  <c r="CF44" i="6"/>
  <c r="CC44" i="6"/>
  <c r="CB44" i="6"/>
  <c r="BY44" i="6"/>
  <c r="BZ44" i="6" s="1"/>
  <c r="BU44" i="6"/>
  <c r="BV44" i="6" s="1"/>
  <c r="BQ44" i="6"/>
  <c r="BR44" i="6" s="1"/>
  <c r="BM44" i="6"/>
  <c r="BN44" i="6" s="1"/>
  <c r="BI44" i="6"/>
  <c r="BJ44" i="6" s="1"/>
  <c r="BF44" i="6"/>
  <c r="BE44" i="6"/>
  <c r="BA44" i="6"/>
  <c r="BB44" i="6" s="1"/>
  <c r="AX44" i="6"/>
  <c r="AW44" i="6"/>
  <c r="AS44" i="6"/>
  <c r="AT44" i="6" s="1"/>
  <c r="AO44" i="6"/>
  <c r="AP44" i="6" s="1"/>
  <c r="AK44" i="6"/>
  <c r="AL44" i="6" s="1"/>
  <c r="AG44" i="6"/>
  <c r="AH44" i="6" s="1"/>
  <c r="AC44" i="6"/>
  <c r="AD44" i="6" s="1"/>
  <c r="Z44" i="6"/>
  <c r="Y44" i="6"/>
  <c r="U44" i="6"/>
  <c r="V44" i="6" s="1"/>
  <c r="R44" i="6"/>
  <c r="Q44" i="6"/>
  <c r="M44" i="6"/>
  <c r="N44" i="6" s="1"/>
  <c r="I44" i="6"/>
  <c r="J44" i="6" s="1"/>
  <c r="E44" i="6"/>
  <c r="IF43" i="6"/>
  <c r="HO43" i="6"/>
  <c r="GZ43" i="6"/>
  <c r="GY43" i="6"/>
  <c r="HA43" i="6" s="1"/>
  <c r="GV43" i="6"/>
  <c r="GU43" i="6"/>
  <c r="GR43" i="6"/>
  <c r="GQ43" i="6"/>
  <c r="GS43" i="6" s="1"/>
  <c r="GN43" i="6"/>
  <c r="GO43" i="6" s="1"/>
  <c r="GM43" i="6"/>
  <c r="GK43" i="6"/>
  <c r="GJ43" i="6"/>
  <c r="GI43" i="6"/>
  <c r="GF43" i="6"/>
  <c r="GE43" i="6"/>
  <c r="GG43" i="6" s="1"/>
  <c r="GB43" i="6"/>
  <c r="GA43" i="6"/>
  <c r="GC43" i="6" s="1"/>
  <c r="FY43" i="6"/>
  <c r="FX43" i="6"/>
  <c r="FW43" i="6"/>
  <c r="FU43" i="6"/>
  <c r="FT43" i="6"/>
  <c r="FS43" i="6"/>
  <c r="FP43" i="6"/>
  <c r="FO43" i="6"/>
  <c r="FM43" i="6"/>
  <c r="FL43" i="6"/>
  <c r="FK43" i="6"/>
  <c r="IE43" i="6" s="1"/>
  <c r="IG43" i="6" s="1"/>
  <c r="FJ43" i="6"/>
  <c r="FI43" i="6"/>
  <c r="FH43" i="6"/>
  <c r="FE43" i="6"/>
  <c r="FD43" i="6"/>
  <c r="FF43" i="6" s="1"/>
  <c r="FA43" i="6"/>
  <c r="EZ43" i="6"/>
  <c r="FB43" i="6" s="1"/>
  <c r="EX43" i="6"/>
  <c r="EW43" i="6"/>
  <c r="EV43" i="6"/>
  <c r="ES43" i="6"/>
  <c r="ET43" i="6" s="1"/>
  <c r="ER43" i="6"/>
  <c r="EO43" i="6"/>
  <c r="EN43" i="6"/>
  <c r="EK43" i="6"/>
  <c r="IJ43" i="6" s="1"/>
  <c r="EJ43" i="6"/>
  <c r="EG43" i="6"/>
  <c r="HX43" i="6" s="1"/>
  <c r="EF43" i="6"/>
  <c r="EC43" i="6"/>
  <c r="ED43" i="6" s="1"/>
  <c r="EB43" i="6"/>
  <c r="DZ43" i="6"/>
  <c r="DY43" i="6"/>
  <c r="DX43" i="6"/>
  <c r="DU43" i="6"/>
  <c r="DV43" i="6" s="1"/>
  <c r="DR43" i="6"/>
  <c r="DQ43" i="6"/>
  <c r="DM43" i="6"/>
  <c r="DL43" i="6"/>
  <c r="DN43" i="6" s="1"/>
  <c r="DJ43" i="6"/>
  <c r="DI43" i="6"/>
  <c r="DE43" i="6"/>
  <c r="DB43" i="6"/>
  <c r="DA43" i="6"/>
  <c r="CZ43" i="6"/>
  <c r="CX43" i="6"/>
  <c r="CW43" i="6"/>
  <c r="CS43" i="6"/>
  <c r="CT43" i="6" s="1"/>
  <c r="CO43" i="6"/>
  <c r="CP43" i="6" s="1"/>
  <c r="CK43" i="6"/>
  <c r="CG43" i="6"/>
  <c r="CH43" i="6" s="1"/>
  <c r="CF43" i="6"/>
  <c r="CD43" i="6"/>
  <c r="CC43" i="6"/>
  <c r="CB43" i="6"/>
  <c r="BY43" i="6"/>
  <c r="BZ43" i="6" s="1"/>
  <c r="BV43" i="6"/>
  <c r="BU43" i="6"/>
  <c r="BQ43" i="6"/>
  <c r="BR43" i="6" s="1"/>
  <c r="BN43" i="6"/>
  <c r="BM43" i="6"/>
  <c r="BI43" i="6"/>
  <c r="BJ43" i="6" s="1"/>
  <c r="BE43" i="6"/>
  <c r="BF43" i="6" s="1"/>
  <c r="BA43" i="6"/>
  <c r="BB43" i="6" s="1"/>
  <c r="AW43" i="6"/>
  <c r="AX43" i="6" s="1"/>
  <c r="AS43" i="6"/>
  <c r="AT43" i="6" s="1"/>
  <c r="AP43" i="6"/>
  <c r="AO43" i="6"/>
  <c r="AK43" i="6"/>
  <c r="AL43" i="6" s="1"/>
  <c r="AH43" i="6"/>
  <c r="AG43" i="6"/>
  <c r="AC43" i="6"/>
  <c r="AD43" i="6" s="1"/>
  <c r="Y43" i="6"/>
  <c r="Z43" i="6" s="1"/>
  <c r="U43" i="6"/>
  <c r="V43" i="6" s="1"/>
  <c r="Q43" i="6"/>
  <c r="R43" i="6" s="1"/>
  <c r="M43" i="6"/>
  <c r="J43" i="6"/>
  <c r="I43" i="6"/>
  <c r="E43" i="6"/>
  <c r="IJ42" i="6"/>
  <c r="IE42" i="6"/>
  <c r="IB42" i="6"/>
  <c r="HW42" i="6"/>
  <c r="HP42" i="6"/>
  <c r="HO42" i="6"/>
  <c r="HA42" i="6"/>
  <c r="GZ42" i="6"/>
  <c r="GY42" i="6"/>
  <c r="GV42" i="6"/>
  <c r="GU42" i="6"/>
  <c r="GW42" i="6" s="1"/>
  <c r="GS42" i="6"/>
  <c r="GR42" i="6"/>
  <c r="GQ42" i="6"/>
  <c r="GO42" i="6"/>
  <c r="GN42" i="6"/>
  <c r="GM42" i="6"/>
  <c r="GJ42" i="6"/>
  <c r="GI42" i="6"/>
  <c r="GK42" i="6" s="1"/>
  <c r="GF42" i="6"/>
  <c r="GE42" i="6"/>
  <c r="GG42" i="6" s="1"/>
  <c r="GC42" i="6"/>
  <c r="GB42" i="6"/>
  <c r="GA42" i="6"/>
  <c r="FX42" i="6"/>
  <c r="FY42" i="6" s="1"/>
  <c r="FW42" i="6"/>
  <c r="FT42" i="6"/>
  <c r="IF42" i="6" s="1"/>
  <c r="FS42" i="6"/>
  <c r="FU42" i="6" s="1"/>
  <c r="FP42" i="6"/>
  <c r="FO42" i="6"/>
  <c r="FL42" i="6"/>
  <c r="FK42" i="6"/>
  <c r="FM42" i="6" s="1"/>
  <c r="FI42" i="6"/>
  <c r="FJ42" i="6" s="1"/>
  <c r="FH42" i="6"/>
  <c r="FF42" i="6"/>
  <c r="FE42" i="6"/>
  <c r="FD42" i="6"/>
  <c r="FA42" i="6"/>
  <c r="EZ42" i="6"/>
  <c r="FB42" i="6" s="1"/>
  <c r="EW42" i="6"/>
  <c r="EV42" i="6"/>
  <c r="EX42" i="6" s="1"/>
  <c r="ET42" i="6"/>
  <c r="ES42" i="6"/>
  <c r="ER42" i="6"/>
  <c r="EP42" i="6"/>
  <c r="EO42" i="6"/>
  <c r="EN42" i="6"/>
  <c r="EK42" i="6"/>
  <c r="EJ42" i="6"/>
  <c r="EH42" i="6"/>
  <c r="EG42" i="6"/>
  <c r="EF42" i="6"/>
  <c r="ED42" i="6"/>
  <c r="EC42" i="6"/>
  <c r="EB42" i="6"/>
  <c r="DY42" i="6"/>
  <c r="DX42" i="6"/>
  <c r="DZ42" i="6" s="1"/>
  <c r="DU42" i="6"/>
  <c r="DV42" i="6" s="1"/>
  <c r="DQ42" i="6"/>
  <c r="DR42" i="6" s="1"/>
  <c r="DM42" i="6"/>
  <c r="DL42" i="6"/>
  <c r="DJ42" i="6"/>
  <c r="DI42" i="6"/>
  <c r="DF42" i="6"/>
  <c r="DE42" i="6"/>
  <c r="DA42" i="6"/>
  <c r="CZ42" i="6"/>
  <c r="DB42" i="6" s="1"/>
  <c r="CW42" i="6"/>
  <c r="CX42" i="6" s="1"/>
  <c r="CS42" i="6"/>
  <c r="CT42" i="6" s="1"/>
  <c r="CP42" i="6"/>
  <c r="CO42" i="6"/>
  <c r="CK42" i="6"/>
  <c r="CL42" i="6" s="1"/>
  <c r="CH42" i="6"/>
  <c r="CG42" i="6"/>
  <c r="CF42" i="6"/>
  <c r="CC42" i="6"/>
  <c r="CB42" i="6"/>
  <c r="BY42" i="6"/>
  <c r="BZ42" i="6" s="1"/>
  <c r="BU42" i="6"/>
  <c r="BV42" i="6" s="1"/>
  <c r="BQ42" i="6"/>
  <c r="BR42" i="6" s="1"/>
  <c r="BM42" i="6"/>
  <c r="BN42" i="6" s="1"/>
  <c r="BI42" i="6"/>
  <c r="BF42" i="6"/>
  <c r="BE42" i="6"/>
  <c r="BA42" i="6"/>
  <c r="BB42" i="6" s="1"/>
  <c r="AW42" i="6"/>
  <c r="AX42" i="6" s="1"/>
  <c r="AS42" i="6"/>
  <c r="AT42" i="6" s="1"/>
  <c r="AO42" i="6"/>
  <c r="AP42" i="6" s="1"/>
  <c r="AK42" i="6"/>
  <c r="AL42" i="6" s="1"/>
  <c r="AG42" i="6"/>
  <c r="AH42" i="6" s="1"/>
  <c r="AC42" i="6"/>
  <c r="AD42" i="6" s="1"/>
  <c r="Z42" i="6"/>
  <c r="Y42" i="6"/>
  <c r="U42" i="6"/>
  <c r="V42" i="6" s="1"/>
  <c r="Q42" i="6"/>
  <c r="R42" i="6" s="1"/>
  <c r="M42" i="6"/>
  <c r="N42" i="6" s="1"/>
  <c r="I42" i="6"/>
  <c r="J42" i="6" s="1"/>
  <c r="E42" i="6"/>
  <c r="IA41" i="6"/>
  <c r="IC41" i="6" s="1"/>
  <c r="HO41" i="6"/>
  <c r="GZ41" i="6"/>
  <c r="GY41" i="6"/>
  <c r="HA41" i="6" s="1"/>
  <c r="GV41" i="6"/>
  <c r="GU41" i="6"/>
  <c r="GR41" i="6"/>
  <c r="GQ41" i="6"/>
  <c r="GS41" i="6" s="1"/>
  <c r="GN41" i="6"/>
  <c r="GO41" i="6" s="1"/>
  <c r="GM41" i="6"/>
  <c r="GK41" i="6"/>
  <c r="GJ41" i="6"/>
  <c r="GI41" i="6"/>
  <c r="GF41" i="6"/>
  <c r="GE41" i="6"/>
  <c r="GB41" i="6"/>
  <c r="GA41" i="6"/>
  <c r="GC41" i="6" s="1"/>
  <c r="FY41" i="6"/>
  <c r="FX41" i="6"/>
  <c r="FW41" i="6"/>
  <c r="FT41" i="6"/>
  <c r="FS41" i="6"/>
  <c r="FP41" i="6"/>
  <c r="FO41" i="6"/>
  <c r="FM41" i="6"/>
  <c r="FL41" i="6"/>
  <c r="FK41" i="6"/>
  <c r="IE41" i="6" s="1"/>
  <c r="FI41" i="6"/>
  <c r="FJ41" i="6" s="1"/>
  <c r="FH41" i="6"/>
  <c r="FE41" i="6"/>
  <c r="IB41" i="6" s="1"/>
  <c r="FD41" i="6"/>
  <c r="FA41" i="6"/>
  <c r="EZ41" i="6"/>
  <c r="FB41" i="6" s="1"/>
  <c r="EX41" i="6"/>
  <c r="EW41" i="6"/>
  <c r="EV41" i="6"/>
  <c r="ES41" i="6"/>
  <c r="ET41" i="6" s="1"/>
  <c r="ER41" i="6"/>
  <c r="EO41" i="6"/>
  <c r="EN41" i="6"/>
  <c r="EK41" i="6"/>
  <c r="IJ41" i="6" s="1"/>
  <c r="EJ41" i="6"/>
  <c r="EG41" i="6"/>
  <c r="EF41" i="6"/>
  <c r="EC41" i="6"/>
  <c r="ED41" i="6" s="1"/>
  <c r="EB41" i="6"/>
  <c r="DZ41" i="6"/>
  <c r="DY41" i="6"/>
  <c r="DX41" i="6"/>
  <c r="DU41" i="6"/>
  <c r="DV41" i="6" s="1"/>
  <c r="DR41" i="6"/>
  <c r="DQ41" i="6"/>
  <c r="DM41" i="6"/>
  <c r="DL41" i="6"/>
  <c r="DN41" i="6" s="1"/>
  <c r="DJ41" i="6"/>
  <c r="DI41" i="6"/>
  <c r="DE41" i="6"/>
  <c r="DF41" i="6" s="1"/>
  <c r="DB41" i="6"/>
  <c r="DA41" i="6"/>
  <c r="CZ41" i="6"/>
  <c r="CW41" i="6"/>
  <c r="CX41" i="6" s="1"/>
  <c r="CS41" i="6"/>
  <c r="CT41" i="6" s="1"/>
  <c r="CO41" i="6"/>
  <c r="CK41" i="6"/>
  <c r="CL41" i="6" s="1"/>
  <c r="CG41" i="6"/>
  <c r="CH41" i="6" s="1"/>
  <c r="CF41" i="6"/>
  <c r="CD41" i="6"/>
  <c r="CC41" i="6"/>
  <c r="CB41" i="6"/>
  <c r="BY41" i="6"/>
  <c r="BZ41" i="6" s="1"/>
  <c r="BV41" i="6"/>
  <c r="BU41" i="6"/>
  <c r="BQ41" i="6"/>
  <c r="BR41" i="6" s="1"/>
  <c r="BM41" i="6"/>
  <c r="BN41" i="6" s="1"/>
  <c r="BI41" i="6"/>
  <c r="BJ41" i="6" s="1"/>
  <c r="BE41" i="6"/>
  <c r="BF41" i="6" s="1"/>
  <c r="BA41" i="6"/>
  <c r="BB41" i="6" s="1"/>
  <c r="AW41" i="6"/>
  <c r="AX41" i="6" s="1"/>
  <c r="AS41" i="6"/>
  <c r="AT41" i="6" s="1"/>
  <c r="AP41" i="6"/>
  <c r="AO41" i="6"/>
  <c r="AK41" i="6"/>
  <c r="AL41" i="6" s="1"/>
  <c r="AG41" i="6"/>
  <c r="AH41" i="6" s="1"/>
  <c r="AC41" i="6"/>
  <c r="AD41" i="6" s="1"/>
  <c r="Y41" i="6"/>
  <c r="Z41" i="6" s="1"/>
  <c r="U41" i="6"/>
  <c r="V41" i="6" s="1"/>
  <c r="Q41" i="6"/>
  <c r="R41" i="6" s="1"/>
  <c r="M41" i="6"/>
  <c r="J41" i="6"/>
  <c r="I41" i="6"/>
  <c r="E41" i="6"/>
  <c r="IJ40" i="6"/>
  <c r="IB40" i="6"/>
  <c r="HW40" i="6"/>
  <c r="HP40" i="6"/>
  <c r="HO40" i="6"/>
  <c r="HQ40" i="6" s="1"/>
  <c r="HG40" i="6"/>
  <c r="GZ40" i="6"/>
  <c r="HA40" i="6" s="1"/>
  <c r="GY40" i="6"/>
  <c r="GV40" i="6"/>
  <c r="GU40" i="6"/>
  <c r="GW40" i="6" s="1"/>
  <c r="GS40" i="6"/>
  <c r="GR40" i="6"/>
  <c r="GQ40" i="6"/>
  <c r="GN40" i="6"/>
  <c r="GO40" i="6" s="1"/>
  <c r="GM40" i="6"/>
  <c r="GJ40" i="6"/>
  <c r="GI40" i="6"/>
  <c r="GF40" i="6"/>
  <c r="GE40" i="6"/>
  <c r="GG40" i="6" s="1"/>
  <c r="GC40" i="6"/>
  <c r="GB40" i="6"/>
  <c r="GA40" i="6"/>
  <c r="FX40" i="6"/>
  <c r="FY40" i="6" s="1"/>
  <c r="FW40" i="6"/>
  <c r="FT40" i="6"/>
  <c r="FS40" i="6"/>
  <c r="FU40" i="6" s="1"/>
  <c r="FP40" i="6"/>
  <c r="FO40" i="6"/>
  <c r="FL40" i="6"/>
  <c r="FK40" i="6"/>
  <c r="FM40" i="6" s="1"/>
  <c r="FI40" i="6"/>
  <c r="FJ40" i="6" s="1"/>
  <c r="FH40" i="6"/>
  <c r="FF40" i="6"/>
  <c r="FE40" i="6"/>
  <c r="FD40" i="6"/>
  <c r="IA40" i="6" s="1"/>
  <c r="FA40" i="6"/>
  <c r="EZ40" i="6"/>
  <c r="EW40" i="6"/>
  <c r="EV40" i="6"/>
  <c r="EX40" i="6" s="1"/>
  <c r="ET40" i="6"/>
  <c r="ES40" i="6"/>
  <c r="ER40" i="6"/>
  <c r="EO40" i="6"/>
  <c r="EP40" i="6" s="1"/>
  <c r="EN40" i="6"/>
  <c r="EK40" i="6"/>
  <c r="EJ40" i="6"/>
  <c r="EH40" i="6"/>
  <c r="EG40" i="6"/>
  <c r="EF40" i="6"/>
  <c r="EC40" i="6"/>
  <c r="ED40" i="6" s="1"/>
  <c r="EB40" i="6"/>
  <c r="DY40" i="6"/>
  <c r="DX40" i="6"/>
  <c r="DU40" i="6"/>
  <c r="DV40" i="6" s="1"/>
  <c r="DQ40" i="6"/>
  <c r="DR40" i="6" s="1"/>
  <c r="DM40" i="6"/>
  <c r="DL40" i="6"/>
  <c r="DJ40" i="6"/>
  <c r="DI40" i="6"/>
  <c r="DF40" i="6"/>
  <c r="DE40" i="6"/>
  <c r="DA40" i="6"/>
  <c r="CZ40" i="6"/>
  <c r="DB40" i="6" s="1"/>
  <c r="CW40" i="6"/>
  <c r="CX40" i="6" s="1"/>
  <c r="CS40" i="6"/>
  <c r="CT40" i="6" s="1"/>
  <c r="CP40" i="6"/>
  <c r="CO40" i="6"/>
  <c r="CK40" i="6"/>
  <c r="CL40" i="6" s="1"/>
  <c r="CG40" i="6"/>
  <c r="CH40" i="6" s="1"/>
  <c r="CF40" i="6"/>
  <c r="CC40" i="6"/>
  <c r="CB40" i="6"/>
  <c r="BY40" i="6"/>
  <c r="BZ40" i="6" s="1"/>
  <c r="BU40" i="6"/>
  <c r="BV40" i="6" s="1"/>
  <c r="BQ40" i="6"/>
  <c r="BR40" i="6" s="1"/>
  <c r="BM40" i="6"/>
  <c r="BN40" i="6" s="1"/>
  <c r="BI40" i="6"/>
  <c r="BF40" i="6"/>
  <c r="BE40" i="6"/>
  <c r="BA40" i="6"/>
  <c r="BB40" i="6" s="1"/>
  <c r="AX40" i="6"/>
  <c r="AW40" i="6"/>
  <c r="AS40" i="6"/>
  <c r="AT40" i="6" s="1"/>
  <c r="AO40" i="6"/>
  <c r="AP40" i="6" s="1"/>
  <c r="AK40" i="6"/>
  <c r="AL40" i="6" s="1"/>
  <c r="AG40" i="6"/>
  <c r="AH40" i="6" s="1"/>
  <c r="AC40" i="6"/>
  <c r="AD40" i="6" s="1"/>
  <c r="Z40" i="6"/>
  <c r="Y40" i="6"/>
  <c r="U40" i="6"/>
  <c r="V40" i="6" s="1"/>
  <c r="R40" i="6"/>
  <c r="Q40" i="6"/>
  <c r="M40" i="6"/>
  <c r="N40" i="6" s="1"/>
  <c r="I40" i="6"/>
  <c r="J40" i="6" s="1"/>
  <c r="E40" i="6"/>
  <c r="IF39" i="6"/>
  <c r="HO39" i="6"/>
  <c r="GZ39" i="6"/>
  <c r="GY39" i="6"/>
  <c r="HA39" i="6" s="1"/>
  <c r="GV39" i="6"/>
  <c r="GU39" i="6"/>
  <c r="GR39" i="6"/>
  <c r="GQ39" i="6"/>
  <c r="GS39" i="6" s="1"/>
  <c r="GN39" i="6"/>
  <c r="GO39" i="6" s="1"/>
  <c r="GM39" i="6"/>
  <c r="GK39" i="6"/>
  <c r="GJ39" i="6"/>
  <c r="GI39" i="6"/>
  <c r="GF39" i="6"/>
  <c r="GE39" i="6"/>
  <c r="GG39" i="6" s="1"/>
  <c r="GB39" i="6"/>
  <c r="GA39" i="6"/>
  <c r="GC39" i="6" s="1"/>
  <c r="FY39" i="6"/>
  <c r="FX39" i="6"/>
  <c r="FW39" i="6"/>
  <c r="FU39" i="6"/>
  <c r="FT39" i="6"/>
  <c r="FS39" i="6"/>
  <c r="FP39" i="6"/>
  <c r="FO39" i="6"/>
  <c r="FM39" i="6"/>
  <c r="FL39" i="6"/>
  <c r="FK39" i="6"/>
  <c r="IE39" i="6" s="1"/>
  <c r="FJ39" i="6"/>
  <c r="FI39" i="6"/>
  <c r="FH39" i="6"/>
  <c r="FE39" i="6"/>
  <c r="FD39" i="6"/>
  <c r="FA39" i="6"/>
  <c r="EZ39" i="6"/>
  <c r="FB39" i="6" s="1"/>
  <c r="EX39" i="6"/>
  <c r="EW39" i="6"/>
  <c r="EV39" i="6"/>
  <c r="ES39" i="6"/>
  <c r="ET39" i="6" s="1"/>
  <c r="ER39" i="6"/>
  <c r="EO39" i="6"/>
  <c r="EN39" i="6"/>
  <c r="EK39" i="6"/>
  <c r="IJ39" i="6" s="1"/>
  <c r="EJ39" i="6"/>
  <c r="EG39" i="6"/>
  <c r="HX39" i="6" s="1"/>
  <c r="EF39" i="6"/>
  <c r="EC39" i="6"/>
  <c r="ED39" i="6" s="1"/>
  <c r="EB39" i="6"/>
  <c r="DZ39" i="6"/>
  <c r="DY39" i="6"/>
  <c r="DX39" i="6"/>
  <c r="DU39" i="6"/>
  <c r="DV39" i="6" s="1"/>
  <c r="DR39" i="6"/>
  <c r="DQ39" i="6"/>
  <c r="DM39" i="6"/>
  <c r="DL39" i="6"/>
  <c r="DN39" i="6" s="1"/>
  <c r="DJ39" i="6"/>
  <c r="DI39" i="6"/>
  <c r="DE39" i="6"/>
  <c r="DF39" i="6" s="1"/>
  <c r="DB39" i="6"/>
  <c r="DA39" i="6"/>
  <c r="CZ39" i="6"/>
  <c r="CX39" i="6"/>
  <c r="CW39" i="6"/>
  <c r="CS39" i="6"/>
  <c r="CT39" i="6" s="1"/>
  <c r="CO39" i="6"/>
  <c r="CP39" i="6" s="1"/>
  <c r="CK39" i="6"/>
  <c r="CL39" i="6" s="1"/>
  <c r="CG39" i="6"/>
  <c r="CH39" i="6" s="1"/>
  <c r="CF39" i="6"/>
  <c r="CD39" i="6"/>
  <c r="CC39" i="6"/>
  <c r="CB39" i="6"/>
  <c r="BY39" i="6"/>
  <c r="BZ39" i="6" s="1"/>
  <c r="BV39" i="6"/>
  <c r="BU39" i="6"/>
  <c r="BQ39" i="6"/>
  <c r="BR39" i="6" s="1"/>
  <c r="BN39" i="6"/>
  <c r="BM39" i="6"/>
  <c r="BI39" i="6"/>
  <c r="BJ39" i="6" s="1"/>
  <c r="BE39" i="6"/>
  <c r="BF39" i="6" s="1"/>
  <c r="BA39" i="6"/>
  <c r="BB39" i="6" s="1"/>
  <c r="AW39" i="6"/>
  <c r="AX39" i="6" s="1"/>
  <c r="AS39" i="6"/>
  <c r="AT39" i="6" s="1"/>
  <c r="AP39" i="6"/>
  <c r="AO39" i="6"/>
  <c r="AK39" i="6"/>
  <c r="AL39" i="6" s="1"/>
  <c r="AH39" i="6"/>
  <c r="AG39" i="6"/>
  <c r="AC39" i="6"/>
  <c r="AD39" i="6" s="1"/>
  <c r="Y39" i="6"/>
  <c r="Z39" i="6" s="1"/>
  <c r="U39" i="6"/>
  <c r="V39" i="6" s="1"/>
  <c r="Q39" i="6"/>
  <c r="R39" i="6" s="1"/>
  <c r="M39" i="6"/>
  <c r="J39" i="6"/>
  <c r="I39" i="6"/>
  <c r="E39" i="6"/>
  <c r="IB38" i="6"/>
  <c r="HP38" i="6"/>
  <c r="HO38" i="6"/>
  <c r="HA38" i="6"/>
  <c r="GZ38" i="6"/>
  <c r="GY38" i="6"/>
  <c r="GV38" i="6"/>
  <c r="GU38" i="6"/>
  <c r="GW38" i="6" s="1"/>
  <c r="GR38" i="6"/>
  <c r="GQ38" i="6"/>
  <c r="GS38" i="6" s="1"/>
  <c r="GO38" i="6"/>
  <c r="GN38" i="6"/>
  <c r="GM38" i="6"/>
  <c r="GK38" i="6"/>
  <c r="GJ38" i="6"/>
  <c r="GI38" i="6"/>
  <c r="GF38" i="6"/>
  <c r="GE38" i="6"/>
  <c r="GG38" i="6" s="1"/>
  <c r="GB38" i="6"/>
  <c r="GA38" i="6"/>
  <c r="GC38" i="6" s="1"/>
  <c r="FY38" i="6"/>
  <c r="FX38" i="6"/>
  <c r="FW38" i="6"/>
  <c r="FU38" i="6"/>
  <c r="FT38" i="6"/>
  <c r="FS38" i="6"/>
  <c r="FP38" i="6"/>
  <c r="FO38" i="6"/>
  <c r="FQ38" i="6" s="1"/>
  <c r="FL38" i="6"/>
  <c r="IF38" i="6" s="1"/>
  <c r="FK38" i="6"/>
  <c r="FJ38" i="6"/>
  <c r="FI38" i="6"/>
  <c r="FH38" i="6"/>
  <c r="FF38" i="6"/>
  <c r="FE38" i="6"/>
  <c r="FD38" i="6"/>
  <c r="IA38" i="6" s="1"/>
  <c r="IC38" i="6" s="1"/>
  <c r="FA38" i="6"/>
  <c r="EZ38" i="6"/>
  <c r="FB38" i="6" s="1"/>
  <c r="EW38" i="6"/>
  <c r="EV38" i="6"/>
  <c r="ET38" i="6"/>
  <c r="ES38" i="6"/>
  <c r="ER38" i="6"/>
  <c r="EP38" i="6"/>
  <c r="EO38" i="6"/>
  <c r="EN38" i="6"/>
  <c r="EK38" i="6"/>
  <c r="IJ38" i="6" s="1"/>
  <c r="EJ38" i="6"/>
  <c r="EG38" i="6"/>
  <c r="HX38" i="6" s="1"/>
  <c r="EF38" i="6"/>
  <c r="EH38" i="6" s="1"/>
  <c r="ED38" i="6"/>
  <c r="EC38" i="6"/>
  <c r="EB38" i="6"/>
  <c r="DZ38" i="6"/>
  <c r="DY38" i="6"/>
  <c r="DX38" i="6"/>
  <c r="DU38" i="6"/>
  <c r="DV38" i="6" s="1"/>
  <c r="DR38" i="6"/>
  <c r="DQ38" i="6"/>
  <c r="DM38" i="6"/>
  <c r="DL38" i="6"/>
  <c r="DI38" i="6"/>
  <c r="DJ38" i="6" s="1"/>
  <c r="DE38" i="6"/>
  <c r="DF38" i="6" s="1"/>
  <c r="DA38" i="6"/>
  <c r="CZ38" i="6"/>
  <c r="CX38" i="6"/>
  <c r="CW38" i="6"/>
  <c r="CS38" i="6"/>
  <c r="CT38" i="6" s="1"/>
  <c r="CP38" i="6"/>
  <c r="CO38" i="6"/>
  <c r="CK38" i="6"/>
  <c r="CH38" i="6"/>
  <c r="CG38" i="6"/>
  <c r="CF38" i="6"/>
  <c r="CD38" i="6"/>
  <c r="CC38" i="6"/>
  <c r="BY38" i="6"/>
  <c r="BZ38" i="6" s="1"/>
  <c r="BU38" i="6"/>
  <c r="BV38" i="6" s="1"/>
  <c r="BQ38" i="6"/>
  <c r="BR38" i="6" s="1"/>
  <c r="BN38" i="6"/>
  <c r="BM38" i="6"/>
  <c r="BI38" i="6"/>
  <c r="HL38" i="6" s="1"/>
  <c r="BE38" i="6"/>
  <c r="BF38" i="6" s="1"/>
  <c r="BA38" i="6"/>
  <c r="BB38" i="6" s="1"/>
  <c r="AX38" i="6"/>
  <c r="AW38" i="6"/>
  <c r="AS38" i="6"/>
  <c r="AT38" i="6" s="1"/>
  <c r="AO38" i="6"/>
  <c r="AP38" i="6" s="1"/>
  <c r="AK38" i="6"/>
  <c r="AL38" i="6" s="1"/>
  <c r="AH38" i="6"/>
  <c r="AG38" i="6"/>
  <c r="AC38" i="6"/>
  <c r="AD38" i="6" s="1"/>
  <c r="Y38" i="6"/>
  <c r="Z38" i="6" s="1"/>
  <c r="U38" i="6"/>
  <c r="V38" i="6" s="1"/>
  <c r="R38" i="6"/>
  <c r="Q38" i="6"/>
  <c r="M38" i="6"/>
  <c r="N38" i="6" s="1"/>
  <c r="I38" i="6"/>
  <c r="J38" i="6" s="1"/>
  <c r="E38" i="6"/>
  <c r="IJ37" i="6"/>
  <c r="IF37" i="6"/>
  <c r="IA37" i="6"/>
  <c r="HP37" i="6"/>
  <c r="HO37" i="6"/>
  <c r="GZ37" i="6"/>
  <c r="GY37" i="6"/>
  <c r="GV37" i="6"/>
  <c r="GU37" i="6"/>
  <c r="GW37" i="6" s="1"/>
  <c r="GS37" i="6"/>
  <c r="GR37" i="6"/>
  <c r="GQ37" i="6"/>
  <c r="GN37" i="6"/>
  <c r="GO37" i="6" s="1"/>
  <c r="GM37" i="6"/>
  <c r="GJ37" i="6"/>
  <c r="GI37" i="6"/>
  <c r="GF37" i="6"/>
  <c r="GE37" i="6"/>
  <c r="GG37" i="6" s="1"/>
  <c r="GC37" i="6"/>
  <c r="GB37" i="6"/>
  <c r="GA37" i="6"/>
  <c r="FX37" i="6"/>
  <c r="FY37" i="6" s="1"/>
  <c r="FW37" i="6"/>
  <c r="FT37" i="6"/>
  <c r="FS37" i="6"/>
  <c r="FP37" i="6"/>
  <c r="FO37" i="6"/>
  <c r="FQ37" i="6" s="1"/>
  <c r="FM37" i="6"/>
  <c r="FL37" i="6"/>
  <c r="FK37" i="6"/>
  <c r="FI37" i="6"/>
  <c r="FJ37" i="6" s="1"/>
  <c r="FH37" i="6"/>
  <c r="FE37" i="6"/>
  <c r="IB37" i="6" s="1"/>
  <c r="FD37" i="6"/>
  <c r="FA37" i="6"/>
  <c r="EZ37" i="6"/>
  <c r="FB37" i="6" s="1"/>
  <c r="EX37" i="6"/>
  <c r="EW37" i="6"/>
  <c r="EV37" i="6"/>
  <c r="HG37" i="6" s="1"/>
  <c r="ES37" i="6"/>
  <c r="ET37" i="6" s="1"/>
  <c r="ER37" i="6"/>
  <c r="EO37" i="6"/>
  <c r="EN37" i="6"/>
  <c r="EK37" i="6"/>
  <c r="EJ37" i="6"/>
  <c r="EH37" i="6"/>
  <c r="EG37" i="6"/>
  <c r="EF37" i="6"/>
  <c r="HW37" i="6" s="1"/>
  <c r="EC37" i="6"/>
  <c r="ED37" i="6" s="1"/>
  <c r="EB37" i="6"/>
  <c r="DY37" i="6"/>
  <c r="DX37" i="6"/>
  <c r="DU37" i="6"/>
  <c r="DV37" i="6" s="1"/>
  <c r="DQ37" i="6"/>
  <c r="DR37" i="6" s="1"/>
  <c r="DM37" i="6"/>
  <c r="DL37" i="6"/>
  <c r="DN37" i="6" s="1"/>
  <c r="DJ37" i="6"/>
  <c r="DI37" i="6"/>
  <c r="DE37" i="6"/>
  <c r="DF37" i="6" s="1"/>
  <c r="DB37" i="6"/>
  <c r="DA37" i="6"/>
  <c r="CZ37" i="6"/>
  <c r="CW37" i="6"/>
  <c r="CS37" i="6"/>
  <c r="CT37" i="6" s="1"/>
  <c r="CP37" i="6"/>
  <c r="CO37" i="6"/>
  <c r="CK37" i="6"/>
  <c r="CL37" i="6" s="1"/>
  <c r="CG37" i="6"/>
  <c r="CH37" i="6" s="1"/>
  <c r="CF37" i="6"/>
  <c r="CC37" i="6"/>
  <c r="CB37" i="6"/>
  <c r="BY37" i="6"/>
  <c r="BZ37" i="6" s="1"/>
  <c r="BU37" i="6"/>
  <c r="BV37" i="6" s="1"/>
  <c r="BQ37" i="6"/>
  <c r="BR37" i="6" s="1"/>
  <c r="BN37" i="6"/>
  <c r="BM37" i="6"/>
  <c r="BI37" i="6"/>
  <c r="BJ37" i="6" s="1"/>
  <c r="BE37" i="6"/>
  <c r="BF37" i="6" s="1"/>
  <c r="BA37" i="6"/>
  <c r="BB37" i="6" s="1"/>
  <c r="AX37" i="6"/>
  <c r="AW37" i="6"/>
  <c r="AS37" i="6"/>
  <c r="AT37" i="6" s="1"/>
  <c r="AO37" i="6"/>
  <c r="AP37" i="6" s="1"/>
  <c r="AK37" i="6"/>
  <c r="AL37" i="6" s="1"/>
  <c r="AH37" i="6"/>
  <c r="AG37" i="6"/>
  <c r="AC37" i="6"/>
  <c r="AD37" i="6" s="1"/>
  <c r="Y37" i="6"/>
  <c r="Z37" i="6" s="1"/>
  <c r="U37" i="6"/>
  <c r="V37" i="6" s="1"/>
  <c r="R37" i="6"/>
  <c r="Q37" i="6"/>
  <c r="M37" i="6"/>
  <c r="N37" i="6" s="1"/>
  <c r="I37" i="6"/>
  <c r="J37" i="6" s="1"/>
  <c r="E37" i="6"/>
  <c r="IJ36" i="6"/>
  <c r="IA36" i="6"/>
  <c r="HP36" i="6"/>
  <c r="HO36" i="6"/>
  <c r="GZ36" i="6"/>
  <c r="GY36" i="6"/>
  <c r="GV36" i="6"/>
  <c r="GU36" i="6"/>
  <c r="GW36" i="6" s="1"/>
  <c r="GS36" i="6"/>
  <c r="GR36" i="6"/>
  <c r="GQ36" i="6"/>
  <c r="GN36" i="6"/>
  <c r="GO36" i="6" s="1"/>
  <c r="GM36" i="6"/>
  <c r="GJ36" i="6"/>
  <c r="GI36" i="6"/>
  <c r="GF36" i="6"/>
  <c r="GE36" i="6"/>
  <c r="GG36" i="6" s="1"/>
  <c r="GC36" i="6"/>
  <c r="GB36" i="6"/>
  <c r="GA36" i="6"/>
  <c r="FX36" i="6"/>
  <c r="FY36" i="6" s="1"/>
  <c r="FW36" i="6"/>
  <c r="FT36" i="6"/>
  <c r="FS36" i="6"/>
  <c r="FP36" i="6"/>
  <c r="FO36" i="6"/>
  <c r="FQ36" i="6" s="1"/>
  <c r="FM36" i="6"/>
  <c r="FL36" i="6"/>
  <c r="FK36" i="6"/>
  <c r="FI36" i="6"/>
  <c r="FJ36" i="6" s="1"/>
  <c r="FH36" i="6"/>
  <c r="FE36" i="6"/>
  <c r="IB36" i="6" s="1"/>
  <c r="FD36" i="6"/>
  <c r="FA36" i="6"/>
  <c r="EZ36" i="6"/>
  <c r="FB36" i="6" s="1"/>
  <c r="EX36" i="6"/>
  <c r="EW36" i="6"/>
  <c r="EV36" i="6"/>
  <c r="HG36" i="6" s="1"/>
  <c r="ES36" i="6"/>
  <c r="ET36" i="6" s="1"/>
  <c r="ER36" i="6"/>
  <c r="EO36" i="6"/>
  <c r="EN36" i="6"/>
  <c r="EK36" i="6"/>
  <c r="EJ36" i="6"/>
  <c r="EH36" i="6"/>
  <c r="EG36" i="6"/>
  <c r="EF36" i="6"/>
  <c r="HW36" i="6" s="1"/>
  <c r="EC36" i="6"/>
  <c r="ED36" i="6" s="1"/>
  <c r="EB36" i="6"/>
  <c r="DY36" i="6"/>
  <c r="DX36" i="6"/>
  <c r="DU36" i="6"/>
  <c r="DV36" i="6" s="1"/>
  <c r="DQ36" i="6"/>
  <c r="DR36" i="6" s="1"/>
  <c r="DM36" i="6"/>
  <c r="DL36" i="6"/>
  <c r="DN36" i="6" s="1"/>
  <c r="DJ36" i="6"/>
  <c r="DI36" i="6"/>
  <c r="DE36" i="6"/>
  <c r="DF36" i="6" s="1"/>
  <c r="DB36" i="6"/>
  <c r="DA36" i="6"/>
  <c r="CZ36" i="6"/>
  <c r="CW36" i="6"/>
  <c r="CS36" i="6"/>
  <c r="CT36" i="6" s="1"/>
  <c r="CP36" i="6"/>
  <c r="CO36" i="6"/>
  <c r="CK36" i="6"/>
  <c r="CL36" i="6" s="1"/>
  <c r="CG36" i="6"/>
  <c r="CH36" i="6" s="1"/>
  <c r="CF36" i="6"/>
  <c r="CC36" i="6"/>
  <c r="CB36" i="6"/>
  <c r="BY36" i="6"/>
  <c r="BZ36" i="6" s="1"/>
  <c r="BU36" i="6"/>
  <c r="BV36" i="6" s="1"/>
  <c r="BQ36" i="6"/>
  <c r="BR36" i="6" s="1"/>
  <c r="BN36" i="6"/>
  <c r="BM36" i="6"/>
  <c r="BI36" i="6"/>
  <c r="BJ36" i="6" s="1"/>
  <c r="BE36" i="6"/>
  <c r="BF36" i="6" s="1"/>
  <c r="BA36" i="6"/>
  <c r="BB36" i="6" s="1"/>
  <c r="AX36" i="6"/>
  <c r="AW36" i="6"/>
  <c r="AS36" i="6"/>
  <c r="AT36" i="6" s="1"/>
  <c r="AO36" i="6"/>
  <c r="AP36" i="6" s="1"/>
  <c r="AK36" i="6"/>
  <c r="AL36" i="6" s="1"/>
  <c r="AH36" i="6"/>
  <c r="AG36" i="6"/>
  <c r="AC36" i="6"/>
  <c r="AD36" i="6" s="1"/>
  <c r="Y36" i="6"/>
  <c r="Z36" i="6" s="1"/>
  <c r="U36" i="6"/>
  <c r="V36" i="6" s="1"/>
  <c r="R36" i="6"/>
  <c r="Q36" i="6"/>
  <c r="M36" i="6"/>
  <c r="N36" i="6" s="1"/>
  <c r="I36" i="6"/>
  <c r="J36" i="6" s="1"/>
  <c r="E36" i="6"/>
  <c r="IJ35" i="6"/>
  <c r="IF35" i="6"/>
  <c r="IA35" i="6"/>
  <c r="HP35" i="6"/>
  <c r="HO35" i="6"/>
  <c r="GZ35" i="6"/>
  <c r="GY35" i="6"/>
  <c r="GV35" i="6"/>
  <c r="GU35" i="6"/>
  <c r="GW35" i="6" s="1"/>
  <c r="GS35" i="6"/>
  <c r="GR35" i="6"/>
  <c r="GQ35" i="6"/>
  <c r="GN35" i="6"/>
  <c r="GO35" i="6" s="1"/>
  <c r="GM35" i="6"/>
  <c r="GJ35" i="6"/>
  <c r="GI35" i="6"/>
  <c r="GF35" i="6"/>
  <c r="GE35" i="6"/>
  <c r="GG35" i="6" s="1"/>
  <c r="GC35" i="6"/>
  <c r="GB35" i="6"/>
  <c r="GA35" i="6"/>
  <c r="FX35" i="6"/>
  <c r="FY35" i="6" s="1"/>
  <c r="FW35" i="6"/>
  <c r="FT35" i="6"/>
  <c r="FS35" i="6"/>
  <c r="FP35" i="6"/>
  <c r="FO35" i="6"/>
  <c r="FQ35" i="6" s="1"/>
  <c r="FM35" i="6"/>
  <c r="FL35" i="6"/>
  <c r="FK35" i="6"/>
  <c r="FI35" i="6"/>
  <c r="FJ35" i="6" s="1"/>
  <c r="FH35" i="6"/>
  <c r="FE35" i="6"/>
  <c r="IB35" i="6" s="1"/>
  <c r="FD35" i="6"/>
  <c r="FA35" i="6"/>
  <c r="EZ35" i="6"/>
  <c r="FB35" i="6" s="1"/>
  <c r="EX35" i="6"/>
  <c r="EW35" i="6"/>
  <c r="EV35" i="6"/>
  <c r="ES35" i="6"/>
  <c r="ET35" i="6" s="1"/>
  <c r="ER35" i="6"/>
  <c r="EO35" i="6"/>
  <c r="EN35" i="6"/>
  <c r="EK35" i="6"/>
  <c r="EJ35" i="6"/>
  <c r="EH35" i="6"/>
  <c r="EG35" i="6"/>
  <c r="EF35" i="6"/>
  <c r="HW35" i="6" s="1"/>
  <c r="EC35" i="6"/>
  <c r="ED35" i="6" s="1"/>
  <c r="EB35" i="6"/>
  <c r="DY35" i="6"/>
  <c r="DX35" i="6"/>
  <c r="DU35" i="6"/>
  <c r="DV35" i="6" s="1"/>
  <c r="DQ35" i="6"/>
  <c r="DR35" i="6" s="1"/>
  <c r="DM35" i="6"/>
  <c r="DL35" i="6"/>
  <c r="DN35" i="6" s="1"/>
  <c r="DI35" i="6"/>
  <c r="DE35" i="6"/>
  <c r="DF35" i="6" s="1"/>
  <c r="DA35" i="6"/>
  <c r="DB35" i="6" s="1"/>
  <c r="CZ35" i="6"/>
  <c r="CW35" i="6"/>
  <c r="CT35" i="6"/>
  <c r="CS35" i="6"/>
  <c r="CO35" i="6"/>
  <c r="CP35" i="6" s="1"/>
  <c r="CL35" i="6"/>
  <c r="CK35" i="6"/>
  <c r="CG35" i="6"/>
  <c r="CF35" i="6"/>
  <c r="CC35" i="6"/>
  <c r="CB35" i="6"/>
  <c r="BZ35" i="6"/>
  <c r="BY35" i="6"/>
  <c r="BU35" i="6"/>
  <c r="BR35" i="6"/>
  <c r="BQ35" i="6"/>
  <c r="BM35" i="6"/>
  <c r="BN35" i="6" s="1"/>
  <c r="BJ35" i="6"/>
  <c r="BI35" i="6"/>
  <c r="BE35" i="6"/>
  <c r="BF35" i="6" s="1"/>
  <c r="BB35" i="6"/>
  <c r="BA35" i="6"/>
  <c r="AW35" i="6"/>
  <c r="AX35" i="6" s="1"/>
  <c r="AT35" i="6"/>
  <c r="AS35" i="6"/>
  <c r="AO35" i="6"/>
  <c r="AP35" i="6" s="1"/>
  <c r="AL35" i="6"/>
  <c r="AK35" i="6"/>
  <c r="AG35" i="6"/>
  <c r="AH35" i="6" s="1"/>
  <c r="AD35" i="6"/>
  <c r="AC35" i="6"/>
  <c r="Y35" i="6"/>
  <c r="Z35" i="6" s="1"/>
  <c r="V35" i="6"/>
  <c r="U35" i="6"/>
  <c r="Q35" i="6"/>
  <c r="R35" i="6" s="1"/>
  <c r="N35" i="6"/>
  <c r="M35" i="6"/>
  <c r="I35" i="6"/>
  <c r="J35" i="6" s="1"/>
  <c r="F35" i="6"/>
  <c r="E35" i="6"/>
  <c r="HH35" i="6" s="1"/>
  <c r="IJ34" i="6"/>
  <c r="II34" i="6"/>
  <c r="IK34" i="6" s="1"/>
  <c r="HX34" i="6"/>
  <c r="HO34" i="6"/>
  <c r="GZ34" i="6"/>
  <c r="GY34" i="6"/>
  <c r="HA34" i="6" s="1"/>
  <c r="GW34" i="6"/>
  <c r="GV34" i="6"/>
  <c r="GU34" i="6"/>
  <c r="GS34" i="6"/>
  <c r="GR34" i="6"/>
  <c r="GQ34" i="6"/>
  <c r="GN34" i="6"/>
  <c r="GM34" i="6"/>
  <c r="GO34" i="6" s="1"/>
  <c r="GJ34" i="6"/>
  <c r="GI34" i="6"/>
  <c r="GK34" i="6" s="1"/>
  <c r="GG34" i="6"/>
  <c r="GF34" i="6"/>
  <c r="GE34" i="6"/>
  <c r="GC34" i="6"/>
  <c r="GB34" i="6"/>
  <c r="GA34" i="6"/>
  <c r="FX34" i="6"/>
  <c r="FW34" i="6"/>
  <c r="FY34" i="6" s="1"/>
  <c r="FT34" i="6"/>
  <c r="FS34" i="6"/>
  <c r="FQ34" i="6"/>
  <c r="FP34" i="6"/>
  <c r="FO34" i="6"/>
  <c r="FM34" i="6"/>
  <c r="FL34" i="6"/>
  <c r="IF34" i="6" s="1"/>
  <c r="FK34" i="6"/>
  <c r="FI34" i="6"/>
  <c r="FH34" i="6"/>
  <c r="FJ34" i="6" s="1"/>
  <c r="FE34" i="6"/>
  <c r="IB34" i="6" s="1"/>
  <c r="FD34" i="6"/>
  <c r="FB34" i="6"/>
  <c r="FA34" i="6"/>
  <c r="EZ34" i="6"/>
  <c r="EX34" i="6"/>
  <c r="EW34" i="6"/>
  <c r="EV34" i="6"/>
  <c r="ES34" i="6"/>
  <c r="ER34" i="6"/>
  <c r="ET34" i="6" s="1"/>
  <c r="EO34" i="6"/>
  <c r="EN34" i="6"/>
  <c r="EP34" i="6" s="1"/>
  <c r="EL34" i="6"/>
  <c r="EK34" i="6"/>
  <c r="EJ34" i="6"/>
  <c r="EH34" i="6"/>
  <c r="EG34" i="6"/>
  <c r="EF34" i="6"/>
  <c r="HW34" i="6" s="1"/>
  <c r="EC34" i="6"/>
  <c r="EB34" i="6"/>
  <c r="ED34" i="6" s="1"/>
  <c r="DY34" i="6"/>
  <c r="DX34" i="6"/>
  <c r="DZ34" i="6" s="1"/>
  <c r="DV34" i="6"/>
  <c r="DU34" i="6"/>
  <c r="DQ34" i="6"/>
  <c r="DR34" i="6" s="1"/>
  <c r="DN34" i="6"/>
  <c r="DM34" i="6"/>
  <c r="DL34" i="6"/>
  <c r="DI34" i="6"/>
  <c r="DE34" i="6"/>
  <c r="DF34" i="6" s="1"/>
  <c r="DB34" i="6"/>
  <c r="DA34" i="6"/>
  <c r="CZ34" i="6"/>
  <c r="CW34" i="6"/>
  <c r="CX34" i="6" s="1"/>
  <c r="CT34" i="6"/>
  <c r="CS34" i="6"/>
  <c r="CO34" i="6"/>
  <c r="CP34" i="6" s="1"/>
  <c r="CL34" i="6"/>
  <c r="CK34" i="6"/>
  <c r="CG34" i="6"/>
  <c r="CF34" i="6"/>
  <c r="CC34" i="6"/>
  <c r="CB34" i="6"/>
  <c r="BZ34" i="6"/>
  <c r="BY34" i="6"/>
  <c r="BU34" i="6"/>
  <c r="BV34" i="6" s="1"/>
  <c r="BR34" i="6"/>
  <c r="BQ34" i="6"/>
  <c r="BM34" i="6"/>
  <c r="BN34" i="6" s="1"/>
  <c r="BJ34" i="6"/>
  <c r="BI34" i="6"/>
  <c r="BE34" i="6"/>
  <c r="BF34" i="6" s="1"/>
  <c r="BB34" i="6"/>
  <c r="BA34" i="6"/>
  <c r="AW34" i="6"/>
  <c r="AX34" i="6" s="1"/>
  <c r="AT34" i="6"/>
  <c r="AS34" i="6"/>
  <c r="AO34" i="6"/>
  <c r="AP34" i="6" s="1"/>
  <c r="AL34" i="6"/>
  <c r="AK34" i="6"/>
  <c r="AG34" i="6"/>
  <c r="AD34" i="6"/>
  <c r="AC34" i="6"/>
  <c r="Y34" i="6"/>
  <c r="Z34" i="6" s="1"/>
  <c r="V34" i="6"/>
  <c r="U34" i="6"/>
  <c r="Q34" i="6"/>
  <c r="R34" i="6" s="1"/>
  <c r="N34" i="6"/>
  <c r="M34" i="6"/>
  <c r="I34" i="6"/>
  <c r="J34" i="6" s="1"/>
  <c r="F34" i="6"/>
  <c r="E34" i="6"/>
  <c r="IJ33" i="6"/>
  <c r="II33" i="6"/>
  <c r="IE33" i="6"/>
  <c r="HT33" i="6"/>
  <c r="HO33" i="6"/>
  <c r="GZ33" i="6"/>
  <c r="GY33" i="6"/>
  <c r="HA33" i="6" s="1"/>
  <c r="GW33" i="6"/>
  <c r="GV33" i="6"/>
  <c r="GU33" i="6"/>
  <c r="GR33" i="6"/>
  <c r="GS33" i="6" s="1"/>
  <c r="GQ33" i="6"/>
  <c r="GN33" i="6"/>
  <c r="GM33" i="6"/>
  <c r="GJ33" i="6"/>
  <c r="GI33" i="6"/>
  <c r="GK33" i="6" s="1"/>
  <c r="GG33" i="6"/>
  <c r="GF33" i="6"/>
  <c r="GE33" i="6"/>
  <c r="GB33" i="6"/>
  <c r="GC33" i="6" s="1"/>
  <c r="GA33" i="6"/>
  <c r="FX33" i="6"/>
  <c r="FW33" i="6"/>
  <c r="FT33" i="6"/>
  <c r="FS33" i="6"/>
  <c r="FU33" i="6" s="1"/>
  <c r="FQ33" i="6"/>
  <c r="FP33" i="6"/>
  <c r="FO33" i="6"/>
  <c r="FL33" i="6"/>
  <c r="FK33" i="6"/>
  <c r="FI33" i="6"/>
  <c r="FH33" i="6"/>
  <c r="FE33" i="6"/>
  <c r="FD33" i="6"/>
  <c r="FB33" i="6"/>
  <c r="FA33" i="6"/>
  <c r="EZ33" i="6"/>
  <c r="EW33" i="6"/>
  <c r="EX33" i="6" s="1"/>
  <c r="EV33" i="6"/>
  <c r="ES33" i="6"/>
  <c r="ER33" i="6"/>
  <c r="EO33" i="6"/>
  <c r="EN33" i="6"/>
  <c r="EP33" i="6" s="1"/>
  <c r="EL33" i="6"/>
  <c r="EK33" i="6"/>
  <c r="EJ33" i="6"/>
  <c r="EG33" i="6"/>
  <c r="EF33" i="6"/>
  <c r="EC33" i="6"/>
  <c r="EB33" i="6"/>
  <c r="DY33" i="6"/>
  <c r="DX33" i="6"/>
  <c r="DZ33" i="6" s="1"/>
  <c r="DV33" i="6"/>
  <c r="DU33" i="6"/>
  <c r="DQ33" i="6"/>
  <c r="DR33" i="6" s="1"/>
  <c r="DN33" i="6"/>
  <c r="DM33" i="6"/>
  <c r="DL33" i="6"/>
  <c r="DI33" i="6"/>
  <c r="HD33" i="6" s="1"/>
  <c r="DF33" i="6"/>
  <c r="DE33" i="6"/>
  <c r="DA33" i="6"/>
  <c r="CZ33" i="6"/>
  <c r="DB33" i="6" s="1"/>
  <c r="CW33" i="6"/>
  <c r="CX33" i="6" s="1"/>
  <c r="CT33" i="6"/>
  <c r="CS33" i="6"/>
  <c r="CO33" i="6"/>
  <c r="CP33" i="6" s="1"/>
  <c r="CK33" i="6"/>
  <c r="CL33" i="6" s="1"/>
  <c r="CG33" i="6"/>
  <c r="CF33" i="6"/>
  <c r="CD33" i="6"/>
  <c r="CC33" i="6"/>
  <c r="CB33" i="6"/>
  <c r="BZ33" i="6"/>
  <c r="BY33" i="6"/>
  <c r="BU33" i="6"/>
  <c r="BV33" i="6" s="1"/>
  <c r="BQ33" i="6"/>
  <c r="BR33" i="6" s="1"/>
  <c r="BM33" i="6"/>
  <c r="BN33" i="6" s="1"/>
  <c r="BJ33" i="6"/>
  <c r="BI33" i="6"/>
  <c r="BE33" i="6"/>
  <c r="BF33" i="6" s="1"/>
  <c r="BA33" i="6"/>
  <c r="BB33" i="6" s="1"/>
  <c r="AW33" i="6"/>
  <c r="AX33" i="6" s="1"/>
  <c r="AT33" i="6"/>
  <c r="AS33" i="6"/>
  <c r="AO33" i="6"/>
  <c r="AP33" i="6" s="1"/>
  <c r="AK33" i="6"/>
  <c r="AL33" i="6" s="1"/>
  <c r="AG33" i="6"/>
  <c r="AH33" i="6" s="1"/>
  <c r="AD33" i="6"/>
  <c r="AC33" i="6"/>
  <c r="Y33" i="6"/>
  <c r="Z33" i="6" s="1"/>
  <c r="U33" i="6"/>
  <c r="V33" i="6" s="1"/>
  <c r="Q33" i="6"/>
  <c r="R33" i="6" s="1"/>
  <c r="N33" i="6"/>
  <c r="M33" i="6"/>
  <c r="I33" i="6"/>
  <c r="J33" i="6" s="1"/>
  <c r="E33" i="6"/>
  <c r="II32" i="6"/>
  <c r="IB32" i="6"/>
  <c r="HS32" i="6"/>
  <c r="HO32" i="6"/>
  <c r="HA32" i="6"/>
  <c r="GZ32" i="6"/>
  <c r="GY32" i="6"/>
  <c r="GW32" i="6"/>
  <c r="GV32" i="6"/>
  <c r="GU32" i="6"/>
  <c r="GR32" i="6"/>
  <c r="GQ32" i="6"/>
  <c r="GS32" i="6" s="1"/>
  <c r="GN32" i="6"/>
  <c r="GM32" i="6"/>
  <c r="GO32" i="6" s="1"/>
  <c r="GK32" i="6"/>
  <c r="GJ32" i="6"/>
  <c r="GI32" i="6"/>
  <c r="GG32" i="6"/>
  <c r="GF32" i="6"/>
  <c r="GE32" i="6"/>
  <c r="GB32" i="6"/>
  <c r="GA32" i="6"/>
  <c r="GC32" i="6" s="1"/>
  <c r="FX32" i="6"/>
  <c r="FW32" i="6"/>
  <c r="FY32" i="6" s="1"/>
  <c r="FU32" i="6"/>
  <c r="FT32" i="6"/>
  <c r="FS32" i="6"/>
  <c r="FQ32" i="6"/>
  <c r="FP32" i="6"/>
  <c r="FO32" i="6"/>
  <c r="FL32" i="6"/>
  <c r="IF32" i="6" s="1"/>
  <c r="FK32" i="6"/>
  <c r="FI32" i="6"/>
  <c r="FH32" i="6"/>
  <c r="FJ32" i="6" s="1"/>
  <c r="FF32" i="6"/>
  <c r="FE32" i="6"/>
  <c r="FD32" i="6"/>
  <c r="FB32" i="6"/>
  <c r="FA32" i="6"/>
  <c r="EZ32" i="6"/>
  <c r="EW32" i="6"/>
  <c r="EV32" i="6"/>
  <c r="EX32" i="6" s="1"/>
  <c r="ES32" i="6"/>
  <c r="ER32" i="6"/>
  <c r="ET32" i="6" s="1"/>
  <c r="EP32" i="6"/>
  <c r="EO32" i="6"/>
  <c r="EN32" i="6"/>
  <c r="EL32" i="6"/>
  <c r="EK32" i="6"/>
  <c r="IJ32" i="6" s="1"/>
  <c r="EJ32" i="6"/>
  <c r="EG32" i="6"/>
  <c r="HX32" i="6" s="1"/>
  <c r="EF32" i="6"/>
  <c r="EH32" i="6" s="1"/>
  <c r="EC32" i="6"/>
  <c r="EB32" i="6"/>
  <c r="ED32" i="6" s="1"/>
  <c r="DZ32" i="6"/>
  <c r="DY32" i="6"/>
  <c r="DX32" i="6"/>
  <c r="DV32" i="6"/>
  <c r="DU32" i="6"/>
  <c r="DQ32" i="6"/>
  <c r="DR32" i="6" s="1"/>
  <c r="DM32" i="6"/>
  <c r="DL32" i="6"/>
  <c r="DI32" i="6"/>
  <c r="DF32" i="6"/>
  <c r="DE32" i="6"/>
  <c r="DA32" i="6"/>
  <c r="CZ32" i="6"/>
  <c r="DB32" i="6" s="1"/>
  <c r="CW32" i="6"/>
  <c r="CX32" i="6" s="1"/>
  <c r="CT32" i="6"/>
  <c r="CS32" i="6"/>
  <c r="CO32" i="6"/>
  <c r="CP32" i="6" s="1"/>
  <c r="CK32" i="6"/>
  <c r="CG32" i="6"/>
  <c r="CF32" i="6"/>
  <c r="CD32" i="6"/>
  <c r="CC32" i="6"/>
  <c r="CB32" i="6"/>
  <c r="BZ32" i="6"/>
  <c r="BY32" i="6"/>
  <c r="BU32" i="6"/>
  <c r="BV32" i="6" s="1"/>
  <c r="BQ32" i="6"/>
  <c r="BR32" i="6" s="1"/>
  <c r="BM32" i="6"/>
  <c r="BN32" i="6" s="1"/>
  <c r="BJ32" i="6"/>
  <c r="BI32" i="6"/>
  <c r="BE32" i="6"/>
  <c r="BF32" i="6" s="1"/>
  <c r="BA32" i="6"/>
  <c r="BB32" i="6" s="1"/>
  <c r="AW32" i="6"/>
  <c r="AX32" i="6" s="1"/>
  <c r="AT32" i="6"/>
  <c r="AS32" i="6"/>
  <c r="AO32" i="6"/>
  <c r="AP32" i="6" s="1"/>
  <c r="AK32" i="6"/>
  <c r="AL32" i="6" s="1"/>
  <c r="AG32" i="6"/>
  <c r="AH32" i="6" s="1"/>
  <c r="AD32" i="6"/>
  <c r="AC32" i="6"/>
  <c r="Y32" i="6"/>
  <c r="Z32" i="6" s="1"/>
  <c r="U32" i="6"/>
  <c r="V32" i="6" s="1"/>
  <c r="Q32" i="6"/>
  <c r="R32" i="6" s="1"/>
  <c r="N32" i="6"/>
  <c r="M32" i="6"/>
  <c r="I32" i="6"/>
  <c r="J32" i="6" s="1"/>
  <c r="E32" i="6"/>
  <c r="F32" i="6" s="1"/>
  <c r="II31" i="6"/>
  <c r="IK31" i="6" s="1"/>
  <c r="IB31" i="6"/>
  <c r="HQ31" i="6"/>
  <c r="HO31" i="6"/>
  <c r="HG31" i="6"/>
  <c r="GZ31" i="6"/>
  <c r="GY31" i="6"/>
  <c r="HA31" i="6" s="1"/>
  <c r="GW31" i="6"/>
  <c r="GV31" i="6"/>
  <c r="GU31" i="6"/>
  <c r="GR31" i="6"/>
  <c r="GS31" i="6" s="1"/>
  <c r="GQ31" i="6"/>
  <c r="GN31" i="6"/>
  <c r="GM31" i="6"/>
  <c r="GJ31" i="6"/>
  <c r="GI31" i="6"/>
  <c r="GK31" i="6" s="1"/>
  <c r="GF31" i="6"/>
  <c r="GG31" i="6" s="1"/>
  <c r="GE31" i="6"/>
  <c r="GC31" i="6"/>
  <c r="GB31" i="6"/>
  <c r="GA31" i="6"/>
  <c r="FX31" i="6"/>
  <c r="FW31" i="6"/>
  <c r="FY31" i="6" s="1"/>
  <c r="FU31" i="6"/>
  <c r="FT31" i="6"/>
  <c r="FS31" i="6"/>
  <c r="FQ31" i="6"/>
  <c r="FP31" i="6"/>
  <c r="FO31" i="6"/>
  <c r="FL31" i="6"/>
  <c r="FK31" i="6"/>
  <c r="IE31" i="6" s="1"/>
  <c r="FI31" i="6"/>
  <c r="FH31" i="6"/>
  <c r="FE31" i="6"/>
  <c r="FD31" i="6"/>
  <c r="FF31" i="6" s="1"/>
  <c r="FA31" i="6"/>
  <c r="FB31" i="6" s="1"/>
  <c r="EZ31" i="6"/>
  <c r="EX31" i="6"/>
  <c r="EW31" i="6"/>
  <c r="EV31" i="6"/>
  <c r="ES31" i="6"/>
  <c r="ER31" i="6"/>
  <c r="ET31" i="6" s="1"/>
  <c r="EO31" i="6"/>
  <c r="EN31" i="6"/>
  <c r="EP31" i="6" s="1"/>
  <c r="EL31" i="6"/>
  <c r="EK31" i="6"/>
  <c r="IJ31" i="6" s="1"/>
  <c r="EJ31" i="6"/>
  <c r="EG31" i="6"/>
  <c r="EH31" i="6" s="1"/>
  <c r="EF31" i="6"/>
  <c r="EC31" i="6"/>
  <c r="EB31" i="6"/>
  <c r="DY31" i="6"/>
  <c r="DX31" i="6"/>
  <c r="DZ31" i="6" s="1"/>
  <c r="DU31" i="6"/>
  <c r="DV31" i="6" s="1"/>
  <c r="DQ31" i="6"/>
  <c r="DR31" i="6" s="1"/>
  <c r="DN31" i="6"/>
  <c r="DM31" i="6"/>
  <c r="DL31" i="6"/>
  <c r="DI31" i="6"/>
  <c r="DF31" i="6"/>
  <c r="DE31" i="6"/>
  <c r="HD31" i="6" s="1"/>
  <c r="DA31" i="6"/>
  <c r="CZ31" i="6"/>
  <c r="CX31" i="6"/>
  <c r="CW31" i="6"/>
  <c r="CT31" i="6"/>
  <c r="CS31" i="6"/>
  <c r="CP31" i="6"/>
  <c r="CO31" i="6"/>
  <c r="CL31" i="6"/>
  <c r="CK31" i="6"/>
  <c r="CG31" i="6"/>
  <c r="CF31" i="6"/>
  <c r="HC31" i="6" s="1"/>
  <c r="HE31" i="6" s="1"/>
  <c r="CC31" i="6"/>
  <c r="CB31" i="6"/>
  <c r="BZ31" i="6"/>
  <c r="BY31" i="6"/>
  <c r="BV31" i="6"/>
  <c r="BU31" i="6"/>
  <c r="BR31" i="6"/>
  <c r="BQ31" i="6"/>
  <c r="BN31" i="6"/>
  <c r="BM31" i="6"/>
  <c r="BJ31" i="6"/>
  <c r="BI31" i="6"/>
  <c r="BF31" i="6"/>
  <c r="BE31" i="6"/>
  <c r="BB31" i="6"/>
  <c r="BA31" i="6"/>
  <c r="AX31" i="6"/>
  <c r="AW31" i="6"/>
  <c r="AT31" i="6"/>
  <c r="AS31" i="6"/>
  <c r="AP31" i="6"/>
  <c r="AO31" i="6"/>
  <c r="AL31" i="6"/>
  <c r="AK31" i="6"/>
  <c r="AH31" i="6"/>
  <c r="AG31" i="6"/>
  <c r="AD31" i="6"/>
  <c r="AC31" i="6"/>
  <c r="Z31" i="6"/>
  <c r="Y31" i="6"/>
  <c r="V31" i="6"/>
  <c r="U31" i="6"/>
  <c r="R31" i="6"/>
  <c r="Q31" i="6"/>
  <c r="N31" i="6"/>
  <c r="M31" i="6"/>
  <c r="HP31" i="6" s="1"/>
  <c r="J31" i="6"/>
  <c r="I31" i="6"/>
  <c r="F31" i="6"/>
  <c r="E31" i="6"/>
  <c r="IK30" i="6"/>
  <c r="HS30" i="6"/>
  <c r="HP30" i="6"/>
  <c r="HQ30" i="6" s="1"/>
  <c r="HO30" i="6"/>
  <c r="HG30" i="6"/>
  <c r="GZ30" i="6"/>
  <c r="HA30" i="6" s="1"/>
  <c r="GY30" i="6"/>
  <c r="GW30" i="6"/>
  <c r="GV30" i="6"/>
  <c r="GU30" i="6"/>
  <c r="IA30" i="6" s="1"/>
  <c r="IC30" i="6" s="1"/>
  <c r="GR30" i="6"/>
  <c r="GQ30" i="6"/>
  <c r="GS30" i="6" s="1"/>
  <c r="GO30" i="6"/>
  <c r="GN30" i="6"/>
  <c r="GM30" i="6"/>
  <c r="GK30" i="6"/>
  <c r="GJ30" i="6"/>
  <c r="GI30" i="6"/>
  <c r="GF30" i="6"/>
  <c r="GE30" i="6"/>
  <c r="GG30" i="6" s="1"/>
  <c r="GB30" i="6"/>
  <c r="IB30" i="6" s="1"/>
  <c r="GA30" i="6"/>
  <c r="FY30" i="6"/>
  <c r="FX30" i="6"/>
  <c r="FW30" i="6"/>
  <c r="FT30" i="6"/>
  <c r="FU30" i="6" s="1"/>
  <c r="FS30" i="6"/>
  <c r="FQ30" i="6"/>
  <c r="FP30" i="6"/>
  <c r="FO30" i="6"/>
  <c r="FL30" i="6"/>
  <c r="FK30" i="6"/>
  <c r="FI30" i="6"/>
  <c r="FH30" i="6"/>
  <c r="FJ30" i="6" s="1"/>
  <c r="FF30" i="6"/>
  <c r="FE30" i="6"/>
  <c r="FD30" i="6"/>
  <c r="FA30" i="6"/>
  <c r="FB30" i="6" s="1"/>
  <c r="EZ30" i="6"/>
  <c r="EW30" i="6"/>
  <c r="EV30" i="6"/>
  <c r="ES30" i="6"/>
  <c r="ER30" i="6"/>
  <c r="ET30" i="6" s="1"/>
  <c r="EO30" i="6"/>
  <c r="EP30" i="6" s="1"/>
  <c r="EN30" i="6"/>
  <c r="EK30" i="6"/>
  <c r="IJ30" i="6" s="1"/>
  <c r="EJ30" i="6"/>
  <c r="II30" i="6" s="1"/>
  <c r="EG30" i="6"/>
  <c r="HX30" i="6" s="1"/>
  <c r="EF30" i="6"/>
  <c r="EH30" i="6" s="1"/>
  <c r="ED30" i="6"/>
  <c r="EC30" i="6"/>
  <c r="EB30" i="6"/>
  <c r="DZ30" i="6"/>
  <c r="DY30" i="6"/>
  <c r="DX30" i="6"/>
  <c r="DU30" i="6"/>
  <c r="DV30" i="6" s="1"/>
  <c r="DR30" i="6"/>
  <c r="DQ30" i="6"/>
  <c r="DM30" i="6"/>
  <c r="DL30" i="6"/>
  <c r="DN30" i="6" s="1"/>
  <c r="DI30" i="6"/>
  <c r="DE30" i="6"/>
  <c r="DF30" i="6" s="1"/>
  <c r="DA30" i="6"/>
  <c r="CZ30" i="6"/>
  <c r="DB30" i="6" s="1"/>
  <c r="CX30" i="6"/>
  <c r="CW30" i="6"/>
  <c r="CS30" i="6"/>
  <c r="CT30" i="6" s="1"/>
  <c r="CP30" i="6"/>
  <c r="CO30" i="6"/>
  <c r="CK30" i="6"/>
  <c r="CG30" i="6"/>
  <c r="CF30" i="6"/>
  <c r="CH30" i="6" s="1"/>
  <c r="CD30" i="6"/>
  <c r="CC30" i="6"/>
  <c r="CB30" i="6"/>
  <c r="BY30" i="6"/>
  <c r="BZ30" i="6" s="1"/>
  <c r="BV30" i="6"/>
  <c r="BU30" i="6"/>
  <c r="BQ30" i="6"/>
  <c r="BR30" i="6" s="1"/>
  <c r="BN30" i="6"/>
  <c r="BM30" i="6"/>
  <c r="BI30" i="6"/>
  <c r="BF30" i="6"/>
  <c r="BE30" i="6"/>
  <c r="BA30" i="6"/>
  <c r="BB30" i="6" s="1"/>
  <c r="AX30" i="6"/>
  <c r="AW30" i="6"/>
  <c r="AS30" i="6"/>
  <c r="AT30" i="6" s="1"/>
  <c r="AP30" i="6"/>
  <c r="AO30" i="6"/>
  <c r="AK30" i="6"/>
  <c r="AL30" i="6" s="1"/>
  <c r="AH30" i="6"/>
  <c r="AG30" i="6"/>
  <c r="AC30" i="6"/>
  <c r="AD30" i="6" s="1"/>
  <c r="Z30" i="6"/>
  <c r="Y30" i="6"/>
  <c r="U30" i="6"/>
  <c r="V30" i="6" s="1"/>
  <c r="R30" i="6"/>
  <c r="Q30" i="6"/>
  <c r="M30" i="6"/>
  <c r="N30" i="6" s="1"/>
  <c r="J30" i="6"/>
  <c r="I30" i="6"/>
  <c r="E30" i="6"/>
  <c r="HX29" i="6"/>
  <c r="HS29" i="6"/>
  <c r="HO29" i="6"/>
  <c r="GZ29" i="6"/>
  <c r="HA29" i="6" s="1"/>
  <c r="GY29" i="6"/>
  <c r="GV29" i="6"/>
  <c r="GU29" i="6"/>
  <c r="IA29" i="6" s="1"/>
  <c r="GR29" i="6"/>
  <c r="GQ29" i="6"/>
  <c r="GS29" i="6" s="1"/>
  <c r="GN29" i="6"/>
  <c r="GM29" i="6"/>
  <c r="GO29" i="6" s="1"/>
  <c r="GJ29" i="6"/>
  <c r="GK29" i="6" s="1"/>
  <c r="GI29" i="6"/>
  <c r="GG29" i="6"/>
  <c r="GF29" i="6"/>
  <c r="GE29" i="6"/>
  <c r="GB29" i="6"/>
  <c r="GA29" i="6"/>
  <c r="GC29" i="6" s="1"/>
  <c r="FY29" i="6"/>
  <c r="FX29" i="6"/>
  <c r="FW29" i="6"/>
  <c r="FT29" i="6"/>
  <c r="FU29" i="6" s="1"/>
  <c r="FS29" i="6"/>
  <c r="FP29" i="6"/>
  <c r="FO29" i="6"/>
  <c r="FQ29" i="6" s="1"/>
  <c r="FL29" i="6"/>
  <c r="IF29" i="6" s="1"/>
  <c r="FK29" i="6"/>
  <c r="IE29" i="6" s="1"/>
  <c r="FI29" i="6"/>
  <c r="FH29" i="6"/>
  <c r="FJ29" i="6" s="1"/>
  <c r="FE29" i="6"/>
  <c r="FD29" i="6"/>
  <c r="FB29" i="6"/>
  <c r="FA29" i="6"/>
  <c r="EZ29" i="6"/>
  <c r="EW29" i="6"/>
  <c r="EV29" i="6"/>
  <c r="EX29" i="6" s="1"/>
  <c r="ET29" i="6"/>
  <c r="ES29" i="6"/>
  <c r="ER29" i="6"/>
  <c r="EO29" i="6"/>
  <c r="EP29" i="6" s="1"/>
  <c r="EN29" i="6"/>
  <c r="EK29" i="6"/>
  <c r="IJ29" i="6" s="1"/>
  <c r="EJ29" i="6"/>
  <c r="II29" i="6" s="1"/>
  <c r="IK29" i="6" s="1"/>
  <c r="EG29" i="6"/>
  <c r="EF29" i="6"/>
  <c r="EH29" i="6" s="1"/>
  <c r="EC29" i="6"/>
  <c r="EB29" i="6"/>
  <c r="ED29" i="6" s="1"/>
  <c r="DY29" i="6"/>
  <c r="DZ29" i="6" s="1"/>
  <c r="DX29" i="6"/>
  <c r="DV29" i="6"/>
  <c r="DU29" i="6"/>
  <c r="DR29" i="6"/>
  <c r="DQ29" i="6"/>
  <c r="DN29" i="6"/>
  <c r="DM29" i="6"/>
  <c r="DL29" i="6"/>
  <c r="DI29" i="6"/>
  <c r="DF29" i="6"/>
  <c r="DE29" i="6"/>
  <c r="DA29" i="6"/>
  <c r="CZ29" i="6"/>
  <c r="DB29" i="6" s="1"/>
  <c r="CW29" i="6"/>
  <c r="CX29" i="6" s="1"/>
  <c r="CS29" i="6"/>
  <c r="CT29" i="6" s="1"/>
  <c r="CO29" i="6"/>
  <c r="CP29" i="6" s="1"/>
  <c r="CK29" i="6"/>
  <c r="CG29" i="6"/>
  <c r="CH29" i="6" s="1"/>
  <c r="CF29" i="6"/>
  <c r="CC29" i="6"/>
  <c r="CB29" i="6"/>
  <c r="HC29" i="6" s="1"/>
  <c r="BY29" i="6"/>
  <c r="BZ29" i="6" s="1"/>
  <c r="BU29" i="6"/>
  <c r="BV29" i="6" s="1"/>
  <c r="BQ29" i="6"/>
  <c r="BR29" i="6" s="1"/>
  <c r="BM29" i="6"/>
  <c r="BN29" i="6" s="1"/>
  <c r="BI29" i="6"/>
  <c r="BE29" i="6"/>
  <c r="BF29" i="6" s="1"/>
  <c r="BA29" i="6"/>
  <c r="BB29" i="6" s="1"/>
  <c r="AW29" i="6"/>
  <c r="AX29" i="6" s="1"/>
  <c r="AS29" i="6"/>
  <c r="AT29" i="6" s="1"/>
  <c r="AO29" i="6"/>
  <c r="AP29" i="6" s="1"/>
  <c r="AK29" i="6"/>
  <c r="AL29" i="6" s="1"/>
  <c r="AG29" i="6"/>
  <c r="AH29" i="6" s="1"/>
  <c r="AC29" i="6"/>
  <c r="AD29" i="6" s="1"/>
  <c r="Y29" i="6"/>
  <c r="Z29" i="6" s="1"/>
  <c r="U29" i="6"/>
  <c r="V29" i="6" s="1"/>
  <c r="Q29" i="6"/>
  <c r="R29" i="6" s="1"/>
  <c r="M29" i="6"/>
  <c r="N29" i="6" s="1"/>
  <c r="I29" i="6"/>
  <c r="J29" i="6" s="1"/>
  <c r="E29" i="6"/>
  <c r="F29" i="6" s="1"/>
  <c r="IB28" i="6"/>
  <c r="HW28" i="6"/>
  <c r="HY28" i="6" s="1"/>
  <c r="HO28" i="6"/>
  <c r="HG28" i="6"/>
  <c r="GZ28" i="6"/>
  <c r="GY28" i="6"/>
  <c r="HA28" i="6" s="1"/>
  <c r="GV28" i="6"/>
  <c r="GU28" i="6"/>
  <c r="GW28" i="6" s="1"/>
  <c r="GR28" i="6"/>
  <c r="GQ28" i="6"/>
  <c r="GS28" i="6" s="1"/>
  <c r="GN28" i="6"/>
  <c r="GO28" i="6" s="1"/>
  <c r="GM28" i="6"/>
  <c r="GK28" i="6"/>
  <c r="GJ28" i="6"/>
  <c r="GI28" i="6"/>
  <c r="GF28" i="6"/>
  <c r="GE28" i="6"/>
  <c r="GG28" i="6" s="1"/>
  <c r="GC28" i="6"/>
  <c r="GB28" i="6"/>
  <c r="GA28" i="6"/>
  <c r="FX28" i="6"/>
  <c r="FY28" i="6" s="1"/>
  <c r="FW28" i="6"/>
  <c r="FT28" i="6"/>
  <c r="FS28" i="6"/>
  <c r="FU28" i="6" s="1"/>
  <c r="FP28" i="6"/>
  <c r="FO28" i="6"/>
  <c r="FQ28" i="6" s="1"/>
  <c r="FL28" i="6"/>
  <c r="FK28" i="6"/>
  <c r="IE28" i="6" s="1"/>
  <c r="FI28" i="6"/>
  <c r="FJ28" i="6" s="1"/>
  <c r="FH28" i="6"/>
  <c r="FF28" i="6"/>
  <c r="FE28" i="6"/>
  <c r="FD28" i="6"/>
  <c r="IA28" i="6" s="1"/>
  <c r="FA28" i="6"/>
  <c r="EZ28" i="6"/>
  <c r="FB28" i="6" s="1"/>
  <c r="EX28" i="6"/>
  <c r="EW28" i="6"/>
  <c r="EV28" i="6"/>
  <c r="ES28" i="6"/>
  <c r="ET28" i="6" s="1"/>
  <c r="ER28" i="6"/>
  <c r="EO28" i="6"/>
  <c r="EN28" i="6"/>
  <c r="HS28" i="6" s="1"/>
  <c r="EK28" i="6"/>
  <c r="IJ28" i="6" s="1"/>
  <c r="EJ28" i="6"/>
  <c r="II28" i="6" s="1"/>
  <c r="EG28" i="6"/>
  <c r="HX28" i="6" s="1"/>
  <c r="EF28" i="6"/>
  <c r="EH28" i="6" s="1"/>
  <c r="EC28" i="6"/>
  <c r="ED28" i="6" s="1"/>
  <c r="EB28" i="6"/>
  <c r="DZ28" i="6"/>
  <c r="DY28" i="6"/>
  <c r="DX28" i="6"/>
  <c r="DU28" i="6"/>
  <c r="DV28" i="6" s="1"/>
  <c r="DQ28" i="6"/>
  <c r="DR28" i="6" s="1"/>
  <c r="DM28" i="6"/>
  <c r="DL28" i="6"/>
  <c r="DN28" i="6" s="1"/>
  <c r="DJ28" i="6"/>
  <c r="DI28" i="6"/>
  <c r="DF28" i="6"/>
  <c r="DE28" i="6"/>
  <c r="DA28" i="6"/>
  <c r="CZ28" i="6"/>
  <c r="DB28" i="6" s="1"/>
  <c r="CW28" i="6"/>
  <c r="CX28" i="6" s="1"/>
  <c r="CS28" i="6"/>
  <c r="CT28" i="6" s="1"/>
  <c r="CO28" i="6"/>
  <c r="CP28" i="6" s="1"/>
  <c r="CK28" i="6"/>
  <c r="CL28" i="6" s="1"/>
  <c r="CG28" i="6"/>
  <c r="CH28" i="6" s="1"/>
  <c r="CF28" i="6"/>
  <c r="CD28" i="6"/>
  <c r="CC28" i="6"/>
  <c r="CB28" i="6"/>
  <c r="BY28" i="6"/>
  <c r="BZ28" i="6" s="1"/>
  <c r="BU28" i="6"/>
  <c r="BV28" i="6" s="1"/>
  <c r="BQ28" i="6"/>
  <c r="BR28" i="6" s="1"/>
  <c r="BM28" i="6"/>
  <c r="BN28" i="6" s="1"/>
  <c r="BI28" i="6"/>
  <c r="BJ28" i="6" s="1"/>
  <c r="BE28" i="6"/>
  <c r="BF28" i="6" s="1"/>
  <c r="BA28" i="6"/>
  <c r="BB28" i="6" s="1"/>
  <c r="AW28" i="6"/>
  <c r="AX28" i="6" s="1"/>
  <c r="AS28" i="6"/>
  <c r="AT28" i="6" s="1"/>
  <c r="AO28" i="6"/>
  <c r="AP28" i="6" s="1"/>
  <c r="AK28" i="6"/>
  <c r="AL28" i="6" s="1"/>
  <c r="AG28" i="6"/>
  <c r="AH28" i="6" s="1"/>
  <c r="AC28" i="6"/>
  <c r="AD28" i="6" s="1"/>
  <c r="Y28" i="6"/>
  <c r="Z28" i="6" s="1"/>
  <c r="U28" i="6"/>
  <c r="V28" i="6" s="1"/>
  <c r="Q28" i="6"/>
  <c r="R28" i="6" s="1"/>
  <c r="M28" i="6"/>
  <c r="I28" i="6"/>
  <c r="J28" i="6" s="1"/>
  <c r="E28" i="6"/>
  <c r="IE27" i="6"/>
  <c r="IG27" i="6" s="1"/>
  <c r="HO27" i="6"/>
  <c r="GZ27" i="6"/>
  <c r="GY27" i="6"/>
  <c r="HA27" i="6" s="1"/>
  <c r="GV27" i="6"/>
  <c r="IB27" i="6" s="1"/>
  <c r="GU27" i="6"/>
  <c r="GS27" i="6"/>
  <c r="GR27" i="6"/>
  <c r="GQ27" i="6"/>
  <c r="GN27" i="6"/>
  <c r="GO27" i="6" s="1"/>
  <c r="GM27" i="6"/>
  <c r="GK27" i="6"/>
  <c r="GJ27" i="6"/>
  <c r="GI27" i="6"/>
  <c r="GF27" i="6"/>
  <c r="GE27" i="6"/>
  <c r="GB27" i="6"/>
  <c r="GA27" i="6"/>
  <c r="GC27" i="6" s="1"/>
  <c r="FX27" i="6"/>
  <c r="FY27" i="6" s="1"/>
  <c r="FW27" i="6"/>
  <c r="FT27" i="6"/>
  <c r="IF27" i="6" s="1"/>
  <c r="FS27" i="6"/>
  <c r="FU27" i="6" s="1"/>
  <c r="FP27" i="6"/>
  <c r="FO27" i="6"/>
  <c r="FM27" i="6"/>
  <c r="FL27" i="6"/>
  <c r="FK27" i="6"/>
  <c r="FI27" i="6"/>
  <c r="FJ27" i="6" s="1"/>
  <c r="FH27" i="6"/>
  <c r="FF27" i="6"/>
  <c r="FE27" i="6"/>
  <c r="FD27" i="6"/>
  <c r="FA27" i="6"/>
  <c r="EZ27" i="6"/>
  <c r="EW27" i="6"/>
  <c r="EV27" i="6"/>
  <c r="HG27" i="6" s="1"/>
  <c r="ES27" i="6"/>
  <c r="ET27" i="6" s="1"/>
  <c r="ER27" i="6"/>
  <c r="EO27" i="6"/>
  <c r="EN27" i="6"/>
  <c r="HS27" i="6" s="1"/>
  <c r="EK27" i="6"/>
  <c r="IJ27" i="6" s="1"/>
  <c r="EJ27" i="6"/>
  <c r="II27" i="6" s="1"/>
  <c r="EH27" i="6"/>
  <c r="EG27" i="6"/>
  <c r="HX27" i="6" s="1"/>
  <c r="EF27" i="6"/>
  <c r="HW27" i="6" s="1"/>
  <c r="HY27" i="6" s="1"/>
  <c r="EC27" i="6"/>
  <c r="ED27" i="6" s="1"/>
  <c r="EB27" i="6"/>
  <c r="DZ27" i="6"/>
  <c r="DY27" i="6"/>
  <c r="DX27" i="6"/>
  <c r="DU27" i="6"/>
  <c r="DV27" i="6" s="1"/>
  <c r="DQ27" i="6"/>
  <c r="DR27" i="6" s="1"/>
  <c r="DM27" i="6"/>
  <c r="DL27" i="6"/>
  <c r="DJ27" i="6"/>
  <c r="DI27" i="6"/>
  <c r="DF27" i="6"/>
  <c r="DE27" i="6"/>
  <c r="DB27" i="6"/>
  <c r="DA27" i="6"/>
  <c r="CZ27" i="6"/>
  <c r="CW27" i="6"/>
  <c r="CX27" i="6" s="1"/>
  <c r="CS27" i="6"/>
  <c r="CT27" i="6" s="1"/>
  <c r="CO27" i="6"/>
  <c r="CP27" i="6" s="1"/>
  <c r="CK27" i="6"/>
  <c r="CL27" i="6" s="1"/>
  <c r="CG27" i="6"/>
  <c r="CH27" i="6" s="1"/>
  <c r="CF27" i="6"/>
  <c r="CD27" i="6"/>
  <c r="CC27" i="6"/>
  <c r="CB27" i="6"/>
  <c r="BY27" i="6"/>
  <c r="BZ27" i="6" s="1"/>
  <c r="BU27" i="6"/>
  <c r="BV27" i="6" s="1"/>
  <c r="BQ27" i="6"/>
  <c r="BR27" i="6" s="1"/>
  <c r="BM27" i="6"/>
  <c r="BN27" i="6" s="1"/>
  <c r="BI27" i="6"/>
  <c r="BJ27" i="6" s="1"/>
  <c r="BE27" i="6"/>
  <c r="BF27" i="6" s="1"/>
  <c r="BA27" i="6"/>
  <c r="BB27" i="6" s="1"/>
  <c r="AW27" i="6"/>
  <c r="AX27" i="6" s="1"/>
  <c r="AS27" i="6"/>
  <c r="AT27" i="6" s="1"/>
  <c r="AO27" i="6"/>
  <c r="AP27" i="6" s="1"/>
  <c r="AK27" i="6"/>
  <c r="AL27" i="6" s="1"/>
  <c r="AG27" i="6"/>
  <c r="AH27" i="6" s="1"/>
  <c r="AC27" i="6"/>
  <c r="AD27" i="6" s="1"/>
  <c r="Y27" i="6"/>
  <c r="Z27" i="6" s="1"/>
  <c r="U27" i="6"/>
  <c r="V27" i="6" s="1"/>
  <c r="Q27" i="6"/>
  <c r="R27" i="6" s="1"/>
  <c r="M27" i="6"/>
  <c r="I27" i="6"/>
  <c r="J27" i="6" s="1"/>
  <c r="E27" i="6"/>
  <c r="IB26" i="6"/>
  <c r="HW26" i="6"/>
  <c r="HO26" i="6"/>
  <c r="HL26" i="6"/>
  <c r="HA26" i="6"/>
  <c r="GZ26" i="6"/>
  <c r="GY26" i="6"/>
  <c r="GV26" i="6"/>
  <c r="GU26" i="6"/>
  <c r="GW26" i="6" s="1"/>
  <c r="GS26" i="6"/>
  <c r="GR26" i="6"/>
  <c r="GQ26" i="6"/>
  <c r="GN26" i="6"/>
  <c r="GO26" i="6" s="1"/>
  <c r="GM26" i="6"/>
  <c r="GJ26" i="6"/>
  <c r="GI26" i="6"/>
  <c r="HG26" i="6" s="1"/>
  <c r="GF26" i="6"/>
  <c r="GE26" i="6"/>
  <c r="GG26" i="6" s="1"/>
  <c r="GB26" i="6"/>
  <c r="GA26" i="6"/>
  <c r="GC26" i="6" s="1"/>
  <c r="FX26" i="6"/>
  <c r="FY26" i="6" s="1"/>
  <c r="FW26" i="6"/>
  <c r="FU26" i="6"/>
  <c r="FT26" i="6"/>
  <c r="FS26" i="6"/>
  <c r="FP26" i="6"/>
  <c r="FO26" i="6"/>
  <c r="FQ26" i="6" s="1"/>
  <c r="FM26" i="6"/>
  <c r="FL26" i="6"/>
  <c r="FK26" i="6"/>
  <c r="IE26" i="6" s="1"/>
  <c r="FI26" i="6"/>
  <c r="FJ26" i="6" s="1"/>
  <c r="FH26" i="6"/>
  <c r="FE26" i="6"/>
  <c r="FD26" i="6"/>
  <c r="IA26" i="6" s="1"/>
  <c r="IC26" i="6" s="1"/>
  <c r="FA26" i="6"/>
  <c r="EZ26" i="6"/>
  <c r="FB26" i="6" s="1"/>
  <c r="EW26" i="6"/>
  <c r="EV26" i="6"/>
  <c r="EX26" i="6" s="1"/>
  <c r="ES26" i="6"/>
  <c r="ET26" i="6" s="1"/>
  <c r="ER26" i="6"/>
  <c r="EP26" i="6"/>
  <c r="EO26" i="6"/>
  <c r="EN26" i="6"/>
  <c r="HS26" i="6" s="1"/>
  <c r="EK26" i="6"/>
  <c r="IJ26" i="6" s="1"/>
  <c r="EJ26" i="6"/>
  <c r="II26" i="6" s="1"/>
  <c r="EH26" i="6"/>
  <c r="EG26" i="6"/>
  <c r="EF26" i="6"/>
  <c r="EC26" i="6"/>
  <c r="ED26" i="6" s="1"/>
  <c r="EB26" i="6"/>
  <c r="DY26" i="6"/>
  <c r="DX26" i="6"/>
  <c r="DZ26" i="6" s="1"/>
  <c r="DU26" i="6"/>
  <c r="DV26" i="6" s="1"/>
  <c r="DQ26" i="6"/>
  <c r="DR26" i="6" s="1"/>
  <c r="DM26" i="6"/>
  <c r="DL26" i="6"/>
  <c r="DN26" i="6" s="1"/>
  <c r="DJ26" i="6"/>
  <c r="DI26" i="6"/>
  <c r="DF26" i="6"/>
  <c r="DE26" i="6"/>
  <c r="DB26" i="6"/>
  <c r="DA26" i="6"/>
  <c r="CZ26" i="6"/>
  <c r="CW26" i="6"/>
  <c r="CX26" i="6" s="1"/>
  <c r="CS26" i="6"/>
  <c r="CT26" i="6" s="1"/>
  <c r="CO26" i="6"/>
  <c r="CP26" i="6" s="1"/>
  <c r="CK26" i="6"/>
  <c r="CL26" i="6" s="1"/>
  <c r="CG26" i="6"/>
  <c r="CH26" i="6" s="1"/>
  <c r="CF26" i="6"/>
  <c r="CC26" i="6"/>
  <c r="CB26" i="6"/>
  <c r="BY26" i="6"/>
  <c r="BZ26" i="6" s="1"/>
  <c r="BU26" i="6"/>
  <c r="BV26" i="6" s="1"/>
  <c r="BQ26" i="6"/>
  <c r="BR26" i="6" s="1"/>
  <c r="BM26" i="6"/>
  <c r="BN26" i="6" s="1"/>
  <c r="BI26" i="6"/>
  <c r="BJ26" i="6" s="1"/>
  <c r="BE26" i="6"/>
  <c r="BF26" i="6" s="1"/>
  <c r="BA26" i="6"/>
  <c r="BB26" i="6" s="1"/>
  <c r="AW26" i="6"/>
  <c r="AX26" i="6" s="1"/>
  <c r="AS26" i="6"/>
  <c r="AT26" i="6" s="1"/>
  <c r="AO26" i="6"/>
  <c r="AP26" i="6" s="1"/>
  <c r="AK26" i="6"/>
  <c r="AL26" i="6" s="1"/>
  <c r="AG26" i="6"/>
  <c r="AH26" i="6" s="1"/>
  <c r="AC26" i="6"/>
  <c r="AD26" i="6" s="1"/>
  <c r="Y26" i="6"/>
  <c r="Z26" i="6" s="1"/>
  <c r="U26" i="6"/>
  <c r="V26" i="6" s="1"/>
  <c r="Q26" i="6"/>
  <c r="R26" i="6" s="1"/>
  <c r="M26" i="6"/>
  <c r="I26" i="6"/>
  <c r="J26" i="6" s="1"/>
  <c r="E26" i="6"/>
  <c r="HO25" i="6"/>
  <c r="GZ25" i="6"/>
  <c r="GY25" i="6"/>
  <c r="HA25" i="6" s="1"/>
  <c r="GV25" i="6"/>
  <c r="IB25" i="6" s="1"/>
  <c r="GU25" i="6"/>
  <c r="GR25" i="6"/>
  <c r="GQ25" i="6"/>
  <c r="GS25" i="6" s="1"/>
  <c r="GN25" i="6"/>
  <c r="GO25" i="6" s="1"/>
  <c r="GM25" i="6"/>
  <c r="GJ25" i="6"/>
  <c r="GI25" i="6"/>
  <c r="GK25" i="6" s="1"/>
  <c r="GF25" i="6"/>
  <c r="GE25" i="6"/>
  <c r="GC25" i="6"/>
  <c r="GB25" i="6"/>
  <c r="GA25" i="6"/>
  <c r="FX25" i="6"/>
  <c r="FY25" i="6" s="1"/>
  <c r="FW25" i="6"/>
  <c r="FT25" i="6"/>
  <c r="IF25" i="6" s="1"/>
  <c r="FS25" i="6"/>
  <c r="FU25" i="6" s="1"/>
  <c r="FP25" i="6"/>
  <c r="FO25" i="6"/>
  <c r="FL25" i="6"/>
  <c r="FK25" i="6"/>
  <c r="IE25" i="6" s="1"/>
  <c r="IG25" i="6" s="1"/>
  <c r="FI25" i="6"/>
  <c r="FJ25" i="6" s="1"/>
  <c r="FH25" i="6"/>
  <c r="FF25" i="6"/>
  <c r="FE25" i="6"/>
  <c r="FD25" i="6"/>
  <c r="FA25" i="6"/>
  <c r="EZ25" i="6"/>
  <c r="EX25" i="6"/>
  <c r="EW25" i="6"/>
  <c r="EV25" i="6"/>
  <c r="HG25" i="6" s="1"/>
  <c r="ES25" i="6"/>
  <c r="ET25" i="6" s="1"/>
  <c r="ER25" i="6"/>
  <c r="EO25" i="6"/>
  <c r="EN25" i="6"/>
  <c r="HS25" i="6" s="1"/>
  <c r="EK25" i="6"/>
  <c r="IJ25" i="6" s="1"/>
  <c r="EJ25" i="6"/>
  <c r="II25" i="6" s="1"/>
  <c r="EG25" i="6"/>
  <c r="HX25" i="6" s="1"/>
  <c r="EF25" i="6"/>
  <c r="HW25" i="6" s="1"/>
  <c r="HY25" i="6" s="1"/>
  <c r="EC25" i="6"/>
  <c r="ED25" i="6" s="1"/>
  <c r="EB25" i="6"/>
  <c r="DZ25" i="6"/>
  <c r="DY25" i="6"/>
  <c r="DX25" i="6"/>
  <c r="DU25" i="6"/>
  <c r="DV25" i="6" s="1"/>
  <c r="DQ25" i="6"/>
  <c r="DR25" i="6" s="1"/>
  <c r="DM25" i="6"/>
  <c r="DL25" i="6"/>
  <c r="DJ25" i="6"/>
  <c r="DI25" i="6"/>
  <c r="DF25" i="6"/>
  <c r="DE25" i="6"/>
  <c r="DA25" i="6"/>
  <c r="CZ25" i="6"/>
  <c r="DB25" i="6" s="1"/>
  <c r="CW25" i="6"/>
  <c r="CX25" i="6" s="1"/>
  <c r="CS25" i="6"/>
  <c r="CT25" i="6" s="1"/>
  <c r="CO25" i="6"/>
  <c r="CP25" i="6" s="1"/>
  <c r="CK25" i="6"/>
  <c r="CL25" i="6" s="1"/>
  <c r="CG25" i="6"/>
  <c r="CH25" i="6" s="1"/>
  <c r="CF25" i="6"/>
  <c r="CC25" i="6"/>
  <c r="CB25" i="6"/>
  <c r="CD25" i="6" s="1"/>
  <c r="BY25" i="6"/>
  <c r="BZ25" i="6" s="1"/>
  <c r="BU25" i="6"/>
  <c r="BV25" i="6" s="1"/>
  <c r="BQ25" i="6"/>
  <c r="BR25" i="6" s="1"/>
  <c r="BM25" i="6"/>
  <c r="BN25" i="6" s="1"/>
  <c r="BI25" i="6"/>
  <c r="BJ25" i="6" s="1"/>
  <c r="BE25" i="6"/>
  <c r="BF25" i="6" s="1"/>
  <c r="BA25" i="6"/>
  <c r="BB25" i="6" s="1"/>
  <c r="AW25" i="6"/>
  <c r="AX25" i="6" s="1"/>
  <c r="AS25" i="6"/>
  <c r="AT25" i="6" s="1"/>
  <c r="AO25" i="6"/>
  <c r="AP25" i="6" s="1"/>
  <c r="AK25" i="6"/>
  <c r="AL25" i="6" s="1"/>
  <c r="AG25" i="6"/>
  <c r="AH25" i="6" s="1"/>
  <c r="AC25" i="6"/>
  <c r="AD25" i="6" s="1"/>
  <c r="Y25" i="6"/>
  <c r="Z25" i="6" s="1"/>
  <c r="U25" i="6"/>
  <c r="V25" i="6" s="1"/>
  <c r="Q25" i="6"/>
  <c r="R25" i="6" s="1"/>
  <c r="M25" i="6"/>
  <c r="I25" i="6"/>
  <c r="J25" i="6" s="1"/>
  <c r="E25" i="6"/>
  <c r="IB24" i="6"/>
  <c r="HW24" i="6"/>
  <c r="HY24" i="6" s="1"/>
  <c r="HO24" i="6"/>
  <c r="HG24" i="6"/>
  <c r="GZ24" i="6"/>
  <c r="GY24" i="6"/>
  <c r="HA24" i="6" s="1"/>
  <c r="GV24" i="6"/>
  <c r="GU24" i="6"/>
  <c r="GW24" i="6" s="1"/>
  <c r="GR24" i="6"/>
  <c r="GQ24" i="6"/>
  <c r="GS24" i="6" s="1"/>
  <c r="GN24" i="6"/>
  <c r="GO24" i="6" s="1"/>
  <c r="GM24" i="6"/>
  <c r="GK24" i="6"/>
  <c r="GJ24" i="6"/>
  <c r="GI24" i="6"/>
  <c r="GF24" i="6"/>
  <c r="GE24" i="6"/>
  <c r="GG24" i="6" s="1"/>
  <c r="GC24" i="6"/>
  <c r="GB24" i="6"/>
  <c r="GA24" i="6"/>
  <c r="FX24" i="6"/>
  <c r="FY24" i="6" s="1"/>
  <c r="FW24" i="6"/>
  <c r="FT24" i="6"/>
  <c r="FS24" i="6"/>
  <c r="FU24" i="6" s="1"/>
  <c r="FP24" i="6"/>
  <c r="FO24" i="6"/>
  <c r="FQ24" i="6" s="1"/>
  <c r="FL24" i="6"/>
  <c r="FK24" i="6"/>
  <c r="IE24" i="6" s="1"/>
  <c r="FI24" i="6"/>
  <c r="FJ24" i="6" s="1"/>
  <c r="FH24" i="6"/>
  <c r="FF24" i="6"/>
  <c r="FE24" i="6"/>
  <c r="FD24" i="6"/>
  <c r="IA24" i="6" s="1"/>
  <c r="FA24" i="6"/>
  <c r="EZ24" i="6"/>
  <c r="FB24" i="6" s="1"/>
  <c r="EX24" i="6"/>
  <c r="EW24" i="6"/>
  <c r="EV24" i="6"/>
  <c r="ES24" i="6"/>
  <c r="ET24" i="6" s="1"/>
  <c r="ER24" i="6"/>
  <c r="EO24" i="6"/>
  <c r="EN24" i="6"/>
  <c r="HS24" i="6" s="1"/>
  <c r="EK24" i="6"/>
  <c r="IJ24" i="6" s="1"/>
  <c r="EJ24" i="6"/>
  <c r="II24" i="6" s="1"/>
  <c r="EG24" i="6"/>
  <c r="HX24" i="6" s="1"/>
  <c r="EF24" i="6"/>
  <c r="EH24" i="6" s="1"/>
  <c r="EC24" i="6"/>
  <c r="ED24" i="6" s="1"/>
  <c r="EB24" i="6"/>
  <c r="DZ24" i="6"/>
  <c r="DY24" i="6"/>
  <c r="DX24" i="6"/>
  <c r="DU24" i="6"/>
  <c r="DV24" i="6" s="1"/>
  <c r="DQ24" i="6"/>
  <c r="DR24" i="6" s="1"/>
  <c r="DM24" i="6"/>
  <c r="DL24" i="6"/>
  <c r="DN24" i="6" s="1"/>
  <c r="DJ24" i="6"/>
  <c r="DI24" i="6"/>
  <c r="DF24" i="6"/>
  <c r="DE24" i="6"/>
  <c r="DA24" i="6"/>
  <c r="CZ24" i="6"/>
  <c r="DB24" i="6" s="1"/>
  <c r="CW24" i="6"/>
  <c r="CX24" i="6" s="1"/>
  <c r="CS24" i="6"/>
  <c r="CT24" i="6" s="1"/>
  <c r="CO24" i="6"/>
  <c r="CP24" i="6" s="1"/>
  <c r="CK24" i="6"/>
  <c r="CL24" i="6" s="1"/>
  <c r="CG24" i="6"/>
  <c r="CH24" i="6" s="1"/>
  <c r="CF24" i="6"/>
  <c r="CD24" i="6"/>
  <c r="CC24" i="6"/>
  <c r="CB24" i="6"/>
  <c r="BY24" i="6"/>
  <c r="BZ24" i="6" s="1"/>
  <c r="BU24" i="6"/>
  <c r="BV24" i="6" s="1"/>
  <c r="BQ24" i="6"/>
  <c r="BR24" i="6" s="1"/>
  <c r="BM24" i="6"/>
  <c r="BN24" i="6" s="1"/>
  <c r="BI24" i="6"/>
  <c r="BJ24" i="6" s="1"/>
  <c r="BE24" i="6"/>
  <c r="BF24" i="6" s="1"/>
  <c r="BA24" i="6"/>
  <c r="BB24" i="6" s="1"/>
  <c r="AW24" i="6"/>
  <c r="AX24" i="6" s="1"/>
  <c r="AS24" i="6"/>
  <c r="AT24" i="6" s="1"/>
  <c r="AO24" i="6"/>
  <c r="AP24" i="6" s="1"/>
  <c r="AK24" i="6"/>
  <c r="AL24" i="6" s="1"/>
  <c r="AG24" i="6"/>
  <c r="AH24" i="6" s="1"/>
  <c r="AC24" i="6"/>
  <c r="AD24" i="6" s="1"/>
  <c r="Y24" i="6"/>
  <c r="Z24" i="6" s="1"/>
  <c r="U24" i="6"/>
  <c r="V24" i="6" s="1"/>
  <c r="Q24" i="6"/>
  <c r="R24" i="6" s="1"/>
  <c r="M24" i="6"/>
  <c r="I24" i="6"/>
  <c r="J24" i="6" s="1"/>
  <c r="E24" i="6"/>
  <c r="IE23" i="6"/>
  <c r="IG23" i="6" s="1"/>
  <c r="HO23" i="6"/>
  <c r="GZ23" i="6"/>
  <c r="GY23" i="6"/>
  <c r="HA23" i="6" s="1"/>
  <c r="GV23" i="6"/>
  <c r="IB23" i="6" s="1"/>
  <c r="GU23" i="6"/>
  <c r="GS23" i="6"/>
  <c r="GR23" i="6"/>
  <c r="GQ23" i="6"/>
  <c r="GN23" i="6"/>
  <c r="GO23" i="6" s="1"/>
  <c r="GM23" i="6"/>
  <c r="GK23" i="6"/>
  <c r="GJ23" i="6"/>
  <c r="GI23" i="6"/>
  <c r="GF23" i="6"/>
  <c r="GE23" i="6"/>
  <c r="GB23" i="6"/>
  <c r="GA23" i="6"/>
  <c r="GC23" i="6" s="1"/>
  <c r="FX23" i="6"/>
  <c r="FY23" i="6" s="1"/>
  <c r="FW23" i="6"/>
  <c r="FT23" i="6"/>
  <c r="IF23" i="6" s="1"/>
  <c r="FS23" i="6"/>
  <c r="FU23" i="6" s="1"/>
  <c r="FP23" i="6"/>
  <c r="FO23" i="6"/>
  <c r="FM23" i="6"/>
  <c r="FL23" i="6"/>
  <c r="FK23" i="6"/>
  <c r="FI23" i="6"/>
  <c r="FJ23" i="6" s="1"/>
  <c r="FH23" i="6"/>
  <c r="FF23" i="6"/>
  <c r="FE23" i="6"/>
  <c r="FD23" i="6"/>
  <c r="FA23" i="6"/>
  <c r="EZ23" i="6"/>
  <c r="EW23" i="6"/>
  <c r="EV23" i="6"/>
  <c r="HG23" i="6" s="1"/>
  <c r="ES23" i="6"/>
  <c r="ET23" i="6" s="1"/>
  <c r="ER23" i="6"/>
  <c r="EO23" i="6"/>
  <c r="EN23" i="6"/>
  <c r="HS23" i="6" s="1"/>
  <c r="EK23" i="6"/>
  <c r="IJ23" i="6" s="1"/>
  <c r="EJ23" i="6"/>
  <c r="II23" i="6" s="1"/>
  <c r="EH23" i="6"/>
  <c r="EG23" i="6"/>
  <c r="HX23" i="6" s="1"/>
  <c r="EF23" i="6"/>
  <c r="HW23" i="6" s="1"/>
  <c r="HY23" i="6" s="1"/>
  <c r="EC23" i="6"/>
  <c r="ED23" i="6" s="1"/>
  <c r="EB23" i="6"/>
  <c r="DZ23" i="6"/>
  <c r="DY23" i="6"/>
  <c r="DX23" i="6"/>
  <c r="DU23" i="6"/>
  <c r="DV23" i="6" s="1"/>
  <c r="DQ23" i="6"/>
  <c r="DR23" i="6" s="1"/>
  <c r="DM23" i="6"/>
  <c r="DL23" i="6"/>
  <c r="DJ23" i="6"/>
  <c r="DI23" i="6"/>
  <c r="DF23" i="6"/>
  <c r="DE23" i="6"/>
  <c r="DB23" i="6"/>
  <c r="DA23" i="6"/>
  <c r="CZ23" i="6"/>
  <c r="CW23" i="6"/>
  <c r="CX23" i="6" s="1"/>
  <c r="CS23" i="6"/>
  <c r="CT23" i="6" s="1"/>
  <c r="CO23" i="6"/>
  <c r="CP23" i="6" s="1"/>
  <c r="CK23" i="6"/>
  <c r="CL23" i="6" s="1"/>
  <c r="CG23" i="6"/>
  <c r="CH23" i="6" s="1"/>
  <c r="CF23" i="6"/>
  <c r="CD23" i="6"/>
  <c r="CC23" i="6"/>
  <c r="CB23" i="6"/>
  <c r="BY23" i="6"/>
  <c r="BZ23" i="6" s="1"/>
  <c r="BU23" i="6"/>
  <c r="BV23" i="6" s="1"/>
  <c r="BQ23" i="6"/>
  <c r="BR23" i="6" s="1"/>
  <c r="BM23" i="6"/>
  <c r="BN23" i="6" s="1"/>
  <c r="BI23" i="6"/>
  <c r="BJ23" i="6" s="1"/>
  <c r="BE23" i="6"/>
  <c r="BF23" i="6" s="1"/>
  <c r="BA23" i="6"/>
  <c r="BB23" i="6" s="1"/>
  <c r="AW23" i="6"/>
  <c r="AX23" i="6" s="1"/>
  <c r="AS23" i="6"/>
  <c r="AT23" i="6" s="1"/>
  <c r="AP23" i="6"/>
  <c r="AO23" i="6"/>
  <c r="AK23" i="6"/>
  <c r="AL23" i="6" s="1"/>
  <c r="AG23" i="6"/>
  <c r="AH23" i="6" s="1"/>
  <c r="AC23" i="6"/>
  <c r="AD23" i="6" s="1"/>
  <c r="Z23" i="6"/>
  <c r="Y23" i="6"/>
  <c r="U23" i="6"/>
  <c r="V23" i="6" s="1"/>
  <c r="Q23" i="6"/>
  <c r="R23" i="6" s="1"/>
  <c r="M23" i="6"/>
  <c r="J23" i="6"/>
  <c r="I23" i="6"/>
  <c r="E23" i="6"/>
  <c r="HO22" i="6"/>
  <c r="HK22" i="6"/>
  <c r="GZ22" i="6"/>
  <c r="HA22" i="6" s="1"/>
  <c r="GY22" i="6"/>
  <c r="GV22" i="6"/>
  <c r="IB22" i="6" s="1"/>
  <c r="GU22" i="6"/>
  <c r="GR22" i="6"/>
  <c r="GQ22" i="6"/>
  <c r="GS22" i="6" s="1"/>
  <c r="GN22" i="6"/>
  <c r="GO22" i="6" s="1"/>
  <c r="GM22" i="6"/>
  <c r="GK22" i="6"/>
  <c r="GJ22" i="6"/>
  <c r="GI22" i="6"/>
  <c r="HG22" i="6" s="1"/>
  <c r="GF22" i="6"/>
  <c r="GE22" i="6"/>
  <c r="GG22" i="6" s="1"/>
  <c r="GC22" i="6"/>
  <c r="GB22" i="6"/>
  <c r="GA22" i="6"/>
  <c r="FY22" i="6"/>
  <c r="FX22" i="6"/>
  <c r="FW22" i="6"/>
  <c r="FT22" i="6"/>
  <c r="IF22" i="6" s="1"/>
  <c r="FS22" i="6"/>
  <c r="FU22" i="6" s="1"/>
  <c r="FP22" i="6"/>
  <c r="FO22" i="6"/>
  <c r="FM22" i="6"/>
  <c r="FL22" i="6"/>
  <c r="FK22" i="6"/>
  <c r="IE22" i="6" s="1"/>
  <c r="IG22" i="6" s="1"/>
  <c r="FI22" i="6"/>
  <c r="FJ22" i="6" s="1"/>
  <c r="FH22" i="6"/>
  <c r="FE22" i="6"/>
  <c r="FD22" i="6"/>
  <c r="FF22" i="6" s="1"/>
  <c r="FA22" i="6"/>
  <c r="EZ22" i="6"/>
  <c r="FB22" i="6" s="1"/>
  <c r="EW22" i="6"/>
  <c r="EV22" i="6"/>
  <c r="EX22" i="6" s="1"/>
  <c r="ET22" i="6"/>
  <c r="ES22" i="6"/>
  <c r="ER22" i="6"/>
  <c r="EO22" i="6"/>
  <c r="EP22" i="6" s="1"/>
  <c r="EN22" i="6"/>
  <c r="EK22" i="6"/>
  <c r="IJ22" i="6" s="1"/>
  <c r="EJ22" i="6"/>
  <c r="EG22" i="6"/>
  <c r="EF22" i="6"/>
  <c r="HW22" i="6" s="1"/>
  <c r="EC22" i="6"/>
  <c r="ED22" i="6" s="1"/>
  <c r="EB22" i="6"/>
  <c r="DZ22" i="6"/>
  <c r="DY22" i="6"/>
  <c r="DX22" i="6"/>
  <c r="DU22" i="6"/>
  <c r="DV22" i="6" s="1"/>
  <c r="DR22" i="6"/>
  <c r="DQ22" i="6"/>
  <c r="DM22" i="6"/>
  <c r="DL22" i="6"/>
  <c r="DJ22" i="6"/>
  <c r="DI22" i="6"/>
  <c r="DF22" i="6"/>
  <c r="DE22" i="6"/>
  <c r="DB22" i="6"/>
  <c r="DA22" i="6"/>
  <c r="CZ22" i="6"/>
  <c r="CW22" i="6"/>
  <c r="CX22" i="6" s="1"/>
  <c r="CS22" i="6"/>
  <c r="CT22" i="6" s="1"/>
  <c r="CP22" i="6"/>
  <c r="CO22" i="6"/>
  <c r="CK22" i="6"/>
  <c r="CL22" i="6" s="1"/>
  <c r="CG22" i="6"/>
  <c r="CH22" i="6" s="1"/>
  <c r="CF22" i="6"/>
  <c r="CD22" i="6"/>
  <c r="CC22" i="6"/>
  <c r="CB22" i="6"/>
  <c r="BY22" i="6"/>
  <c r="BZ22" i="6" s="1"/>
  <c r="BV22" i="6"/>
  <c r="BU22" i="6"/>
  <c r="BQ22" i="6"/>
  <c r="BR22" i="6" s="1"/>
  <c r="BM22" i="6"/>
  <c r="BN22" i="6" s="1"/>
  <c r="BI22" i="6"/>
  <c r="BJ22" i="6" s="1"/>
  <c r="BF22" i="6"/>
  <c r="BE22" i="6"/>
  <c r="BA22" i="6"/>
  <c r="BB22" i="6" s="1"/>
  <c r="AW22" i="6"/>
  <c r="AX22" i="6" s="1"/>
  <c r="AS22" i="6"/>
  <c r="AT22" i="6" s="1"/>
  <c r="AP22" i="6"/>
  <c r="AO22" i="6"/>
  <c r="AK22" i="6"/>
  <c r="AL22" i="6" s="1"/>
  <c r="AG22" i="6"/>
  <c r="AH22" i="6" s="1"/>
  <c r="AC22" i="6"/>
  <c r="AD22" i="6" s="1"/>
  <c r="Z22" i="6"/>
  <c r="Y22" i="6"/>
  <c r="U22" i="6"/>
  <c r="V22" i="6" s="1"/>
  <c r="Q22" i="6"/>
  <c r="R22" i="6" s="1"/>
  <c r="M22" i="6"/>
  <c r="N22" i="6" s="1"/>
  <c r="J22" i="6"/>
  <c r="I22" i="6"/>
  <c r="E22" i="6"/>
  <c r="IJ21" i="6"/>
  <c r="IB21" i="6"/>
  <c r="HO21" i="6"/>
  <c r="GZ21" i="6"/>
  <c r="HA21" i="6" s="1"/>
  <c r="GY21" i="6"/>
  <c r="GV21" i="6"/>
  <c r="GU21" i="6"/>
  <c r="GS21" i="6"/>
  <c r="GR21" i="6"/>
  <c r="GQ21" i="6"/>
  <c r="GN21" i="6"/>
  <c r="GO21" i="6" s="1"/>
  <c r="GM21" i="6"/>
  <c r="GJ21" i="6"/>
  <c r="GI21" i="6"/>
  <c r="GK21" i="6" s="1"/>
  <c r="GF21" i="6"/>
  <c r="GE21" i="6"/>
  <c r="GG21" i="6" s="1"/>
  <c r="GC21" i="6"/>
  <c r="GB21" i="6"/>
  <c r="GA21" i="6"/>
  <c r="FY21" i="6"/>
  <c r="FX21" i="6"/>
  <c r="FW21" i="6"/>
  <c r="FT21" i="6"/>
  <c r="IF21" i="6" s="1"/>
  <c r="FS21" i="6"/>
  <c r="FU21" i="6" s="1"/>
  <c r="FP21" i="6"/>
  <c r="FO21" i="6"/>
  <c r="FL21" i="6"/>
  <c r="FK21" i="6"/>
  <c r="FM21" i="6" s="1"/>
  <c r="FI21" i="6"/>
  <c r="FJ21" i="6" s="1"/>
  <c r="FH21" i="6"/>
  <c r="FF21" i="6"/>
  <c r="FE21" i="6"/>
  <c r="FD21" i="6"/>
  <c r="IA21" i="6" s="1"/>
  <c r="IC21" i="6" s="1"/>
  <c r="FA21" i="6"/>
  <c r="EZ21" i="6"/>
  <c r="FB21" i="6" s="1"/>
  <c r="EW21" i="6"/>
  <c r="EV21" i="6"/>
  <c r="EX21" i="6" s="1"/>
  <c r="ET21" i="6"/>
  <c r="ES21" i="6"/>
  <c r="ER21" i="6"/>
  <c r="EO21" i="6"/>
  <c r="EP21" i="6" s="1"/>
  <c r="EN21" i="6"/>
  <c r="EK21" i="6"/>
  <c r="EJ21" i="6"/>
  <c r="EH21" i="6"/>
  <c r="EG21" i="6"/>
  <c r="EF21" i="6"/>
  <c r="HW21" i="6" s="1"/>
  <c r="EC21" i="6"/>
  <c r="ED21" i="6" s="1"/>
  <c r="EB21" i="6"/>
  <c r="DY21" i="6"/>
  <c r="DX21" i="6"/>
  <c r="DZ21" i="6" s="1"/>
  <c r="DU21" i="6"/>
  <c r="DV21" i="6" s="1"/>
  <c r="DR21" i="6"/>
  <c r="DQ21" i="6"/>
  <c r="DM21" i="6"/>
  <c r="DL21" i="6"/>
  <c r="DJ21" i="6"/>
  <c r="DI21" i="6"/>
  <c r="DF21" i="6"/>
  <c r="DE21" i="6"/>
  <c r="DA21" i="6"/>
  <c r="CZ21" i="6"/>
  <c r="DB21" i="6" s="1"/>
  <c r="CW21" i="6"/>
  <c r="CX21" i="6" s="1"/>
  <c r="CS21" i="6"/>
  <c r="CT21" i="6" s="1"/>
  <c r="CP21" i="6"/>
  <c r="CO21" i="6"/>
  <c r="CK21" i="6"/>
  <c r="CL21" i="6" s="1"/>
  <c r="CG21" i="6"/>
  <c r="CH21" i="6" s="1"/>
  <c r="CF21" i="6"/>
  <c r="CC21" i="6"/>
  <c r="CB21" i="6"/>
  <c r="HC21" i="6" s="1"/>
  <c r="BY21" i="6"/>
  <c r="BZ21" i="6" s="1"/>
  <c r="BV21" i="6"/>
  <c r="BU21" i="6"/>
  <c r="BQ21" i="6"/>
  <c r="BR21" i="6" s="1"/>
  <c r="BM21" i="6"/>
  <c r="BN21" i="6" s="1"/>
  <c r="BI21" i="6"/>
  <c r="BJ21" i="6" s="1"/>
  <c r="BF21" i="6"/>
  <c r="BE21" i="6"/>
  <c r="BA21" i="6"/>
  <c r="BB21" i="6" s="1"/>
  <c r="AW21" i="6"/>
  <c r="AX21" i="6" s="1"/>
  <c r="AS21" i="6"/>
  <c r="AT21" i="6" s="1"/>
  <c r="AP21" i="6"/>
  <c r="AO21" i="6"/>
  <c r="AK21" i="6"/>
  <c r="AL21" i="6" s="1"/>
  <c r="AG21" i="6"/>
  <c r="AH21" i="6" s="1"/>
  <c r="AC21" i="6"/>
  <c r="AD21" i="6" s="1"/>
  <c r="Z21" i="6"/>
  <c r="Y21" i="6"/>
  <c r="V21" i="6"/>
  <c r="U21" i="6"/>
  <c r="R21" i="6"/>
  <c r="Q21" i="6"/>
  <c r="N21" i="6"/>
  <c r="M21" i="6"/>
  <c r="HP21" i="6" s="1"/>
  <c r="J21" i="6"/>
  <c r="I21" i="6"/>
  <c r="F21" i="6"/>
  <c r="E21" i="6"/>
  <c r="HP20" i="6"/>
  <c r="HQ20" i="6" s="1"/>
  <c r="HO20" i="6"/>
  <c r="GZ20" i="6"/>
  <c r="HA20" i="6" s="1"/>
  <c r="GY20" i="6"/>
  <c r="GV20" i="6"/>
  <c r="GU20" i="6"/>
  <c r="GW20" i="6" s="1"/>
  <c r="GR20" i="6"/>
  <c r="GQ20" i="6"/>
  <c r="GS20" i="6" s="1"/>
  <c r="GO20" i="6"/>
  <c r="GN20" i="6"/>
  <c r="GM20" i="6"/>
  <c r="GJ20" i="6"/>
  <c r="GK20" i="6" s="1"/>
  <c r="GI20" i="6"/>
  <c r="GF20" i="6"/>
  <c r="GE20" i="6"/>
  <c r="GG20" i="6" s="1"/>
  <c r="GB20" i="6"/>
  <c r="GA20" i="6"/>
  <c r="GC20" i="6" s="1"/>
  <c r="FY20" i="6"/>
  <c r="FX20" i="6"/>
  <c r="FW20" i="6"/>
  <c r="FT20" i="6"/>
  <c r="FU20" i="6" s="1"/>
  <c r="FS20" i="6"/>
  <c r="FP20" i="6"/>
  <c r="FO20" i="6"/>
  <c r="FQ20" i="6" s="1"/>
  <c r="FL20" i="6"/>
  <c r="FK20" i="6"/>
  <c r="IE20" i="6" s="1"/>
  <c r="FJ20" i="6"/>
  <c r="FI20" i="6"/>
  <c r="FH20" i="6"/>
  <c r="FE20" i="6"/>
  <c r="IB20" i="6" s="1"/>
  <c r="FD20" i="6"/>
  <c r="FA20" i="6"/>
  <c r="EZ20" i="6"/>
  <c r="HS20" i="6" s="1"/>
  <c r="HU20" i="6" s="1"/>
  <c r="EW20" i="6"/>
  <c r="EV20" i="6"/>
  <c r="EX20" i="6" s="1"/>
  <c r="ET20" i="6"/>
  <c r="ES20" i="6"/>
  <c r="ER20" i="6"/>
  <c r="EO20" i="6"/>
  <c r="EP20" i="6" s="1"/>
  <c r="EN20" i="6"/>
  <c r="EK20" i="6"/>
  <c r="IJ20" i="6" s="1"/>
  <c r="EJ20" i="6"/>
  <c r="II20" i="6" s="1"/>
  <c r="EG20" i="6"/>
  <c r="HX20" i="6" s="1"/>
  <c r="EF20" i="6"/>
  <c r="EH20" i="6" s="1"/>
  <c r="ED20" i="6"/>
  <c r="EC20" i="6"/>
  <c r="EB20" i="6"/>
  <c r="DY20" i="6"/>
  <c r="DZ20" i="6" s="1"/>
  <c r="DX20" i="6"/>
  <c r="DV20" i="6"/>
  <c r="DU20" i="6"/>
  <c r="DR20" i="6"/>
  <c r="DQ20" i="6"/>
  <c r="DM20" i="6"/>
  <c r="DL20" i="6"/>
  <c r="DN20" i="6" s="1"/>
  <c r="DI20" i="6"/>
  <c r="HD20" i="6" s="1"/>
  <c r="DE20" i="6"/>
  <c r="HH20" i="6" s="1"/>
  <c r="DA20" i="6"/>
  <c r="CZ20" i="6"/>
  <c r="DB20" i="6" s="1"/>
  <c r="CX20" i="6"/>
  <c r="CW20" i="6"/>
  <c r="CT20" i="6"/>
  <c r="CS20" i="6"/>
  <c r="CP20" i="6"/>
  <c r="CO20" i="6"/>
  <c r="CL20" i="6"/>
  <c r="CK20" i="6"/>
  <c r="HT20" i="6" s="1"/>
  <c r="CH20" i="6"/>
  <c r="CG20" i="6"/>
  <c r="CF20" i="6"/>
  <c r="HC20" i="6" s="1"/>
  <c r="HE20" i="6" s="1"/>
  <c r="CC20" i="6"/>
  <c r="CD20" i="6" s="1"/>
  <c r="CB20" i="6"/>
  <c r="BZ20" i="6"/>
  <c r="BY20" i="6"/>
  <c r="BV20" i="6"/>
  <c r="BU20" i="6"/>
  <c r="BR20" i="6"/>
  <c r="BQ20" i="6"/>
  <c r="BN20" i="6"/>
  <c r="BM20" i="6"/>
  <c r="BJ20" i="6"/>
  <c r="BI20" i="6"/>
  <c r="HL20" i="6" s="1"/>
  <c r="BF20" i="6"/>
  <c r="BE20" i="6"/>
  <c r="BB20" i="6"/>
  <c r="BA20" i="6"/>
  <c r="AX20" i="6"/>
  <c r="AW20" i="6"/>
  <c r="AT20" i="6"/>
  <c r="AS20" i="6"/>
  <c r="AP20" i="6"/>
  <c r="AO20" i="6"/>
  <c r="AL20" i="6"/>
  <c r="AK20" i="6"/>
  <c r="AH20" i="6"/>
  <c r="AG20" i="6"/>
  <c r="AD20" i="6"/>
  <c r="AC20" i="6"/>
  <c r="Z20" i="6"/>
  <c r="Y20" i="6"/>
  <c r="V20" i="6"/>
  <c r="U20" i="6"/>
  <c r="R20" i="6"/>
  <c r="Q20" i="6"/>
  <c r="N20" i="6"/>
  <c r="M20" i="6"/>
  <c r="J20" i="6"/>
  <c r="I20" i="6"/>
  <c r="F20" i="6"/>
  <c r="E20" i="6"/>
  <c r="HP19" i="6"/>
  <c r="HQ19" i="6" s="1"/>
  <c r="HO19" i="6"/>
  <c r="GZ19" i="6"/>
  <c r="HA19" i="6" s="1"/>
  <c r="GY19" i="6"/>
  <c r="GV19" i="6"/>
  <c r="GU19" i="6"/>
  <c r="GW19" i="6" s="1"/>
  <c r="GR19" i="6"/>
  <c r="GQ19" i="6"/>
  <c r="GS19" i="6" s="1"/>
  <c r="GO19" i="6"/>
  <c r="GN19" i="6"/>
  <c r="GM19" i="6"/>
  <c r="GJ19" i="6"/>
  <c r="GK19" i="6" s="1"/>
  <c r="GI19" i="6"/>
  <c r="GF19" i="6"/>
  <c r="GE19" i="6"/>
  <c r="GG19" i="6" s="1"/>
  <c r="GB19" i="6"/>
  <c r="GA19" i="6"/>
  <c r="GC19" i="6" s="1"/>
  <c r="FY19" i="6"/>
  <c r="FX19" i="6"/>
  <c r="FW19" i="6"/>
  <c r="FT19" i="6"/>
  <c r="FU19" i="6" s="1"/>
  <c r="FS19" i="6"/>
  <c r="FP19" i="6"/>
  <c r="FO19" i="6"/>
  <c r="FQ19" i="6" s="1"/>
  <c r="FL19" i="6"/>
  <c r="FK19" i="6"/>
  <c r="IE19" i="6" s="1"/>
  <c r="FJ19" i="6"/>
  <c r="FI19" i="6"/>
  <c r="FH19" i="6"/>
  <c r="FE19" i="6"/>
  <c r="IB19" i="6" s="1"/>
  <c r="FD19" i="6"/>
  <c r="FA19" i="6"/>
  <c r="EZ19" i="6"/>
  <c r="HS19" i="6" s="1"/>
  <c r="EW19" i="6"/>
  <c r="EV19" i="6"/>
  <c r="EX19" i="6" s="1"/>
  <c r="ET19" i="6"/>
  <c r="ES19" i="6"/>
  <c r="ER19" i="6"/>
  <c r="EO19" i="6"/>
  <c r="EP19" i="6" s="1"/>
  <c r="EN19" i="6"/>
  <c r="EK19" i="6"/>
  <c r="IJ19" i="6" s="1"/>
  <c r="EJ19" i="6"/>
  <c r="II19" i="6" s="1"/>
  <c r="IK19" i="6" s="1"/>
  <c r="EG19" i="6"/>
  <c r="HX19" i="6" s="1"/>
  <c r="EF19" i="6"/>
  <c r="EH19" i="6" s="1"/>
  <c r="ED19" i="6"/>
  <c r="EC19" i="6"/>
  <c r="EB19" i="6"/>
  <c r="DY19" i="6"/>
  <c r="DZ19" i="6" s="1"/>
  <c r="DX19" i="6"/>
  <c r="DV19" i="6"/>
  <c r="DU19" i="6"/>
  <c r="DR19" i="6"/>
  <c r="DQ19" i="6"/>
  <c r="DM19" i="6"/>
  <c r="DL19" i="6"/>
  <c r="DN19" i="6" s="1"/>
  <c r="DI19" i="6"/>
  <c r="HD19" i="6" s="1"/>
  <c r="DE19" i="6"/>
  <c r="HH19" i="6" s="1"/>
  <c r="DA19" i="6"/>
  <c r="CZ19" i="6"/>
  <c r="DB19" i="6" s="1"/>
  <c r="CX19" i="6"/>
  <c r="CW19" i="6"/>
  <c r="CT19" i="6"/>
  <c r="CS19" i="6"/>
  <c r="CP19" i="6"/>
  <c r="CO19" i="6"/>
  <c r="CL19" i="6"/>
  <c r="CK19" i="6"/>
  <c r="HT19" i="6" s="1"/>
  <c r="CH19" i="6"/>
  <c r="CG19" i="6"/>
  <c r="CF19" i="6"/>
  <c r="HC19" i="6" s="1"/>
  <c r="CC19" i="6"/>
  <c r="CD19" i="6" s="1"/>
  <c r="CB19" i="6"/>
  <c r="BZ19" i="6"/>
  <c r="BY19" i="6"/>
  <c r="BV19" i="6"/>
  <c r="BU19" i="6"/>
  <c r="BR19" i="6"/>
  <c r="BQ19" i="6"/>
  <c r="BN19" i="6"/>
  <c r="BM19" i="6"/>
  <c r="BJ19" i="6"/>
  <c r="BI19" i="6"/>
  <c r="HL19" i="6" s="1"/>
  <c r="BF19" i="6"/>
  <c r="BE19" i="6"/>
  <c r="BB19" i="6"/>
  <c r="BA19" i="6"/>
  <c r="AX19" i="6"/>
  <c r="AW19" i="6"/>
  <c r="AT19" i="6"/>
  <c r="AS19" i="6"/>
  <c r="AP19" i="6"/>
  <c r="AO19" i="6"/>
  <c r="AL19" i="6"/>
  <c r="AK19" i="6"/>
  <c r="AH19" i="6"/>
  <c r="AG19" i="6"/>
  <c r="AD19" i="6"/>
  <c r="AC19" i="6"/>
  <c r="Z19" i="6"/>
  <c r="Y19" i="6"/>
  <c r="V19" i="6"/>
  <c r="U19" i="6"/>
  <c r="R19" i="6"/>
  <c r="Q19" i="6"/>
  <c r="N19" i="6"/>
  <c r="M19" i="6"/>
  <c r="J19" i="6"/>
  <c r="I19" i="6"/>
  <c r="F19" i="6"/>
  <c r="E19" i="6"/>
  <c r="HP18" i="6"/>
  <c r="HQ18" i="6" s="1"/>
  <c r="HO18" i="6"/>
  <c r="GZ18" i="6"/>
  <c r="HA18" i="6" s="1"/>
  <c r="GY18" i="6"/>
  <c r="GV18" i="6"/>
  <c r="GU18" i="6"/>
  <c r="GW18" i="6" s="1"/>
  <c r="GR18" i="6"/>
  <c r="GQ18" i="6"/>
  <c r="GS18" i="6" s="1"/>
  <c r="GO18" i="6"/>
  <c r="GN18" i="6"/>
  <c r="GM18" i="6"/>
  <c r="GJ18" i="6"/>
  <c r="GK18" i="6" s="1"/>
  <c r="GI18" i="6"/>
  <c r="GF18" i="6"/>
  <c r="GE18" i="6"/>
  <c r="GG18" i="6" s="1"/>
  <c r="GB18" i="6"/>
  <c r="GA18" i="6"/>
  <c r="GC18" i="6" s="1"/>
  <c r="FY18" i="6"/>
  <c r="FX18" i="6"/>
  <c r="FW18" i="6"/>
  <c r="FT18" i="6"/>
  <c r="FU18" i="6" s="1"/>
  <c r="FS18" i="6"/>
  <c r="FP18" i="6"/>
  <c r="FO18" i="6"/>
  <c r="FQ18" i="6" s="1"/>
  <c r="FL18" i="6"/>
  <c r="FK18" i="6"/>
  <c r="IE18" i="6" s="1"/>
  <c r="FJ18" i="6"/>
  <c r="FI18" i="6"/>
  <c r="FH18" i="6"/>
  <c r="FE18" i="6"/>
  <c r="IB18" i="6" s="1"/>
  <c r="FD18" i="6"/>
  <c r="FA18" i="6"/>
  <c r="EZ18" i="6"/>
  <c r="HS18" i="6" s="1"/>
  <c r="HU18" i="6" s="1"/>
  <c r="EW18" i="6"/>
  <c r="EV18" i="6"/>
  <c r="EX18" i="6" s="1"/>
  <c r="ET18" i="6"/>
  <c r="ES18" i="6"/>
  <c r="ER18" i="6"/>
  <c r="EO18" i="6"/>
  <c r="EP18" i="6" s="1"/>
  <c r="EN18" i="6"/>
  <c r="EK18" i="6"/>
  <c r="IJ18" i="6" s="1"/>
  <c r="EJ18" i="6"/>
  <c r="II18" i="6" s="1"/>
  <c r="EG18" i="6"/>
  <c r="HX18" i="6" s="1"/>
  <c r="EF18" i="6"/>
  <c r="EH18" i="6" s="1"/>
  <c r="ED18" i="6"/>
  <c r="EC18" i="6"/>
  <c r="EB18" i="6"/>
  <c r="DY18" i="6"/>
  <c r="DZ18" i="6" s="1"/>
  <c r="DX18" i="6"/>
  <c r="DV18" i="6"/>
  <c r="DU18" i="6"/>
  <c r="DR18" i="6"/>
  <c r="DQ18" i="6"/>
  <c r="DM18" i="6"/>
  <c r="DL18" i="6"/>
  <c r="DN18" i="6" s="1"/>
  <c r="DI18" i="6"/>
  <c r="HD18" i="6" s="1"/>
  <c r="DE18" i="6"/>
  <c r="HH18" i="6" s="1"/>
  <c r="DA18" i="6"/>
  <c r="CZ18" i="6"/>
  <c r="DB18" i="6" s="1"/>
  <c r="CX18" i="6"/>
  <c r="CW18" i="6"/>
  <c r="CT18" i="6"/>
  <c r="CS18" i="6"/>
  <c r="CP18" i="6"/>
  <c r="CO18" i="6"/>
  <c r="CL18" i="6"/>
  <c r="CK18" i="6"/>
  <c r="HT18" i="6" s="1"/>
  <c r="CH18" i="6"/>
  <c r="CG18" i="6"/>
  <c r="CF18" i="6"/>
  <c r="HC18" i="6" s="1"/>
  <c r="HE18" i="6" s="1"/>
  <c r="CC18" i="6"/>
  <c r="CD18" i="6" s="1"/>
  <c r="CB18" i="6"/>
  <c r="BZ18" i="6"/>
  <c r="BY18" i="6"/>
  <c r="BV18" i="6"/>
  <c r="BU18" i="6"/>
  <c r="BR18" i="6"/>
  <c r="BQ18" i="6"/>
  <c r="BN18" i="6"/>
  <c r="BM18" i="6"/>
  <c r="BJ18" i="6"/>
  <c r="BI18" i="6"/>
  <c r="HL18" i="6" s="1"/>
  <c r="BF18" i="6"/>
  <c r="BE18" i="6"/>
  <c r="BB18" i="6"/>
  <c r="BA18" i="6"/>
  <c r="AX18" i="6"/>
  <c r="AW18" i="6"/>
  <c r="AT18" i="6"/>
  <c r="AS18" i="6"/>
  <c r="AP18" i="6"/>
  <c r="AO18" i="6"/>
  <c r="AL18" i="6"/>
  <c r="AK18" i="6"/>
  <c r="AH18" i="6"/>
  <c r="AG18" i="6"/>
  <c r="AD18" i="6"/>
  <c r="AC18" i="6"/>
  <c r="Z18" i="6"/>
  <c r="Y18" i="6"/>
  <c r="V18" i="6"/>
  <c r="U18" i="6"/>
  <c r="R18" i="6"/>
  <c r="Q18" i="6"/>
  <c r="N18" i="6"/>
  <c r="M18" i="6"/>
  <c r="J18" i="6"/>
  <c r="I18" i="6"/>
  <c r="F18" i="6"/>
  <c r="E18" i="6"/>
  <c r="HO17" i="6"/>
  <c r="GZ17" i="6"/>
  <c r="HA17" i="6" s="1"/>
  <c r="GY17" i="6"/>
  <c r="GV17" i="6"/>
  <c r="GU17" i="6"/>
  <c r="GW17" i="6" s="1"/>
  <c r="GR17" i="6"/>
  <c r="GQ17" i="6"/>
  <c r="GS17" i="6" s="1"/>
  <c r="GO17" i="6"/>
  <c r="GN17" i="6"/>
  <c r="GM17" i="6"/>
  <c r="GJ17" i="6"/>
  <c r="GK17" i="6" s="1"/>
  <c r="GI17" i="6"/>
  <c r="GF17" i="6"/>
  <c r="GE17" i="6"/>
  <c r="GG17" i="6" s="1"/>
  <c r="GB17" i="6"/>
  <c r="GA17" i="6"/>
  <c r="GC17" i="6" s="1"/>
  <c r="FY17" i="6"/>
  <c r="FX17" i="6"/>
  <c r="FW17" i="6"/>
  <c r="FT17" i="6"/>
  <c r="FU17" i="6" s="1"/>
  <c r="FS17" i="6"/>
  <c r="FP17" i="6"/>
  <c r="FO17" i="6"/>
  <c r="FQ17" i="6" s="1"/>
  <c r="FL17" i="6"/>
  <c r="FK17" i="6"/>
  <c r="IE17" i="6" s="1"/>
  <c r="FJ17" i="6"/>
  <c r="FI17" i="6"/>
  <c r="FH17" i="6"/>
  <c r="FE17" i="6"/>
  <c r="IB17" i="6" s="1"/>
  <c r="FD17" i="6"/>
  <c r="FA17" i="6"/>
  <c r="EZ17" i="6"/>
  <c r="HS17" i="6" s="1"/>
  <c r="HU17" i="6" s="1"/>
  <c r="EW17" i="6"/>
  <c r="EV17" i="6"/>
  <c r="EX17" i="6" s="1"/>
  <c r="ET17" i="6"/>
  <c r="ES17" i="6"/>
  <c r="ER17" i="6"/>
  <c r="EO17" i="6"/>
  <c r="EP17" i="6" s="1"/>
  <c r="EN17" i="6"/>
  <c r="EK17" i="6"/>
  <c r="IJ17" i="6" s="1"/>
  <c r="EJ17" i="6"/>
  <c r="II17" i="6" s="1"/>
  <c r="EG17" i="6"/>
  <c r="HX17" i="6" s="1"/>
  <c r="EF17" i="6"/>
  <c r="EH17" i="6" s="1"/>
  <c r="ED17" i="6"/>
  <c r="EC17" i="6"/>
  <c r="EB17" i="6"/>
  <c r="DY17" i="6"/>
  <c r="DZ17" i="6" s="1"/>
  <c r="DX17" i="6"/>
  <c r="DV17" i="6"/>
  <c r="DU17" i="6"/>
  <c r="DR17" i="6"/>
  <c r="DQ17" i="6"/>
  <c r="DM17" i="6"/>
  <c r="DL17" i="6"/>
  <c r="DN17" i="6" s="1"/>
  <c r="DI17" i="6"/>
  <c r="HD17" i="6" s="1"/>
  <c r="DE17" i="6"/>
  <c r="DF17" i="6" s="1"/>
  <c r="DA17" i="6"/>
  <c r="CZ17" i="6"/>
  <c r="DB17" i="6" s="1"/>
  <c r="CX17" i="6"/>
  <c r="CW17" i="6"/>
  <c r="CT17" i="6"/>
  <c r="CS17" i="6"/>
  <c r="CP17" i="6"/>
  <c r="CO17" i="6"/>
  <c r="CL17" i="6"/>
  <c r="CK17" i="6"/>
  <c r="HT17" i="6" s="1"/>
  <c r="CH17" i="6"/>
  <c r="CG17" i="6"/>
  <c r="CF17" i="6"/>
  <c r="HC17" i="6" s="1"/>
  <c r="CC17" i="6"/>
  <c r="CD17" i="6" s="1"/>
  <c r="BY17" i="6"/>
  <c r="BZ17" i="6" s="1"/>
  <c r="BU17" i="6"/>
  <c r="BV17" i="6" s="1"/>
  <c r="BQ17" i="6"/>
  <c r="BR17" i="6" s="1"/>
  <c r="BM17" i="6"/>
  <c r="BN17" i="6" s="1"/>
  <c r="BI17" i="6"/>
  <c r="BJ17" i="6" s="1"/>
  <c r="BE17" i="6"/>
  <c r="BF17" i="6" s="1"/>
  <c r="BA17" i="6"/>
  <c r="BB17" i="6" s="1"/>
  <c r="AW17" i="6"/>
  <c r="AX17" i="6" s="1"/>
  <c r="AS17" i="6"/>
  <c r="AT17" i="6" s="1"/>
  <c r="AO17" i="6"/>
  <c r="AP17" i="6" s="1"/>
  <c r="AK17" i="6"/>
  <c r="AL17" i="6" s="1"/>
  <c r="AG17" i="6"/>
  <c r="AH17" i="6" s="1"/>
  <c r="AC17" i="6"/>
  <c r="AD17" i="6" s="1"/>
  <c r="Y17" i="6"/>
  <c r="Z17" i="6" s="1"/>
  <c r="U17" i="6"/>
  <c r="V17" i="6" s="1"/>
  <c r="Q17" i="6"/>
  <c r="R17" i="6" s="1"/>
  <c r="M17" i="6"/>
  <c r="N17" i="6" s="1"/>
  <c r="I17" i="6"/>
  <c r="J17" i="6" s="1"/>
  <c r="E17" i="6"/>
  <c r="F17" i="6" s="1"/>
  <c r="IJ16" i="6"/>
  <c r="HO16" i="6"/>
  <c r="GZ16" i="6"/>
  <c r="GY16" i="6"/>
  <c r="HA16" i="6" s="1"/>
  <c r="GV16" i="6"/>
  <c r="IB16" i="6" s="1"/>
  <c r="GU16" i="6"/>
  <c r="GW16" i="6" s="1"/>
  <c r="GS16" i="6"/>
  <c r="GR16" i="6"/>
  <c r="GQ16" i="6"/>
  <c r="GN16" i="6"/>
  <c r="GO16" i="6" s="1"/>
  <c r="GM16" i="6"/>
  <c r="GJ16" i="6"/>
  <c r="GI16" i="6"/>
  <c r="GK16" i="6" s="1"/>
  <c r="GF16" i="6"/>
  <c r="GE16" i="6"/>
  <c r="GG16" i="6" s="1"/>
  <c r="GC16" i="6"/>
  <c r="GB16" i="6"/>
  <c r="GA16" i="6"/>
  <c r="FX16" i="6"/>
  <c r="FY16" i="6" s="1"/>
  <c r="FW16" i="6"/>
  <c r="FT16" i="6"/>
  <c r="IF16" i="6" s="1"/>
  <c r="FS16" i="6"/>
  <c r="FU16" i="6" s="1"/>
  <c r="FP16" i="6"/>
  <c r="FO16" i="6"/>
  <c r="FQ16" i="6" s="1"/>
  <c r="FM16" i="6"/>
  <c r="FL16" i="6"/>
  <c r="FK16" i="6"/>
  <c r="FI16" i="6"/>
  <c r="FJ16" i="6" s="1"/>
  <c r="FH16" i="6"/>
  <c r="FE16" i="6"/>
  <c r="FD16" i="6"/>
  <c r="FF16" i="6" s="1"/>
  <c r="FA16" i="6"/>
  <c r="EZ16" i="6"/>
  <c r="FB16" i="6" s="1"/>
  <c r="EX16" i="6"/>
  <c r="EW16" i="6"/>
  <c r="EV16" i="6"/>
  <c r="HG16" i="6" s="1"/>
  <c r="ES16" i="6"/>
  <c r="ET16" i="6" s="1"/>
  <c r="ER16" i="6"/>
  <c r="EO16" i="6"/>
  <c r="EN16" i="6"/>
  <c r="HS16" i="6" s="1"/>
  <c r="EK16" i="6"/>
  <c r="EJ16" i="6"/>
  <c r="II16" i="6" s="1"/>
  <c r="IK16" i="6" s="1"/>
  <c r="EH16" i="6"/>
  <c r="EG16" i="6"/>
  <c r="HX16" i="6" s="1"/>
  <c r="EF16" i="6"/>
  <c r="HW16" i="6" s="1"/>
  <c r="EC16" i="6"/>
  <c r="ED16" i="6" s="1"/>
  <c r="EB16" i="6"/>
  <c r="DY16" i="6"/>
  <c r="DX16" i="6"/>
  <c r="DZ16" i="6" s="1"/>
  <c r="DU16" i="6"/>
  <c r="DV16" i="6" s="1"/>
  <c r="DQ16" i="6"/>
  <c r="DR16" i="6" s="1"/>
  <c r="DM16" i="6"/>
  <c r="DL16" i="6"/>
  <c r="DN16" i="6" s="1"/>
  <c r="DJ16" i="6"/>
  <c r="DI16" i="6"/>
  <c r="DF16" i="6"/>
  <c r="DE16" i="6"/>
  <c r="DB16" i="6"/>
  <c r="DA16" i="6"/>
  <c r="CZ16" i="6"/>
  <c r="CW16" i="6"/>
  <c r="CX16" i="6" s="1"/>
  <c r="CS16" i="6"/>
  <c r="CT16" i="6" s="1"/>
  <c r="CO16" i="6"/>
  <c r="CP16" i="6" s="1"/>
  <c r="CK16" i="6"/>
  <c r="CL16" i="6" s="1"/>
  <c r="CG16" i="6"/>
  <c r="CH16" i="6" s="1"/>
  <c r="CF16" i="6"/>
  <c r="CC16" i="6"/>
  <c r="CB16" i="6"/>
  <c r="HC16" i="6" s="1"/>
  <c r="BY16" i="6"/>
  <c r="BZ16" i="6" s="1"/>
  <c r="BU16" i="6"/>
  <c r="BV16" i="6" s="1"/>
  <c r="BQ16" i="6"/>
  <c r="BR16" i="6" s="1"/>
  <c r="BM16" i="6"/>
  <c r="BN16" i="6" s="1"/>
  <c r="BI16" i="6"/>
  <c r="BJ16" i="6" s="1"/>
  <c r="BE16" i="6"/>
  <c r="BF16" i="6" s="1"/>
  <c r="BA16" i="6"/>
  <c r="BB16" i="6" s="1"/>
  <c r="AW16" i="6"/>
  <c r="AX16" i="6" s="1"/>
  <c r="AS16" i="6"/>
  <c r="AT16" i="6" s="1"/>
  <c r="AO16" i="6"/>
  <c r="AP16" i="6" s="1"/>
  <c r="AK16" i="6"/>
  <c r="AL16" i="6" s="1"/>
  <c r="AG16" i="6"/>
  <c r="AH16" i="6" s="1"/>
  <c r="AC16" i="6"/>
  <c r="AD16" i="6" s="1"/>
  <c r="Y16" i="6"/>
  <c r="Z16" i="6" s="1"/>
  <c r="U16" i="6"/>
  <c r="V16" i="6" s="1"/>
  <c r="Q16" i="6"/>
  <c r="R16" i="6" s="1"/>
  <c r="M16" i="6"/>
  <c r="N16" i="6" s="1"/>
  <c r="I16" i="6"/>
  <c r="J16" i="6" s="1"/>
  <c r="E16" i="6"/>
  <c r="HH16" i="6" s="1"/>
  <c r="IJ15" i="6"/>
  <c r="HO15" i="6"/>
  <c r="GZ15" i="6"/>
  <c r="GY15" i="6"/>
  <c r="HA15" i="6" s="1"/>
  <c r="GV15" i="6"/>
  <c r="IB15" i="6" s="1"/>
  <c r="GU15" i="6"/>
  <c r="GW15" i="6" s="1"/>
  <c r="GS15" i="6"/>
  <c r="GR15" i="6"/>
  <c r="GQ15" i="6"/>
  <c r="GN15" i="6"/>
  <c r="GO15" i="6" s="1"/>
  <c r="GM15" i="6"/>
  <c r="GJ15" i="6"/>
  <c r="GI15" i="6"/>
  <c r="GK15" i="6" s="1"/>
  <c r="GF15" i="6"/>
  <c r="GE15" i="6"/>
  <c r="GG15" i="6" s="1"/>
  <c r="GC15" i="6"/>
  <c r="GB15" i="6"/>
  <c r="GA15" i="6"/>
  <c r="FX15" i="6"/>
  <c r="FY15" i="6" s="1"/>
  <c r="FW15" i="6"/>
  <c r="FT15" i="6"/>
  <c r="IF15" i="6" s="1"/>
  <c r="FS15" i="6"/>
  <c r="FU15" i="6" s="1"/>
  <c r="FP15" i="6"/>
  <c r="FO15" i="6"/>
  <c r="FQ15" i="6" s="1"/>
  <c r="FM15" i="6"/>
  <c r="FL15" i="6"/>
  <c r="FK15" i="6"/>
  <c r="FI15" i="6"/>
  <c r="FJ15" i="6" s="1"/>
  <c r="FH15" i="6"/>
  <c r="FE15" i="6"/>
  <c r="FD15" i="6"/>
  <c r="FF15" i="6" s="1"/>
  <c r="FA15" i="6"/>
  <c r="EZ15" i="6"/>
  <c r="FB15" i="6" s="1"/>
  <c r="EX15" i="6"/>
  <c r="EW15" i="6"/>
  <c r="EV15" i="6"/>
  <c r="HG15" i="6" s="1"/>
  <c r="ES15" i="6"/>
  <c r="ET15" i="6" s="1"/>
  <c r="ER15" i="6"/>
  <c r="EO15" i="6"/>
  <c r="EN15" i="6"/>
  <c r="HS15" i="6" s="1"/>
  <c r="EK15" i="6"/>
  <c r="EJ15" i="6"/>
  <c r="II15" i="6" s="1"/>
  <c r="IK15" i="6" s="1"/>
  <c r="EH15" i="6"/>
  <c r="EG15" i="6"/>
  <c r="HX15" i="6" s="1"/>
  <c r="EF15" i="6"/>
  <c r="HW15" i="6" s="1"/>
  <c r="EC15" i="6"/>
  <c r="ED15" i="6" s="1"/>
  <c r="EB15" i="6"/>
  <c r="DY15" i="6"/>
  <c r="DX15" i="6"/>
  <c r="DZ15" i="6" s="1"/>
  <c r="DU15" i="6"/>
  <c r="DV15" i="6" s="1"/>
  <c r="DQ15" i="6"/>
  <c r="DR15" i="6" s="1"/>
  <c r="DM15" i="6"/>
  <c r="DL15" i="6"/>
  <c r="DN15" i="6" s="1"/>
  <c r="DJ15" i="6"/>
  <c r="DI15" i="6"/>
  <c r="DF15" i="6"/>
  <c r="DE15" i="6"/>
  <c r="DB15" i="6"/>
  <c r="DA15" i="6"/>
  <c r="CZ15" i="6"/>
  <c r="CW15" i="6"/>
  <c r="CX15" i="6" s="1"/>
  <c r="CS15" i="6"/>
  <c r="CT15" i="6" s="1"/>
  <c r="CO15" i="6"/>
  <c r="CP15" i="6" s="1"/>
  <c r="CK15" i="6"/>
  <c r="CL15" i="6" s="1"/>
  <c r="CG15" i="6"/>
  <c r="CH15" i="6" s="1"/>
  <c r="CF15" i="6"/>
  <c r="CC15" i="6"/>
  <c r="CB15" i="6"/>
  <c r="HC15" i="6" s="1"/>
  <c r="BY15" i="6"/>
  <c r="BZ15" i="6" s="1"/>
  <c r="BU15" i="6"/>
  <c r="BV15" i="6" s="1"/>
  <c r="BQ15" i="6"/>
  <c r="BR15" i="6" s="1"/>
  <c r="BM15" i="6"/>
  <c r="BN15" i="6" s="1"/>
  <c r="BI15" i="6"/>
  <c r="BJ15" i="6" s="1"/>
  <c r="BE15" i="6"/>
  <c r="BF15" i="6" s="1"/>
  <c r="BA15" i="6"/>
  <c r="BB15" i="6" s="1"/>
  <c r="AW15" i="6"/>
  <c r="AX15" i="6" s="1"/>
  <c r="AS15" i="6"/>
  <c r="AT15" i="6" s="1"/>
  <c r="AO15" i="6"/>
  <c r="AP15" i="6" s="1"/>
  <c r="AK15" i="6"/>
  <c r="AL15" i="6" s="1"/>
  <c r="AG15" i="6"/>
  <c r="AH15" i="6" s="1"/>
  <c r="AC15" i="6"/>
  <c r="AD15" i="6" s="1"/>
  <c r="Y15" i="6"/>
  <c r="Z15" i="6" s="1"/>
  <c r="U15" i="6"/>
  <c r="V15" i="6" s="1"/>
  <c r="Q15" i="6"/>
  <c r="R15" i="6" s="1"/>
  <c r="M15" i="6"/>
  <c r="N15" i="6" s="1"/>
  <c r="I15" i="6"/>
  <c r="J15" i="6" s="1"/>
  <c r="E15" i="6"/>
  <c r="HH15" i="6" s="1"/>
  <c r="IJ14" i="6"/>
  <c r="HO14" i="6"/>
  <c r="GZ14" i="6"/>
  <c r="GY14" i="6"/>
  <c r="HA14" i="6" s="1"/>
  <c r="GV14" i="6"/>
  <c r="IB14" i="6" s="1"/>
  <c r="GU14" i="6"/>
  <c r="GW14" i="6" s="1"/>
  <c r="GS14" i="6"/>
  <c r="GR14" i="6"/>
  <c r="GQ14" i="6"/>
  <c r="GN14" i="6"/>
  <c r="GO14" i="6" s="1"/>
  <c r="GM14" i="6"/>
  <c r="GJ14" i="6"/>
  <c r="GI14" i="6"/>
  <c r="GK14" i="6" s="1"/>
  <c r="GF14" i="6"/>
  <c r="GE14" i="6"/>
  <c r="GG14" i="6" s="1"/>
  <c r="GC14" i="6"/>
  <c r="GB14" i="6"/>
  <c r="GA14" i="6"/>
  <c r="FX14" i="6"/>
  <c r="FY14" i="6" s="1"/>
  <c r="FW14" i="6"/>
  <c r="FT14" i="6"/>
  <c r="IF14" i="6" s="1"/>
  <c r="FS14" i="6"/>
  <c r="FU14" i="6" s="1"/>
  <c r="FP14" i="6"/>
  <c r="FO14" i="6"/>
  <c r="FQ14" i="6" s="1"/>
  <c r="FM14" i="6"/>
  <c r="FL14" i="6"/>
  <c r="FK14" i="6"/>
  <c r="FI14" i="6"/>
  <c r="FJ14" i="6" s="1"/>
  <c r="FH14" i="6"/>
  <c r="FE14" i="6"/>
  <c r="FD14" i="6"/>
  <c r="FF14" i="6" s="1"/>
  <c r="FA14" i="6"/>
  <c r="EZ14" i="6"/>
  <c r="FB14" i="6" s="1"/>
  <c r="EX14" i="6"/>
  <c r="EW14" i="6"/>
  <c r="EV14" i="6"/>
  <c r="HG14" i="6" s="1"/>
  <c r="HI14" i="6" s="1"/>
  <c r="ES14" i="6"/>
  <c r="ET14" i="6" s="1"/>
  <c r="ER14" i="6"/>
  <c r="EO14" i="6"/>
  <c r="EN14" i="6"/>
  <c r="HS14" i="6" s="1"/>
  <c r="EK14" i="6"/>
  <c r="EJ14" i="6"/>
  <c r="II14" i="6" s="1"/>
  <c r="IK14" i="6" s="1"/>
  <c r="EH14" i="6"/>
  <c r="EG14" i="6"/>
  <c r="HX14" i="6" s="1"/>
  <c r="EF14" i="6"/>
  <c r="HW14" i="6" s="1"/>
  <c r="EC14" i="6"/>
  <c r="ED14" i="6" s="1"/>
  <c r="EB14" i="6"/>
  <c r="DY14" i="6"/>
  <c r="DX14" i="6"/>
  <c r="DZ14" i="6" s="1"/>
  <c r="DU14" i="6"/>
  <c r="DV14" i="6" s="1"/>
  <c r="DQ14" i="6"/>
  <c r="DR14" i="6" s="1"/>
  <c r="DM14" i="6"/>
  <c r="DL14" i="6"/>
  <c r="DN14" i="6" s="1"/>
  <c r="DJ14" i="6"/>
  <c r="DI14" i="6"/>
  <c r="DF14" i="6"/>
  <c r="DE14" i="6"/>
  <c r="DB14" i="6"/>
  <c r="DA14" i="6"/>
  <c r="CZ14" i="6"/>
  <c r="HK14" i="6" s="1"/>
  <c r="HM14" i="6" s="1"/>
  <c r="CW14" i="6"/>
  <c r="CX14" i="6" s="1"/>
  <c r="CS14" i="6"/>
  <c r="CT14" i="6" s="1"/>
  <c r="CO14" i="6"/>
  <c r="HL14" i="6" s="1"/>
  <c r="CK14" i="6"/>
  <c r="CL14" i="6" s="1"/>
  <c r="CG14" i="6"/>
  <c r="CH14" i="6" s="1"/>
  <c r="CF14" i="6"/>
  <c r="HC14" i="6" s="1"/>
  <c r="CD14" i="6"/>
  <c r="CC14" i="6"/>
  <c r="BZ14" i="6"/>
  <c r="BY14" i="6"/>
  <c r="BV14" i="6"/>
  <c r="BU14" i="6"/>
  <c r="BR14" i="6"/>
  <c r="BQ14" i="6"/>
  <c r="BN14" i="6"/>
  <c r="BM14" i="6"/>
  <c r="BJ14" i="6"/>
  <c r="BI14" i="6"/>
  <c r="BF14" i="6"/>
  <c r="BE14" i="6"/>
  <c r="BB14" i="6"/>
  <c r="BA14" i="6"/>
  <c r="AX14" i="6"/>
  <c r="AW14" i="6"/>
  <c r="AT14" i="6"/>
  <c r="AS14" i="6"/>
  <c r="AP14" i="6"/>
  <c r="AO14" i="6"/>
  <c r="AL14" i="6"/>
  <c r="AK14" i="6"/>
  <c r="AH14" i="6"/>
  <c r="AG14" i="6"/>
  <c r="HP14" i="6" s="1"/>
  <c r="AD14" i="6"/>
  <c r="AC14" i="6"/>
  <c r="Z14" i="6"/>
  <c r="Y14" i="6"/>
  <c r="V14" i="6"/>
  <c r="U14" i="6"/>
  <c r="R14" i="6"/>
  <c r="Q14" i="6"/>
  <c r="N14" i="6"/>
  <c r="M14" i="6"/>
  <c r="J14" i="6"/>
  <c r="I14" i="6"/>
  <c r="F14" i="6"/>
  <c r="E14" i="6"/>
  <c r="HH14" i="6" s="1"/>
  <c r="IJ13" i="6"/>
  <c r="II13" i="6"/>
  <c r="IK13" i="6" s="1"/>
  <c r="HS13" i="6"/>
  <c r="HU13" i="6" s="1"/>
  <c r="HP13" i="6"/>
  <c r="HO13" i="6"/>
  <c r="HQ13" i="6" s="1"/>
  <c r="GZ13" i="6"/>
  <c r="GY13" i="6"/>
  <c r="HA13" i="6" s="1"/>
  <c r="GW13" i="6"/>
  <c r="GV13" i="6"/>
  <c r="GU13" i="6"/>
  <c r="IA13" i="6" s="1"/>
  <c r="IC13" i="6" s="1"/>
  <c r="GR13" i="6"/>
  <c r="GS13" i="6" s="1"/>
  <c r="GQ13" i="6"/>
  <c r="GN13" i="6"/>
  <c r="GM13" i="6"/>
  <c r="GO13" i="6" s="1"/>
  <c r="GJ13" i="6"/>
  <c r="GI13" i="6"/>
  <c r="GK13" i="6" s="1"/>
  <c r="GG13" i="6"/>
  <c r="GF13" i="6"/>
  <c r="GE13" i="6"/>
  <c r="GB13" i="6"/>
  <c r="GC13" i="6" s="1"/>
  <c r="GA13" i="6"/>
  <c r="FX13" i="6"/>
  <c r="FW13" i="6"/>
  <c r="FY13" i="6" s="1"/>
  <c r="FT13" i="6"/>
  <c r="FS13" i="6"/>
  <c r="FU13" i="6" s="1"/>
  <c r="FQ13" i="6"/>
  <c r="FP13" i="6"/>
  <c r="FO13" i="6"/>
  <c r="FL13" i="6"/>
  <c r="IF13" i="6" s="1"/>
  <c r="FK13" i="6"/>
  <c r="FI13" i="6"/>
  <c r="FH13" i="6"/>
  <c r="FJ13" i="6" s="1"/>
  <c r="FE13" i="6"/>
  <c r="IB13" i="6" s="1"/>
  <c r="FD13" i="6"/>
  <c r="FF13" i="6" s="1"/>
  <c r="FB13" i="6"/>
  <c r="FA13" i="6"/>
  <c r="EZ13" i="6"/>
  <c r="EW13" i="6"/>
  <c r="EX13" i="6" s="1"/>
  <c r="EV13" i="6"/>
  <c r="ES13" i="6"/>
  <c r="ER13" i="6"/>
  <c r="ET13" i="6" s="1"/>
  <c r="EO13" i="6"/>
  <c r="EN13" i="6"/>
  <c r="EP13" i="6" s="1"/>
  <c r="EL13" i="6"/>
  <c r="EK13" i="6"/>
  <c r="EJ13" i="6"/>
  <c r="EG13" i="6"/>
  <c r="EH13" i="6" s="1"/>
  <c r="EF13" i="6"/>
  <c r="HW13" i="6" s="1"/>
  <c r="EC13" i="6"/>
  <c r="EB13" i="6"/>
  <c r="ED13" i="6" s="1"/>
  <c r="DY13" i="6"/>
  <c r="DX13" i="6"/>
  <c r="DZ13" i="6" s="1"/>
  <c r="DV13" i="6"/>
  <c r="DU13" i="6"/>
  <c r="DR13" i="6"/>
  <c r="DQ13" i="6"/>
  <c r="DN13" i="6"/>
  <c r="DM13" i="6"/>
  <c r="DL13" i="6"/>
  <c r="HK13" i="6" s="1"/>
  <c r="HM13" i="6" s="1"/>
  <c r="DI13" i="6"/>
  <c r="HD13" i="6" s="1"/>
  <c r="DE13" i="6"/>
  <c r="DF13" i="6" s="1"/>
  <c r="DA13" i="6"/>
  <c r="DB13" i="6" s="1"/>
  <c r="CZ13" i="6"/>
  <c r="CX13" i="6"/>
  <c r="CW13" i="6"/>
  <c r="HT13" i="6" s="1"/>
  <c r="CT13" i="6"/>
  <c r="CS13" i="6"/>
  <c r="CP13" i="6"/>
  <c r="CO13" i="6"/>
  <c r="CL13" i="6"/>
  <c r="CK13" i="6"/>
  <c r="CG13" i="6"/>
  <c r="CF13" i="6"/>
  <c r="HG13" i="6" s="1"/>
  <c r="CC13" i="6"/>
  <c r="CB13" i="6"/>
  <c r="CD13" i="6" s="1"/>
  <c r="BZ13" i="6"/>
  <c r="BY13" i="6"/>
  <c r="BV13" i="6"/>
  <c r="BU13" i="6"/>
  <c r="BR13" i="6"/>
  <c r="BQ13" i="6"/>
  <c r="BN13" i="6"/>
  <c r="BM13" i="6"/>
  <c r="BJ13" i="6"/>
  <c r="BI13" i="6"/>
  <c r="HL13" i="6" s="1"/>
  <c r="BF13" i="6"/>
  <c r="BE13" i="6"/>
  <c r="BB13" i="6"/>
  <c r="BA13" i="6"/>
  <c r="AX13" i="6"/>
  <c r="AW13" i="6"/>
  <c r="AT13" i="6"/>
  <c r="AS13" i="6"/>
  <c r="AP13" i="6"/>
  <c r="AO13" i="6"/>
  <c r="AL13" i="6"/>
  <c r="AK13" i="6"/>
  <c r="AH13" i="6"/>
  <c r="AG13" i="6"/>
  <c r="AD13" i="6"/>
  <c r="AC13" i="6"/>
  <c r="Z13" i="6"/>
  <c r="Y13" i="6"/>
  <c r="V13" i="6"/>
  <c r="U13" i="6"/>
  <c r="R13" i="6"/>
  <c r="Q13" i="6"/>
  <c r="N13" i="6"/>
  <c r="M13" i="6"/>
  <c r="J13" i="6"/>
  <c r="I13" i="6"/>
  <c r="F13" i="6"/>
  <c r="E13" i="6"/>
  <c r="IJ12" i="6"/>
  <c r="II12" i="6"/>
  <c r="IK12" i="6" s="1"/>
  <c r="HS12" i="6"/>
  <c r="HU12" i="6" s="1"/>
  <c r="HO12" i="6"/>
  <c r="GZ12" i="6"/>
  <c r="GY12" i="6"/>
  <c r="HA12" i="6" s="1"/>
  <c r="GW12" i="6"/>
  <c r="GV12" i="6"/>
  <c r="GU12" i="6"/>
  <c r="IA12" i="6" s="1"/>
  <c r="IC12" i="6" s="1"/>
  <c r="GR12" i="6"/>
  <c r="GS12" i="6" s="1"/>
  <c r="GQ12" i="6"/>
  <c r="GN12" i="6"/>
  <c r="GM12" i="6"/>
  <c r="GO12" i="6" s="1"/>
  <c r="GJ12" i="6"/>
  <c r="GI12" i="6"/>
  <c r="GK12" i="6" s="1"/>
  <c r="GG12" i="6"/>
  <c r="GF12" i="6"/>
  <c r="GE12" i="6"/>
  <c r="GB12" i="6"/>
  <c r="GC12" i="6" s="1"/>
  <c r="GA12" i="6"/>
  <c r="FX12" i="6"/>
  <c r="FW12" i="6"/>
  <c r="FY12" i="6" s="1"/>
  <c r="FT12" i="6"/>
  <c r="FS12" i="6"/>
  <c r="FU12" i="6" s="1"/>
  <c r="FQ12" i="6"/>
  <c r="FP12" i="6"/>
  <c r="FO12" i="6"/>
  <c r="FL12" i="6"/>
  <c r="IF12" i="6" s="1"/>
  <c r="FK12" i="6"/>
  <c r="FI12" i="6"/>
  <c r="FH12" i="6"/>
  <c r="FJ12" i="6" s="1"/>
  <c r="FE12" i="6"/>
  <c r="IB12" i="6" s="1"/>
  <c r="FD12" i="6"/>
  <c r="FF12" i="6" s="1"/>
  <c r="FB12" i="6"/>
  <c r="FA12" i="6"/>
  <c r="EZ12" i="6"/>
  <c r="EW12" i="6"/>
  <c r="EX12" i="6" s="1"/>
  <c r="EV12" i="6"/>
  <c r="ES12" i="6"/>
  <c r="ER12" i="6"/>
  <c r="ET12" i="6" s="1"/>
  <c r="EO12" i="6"/>
  <c r="EN12" i="6"/>
  <c r="EP12" i="6" s="1"/>
  <c r="EL12" i="6"/>
  <c r="EK12" i="6"/>
  <c r="EJ12" i="6"/>
  <c r="EG12" i="6"/>
  <c r="EH12" i="6" s="1"/>
  <c r="EF12" i="6"/>
  <c r="HW12" i="6" s="1"/>
  <c r="EC12" i="6"/>
  <c r="EB12" i="6"/>
  <c r="ED12" i="6" s="1"/>
  <c r="DY12" i="6"/>
  <c r="DX12" i="6"/>
  <c r="DZ12" i="6" s="1"/>
  <c r="DV12" i="6"/>
  <c r="DU12" i="6"/>
  <c r="DR12" i="6"/>
  <c r="DQ12" i="6"/>
  <c r="DN12" i="6"/>
  <c r="DM12" i="6"/>
  <c r="DL12" i="6"/>
  <c r="HK12" i="6" s="1"/>
  <c r="DI12" i="6"/>
  <c r="HD12" i="6" s="1"/>
  <c r="DE12" i="6"/>
  <c r="DF12" i="6" s="1"/>
  <c r="DA12" i="6"/>
  <c r="DB12" i="6" s="1"/>
  <c r="CZ12" i="6"/>
  <c r="CX12" i="6"/>
  <c r="CW12" i="6"/>
  <c r="HT12" i="6" s="1"/>
  <c r="CT12" i="6"/>
  <c r="CS12" i="6"/>
  <c r="CP12" i="6"/>
  <c r="CO12" i="6"/>
  <c r="CL12" i="6"/>
  <c r="CK12" i="6"/>
  <c r="CG12" i="6"/>
  <c r="CF12" i="6"/>
  <c r="HG12" i="6" s="1"/>
  <c r="CC12" i="6"/>
  <c r="CD12" i="6" s="1"/>
  <c r="BY12" i="6"/>
  <c r="BZ12" i="6" s="1"/>
  <c r="BU12" i="6"/>
  <c r="BV12" i="6" s="1"/>
  <c r="BQ12" i="6"/>
  <c r="BR12" i="6" s="1"/>
  <c r="BM12" i="6"/>
  <c r="BN12" i="6" s="1"/>
  <c r="BI12" i="6"/>
  <c r="HL12" i="6" s="1"/>
  <c r="BE12" i="6"/>
  <c r="BF12" i="6" s="1"/>
  <c r="BA12" i="6"/>
  <c r="BB12" i="6" s="1"/>
  <c r="AW12" i="6"/>
  <c r="AX12" i="6" s="1"/>
  <c r="AS12" i="6"/>
  <c r="AT12" i="6" s="1"/>
  <c r="AO12" i="6"/>
  <c r="AP12" i="6" s="1"/>
  <c r="AK12" i="6"/>
  <c r="AL12" i="6" s="1"/>
  <c r="AG12" i="6"/>
  <c r="AH12" i="6" s="1"/>
  <c r="AC12" i="6"/>
  <c r="AD12" i="6" s="1"/>
  <c r="Y12" i="6"/>
  <c r="Z12" i="6" s="1"/>
  <c r="U12" i="6"/>
  <c r="V12" i="6" s="1"/>
  <c r="Q12" i="6"/>
  <c r="R12" i="6" s="1"/>
  <c r="M12" i="6"/>
  <c r="HP12" i="6" s="1"/>
  <c r="I12" i="6"/>
  <c r="J12" i="6" s="1"/>
  <c r="E12" i="6"/>
  <c r="F12" i="6" s="1"/>
  <c r="II11" i="6"/>
  <c r="IK11" i="6" s="1"/>
  <c r="HO11" i="6"/>
  <c r="HA11" i="6"/>
  <c r="GZ11" i="6"/>
  <c r="GY11" i="6"/>
  <c r="GV11" i="6"/>
  <c r="GW11" i="6" s="1"/>
  <c r="GU11" i="6"/>
  <c r="GR11" i="6"/>
  <c r="GQ11" i="6"/>
  <c r="GS11" i="6" s="1"/>
  <c r="GN11" i="6"/>
  <c r="GM11" i="6"/>
  <c r="GO11" i="6" s="1"/>
  <c r="GK11" i="6"/>
  <c r="GJ11" i="6"/>
  <c r="GI11" i="6"/>
  <c r="GF11" i="6"/>
  <c r="GG11" i="6" s="1"/>
  <c r="GE11" i="6"/>
  <c r="GB11" i="6"/>
  <c r="GA11" i="6"/>
  <c r="GC11" i="6" s="1"/>
  <c r="FX11" i="6"/>
  <c r="FW11" i="6"/>
  <c r="FY11" i="6" s="1"/>
  <c r="FU11" i="6"/>
  <c r="FT11" i="6"/>
  <c r="FS11" i="6"/>
  <c r="FP11" i="6"/>
  <c r="FQ11" i="6" s="1"/>
  <c r="FO11" i="6"/>
  <c r="FL11" i="6"/>
  <c r="IF11" i="6" s="1"/>
  <c r="FK11" i="6"/>
  <c r="IE11" i="6" s="1"/>
  <c r="FI11" i="6"/>
  <c r="FH11" i="6"/>
  <c r="FJ11" i="6" s="1"/>
  <c r="FF11" i="6"/>
  <c r="FE11" i="6"/>
  <c r="FD11" i="6"/>
  <c r="IA11" i="6" s="1"/>
  <c r="FA11" i="6"/>
  <c r="FB11" i="6" s="1"/>
  <c r="EZ11" i="6"/>
  <c r="EW11" i="6"/>
  <c r="EV11" i="6"/>
  <c r="EX11" i="6" s="1"/>
  <c r="ES11" i="6"/>
  <c r="ER11" i="6"/>
  <c r="ET11" i="6" s="1"/>
  <c r="EP11" i="6"/>
  <c r="EO11" i="6"/>
  <c r="EN11" i="6"/>
  <c r="HS11" i="6" s="1"/>
  <c r="HU11" i="6" s="1"/>
  <c r="EK11" i="6"/>
  <c r="IJ11" i="6" s="1"/>
  <c r="EJ11" i="6"/>
  <c r="EG11" i="6"/>
  <c r="HX11" i="6" s="1"/>
  <c r="EF11" i="6"/>
  <c r="EH11" i="6" s="1"/>
  <c r="EC11" i="6"/>
  <c r="EB11" i="6"/>
  <c r="ED11" i="6" s="1"/>
  <c r="DZ11" i="6"/>
  <c r="DY11" i="6"/>
  <c r="DX11" i="6"/>
  <c r="DU11" i="6"/>
  <c r="DV11" i="6" s="1"/>
  <c r="DQ11" i="6"/>
  <c r="DR11" i="6" s="1"/>
  <c r="DM11" i="6"/>
  <c r="DN11" i="6" s="1"/>
  <c r="DL11" i="6"/>
  <c r="DJ11" i="6"/>
  <c r="DI11" i="6"/>
  <c r="DF11" i="6"/>
  <c r="DE11" i="6"/>
  <c r="DA11" i="6"/>
  <c r="CZ11" i="6"/>
  <c r="DB11" i="6" s="1"/>
  <c r="CW11" i="6"/>
  <c r="CX11" i="6" s="1"/>
  <c r="CS11" i="6"/>
  <c r="CT11" i="6" s="1"/>
  <c r="CO11" i="6"/>
  <c r="CP11" i="6" s="1"/>
  <c r="CK11" i="6"/>
  <c r="HT11" i="6" s="1"/>
  <c r="CG11" i="6"/>
  <c r="CF11" i="6"/>
  <c r="CH11" i="6" s="1"/>
  <c r="CD11" i="6"/>
  <c r="CC11" i="6"/>
  <c r="CB11" i="6"/>
  <c r="HK11" i="6" s="1"/>
  <c r="BY11" i="6"/>
  <c r="BZ11" i="6" s="1"/>
  <c r="BU11" i="6"/>
  <c r="BV11" i="6" s="1"/>
  <c r="BQ11" i="6"/>
  <c r="BR11" i="6" s="1"/>
  <c r="BM11" i="6"/>
  <c r="BN11" i="6" s="1"/>
  <c r="BI11" i="6"/>
  <c r="BJ11" i="6" s="1"/>
  <c r="BE11" i="6"/>
  <c r="BF11" i="6" s="1"/>
  <c r="BA11" i="6"/>
  <c r="BB11" i="6" s="1"/>
  <c r="AW11" i="6"/>
  <c r="AX11" i="6" s="1"/>
  <c r="AS11" i="6"/>
  <c r="AT11" i="6" s="1"/>
  <c r="AO11" i="6"/>
  <c r="AP11" i="6" s="1"/>
  <c r="AK11" i="6"/>
  <c r="AL11" i="6" s="1"/>
  <c r="AG11" i="6"/>
  <c r="AH11" i="6" s="1"/>
  <c r="AC11" i="6"/>
  <c r="AD11" i="6" s="1"/>
  <c r="Y11" i="6"/>
  <c r="Z11" i="6" s="1"/>
  <c r="U11" i="6"/>
  <c r="V11" i="6" s="1"/>
  <c r="Q11" i="6"/>
  <c r="R11" i="6" s="1"/>
  <c r="M11" i="6"/>
  <c r="HP11" i="6" s="1"/>
  <c r="HQ11" i="6" s="1"/>
  <c r="I11" i="6"/>
  <c r="J11" i="6" s="1"/>
  <c r="E11" i="6"/>
  <c r="HD11" i="6" s="1"/>
  <c r="II10" i="6"/>
  <c r="IK10" i="6" s="1"/>
  <c r="HO10" i="6"/>
  <c r="HA10" i="6"/>
  <c r="GZ10" i="6"/>
  <c r="GY10" i="6"/>
  <c r="GV10" i="6"/>
  <c r="GW10" i="6" s="1"/>
  <c r="GU10" i="6"/>
  <c r="GR10" i="6"/>
  <c r="GQ10" i="6"/>
  <c r="GS10" i="6" s="1"/>
  <c r="GN10" i="6"/>
  <c r="GM10" i="6"/>
  <c r="GO10" i="6" s="1"/>
  <c r="GK10" i="6"/>
  <c r="GJ10" i="6"/>
  <c r="GI10" i="6"/>
  <c r="GF10" i="6"/>
  <c r="GG10" i="6" s="1"/>
  <c r="GE10" i="6"/>
  <c r="GB10" i="6"/>
  <c r="GA10" i="6"/>
  <c r="GC10" i="6" s="1"/>
  <c r="FX10" i="6"/>
  <c r="FW10" i="6"/>
  <c r="FY10" i="6" s="1"/>
  <c r="FU10" i="6"/>
  <c r="FT10" i="6"/>
  <c r="FS10" i="6"/>
  <c r="FP10" i="6"/>
  <c r="FQ10" i="6" s="1"/>
  <c r="FO10" i="6"/>
  <c r="FL10" i="6"/>
  <c r="IF10" i="6" s="1"/>
  <c r="FK10" i="6"/>
  <c r="IE10" i="6" s="1"/>
  <c r="FI10" i="6"/>
  <c r="FH10" i="6"/>
  <c r="FJ10" i="6" s="1"/>
  <c r="FF10" i="6"/>
  <c r="FE10" i="6"/>
  <c r="FD10" i="6"/>
  <c r="IA10" i="6" s="1"/>
  <c r="FA10" i="6"/>
  <c r="FB10" i="6" s="1"/>
  <c r="EZ10" i="6"/>
  <c r="EW10" i="6"/>
  <c r="EV10" i="6"/>
  <c r="EX10" i="6" s="1"/>
  <c r="ES10" i="6"/>
  <c r="ER10" i="6"/>
  <c r="ET10" i="6" s="1"/>
  <c r="EP10" i="6"/>
  <c r="EO10" i="6"/>
  <c r="EN10" i="6"/>
  <c r="HS10" i="6" s="1"/>
  <c r="HU10" i="6" s="1"/>
  <c r="EK10" i="6"/>
  <c r="IJ10" i="6" s="1"/>
  <c r="EJ10" i="6"/>
  <c r="EG10" i="6"/>
  <c r="HX10" i="6" s="1"/>
  <c r="EF10" i="6"/>
  <c r="EH10" i="6" s="1"/>
  <c r="EC10" i="6"/>
  <c r="EB10" i="6"/>
  <c r="ED10" i="6" s="1"/>
  <c r="DZ10" i="6"/>
  <c r="DY10" i="6"/>
  <c r="DX10" i="6"/>
  <c r="DU10" i="6"/>
  <c r="DV10" i="6" s="1"/>
  <c r="DQ10" i="6"/>
  <c r="DR10" i="6" s="1"/>
  <c r="DM10" i="6"/>
  <c r="DN10" i="6" s="1"/>
  <c r="DL10" i="6"/>
  <c r="DJ10" i="6"/>
  <c r="DI10" i="6"/>
  <c r="DF10" i="6"/>
  <c r="DE10" i="6"/>
  <c r="DA10" i="6"/>
  <c r="CZ10" i="6"/>
  <c r="HK10" i="6" s="1"/>
  <c r="CW10" i="6"/>
  <c r="CX10" i="6" s="1"/>
  <c r="CS10" i="6"/>
  <c r="CT10" i="6" s="1"/>
  <c r="CO10" i="6"/>
  <c r="CP10" i="6" s="1"/>
  <c r="CK10" i="6"/>
  <c r="HT10" i="6" s="1"/>
  <c r="CG10" i="6"/>
  <c r="HD10" i="6" s="1"/>
  <c r="CF10" i="6"/>
  <c r="CH10" i="6" s="1"/>
  <c r="CD10" i="6"/>
  <c r="CC10" i="6"/>
  <c r="BZ10" i="6"/>
  <c r="BY10" i="6"/>
  <c r="BV10" i="6"/>
  <c r="BU10" i="6"/>
  <c r="BR10" i="6"/>
  <c r="BQ10" i="6"/>
  <c r="BN10" i="6"/>
  <c r="BM10" i="6"/>
  <c r="BJ10" i="6"/>
  <c r="BI10" i="6"/>
  <c r="BF10" i="6"/>
  <c r="BE10" i="6"/>
  <c r="BB10" i="6"/>
  <c r="BA10" i="6"/>
  <c r="AX10" i="6"/>
  <c r="AW10" i="6"/>
  <c r="AT10" i="6"/>
  <c r="AS10" i="6"/>
  <c r="AP10" i="6"/>
  <c r="AO10" i="6"/>
  <c r="AL10" i="6"/>
  <c r="AK10" i="6"/>
  <c r="AH10" i="6"/>
  <c r="AG10" i="6"/>
  <c r="AD10" i="6"/>
  <c r="AC10" i="6"/>
  <c r="Z10" i="6"/>
  <c r="Y10" i="6"/>
  <c r="V10" i="6"/>
  <c r="U10" i="6"/>
  <c r="R10" i="6"/>
  <c r="Q10" i="6"/>
  <c r="N10" i="6"/>
  <c r="M10" i="6"/>
  <c r="HP10" i="6" s="1"/>
  <c r="HQ10" i="6" s="1"/>
  <c r="J10" i="6"/>
  <c r="I10" i="6"/>
  <c r="F10" i="6"/>
  <c r="E10" i="6"/>
  <c r="HH10" i="6" s="1"/>
  <c r="HP9" i="6"/>
  <c r="HQ9" i="6" s="1"/>
  <c r="HO9" i="6"/>
  <c r="GZ9" i="6"/>
  <c r="HA9" i="6" s="1"/>
  <c r="GY9" i="6"/>
  <c r="GV9" i="6"/>
  <c r="GU9" i="6"/>
  <c r="GW9" i="6" s="1"/>
  <c r="GR9" i="6"/>
  <c r="GQ9" i="6"/>
  <c r="GS9" i="6" s="1"/>
  <c r="GO9" i="6"/>
  <c r="GN9" i="6"/>
  <c r="GM9" i="6"/>
  <c r="GJ9" i="6"/>
  <c r="GK9" i="6" s="1"/>
  <c r="GI9" i="6"/>
  <c r="GF9" i="6"/>
  <c r="GE9" i="6"/>
  <c r="GG9" i="6" s="1"/>
  <c r="GB9" i="6"/>
  <c r="GA9" i="6"/>
  <c r="GC9" i="6" s="1"/>
  <c r="FY9" i="6"/>
  <c r="FX9" i="6"/>
  <c r="FW9" i="6"/>
  <c r="FT9" i="6"/>
  <c r="FU9" i="6" s="1"/>
  <c r="FS9" i="6"/>
  <c r="FP9" i="6"/>
  <c r="FO9" i="6"/>
  <c r="FQ9" i="6" s="1"/>
  <c r="FL9" i="6"/>
  <c r="FK9" i="6"/>
  <c r="IE9" i="6" s="1"/>
  <c r="FJ9" i="6"/>
  <c r="FI9" i="6"/>
  <c r="FH9" i="6"/>
  <c r="FE9" i="6"/>
  <c r="IB9" i="6" s="1"/>
  <c r="FD9" i="6"/>
  <c r="FA9" i="6"/>
  <c r="EZ9" i="6"/>
  <c r="HS9" i="6" s="1"/>
  <c r="EW9" i="6"/>
  <c r="EV9" i="6"/>
  <c r="EX9" i="6" s="1"/>
  <c r="ET9" i="6"/>
  <c r="ES9" i="6"/>
  <c r="ER9" i="6"/>
  <c r="EO9" i="6"/>
  <c r="EP9" i="6" s="1"/>
  <c r="EN9" i="6"/>
  <c r="EK9" i="6"/>
  <c r="IJ9" i="6" s="1"/>
  <c r="EJ9" i="6"/>
  <c r="II9" i="6" s="1"/>
  <c r="EG9" i="6"/>
  <c r="HX9" i="6" s="1"/>
  <c r="EF9" i="6"/>
  <c r="EH9" i="6" s="1"/>
  <c r="ED9" i="6"/>
  <c r="EC9" i="6"/>
  <c r="EB9" i="6"/>
  <c r="DY9" i="6"/>
  <c r="DZ9" i="6" s="1"/>
  <c r="DX9" i="6"/>
  <c r="DV9" i="6"/>
  <c r="DU9" i="6"/>
  <c r="DR9" i="6"/>
  <c r="DQ9" i="6"/>
  <c r="DM9" i="6"/>
  <c r="DL9" i="6"/>
  <c r="DN9" i="6" s="1"/>
  <c r="DI9" i="6"/>
  <c r="HD9" i="6" s="1"/>
  <c r="DE9" i="6"/>
  <c r="HH9" i="6" s="1"/>
  <c r="DA9" i="6"/>
  <c r="CZ9" i="6"/>
  <c r="DB9" i="6" s="1"/>
  <c r="CX9" i="6"/>
  <c r="CW9" i="6"/>
  <c r="CT9" i="6"/>
  <c r="CS9" i="6"/>
  <c r="CP9" i="6"/>
  <c r="CO9" i="6"/>
  <c r="CL9" i="6"/>
  <c r="CK9" i="6"/>
  <c r="HT9" i="6" s="1"/>
  <c r="CH9" i="6"/>
  <c r="CG9" i="6"/>
  <c r="CF9" i="6"/>
  <c r="HC9" i="6" s="1"/>
  <c r="CC9" i="6"/>
  <c r="CD9" i="6" s="1"/>
  <c r="CB9" i="6"/>
  <c r="BZ9" i="6"/>
  <c r="BY9" i="6"/>
  <c r="BV9" i="6"/>
  <c r="BU9" i="6"/>
  <c r="BR9" i="6"/>
  <c r="BQ9" i="6"/>
  <c r="BN9" i="6"/>
  <c r="BM9" i="6"/>
  <c r="BJ9" i="6"/>
  <c r="BI9" i="6"/>
  <c r="HL9" i="6" s="1"/>
  <c r="BF9" i="6"/>
  <c r="BE9" i="6"/>
  <c r="BB9" i="6"/>
  <c r="BA9" i="6"/>
  <c r="AX9" i="6"/>
  <c r="AW9" i="6"/>
  <c r="AT9" i="6"/>
  <c r="AS9" i="6"/>
  <c r="AP9" i="6"/>
  <c r="AO9" i="6"/>
  <c r="AL9" i="6"/>
  <c r="AK9" i="6"/>
  <c r="AH9" i="6"/>
  <c r="AG9" i="6"/>
  <c r="AD9" i="6"/>
  <c r="AC9" i="6"/>
  <c r="Z9" i="6"/>
  <c r="Y9" i="6"/>
  <c r="V9" i="6"/>
  <c r="U9" i="6"/>
  <c r="R9" i="6"/>
  <c r="Q9" i="6"/>
  <c r="N9" i="6"/>
  <c r="M9" i="6"/>
  <c r="J9" i="6"/>
  <c r="I9" i="6"/>
  <c r="F9" i="6"/>
  <c r="E9" i="6"/>
  <c r="HP8" i="6"/>
  <c r="HQ8" i="6" s="1"/>
  <c r="HO8" i="6"/>
  <c r="GZ8" i="6"/>
  <c r="HA8" i="6" s="1"/>
  <c r="GY8" i="6"/>
  <c r="GV8" i="6"/>
  <c r="GU8" i="6"/>
  <c r="GW8" i="6" s="1"/>
  <c r="GR8" i="6"/>
  <c r="GQ8" i="6"/>
  <c r="GS8" i="6" s="1"/>
  <c r="GO8" i="6"/>
  <c r="GN8" i="6"/>
  <c r="GM8" i="6"/>
  <c r="GJ8" i="6"/>
  <c r="GK8" i="6" s="1"/>
  <c r="GI8" i="6"/>
  <c r="GF8" i="6"/>
  <c r="GE8" i="6"/>
  <c r="GG8" i="6" s="1"/>
  <c r="GB8" i="6"/>
  <c r="GA8" i="6"/>
  <c r="GC8" i="6" s="1"/>
  <c r="FY8" i="6"/>
  <c r="FX8" i="6"/>
  <c r="FW8" i="6"/>
  <c r="FT8" i="6"/>
  <c r="FU8" i="6" s="1"/>
  <c r="FS8" i="6"/>
  <c r="FP8" i="6"/>
  <c r="FO8" i="6"/>
  <c r="FQ8" i="6" s="1"/>
  <c r="FL8" i="6"/>
  <c r="FK8" i="6"/>
  <c r="IE8" i="6" s="1"/>
  <c r="FJ8" i="6"/>
  <c r="FI8" i="6"/>
  <c r="FH8" i="6"/>
  <c r="FE8" i="6"/>
  <c r="IB8" i="6" s="1"/>
  <c r="FD8" i="6"/>
  <c r="FA8" i="6"/>
  <c r="EZ8" i="6"/>
  <c r="HS8" i="6" s="1"/>
  <c r="HU8" i="6" s="1"/>
  <c r="EW8" i="6"/>
  <c r="EV8" i="6"/>
  <c r="EX8" i="6" s="1"/>
  <c r="ET8" i="6"/>
  <c r="ES8" i="6"/>
  <c r="ER8" i="6"/>
  <c r="EO8" i="6"/>
  <c r="EP8" i="6" s="1"/>
  <c r="EN8" i="6"/>
  <c r="EK8" i="6"/>
  <c r="IJ8" i="6" s="1"/>
  <c r="EJ8" i="6"/>
  <c r="II8" i="6" s="1"/>
  <c r="EG8" i="6"/>
  <c r="HX8" i="6" s="1"/>
  <c r="EF8" i="6"/>
  <c r="EH8" i="6" s="1"/>
  <c r="ED8" i="6"/>
  <c r="EC8" i="6"/>
  <c r="EB8" i="6"/>
  <c r="DY8" i="6"/>
  <c r="DZ8" i="6" s="1"/>
  <c r="DX8" i="6"/>
  <c r="DV8" i="6"/>
  <c r="DU8" i="6"/>
  <c r="DR8" i="6"/>
  <c r="DQ8" i="6"/>
  <c r="DM8" i="6"/>
  <c r="DL8" i="6"/>
  <c r="DN8" i="6" s="1"/>
  <c r="DI8" i="6"/>
  <c r="HD8" i="6" s="1"/>
  <c r="DE8" i="6"/>
  <c r="HH8" i="6" s="1"/>
  <c r="DA8" i="6"/>
  <c r="CZ8" i="6"/>
  <c r="DB8" i="6" s="1"/>
  <c r="CX8" i="6"/>
  <c r="CW8" i="6"/>
  <c r="CT8" i="6"/>
  <c r="CS8" i="6"/>
  <c r="CP8" i="6"/>
  <c r="CO8" i="6"/>
  <c r="CL8" i="6"/>
  <c r="CK8" i="6"/>
  <c r="HT8" i="6" s="1"/>
  <c r="CH8" i="6"/>
  <c r="CG8" i="6"/>
  <c r="CF8" i="6"/>
  <c r="HC8" i="6" s="1"/>
  <c r="HE8" i="6" s="1"/>
  <c r="CC8" i="6"/>
  <c r="CD8" i="6" s="1"/>
  <c r="CB8" i="6"/>
  <c r="BZ8" i="6"/>
  <c r="BY8" i="6"/>
  <c r="BV8" i="6"/>
  <c r="BU8" i="6"/>
  <c r="BR8" i="6"/>
  <c r="BQ8" i="6"/>
  <c r="BN8" i="6"/>
  <c r="BM8" i="6"/>
  <c r="BJ8" i="6"/>
  <c r="BI8" i="6"/>
  <c r="HL8" i="6" s="1"/>
  <c r="BF8" i="6"/>
  <c r="BE8" i="6"/>
  <c r="BB8" i="6"/>
  <c r="BA8" i="6"/>
  <c r="AX8" i="6"/>
  <c r="AW8" i="6"/>
  <c r="AT8" i="6"/>
  <c r="AS8" i="6"/>
  <c r="AP8" i="6"/>
  <c r="AO8" i="6"/>
  <c r="AL8" i="6"/>
  <c r="AK8" i="6"/>
  <c r="AH8" i="6"/>
  <c r="AG8" i="6"/>
  <c r="AD8" i="6"/>
  <c r="AC8" i="6"/>
  <c r="Z8" i="6"/>
  <c r="Y8" i="6"/>
  <c r="V8" i="6"/>
  <c r="U8" i="6"/>
  <c r="R8" i="6"/>
  <c r="Q8" i="6"/>
  <c r="N8" i="6"/>
  <c r="M8" i="6"/>
  <c r="J8" i="6"/>
  <c r="I8" i="6"/>
  <c r="F8" i="6"/>
  <c r="E8" i="6"/>
  <c r="HP7" i="6"/>
  <c r="HQ7" i="6" s="1"/>
  <c r="HO7" i="6"/>
  <c r="GZ7" i="6"/>
  <c r="HA7" i="6" s="1"/>
  <c r="GY7" i="6"/>
  <c r="GV7" i="6"/>
  <c r="GU7" i="6"/>
  <c r="GW7" i="6" s="1"/>
  <c r="GR7" i="6"/>
  <c r="GQ7" i="6"/>
  <c r="GS7" i="6" s="1"/>
  <c r="GO7" i="6"/>
  <c r="GN7" i="6"/>
  <c r="GM7" i="6"/>
  <c r="GJ7" i="6"/>
  <c r="GK7" i="6" s="1"/>
  <c r="GI7" i="6"/>
  <c r="GF7" i="6"/>
  <c r="GE7" i="6"/>
  <c r="GG7" i="6" s="1"/>
  <c r="GB7" i="6"/>
  <c r="GA7" i="6"/>
  <c r="GC7" i="6" s="1"/>
  <c r="FY7" i="6"/>
  <c r="FX7" i="6"/>
  <c r="FW7" i="6"/>
  <c r="FT7" i="6"/>
  <c r="FU7" i="6" s="1"/>
  <c r="FS7" i="6"/>
  <c r="FP7" i="6"/>
  <c r="FO7" i="6"/>
  <c r="FQ7" i="6" s="1"/>
  <c r="FL7" i="6"/>
  <c r="FK7" i="6"/>
  <c r="IE7" i="6" s="1"/>
  <c r="FJ7" i="6"/>
  <c r="FI7" i="6"/>
  <c r="FH7" i="6"/>
  <c r="FE7" i="6"/>
  <c r="IB7" i="6" s="1"/>
  <c r="FD7" i="6"/>
  <c r="FA7" i="6"/>
  <c r="EZ7" i="6"/>
  <c r="HS7" i="6" s="1"/>
  <c r="EW7" i="6"/>
  <c r="EV7" i="6"/>
  <c r="EX7" i="6" s="1"/>
  <c r="ET7" i="6"/>
  <c r="ES7" i="6"/>
  <c r="ER7" i="6"/>
  <c r="EO7" i="6"/>
  <c r="EP7" i="6" s="1"/>
  <c r="EN7" i="6"/>
  <c r="EK7" i="6"/>
  <c r="IJ7" i="6" s="1"/>
  <c r="EJ7" i="6"/>
  <c r="II7" i="6" s="1"/>
  <c r="EG7" i="6"/>
  <c r="HX7" i="6" s="1"/>
  <c r="EF7" i="6"/>
  <c r="EH7" i="6" s="1"/>
  <c r="ED7" i="6"/>
  <c r="EC7" i="6"/>
  <c r="EB7" i="6"/>
  <c r="DY7" i="6"/>
  <c r="DZ7" i="6" s="1"/>
  <c r="DX7" i="6"/>
  <c r="DV7" i="6"/>
  <c r="DU7" i="6"/>
  <c r="DR7" i="6"/>
  <c r="DQ7" i="6"/>
  <c r="DM7" i="6"/>
  <c r="DL7" i="6"/>
  <c r="DN7" i="6" s="1"/>
  <c r="DI7" i="6"/>
  <c r="HD7" i="6" s="1"/>
  <c r="DE7" i="6"/>
  <c r="HH7" i="6" s="1"/>
  <c r="DA7" i="6"/>
  <c r="CZ7" i="6"/>
  <c r="DB7" i="6" s="1"/>
  <c r="CX7" i="6"/>
  <c r="CW7" i="6"/>
  <c r="CT7" i="6"/>
  <c r="CS7" i="6"/>
  <c r="CP7" i="6"/>
  <c r="CO7" i="6"/>
  <c r="CL7" i="6"/>
  <c r="CK7" i="6"/>
  <c r="HT7" i="6" s="1"/>
  <c r="CH7" i="6"/>
  <c r="CG7" i="6"/>
  <c r="CF7" i="6"/>
  <c r="HC7" i="6" s="1"/>
  <c r="CC7" i="6"/>
  <c r="CD7" i="6" s="1"/>
  <c r="CB7" i="6"/>
  <c r="BZ7" i="6"/>
  <c r="BY7" i="6"/>
  <c r="BV7" i="6"/>
  <c r="BU7" i="6"/>
  <c r="BR7" i="6"/>
  <c r="BQ7" i="6"/>
  <c r="BN7" i="6"/>
  <c r="BM7" i="6"/>
  <c r="BJ7" i="6"/>
  <c r="BI7" i="6"/>
  <c r="HL7" i="6" s="1"/>
  <c r="BF7" i="6"/>
  <c r="BE7" i="6"/>
  <c r="BB7" i="6"/>
  <c r="BA7" i="6"/>
  <c r="AX7" i="6"/>
  <c r="AW7" i="6"/>
  <c r="AT7" i="6"/>
  <c r="AS7" i="6"/>
  <c r="AP7" i="6"/>
  <c r="AO7" i="6"/>
  <c r="AL7" i="6"/>
  <c r="AK7" i="6"/>
  <c r="AH7" i="6"/>
  <c r="AG7" i="6"/>
  <c r="AD7" i="6"/>
  <c r="AC7" i="6"/>
  <c r="Z7" i="6"/>
  <c r="Y7" i="6"/>
  <c r="V7" i="6"/>
  <c r="U7" i="6"/>
  <c r="R7" i="6"/>
  <c r="Q7" i="6"/>
  <c r="N7" i="6"/>
  <c r="M7" i="6"/>
  <c r="J7" i="6"/>
  <c r="I7" i="6"/>
  <c r="F7" i="6"/>
  <c r="E7" i="6"/>
  <c r="HO6" i="6"/>
  <c r="GZ6" i="6"/>
  <c r="HA6" i="6" s="1"/>
  <c r="GY6" i="6"/>
  <c r="GV6" i="6"/>
  <c r="GU6" i="6"/>
  <c r="GW6" i="6" s="1"/>
  <c r="GR6" i="6"/>
  <c r="GQ6" i="6"/>
  <c r="GS6" i="6" s="1"/>
  <c r="GO6" i="6"/>
  <c r="GN6" i="6"/>
  <c r="GM6" i="6"/>
  <c r="GJ6" i="6"/>
  <c r="GK6" i="6" s="1"/>
  <c r="GI6" i="6"/>
  <c r="GF6" i="6"/>
  <c r="GE6" i="6"/>
  <c r="GG6" i="6" s="1"/>
  <c r="GB6" i="6"/>
  <c r="GA6" i="6"/>
  <c r="GC6" i="6" s="1"/>
  <c r="FY6" i="6"/>
  <c r="FX6" i="6"/>
  <c r="FW6" i="6"/>
  <c r="FT6" i="6"/>
  <c r="FU6" i="6" s="1"/>
  <c r="FS6" i="6"/>
  <c r="FP6" i="6"/>
  <c r="FO6" i="6"/>
  <c r="FQ6" i="6" s="1"/>
  <c r="FL6" i="6"/>
  <c r="FK6" i="6"/>
  <c r="IE6" i="6" s="1"/>
  <c r="FJ6" i="6"/>
  <c r="FI6" i="6"/>
  <c r="FH6" i="6"/>
  <c r="FE6" i="6"/>
  <c r="IB6" i="6" s="1"/>
  <c r="FD6" i="6"/>
  <c r="FA6" i="6"/>
  <c r="EZ6" i="6"/>
  <c r="HS6" i="6" s="1"/>
  <c r="EW6" i="6"/>
  <c r="EV6" i="6"/>
  <c r="EX6" i="6" s="1"/>
  <c r="ET6" i="6"/>
  <c r="ES6" i="6"/>
  <c r="ER6" i="6"/>
  <c r="EO6" i="6"/>
  <c r="EP6" i="6" s="1"/>
  <c r="EN6" i="6"/>
  <c r="EK6" i="6"/>
  <c r="IJ6" i="6" s="1"/>
  <c r="EJ6" i="6"/>
  <c r="II6" i="6" s="1"/>
  <c r="IK6" i="6" s="1"/>
  <c r="EG6" i="6"/>
  <c r="HX6" i="6" s="1"/>
  <c r="EF6" i="6"/>
  <c r="EH6" i="6" s="1"/>
  <c r="ED6" i="6"/>
  <c r="EC6" i="6"/>
  <c r="EB6" i="6"/>
  <c r="DY6" i="6"/>
  <c r="DZ6" i="6" s="1"/>
  <c r="DX6" i="6"/>
  <c r="DV6" i="6"/>
  <c r="DU6" i="6"/>
  <c r="DR6" i="6"/>
  <c r="DQ6" i="6"/>
  <c r="DM6" i="6"/>
  <c r="DL6" i="6"/>
  <c r="DN6" i="6" s="1"/>
  <c r="DI6" i="6"/>
  <c r="HD6" i="6" s="1"/>
  <c r="DE6" i="6"/>
  <c r="DF6" i="6" s="1"/>
  <c r="DA6" i="6"/>
  <c r="CZ6" i="6"/>
  <c r="DB6" i="6" s="1"/>
  <c r="CX6" i="6"/>
  <c r="CW6" i="6"/>
  <c r="CT6" i="6"/>
  <c r="CS6" i="6"/>
  <c r="CP6" i="6"/>
  <c r="CO6" i="6"/>
  <c r="CL6" i="6"/>
  <c r="CK6" i="6"/>
  <c r="HT6" i="6" s="1"/>
  <c r="CH6" i="6"/>
  <c r="CG6" i="6"/>
  <c r="CF6" i="6"/>
  <c r="HG6" i="6" s="1"/>
  <c r="CC6" i="6"/>
  <c r="CD6" i="6" s="1"/>
  <c r="CB6" i="6"/>
  <c r="BZ6" i="6"/>
  <c r="BY6" i="6"/>
  <c r="BV6" i="6"/>
  <c r="BU6" i="6"/>
  <c r="BR6" i="6"/>
  <c r="BQ6" i="6"/>
  <c r="BN6" i="6"/>
  <c r="BM6" i="6"/>
  <c r="BJ6" i="6"/>
  <c r="BI6" i="6"/>
  <c r="HL6" i="6" s="1"/>
  <c r="BF6" i="6"/>
  <c r="BE6" i="6"/>
  <c r="BB6" i="6"/>
  <c r="BA6" i="6"/>
  <c r="AX6" i="6"/>
  <c r="AW6" i="6"/>
  <c r="AT6" i="6"/>
  <c r="AS6" i="6"/>
  <c r="AP6" i="6"/>
  <c r="AO6" i="6"/>
  <c r="AL6" i="6"/>
  <c r="AK6" i="6"/>
  <c r="AH6" i="6"/>
  <c r="AG6" i="6"/>
  <c r="AD6" i="6"/>
  <c r="AC6" i="6"/>
  <c r="Z6" i="6"/>
  <c r="Y6" i="6"/>
  <c r="X6" i="6"/>
  <c r="X72" i="6" s="1"/>
  <c r="U6" i="6"/>
  <c r="V6" i="6" s="1"/>
  <c r="Q6" i="6"/>
  <c r="R6" i="6" s="1"/>
  <c r="M6" i="6"/>
  <c r="N6" i="6" s="1"/>
  <c r="I6" i="6"/>
  <c r="J6" i="6" s="1"/>
  <c r="E6" i="6"/>
  <c r="HH6" i="6" s="1"/>
  <c r="II5" i="6"/>
  <c r="IK5" i="6" s="1"/>
  <c r="HO5" i="6"/>
  <c r="HA5" i="6"/>
  <c r="GZ5" i="6"/>
  <c r="GY5" i="6"/>
  <c r="GV5" i="6"/>
  <c r="GW5" i="6" s="1"/>
  <c r="GU5" i="6"/>
  <c r="GR5" i="6"/>
  <c r="GQ5" i="6"/>
  <c r="GS5" i="6" s="1"/>
  <c r="GN5" i="6"/>
  <c r="GM5" i="6"/>
  <c r="GO5" i="6" s="1"/>
  <c r="GK5" i="6"/>
  <c r="GJ5" i="6"/>
  <c r="GI5" i="6"/>
  <c r="GF5" i="6"/>
  <c r="GG5" i="6" s="1"/>
  <c r="GE5" i="6"/>
  <c r="GB5" i="6"/>
  <c r="GA5" i="6"/>
  <c r="GC5" i="6" s="1"/>
  <c r="FX5" i="6"/>
  <c r="FW5" i="6"/>
  <c r="FY5" i="6" s="1"/>
  <c r="FU5" i="6"/>
  <c r="FT5" i="6"/>
  <c r="FS5" i="6"/>
  <c r="FP5" i="6"/>
  <c r="FQ5" i="6" s="1"/>
  <c r="FO5" i="6"/>
  <c r="FL5" i="6"/>
  <c r="IF5" i="6" s="1"/>
  <c r="FK5" i="6"/>
  <c r="IE5" i="6" s="1"/>
  <c r="FI5" i="6"/>
  <c r="FH5" i="6"/>
  <c r="FJ5" i="6" s="1"/>
  <c r="FF5" i="6"/>
  <c r="FE5" i="6"/>
  <c r="FD5" i="6"/>
  <c r="IA5" i="6" s="1"/>
  <c r="FA5" i="6"/>
  <c r="FB5" i="6" s="1"/>
  <c r="EZ5" i="6"/>
  <c r="EW5" i="6"/>
  <c r="EV5" i="6"/>
  <c r="EX5" i="6" s="1"/>
  <c r="ES5" i="6"/>
  <c r="ER5" i="6"/>
  <c r="ET5" i="6" s="1"/>
  <c r="EP5" i="6"/>
  <c r="EO5" i="6"/>
  <c r="EN5" i="6"/>
  <c r="HS5" i="6" s="1"/>
  <c r="EK5" i="6"/>
  <c r="IJ5" i="6" s="1"/>
  <c r="EJ5" i="6"/>
  <c r="EG5" i="6"/>
  <c r="HX5" i="6" s="1"/>
  <c r="EF5" i="6"/>
  <c r="EH5" i="6" s="1"/>
  <c r="EC5" i="6"/>
  <c r="EB5" i="6"/>
  <c r="ED5" i="6" s="1"/>
  <c r="DZ5" i="6"/>
  <c r="DY5" i="6"/>
  <c r="DX5" i="6"/>
  <c r="DU5" i="6"/>
  <c r="DV5" i="6" s="1"/>
  <c r="DQ5" i="6"/>
  <c r="DR5" i="6" s="1"/>
  <c r="DM5" i="6"/>
  <c r="DN5" i="6" s="1"/>
  <c r="DL5" i="6"/>
  <c r="DJ5" i="6"/>
  <c r="DI5" i="6"/>
  <c r="DF5" i="6"/>
  <c r="DE5" i="6"/>
  <c r="DA5" i="6"/>
  <c r="CZ5" i="6"/>
  <c r="DB5" i="6" s="1"/>
  <c r="CW5" i="6"/>
  <c r="CX5" i="6" s="1"/>
  <c r="CS5" i="6"/>
  <c r="CT5" i="6" s="1"/>
  <c r="CO5" i="6"/>
  <c r="CP5" i="6" s="1"/>
  <c r="CK5" i="6"/>
  <c r="HT5" i="6" s="1"/>
  <c r="CG5" i="6"/>
  <c r="CF5" i="6"/>
  <c r="CH5" i="6" s="1"/>
  <c r="CD5" i="6"/>
  <c r="CC5" i="6"/>
  <c r="CB5" i="6"/>
  <c r="HK5" i="6" s="1"/>
  <c r="BY5" i="6"/>
  <c r="BZ5" i="6" s="1"/>
  <c r="BU5" i="6"/>
  <c r="BV5" i="6" s="1"/>
  <c r="BQ5" i="6"/>
  <c r="BR5" i="6" s="1"/>
  <c r="BM5" i="6"/>
  <c r="BN5" i="6" s="1"/>
  <c r="BI5" i="6"/>
  <c r="BJ5" i="6" s="1"/>
  <c r="BE5" i="6"/>
  <c r="BF5" i="6" s="1"/>
  <c r="BA5" i="6"/>
  <c r="BB5" i="6" s="1"/>
  <c r="AW5" i="6"/>
  <c r="AX5" i="6" s="1"/>
  <c r="AS5" i="6"/>
  <c r="AT5" i="6" s="1"/>
  <c r="AO5" i="6"/>
  <c r="AP5" i="6" s="1"/>
  <c r="AK5" i="6"/>
  <c r="AL5" i="6" s="1"/>
  <c r="AG5" i="6"/>
  <c r="AH5" i="6" s="1"/>
  <c r="AC5" i="6"/>
  <c r="AD5" i="6" s="1"/>
  <c r="Y5" i="6"/>
  <c r="Z5" i="6" s="1"/>
  <c r="U5" i="6"/>
  <c r="V5" i="6" s="1"/>
  <c r="Q5" i="6"/>
  <c r="R5" i="6" s="1"/>
  <c r="M5" i="6"/>
  <c r="HP5" i="6" s="1"/>
  <c r="HQ5" i="6" s="1"/>
  <c r="I5" i="6"/>
  <c r="J5" i="6" s="1"/>
  <c r="E5" i="6"/>
  <c r="HD5" i="6" s="1"/>
  <c r="HO4" i="6"/>
  <c r="HA4" i="6"/>
  <c r="GZ4" i="6"/>
  <c r="GY4" i="6"/>
  <c r="GV4" i="6"/>
  <c r="GV72" i="6" s="1"/>
  <c r="GU4" i="6"/>
  <c r="GR4" i="6"/>
  <c r="GQ4" i="6"/>
  <c r="GQ72" i="6" s="1"/>
  <c r="GN4" i="6"/>
  <c r="GM4" i="6"/>
  <c r="GK4" i="6"/>
  <c r="GJ4" i="6"/>
  <c r="GI4" i="6"/>
  <c r="GF4" i="6"/>
  <c r="GF72" i="6" s="1"/>
  <c r="GE4" i="6"/>
  <c r="GB4" i="6"/>
  <c r="GA4" i="6"/>
  <c r="GA72" i="6" s="1"/>
  <c r="FX4" i="6"/>
  <c r="FW4" i="6"/>
  <c r="FU4" i="6"/>
  <c r="FT4" i="6"/>
  <c r="FS4" i="6"/>
  <c r="FP4" i="6"/>
  <c r="FP72" i="6" s="1"/>
  <c r="FO4" i="6"/>
  <c r="FL4" i="6"/>
  <c r="FK4" i="6"/>
  <c r="FK72" i="6" s="1"/>
  <c r="FI4" i="6"/>
  <c r="FH4" i="6"/>
  <c r="FF4" i="6"/>
  <c r="FE4" i="6"/>
  <c r="FD4" i="6"/>
  <c r="FA4" i="6"/>
  <c r="FA72" i="6" s="1"/>
  <c r="EZ4" i="6"/>
  <c r="EW4" i="6"/>
  <c r="EV4" i="6"/>
  <c r="EV72" i="6" s="1"/>
  <c r="ES4" i="6"/>
  <c r="ER4" i="6"/>
  <c r="EP4" i="6"/>
  <c r="EO4" i="6"/>
  <c r="EN4" i="6"/>
  <c r="HS4" i="6" s="1"/>
  <c r="EK4" i="6"/>
  <c r="EK72" i="6" s="1"/>
  <c r="EJ4" i="6"/>
  <c r="II4" i="6" s="1"/>
  <c r="EG4" i="6"/>
  <c r="EF4" i="6"/>
  <c r="EF72" i="6" s="1"/>
  <c r="EC4" i="6"/>
  <c r="EB4" i="6"/>
  <c r="ED4" i="6" s="1"/>
  <c r="DZ4" i="6"/>
  <c r="DY4" i="6"/>
  <c r="DX4" i="6"/>
  <c r="DU4" i="6"/>
  <c r="DU72" i="6" s="1"/>
  <c r="DQ4" i="6"/>
  <c r="DM4" i="6"/>
  <c r="DM72" i="6" s="1"/>
  <c r="DL4" i="6"/>
  <c r="DJ4" i="6"/>
  <c r="DI4" i="6"/>
  <c r="DF4" i="6"/>
  <c r="DE4" i="6"/>
  <c r="DA4" i="6"/>
  <c r="CZ4" i="6"/>
  <c r="CZ72" i="6" s="1"/>
  <c r="CW4" i="6"/>
  <c r="CS4" i="6"/>
  <c r="CS72" i="6" s="1"/>
  <c r="CO4" i="6"/>
  <c r="CK4" i="6"/>
  <c r="CK72" i="6" s="1"/>
  <c r="CG4" i="6"/>
  <c r="CF4" i="6"/>
  <c r="CD4" i="6"/>
  <c r="CC4" i="6"/>
  <c r="CB4" i="6"/>
  <c r="HC4" i="6" s="1"/>
  <c r="BY4" i="6"/>
  <c r="BY72" i="6" s="1"/>
  <c r="BU4" i="6"/>
  <c r="BQ4" i="6"/>
  <c r="BQ72" i="6" s="1"/>
  <c r="BM4" i="6"/>
  <c r="BI4" i="6"/>
  <c r="BI72" i="6" s="1"/>
  <c r="BE4" i="6"/>
  <c r="BA4" i="6"/>
  <c r="BA72" i="6" s="1"/>
  <c r="AW4" i="6"/>
  <c r="AS4" i="6"/>
  <c r="AS72" i="6" s="1"/>
  <c r="AO4" i="6"/>
  <c r="AK4" i="6"/>
  <c r="AK72" i="6" s="1"/>
  <c r="AG4" i="6"/>
  <c r="AC4" i="6"/>
  <c r="AC72" i="6" s="1"/>
  <c r="Y4" i="6"/>
  <c r="U4" i="6"/>
  <c r="U72" i="6" s="1"/>
  <c r="Q4" i="6"/>
  <c r="M4" i="6"/>
  <c r="M72" i="6" s="1"/>
  <c r="I4" i="6"/>
  <c r="E4" i="6"/>
  <c r="E72" i="6" s="1"/>
  <c r="EU72" i="5"/>
  <c r="ED72" i="5"/>
  <c r="DT72" i="5"/>
  <c r="DP72" i="5"/>
  <c r="DH72" i="5"/>
  <c r="DD72" i="5"/>
  <c r="CY72" i="5"/>
  <c r="CV72" i="5"/>
  <c r="CU72" i="5"/>
  <c r="CR72" i="5"/>
  <c r="CQ72" i="5"/>
  <c r="CN72" i="5"/>
  <c r="CM72" i="5"/>
  <c r="CJ72" i="5"/>
  <c r="CI72" i="5"/>
  <c r="CE72" i="5"/>
  <c r="CA72" i="5"/>
  <c r="BX72" i="5"/>
  <c r="BW72" i="5"/>
  <c r="BT72" i="5"/>
  <c r="BS72" i="5"/>
  <c r="BP72" i="5"/>
  <c r="BO72" i="5"/>
  <c r="BL72" i="5"/>
  <c r="BK72" i="5"/>
  <c r="BH72" i="5"/>
  <c r="BG72" i="5"/>
  <c r="BD72" i="5"/>
  <c r="BC72" i="5"/>
  <c r="AZ72" i="5"/>
  <c r="AY72" i="5"/>
  <c r="AV72" i="5"/>
  <c r="AU72" i="5"/>
  <c r="AQ72" i="5"/>
  <c r="AN72" i="5"/>
  <c r="AM72" i="5"/>
  <c r="AJ72" i="5"/>
  <c r="AI72" i="5"/>
  <c r="AF72" i="5"/>
  <c r="AE72" i="5"/>
  <c r="AB72" i="5"/>
  <c r="AA72" i="5"/>
  <c r="W72" i="5"/>
  <c r="T72" i="5"/>
  <c r="S72" i="5"/>
  <c r="P72" i="5"/>
  <c r="O72" i="5"/>
  <c r="L72" i="5"/>
  <c r="K72" i="5"/>
  <c r="H72" i="5"/>
  <c r="G72" i="5"/>
  <c r="D72" i="5"/>
  <c r="IF71" i="5"/>
  <c r="HO71" i="5"/>
  <c r="GZ71" i="5"/>
  <c r="GY71" i="5"/>
  <c r="HA71" i="5" s="1"/>
  <c r="GV71" i="5"/>
  <c r="GU71" i="5"/>
  <c r="GR71" i="5"/>
  <c r="GQ71" i="5"/>
  <c r="GS71" i="5" s="1"/>
  <c r="GO71" i="5"/>
  <c r="GN71" i="5"/>
  <c r="GM71" i="5"/>
  <c r="GK71" i="5"/>
  <c r="GJ71" i="5"/>
  <c r="GI71" i="5"/>
  <c r="GF71" i="5"/>
  <c r="GE71" i="5"/>
  <c r="GG71" i="5" s="1"/>
  <c r="GB71" i="5"/>
  <c r="GA71" i="5"/>
  <c r="FX71" i="5"/>
  <c r="FW71" i="5"/>
  <c r="FY71" i="5" s="1"/>
  <c r="FT71" i="5"/>
  <c r="FS71" i="5"/>
  <c r="FU71" i="5" s="1"/>
  <c r="FP71" i="5"/>
  <c r="FO71" i="5"/>
  <c r="FL71" i="5"/>
  <c r="FK71" i="5"/>
  <c r="FJ71" i="5"/>
  <c r="FI71" i="5"/>
  <c r="FH71" i="5"/>
  <c r="FE71" i="5"/>
  <c r="FD71" i="5"/>
  <c r="IA71" i="5" s="1"/>
  <c r="FA71" i="5"/>
  <c r="EZ71" i="5"/>
  <c r="FB71" i="5" s="1"/>
  <c r="EW71" i="5"/>
  <c r="EV71" i="5"/>
  <c r="ES71" i="5"/>
  <c r="ER71" i="5"/>
  <c r="ET71" i="5" s="1"/>
  <c r="EO71" i="5"/>
  <c r="EN71" i="5"/>
  <c r="EK71" i="5"/>
  <c r="IJ71" i="5" s="1"/>
  <c r="EJ71" i="5"/>
  <c r="EG71" i="5"/>
  <c r="EF71" i="5"/>
  <c r="ED71" i="5"/>
  <c r="EC71" i="5"/>
  <c r="EB71" i="5"/>
  <c r="DZ71" i="5"/>
  <c r="DY71" i="5"/>
  <c r="DX71" i="5"/>
  <c r="DU71" i="5"/>
  <c r="DV71" i="5" s="1"/>
  <c r="DR71" i="5"/>
  <c r="DQ71" i="5"/>
  <c r="DM71" i="5"/>
  <c r="DL71" i="5"/>
  <c r="DI71" i="5"/>
  <c r="DE71" i="5"/>
  <c r="DA71" i="5"/>
  <c r="CZ71" i="5"/>
  <c r="DB71" i="5" s="1"/>
  <c r="CW71" i="5"/>
  <c r="CX71" i="5" s="1"/>
  <c r="CT71" i="5"/>
  <c r="CS71" i="5"/>
  <c r="CO71" i="5"/>
  <c r="CP71" i="5" s="1"/>
  <c r="CL71" i="5"/>
  <c r="CK71" i="5"/>
  <c r="CG71" i="5"/>
  <c r="CF71" i="5"/>
  <c r="CC71" i="5"/>
  <c r="CB71" i="5"/>
  <c r="BY71" i="5"/>
  <c r="BZ71" i="5" s="1"/>
  <c r="BV71" i="5"/>
  <c r="BU71" i="5"/>
  <c r="BQ71" i="5"/>
  <c r="BR71" i="5" s="1"/>
  <c r="BN71" i="5"/>
  <c r="BM71" i="5"/>
  <c r="BI71" i="5"/>
  <c r="BF71" i="5"/>
  <c r="BE71" i="5"/>
  <c r="BA71" i="5"/>
  <c r="BB71" i="5" s="1"/>
  <c r="AX71" i="5"/>
  <c r="AW71" i="5"/>
  <c r="AS71" i="5"/>
  <c r="AT71" i="5" s="1"/>
  <c r="AP71" i="5"/>
  <c r="AO71" i="5"/>
  <c r="AK71" i="5"/>
  <c r="AL71" i="5" s="1"/>
  <c r="AH71" i="5"/>
  <c r="AG71" i="5"/>
  <c r="AC71" i="5"/>
  <c r="AD71" i="5" s="1"/>
  <c r="Z71" i="5"/>
  <c r="Y71" i="5"/>
  <c r="U71" i="5"/>
  <c r="V71" i="5" s="1"/>
  <c r="R71" i="5"/>
  <c r="Q71" i="5"/>
  <c r="M71" i="5"/>
  <c r="J71" i="5"/>
  <c r="I71" i="5"/>
  <c r="E71" i="5"/>
  <c r="F71" i="5" s="1"/>
  <c r="HO70" i="5"/>
  <c r="GZ70" i="5"/>
  <c r="GY70" i="5"/>
  <c r="GV70" i="5"/>
  <c r="GU70" i="5"/>
  <c r="GR70" i="5"/>
  <c r="GS70" i="5" s="1"/>
  <c r="GQ70" i="5"/>
  <c r="GN70" i="5"/>
  <c r="GM70" i="5"/>
  <c r="GO70" i="5" s="1"/>
  <c r="GJ70" i="5"/>
  <c r="GI70" i="5"/>
  <c r="GF70" i="5"/>
  <c r="GE70" i="5"/>
  <c r="GG70" i="5" s="1"/>
  <c r="GB70" i="5"/>
  <c r="GA70" i="5"/>
  <c r="FX70" i="5"/>
  <c r="FW70" i="5"/>
  <c r="FY70" i="5" s="1"/>
  <c r="FT70" i="5"/>
  <c r="FS70" i="5"/>
  <c r="FP70" i="5"/>
  <c r="FO70" i="5"/>
  <c r="FQ70" i="5" s="1"/>
  <c r="FL70" i="5"/>
  <c r="FM70" i="5" s="1"/>
  <c r="FK70" i="5"/>
  <c r="FI70" i="5"/>
  <c r="FJ70" i="5" s="1"/>
  <c r="FH70" i="5"/>
  <c r="FE70" i="5"/>
  <c r="FD70" i="5"/>
  <c r="FF70" i="5" s="1"/>
  <c r="FB70" i="5"/>
  <c r="FA70" i="5"/>
  <c r="EZ70" i="5"/>
  <c r="EW70" i="5"/>
  <c r="EV70" i="5"/>
  <c r="ES70" i="5"/>
  <c r="ER70" i="5"/>
  <c r="ET70" i="5" s="1"/>
  <c r="EO70" i="5"/>
  <c r="EN70" i="5"/>
  <c r="EK70" i="5"/>
  <c r="IJ70" i="5" s="1"/>
  <c r="EJ70" i="5"/>
  <c r="EG70" i="5"/>
  <c r="EF70" i="5"/>
  <c r="EC70" i="5"/>
  <c r="EB70" i="5"/>
  <c r="ED70" i="5" s="1"/>
  <c r="DY70" i="5"/>
  <c r="DX70" i="5"/>
  <c r="DU70" i="5"/>
  <c r="DQ70" i="5"/>
  <c r="DM70" i="5"/>
  <c r="DL70" i="5"/>
  <c r="HK70" i="5" s="1"/>
  <c r="DI70" i="5"/>
  <c r="DE70" i="5"/>
  <c r="DA70" i="5"/>
  <c r="CW70" i="5"/>
  <c r="CS70" i="5"/>
  <c r="CO70" i="5"/>
  <c r="CK70" i="5"/>
  <c r="CG70" i="5"/>
  <c r="CC70" i="5"/>
  <c r="BY70" i="5"/>
  <c r="BU70" i="5"/>
  <c r="BQ70" i="5"/>
  <c r="BM70" i="5"/>
  <c r="BI70" i="5"/>
  <c r="BE70" i="5"/>
  <c r="BA70" i="5"/>
  <c r="AW70" i="5"/>
  <c r="AS70" i="5"/>
  <c r="AO70" i="5"/>
  <c r="AK70" i="5"/>
  <c r="AG70" i="5"/>
  <c r="AC70" i="5"/>
  <c r="Y70" i="5"/>
  <c r="U70" i="5"/>
  <c r="Q70" i="5"/>
  <c r="M70" i="5"/>
  <c r="HP70" i="5" s="1"/>
  <c r="I70" i="5"/>
  <c r="E70" i="5"/>
  <c r="HO69" i="5"/>
  <c r="GZ69" i="5"/>
  <c r="GY69" i="5"/>
  <c r="HA69" i="5" s="1"/>
  <c r="GV69" i="5"/>
  <c r="GW69" i="5" s="1"/>
  <c r="GU69" i="5"/>
  <c r="GR69" i="5"/>
  <c r="GQ69" i="5"/>
  <c r="GS69" i="5" s="1"/>
  <c r="GN69" i="5"/>
  <c r="GM69" i="5"/>
  <c r="GO69" i="5" s="1"/>
  <c r="GJ69" i="5"/>
  <c r="GK69" i="5" s="1"/>
  <c r="GI69" i="5"/>
  <c r="GF69" i="5"/>
  <c r="GE69" i="5"/>
  <c r="GB69" i="5"/>
  <c r="GA69" i="5"/>
  <c r="FX69" i="5"/>
  <c r="FW69" i="5"/>
  <c r="FT69" i="5"/>
  <c r="FS69" i="5"/>
  <c r="FP69" i="5"/>
  <c r="FO69" i="5"/>
  <c r="FM69" i="5"/>
  <c r="FL69" i="5"/>
  <c r="FK69" i="5"/>
  <c r="FI69" i="5"/>
  <c r="FH69" i="5"/>
  <c r="FJ69" i="5" s="1"/>
  <c r="FE69" i="5"/>
  <c r="FD69" i="5"/>
  <c r="FF69" i="5" s="1"/>
  <c r="FA69" i="5"/>
  <c r="FB69" i="5" s="1"/>
  <c r="EZ69" i="5"/>
  <c r="EW69" i="5"/>
  <c r="EV69" i="5"/>
  <c r="EX69" i="5" s="1"/>
  <c r="ES69" i="5"/>
  <c r="ER69" i="5"/>
  <c r="EO69" i="5"/>
  <c r="EN69" i="5"/>
  <c r="EK69" i="5"/>
  <c r="EL69" i="5" s="1"/>
  <c r="EJ69" i="5"/>
  <c r="II69" i="5" s="1"/>
  <c r="EG69" i="5"/>
  <c r="HX69" i="5" s="1"/>
  <c r="EF69" i="5"/>
  <c r="EC69" i="5"/>
  <c r="EB69" i="5"/>
  <c r="ED69" i="5" s="1"/>
  <c r="DZ69" i="5"/>
  <c r="DY69" i="5"/>
  <c r="DX69" i="5"/>
  <c r="DU69" i="5"/>
  <c r="DV69" i="5" s="1"/>
  <c r="DQ69" i="5"/>
  <c r="DR69" i="5" s="1"/>
  <c r="DM69" i="5"/>
  <c r="DL69" i="5"/>
  <c r="DI69" i="5"/>
  <c r="DJ69" i="5" s="1"/>
  <c r="DF69" i="5"/>
  <c r="DE69" i="5"/>
  <c r="DA69" i="5"/>
  <c r="DB69" i="5" s="1"/>
  <c r="CX69" i="5"/>
  <c r="CW69" i="5"/>
  <c r="CS69" i="5"/>
  <c r="CT69" i="5" s="1"/>
  <c r="CP69" i="5"/>
  <c r="CO69" i="5"/>
  <c r="CK69" i="5"/>
  <c r="CL69" i="5" s="1"/>
  <c r="CG69" i="5"/>
  <c r="CF69" i="5"/>
  <c r="CC69" i="5"/>
  <c r="CB69" i="5"/>
  <c r="BZ69" i="5"/>
  <c r="BY69" i="5"/>
  <c r="BU69" i="5"/>
  <c r="BV69" i="5" s="1"/>
  <c r="BR69" i="5"/>
  <c r="BQ69" i="5"/>
  <c r="BM69" i="5"/>
  <c r="BN69" i="5" s="1"/>
  <c r="BJ69" i="5"/>
  <c r="BI69" i="5"/>
  <c r="BE69" i="5"/>
  <c r="BF69" i="5" s="1"/>
  <c r="BB69" i="5"/>
  <c r="BA69" i="5"/>
  <c r="AW69" i="5"/>
  <c r="AX69" i="5" s="1"/>
  <c r="AT69" i="5"/>
  <c r="AS69" i="5"/>
  <c r="AO69" i="5"/>
  <c r="AP69" i="5" s="1"/>
  <c r="AL69" i="5"/>
  <c r="AK69" i="5"/>
  <c r="AG69" i="5"/>
  <c r="AH69" i="5" s="1"/>
  <c r="AD69" i="5"/>
  <c r="AC69" i="5"/>
  <c r="Y69" i="5"/>
  <c r="Z69" i="5" s="1"/>
  <c r="V69" i="5"/>
  <c r="U69" i="5"/>
  <c r="Q69" i="5"/>
  <c r="R69" i="5" s="1"/>
  <c r="N69" i="5"/>
  <c r="M69" i="5"/>
  <c r="I69" i="5"/>
  <c r="J69" i="5" s="1"/>
  <c r="F69" i="5"/>
  <c r="E69" i="5"/>
  <c r="HS68" i="5"/>
  <c r="HO68" i="5"/>
  <c r="GZ68" i="5"/>
  <c r="GY68" i="5"/>
  <c r="GV68" i="5"/>
  <c r="GU68" i="5"/>
  <c r="GW68" i="5" s="1"/>
  <c r="GR68" i="5"/>
  <c r="GQ68" i="5"/>
  <c r="GN68" i="5"/>
  <c r="GM68" i="5"/>
  <c r="GO68" i="5" s="1"/>
  <c r="GJ68" i="5"/>
  <c r="GI68" i="5"/>
  <c r="GF68" i="5"/>
  <c r="GE68" i="5"/>
  <c r="GB68" i="5"/>
  <c r="GA68" i="5"/>
  <c r="GC68" i="5" s="1"/>
  <c r="FY68" i="5"/>
  <c r="FX68" i="5"/>
  <c r="FW68" i="5"/>
  <c r="FT68" i="5"/>
  <c r="FS68" i="5"/>
  <c r="FU68" i="5" s="1"/>
  <c r="FP68" i="5"/>
  <c r="FO68" i="5"/>
  <c r="FL68" i="5"/>
  <c r="IF68" i="5" s="1"/>
  <c r="FK68" i="5"/>
  <c r="FI68" i="5"/>
  <c r="FH68" i="5"/>
  <c r="FE68" i="5"/>
  <c r="FD68" i="5"/>
  <c r="IA68" i="5" s="1"/>
  <c r="FB68" i="5"/>
  <c r="FA68" i="5"/>
  <c r="EZ68" i="5"/>
  <c r="EW68" i="5"/>
  <c r="EV68" i="5"/>
  <c r="ES68" i="5"/>
  <c r="ER68" i="5"/>
  <c r="ET68" i="5" s="1"/>
  <c r="EO68" i="5"/>
  <c r="EN68" i="5"/>
  <c r="EK68" i="5"/>
  <c r="IJ68" i="5" s="1"/>
  <c r="EJ68" i="5"/>
  <c r="II68" i="5" s="1"/>
  <c r="IK68" i="5" s="1"/>
  <c r="EG68" i="5"/>
  <c r="HX68" i="5" s="1"/>
  <c r="EF68" i="5"/>
  <c r="EC68" i="5"/>
  <c r="EB68" i="5"/>
  <c r="ED68" i="5" s="1"/>
  <c r="DY68" i="5"/>
  <c r="DX68" i="5"/>
  <c r="DU68" i="5"/>
  <c r="DV68" i="5" s="1"/>
  <c r="DR68" i="5"/>
  <c r="DQ68" i="5"/>
  <c r="DM68" i="5"/>
  <c r="DL68" i="5"/>
  <c r="DI68" i="5"/>
  <c r="DE68" i="5"/>
  <c r="DA68" i="5"/>
  <c r="DB68" i="5" s="1"/>
  <c r="CW68" i="5"/>
  <c r="CX68" i="5" s="1"/>
  <c r="CS68" i="5"/>
  <c r="CT68" i="5" s="1"/>
  <c r="CO68" i="5"/>
  <c r="CP68" i="5" s="1"/>
  <c r="CK68" i="5"/>
  <c r="CG68" i="5"/>
  <c r="CF68" i="5"/>
  <c r="CC68" i="5"/>
  <c r="CB68" i="5"/>
  <c r="BY68" i="5"/>
  <c r="BZ68" i="5" s="1"/>
  <c r="BU68" i="5"/>
  <c r="BV68" i="5" s="1"/>
  <c r="BQ68" i="5"/>
  <c r="BR68" i="5" s="1"/>
  <c r="BM68" i="5"/>
  <c r="BN68" i="5" s="1"/>
  <c r="BI68" i="5"/>
  <c r="BE68" i="5"/>
  <c r="BF68" i="5" s="1"/>
  <c r="BA68" i="5"/>
  <c r="BB68" i="5" s="1"/>
  <c r="AW68" i="5"/>
  <c r="AX68" i="5" s="1"/>
  <c r="AS68" i="5"/>
  <c r="AT68" i="5" s="1"/>
  <c r="AO68" i="5"/>
  <c r="AP68" i="5" s="1"/>
  <c r="AK68" i="5"/>
  <c r="AL68" i="5" s="1"/>
  <c r="AG68" i="5"/>
  <c r="AH68" i="5" s="1"/>
  <c r="AC68" i="5"/>
  <c r="AD68" i="5" s="1"/>
  <c r="Y68" i="5"/>
  <c r="Z68" i="5" s="1"/>
  <c r="U68" i="5"/>
  <c r="V68" i="5" s="1"/>
  <c r="Q68" i="5"/>
  <c r="R68" i="5" s="1"/>
  <c r="M68" i="5"/>
  <c r="N68" i="5" s="1"/>
  <c r="I68" i="5"/>
  <c r="J68" i="5" s="1"/>
  <c r="E68" i="5"/>
  <c r="F68" i="5" s="1"/>
  <c r="HO67" i="5"/>
  <c r="HG67" i="5"/>
  <c r="GZ67" i="5"/>
  <c r="GY67" i="5"/>
  <c r="GV67" i="5"/>
  <c r="GU67" i="5"/>
  <c r="GS67" i="5"/>
  <c r="GR67" i="5"/>
  <c r="GQ67" i="5"/>
  <c r="GN67" i="5"/>
  <c r="GM67" i="5"/>
  <c r="GO67" i="5" s="1"/>
  <c r="GJ67" i="5"/>
  <c r="GI67" i="5"/>
  <c r="GK67" i="5" s="1"/>
  <c r="GF67" i="5"/>
  <c r="GE67" i="5"/>
  <c r="GB67" i="5"/>
  <c r="GA67" i="5"/>
  <c r="GC67" i="5" s="1"/>
  <c r="FX67" i="5"/>
  <c r="FW67" i="5"/>
  <c r="FT67" i="5"/>
  <c r="FS67" i="5"/>
  <c r="FP67" i="5"/>
  <c r="FO67" i="5"/>
  <c r="FL67" i="5"/>
  <c r="FK67" i="5"/>
  <c r="FM67" i="5" s="1"/>
  <c r="FI67" i="5"/>
  <c r="FJ67" i="5" s="1"/>
  <c r="FH67" i="5"/>
  <c r="FE67" i="5"/>
  <c r="IB67" i="5" s="1"/>
  <c r="FD67" i="5"/>
  <c r="FA67" i="5"/>
  <c r="EZ67" i="5"/>
  <c r="FB67" i="5" s="1"/>
  <c r="EW67" i="5"/>
  <c r="EV67" i="5"/>
  <c r="ES67" i="5"/>
  <c r="ER67" i="5"/>
  <c r="EO67" i="5"/>
  <c r="EN67" i="5"/>
  <c r="EK67" i="5"/>
  <c r="IJ67" i="5" s="1"/>
  <c r="EJ67" i="5"/>
  <c r="II67" i="5" s="1"/>
  <c r="EH67" i="5"/>
  <c r="EG67" i="5"/>
  <c r="EF67" i="5"/>
  <c r="HW67" i="5" s="1"/>
  <c r="EC67" i="5"/>
  <c r="ED67" i="5" s="1"/>
  <c r="EB67" i="5"/>
  <c r="DY67" i="5"/>
  <c r="DX67" i="5"/>
  <c r="DZ67" i="5" s="1"/>
  <c r="DU67" i="5"/>
  <c r="DV67" i="5" s="1"/>
  <c r="DQ67" i="5"/>
  <c r="DR67" i="5" s="1"/>
  <c r="DM67" i="5"/>
  <c r="DL67" i="5"/>
  <c r="DJ67" i="5"/>
  <c r="DI67" i="5"/>
  <c r="DE67" i="5"/>
  <c r="DF67" i="5" s="1"/>
  <c r="DB67" i="5"/>
  <c r="DA67" i="5"/>
  <c r="CZ67" i="5"/>
  <c r="CW67" i="5"/>
  <c r="CX67" i="5" s="1"/>
  <c r="CS67" i="5"/>
  <c r="CT67" i="5" s="1"/>
  <c r="CO67" i="5"/>
  <c r="CP67" i="5" s="1"/>
  <c r="CK67" i="5"/>
  <c r="CL67" i="5" s="1"/>
  <c r="CG67" i="5"/>
  <c r="CH67" i="5" s="1"/>
  <c r="CC67" i="5"/>
  <c r="CB67" i="5"/>
  <c r="BY67" i="5"/>
  <c r="BZ67" i="5" s="1"/>
  <c r="BV67" i="5"/>
  <c r="BU67" i="5"/>
  <c r="BQ67" i="5"/>
  <c r="BR67" i="5" s="1"/>
  <c r="BN67" i="5"/>
  <c r="BM67" i="5"/>
  <c r="BI67" i="5"/>
  <c r="BJ67" i="5" s="1"/>
  <c r="BF67" i="5"/>
  <c r="BE67" i="5"/>
  <c r="BA67" i="5"/>
  <c r="BB67" i="5" s="1"/>
  <c r="AX67" i="5"/>
  <c r="AW67" i="5"/>
  <c r="AS67" i="5"/>
  <c r="AT67" i="5" s="1"/>
  <c r="AP67" i="5"/>
  <c r="AO67" i="5"/>
  <c r="AK67" i="5"/>
  <c r="AL67" i="5" s="1"/>
  <c r="AH67" i="5"/>
  <c r="AG67" i="5"/>
  <c r="AC67" i="5"/>
  <c r="AD67" i="5" s="1"/>
  <c r="Z67" i="5"/>
  <c r="Y67" i="5"/>
  <c r="U67" i="5"/>
  <c r="V67" i="5" s="1"/>
  <c r="R67" i="5"/>
  <c r="Q67" i="5"/>
  <c r="M67" i="5"/>
  <c r="J67" i="5"/>
  <c r="I67" i="5"/>
  <c r="E67" i="5"/>
  <c r="F67" i="5" s="1"/>
  <c r="HO66" i="5"/>
  <c r="GZ66" i="5"/>
  <c r="GY66" i="5"/>
  <c r="GV66" i="5"/>
  <c r="GU66" i="5"/>
  <c r="GW66" i="5" s="1"/>
  <c r="GR66" i="5"/>
  <c r="GQ66" i="5"/>
  <c r="GS66" i="5" s="1"/>
  <c r="GN66" i="5"/>
  <c r="GM66" i="5"/>
  <c r="GO66" i="5" s="1"/>
  <c r="GJ66" i="5"/>
  <c r="GI66" i="5"/>
  <c r="GF66" i="5"/>
  <c r="GE66" i="5"/>
  <c r="GG66" i="5" s="1"/>
  <c r="GB66" i="5"/>
  <c r="GA66" i="5"/>
  <c r="FX66" i="5"/>
  <c r="FY66" i="5" s="1"/>
  <c r="FW66" i="5"/>
  <c r="FT66" i="5"/>
  <c r="FS66" i="5"/>
  <c r="FU66" i="5" s="1"/>
  <c r="FQ66" i="5"/>
  <c r="FP66" i="5"/>
  <c r="FO66" i="5"/>
  <c r="FL66" i="5"/>
  <c r="IF66" i="5" s="1"/>
  <c r="FK66" i="5"/>
  <c r="IE66" i="5" s="1"/>
  <c r="IG66" i="5" s="1"/>
  <c r="FI66" i="5"/>
  <c r="FH66" i="5"/>
  <c r="FJ66" i="5" s="1"/>
  <c r="FE66" i="5"/>
  <c r="IB66" i="5" s="1"/>
  <c r="FD66" i="5"/>
  <c r="IA66" i="5" s="1"/>
  <c r="IC66" i="5" s="1"/>
  <c r="FA66" i="5"/>
  <c r="EZ66" i="5"/>
  <c r="EW66" i="5"/>
  <c r="EV66" i="5"/>
  <c r="ES66" i="5"/>
  <c r="ER66" i="5"/>
  <c r="ET66" i="5" s="1"/>
  <c r="EO66" i="5"/>
  <c r="EP66" i="5" s="1"/>
  <c r="EN66" i="5"/>
  <c r="EK66" i="5"/>
  <c r="IJ66" i="5" s="1"/>
  <c r="EJ66" i="5"/>
  <c r="II66" i="5" s="1"/>
  <c r="IK66" i="5" s="1"/>
  <c r="EG66" i="5"/>
  <c r="EF66" i="5"/>
  <c r="HW66" i="5" s="1"/>
  <c r="EC66" i="5"/>
  <c r="EB66" i="5"/>
  <c r="DY66" i="5"/>
  <c r="DX66" i="5"/>
  <c r="DV66" i="5"/>
  <c r="DU66" i="5"/>
  <c r="DQ66" i="5"/>
  <c r="DR66" i="5" s="1"/>
  <c r="DM66" i="5"/>
  <c r="DL66" i="5"/>
  <c r="DI66" i="5"/>
  <c r="DE66" i="5"/>
  <c r="DF66" i="5" s="1"/>
  <c r="DA66" i="5"/>
  <c r="CZ66" i="5"/>
  <c r="CW66" i="5"/>
  <c r="CX66" i="5" s="1"/>
  <c r="CS66" i="5"/>
  <c r="CT66" i="5" s="1"/>
  <c r="CO66" i="5"/>
  <c r="CP66" i="5" s="1"/>
  <c r="CK66" i="5"/>
  <c r="CG66" i="5"/>
  <c r="CF66" i="5"/>
  <c r="CH66" i="5" s="1"/>
  <c r="CC66" i="5"/>
  <c r="CB66" i="5"/>
  <c r="BY66" i="5"/>
  <c r="BZ66" i="5" s="1"/>
  <c r="BV66" i="5"/>
  <c r="BU66" i="5"/>
  <c r="BQ66" i="5"/>
  <c r="BR66" i="5" s="1"/>
  <c r="BM66" i="5"/>
  <c r="BN66" i="5" s="1"/>
  <c r="BI66" i="5"/>
  <c r="BJ66" i="5" s="1"/>
  <c r="BE66" i="5"/>
  <c r="BF66" i="5" s="1"/>
  <c r="BA66" i="5"/>
  <c r="BB66" i="5" s="1"/>
  <c r="AW66" i="5"/>
  <c r="AX66" i="5" s="1"/>
  <c r="AS66" i="5"/>
  <c r="AR66" i="5"/>
  <c r="AO66" i="5"/>
  <c r="AP66" i="5" s="1"/>
  <c r="AK66" i="5"/>
  <c r="AL66" i="5" s="1"/>
  <c r="AG66" i="5"/>
  <c r="AH66" i="5" s="1"/>
  <c r="AC66" i="5"/>
  <c r="AD66" i="5" s="1"/>
  <c r="Y66" i="5"/>
  <c r="Z66" i="5" s="1"/>
  <c r="U66" i="5"/>
  <c r="V66" i="5" s="1"/>
  <c r="Q66" i="5"/>
  <c r="R66" i="5" s="1"/>
  <c r="M66" i="5"/>
  <c r="I66" i="5"/>
  <c r="J66" i="5" s="1"/>
  <c r="E66" i="5"/>
  <c r="F66" i="5" s="1"/>
  <c r="HO65" i="5"/>
  <c r="HL65" i="5"/>
  <c r="HA65" i="5"/>
  <c r="GZ65" i="5"/>
  <c r="GY65" i="5"/>
  <c r="GV65" i="5"/>
  <c r="IB65" i="5" s="1"/>
  <c r="GU65" i="5"/>
  <c r="GR65" i="5"/>
  <c r="GQ65" i="5"/>
  <c r="GS65" i="5" s="1"/>
  <c r="GN65" i="5"/>
  <c r="GM65" i="5"/>
  <c r="GJ65" i="5"/>
  <c r="GI65" i="5"/>
  <c r="GK65" i="5" s="1"/>
  <c r="GF65" i="5"/>
  <c r="GE65" i="5"/>
  <c r="GB65" i="5"/>
  <c r="GA65" i="5"/>
  <c r="GC65" i="5" s="1"/>
  <c r="FX65" i="5"/>
  <c r="FY65" i="5" s="1"/>
  <c r="FW65" i="5"/>
  <c r="FT65" i="5"/>
  <c r="FS65" i="5"/>
  <c r="FU65" i="5" s="1"/>
  <c r="FP65" i="5"/>
  <c r="FO65" i="5"/>
  <c r="FQ65" i="5" s="1"/>
  <c r="FL65" i="5"/>
  <c r="FK65" i="5"/>
  <c r="IE65" i="5" s="1"/>
  <c r="FI65" i="5"/>
  <c r="FH65" i="5"/>
  <c r="FE65" i="5"/>
  <c r="FD65" i="5"/>
  <c r="FA65" i="5"/>
  <c r="EZ65" i="5"/>
  <c r="FB65" i="5" s="1"/>
  <c r="EW65" i="5"/>
  <c r="EX65" i="5" s="1"/>
  <c r="EV65" i="5"/>
  <c r="ES65" i="5"/>
  <c r="ER65" i="5"/>
  <c r="ET65" i="5" s="1"/>
  <c r="EP65" i="5"/>
  <c r="EO65" i="5"/>
  <c r="EN65" i="5"/>
  <c r="EK65" i="5"/>
  <c r="IJ65" i="5" s="1"/>
  <c r="EJ65" i="5"/>
  <c r="II65" i="5" s="1"/>
  <c r="IK65" i="5" s="1"/>
  <c r="EG65" i="5"/>
  <c r="EF65" i="5"/>
  <c r="EH65" i="5" s="1"/>
  <c r="EC65" i="5"/>
  <c r="EB65" i="5"/>
  <c r="DY65" i="5"/>
  <c r="DX65" i="5"/>
  <c r="DZ65" i="5" s="1"/>
  <c r="DU65" i="5"/>
  <c r="DV65" i="5" s="1"/>
  <c r="DQ65" i="5"/>
  <c r="DR65" i="5" s="1"/>
  <c r="DM65" i="5"/>
  <c r="DL65" i="5"/>
  <c r="DN65" i="5" s="1"/>
  <c r="DI65" i="5"/>
  <c r="DJ65" i="5" s="1"/>
  <c r="DE65" i="5"/>
  <c r="DF65" i="5" s="1"/>
  <c r="DA65" i="5"/>
  <c r="CZ65" i="5"/>
  <c r="DB65" i="5" s="1"/>
  <c r="CW65" i="5"/>
  <c r="CX65" i="5" s="1"/>
  <c r="CS65" i="5"/>
  <c r="CT65" i="5" s="1"/>
  <c r="CO65" i="5"/>
  <c r="CP65" i="5" s="1"/>
  <c r="CK65" i="5"/>
  <c r="CL65" i="5" s="1"/>
  <c r="CG65" i="5"/>
  <c r="CF65" i="5"/>
  <c r="CC65" i="5"/>
  <c r="CB65" i="5"/>
  <c r="BY65" i="5"/>
  <c r="BZ65" i="5" s="1"/>
  <c r="BU65" i="5"/>
  <c r="BV65" i="5" s="1"/>
  <c r="BQ65" i="5"/>
  <c r="BR65" i="5" s="1"/>
  <c r="BM65" i="5"/>
  <c r="BN65" i="5" s="1"/>
  <c r="BI65" i="5"/>
  <c r="BJ65" i="5" s="1"/>
  <c r="BE65" i="5"/>
  <c r="BF65" i="5" s="1"/>
  <c r="BA65" i="5"/>
  <c r="BB65" i="5" s="1"/>
  <c r="AW65" i="5"/>
  <c r="AX65" i="5" s="1"/>
  <c r="AS65" i="5"/>
  <c r="AT65" i="5" s="1"/>
  <c r="AO65" i="5"/>
  <c r="AP65" i="5" s="1"/>
  <c r="AK65" i="5"/>
  <c r="AL65" i="5" s="1"/>
  <c r="AG65" i="5"/>
  <c r="AH65" i="5" s="1"/>
  <c r="AC65" i="5"/>
  <c r="AD65" i="5" s="1"/>
  <c r="Y65" i="5"/>
  <c r="Z65" i="5" s="1"/>
  <c r="U65" i="5"/>
  <c r="V65" i="5" s="1"/>
  <c r="Q65" i="5"/>
  <c r="R65" i="5" s="1"/>
  <c r="M65" i="5"/>
  <c r="I65" i="5"/>
  <c r="J65" i="5" s="1"/>
  <c r="E65" i="5"/>
  <c r="IJ64" i="5"/>
  <c r="HO64" i="5"/>
  <c r="GZ64" i="5"/>
  <c r="GY64" i="5"/>
  <c r="GV64" i="5"/>
  <c r="GU64" i="5"/>
  <c r="GR64" i="5"/>
  <c r="GQ64" i="5"/>
  <c r="GN64" i="5"/>
  <c r="GM64" i="5"/>
  <c r="GO64" i="5" s="1"/>
  <c r="GK64" i="5"/>
  <c r="GJ64" i="5"/>
  <c r="GI64" i="5"/>
  <c r="GF64" i="5"/>
  <c r="GG64" i="5" s="1"/>
  <c r="GE64" i="5"/>
  <c r="GB64" i="5"/>
  <c r="GA64" i="5"/>
  <c r="GC64" i="5" s="1"/>
  <c r="FX64" i="5"/>
  <c r="FW64" i="5"/>
  <c r="FT64" i="5"/>
  <c r="FS64" i="5"/>
  <c r="FU64" i="5" s="1"/>
  <c r="FP64" i="5"/>
  <c r="FQ64" i="5" s="1"/>
  <c r="FO64" i="5"/>
  <c r="FL64" i="5"/>
  <c r="IF64" i="5" s="1"/>
  <c r="FK64" i="5"/>
  <c r="FI64" i="5"/>
  <c r="FH64" i="5"/>
  <c r="FE64" i="5"/>
  <c r="FD64" i="5"/>
  <c r="FF64" i="5" s="1"/>
  <c r="FA64" i="5"/>
  <c r="EZ64" i="5"/>
  <c r="EW64" i="5"/>
  <c r="EX64" i="5" s="1"/>
  <c r="EV64" i="5"/>
  <c r="ES64" i="5"/>
  <c r="ER64" i="5"/>
  <c r="ET64" i="5" s="1"/>
  <c r="EO64" i="5"/>
  <c r="EN64" i="5"/>
  <c r="EK64" i="5"/>
  <c r="EJ64" i="5"/>
  <c r="II64" i="5" s="1"/>
  <c r="EG64" i="5"/>
  <c r="EF64" i="5"/>
  <c r="EC64" i="5"/>
  <c r="EB64" i="5"/>
  <c r="ED64" i="5" s="1"/>
  <c r="DZ64" i="5"/>
  <c r="DY64" i="5"/>
  <c r="DX64" i="5"/>
  <c r="DU64" i="5"/>
  <c r="DV64" i="5" s="1"/>
  <c r="DQ64" i="5"/>
  <c r="DR64" i="5" s="1"/>
  <c r="DM64" i="5"/>
  <c r="DL64" i="5"/>
  <c r="DI64" i="5"/>
  <c r="DJ64" i="5" s="1"/>
  <c r="DE64" i="5"/>
  <c r="DF64" i="5" s="1"/>
  <c r="DA64" i="5"/>
  <c r="CZ64" i="5"/>
  <c r="DB64" i="5" s="1"/>
  <c r="CW64" i="5"/>
  <c r="CX64" i="5" s="1"/>
  <c r="CS64" i="5"/>
  <c r="CT64" i="5" s="1"/>
  <c r="CO64" i="5"/>
  <c r="CP64" i="5" s="1"/>
  <c r="CK64" i="5"/>
  <c r="CG64" i="5"/>
  <c r="CF64" i="5"/>
  <c r="CH64" i="5" s="1"/>
  <c r="CC64" i="5"/>
  <c r="CD64" i="5" s="1"/>
  <c r="CB64" i="5"/>
  <c r="BY64" i="5"/>
  <c r="BZ64" i="5" s="1"/>
  <c r="BU64" i="5"/>
  <c r="BV64" i="5" s="1"/>
  <c r="BQ64" i="5"/>
  <c r="BR64" i="5" s="1"/>
  <c r="BM64" i="5"/>
  <c r="BN64" i="5" s="1"/>
  <c r="BI64" i="5"/>
  <c r="BJ64" i="5" s="1"/>
  <c r="BE64" i="5"/>
  <c r="BF64" i="5" s="1"/>
  <c r="BA64" i="5"/>
  <c r="BB64" i="5" s="1"/>
  <c r="AW64" i="5"/>
  <c r="AX64" i="5" s="1"/>
  <c r="AS64" i="5"/>
  <c r="AT64" i="5" s="1"/>
  <c r="AO64" i="5"/>
  <c r="AP64" i="5" s="1"/>
  <c r="AK64" i="5"/>
  <c r="AL64" i="5" s="1"/>
  <c r="AG64" i="5"/>
  <c r="AH64" i="5" s="1"/>
  <c r="AC64" i="5"/>
  <c r="AD64" i="5" s="1"/>
  <c r="Y64" i="5"/>
  <c r="Z64" i="5" s="1"/>
  <c r="U64" i="5"/>
  <c r="V64" i="5" s="1"/>
  <c r="Q64" i="5"/>
  <c r="R64" i="5" s="1"/>
  <c r="M64" i="5"/>
  <c r="I64" i="5"/>
  <c r="J64" i="5" s="1"/>
  <c r="E64" i="5"/>
  <c r="HO63" i="5"/>
  <c r="GZ63" i="5"/>
  <c r="GY63" i="5"/>
  <c r="GV63" i="5"/>
  <c r="GU63" i="5"/>
  <c r="GW63" i="5" s="1"/>
  <c r="GS63" i="5"/>
  <c r="GR63" i="5"/>
  <c r="GQ63" i="5"/>
  <c r="GN63" i="5"/>
  <c r="GM63" i="5"/>
  <c r="GJ63" i="5"/>
  <c r="GI63" i="5"/>
  <c r="GF63" i="5"/>
  <c r="GE63" i="5"/>
  <c r="GG63" i="5" s="1"/>
  <c r="GC63" i="5"/>
  <c r="GB63" i="5"/>
  <c r="GA63" i="5"/>
  <c r="FX63" i="5"/>
  <c r="FY63" i="5" s="1"/>
  <c r="FW63" i="5"/>
  <c r="FT63" i="5"/>
  <c r="FS63" i="5"/>
  <c r="FP63" i="5"/>
  <c r="FO63" i="5"/>
  <c r="FL63" i="5"/>
  <c r="FK63" i="5"/>
  <c r="FM63" i="5" s="1"/>
  <c r="FI63" i="5"/>
  <c r="FJ63" i="5" s="1"/>
  <c r="FH63" i="5"/>
  <c r="FE63" i="5"/>
  <c r="IB63" i="5" s="1"/>
  <c r="FD63" i="5"/>
  <c r="FA63" i="5"/>
  <c r="EZ63" i="5"/>
  <c r="EW63" i="5"/>
  <c r="EV63" i="5"/>
  <c r="EX63" i="5" s="1"/>
  <c r="ES63" i="5"/>
  <c r="ER63" i="5"/>
  <c r="EO63" i="5"/>
  <c r="EN63" i="5"/>
  <c r="EK63" i="5"/>
  <c r="IJ63" i="5" s="1"/>
  <c r="EJ63" i="5"/>
  <c r="II63" i="5" s="1"/>
  <c r="EG63" i="5"/>
  <c r="EH63" i="5" s="1"/>
  <c r="EF63" i="5"/>
  <c r="EC63" i="5"/>
  <c r="EB63" i="5"/>
  <c r="DY63" i="5"/>
  <c r="DX63" i="5"/>
  <c r="DU63" i="5"/>
  <c r="DV63" i="5" s="1"/>
  <c r="DQ63" i="5"/>
  <c r="DR63" i="5" s="1"/>
  <c r="DM63" i="5"/>
  <c r="DL63" i="5"/>
  <c r="DI63" i="5"/>
  <c r="DE63" i="5"/>
  <c r="DA63" i="5"/>
  <c r="CZ63" i="5"/>
  <c r="CW63" i="5"/>
  <c r="CX63" i="5" s="1"/>
  <c r="CS63" i="5"/>
  <c r="CT63" i="5" s="1"/>
  <c r="CO63" i="5"/>
  <c r="CP63" i="5" s="1"/>
  <c r="CK63" i="5"/>
  <c r="CG63" i="5"/>
  <c r="CF63" i="5"/>
  <c r="CH63" i="5" s="1"/>
  <c r="CD63" i="5"/>
  <c r="CC63" i="5"/>
  <c r="CB63" i="5"/>
  <c r="BY63" i="5"/>
  <c r="BZ63" i="5" s="1"/>
  <c r="BU63" i="5"/>
  <c r="BV63" i="5" s="1"/>
  <c r="BQ63" i="5"/>
  <c r="BR63" i="5" s="1"/>
  <c r="BM63" i="5"/>
  <c r="BN63" i="5" s="1"/>
  <c r="BI63" i="5"/>
  <c r="BJ63" i="5" s="1"/>
  <c r="BE63" i="5"/>
  <c r="BF63" i="5" s="1"/>
  <c r="BA63" i="5"/>
  <c r="BB63" i="5" s="1"/>
  <c r="AW63" i="5"/>
  <c r="AX63" i="5" s="1"/>
  <c r="AS63" i="5"/>
  <c r="AT63" i="5" s="1"/>
  <c r="AO63" i="5"/>
  <c r="AP63" i="5" s="1"/>
  <c r="AK63" i="5"/>
  <c r="AL63" i="5" s="1"/>
  <c r="AG63" i="5"/>
  <c r="AH63" i="5" s="1"/>
  <c r="AC63" i="5"/>
  <c r="AD63" i="5" s="1"/>
  <c r="Y63" i="5"/>
  <c r="Z63" i="5" s="1"/>
  <c r="U63" i="5"/>
  <c r="V63" i="5" s="1"/>
  <c r="Q63" i="5"/>
  <c r="R63" i="5" s="1"/>
  <c r="M63" i="5"/>
  <c r="I63" i="5"/>
  <c r="J63" i="5" s="1"/>
  <c r="E63" i="5"/>
  <c r="HO62" i="5"/>
  <c r="GZ62" i="5"/>
  <c r="GY62" i="5"/>
  <c r="GV62" i="5"/>
  <c r="GU62" i="5"/>
  <c r="GR62" i="5"/>
  <c r="GQ62" i="5"/>
  <c r="GN62" i="5"/>
  <c r="GM62" i="5"/>
  <c r="GO62" i="5" s="1"/>
  <c r="GK62" i="5"/>
  <c r="GJ62" i="5"/>
  <c r="GI62" i="5"/>
  <c r="GF62" i="5"/>
  <c r="GE62" i="5"/>
  <c r="GB62" i="5"/>
  <c r="IB62" i="5" s="1"/>
  <c r="GA62" i="5"/>
  <c r="FX62" i="5"/>
  <c r="FW62" i="5"/>
  <c r="FY62" i="5" s="1"/>
  <c r="FU62" i="5"/>
  <c r="FT62" i="5"/>
  <c r="FS62" i="5"/>
  <c r="FP62" i="5"/>
  <c r="FQ62" i="5" s="1"/>
  <c r="FO62" i="5"/>
  <c r="FL62" i="5"/>
  <c r="IF62" i="5" s="1"/>
  <c r="FK62" i="5"/>
  <c r="FI62" i="5"/>
  <c r="FH62" i="5"/>
  <c r="FE62" i="5"/>
  <c r="FD62" i="5"/>
  <c r="FA62" i="5"/>
  <c r="FB62" i="5" s="1"/>
  <c r="EZ62" i="5"/>
  <c r="EW62" i="5"/>
  <c r="EV62" i="5"/>
  <c r="ES62" i="5"/>
  <c r="ER62" i="5"/>
  <c r="EO62" i="5"/>
  <c r="EN62" i="5"/>
  <c r="EK62" i="5"/>
  <c r="EJ62" i="5"/>
  <c r="II62" i="5" s="1"/>
  <c r="EG62" i="5"/>
  <c r="EF62" i="5"/>
  <c r="EH62" i="5" s="1"/>
  <c r="EC62" i="5"/>
  <c r="EB62" i="5"/>
  <c r="ED62" i="5" s="1"/>
  <c r="DY62" i="5"/>
  <c r="DZ62" i="5" s="1"/>
  <c r="DX62" i="5"/>
  <c r="DU62" i="5"/>
  <c r="DV62" i="5" s="1"/>
  <c r="DQ62" i="5"/>
  <c r="DR62" i="5" s="1"/>
  <c r="DM62" i="5"/>
  <c r="DN62" i="5" s="1"/>
  <c r="DL62" i="5"/>
  <c r="DI62" i="5"/>
  <c r="DE62" i="5"/>
  <c r="DF62" i="5" s="1"/>
  <c r="DA62" i="5"/>
  <c r="CZ62" i="5"/>
  <c r="DB62" i="5" s="1"/>
  <c r="CW62" i="5"/>
  <c r="CX62" i="5" s="1"/>
  <c r="CS62" i="5"/>
  <c r="CT62" i="5" s="1"/>
  <c r="CO62" i="5"/>
  <c r="CP62" i="5" s="1"/>
  <c r="CK62" i="5"/>
  <c r="CG62" i="5"/>
  <c r="CF62" i="5"/>
  <c r="CH62" i="5" s="1"/>
  <c r="CC62" i="5"/>
  <c r="CB62" i="5"/>
  <c r="BY62" i="5"/>
  <c r="BZ62" i="5" s="1"/>
  <c r="BU62" i="5"/>
  <c r="BV62" i="5" s="1"/>
  <c r="BQ62" i="5"/>
  <c r="BR62" i="5" s="1"/>
  <c r="BM62" i="5"/>
  <c r="BN62" i="5" s="1"/>
  <c r="BI62" i="5"/>
  <c r="BJ62" i="5" s="1"/>
  <c r="BE62" i="5"/>
  <c r="BF62" i="5" s="1"/>
  <c r="BA62" i="5"/>
  <c r="BB62" i="5" s="1"/>
  <c r="AW62" i="5"/>
  <c r="AX62" i="5" s="1"/>
  <c r="AS62" i="5"/>
  <c r="AT62" i="5" s="1"/>
  <c r="AO62" i="5"/>
  <c r="AP62" i="5" s="1"/>
  <c r="AK62" i="5"/>
  <c r="AL62" i="5" s="1"/>
  <c r="AG62" i="5"/>
  <c r="AH62" i="5" s="1"/>
  <c r="AC62" i="5"/>
  <c r="AD62" i="5" s="1"/>
  <c r="Y62" i="5"/>
  <c r="Z62" i="5" s="1"/>
  <c r="U62" i="5"/>
  <c r="V62" i="5" s="1"/>
  <c r="Q62" i="5"/>
  <c r="R62" i="5" s="1"/>
  <c r="M62" i="5"/>
  <c r="I62" i="5"/>
  <c r="J62" i="5" s="1"/>
  <c r="E62" i="5"/>
  <c r="HS61" i="5"/>
  <c r="HO61" i="5"/>
  <c r="HA61" i="5"/>
  <c r="GZ61" i="5"/>
  <c r="GY61" i="5"/>
  <c r="GV61" i="5"/>
  <c r="GU61" i="5"/>
  <c r="GR61" i="5"/>
  <c r="GQ61" i="5"/>
  <c r="GN61" i="5"/>
  <c r="GM61" i="5"/>
  <c r="GO61" i="5" s="1"/>
  <c r="GK61" i="5"/>
  <c r="GJ61" i="5"/>
  <c r="GI61" i="5"/>
  <c r="GF61" i="5"/>
  <c r="GG61" i="5" s="1"/>
  <c r="GE61" i="5"/>
  <c r="GB61" i="5"/>
  <c r="GA61" i="5"/>
  <c r="GC61" i="5" s="1"/>
  <c r="FX61" i="5"/>
  <c r="FW61" i="5"/>
  <c r="FT61" i="5"/>
  <c r="FS61" i="5"/>
  <c r="FU61" i="5" s="1"/>
  <c r="FP61" i="5"/>
  <c r="FQ61" i="5" s="1"/>
  <c r="FO61" i="5"/>
  <c r="FL61" i="5"/>
  <c r="IF61" i="5" s="1"/>
  <c r="FK61" i="5"/>
  <c r="FI61" i="5"/>
  <c r="FH61" i="5"/>
  <c r="FE61" i="5"/>
  <c r="FD61" i="5"/>
  <c r="FF61" i="5" s="1"/>
  <c r="FA61" i="5"/>
  <c r="EZ61" i="5"/>
  <c r="EW61" i="5"/>
  <c r="EV61" i="5"/>
  <c r="EX61" i="5" s="1"/>
  <c r="ES61" i="5"/>
  <c r="ER61" i="5"/>
  <c r="ET61" i="5" s="1"/>
  <c r="EO61" i="5"/>
  <c r="EP61" i="5" s="1"/>
  <c r="EN61" i="5"/>
  <c r="EK61" i="5"/>
  <c r="EJ61" i="5"/>
  <c r="II61" i="5" s="1"/>
  <c r="EG61" i="5"/>
  <c r="HX61" i="5" s="1"/>
  <c r="EF61" i="5"/>
  <c r="EC61" i="5"/>
  <c r="EB61" i="5"/>
  <c r="ED61" i="5" s="1"/>
  <c r="DZ61" i="5"/>
  <c r="DY61" i="5"/>
  <c r="DX61" i="5"/>
  <c r="DU61" i="5"/>
  <c r="DV61" i="5" s="1"/>
  <c r="DQ61" i="5"/>
  <c r="DR61" i="5" s="1"/>
  <c r="DM61" i="5"/>
  <c r="DL61" i="5"/>
  <c r="DI61" i="5"/>
  <c r="DF61" i="5"/>
  <c r="DE61" i="5"/>
  <c r="DA61" i="5"/>
  <c r="CZ61" i="5"/>
  <c r="DB61" i="5" s="1"/>
  <c r="CW61" i="5"/>
  <c r="CX61" i="5" s="1"/>
  <c r="CS61" i="5"/>
  <c r="CT61" i="5" s="1"/>
  <c r="CO61" i="5"/>
  <c r="CP61" i="5" s="1"/>
  <c r="CK61" i="5"/>
  <c r="CG61" i="5"/>
  <c r="CF61" i="5"/>
  <c r="HG61" i="5" s="1"/>
  <c r="CC61" i="5"/>
  <c r="CB61" i="5"/>
  <c r="BY61" i="5"/>
  <c r="BZ61" i="5" s="1"/>
  <c r="BU61" i="5"/>
  <c r="BV61" i="5" s="1"/>
  <c r="BQ61" i="5"/>
  <c r="BR61" i="5" s="1"/>
  <c r="BM61" i="5"/>
  <c r="BN61" i="5" s="1"/>
  <c r="BI61" i="5"/>
  <c r="BJ61" i="5" s="1"/>
  <c r="BE61" i="5"/>
  <c r="BF61" i="5" s="1"/>
  <c r="BA61" i="5"/>
  <c r="BB61" i="5" s="1"/>
  <c r="AW61" i="5"/>
  <c r="AX61" i="5" s="1"/>
  <c r="AS61" i="5"/>
  <c r="AT61" i="5" s="1"/>
  <c r="AO61" i="5"/>
  <c r="AP61" i="5" s="1"/>
  <c r="AK61" i="5"/>
  <c r="AL61" i="5" s="1"/>
  <c r="AG61" i="5"/>
  <c r="AH61" i="5" s="1"/>
  <c r="AC61" i="5"/>
  <c r="AD61" i="5" s="1"/>
  <c r="Y61" i="5"/>
  <c r="Z61" i="5" s="1"/>
  <c r="U61" i="5"/>
  <c r="V61" i="5" s="1"/>
  <c r="Q61" i="5"/>
  <c r="R61" i="5" s="1"/>
  <c r="M61" i="5"/>
  <c r="I61" i="5"/>
  <c r="J61" i="5" s="1"/>
  <c r="E61" i="5"/>
  <c r="HO60" i="5"/>
  <c r="HA60" i="5"/>
  <c r="GZ60" i="5"/>
  <c r="GY60" i="5"/>
  <c r="GV60" i="5"/>
  <c r="GU60" i="5"/>
  <c r="GR60" i="5"/>
  <c r="GQ60" i="5"/>
  <c r="GS60" i="5" s="1"/>
  <c r="GN60" i="5"/>
  <c r="GM60" i="5"/>
  <c r="GO60" i="5" s="1"/>
  <c r="GJ60" i="5"/>
  <c r="GI60" i="5"/>
  <c r="GK60" i="5" s="1"/>
  <c r="GF60" i="5"/>
  <c r="GG60" i="5" s="1"/>
  <c r="GE60" i="5"/>
  <c r="GB60" i="5"/>
  <c r="GA60" i="5"/>
  <c r="GC60" i="5" s="1"/>
  <c r="FX60" i="5"/>
  <c r="FW60" i="5"/>
  <c r="FT60" i="5"/>
  <c r="FS60" i="5"/>
  <c r="FU60" i="5" s="1"/>
  <c r="FP60" i="5"/>
  <c r="FO60" i="5"/>
  <c r="FL60" i="5"/>
  <c r="FK60" i="5"/>
  <c r="FI60" i="5"/>
  <c r="FH60" i="5"/>
  <c r="FE60" i="5"/>
  <c r="FD60" i="5"/>
  <c r="FA60" i="5"/>
  <c r="EZ60" i="5"/>
  <c r="EW60" i="5"/>
  <c r="EV60" i="5"/>
  <c r="ES60" i="5"/>
  <c r="ER60" i="5"/>
  <c r="ET60" i="5" s="1"/>
  <c r="EO60" i="5"/>
  <c r="EP60" i="5" s="1"/>
  <c r="EN60" i="5"/>
  <c r="EK60" i="5"/>
  <c r="EJ60" i="5"/>
  <c r="II60" i="5" s="1"/>
  <c r="EG60" i="5"/>
  <c r="EF60" i="5"/>
  <c r="EC60" i="5"/>
  <c r="EB60" i="5"/>
  <c r="ED60" i="5" s="1"/>
  <c r="DZ60" i="5"/>
  <c r="DY60" i="5"/>
  <c r="DX60" i="5"/>
  <c r="DU60" i="5"/>
  <c r="DV60" i="5" s="1"/>
  <c r="DR60" i="5"/>
  <c r="DQ60" i="5"/>
  <c r="DM60" i="5"/>
  <c r="DL60" i="5"/>
  <c r="DI60" i="5"/>
  <c r="DE60" i="5"/>
  <c r="DF60" i="5" s="1"/>
  <c r="DA60" i="5"/>
  <c r="CZ60" i="5"/>
  <c r="CW60" i="5"/>
  <c r="CX60" i="5" s="1"/>
  <c r="CS60" i="5"/>
  <c r="CT60" i="5" s="1"/>
  <c r="CP60" i="5"/>
  <c r="CO60" i="5"/>
  <c r="CK60" i="5"/>
  <c r="CG60" i="5"/>
  <c r="CF60" i="5"/>
  <c r="CH60" i="5" s="1"/>
  <c r="CC60" i="5"/>
  <c r="CB60" i="5"/>
  <c r="CD60" i="5" s="1"/>
  <c r="BY60" i="5"/>
  <c r="BZ60" i="5" s="1"/>
  <c r="BU60" i="5"/>
  <c r="BV60" i="5" s="1"/>
  <c r="BQ60" i="5"/>
  <c r="BR60" i="5" s="1"/>
  <c r="BN60" i="5"/>
  <c r="BM60" i="5"/>
  <c r="BI60" i="5"/>
  <c r="BJ60" i="5" s="1"/>
  <c r="BE60" i="5"/>
  <c r="BF60" i="5" s="1"/>
  <c r="BA60" i="5"/>
  <c r="BB60" i="5" s="1"/>
  <c r="AW60" i="5"/>
  <c r="AX60" i="5" s="1"/>
  <c r="AS60" i="5"/>
  <c r="AT60" i="5" s="1"/>
  <c r="AO60" i="5"/>
  <c r="AP60" i="5" s="1"/>
  <c r="AK60" i="5"/>
  <c r="AL60" i="5" s="1"/>
  <c r="AH60" i="5"/>
  <c r="AG60" i="5"/>
  <c r="AC60" i="5"/>
  <c r="AD60" i="5" s="1"/>
  <c r="Z60" i="5"/>
  <c r="Y60" i="5"/>
  <c r="U60" i="5"/>
  <c r="V60" i="5" s="1"/>
  <c r="Q60" i="5"/>
  <c r="R60" i="5" s="1"/>
  <c r="M60" i="5"/>
  <c r="I60" i="5"/>
  <c r="J60" i="5" s="1"/>
  <c r="E60" i="5"/>
  <c r="HO59" i="5"/>
  <c r="HG59" i="5"/>
  <c r="HA59" i="5"/>
  <c r="GZ59" i="5"/>
  <c r="GY59" i="5"/>
  <c r="GV59" i="5"/>
  <c r="GU59" i="5"/>
  <c r="GR59" i="5"/>
  <c r="GQ59" i="5"/>
  <c r="GS59" i="5" s="1"/>
  <c r="GN59" i="5"/>
  <c r="GM59" i="5"/>
  <c r="GJ59" i="5"/>
  <c r="GI59" i="5"/>
  <c r="GK59" i="5" s="1"/>
  <c r="GF59" i="5"/>
  <c r="GG59" i="5" s="1"/>
  <c r="GE59" i="5"/>
  <c r="GB59" i="5"/>
  <c r="GA59" i="5"/>
  <c r="GC59" i="5" s="1"/>
  <c r="FX59" i="5"/>
  <c r="FW59" i="5"/>
  <c r="FT59" i="5"/>
  <c r="FS59" i="5"/>
  <c r="FU59" i="5" s="1"/>
  <c r="FP59" i="5"/>
  <c r="FO59" i="5"/>
  <c r="FL59" i="5"/>
  <c r="FK59" i="5"/>
  <c r="FI59" i="5"/>
  <c r="FH59" i="5"/>
  <c r="FJ59" i="5" s="1"/>
  <c r="FE59" i="5"/>
  <c r="FF59" i="5" s="1"/>
  <c r="FD59" i="5"/>
  <c r="FA59" i="5"/>
  <c r="EZ59" i="5"/>
  <c r="EW59" i="5"/>
  <c r="EV59" i="5"/>
  <c r="ES59" i="5"/>
  <c r="ER59" i="5"/>
  <c r="ET59" i="5" s="1"/>
  <c r="EP59" i="5"/>
  <c r="EO59" i="5"/>
  <c r="EN59" i="5"/>
  <c r="EK59" i="5"/>
  <c r="EJ59" i="5"/>
  <c r="II59" i="5" s="1"/>
  <c r="EG59" i="5"/>
  <c r="EF59" i="5"/>
  <c r="EH59" i="5" s="1"/>
  <c r="EC59" i="5"/>
  <c r="EB59" i="5"/>
  <c r="ED59" i="5" s="1"/>
  <c r="DY59" i="5"/>
  <c r="DX59" i="5"/>
  <c r="DZ59" i="5" s="1"/>
  <c r="DU59" i="5"/>
  <c r="DV59" i="5" s="1"/>
  <c r="DQ59" i="5"/>
  <c r="DR59" i="5" s="1"/>
  <c r="DM59" i="5"/>
  <c r="DL59" i="5"/>
  <c r="DI59" i="5"/>
  <c r="DE59" i="5"/>
  <c r="DF59" i="5" s="1"/>
  <c r="DA59" i="5"/>
  <c r="CZ59" i="5"/>
  <c r="CW59" i="5"/>
  <c r="CX59" i="5" s="1"/>
  <c r="CS59" i="5"/>
  <c r="CT59" i="5" s="1"/>
  <c r="CP59" i="5"/>
  <c r="CO59" i="5"/>
  <c r="CK59" i="5"/>
  <c r="CG59" i="5"/>
  <c r="CF59" i="5"/>
  <c r="CH59" i="5" s="1"/>
  <c r="CC59" i="5"/>
  <c r="CB59" i="5"/>
  <c r="BY59" i="5"/>
  <c r="BZ59" i="5" s="1"/>
  <c r="BU59" i="5"/>
  <c r="BV59" i="5" s="1"/>
  <c r="BQ59" i="5"/>
  <c r="BR59" i="5" s="1"/>
  <c r="BN59" i="5"/>
  <c r="BM59" i="5"/>
  <c r="BI59" i="5"/>
  <c r="BJ59" i="5" s="1"/>
  <c r="BE59" i="5"/>
  <c r="BF59" i="5" s="1"/>
  <c r="BA59" i="5"/>
  <c r="BB59" i="5" s="1"/>
  <c r="AW59" i="5"/>
  <c r="AX59" i="5" s="1"/>
  <c r="AS59" i="5"/>
  <c r="AT59" i="5" s="1"/>
  <c r="AO59" i="5"/>
  <c r="AP59" i="5" s="1"/>
  <c r="AK59" i="5"/>
  <c r="AL59" i="5" s="1"/>
  <c r="AH59" i="5"/>
  <c r="AG59" i="5"/>
  <c r="AC59" i="5"/>
  <c r="AD59" i="5" s="1"/>
  <c r="Y59" i="5"/>
  <c r="Z59" i="5" s="1"/>
  <c r="U59" i="5"/>
  <c r="V59" i="5" s="1"/>
  <c r="Q59" i="5"/>
  <c r="R59" i="5" s="1"/>
  <c r="M59" i="5"/>
  <c r="I59" i="5"/>
  <c r="J59" i="5" s="1"/>
  <c r="E59" i="5"/>
  <c r="II58" i="5"/>
  <c r="HO58" i="5"/>
  <c r="GZ58" i="5"/>
  <c r="GY58" i="5"/>
  <c r="HA58" i="5" s="1"/>
  <c r="GV58" i="5"/>
  <c r="GW58" i="5" s="1"/>
  <c r="GU58" i="5"/>
  <c r="GR58" i="5"/>
  <c r="GQ58" i="5"/>
  <c r="GS58" i="5" s="1"/>
  <c r="GN58" i="5"/>
  <c r="GM58" i="5"/>
  <c r="GJ58" i="5"/>
  <c r="GI58" i="5"/>
  <c r="GK58" i="5" s="1"/>
  <c r="GF58" i="5"/>
  <c r="GE58" i="5"/>
  <c r="GB58" i="5"/>
  <c r="GA58" i="5"/>
  <c r="GC58" i="5" s="1"/>
  <c r="FX58" i="5"/>
  <c r="FW58" i="5"/>
  <c r="FY58" i="5" s="1"/>
  <c r="FT58" i="5"/>
  <c r="FU58" i="5" s="1"/>
  <c r="FS58" i="5"/>
  <c r="FP58" i="5"/>
  <c r="FO58" i="5"/>
  <c r="FL58" i="5"/>
  <c r="FK58" i="5"/>
  <c r="FI58" i="5"/>
  <c r="FH58" i="5"/>
  <c r="FJ58" i="5" s="1"/>
  <c r="FF58" i="5"/>
  <c r="FE58" i="5"/>
  <c r="IB58" i="5" s="1"/>
  <c r="FD58" i="5"/>
  <c r="FA58" i="5"/>
  <c r="EZ58" i="5"/>
  <c r="EW58" i="5"/>
  <c r="EV58" i="5"/>
  <c r="EX58" i="5" s="1"/>
  <c r="ES58" i="5"/>
  <c r="ER58" i="5"/>
  <c r="ET58" i="5" s="1"/>
  <c r="EO58" i="5"/>
  <c r="EN58" i="5"/>
  <c r="EK58" i="5"/>
  <c r="EJ58" i="5"/>
  <c r="EG58" i="5"/>
  <c r="HX58" i="5" s="1"/>
  <c r="EF58" i="5"/>
  <c r="EH58" i="5" s="1"/>
  <c r="EC58" i="5"/>
  <c r="EB58" i="5"/>
  <c r="DY58" i="5"/>
  <c r="DX58" i="5"/>
  <c r="DU58" i="5"/>
  <c r="DV58" i="5" s="1"/>
  <c r="DQ58" i="5"/>
  <c r="DR58" i="5" s="1"/>
  <c r="DM58" i="5"/>
  <c r="DL58" i="5"/>
  <c r="DI58" i="5"/>
  <c r="DE58" i="5"/>
  <c r="DF58" i="5" s="1"/>
  <c r="DA58" i="5"/>
  <c r="CZ58" i="5"/>
  <c r="DB58" i="5" s="1"/>
  <c r="CW58" i="5"/>
  <c r="CX58" i="5" s="1"/>
  <c r="CS58" i="5"/>
  <c r="CT58" i="5" s="1"/>
  <c r="CO58" i="5"/>
  <c r="CP58" i="5" s="1"/>
  <c r="CK58" i="5"/>
  <c r="CG58" i="5"/>
  <c r="CF58" i="5"/>
  <c r="CH58" i="5" s="1"/>
  <c r="CC58" i="5"/>
  <c r="CD58" i="5" s="1"/>
  <c r="CB58" i="5"/>
  <c r="BY58" i="5"/>
  <c r="BZ58" i="5" s="1"/>
  <c r="BU58" i="5"/>
  <c r="BV58" i="5" s="1"/>
  <c r="BQ58" i="5"/>
  <c r="BR58" i="5" s="1"/>
  <c r="BM58" i="5"/>
  <c r="BN58" i="5" s="1"/>
  <c r="BI58" i="5"/>
  <c r="BJ58" i="5" s="1"/>
  <c r="BE58" i="5"/>
  <c r="BF58" i="5" s="1"/>
  <c r="BA58" i="5"/>
  <c r="BB58" i="5" s="1"/>
  <c r="AX58" i="5"/>
  <c r="AW58" i="5"/>
  <c r="AS58" i="5"/>
  <c r="AT58" i="5" s="1"/>
  <c r="AP58" i="5"/>
  <c r="AO58" i="5"/>
  <c r="AK58" i="5"/>
  <c r="AL58" i="5" s="1"/>
  <c r="AG58" i="5"/>
  <c r="AH58" i="5" s="1"/>
  <c r="AC58" i="5"/>
  <c r="AD58" i="5" s="1"/>
  <c r="Y58" i="5"/>
  <c r="Z58" i="5" s="1"/>
  <c r="U58" i="5"/>
  <c r="V58" i="5" s="1"/>
  <c r="R58" i="5"/>
  <c r="Q58" i="5"/>
  <c r="M58" i="5"/>
  <c r="I58" i="5"/>
  <c r="J58" i="5" s="1"/>
  <c r="E58" i="5"/>
  <c r="HS57" i="5"/>
  <c r="HO57" i="5"/>
  <c r="GZ57" i="5"/>
  <c r="HA57" i="5" s="1"/>
  <c r="GY57" i="5"/>
  <c r="GV57" i="5"/>
  <c r="GU57" i="5"/>
  <c r="GR57" i="5"/>
  <c r="GQ57" i="5"/>
  <c r="GN57" i="5"/>
  <c r="GM57" i="5"/>
  <c r="GO57" i="5" s="1"/>
  <c r="GK57" i="5"/>
  <c r="GJ57" i="5"/>
  <c r="GI57" i="5"/>
  <c r="GF57" i="5"/>
  <c r="GE57" i="5"/>
  <c r="GB57" i="5"/>
  <c r="GA57" i="5"/>
  <c r="GC57" i="5" s="1"/>
  <c r="FX57" i="5"/>
  <c r="FW57" i="5"/>
  <c r="FY57" i="5" s="1"/>
  <c r="FT57" i="5"/>
  <c r="FS57" i="5"/>
  <c r="FU57" i="5" s="1"/>
  <c r="FP57" i="5"/>
  <c r="FQ57" i="5" s="1"/>
  <c r="FO57" i="5"/>
  <c r="FL57" i="5"/>
  <c r="IF57" i="5" s="1"/>
  <c r="FK57" i="5"/>
  <c r="FI57" i="5"/>
  <c r="FH57" i="5"/>
  <c r="FE57" i="5"/>
  <c r="FD57" i="5"/>
  <c r="FF57" i="5" s="1"/>
  <c r="FA57" i="5"/>
  <c r="EZ57" i="5"/>
  <c r="EW57" i="5"/>
  <c r="EV57" i="5"/>
  <c r="EX57" i="5" s="1"/>
  <c r="ES57" i="5"/>
  <c r="ER57" i="5"/>
  <c r="ET57" i="5" s="1"/>
  <c r="EO57" i="5"/>
  <c r="EP57" i="5" s="1"/>
  <c r="EN57" i="5"/>
  <c r="EK57" i="5"/>
  <c r="EJ57" i="5"/>
  <c r="II57" i="5" s="1"/>
  <c r="EG57" i="5"/>
  <c r="EF57" i="5"/>
  <c r="EC57" i="5"/>
  <c r="EB57" i="5"/>
  <c r="ED57" i="5" s="1"/>
  <c r="DZ57" i="5"/>
  <c r="DY57" i="5"/>
  <c r="DX57" i="5"/>
  <c r="DU57" i="5"/>
  <c r="DV57" i="5" s="1"/>
  <c r="DR57" i="5"/>
  <c r="DQ57" i="5"/>
  <c r="DM57" i="5"/>
  <c r="DL57" i="5"/>
  <c r="DI57" i="5"/>
  <c r="DE57" i="5"/>
  <c r="DA57" i="5"/>
  <c r="CZ57" i="5"/>
  <c r="CW57" i="5"/>
  <c r="CX57" i="5" s="1"/>
  <c r="CS57" i="5"/>
  <c r="CT57" i="5" s="1"/>
  <c r="CO57" i="5"/>
  <c r="CP57" i="5" s="1"/>
  <c r="CK57" i="5"/>
  <c r="CL57" i="5" s="1"/>
  <c r="CG57" i="5"/>
  <c r="CF57" i="5"/>
  <c r="HG57" i="5" s="1"/>
  <c r="CC57" i="5"/>
  <c r="CB57" i="5"/>
  <c r="BY57" i="5"/>
  <c r="BZ57" i="5" s="1"/>
  <c r="BU57" i="5"/>
  <c r="BV57" i="5" s="1"/>
  <c r="BQ57" i="5"/>
  <c r="BR57" i="5" s="1"/>
  <c r="BM57" i="5"/>
  <c r="BN57" i="5" s="1"/>
  <c r="BI57" i="5"/>
  <c r="BJ57" i="5" s="1"/>
  <c r="BE57" i="5"/>
  <c r="BF57" i="5" s="1"/>
  <c r="BB57" i="5"/>
  <c r="BA57" i="5"/>
  <c r="AW57" i="5"/>
  <c r="AX57" i="5" s="1"/>
  <c r="AT57" i="5"/>
  <c r="AS57" i="5"/>
  <c r="AO57" i="5"/>
  <c r="AP57" i="5" s="1"/>
  <c r="AK57" i="5"/>
  <c r="AL57" i="5" s="1"/>
  <c r="AG57" i="5"/>
  <c r="AH57" i="5" s="1"/>
  <c r="AC57" i="5"/>
  <c r="AD57" i="5" s="1"/>
  <c r="Y57" i="5"/>
  <c r="Z57" i="5" s="1"/>
  <c r="V57" i="5"/>
  <c r="U57" i="5"/>
  <c r="Q57" i="5"/>
  <c r="R57" i="5" s="1"/>
  <c r="M57" i="5"/>
  <c r="I57" i="5"/>
  <c r="E57" i="5"/>
  <c r="F57" i="5" s="1"/>
  <c r="IJ56" i="5"/>
  <c r="HO56" i="5"/>
  <c r="GZ56" i="5"/>
  <c r="GY56" i="5"/>
  <c r="GV56" i="5"/>
  <c r="GU56" i="5"/>
  <c r="GW56" i="5" s="1"/>
  <c r="GS56" i="5"/>
  <c r="GR56" i="5"/>
  <c r="GQ56" i="5"/>
  <c r="GN56" i="5"/>
  <c r="GM56" i="5"/>
  <c r="GJ56" i="5"/>
  <c r="GI56" i="5"/>
  <c r="GF56" i="5"/>
  <c r="GE56" i="5"/>
  <c r="GG56" i="5" s="1"/>
  <c r="GC56" i="5"/>
  <c r="GB56" i="5"/>
  <c r="GA56" i="5"/>
  <c r="FX56" i="5"/>
  <c r="FY56" i="5" s="1"/>
  <c r="FW56" i="5"/>
  <c r="FT56" i="5"/>
  <c r="FS56" i="5"/>
  <c r="FU56" i="5" s="1"/>
  <c r="FP56" i="5"/>
  <c r="FO56" i="5"/>
  <c r="FL56" i="5"/>
  <c r="FK56" i="5"/>
  <c r="FM56" i="5" s="1"/>
  <c r="FI56" i="5"/>
  <c r="FJ56" i="5" s="1"/>
  <c r="FH56" i="5"/>
  <c r="FE56" i="5"/>
  <c r="IB56" i="5" s="1"/>
  <c r="FD56" i="5"/>
  <c r="FA56" i="5"/>
  <c r="EZ56" i="5"/>
  <c r="EW56" i="5"/>
  <c r="EV56" i="5"/>
  <c r="EX56" i="5" s="1"/>
  <c r="ES56" i="5"/>
  <c r="ER56" i="5"/>
  <c r="EO56" i="5"/>
  <c r="EN56" i="5"/>
  <c r="EK56" i="5"/>
  <c r="EJ56" i="5"/>
  <c r="II56" i="5" s="1"/>
  <c r="EG56" i="5"/>
  <c r="EH56" i="5" s="1"/>
  <c r="EF56" i="5"/>
  <c r="EC56" i="5"/>
  <c r="EB56" i="5"/>
  <c r="DY56" i="5"/>
  <c r="DX56" i="5"/>
  <c r="DU56" i="5"/>
  <c r="DV56" i="5" s="1"/>
  <c r="DQ56" i="5"/>
  <c r="DR56" i="5" s="1"/>
  <c r="DM56" i="5"/>
  <c r="DL56" i="5"/>
  <c r="DN56" i="5" s="1"/>
  <c r="DI56" i="5"/>
  <c r="DJ56" i="5" s="1"/>
  <c r="DE56" i="5"/>
  <c r="DF56" i="5" s="1"/>
  <c r="DA56" i="5"/>
  <c r="CZ56" i="5"/>
  <c r="CW56" i="5"/>
  <c r="CX56" i="5" s="1"/>
  <c r="CS56" i="5"/>
  <c r="CT56" i="5" s="1"/>
  <c r="CO56" i="5"/>
  <c r="CP56" i="5" s="1"/>
  <c r="CK56" i="5"/>
  <c r="CG56" i="5"/>
  <c r="CF56" i="5"/>
  <c r="CC56" i="5"/>
  <c r="CB56" i="5"/>
  <c r="BY56" i="5"/>
  <c r="BZ56" i="5" s="1"/>
  <c r="BU56" i="5"/>
  <c r="BV56" i="5" s="1"/>
  <c r="BQ56" i="5"/>
  <c r="BR56" i="5" s="1"/>
  <c r="BM56" i="5"/>
  <c r="BN56" i="5" s="1"/>
  <c r="BI56" i="5"/>
  <c r="BE56" i="5"/>
  <c r="BF56" i="5" s="1"/>
  <c r="BB56" i="5"/>
  <c r="BA56" i="5"/>
  <c r="AW56" i="5"/>
  <c r="AX56" i="5" s="1"/>
  <c r="AT56" i="5"/>
  <c r="AS56" i="5"/>
  <c r="AO56" i="5"/>
  <c r="AP56" i="5" s="1"/>
  <c r="AK56" i="5"/>
  <c r="AL56" i="5" s="1"/>
  <c r="AG56" i="5"/>
  <c r="AH56" i="5" s="1"/>
  <c r="AC56" i="5"/>
  <c r="AD56" i="5" s="1"/>
  <c r="Y56" i="5"/>
  <c r="Z56" i="5" s="1"/>
  <c r="V56" i="5"/>
  <c r="U56" i="5"/>
  <c r="Q56" i="5"/>
  <c r="R56" i="5" s="1"/>
  <c r="M56" i="5"/>
  <c r="I56" i="5"/>
  <c r="J56" i="5" s="1"/>
  <c r="E56" i="5"/>
  <c r="IJ55" i="5"/>
  <c r="HO55" i="5"/>
  <c r="GZ55" i="5"/>
  <c r="GY55" i="5"/>
  <c r="GV55" i="5"/>
  <c r="GU55" i="5"/>
  <c r="GW55" i="5" s="1"/>
  <c r="GS55" i="5"/>
  <c r="GR55" i="5"/>
  <c r="GQ55" i="5"/>
  <c r="GN55" i="5"/>
  <c r="GM55" i="5"/>
  <c r="GJ55" i="5"/>
  <c r="GI55" i="5"/>
  <c r="GF55" i="5"/>
  <c r="GE55" i="5"/>
  <c r="GG55" i="5" s="1"/>
  <c r="GC55" i="5"/>
  <c r="GB55" i="5"/>
  <c r="GA55" i="5"/>
  <c r="FX55" i="5"/>
  <c r="FY55" i="5" s="1"/>
  <c r="FW55" i="5"/>
  <c r="FT55" i="5"/>
  <c r="FS55" i="5"/>
  <c r="FU55" i="5" s="1"/>
  <c r="FP55" i="5"/>
  <c r="FO55" i="5"/>
  <c r="FL55" i="5"/>
  <c r="IF55" i="5" s="1"/>
  <c r="FK55" i="5"/>
  <c r="FM55" i="5" s="1"/>
  <c r="FI55" i="5"/>
  <c r="FJ55" i="5" s="1"/>
  <c r="FH55" i="5"/>
  <c r="FE55" i="5"/>
  <c r="IB55" i="5" s="1"/>
  <c r="FD55" i="5"/>
  <c r="FA55" i="5"/>
  <c r="EZ55" i="5"/>
  <c r="EW55" i="5"/>
  <c r="EV55" i="5"/>
  <c r="EX55" i="5" s="1"/>
  <c r="ES55" i="5"/>
  <c r="ER55" i="5"/>
  <c r="EO55" i="5"/>
  <c r="EN55" i="5"/>
  <c r="EK55" i="5"/>
  <c r="EJ55" i="5"/>
  <c r="II55" i="5" s="1"/>
  <c r="EG55" i="5"/>
  <c r="EH55" i="5" s="1"/>
  <c r="EF55" i="5"/>
  <c r="EC55" i="5"/>
  <c r="EB55" i="5"/>
  <c r="DY55" i="5"/>
  <c r="DX55" i="5"/>
  <c r="DU55" i="5"/>
  <c r="DV55" i="5" s="1"/>
  <c r="DQ55" i="5"/>
  <c r="DR55" i="5" s="1"/>
  <c r="DM55" i="5"/>
  <c r="DL55" i="5"/>
  <c r="DN55" i="5" s="1"/>
  <c r="DI55" i="5"/>
  <c r="DJ55" i="5" s="1"/>
  <c r="DE55" i="5"/>
  <c r="DF55" i="5" s="1"/>
  <c r="DA55" i="5"/>
  <c r="CZ55" i="5"/>
  <c r="CW55" i="5"/>
  <c r="CX55" i="5" s="1"/>
  <c r="CS55" i="5"/>
  <c r="CT55" i="5" s="1"/>
  <c r="CO55" i="5"/>
  <c r="CP55" i="5" s="1"/>
  <c r="CK55" i="5"/>
  <c r="CG55" i="5"/>
  <c r="CF55" i="5"/>
  <c r="CC55" i="5"/>
  <c r="CB55" i="5"/>
  <c r="BY55" i="5"/>
  <c r="BZ55" i="5" s="1"/>
  <c r="BU55" i="5"/>
  <c r="BV55" i="5" s="1"/>
  <c r="BQ55" i="5"/>
  <c r="BR55" i="5" s="1"/>
  <c r="BM55" i="5"/>
  <c r="BN55" i="5" s="1"/>
  <c r="BI55" i="5"/>
  <c r="BE55" i="5"/>
  <c r="BF55" i="5" s="1"/>
  <c r="BA55" i="5"/>
  <c r="BB55" i="5" s="1"/>
  <c r="AW55" i="5"/>
  <c r="AX55" i="5" s="1"/>
  <c r="AS55" i="5"/>
  <c r="AT55" i="5" s="1"/>
  <c r="AO55" i="5"/>
  <c r="AP55" i="5" s="1"/>
  <c r="AK55" i="5"/>
  <c r="AL55" i="5" s="1"/>
  <c r="AG55" i="5"/>
  <c r="AH55" i="5" s="1"/>
  <c r="AC55" i="5"/>
  <c r="AD55" i="5" s="1"/>
  <c r="Y55" i="5"/>
  <c r="Z55" i="5" s="1"/>
  <c r="U55" i="5"/>
  <c r="V55" i="5" s="1"/>
  <c r="Q55" i="5"/>
  <c r="R55" i="5" s="1"/>
  <c r="M55" i="5"/>
  <c r="N55" i="5" s="1"/>
  <c r="I55" i="5"/>
  <c r="E55" i="5"/>
  <c r="HO54" i="5"/>
  <c r="GZ54" i="5"/>
  <c r="GY54" i="5"/>
  <c r="GV54" i="5"/>
  <c r="GU54" i="5"/>
  <c r="GW54" i="5" s="1"/>
  <c r="GS54" i="5"/>
  <c r="GR54" i="5"/>
  <c r="GQ54" i="5"/>
  <c r="GN54" i="5"/>
  <c r="GM54" i="5"/>
  <c r="GJ54" i="5"/>
  <c r="GI54" i="5"/>
  <c r="GK54" i="5" s="1"/>
  <c r="GF54" i="5"/>
  <c r="GE54" i="5"/>
  <c r="GG54" i="5" s="1"/>
  <c r="GB54" i="5"/>
  <c r="GA54" i="5"/>
  <c r="GC54" i="5" s="1"/>
  <c r="FX54" i="5"/>
  <c r="FW54" i="5"/>
  <c r="FT54" i="5"/>
  <c r="FS54" i="5"/>
  <c r="FP54" i="5"/>
  <c r="FO54" i="5"/>
  <c r="FL54" i="5"/>
  <c r="IF54" i="5" s="1"/>
  <c r="FK54" i="5"/>
  <c r="FI54" i="5"/>
  <c r="FH54" i="5"/>
  <c r="FJ54" i="5" s="1"/>
  <c r="FE54" i="5"/>
  <c r="IB54" i="5" s="1"/>
  <c r="FD54" i="5"/>
  <c r="FA54" i="5"/>
  <c r="EZ54" i="5"/>
  <c r="FB54" i="5" s="1"/>
  <c r="EX54" i="5"/>
  <c r="EW54" i="5"/>
  <c r="EV54" i="5"/>
  <c r="ES54" i="5"/>
  <c r="ER54" i="5"/>
  <c r="ET54" i="5" s="1"/>
  <c r="EO54" i="5"/>
  <c r="EN54" i="5"/>
  <c r="EK54" i="5"/>
  <c r="IJ54" i="5" s="1"/>
  <c r="EJ54" i="5"/>
  <c r="II54" i="5" s="1"/>
  <c r="EH54" i="5"/>
  <c r="EG54" i="5"/>
  <c r="EF54" i="5"/>
  <c r="HW54" i="5" s="1"/>
  <c r="EC54" i="5"/>
  <c r="EB54" i="5"/>
  <c r="DY54" i="5"/>
  <c r="DX54" i="5"/>
  <c r="DZ54" i="5" s="1"/>
  <c r="DV54" i="5"/>
  <c r="DU54" i="5"/>
  <c r="DQ54" i="5"/>
  <c r="DR54" i="5" s="1"/>
  <c r="DM54" i="5"/>
  <c r="DL54" i="5"/>
  <c r="DN54" i="5" s="1"/>
  <c r="DJ54" i="5"/>
  <c r="DI54" i="5"/>
  <c r="DE54" i="5"/>
  <c r="DF54" i="5" s="1"/>
  <c r="DB54" i="5"/>
  <c r="DA54" i="5"/>
  <c r="CZ54" i="5"/>
  <c r="CW54" i="5"/>
  <c r="CX54" i="5" s="1"/>
  <c r="CT54" i="5"/>
  <c r="CS54" i="5"/>
  <c r="CO54" i="5"/>
  <c r="CP54" i="5" s="1"/>
  <c r="CK54" i="5"/>
  <c r="CL54" i="5" s="1"/>
  <c r="CG54" i="5"/>
  <c r="CF54" i="5"/>
  <c r="CC54" i="5"/>
  <c r="CB54" i="5"/>
  <c r="BZ54" i="5"/>
  <c r="BY54" i="5"/>
  <c r="BU54" i="5"/>
  <c r="BV54" i="5" s="1"/>
  <c r="BR54" i="5"/>
  <c r="BQ54" i="5"/>
  <c r="BM54" i="5"/>
  <c r="BN54" i="5" s="1"/>
  <c r="BI54" i="5"/>
  <c r="BE54" i="5"/>
  <c r="BF54" i="5" s="1"/>
  <c r="BA54" i="5"/>
  <c r="BB54" i="5" s="1"/>
  <c r="AW54" i="5"/>
  <c r="AX54" i="5" s="1"/>
  <c r="AT54" i="5"/>
  <c r="AS54" i="5"/>
  <c r="AO54" i="5"/>
  <c r="AP54" i="5" s="1"/>
  <c r="AK54" i="5"/>
  <c r="AL54" i="5" s="1"/>
  <c r="AG54" i="5"/>
  <c r="AH54" i="5" s="1"/>
  <c r="AC54" i="5"/>
  <c r="AD54" i="5" s="1"/>
  <c r="Y54" i="5"/>
  <c r="Z54" i="5" s="1"/>
  <c r="U54" i="5"/>
  <c r="V54" i="5" s="1"/>
  <c r="Q54" i="5"/>
  <c r="R54" i="5" s="1"/>
  <c r="N54" i="5"/>
  <c r="M54" i="5"/>
  <c r="I54" i="5"/>
  <c r="J54" i="5" s="1"/>
  <c r="E54" i="5"/>
  <c r="F54" i="5" s="1"/>
  <c r="HO53" i="5"/>
  <c r="GZ53" i="5"/>
  <c r="GY53" i="5"/>
  <c r="HA53" i="5" s="1"/>
  <c r="GV53" i="5"/>
  <c r="GW53" i="5" s="1"/>
  <c r="GU53" i="5"/>
  <c r="GR53" i="5"/>
  <c r="GQ53" i="5"/>
  <c r="GN53" i="5"/>
  <c r="GM53" i="5"/>
  <c r="GO53" i="5" s="1"/>
  <c r="GJ53" i="5"/>
  <c r="GI53" i="5"/>
  <c r="GF53" i="5"/>
  <c r="GE53" i="5"/>
  <c r="GG53" i="5" s="1"/>
  <c r="GC53" i="5"/>
  <c r="GB53" i="5"/>
  <c r="GA53" i="5"/>
  <c r="FX53" i="5"/>
  <c r="FW53" i="5"/>
  <c r="FT53" i="5"/>
  <c r="FS53" i="5"/>
  <c r="FU53" i="5" s="1"/>
  <c r="FQ53" i="5"/>
  <c r="FP53" i="5"/>
  <c r="FO53" i="5"/>
  <c r="FL53" i="5"/>
  <c r="IF53" i="5" s="1"/>
  <c r="FK53" i="5"/>
  <c r="FI53" i="5"/>
  <c r="FH53" i="5"/>
  <c r="FJ53" i="5" s="1"/>
  <c r="FE53" i="5"/>
  <c r="IB53" i="5" s="1"/>
  <c r="FD53" i="5"/>
  <c r="FA53" i="5"/>
  <c r="EZ53" i="5"/>
  <c r="FB53" i="5" s="1"/>
  <c r="EX53" i="5"/>
  <c r="EW53" i="5"/>
  <c r="EV53" i="5"/>
  <c r="ES53" i="5"/>
  <c r="ER53" i="5"/>
  <c r="ET53" i="5" s="1"/>
  <c r="EO53" i="5"/>
  <c r="EN53" i="5"/>
  <c r="EK53" i="5"/>
  <c r="EJ53" i="5"/>
  <c r="II53" i="5" s="1"/>
  <c r="EG53" i="5"/>
  <c r="EF53" i="5"/>
  <c r="EC53" i="5"/>
  <c r="EB53" i="5"/>
  <c r="ED53" i="5" s="1"/>
  <c r="DY53" i="5"/>
  <c r="DX53" i="5"/>
  <c r="DZ53" i="5" s="1"/>
  <c r="DU53" i="5"/>
  <c r="DV53" i="5" s="1"/>
  <c r="DQ53" i="5"/>
  <c r="DR53" i="5" s="1"/>
  <c r="DM53" i="5"/>
  <c r="DL53" i="5"/>
  <c r="DN53" i="5" s="1"/>
  <c r="DI53" i="5"/>
  <c r="DF53" i="5"/>
  <c r="DE53" i="5"/>
  <c r="DA53" i="5"/>
  <c r="CZ53" i="5"/>
  <c r="CW53" i="5"/>
  <c r="CX53" i="5" s="1"/>
  <c r="CS53" i="5"/>
  <c r="CT53" i="5" s="1"/>
  <c r="CO53" i="5"/>
  <c r="CP53" i="5" s="1"/>
  <c r="CL53" i="5"/>
  <c r="CK53" i="5"/>
  <c r="CG53" i="5"/>
  <c r="CF53" i="5"/>
  <c r="CC53" i="5"/>
  <c r="CB53" i="5"/>
  <c r="CD53" i="5" s="1"/>
  <c r="BZ53" i="5"/>
  <c r="BY53" i="5"/>
  <c r="BU53" i="5"/>
  <c r="BV53" i="5" s="1"/>
  <c r="BR53" i="5"/>
  <c r="BQ53" i="5"/>
  <c r="BM53" i="5"/>
  <c r="BN53" i="5" s="1"/>
  <c r="BI53" i="5"/>
  <c r="BJ53" i="5" s="1"/>
  <c r="BE53" i="5"/>
  <c r="BF53" i="5" s="1"/>
  <c r="BA53" i="5"/>
  <c r="BB53" i="5" s="1"/>
  <c r="AW53" i="5"/>
  <c r="AX53" i="5" s="1"/>
  <c r="AT53" i="5"/>
  <c r="AS53" i="5"/>
  <c r="AO53" i="5"/>
  <c r="AP53" i="5" s="1"/>
  <c r="AK53" i="5"/>
  <c r="AL53" i="5" s="1"/>
  <c r="AG53" i="5"/>
  <c r="AH53" i="5" s="1"/>
  <c r="AC53" i="5"/>
  <c r="AD53" i="5" s="1"/>
  <c r="Y53" i="5"/>
  <c r="Z53" i="5" s="1"/>
  <c r="U53" i="5"/>
  <c r="V53" i="5" s="1"/>
  <c r="Q53" i="5"/>
  <c r="R53" i="5" s="1"/>
  <c r="N53" i="5"/>
  <c r="M53" i="5"/>
  <c r="I53" i="5"/>
  <c r="J53" i="5" s="1"/>
  <c r="F53" i="5"/>
  <c r="E53" i="5"/>
  <c r="HO52" i="5"/>
  <c r="HA52" i="5"/>
  <c r="GZ52" i="5"/>
  <c r="GY52" i="5"/>
  <c r="GV52" i="5"/>
  <c r="GW52" i="5" s="1"/>
  <c r="GU52" i="5"/>
  <c r="GR52" i="5"/>
  <c r="GQ52" i="5"/>
  <c r="GS52" i="5" s="1"/>
  <c r="GN52" i="5"/>
  <c r="GM52" i="5"/>
  <c r="GJ52" i="5"/>
  <c r="GI52" i="5"/>
  <c r="GF52" i="5"/>
  <c r="GE52" i="5"/>
  <c r="GG52" i="5" s="1"/>
  <c r="GB52" i="5"/>
  <c r="GA52" i="5"/>
  <c r="FX52" i="5"/>
  <c r="FW52" i="5"/>
  <c r="FY52" i="5" s="1"/>
  <c r="FU52" i="5"/>
  <c r="FT52" i="5"/>
  <c r="FS52" i="5"/>
  <c r="FQ52" i="5"/>
  <c r="FP52" i="5"/>
  <c r="FO52" i="5"/>
  <c r="FL52" i="5"/>
  <c r="FK52" i="5"/>
  <c r="IE52" i="5" s="1"/>
  <c r="FI52" i="5"/>
  <c r="FH52" i="5"/>
  <c r="FE52" i="5"/>
  <c r="FD52" i="5"/>
  <c r="FA52" i="5"/>
  <c r="EZ52" i="5"/>
  <c r="FB52" i="5" s="1"/>
  <c r="EW52" i="5"/>
  <c r="EV52" i="5"/>
  <c r="ES52" i="5"/>
  <c r="ER52" i="5"/>
  <c r="ET52" i="5" s="1"/>
  <c r="EP52" i="5"/>
  <c r="EO52" i="5"/>
  <c r="EN52" i="5"/>
  <c r="EK52" i="5"/>
  <c r="IJ52" i="5" s="1"/>
  <c r="EJ52" i="5"/>
  <c r="II52" i="5" s="1"/>
  <c r="EG52" i="5"/>
  <c r="EF52" i="5"/>
  <c r="EC52" i="5"/>
  <c r="EB52" i="5"/>
  <c r="DY52" i="5"/>
  <c r="DX52" i="5"/>
  <c r="DU52" i="5"/>
  <c r="DV52" i="5" s="1"/>
  <c r="DQ52" i="5"/>
  <c r="DR52" i="5" s="1"/>
  <c r="DN52" i="5"/>
  <c r="DM52" i="5"/>
  <c r="DL52" i="5"/>
  <c r="DI52" i="5"/>
  <c r="DF52" i="5"/>
  <c r="DE52" i="5"/>
  <c r="DA52" i="5"/>
  <c r="CZ52" i="5"/>
  <c r="CX52" i="5"/>
  <c r="CW52" i="5"/>
  <c r="CS52" i="5"/>
  <c r="CT52" i="5" s="1"/>
  <c r="CP52" i="5"/>
  <c r="CO52" i="5"/>
  <c r="CK52" i="5"/>
  <c r="CG52" i="5"/>
  <c r="CF52" i="5"/>
  <c r="CC52" i="5"/>
  <c r="CB52" i="5"/>
  <c r="BY52" i="5"/>
  <c r="BZ52" i="5" s="1"/>
  <c r="BV52" i="5"/>
  <c r="BU52" i="5"/>
  <c r="BQ52" i="5"/>
  <c r="BR52" i="5" s="1"/>
  <c r="BM52" i="5"/>
  <c r="BN52" i="5" s="1"/>
  <c r="BI52" i="5"/>
  <c r="BE52" i="5"/>
  <c r="BF52" i="5" s="1"/>
  <c r="BA52" i="5"/>
  <c r="BB52" i="5" s="1"/>
  <c r="AW52" i="5"/>
  <c r="AX52" i="5" s="1"/>
  <c r="AT52" i="5"/>
  <c r="AS52" i="5"/>
  <c r="AO52" i="5"/>
  <c r="AP52" i="5" s="1"/>
  <c r="AL52" i="5"/>
  <c r="AK52" i="5"/>
  <c r="AG52" i="5"/>
  <c r="AH52" i="5" s="1"/>
  <c r="AC52" i="5"/>
  <c r="AD52" i="5" s="1"/>
  <c r="Y52" i="5"/>
  <c r="Z52" i="5" s="1"/>
  <c r="U52" i="5"/>
  <c r="V52" i="5" s="1"/>
  <c r="Q52" i="5"/>
  <c r="R52" i="5" s="1"/>
  <c r="N52" i="5"/>
  <c r="M52" i="5"/>
  <c r="I52" i="5"/>
  <c r="J52" i="5" s="1"/>
  <c r="E52" i="5"/>
  <c r="F52" i="5" s="1"/>
  <c r="HO51" i="5"/>
  <c r="GZ51" i="5"/>
  <c r="GY51" i="5"/>
  <c r="HA51" i="5" s="1"/>
  <c r="GV51" i="5"/>
  <c r="GU51" i="5"/>
  <c r="GW51" i="5" s="1"/>
  <c r="GR51" i="5"/>
  <c r="GQ51" i="5"/>
  <c r="GN51" i="5"/>
  <c r="GM51" i="5"/>
  <c r="GO51" i="5" s="1"/>
  <c r="GK51" i="5"/>
  <c r="GJ51" i="5"/>
  <c r="GI51" i="5"/>
  <c r="GF51" i="5"/>
  <c r="GG51" i="5" s="1"/>
  <c r="GE51" i="5"/>
  <c r="GB51" i="5"/>
  <c r="GA51" i="5"/>
  <c r="GC51" i="5" s="1"/>
  <c r="FX51" i="5"/>
  <c r="FW51" i="5"/>
  <c r="FT51" i="5"/>
  <c r="FS51" i="5"/>
  <c r="FU51" i="5" s="1"/>
  <c r="FP51" i="5"/>
  <c r="FO51" i="5"/>
  <c r="FQ51" i="5" s="1"/>
  <c r="FL51" i="5"/>
  <c r="IF51" i="5" s="1"/>
  <c r="FK51" i="5"/>
  <c r="FI51" i="5"/>
  <c r="FH51" i="5"/>
  <c r="FJ51" i="5" s="1"/>
  <c r="FF51" i="5"/>
  <c r="FE51" i="5"/>
  <c r="IB51" i="5" s="1"/>
  <c r="FD51" i="5"/>
  <c r="FB51" i="5"/>
  <c r="FA51" i="5"/>
  <c r="EZ51" i="5"/>
  <c r="EW51" i="5"/>
  <c r="EV51" i="5"/>
  <c r="EX51" i="5" s="1"/>
  <c r="ES51" i="5"/>
  <c r="ER51" i="5"/>
  <c r="EO51" i="5"/>
  <c r="EN51" i="5"/>
  <c r="EK51" i="5"/>
  <c r="IJ51" i="5" s="1"/>
  <c r="EJ51" i="5"/>
  <c r="EG51" i="5"/>
  <c r="HX51" i="5" s="1"/>
  <c r="EF51" i="5"/>
  <c r="EC51" i="5"/>
  <c r="EB51" i="5"/>
  <c r="ED51" i="5" s="1"/>
  <c r="DZ51" i="5"/>
  <c r="DY51" i="5"/>
  <c r="DX51" i="5"/>
  <c r="DU51" i="5"/>
  <c r="DV51" i="5" s="1"/>
  <c r="DQ51" i="5"/>
  <c r="DR51" i="5" s="1"/>
  <c r="DM51" i="5"/>
  <c r="DL51" i="5"/>
  <c r="DN51" i="5" s="1"/>
  <c r="DI51" i="5"/>
  <c r="DE51" i="5"/>
  <c r="DF51" i="5" s="1"/>
  <c r="DA51" i="5"/>
  <c r="CZ51" i="5"/>
  <c r="CW51" i="5"/>
  <c r="CX51" i="5" s="1"/>
  <c r="CT51" i="5"/>
  <c r="CS51" i="5"/>
  <c r="CO51" i="5"/>
  <c r="CP51" i="5" s="1"/>
  <c r="CK51" i="5"/>
  <c r="CG51" i="5"/>
  <c r="CF51" i="5"/>
  <c r="CC51" i="5"/>
  <c r="CB51" i="5"/>
  <c r="BY51" i="5"/>
  <c r="BZ51" i="5" s="1"/>
  <c r="BU51" i="5"/>
  <c r="BV51" i="5" s="1"/>
  <c r="BR51" i="5"/>
  <c r="BQ51" i="5"/>
  <c r="BM51" i="5"/>
  <c r="BN51" i="5" s="1"/>
  <c r="BJ51" i="5"/>
  <c r="BI51" i="5"/>
  <c r="HL51" i="5" s="1"/>
  <c r="BE51" i="5"/>
  <c r="BF51" i="5" s="1"/>
  <c r="BA51" i="5"/>
  <c r="BB51" i="5" s="1"/>
  <c r="AX51" i="5"/>
  <c r="AW51" i="5"/>
  <c r="AS51" i="5"/>
  <c r="AT51" i="5" s="1"/>
  <c r="AP51" i="5"/>
  <c r="AO51" i="5"/>
  <c r="AK51" i="5"/>
  <c r="AL51" i="5" s="1"/>
  <c r="AH51" i="5"/>
  <c r="AG51" i="5"/>
  <c r="AC51" i="5"/>
  <c r="AD51" i="5" s="1"/>
  <c r="Z51" i="5"/>
  <c r="Y51" i="5"/>
  <c r="U51" i="5"/>
  <c r="V51" i="5" s="1"/>
  <c r="R51" i="5"/>
  <c r="Q51" i="5"/>
  <c r="M51" i="5"/>
  <c r="J51" i="5"/>
  <c r="I51" i="5"/>
  <c r="E51" i="5"/>
  <c r="II50" i="5"/>
  <c r="HO50" i="5"/>
  <c r="GZ50" i="5"/>
  <c r="HA50" i="5" s="1"/>
  <c r="GY50" i="5"/>
  <c r="GV50" i="5"/>
  <c r="GU50" i="5"/>
  <c r="GR50" i="5"/>
  <c r="GQ50" i="5"/>
  <c r="GS50" i="5" s="1"/>
  <c r="GN50" i="5"/>
  <c r="GM50" i="5"/>
  <c r="GJ50" i="5"/>
  <c r="GI50" i="5"/>
  <c r="GK50" i="5" s="1"/>
  <c r="GG50" i="5"/>
  <c r="GF50" i="5"/>
  <c r="GE50" i="5"/>
  <c r="GB50" i="5"/>
  <c r="GA50" i="5"/>
  <c r="FX50" i="5"/>
  <c r="FW50" i="5"/>
  <c r="FY50" i="5" s="1"/>
  <c r="FT50" i="5"/>
  <c r="FU50" i="5" s="1"/>
  <c r="FS50" i="5"/>
  <c r="FP50" i="5"/>
  <c r="FO50" i="5"/>
  <c r="FQ50" i="5" s="1"/>
  <c r="FL50" i="5"/>
  <c r="FK50" i="5"/>
  <c r="FI50" i="5"/>
  <c r="FH50" i="5"/>
  <c r="FJ50" i="5" s="1"/>
  <c r="FE50" i="5"/>
  <c r="FD50" i="5"/>
  <c r="FB50" i="5"/>
  <c r="FA50" i="5"/>
  <c r="EZ50" i="5"/>
  <c r="EW50" i="5"/>
  <c r="EV50" i="5"/>
  <c r="ES50" i="5"/>
  <c r="ER50" i="5"/>
  <c r="ET50" i="5" s="1"/>
  <c r="EP50" i="5"/>
  <c r="EO50" i="5"/>
  <c r="EN50" i="5"/>
  <c r="HS50" i="5" s="1"/>
  <c r="EK50" i="5"/>
  <c r="IJ50" i="5" s="1"/>
  <c r="EJ50" i="5"/>
  <c r="EG50" i="5"/>
  <c r="EF50" i="5"/>
  <c r="EC50" i="5"/>
  <c r="EB50" i="5"/>
  <c r="DY50" i="5"/>
  <c r="DX50" i="5"/>
  <c r="DZ50" i="5" s="1"/>
  <c r="DV50" i="5"/>
  <c r="DU50" i="5"/>
  <c r="DQ50" i="5"/>
  <c r="DR50" i="5" s="1"/>
  <c r="DM50" i="5"/>
  <c r="DN50" i="5" s="1"/>
  <c r="DL50" i="5"/>
  <c r="DI50" i="5"/>
  <c r="DE50" i="5"/>
  <c r="DF50" i="5" s="1"/>
  <c r="DA50" i="5"/>
  <c r="CZ50" i="5"/>
  <c r="DB50" i="5" s="1"/>
  <c r="CW50" i="5"/>
  <c r="CX50" i="5" s="1"/>
  <c r="CT50" i="5"/>
  <c r="CS50" i="5"/>
  <c r="CO50" i="5"/>
  <c r="CP50" i="5" s="1"/>
  <c r="CK50" i="5"/>
  <c r="CG50" i="5"/>
  <c r="CF50" i="5"/>
  <c r="CC50" i="5"/>
  <c r="CD50" i="5" s="1"/>
  <c r="CB50" i="5"/>
  <c r="BY50" i="5"/>
  <c r="BZ50" i="5" s="1"/>
  <c r="BU50" i="5"/>
  <c r="BV50" i="5" s="1"/>
  <c r="BQ50" i="5"/>
  <c r="BR50" i="5" s="1"/>
  <c r="BM50" i="5"/>
  <c r="BN50" i="5" s="1"/>
  <c r="BJ50" i="5"/>
  <c r="BI50" i="5"/>
  <c r="BE50" i="5"/>
  <c r="BF50" i="5" s="1"/>
  <c r="BB50" i="5"/>
  <c r="BA50" i="5"/>
  <c r="AW50" i="5"/>
  <c r="AX50" i="5" s="1"/>
  <c r="AS50" i="5"/>
  <c r="AT50" i="5" s="1"/>
  <c r="AP50" i="5"/>
  <c r="AO50" i="5"/>
  <c r="AK50" i="5"/>
  <c r="AL50" i="5" s="1"/>
  <c r="AG50" i="5"/>
  <c r="AH50" i="5" s="1"/>
  <c r="AC50" i="5"/>
  <c r="AD50" i="5" s="1"/>
  <c r="Y50" i="5"/>
  <c r="Z50" i="5" s="1"/>
  <c r="V50" i="5"/>
  <c r="U50" i="5"/>
  <c r="Q50" i="5"/>
  <c r="R50" i="5" s="1"/>
  <c r="M50" i="5"/>
  <c r="I50" i="5"/>
  <c r="J50" i="5" s="1"/>
  <c r="E50" i="5"/>
  <c r="F50" i="5" s="1"/>
  <c r="HO49" i="5"/>
  <c r="HA49" i="5"/>
  <c r="GZ49" i="5"/>
  <c r="GY49" i="5"/>
  <c r="GV49" i="5"/>
  <c r="GU49" i="5"/>
  <c r="GW49" i="5" s="1"/>
  <c r="GR49" i="5"/>
  <c r="GQ49" i="5"/>
  <c r="GN49" i="5"/>
  <c r="GM49" i="5"/>
  <c r="GO49" i="5" s="1"/>
  <c r="GJ49" i="5"/>
  <c r="GI49" i="5"/>
  <c r="GK49" i="5" s="1"/>
  <c r="GG49" i="5"/>
  <c r="GF49" i="5"/>
  <c r="GE49" i="5"/>
  <c r="GB49" i="5"/>
  <c r="GA49" i="5"/>
  <c r="FX49" i="5"/>
  <c r="FW49" i="5"/>
  <c r="FY49" i="5" s="1"/>
  <c r="FT49" i="5"/>
  <c r="FU49" i="5" s="1"/>
  <c r="FS49" i="5"/>
  <c r="FP49" i="5"/>
  <c r="FO49" i="5"/>
  <c r="FQ49" i="5" s="1"/>
  <c r="FL49" i="5"/>
  <c r="FK49" i="5"/>
  <c r="FI49" i="5"/>
  <c r="FH49" i="5"/>
  <c r="FJ49" i="5" s="1"/>
  <c r="FE49" i="5"/>
  <c r="FD49" i="5"/>
  <c r="FB49" i="5"/>
  <c r="FA49" i="5"/>
  <c r="EZ49" i="5"/>
  <c r="EW49" i="5"/>
  <c r="EV49" i="5"/>
  <c r="ES49" i="5"/>
  <c r="ER49" i="5"/>
  <c r="ET49" i="5" s="1"/>
  <c r="EP49" i="5"/>
  <c r="EO49" i="5"/>
  <c r="EN49" i="5"/>
  <c r="HS49" i="5" s="1"/>
  <c r="EK49" i="5"/>
  <c r="IJ49" i="5" s="1"/>
  <c r="EJ49" i="5"/>
  <c r="EG49" i="5"/>
  <c r="EF49" i="5"/>
  <c r="EC49" i="5"/>
  <c r="EB49" i="5"/>
  <c r="ED49" i="5" s="1"/>
  <c r="DY49" i="5"/>
  <c r="DX49" i="5"/>
  <c r="DZ49" i="5" s="1"/>
  <c r="DU49" i="5"/>
  <c r="DV49" i="5" s="1"/>
  <c r="DQ49" i="5"/>
  <c r="DR49" i="5" s="1"/>
  <c r="DM49" i="5"/>
  <c r="DL49" i="5"/>
  <c r="DN49" i="5" s="1"/>
  <c r="DI49" i="5"/>
  <c r="DE49" i="5"/>
  <c r="DF49" i="5" s="1"/>
  <c r="DA49" i="5"/>
  <c r="CZ49" i="5"/>
  <c r="CW49" i="5"/>
  <c r="CX49" i="5" s="1"/>
  <c r="CS49" i="5"/>
  <c r="CT49" i="5" s="1"/>
  <c r="CO49" i="5"/>
  <c r="CP49" i="5" s="1"/>
  <c r="CK49" i="5"/>
  <c r="CH49" i="5"/>
  <c r="CG49" i="5"/>
  <c r="CF49" i="5"/>
  <c r="CC49" i="5"/>
  <c r="CB49" i="5"/>
  <c r="HK49" i="5" s="1"/>
  <c r="BY49" i="5"/>
  <c r="BZ49" i="5" s="1"/>
  <c r="BU49" i="5"/>
  <c r="BV49" i="5" s="1"/>
  <c r="BQ49" i="5"/>
  <c r="BR49" i="5" s="1"/>
  <c r="BM49" i="5"/>
  <c r="BN49" i="5" s="1"/>
  <c r="BI49" i="5"/>
  <c r="BJ49" i="5" s="1"/>
  <c r="BE49" i="5"/>
  <c r="BF49" i="5" s="1"/>
  <c r="BB49" i="5"/>
  <c r="BA49" i="5"/>
  <c r="AW49" i="5"/>
  <c r="AX49" i="5" s="1"/>
  <c r="AS49" i="5"/>
  <c r="AT49" i="5" s="1"/>
  <c r="AO49" i="5"/>
  <c r="AP49" i="5" s="1"/>
  <c r="AK49" i="5"/>
  <c r="AL49" i="5" s="1"/>
  <c r="AG49" i="5"/>
  <c r="AH49" i="5" s="1"/>
  <c r="AD49" i="5"/>
  <c r="AC49" i="5"/>
  <c r="Y49" i="5"/>
  <c r="Z49" i="5" s="1"/>
  <c r="U49" i="5"/>
  <c r="V49" i="5" s="1"/>
  <c r="Q49" i="5"/>
  <c r="R49" i="5" s="1"/>
  <c r="M49" i="5"/>
  <c r="I49" i="5"/>
  <c r="J49" i="5" s="1"/>
  <c r="E49" i="5"/>
  <c r="HO48" i="5"/>
  <c r="GZ48" i="5"/>
  <c r="GY48" i="5"/>
  <c r="HA48" i="5" s="1"/>
  <c r="GW48" i="5"/>
  <c r="GV48" i="5"/>
  <c r="GU48" i="5"/>
  <c r="GR48" i="5"/>
  <c r="GQ48" i="5"/>
  <c r="GS48" i="5" s="1"/>
  <c r="GN48" i="5"/>
  <c r="GM48" i="5"/>
  <c r="GJ48" i="5"/>
  <c r="GK48" i="5" s="1"/>
  <c r="GI48" i="5"/>
  <c r="GF48" i="5"/>
  <c r="GE48" i="5"/>
  <c r="GB48" i="5"/>
  <c r="GA48" i="5"/>
  <c r="FX48" i="5"/>
  <c r="FW48" i="5"/>
  <c r="FT48" i="5"/>
  <c r="FS48" i="5"/>
  <c r="FP48" i="5"/>
  <c r="FO48" i="5"/>
  <c r="FQ48" i="5" s="1"/>
  <c r="FL48" i="5"/>
  <c r="FK48" i="5"/>
  <c r="FI48" i="5"/>
  <c r="FH48" i="5"/>
  <c r="FE48" i="5"/>
  <c r="FD48" i="5"/>
  <c r="FB48" i="5"/>
  <c r="FA48" i="5"/>
  <c r="EZ48" i="5"/>
  <c r="EX48" i="5"/>
  <c r="EW48" i="5"/>
  <c r="EV48" i="5"/>
  <c r="ES48" i="5"/>
  <c r="ER48" i="5"/>
  <c r="ET48" i="5" s="1"/>
  <c r="EP48" i="5"/>
  <c r="EO48" i="5"/>
  <c r="EN48" i="5"/>
  <c r="EL48" i="5"/>
  <c r="EK48" i="5"/>
  <c r="IJ48" i="5" s="1"/>
  <c r="EJ48" i="5"/>
  <c r="II48" i="5" s="1"/>
  <c r="EG48" i="5"/>
  <c r="EF48" i="5"/>
  <c r="HW48" i="5" s="1"/>
  <c r="EC48" i="5"/>
  <c r="EB48" i="5"/>
  <c r="DY48" i="5"/>
  <c r="DX48" i="5"/>
  <c r="DZ48" i="5" s="1"/>
  <c r="DU48" i="5"/>
  <c r="DV48" i="5" s="1"/>
  <c r="DQ48" i="5"/>
  <c r="DR48" i="5" s="1"/>
  <c r="DM48" i="5"/>
  <c r="DN48" i="5" s="1"/>
  <c r="DL48" i="5"/>
  <c r="DI48" i="5"/>
  <c r="DJ48" i="5" s="1"/>
  <c r="DF48" i="5"/>
  <c r="DE48" i="5"/>
  <c r="DA48" i="5"/>
  <c r="CZ48" i="5"/>
  <c r="DB48" i="5" s="1"/>
  <c r="CW48" i="5"/>
  <c r="CX48" i="5" s="1"/>
  <c r="CS48" i="5"/>
  <c r="CT48" i="5" s="1"/>
  <c r="CO48" i="5"/>
  <c r="CP48" i="5" s="1"/>
  <c r="CK48" i="5"/>
  <c r="CL48" i="5" s="1"/>
  <c r="CG48" i="5"/>
  <c r="CF48" i="5"/>
  <c r="CC48" i="5"/>
  <c r="CB48" i="5"/>
  <c r="CD48" i="5" s="1"/>
  <c r="BY48" i="5"/>
  <c r="BZ48" i="5" s="1"/>
  <c r="BU48" i="5"/>
  <c r="BV48" i="5" s="1"/>
  <c r="BQ48" i="5"/>
  <c r="BR48" i="5" s="1"/>
  <c r="BM48" i="5"/>
  <c r="BN48" i="5" s="1"/>
  <c r="BI48" i="5"/>
  <c r="BE48" i="5"/>
  <c r="BF48" i="5" s="1"/>
  <c r="BB48" i="5"/>
  <c r="BA48" i="5"/>
  <c r="AW48" i="5"/>
  <c r="AX48" i="5" s="1"/>
  <c r="AS48" i="5"/>
  <c r="AT48" i="5" s="1"/>
  <c r="AO48" i="5"/>
  <c r="AP48" i="5" s="1"/>
  <c r="AK48" i="5"/>
  <c r="AL48" i="5" s="1"/>
  <c r="AG48" i="5"/>
  <c r="AH48" i="5" s="1"/>
  <c r="AD48" i="5"/>
  <c r="AC48" i="5"/>
  <c r="Y48" i="5"/>
  <c r="Z48" i="5" s="1"/>
  <c r="U48" i="5"/>
  <c r="V48" i="5" s="1"/>
  <c r="Q48" i="5"/>
  <c r="R48" i="5" s="1"/>
  <c r="M48" i="5"/>
  <c r="I48" i="5"/>
  <c r="J48" i="5" s="1"/>
  <c r="F48" i="5"/>
  <c r="E48" i="5"/>
  <c r="HO47" i="5"/>
  <c r="HA47" i="5"/>
  <c r="GZ47" i="5"/>
  <c r="GY47" i="5"/>
  <c r="GV47" i="5"/>
  <c r="GU47" i="5"/>
  <c r="GR47" i="5"/>
  <c r="GQ47" i="5"/>
  <c r="GS47" i="5" s="1"/>
  <c r="GN47" i="5"/>
  <c r="GM47" i="5"/>
  <c r="GJ47" i="5"/>
  <c r="GI47" i="5"/>
  <c r="GK47" i="5" s="1"/>
  <c r="GF47" i="5"/>
  <c r="GG47" i="5" s="1"/>
  <c r="GE47" i="5"/>
  <c r="GB47" i="5"/>
  <c r="GA47" i="5"/>
  <c r="GC47" i="5" s="1"/>
  <c r="FX47" i="5"/>
  <c r="FW47" i="5"/>
  <c r="FT47" i="5"/>
  <c r="FS47" i="5"/>
  <c r="FU47" i="5" s="1"/>
  <c r="FP47" i="5"/>
  <c r="FO47" i="5"/>
  <c r="FQ47" i="5" s="1"/>
  <c r="FM47" i="5"/>
  <c r="FL47" i="5"/>
  <c r="FK47" i="5"/>
  <c r="FI47" i="5"/>
  <c r="FH47" i="5"/>
  <c r="FE47" i="5"/>
  <c r="FD47" i="5"/>
  <c r="FB47" i="5"/>
  <c r="FA47" i="5"/>
  <c r="EZ47" i="5"/>
  <c r="EW47" i="5"/>
  <c r="EV47" i="5"/>
  <c r="EX47" i="5" s="1"/>
  <c r="ES47" i="5"/>
  <c r="ER47" i="5"/>
  <c r="EO47" i="5"/>
  <c r="EP47" i="5" s="1"/>
  <c r="EN47" i="5"/>
  <c r="EK47" i="5"/>
  <c r="EJ47" i="5"/>
  <c r="II47" i="5" s="1"/>
  <c r="EG47" i="5"/>
  <c r="EF47" i="5"/>
  <c r="EC47" i="5"/>
  <c r="EB47" i="5"/>
  <c r="DY47" i="5"/>
  <c r="DX47" i="5"/>
  <c r="DU47" i="5"/>
  <c r="DV47" i="5" s="1"/>
  <c r="DQ47" i="5"/>
  <c r="DR47" i="5" s="1"/>
  <c r="DM47" i="5"/>
  <c r="DL47" i="5"/>
  <c r="DN47" i="5" s="1"/>
  <c r="DJ47" i="5"/>
  <c r="DI47" i="5"/>
  <c r="DE47" i="5"/>
  <c r="DF47" i="5" s="1"/>
  <c r="DB47" i="5"/>
  <c r="DA47" i="5"/>
  <c r="CZ47" i="5"/>
  <c r="CW47" i="5"/>
  <c r="CX47" i="5" s="1"/>
  <c r="CT47" i="5"/>
  <c r="CS47" i="5"/>
  <c r="CO47" i="5"/>
  <c r="CP47" i="5" s="1"/>
  <c r="CK47" i="5"/>
  <c r="CG47" i="5"/>
  <c r="CF47" i="5"/>
  <c r="CC47" i="5"/>
  <c r="CB47" i="5"/>
  <c r="HK47" i="5" s="1"/>
  <c r="BZ47" i="5"/>
  <c r="BY47" i="5"/>
  <c r="BU47" i="5"/>
  <c r="BV47" i="5" s="1"/>
  <c r="BR47" i="5"/>
  <c r="BQ47" i="5"/>
  <c r="BM47" i="5"/>
  <c r="BN47" i="5" s="1"/>
  <c r="BI47" i="5"/>
  <c r="BE47" i="5"/>
  <c r="BF47" i="5" s="1"/>
  <c r="BA47" i="5"/>
  <c r="BB47" i="5" s="1"/>
  <c r="AW47" i="5"/>
  <c r="AX47" i="5" s="1"/>
  <c r="AS47" i="5"/>
  <c r="AT47" i="5" s="1"/>
  <c r="AO47" i="5"/>
  <c r="AP47" i="5" s="1"/>
  <c r="AK47" i="5"/>
  <c r="AL47" i="5" s="1"/>
  <c r="AG47" i="5"/>
  <c r="AH47" i="5" s="1"/>
  <c r="AC47" i="5"/>
  <c r="AD47" i="5" s="1"/>
  <c r="Y47" i="5"/>
  <c r="Z47" i="5" s="1"/>
  <c r="U47" i="5"/>
  <c r="V47" i="5" s="1"/>
  <c r="Q47" i="5"/>
  <c r="R47" i="5" s="1"/>
  <c r="M47" i="5"/>
  <c r="N47" i="5" s="1"/>
  <c r="I47" i="5"/>
  <c r="J47" i="5" s="1"/>
  <c r="E47" i="5"/>
  <c r="F47" i="5" s="1"/>
  <c r="II46" i="5"/>
  <c r="HO46" i="5"/>
  <c r="GZ46" i="5"/>
  <c r="GY46" i="5"/>
  <c r="HA46" i="5" s="1"/>
  <c r="GV46" i="5"/>
  <c r="GU46" i="5"/>
  <c r="GW46" i="5" s="1"/>
  <c r="GS46" i="5"/>
  <c r="GR46" i="5"/>
  <c r="GQ46" i="5"/>
  <c r="GN46" i="5"/>
  <c r="GM46" i="5"/>
  <c r="GJ46" i="5"/>
  <c r="GI46" i="5"/>
  <c r="GK46" i="5" s="1"/>
  <c r="GG46" i="5"/>
  <c r="GF46" i="5"/>
  <c r="GE46" i="5"/>
  <c r="GB46" i="5"/>
  <c r="IB46" i="5" s="1"/>
  <c r="GA46" i="5"/>
  <c r="FX46" i="5"/>
  <c r="FW46" i="5"/>
  <c r="FY46" i="5" s="1"/>
  <c r="FU46" i="5"/>
  <c r="FT46" i="5"/>
  <c r="FS46" i="5"/>
  <c r="FP46" i="5"/>
  <c r="FO46" i="5"/>
  <c r="FQ46" i="5" s="1"/>
  <c r="FL46" i="5"/>
  <c r="FK46" i="5"/>
  <c r="FI46" i="5"/>
  <c r="FH46" i="5"/>
  <c r="FE46" i="5"/>
  <c r="FD46" i="5"/>
  <c r="FA46" i="5"/>
  <c r="FB46" i="5" s="1"/>
  <c r="EZ46" i="5"/>
  <c r="EW46" i="5"/>
  <c r="EV46" i="5"/>
  <c r="EX46" i="5" s="1"/>
  <c r="ES46" i="5"/>
  <c r="ER46" i="5"/>
  <c r="EO46" i="5"/>
  <c r="EN46" i="5"/>
  <c r="EL46" i="5"/>
  <c r="EK46" i="5"/>
  <c r="IJ46" i="5" s="1"/>
  <c r="EJ46" i="5"/>
  <c r="EG46" i="5"/>
  <c r="HX46" i="5" s="1"/>
  <c r="EF46" i="5"/>
  <c r="EC46" i="5"/>
  <c r="EB46" i="5"/>
  <c r="DY46" i="5"/>
  <c r="DX46" i="5"/>
  <c r="DU46" i="5"/>
  <c r="DV46" i="5" s="1"/>
  <c r="DQ46" i="5"/>
  <c r="DR46" i="5" s="1"/>
  <c r="DM46" i="5"/>
  <c r="DL46" i="5"/>
  <c r="DN46" i="5" s="1"/>
  <c r="DI46" i="5"/>
  <c r="DE46" i="5"/>
  <c r="DF46" i="5" s="1"/>
  <c r="DA46" i="5"/>
  <c r="CZ46" i="5"/>
  <c r="CW46" i="5"/>
  <c r="CX46" i="5" s="1"/>
  <c r="CS46" i="5"/>
  <c r="CT46" i="5" s="1"/>
  <c r="CO46" i="5"/>
  <c r="CP46" i="5" s="1"/>
  <c r="CK46" i="5"/>
  <c r="CG46" i="5"/>
  <c r="CF46" i="5"/>
  <c r="CC46" i="5"/>
  <c r="CB46" i="5"/>
  <c r="BY46" i="5"/>
  <c r="BZ46" i="5" s="1"/>
  <c r="BV46" i="5"/>
  <c r="BU46" i="5"/>
  <c r="BQ46" i="5"/>
  <c r="BR46" i="5" s="1"/>
  <c r="BN46" i="5"/>
  <c r="BM46" i="5"/>
  <c r="BI46" i="5"/>
  <c r="BJ46" i="5" s="1"/>
  <c r="BF46" i="5"/>
  <c r="BE46" i="5"/>
  <c r="BA46" i="5"/>
  <c r="BB46" i="5" s="1"/>
  <c r="AX46" i="5"/>
  <c r="AW46" i="5"/>
  <c r="AS46" i="5"/>
  <c r="AT46" i="5" s="1"/>
  <c r="AP46" i="5"/>
  <c r="AO46" i="5"/>
  <c r="AK46" i="5"/>
  <c r="AL46" i="5" s="1"/>
  <c r="AH46" i="5"/>
  <c r="AG46" i="5"/>
  <c r="AC46" i="5"/>
  <c r="AD46" i="5" s="1"/>
  <c r="Z46" i="5"/>
  <c r="Y46" i="5"/>
  <c r="U46" i="5"/>
  <c r="V46" i="5" s="1"/>
  <c r="R46" i="5"/>
  <c r="Q46" i="5"/>
  <c r="M46" i="5"/>
  <c r="J46" i="5"/>
  <c r="I46" i="5"/>
  <c r="E46" i="5"/>
  <c r="HO45" i="5"/>
  <c r="GZ45" i="5"/>
  <c r="GY45" i="5"/>
  <c r="HA45" i="5" s="1"/>
  <c r="GV45" i="5"/>
  <c r="GU45" i="5"/>
  <c r="GR45" i="5"/>
  <c r="GQ45" i="5"/>
  <c r="GN45" i="5"/>
  <c r="GM45" i="5"/>
  <c r="GO45" i="5" s="1"/>
  <c r="GJ45" i="5"/>
  <c r="GI45" i="5"/>
  <c r="GK45" i="5" s="1"/>
  <c r="GF45" i="5"/>
  <c r="GE45" i="5"/>
  <c r="GB45" i="5"/>
  <c r="GA45" i="5"/>
  <c r="FY45" i="5"/>
  <c r="FX45" i="5"/>
  <c r="FW45" i="5"/>
  <c r="FT45" i="5"/>
  <c r="FS45" i="5"/>
  <c r="FP45" i="5"/>
  <c r="FO45" i="5"/>
  <c r="FQ45" i="5" s="1"/>
  <c r="FL45" i="5"/>
  <c r="FK45" i="5"/>
  <c r="FI45" i="5"/>
  <c r="FH45" i="5"/>
  <c r="FJ45" i="5" s="1"/>
  <c r="FE45" i="5"/>
  <c r="FF45" i="5" s="1"/>
  <c r="FD45" i="5"/>
  <c r="FA45" i="5"/>
  <c r="EZ45" i="5"/>
  <c r="FB45" i="5" s="1"/>
  <c r="EW45" i="5"/>
  <c r="EV45" i="5"/>
  <c r="ES45" i="5"/>
  <c r="ER45" i="5"/>
  <c r="ET45" i="5" s="1"/>
  <c r="EO45" i="5"/>
  <c r="EN45" i="5"/>
  <c r="EP45" i="5" s="1"/>
  <c r="EL45" i="5"/>
  <c r="EK45" i="5"/>
  <c r="IJ45" i="5" s="1"/>
  <c r="EJ45" i="5"/>
  <c r="II45" i="5" s="1"/>
  <c r="IK45" i="5" s="1"/>
  <c r="EG45" i="5"/>
  <c r="HX45" i="5" s="1"/>
  <c r="EF45" i="5"/>
  <c r="EC45" i="5"/>
  <c r="EB45" i="5"/>
  <c r="ED45" i="5" s="1"/>
  <c r="DZ45" i="5"/>
  <c r="DY45" i="5"/>
  <c r="DX45" i="5"/>
  <c r="DU45" i="5"/>
  <c r="DV45" i="5" s="1"/>
  <c r="DR45" i="5"/>
  <c r="DQ45" i="5"/>
  <c r="DM45" i="5"/>
  <c r="DL45" i="5"/>
  <c r="DI45" i="5"/>
  <c r="DE45" i="5"/>
  <c r="DF45" i="5" s="1"/>
  <c r="DA45" i="5"/>
  <c r="CZ45" i="5"/>
  <c r="CX45" i="5"/>
  <c r="CW45" i="5"/>
  <c r="CS45" i="5"/>
  <c r="CT45" i="5" s="1"/>
  <c r="CP45" i="5"/>
  <c r="CO45" i="5"/>
  <c r="CK45" i="5"/>
  <c r="CL45" i="5" s="1"/>
  <c r="CG45" i="5"/>
  <c r="CF45" i="5"/>
  <c r="CC45" i="5"/>
  <c r="CB45" i="5"/>
  <c r="BY45" i="5"/>
  <c r="BZ45" i="5" s="1"/>
  <c r="BU45" i="5"/>
  <c r="BV45" i="5" s="1"/>
  <c r="BQ45" i="5"/>
  <c r="BR45" i="5" s="1"/>
  <c r="BM45" i="5"/>
  <c r="BN45" i="5" s="1"/>
  <c r="BI45" i="5"/>
  <c r="BE45" i="5"/>
  <c r="BF45" i="5" s="1"/>
  <c r="BA45" i="5"/>
  <c r="BB45" i="5" s="1"/>
  <c r="AX45" i="5"/>
  <c r="AW45" i="5"/>
  <c r="AS45" i="5"/>
  <c r="AT45" i="5" s="1"/>
  <c r="AO45" i="5"/>
  <c r="AP45" i="5" s="1"/>
  <c r="AK45" i="5"/>
  <c r="AL45" i="5" s="1"/>
  <c r="AG45" i="5"/>
  <c r="AH45" i="5" s="1"/>
  <c r="AC45" i="5"/>
  <c r="AD45" i="5" s="1"/>
  <c r="Y45" i="5"/>
  <c r="Z45" i="5" s="1"/>
  <c r="U45" i="5"/>
  <c r="V45" i="5" s="1"/>
  <c r="R45" i="5"/>
  <c r="Q45" i="5"/>
  <c r="M45" i="5"/>
  <c r="N45" i="5" s="1"/>
  <c r="I45" i="5"/>
  <c r="J45" i="5" s="1"/>
  <c r="E45" i="5"/>
  <c r="II44" i="5"/>
  <c r="HO44" i="5"/>
  <c r="GZ44" i="5"/>
  <c r="GY44" i="5"/>
  <c r="HA44" i="5" s="1"/>
  <c r="GV44" i="5"/>
  <c r="GU44" i="5"/>
  <c r="GR44" i="5"/>
  <c r="GQ44" i="5"/>
  <c r="GN44" i="5"/>
  <c r="GM44" i="5"/>
  <c r="GO44" i="5" s="1"/>
  <c r="GJ44" i="5"/>
  <c r="GK44" i="5" s="1"/>
  <c r="GI44" i="5"/>
  <c r="GF44" i="5"/>
  <c r="GE44" i="5"/>
  <c r="GB44" i="5"/>
  <c r="GA44" i="5"/>
  <c r="FX44" i="5"/>
  <c r="FW44" i="5"/>
  <c r="FY44" i="5" s="1"/>
  <c r="FU44" i="5"/>
  <c r="FT44" i="5"/>
  <c r="FS44" i="5"/>
  <c r="FQ44" i="5"/>
  <c r="FP44" i="5"/>
  <c r="FO44" i="5"/>
  <c r="FL44" i="5"/>
  <c r="IF44" i="5" s="1"/>
  <c r="FK44" i="5"/>
  <c r="FI44" i="5"/>
  <c r="FH44" i="5"/>
  <c r="FE44" i="5"/>
  <c r="IB44" i="5" s="1"/>
  <c r="FD44" i="5"/>
  <c r="FF44" i="5" s="1"/>
  <c r="FA44" i="5"/>
  <c r="EZ44" i="5"/>
  <c r="FB44" i="5" s="1"/>
  <c r="EW44" i="5"/>
  <c r="EV44" i="5"/>
  <c r="ES44" i="5"/>
  <c r="ER44" i="5"/>
  <c r="ET44" i="5" s="1"/>
  <c r="EO44" i="5"/>
  <c r="EN44" i="5"/>
  <c r="EP44" i="5" s="1"/>
  <c r="EK44" i="5"/>
  <c r="IJ44" i="5" s="1"/>
  <c r="EJ44" i="5"/>
  <c r="EG44" i="5"/>
  <c r="EF44" i="5"/>
  <c r="ED44" i="5"/>
  <c r="EC44" i="5"/>
  <c r="EB44" i="5"/>
  <c r="DY44" i="5"/>
  <c r="DZ44" i="5" s="1"/>
  <c r="DX44" i="5"/>
  <c r="DU44" i="5"/>
  <c r="DV44" i="5" s="1"/>
  <c r="DQ44" i="5"/>
  <c r="DR44" i="5" s="1"/>
  <c r="DM44" i="5"/>
  <c r="DL44" i="5"/>
  <c r="DN44" i="5" s="1"/>
  <c r="DI44" i="5"/>
  <c r="DF44" i="5"/>
  <c r="DE44" i="5"/>
  <c r="DA44" i="5"/>
  <c r="CZ44" i="5"/>
  <c r="DB44" i="5" s="1"/>
  <c r="CW44" i="5"/>
  <c r="CX44" i="5" s="1"/>
  <c r="CS44" i="5"/>
  <c r="CT44" i="5" s="1"/>
  <c r="CO44" i="5"/>
  <c r="CP44" i="5" s="1"/>
  <c r="CK44" i="5"/>
  <c r="CG44" i="5"/>
  <c r="CF44" i="5"/>
  <c r="CH44" i="5" s="1"/>
  <c r="CC44" i="5"/>
  <c r="CB44" i="5"/>
  <c r="BY44" i="5"/>
  <c r="BZ44" i="5" s="1"/>
  <c r="BU44" i="5"/>
  <c r="BV44" i="5" s="1"/>
  <c r="BQ44" i="5"/>
  <c r="BR44" i="5" s="1"/>
  <c r="BM44" i="5"/>
  <c r="BN44" i="5" s="1"/>
  <c r="BI44" i="5"/>
  <c r="BJ44" i="5" s="1"/>
  <c r="BE44" i="5"/>
  <c r="BF44" i="5" s="1"/>
  <c r="BA44" i="5"/>
  <c r="BB44" i="5" s="1"/>
  <c r="AW44" i="5"/>
  <c r="AX44" i="5" s="1"/>
  <c r="AS44" i="5"/>
  <c r="AT44" i="5" s="1"/>
  <c r="AP44" i="5"/>
  <c r="AO44" i="5"/>
  <c r="AK44" i="5"/>
  <c r="AL44" i="5" s="1"/>
  <c r="AG44" i="5"/>
  <c r="AH44" i="5" s="1"/>
  <c r="AC44" i="5"/>
  <c r="AD44" i="5" s="1"/>
  <c r="Y44" i="5"/>
  <c r="Z44" i="5" s="1"/>
  <c r="U44" i="5"/>
  <c r="V44" i="5" s="1"/>
  <c r="R44" i="5"/>
  <c r="Q44" i="5"/>
  <c r="M44" i="5"/>
  <c r="N44" i="5" s="1"/>
  <c r="J44" i="5"/>
  <c r="I44" i="5"/>
  <c r="E44" i="5"/>
  <c r="F44" i="5" s="1"/>
  <c r="HO43" i="5"/>
  <c r="GZ43" i="5"/>
  <c r="GY43" i="5"/>
  <c r="HA43" i="5" s="1"/>
  <c r="GV43" i="5"/>
  <c r="GU43" i="5"/>
  <c r="GR43" i="5"/>
  <c r="GQ43" i="5"/>
  <c r="GS43" i="5" s="1"/>
  <c r="GN43" i="5"/>
  <c r="GM43" i="5"/>
  <c r="GJ43" i="5"/>
  <c r="GI43" i="5"/>
  <c r="GK43" i="5" s="1"/>
  <c r="GF43" i="5"/>
  <c r="GE43" i="5"/>
  <c r="GB43" i="5"/>
  <c r="GA43" i="5"/>
  <c r="FX43" i="5"/>
  <c r="FW43" i="5"/>
  <c r="FY43" i="5" s="1"/>
  <c r="FU43" i="5"/>
  <c r="FT43" i="5"/>
  <c r="FS43" i="5"/>
  <c r="FP43" i="5"/>
  <c r="FO43" i="5"/>
  <c r="FL43" i="5"/>
  <c r="FK43" i="5"/>
  <c r="FJ43" i="5"/>
  <c r="FI43" i="5"/>
  <c r="FH43" i="5"/>
  <c r="FE43" i="5"/>
  <c r="IB43" i="5" s="1"/>
  <c r="FD43" i="5"/>
  <c r="FF43" i="5" s="1"/>
  <c r="FA43" i="5"/>
  <c r="EZ43" i="5"/>
  <c r="FB43" i="5" s="1"/>
  <c r="EW43" i="5"/>
  <c r="EX43" i="5" s="1"/>
  <c r="EV43" i="5"/>
  <c r="ES43" i="5"/>
  <c r="ER43" i="5"/>
  <c r="ET43" i="5" s="1"/>
  <c r="EO43" i="5"/>
  <c r="EN43" i="5"/>
  <c r="EP43" i="5" s="1"/>
  <c r="EK43" i="5"/>
  <c r="IJ43" i="5" s="1"/>
  <c r="EJ43" i="5"/>
  <c r="EG43" i="5"/>
  <c r="EF43" i="5"/>
  <c r="EC43" i="5"/>
  <c r="ED43" i="5" s="1"/>
  <c r="EB43" i="5"/>
  <c r="DY43" i="5"/>
  <c r="DX43" i="5"/>
  <c r="DZ43" i="5" s="1"/>
  <c r="DU43" i="5"/>
  <c r="DV43" i="5" s="1"/>
  <c r="DQ43" i="5"/>
  <c r="DR43" i="5" s="1"/>
  <c r="DM43" i="5"/>
  <c r="DL43" i="5"/>
  <c r="DI43" i="5"/>
  <c r="DJ43" i="5" s="1"/>
  <c r="DE43" i="5"/>
  <c r="DF43" i="5" s="1"/>
  <c r="DA43" i="5"/>
  <c r="CZ43" i="5"/>
  <c r="DB43" i="5" s="1"/>
  <c r="CW43" i="5"/>
  <c r="CX43" i="5" s="1"/>
  <c r="CS43" i="5"/>
  <c r="CT43" i="5" s="1"/>
  <c r="CO43" i="5"/>
  <c r="CK43" i="5"/>
  <c r="CL43" i="5" s="1"/>
  <c r="CG43" i="5"/>
  <c r="CF43" i="5"/>
  <c r="HG43" i="5" s="1"/>
  <c r="CC43" i="5"/>
  <c r="CB43" i="5"/>
  <c r="BY43" i="5"/>
  <c r="BZ43" i="5" s="1"/>
  <c r="BU43" i="5"/>
  <c r="BV43" i="5" s="1"/>
  <c r="BQ43" i="5"/>
  <c r="BR43" i="5" s="1"/>
  <c r="BM43" i="5"/>
  <c r="BN43" i="5" s="1"/>
  <c r="BI43" i="5"/>
  <c r="BJ43" i="5" s="1"/>
  <c r="BF43" i="5"/>
  <c r="BE43" i="5"/>
  <c r="BA43" i="5"/>
  <c r="BB43" i="5" s="1"/>
  <c r="AW43" i="5"/>
  <c r="AX43" i="5" s="1"/>
  <c r="AS43" i="5"/>
  <c r="AT43" i="5" s="1"/>
  <c r="AO43" i="5"/>
  <c r="AP43" i="5" s="1"/>
  <c r="AK43" i="5"/>
  <c r="AL43" i="5" s="1"/>
  <c r="AH43" i="5"/>
  <c r="AG43" i="5"/>
  <c r="AC43" i="5"/>
  <c r="AD43" i="5" s="1"/>
  <c r="Y43" i="5"/>
  <c r="Z43" i="5" s="1"/>
  <c r="U43" i="5"/>
  <c r="V43" i="5" s="1"/>
  <c r="Q43" i="5"/>
  <c r="R43" i="5" s="1"/>
  <c r="M43" i="5"/>
  <c r="N43" i="5" s="1"/>
  <c r="J43" i="5"/>
  <c r="I43" i="5"/>
  <c r="E43" i="5"/>
  <c r="HO42" i="5"/>
  <c r="GZ42" i="5"/>
  <c r="GY42" i="5"/>
  <c r="HA42" i="5" s="1"/>
  <c r="GV42" i="5"/>
  <c r="GU42" i="5"/>
  <c r="GR42" i="5"/>
  <c r="GQ42" i="5"/>
  <c r="GS42" i="5" s="1"/>
  <c r="GN42" i="5"/>
  <c r="GM42" i="5"/>
  <c r="GO42" i="5" s="1"/>
  <c r="GK42" i="5"/>
  <c r="GJ42" i="5"/>
  <c r="GI42" i="5"/>
  <c r="GF42" i="5"/>
  <c r="GE42" i="5"/>
  <c r="GB42" i="5"/>
  <c r="GA42" i="5"/>
  <c r="GC42" i="5" s="1"/>
  <c r="FY42" i="5"/>
  <c r="FX42" i="5"/>
  <c r="FW42" i="5"/>
  <c r="FT42" i="5"/>
  <c r="FS42" i="5"/>
  <c r="IE42" i="5" s="1"/>
  <c r="FP42" i="5"/>
  <c r="FO42" i="5"/>
  <c r="FL42" i="5"/>
  <c r="FK42" i="5"/>
  <c r="FI42" i="5"/>
  <c r="FH42" i="5"/>
  <c r="FE42" i="5"/>
  <c r="IB42" i="5" s="1"/>
  <c r="FD42" i="5"/>
  <c r="FA42" i="5"/>
  <c r="EZ42" i="5"/>
  <c r="EW42" i="5"/>
  <c r="EV42" i="5"/>
  <c r="ES42" i="5"/>
  <c r="ER42" i="5"/>
  <c r="ET42" i="5" s="1"/>
  <c r="EO42" i="5"/>
  <c r="EN42" i="5"/>
  <c r="EP42" i="5" s="1"/>
  <c r="EK42" i="5"/>
  <c r="IJ42" i="5" s="1"/>
  <c r="EJ42" i="5"/>
  <c r="EG42" i="5"/>
  <c r="EF42" i="5"/>
  <c r="ED42" i="5"/>
  <c r="EC42" i="5"/>
  <c r="EB42" i="5"/>
  <c r="DY42" i="5"/>
  <c r="DZ42" i="5" s="1"/>
  <c r="DX42" i="5"/>
  <c r="DU42" i="5"/>
  <c r="DV42" i="5" s="1"/>
  <c r="DQ42" i="5"/>
  <c r="DR42" i="5" s="1"/>
  <c r="DM42" i="5"/>
  <c r="DL42" i="5"/>
  <c r="DN42" i="5" s="1"/>
  <c r="DI42" i="5"/>
  <c r="DJ42" i="5" s="1"/>
  <c r="DE42" i="5"/>
  <c r="DF42" i="5" s="1"/>
  <c r="DA42" i="5"/>
  <c r="CZ42" i="5"/>
  <c r="CW42" i="5"/>
  <c r="CX42" i="5" s="1"/>
  <c r="CS42" i="5"/>
  <c r="CT42" i="5" s="1"/>
  <c r="CO42" i="5"/>
  <c r="CP42" i="5" s="1"/>
  <c r="CK42" i="5"/>
  <c r="CG42" i="5"/>
  <c r="CF42" i="5"/>
  <c r="CH42" i="5" s="1"/>
  <c r="CD42" i="5"/>
  <c r="CC42" i="5"/>
  <c r="CB42" i="5"/>
  <c r="BY42" i="5"/>
  <c r="BZ42" i="5" s="1"/>
  <c r="BV42" i="5"/>
  <c r="BU42" i="5"/>
  <c r="BQ42" i="5"/>
  <c r="BR42" i="5" s="1"/>
  <c r="BM42" i="5"/>
  <c r="BN42" i="5" s="1"/>
  <c r="BI42" i="5"/>
  <c r="BJ42" i="5" s="1"/>
  <c r="BE42" i="5"/>
  <c r="BF42" i="5" s="1"/>
  <c r="BA42" i="5"/>
  <c r="BB42" i="5" s="1"/>
  <c r="AX42" i="5"/>
  <c r="AW42" i="5"/>
  <c r="AS42" i="5"/>
  <c r="AT42" i="5" s="1"/>
  <c r="AO42" i="5"/>
  <c r="AP42" i="5" s="1"/>
  <c r="AK42" i="5"/>
  <c r="AL42" i="5" s="1"/>
  <c r="AG42" i="5"/>
  <c r="AH42" i="5" s="1"/>
  <c r="AC42" i="5"/>
  <c r="AD42" i="5" s="1"/>
  <c r="Z42" i="5"/>
  <c r="Y42" i="5"/>
  <c r="U42" i="5"/>
  <c r="Q42" i="5"/>
  <c r="R42" i="5" s="1"/>
  <c r="M42" i="5"/>
  <c r="N42" i="5" s="1"/>
  <c r="I42" i="5"/>
  <c r="J42" i="5" s="1"/>
  <c r="E42" i="5"/>
  <c r="HO41" i="5"/>
  <c r="GZ41" i="5"/>
  <c r="GY41" i="5"/>
  <c r="GV41" i="5"/>
  <c r="GU41" i="5"/>
  <c r="GS41" i="5"/>
  <c r="GR41" i="5"/>
  <c r="GQ41" i="5"/>
  <c r="GN41" i="5"/>
  <c r="GM41" i="5"/>
  <c r="GJ41" i="5"/>
  <c r="GI41" i="5"/>
  <c r="GK41" i="5" s="1"/>
  <c r="GF41" i="5"/>
  <c r="GE41" i="5"/>
  <c r="GB41" i="5"/>
  <c r="GA41" i="5"/>
  <c r="FX41" i="5"/>
  <c r="FY41" i="5" s="1"/>
  <c r="FW41" i="5"/>
  <c r="FT41" i="5"/>
  <c r="FS41" i="5"/>
  <c r="FU41" i="5" s="1"/>
  <c r="FP41" i="5"/>
  <c r="FO41" i="5"/>
  <c r="FL41" i="5"/>
  <c r="FK41" i="5"/>
  <c r="FI41" i="5"/>
  <c r="FH41" i="5"/>
  <c r="FJ41" i="5" s="1"/>
  <c r="FF41" i="5"/>
  <c r="FE41" i="5"/>
  <c r="IB41" i="5" s="1"/>
  <c r="FD41" i="5"/>
  <c r="FA41" i="5"/>
  <c r="EZ41" i="5"/>
  <c r="FB41" i="5" s="1"/>
  <c r="EW41" i="5"/>
  <c r="EV41" i="5"/>
  <c r="EX41" i="5" s="1"/>
  <c r="ET41" i="5"/>
  <c r="ES41" i="5"/>
  <c r="ER41" i="5"/>
  <c r="EO41" i="5"/>
  <c r="EN41" i="5"/>
  <c r="EK41" i="5"/>
  <c r="IJ41" i="5" s="1"/>
  <c r="EJ41" i="5"/>
  <c r="EH41" i="5"/>
  <c r="EG41" i="5"/>
  <c r="EF41" i="5"/>
  <c r="EC41" i="5"/>
  <c r="EB41" i="5"/>
  <c r="DY41" i="5"/>
  <c r="DX41" i="5"/>
  <c r="DU41" i="5"/>
  <c r="DV41" i="5" s="1"/>
  <c r="DR41" i="5"/>
  <c r="DQ41" i="5"/>
  <c r="DM41" i="5"/>
  <c r="DL41" i="5"/>
  <c r="DJ41" i="5"/>
  <c r="DI41" i="5"/>
  <c r="DE41" i="5"/>
  <c r="DF41" i="5" s="1"/>
  <c r="DA41" i="5"/>
  <c r="CZ41" i="5"/>
  <c r="DB41" i="5" s="1"/>
  <c r="CW41" i="5"/>
  <c r="CX41" i="5" s="1"/>
  <c r="CS41" i="5"/>
  <c r="CT41" i="5" s="1"/>
  <c r="CP41" i="5"/>
  <c r="CO41" i="5"/>
  <c r="CK41" i="5"/>
  <c r="CL41" i="5" s="1"/>
  <c r="CG41" i="5"/>
  <c r="CF41" i="5"/>
  <c r="CC41" i="5"/>
  <c r="CB41" i="5"/>
  <c r="BY41" i="5"/>
  <c r="BZ41" i="5" s="1"/>
  <c r="BV41" i="5"/>
  <c r="BU41" i="5"/>
  <c r="BQ41" i="5"/>
  <c r="BR41" i="5" s="1"/>
  <c r="BM41" i="5"/>
  <c r="BN41" i="5" s="1"/>
  <c r="BI41" i="5"/>
  <c r="BJ41" i="5" s="1"/>
  <c r="BE41" i="5"/>
  <c r="BF41" i="5" s="1"/>
  <c r="BA41" i="5"/>
  <c r="BB41" i="5" s="1"/>
  <c r="AW41" i="5"/>
  <c r="AX41" i="5" s="1"/>
  <c r="AS41" i="5"/>
  <c r="AT41" i="5" s="1"/>
  <c r="AO41" i="5"/>
  <c r="AP41" i="5" s="1"/>
  <c r="AK41" i="5"/>
  <c r="AL41" i="5" s="1"/>
  <c r="AG41" i="5"/>
  <c r="AH41" i="5" s="1"/>
  <c r="AC41" i="5"/>
  <c r="AD41" i="5" s="1"/>
  <c r="Y41" i="5"/>
  <c r="Z41" i="5" s="1"/>
  <c r="U41" i="5"/>
  <c r="V41" i="5" s="1"/>
  <c r="Q41" i="5"/>
  <c r="R41" i="5" s="1"/>
  <c r="M41" i="5"/>
  <c r="N41" i="5" s="1"/>
  <c r="I41" i="5"/>
  <c r="J41" i="5" s="1"/>
  <c r="E41" i="5"/>
  <c r="HO40" i="5"/>
  <c r="HA40" i="5"/>
  <c r="GZ40" i="5"/>
  <c r="GY40" i="5"/>
  <c r="GV40" i="5"/>
  <c r="GU40" i="5"/>
  <c r="GR40" i="5"/>
  <c r="GQ40" i="5"/>
  <c r="GS40" i="5" s="1"/>
  <c r="GN40" i="5"/>
  <c r="GO40" i="5" s="1"/>
  <c r="GM40" i="5"/>
  <c r="GJ40" i="5"/>
  <c r="GI40" i="5"/>
  <c r="GF40" i="5"/>
  <c r="GE40" i="5"/>
  <c r="GG40" i="5" s="1"/>
  <c r="GC40" i="5"/>
  <c r="GB40" i="5"/>
  <c r="GA40" i="5"/>
  <c r="FX40" i="5"/>
  <c r="FW40" i="5"/>
  <c r="FY40" i="5" s="1"/>
  <c r="FT40" i="5"/>
  <c r="FS40" i="5"/>
  <c r="FP40" i="5"/>
  <c r="FO40" i="5"/>
  <c r="FL40" i="5"/>
  <c r="IF40" i="5" s="1"/>
  <c r="FK40" i="5"/>
  <c r="FM40" i="5" s="1"/>
  <c r="FI40" i="5"/>
  <c r="FJ40" i="5" s="1"/>
  <c r="FH40" i="5"/>
  <c r="FE40" i="5"/>
  <c r="FD40" i="5"/>
  <c r="FA40" i="5"/>
  <c r="EZ40" i="5"/>
  <c r="EW40" i="5"/>
  <c r="EV40" i="5"/>
  <c r="ET40" i="5"/>
  <c r="ES40" i="5"/>
  <c r="ER40" i="5"/>
  <c r="EO40" i="5"/>
  <c r="EP40" i="5" s="1"/>
  <c r="EN40" i="5"/>
  <c r="EK40" i="5"/>
  <c r="IJ40" i="5" s="1"/>
  <c r="EJ40" i="5"/>
  <c r="EG40" i="5"/>
  <c r="EF40" i="5"/>
  <c r="EC40" i="5"/>
  <c r="EB40" i="5"/>
  <c r="ED40" i="5" s="1"/>
  <c r="DY40" i="5"/>
  <c r="DX40" i="5"/>
  <c r="DZ40" i="5" s="1"/>
  <c r="DU40" i="5"/>
  <c r="DV40" i="5" s="1"/>
  <c r="DQ40" i="5"/>
  <c r="DR40" i="5" s="1"/>
  <c r="DM40" i="5"/>
  <c r="DL40" i="5"/>
  <c r="DI40" i="5"/>
  <c r="DJ40" i="5" s="1"/>
  <c r="DE40" i="5"/>
  <c r="DF40" i="5" s="1"/>
  <c r="DB40" i="5"/>
  <c r="DA40" i="5"/>
  <c r="CZ40" i="5"/>
  <c r="CW40" i="5"/>
  <c r="CX40" i="5" s="1"/>
  <c r="CS40" i="5"/>
  <c r="CT40" i="5" s="1"/>
  <c r="CO40" i="5"/>
  <c r="CP40" i="5" s="1"/>
  <c r="CK40" i="5"/>
  <c r="CG40" i="5"/>
  <c r="CH40" i="5" s="1"/>
  <c r="CF40" i="5"/>
  <c r="CC40" i="5"/>
  <c r="CB40" i="5"/>
  <c r="CD40" i="5" s="1"/>
  <c r="BY40" i="5"/>
  <c r="BZ40" i="5" s="1"/>
  <c r="BU40" i="5"/>
  <c r="BV40" i="5" s="1"/>
  <c r="BQ40" i="5"/>
  <c r="BR40" i="5" s="1"/>
  <c r="BM40" i="5"/>
  <c r="BN40" i="5" s="1"/>
  <c r="BI40" i="5"/>
  <c r="BJ40" i="5" s="1"/>
  <c r="BF40" i="5"/>
  <c r="BE40" i="5"/>
  <c r="BA40" i="5"/>
  <c r="BB40" i="5" s="1"/>
  <c r="AW40" i="5"/>
  <c r="AX40" i="5" s="1"/>
  <c r="AS40" i="5"/>
  <c r="AT40" i="5" s="1"/>
  <c r="AO40" i="5"/>
  <c r="AP40" i="5" s="1"/>
  <c r="AK40" i="5"/>
  <c r="AL40" i="5" s="1"/>
  <c r="AG40" i="5"/>
  <c r="AH40" i="5" s="1"/>
  <c r="AC40" i="5"/>
  <c r="AD40" i="5" s="1"/>
  <c r="Y40" i="5"/>
  <c r="Z40" i="5" s="1"/>
  <c r="U40" i="5"/>
  <c r="Q40" i="5"/>
  <c r="R40" i="5" s="1"/>
  <c r="M40" i="5"/>
  <c r="N40" i="5" s="1"/>
  <c r="J40" i="5"/>
  <c r="I40" i="5"/>
  <c r="E40" i="5"/>
  <c r="IJ39" i="5"/>
  <c r="HO39" i="5"/>
  <c r="GZ39" i="5"/>
  <c r="GY39" i="5"/>
  <c r="HA39" i="5" s="1"/>
  <c r="GV39" i="5"/>
  <c r="GU39" i="5"/>
  <c r="GR39" i="5"/>
  <c r="GS39" i="5" s="1"/>
  <c r="GQ39" i="5"/>
  <c r="GN39" i="5"/>
  <c r="GM39" i="5"/>
  <c r="GJ39" i="5"/>
  <c r="GI39" i="5"/>
  <c r="GF39" i="5"/>
  <c r="GE39" i="5"/>
  <c r="GB39" i="5"/>
  <c r="GA39" i="5"/>
  <c r="FX39" i="5"/>
  <c r="FW39" i="5"/>
  <c r="FY39" i="5" s="1"/>
  <c r="FT39" i="5"/>
  <c r="FS39" i="5"/>
  <c r="FU39" i="5" s="1"/>
  <c r="FP39" i="5"/>
  <c r="FO39" i="5"/>
  <c r="FL39" i="5"/>
  <c r="FK39" i="5"/>
  <c r="FI39" i="5"/>
  <c r="FJ39" i="5" s="1"/>
  <c r="FH39" i="5"/>
  <c r="FE39" i="5"/>
  <c r="IB39" i="5" s="1"/>
  <c r="FD39" i="5"/>
  <c r="FF39" i="5" s="1"/>
  <c r="FA39" i="5"/>
  <c r="EZ39" i="5"/>
  <c r="FB39" i="5" s="1"/>
  <c r="EW39" i="5"/>
  <c r="EX39" i="5" s="1"/>
  <c r="EV39" i="5"/>
  <c r="ES39" i="5"/>
  <c r="ER39" i="5"/>
  <c r="ET39" i="5" s="1"/>
  <c r="EO39" i="5"/>
  <c r="EN39" i="5"/>
  <c r="EK39" i="5"/>
  <c r="EJ39" i="5"/>
  <c r="EG39" i="5"/>
  <c r="EF39" i="5"/>
  <c r="EC39" i="5"/>
  <c r="ED39" i="5" s="1"/>
  <c r="EB39" i="5"/>
  <c r="DY39" i="5"/>
  <c r="DX39" i="5"/>
  <c r="DZ39" i="5" s="1"/>
  <c r="DU39" i="5"/>
  <c r="DV39" i="5" s="1"/>
  <c r="DQ39" i="5"/>
  <c r="DR39" i="5" s="1"/>
  <c r="DM39" i="5"/>
  <c r="DL39" i="5"/>
  <c r="DI39" i="5"/>
  <c r="DJ39" i="5" s="1"/>
  <c r="DE39" i="5"/>
  <c r="DF39" i="5" s="1"/>
  <c r="DA39" i="5"/>
  <c r="CZ39" i="5"/>
  <c r="DB39" i="5" s="1"/>
  <c r="CW39" i="5"/>
  <c r="CX39" i="5" s="1"/>
  <c r="CS39" i="5"/>
  <c r="CT39" i="5" s="1"/>
  <c r="CO39" i="5"/>
  <c r="CK39" i="5"/>
  <c r="CL39" i="5" s="1"/>
  <c r="CG39" i="5"/>
  <c r="CH39" i="5" s="1"/>
  <c r="CF39" i="5"/>
  <c r="CC39" i="5"/>
  <c r="CB39" i="5"/>
  <c r="BY39" i="5"/>
  <c r="BZ39" i="5" s="1"/>
  <c r="BU39" i="5"/>
  <c r="BV39" i="5" s="1"/>
  <c r="BQ39" i="5"/>
  <c r="BR39" i="5" s="1"/>
  <c r="BM39" i="5"/>
  <c r="BN39" i="5" s="1"/>
  <c r="BI39" i="5"/>
  <c r="BJ39" i="5" s="1"/>
  <c r="BF39" i="5"/>
  <c r="BE39" i="5"/>
  <c r="BA39" i="5"/>
  <c r="BB39" i="5" s="1"/>
  <c r="AW39" i="5"/>
  <c r="AX39" i="5" s="1"/>
  <c r="AS39" i="5"/>
  <c r="AT39" i="5" s="1"/>
  <c r="AO39" i="5"/>
  <c r="AP39" i="5" s="1"/>
  <c r="AK39" i="5"/>
  <c r="AL39" i="5" s="1"/>
  <c r="AH39" i="5"/>
  <c r="AG39" i="5"/>
  <c r="AC39" i="5"/>
  <c r="AD39" i="5" s="1"/>
  <c r="Y39" i="5"/>
  <c r="Z39" i="5" s="1"/>
  <c r="U39" i="5"/>
  <c r="V39" i="5" s="1"/>
  <c r="Q39" i="5"/>
  <c r="R39" i="5" s="1"/>
  <c r="M39" i="5"/>
  <c r="N39" i="5" s="1"/>
  <c r="J39" i="5"/>
  <c r="I39" i="5"/>
  <c r="E39" i="5"/>
  <c r="HO38" i="5"/>
  <c r="GZ38" i="5"/>
  <c r="HA38" i="5" s="1"/>
  <c r="GY38" i="5"/>
  <c r="GV38" i="5"/>
  <c r="GU38" i="5"/>
  <c r="GR38" i="5"/>
  <c r="GQ38" i="5"/>
  <c r="GN38" i="5"/>
  <c r="GM38" i="5"/>
  <c r="GO38" i="5" s="1"/>
  <c r="GJ38" i="5"/>
  <c r="GI38" i="5"/>
  <c r="GK38" i="5" s="1"/>
  <c r="GF38" i="5"/>
  <c r="GE38" i="5"/>
  <c r="GB38" i="5"/>
  <c r="GA38" i="5"/>
  <c r="GC38" i="5" s="1"/>
  <c r="FX38" i="5"/>
  <c r="FW38" i="5"/>
  <c r="FY38" i="5" s="1"/>
  <c r="FT38" i="5"/>
  <c r="IF38" i="5" s="1"/>
  <c r="FS38" i="5"/>
  <c r="FP38" i="5"/>
  <c r="FO38" i="5"/>
  <c r="FM38" i="5"/>
  <c r="FL38" i="5"/>
  <c r="FK38" i="5"/>
  <c r="FI38" i="5"/>
  <c r="FH38" i="5"/>
  <c r="FE38" i="5"/>
  <c r="FD38" i="5"/>
  <c r="FA38" i="5"/>
  <c r="EZ38" i="5"/>
  <c r="EW38" i="5"/>
  <c r="EV38" i="5"/>
  <c r="ES38" i="5"/>
  <c r="ET38" i="5" s="1"/>
  <c r="ER38" i="5"/>
  <c r="EO38" i="5"/>
  <c r="EN38" i="5"/>
  <c r="EP38" i="5" s="1"/>
  <c r="EK38" i="5"/>
  <c r="IJ38" i="5" s="1"/>
  <c r="EJ38" i="5"/>
  <c r="EG38" i="5"/>
  <c r="EF38" i="5"/>
  <c r="EC38" i="5"/>
  <c r="EB38" i="5"/>
  <c r="ED38" i="5" s="1"/>
  <c r="DZ38" i="5"/>
  <c r="DY38" i="5"/>
  <c r="DX38" i="5"/>
  <c r="DU38" i="5"/>
  <c r="DV38" i="5" s="1"/>
  <c r="DR38" i="5"/>
  <c r="DQ38" i="5"/>
  <c r="DM38" i="5"/>
  <c r="DL38" i="5"/>
  <c r="DN38" i="5" s="1"/>
  <c r="DJ38" i="5"/>
  <c r="DI38" i="5"/>
  <c r="DE38" i="5"/>
  <c r="DF38" i="5" s="1"/>
  <c r="DA38" i="5"/>
  <c r="DB38" i="5" s="1"/>
  <c r="CZ38" i="5"/>
  <c r="HK38" i="5" s="1"/>
  <c r="CW38" i="5"/>
  <c r="CX38" i="5" s="1"/>
  <c r="CS38" i="5"/>
  <c r="CT38" i="5" s="1"/>
  <c r="CO38" i="5"/>
  <c r="CP38" i="5" s="1"/>
  <c r="CK38" i="5"/>
  <c r="CG38" i="5"/>
  <c r="CF38" i="5"/>
  <c r="CH38" i="5" s="1"/>
  <c r="CC38" i="5"/>
  <c r="CD38" i="5" s="1"/>
  <c r="BY38" i="5"/>
  <c r="BZ38" i="5" s="1"/>
  <c r="BU38" i="5"/>
  <c r="BQ38" i="5"/>
  <c r="BR38" i="5" s="1"/>
  <c r="BM38" i="5"/>
  <c r="BN38" i="5" s="1"/>
  <c r="BI38" i="5"/>
  <c r="BJ38" i="5" s="1"/>
  <c r="BE38" i="5"/>
  <c r="BF38" i="5" s="1"/>
  <c r="BA38" i="5"/>
  <c r="BB38" i="5" s="1"/>
  <c r="AW38" i="5"/>
  <c r="AX38" i="5" s="1"/>
  <c r="AS38" i="5"/>
  <c r="AT38" i="5" s="1"/>
  <c r="AO38" i="5"/>
  <c r="AP38" i="5" s="1"/>
  <c r="AK38" i="5"/>
  <c r="AL38" i="5" s="1"/>
  <c r="AG38" i="5"/>
  <c r="AC38" i="5"/>
  <c r="AD38" i="5" s="1"/>
  <c r="Y38" i="5"/>
  <c r="Z38" i="5" s="1"/>
  <c r="U38" i="5"/>
  <c r="V38" i="5" s="1"/>
  <c r="Q38" i="5"/>
  <c r="R38" i="5" s="1"/>
  <c r="M38" i="5"/>
  <c r="N38" i="5" s="1"/>
  <c r="I38" i="5"/>
  <c r="J38" i="5" s="1"/>
  <c r="E38" i="5"/>
  <c r="F38" i="5" s="1"/>
  <c r="HO37" i="5"/>
  <c r="GZ37" i="5"/>
  <c r="GY37" i="5"/>
  <c r="GV37" i="5"/>
  <c r="GU37" i="5"/>
  <c r="GW37" i="5" s="1"/>
  <c r="GR37" i="5"/>
  <c r="GQ37" i="5"/>
  <c r="GS37" i="5" s="1"/>
  <c r="GO37" i="5"/>
  <c r="GN37" i="5"/>
  <c r="GM37" i="5"/>
  <c r="GJ37" i="5"/>
  <c r="GI37" i="5"/>
  <c r="GF37" i="5"/>
  <c r="GE37" i="5"/>
  <c r="GB37" i="5"/>
  <c r="GC37" i="5" s="1"/>
  <c r="GA37" i="5"/>
  <c r="FX37" i="5"/>
  <c r="FW37" i="5"/>
  <c r="FY37" i="5" s="1"/>
  <c r="FT37" i="5"/>
  <c r="FS37" i="5"/>
  <c r="FU37" i="5" s="1"/>
  <c r="FP37" i="5"/>
  <c r="FQ37" i="5" s="1"/>
  <c r="FO37" i="5"/>
  <c r="FL37" i="5"/>
  <c r="IF37" i="5" s="1"/>
  <c r="FK37" i="5"/>
  <c r="FI37" i="5"/>
  <c r="FH37" i="5"/>
  <c r="FJ37" i="5" s="1"/>
  <c r="FE37" i="5"/>
  <c r="FD37" i="5"/>
  <c r="FA37" i="5"/>
  <c r="EZ37" i="5"/>
  <c r="FB37" i="5" s="1"/>
  <c r="EW37" i="5"/>
  <c r="EX37" i="5" s="1"/>
  <c r="EV37" i="5"/>
  <c r="ES37" i="5"/>
  <c r="ER37" i="5"/>
  <c r="ET37" i="5" s="1"/>
  <c r="EO37" i="5"/>
  <c r="EN37" i="5"/>
  <c r="EK37" i="5"/>
  <c r="IJ37" i="5" s="1"/>
  <c r="EJ37" i="5"/>
  <c r="II37" i="5" s="1"/>
  <c r="EH37" i="5"/>
  <c r="EG37" i="5"/>
  <c r="EF37" i="5"/>
  <c r="EC37" i="5"/>
  <c r="ED37" i="5" s="1"/>
  <c r="EB37" i="5"/>
  <c r="DY37" i="5"/>
  <c r="DX37" i="5"/>
  <c r="DV37" i="5"/>
  <c r="DU37" i="5"/>
  <c r="DQ37" i="5"/>
  <c r="DR37" i="5" s="1"/>
  <c r="DM37" i="5"/>
  <c r="DL37" i="5"/>
  <c r="DI37" i="5"/>
  <c r="DJ37" i="5" s="1"/>
  <c r="DE37" i="5"/>
  <c r="DF37" i="5" s="1"/>
  <c r="DA37" i="5"/>
  <c r="CZ37" i="5"/>
  <c r="DB37" i="5" s="1"/>
  <c r="CW37" i="5"/>
  <c r="CT37" i="5"/>
  <c r="CS37" i="5"/>
  <c r="CO37" i="5"/>
  <c r="CP37" i="5" s="1"/>
  <c r="CL37" i="5"/>
  <c r="CK37" i="5"/>
  <c r="CG37" i="5"/>
  <c r="CF37" i="5"/>
  <c r="CC37" i="5"/>
  <c r="CB37" i="5"/>
  <c r="BY37" i="5"/>
  <c r="BZ37" i="5" s="1"/>
  <c r="BU37" i="5"/>
  <c r="BV37" i="5" s="1"/>
  <c r="BR37" i="5"/>
  <c r="BQ37" i="5"/>
  <c r="BM37" i="5"/>
  <c r="BN37" i="5" s="1"/>
  <c r="BJ37" i="5"/>
  <c r="BI37" i="5"/>
  <c r="BE37" i="5"/>
  <c r="BF37" i="5" s="1"/>
  <c r="BA37" i="5"/>
  <c r="BB37" i="5" s="1"/>
  <c r="AW37" i="5"/>
  <c r="AX37" i="5" s="1"/>
  <c r="AS37" i="5"/>
  <c r="AT37" i="5" s="1"/>
  <c r="AO37" i="5"/>
  <c r="AP37" i="5" s="1"/>
  <c r="AK37" i="5"/>
  <c r="AL37" i="5" s="1"/>
  <c r="AG37" i="5"/>
  <c r="AH37" i="5" s="1"/>
  <c r="AD37" i="5"/>
  <c r="AC37" i="5"/>
  <c r="Y37" i="5"/>
  <c r="Z37" i="5" s="1"/>
  <c r="U37" i="5"/>
  <c r="V37" i="5" s="1"/>
  <c r="Q37" i="5"/>
  <c r="R37" i="5" s="1"/>
  <c r="M37" i="5"/>
  <c r="N37" i="5" s="1"/>
  <c r="I37" i="5"/>
  <c r="J37" i="5" s="1"/>
  <c r="E37" i="5"/>
  <c r="F37" i="5" s="1"/>
  <c r="II36" i="5"/>
  <c r="HO36" i="5"/>
  <c r="GZ36" i="5"/>
  <c r="GY36" i="5"/>
  <c r="HA36" i="5" s="1"/>
  <c r="GV36" i="5"/>
  <c r="GU36" i="5"/>
  <c r="GW36" i="5" s="1"/>
  <c r="GS36" i="5"/>
  <c r="GR36" i="5"/>
  <c r="GQ36" i="5"/>
  <c r="GN36" i="5"/>
  <c r="GM36" i="5"/>
  <c r="GO36" i="5" s="1"/>
  <c r="GJ36" i="5"/>
  <c r="GI36" i="5"/>
  <c r="GK36" i="5" s="1"/>
  <c r="GF36" i="5"/>
  <c r="GG36" i="5" s="1"/>
  <c r="GE36" i="5"/>
  <c r="GB36" i="5"/>
  <c r="GA36" i="5"/>
  <c r="FX36" i="5"/>
  <c r="FW36" i="5"/>
  <c r="FT36" i="5"/>
  <c r="FS36" i="5"/>
  <c r="FP36" i="5"/>
  <c r="FO36" i="5"/>
  <c r="FL36" i="5"/>
  <c r="FK36" i="5"/>
  <c r="FJ36" i="5"/>
  <c r="FI36" i="5"/>
  <c r="FH36" i="5"/>
  <c r="FE36" i="5"/>
  <c r="IB36" i="5" s="1"/>
  <c r="FD36" i="5"/>
  <c r="IA36" i="5" s="1"/>
  <c r="FA36" i="5"/>
  <c r="EZ36" i="5"/>
  <c r="FB36" i="5" s="1"/>
  <c r="EW36" i="5"/>
  <c r="EX36" i="5" s="1"/>
  <c r="EV36" i="5"/>
  <c r="ES36" i="5"/>
  <c r="ER36" i="5"/>
  <c r="ET36" i="5" s="1"/>
  <c r="EO36" i="5"/>
  <c r="EN36" i="5"/>
  <c r="EK36" i="5"/>
  <c r="EJ36" i="5"/>
  <c r="EG36" i="5"/>
  <c r="EF36" i="5"/>
  <c r="EH36" i="5" s="1"/>
  <c r="EC36" i="5"/>
  <c r="EB36" i="5"/>
  <c r="ED36" i="5" s="1"/>
  <c r="DY36" i="5"/>
  <c r="DX36" i="5"/>
  <c r="DU36" i="5"/>
  <c r="DV36" i="5" s="1"/>
  <c r="DQ36" i="5"/>
  <c r="DR36" i="5" s="1"/>
  <c r="DN36" i="5"/>
  <c r="DM36" i="5"/>
  <c r="DL36" i="5"/>
  <c r="DI36" i="5"/>
  <c r="DE36" i="5"/>
  <c r="DF36" i="5" s="1"/>
  <c r="DA36" i="5"/>
  <c r="CZ36" i="5"/>
  <c r="CW36" i="5"/>
  <c r="CX36" i="5" s="1"/>
  <c r="CS36" i="5"/>
  <c r="CT36" i="5" s="1"/>
  <c r="CO36" i="5"/>
  <c r="CP36" i="5" s="1"/>
  <c r="CL36" i="5"/>
  <c r="CK36" i="5"/>
  <c r="CG36" i="5"/>
  <c r="CH36" i="5" s="1"/>
  <c r="CF36" i="5"/>
  <c r="CC36" i="5"/>
  <c r="CB36" i="5"/>
  <c r="BY36" i="5"/>
  <c r="BZ36" i="5" s="1"/>
  <c r="BV36" i="5"/>
  <c r="BU36" i="5"/>
  <c r="BQ36" i="5"/>
  <c r="BR36" i="5" s="1"/>
  <c r="BN36" i="5"/>
  <c r="BM36" i="5"/>
  <c r="BI36" i="5"/>
  <c r="BE36" i="5"/>
  <c r="BF36" i="5" s="1"/>
  <c r="BA36" i="5"/>
  <c r="BB36" i="5" s="1"/>
  <c r="AW36" i="5"/>
  <c r="AX36" i="5" s="1"/>
  <c r="AS36" i="5"/>
  <c r="AT36" i="5" s="1"/>
  <c r="AP36" i="5"/>
  <c r="AO36" i="5"/>
  <c r="AK36" i="5"/>
  <c r="AL36" i="5" s="1"/>
  <c r="AH36" i="5"/>
  <c r="AG36" i="5"/>
  <c r="AC36" i="5"/>
  <c r="AD36" i="5" s="1"/>
  <c r="Y36" i="5"/>
  <c r="Z36" i="5" s="1"/>
  <c r="U36" i="5"/>
  <c r="V36" i="5" s="1"/>
  <c r="Q36" i="5"/>
  <c r="R36" i="5" s="1"/>
  <c r="M36" i="5"/>
  <c r="HP36" i="5" s="1"/>
  <c r="J36" i="5"/>
  <c r="I36" i="5"/>
  <c r="E36" i="5"/>
  <c r="F36" i="5" s="1"/>
  <c r="IJ35" i="5"/>
  <c r="HO35" i="5"/>
  <c r="GZ35" i="5"/>
  <c r="GY35" i="5"/>
  <c r="HA35" i="5" s="1"/>
  <c r="GV35" i="5"/>
  <c r="GU35" i="5"/>
  <c r="GW35" i="5" s="1"/>
  <c r="GR35" i="5"/>
  <c r="GS35" i="5" s="1"/>
  <c r="GQ35" i="5"/>
  <c r="GN35" i="5"/>
  <c r="GM35" i="5"/>
  <c r="GO35" i="5" s="1"/>
  <c r="GJ35" i="5"/>
  <c r="GI35" i="5"/>
  <c r="GK35" i="5" s="1"/>
  <c r="GF35" i="5"/>
  <c r="GE35" i="5"/>
  <c r="GG35" i="5" s="1"/>
  <c r="GB35" i="5"/>
  <c r="GA35" i="5"/>
  <c r="GC35" i="5" s="1"/>
  <c r="FY35" i="5"/>
  <c r="FX35" i="5"/>
  <c r="FW35" i="5"/>
  <c r="FT35" i="5"/>
  <c r="FS35" i="5"/>
  <c r="IE35" i="5" s="1"/>
  <c r="FP35" i="5"/>
  <c r="FO35" i="5"/>
  <c r="FQ35" i="5" s="1"/>
  <c r="FL35" i="5"/>
  <c r="FK35" i="5"/>
  <c r="FI35" i="5"/>
  <c r="FH35" i="5"/>
  <c r="FJ35" i="5" s="1"/>
  <c r="FE35" i="5"/>
  <c r="IB35" i="5" s="1"/>
  <c r="FD35" i="5"/>
  <c r="FF35" i="5" s="1"/>
  <c r="FA35" i="5"/>
  <c r="EZ35" i="5"/>
  <c r="FB35" i="5" s="1"/>
  <c r="EW35" i="5"/>
  <c r="EV35" i="5"/>
  <c r="EX35" i="5" s="1"/>
  <c r="ET35" i="5"/>
  <c r="ES35" i="5"/>
  <c r="ER35" i="5"/>
  <c r="EO35" i="5"/>
  <c r="EN35" i="5"/>
  <c r="HS35" i="5" s="1"/>
  <c r="EK35" i="5"/>
  <c r="EJ35" i="5"/>
  <c r="EG35" i="5"/>
  <c r="EF35" i="5"/>
  <c r="EC35" i="5"/>
  <c r="EB35" i="5"/>
  <c r="ED35" i="5" s="1"/>
  <c r="DY35" i="5"/>
  <c r="DX35" i="5"/>
  <c r="DZ35" i="5" s="1"/>
  <c r="DU35" i="5"/>
  <c r="DV35" i="5" s="1"/>
  <c r="DR35" i="5"/>
  <c r="DQ35" i="5"/>
  <c r="DM35" i="5"/>
  <c r="DL35" i="5"/>
  <c r="DN35" i="5" s="1"/>
  <c r="DI35" i="5"/>
  <c r="DE35" i="5"/>
  <c r="DF35" i="5" s="1"/>
  <c r="DA35" i="5"/>
  <c r="CZ35" i="5"/>
  <c r="DB35" i="5" s="1"/>
  <c r="CW35" i="5"/>
  <c r="CS35" i="5"/>
  <c r="CT35" i="5" s="1"/>
  <c r="CO35" i="5"/>
  <c r="CP35" i="5" s="1"/>
  <c r="CL35" i="5"/>
  <c r="CK35" i="5"/>
  <c r="CG35" i="5"/>
  <c r="CF35" i="5"/>
  <c r="CC35" i="5"/>
  <c r="CB35" i="5"/>
  <c r="BY35" i="5"/>
  <c r="BZ35" i="5" s="1"/>
  <c r="BU35" i="5"/>
  <c r="BV35" i="5" s="1"/>
  <c r="BQ35" i="5"/>
  <c r="BR35" i="5" s="1"/>
  <c r="BM35" i="5"/>
  <c r="BN35" i="5" s="1"/>
  <c r="BJ35" i="5"/>
  <c r="BI35" i="5"/>
  <c r="BE35" i="5"/>
  <c r="BF35" i="5" s="1"/>
  <c r="BB35" i="5"/>
  <c r="BA35" i="5"/>
  <c r="AW35" i="5"/>
  <c r="AX35" i="5" s="1"/>
  <c r="AS35" i="5"/>
  <c r="AT35" i="5" s="1"/>
  <c r="AO35" i="5"/>
  <c r="AP35" i="5" s="1"/>
  <c r="AK35" i="5"/>
  <c r="AL35" i="5" s="1"/>
  <c r="AG35" i="5"/>
  <c r="AH35" i="5" s="1"/>
  <c r="AC35" i="5"/>
  <c r="AD35" i="5" s="1"/>
  <c r="Y35" i="5"/>
  <c r="Z35" i="5" s="1"/>
  <c r="V35" i="5"/>
  <c r="U35" i="5"/>
  <c r="Q35" i="5"/>
  <c r="R35" i="5" s="1"/>
  <c r="N35" i="5"/>
  <c r="M35" i="5"/>
  <c r="I35" i="5"/>
  <c r="J35" i="5" s="1"/>
  <c r="E35" i="5"/>
  <c r="F35" i="5" s="1"/>
  <c r="IJ34" i="5"/>
  <c r="HO34" i="5"/>
  <c r="GZ34" i="5"/>
  <c r="GY34" i="5"/>
  <c r="GV34" i="5"/>
  <c r="GU34" i="5"/>
  <c r="GR34" i="5"/>
  <c r="GQ34" i="5"/>
  <c r="GS34" i="5" s="1"/>
  <c r="GN34" i="5"/>
  <c r="GM34" i="5"/>
  <c r="GJ34" i="5"/>
  <c r="GI34" i="5"/>
  <c r="GK34" i="5" s="1"/>
  <c r="GG34" i="5"/>
  <c r="GF34" i="5"/>
  <c r="GE34" i="5"/>
  <c r="GB34" i="5"/>
  <c r="GC34" i="5" s="1"/>
  <c r="GA34" i="5"/>
  <c r="FX34" i="5"/>
  <c r="FW34" i="5"/>
  <c r="FT34" i="5"/>
  <c r="FS34" i="5"/>
  <c r="FP34" i="5"/>
  <c r="FO34" i="5"/>
  <c r="FQ34" i="5" s="1"/>
  <c r="FL34" i="5"/>
  <c r="FK34" i="5"/>
  <c r="FI34" i="5"/>
  <c r="FH34" i="5"/>
  <c r="FE34" i="5"/>
  <c r="FD34" i="5"/>
  <c r="FB34" i="5"/>
  <c r="FA34" i="5"/>
  <c r="EZ34" i="5"/>
  <c r="EX34" i="5"/>
  <c r="EW34" i="5"/>
  <c r="EV34" i="5"/>
  <c r="ES34" i="5"/>
  <c r="ER34" i="5"/>
  <c r="EO34" i="5"/>
  <c r="EN34" i="5"/>
  <c r="EK34" i="5"/>
  <c r="EJ34" i="5"/>
  <c r="EG34" i="5"/>
  <c r="EF34" i="5"/>
  <c r="EC34" i="5"/>
  <c r="EB34" i="5"/>
  <c r="DY34" i="5"/>
  <c r="DX34" i="5"/>
  <c r="DZ34" i="5" s="1"/>
  <c r="DV34" i="5"/>
  <c r="DU34" i="5"/>
  <c r="DQ34" i="5"/>
  <c r="DR34" i="5" s="1"/>
  <c r="DM34" i="5"/>
  <c r="DN34" i="5" s="1"/>
  <c r="DL34" i="5"/>
  <c r="DI34" i="5"/>
  <c r="DJ34" i="5" s="1"/>
  <c r="DE34" i="5"/>
  <c r="DF34" i="5" s="1"/>
  <c r="DA34" i="5"/>
  <c r="CZ34" i="5"/>
  <c r="DB34" i="5" s="1"/>
  <c r="CW34" i="5"/>
  <c r="CX34" i="5" s="1"/>
  <c r="CS34" i="5"/>
  <c r="CT34" i="5" s="1"/>
  <c r="CO34" i="5"/>
  <c r="CP34" i="5" s="1"/>
  <c r="CL34" i="5"/>
  <c r="CK34" i="5"/>
  <c r="CG34" i="5"/>
  <c r="CF34" i="5"/>
  <c r="HG34" i="5" s="1"/>
  <c r="CC34" i="5"/>
  <c r="CB34" i="5"/>
  <c r="BY34" i="5"/>
  <c r="BZ34" i="5" s="1"/>
  <c r="BU34" i="5"/>
  <c r="BV34" i="5" s="1"/>
  <c r="BR34" i="5"/>
  <c r="BQ34" i="5"/>
  <c r="BM34" i="5"/>
  <c r="BN34" i="5" s="1"/>
  <c r="BJ34" i="5"/>
  <c r="BI34" i="5"/>
  <c r="BE34" i="5"/>
  <c r="BF34" i="5" s="1"/>
  <c r="BA34" i="5"/>
  <c r="BB34" i="5" s="1"/>
  <c r="AW34" i="5"/>
  <c r="AX34" i="5" s="1"/>
  <c r="AS34" i="5"/>
  <c r="AT34" i="5" s="1"/>
  <c r="AO34" i="5"/>
  <c r="AP34" i="5" s="1"/>
  <c r="AK34" i="5"/>
  <c r="AL34" i="5" s="1"/>
  <c r="AG34" i="5"/>
  <c r="AH34" i="5" s="1"/>
  <c r="AD34" i="5"/>
  <c r="AC34" i="5"/>
  <c r="Y34" i="5"/>
  <c r="Z34" i="5" s="1"/>
  <c r="V34" i="5"/>
  <c r="U34" i="5"/>
  <c r="Q34" i="5"/>
  <c r="R34" i="5" s="1"/>
  <c r="M34" i="5"/>
  <c r="I34" i="5"/>
  <c r="E34" i="5"/>
  <c r="F34" i="5" s="1"/>
  <c r="II33" i="5"/>
  <c r="HO33" i="5"/>
  <c r="GZ33" i="5"/>
  <c r="GY33" i="5"/>
  <c r="GV33" i="5"/>
  <c r="GU33" i="5"/>
  <c r="GR33" i="5"/>
  <c r="GQ33" i="5"/>
  <c r="GS33" i="5" s="1"/>
  <c r="GN33" i="5"/>
  <c r="GM33" i="5"/>
  <c r="GJ33" i="5"/>
  <c r="GI33" i="5"/>
  <c r="GK33" i="5" s="1"/>
  <c r="GG33" i="5"/>
  <c r="GF33" i="5"/>
  <c r="GE33" i="5"/>
  <c r="GC33" i="5"/>
  <c r="GB33" i="5"/>
  <c r="GA33" i="5"/>
  <c r="FX33" i="5"/>
  <c r="FW33" i="5"/>
  <c r="FY33" i="5" s="1"/>
  <c r="FT33" i="5"/>
  <c r="FS33" i="5"/>
  <c r="FP33" i="5"/>
  <c r="FO33" i="5"/>
  <c r="FQ33" i="5" s="1"/>
  <c r="FL33" i="5"/>
  <c r="FK33" i="5"/>
  <c r="FI33" i="5"/>
  <c r="FH33" i="5"/>
  <c r="FE33" i="5"/>
  <c r="FD33" i="5"/>
  <c r="FB33" i="5"/>
  <c r="FA33" i="5"/>
  <c r="EZ33" i="5"/>
  <c r="EX33" i="5"/>
  <c r="EW33" i="5"/>
  <c r="EV33" i="5"/>
  <c r="ES33" i="5"/>
  <c r="ER33" i="5"/>
  <c r="ET33" i="5" s="1"/>
  <c r="EO33" i="5"/>
  <c r="EN33" i="5"/>
  <c r="EK33" i="5"/>
  <c r="IJ33" i="5" s="1"/>
  <c r="EJ33" i="5"/>
  <c r="EG33" i="5"/>
  <c r="EF33" i="5"/>
  <c r="EC33" i="5"/>
  <c r="EB33" i="5"/>
  <c r="DY33" i="5"/>
  <c r="DX33" i="5"/>
  <c r="DZ33" i="5" s="1"/>
  <c r="DV33" i="5"/>
  <c r="DU33" i="5"/>
  <c r="DQ33" i="5"/>
  <c r="DR33" i="5" s="1"/>
  <c r="DN33" i="5"/>
  <c r="DM33" i="5"/>
  <c r="DL33" i="5"/>
  <c r="DI33" i="5"/>
  <c r="DF33" i="5"/>
  <c r="DE33" i="5"/>
  <c r="HD33" i="5" s="1"/>
  <c r="DA33" i="5"/>
  <c r="CZ33" i="5"/>
  <c r="DB33" i="5" s="1"/>
  <c r="CW33" i="5"/>
  <c r="CX33" i="5" s="1"/>
  <c r="CT33" i="5"/>
  <c r="CS33" i="5"/>
  <c r="CO33" i="5"/>
  <c r="CP33" i="5" s="1"/>
  <c r="CL33" i="5"/>
  <c r="CK33" i="5"/>
  <c r="CG33" i="5"/>
  <c r="CF33" i="5"/>
  <c r="CD33" i="5"/>
  <c r="CC33" i="5"/>
  <c r="CB33" i="5"/>
  <c r="BY33" i="5"/>
  <c r="BZ33" i="5" s="1"/>
  <c r="BU33" i="5"/>
  <c r="BV33" i="5" s="1"/>
  <c r="BQ33" i="5"/>
  <c r="BR33" i="5" s="1"/>
  <c r="BM33" i="5"/>
  <c r="BN33" i="5" s="1"/>
  <c r="BJ33" i="5"/>
  <c r="BI33" i="5"/>
  <c r="BE33" i="5"/>
  <c r="BF33" i="5" s="1"/>
  <c r="BB33" i="5"/>
  <c r="BA33" i="5"/>
  <c r="AW33" i="5"/>
  <c r="AX33" i="5" s="1"/>
  <c r="AT33" i="5"/>
  <c r="AS33" i="5"/>
  <c r="AO33" i="5"/>
  <c r="AP33" i="5" s="1"/>
  <c r="AL33" i="5"/>
  <c r="AK33" i="5"/>
  <c r="AG33" i="5"/>
  <c r="AH33" i="5" s="1"/>
  <c r="AC33" i="5"/>
  <c r="AD33" i="5" s="1"/>
  <c r="Y33" i="5"/>
  <c r="Z33" i="5" s="1"/>
  <c r="V33" i="5"/>
  <c r="U33" i="5"/>
  <c r="Q33" i="5"/>
  <c r="R33" i="5" s="1"/>
  <c r="N33" i="5"/>
  <c r="M33" i="5"/>
  <c r="HP33" i="5" s="1"/>
  <c r="I33" i="5"/>
  <c r="J33" i="5" s="1"/>
  <c r="F33" i="5"/>
  <c r="E33" i="5"/>
  <c r="HO32" i="5"/>
  <c r="GZ32" i="5"/>
  <c r="GY32" i="5"/>
  <c r="GV32" i="5"/>
  <c r="GU32" i="5"/>
  <c r="GW32" i="5" s="1"/>
  <c r="GR32" i="5"/>
  <c r="GQ32" i="5"/>
  <c r="GN32" i="5"/>
  <c r="GM32" i="5"/>
  <c r="GO32" i="5" s="1"/>
  <c r="GK32" i="5"/>
  <c r="GJ32" i="5"/>
  <c r="GI32" i="5"/>
  <c r="GF32" i="5"/>
  <c r="GG32" i="5" s="1"/>
  <c r="GE32" i="5"/>
  <c r="GB32" i="5"/>
  <c r="GA32" i="5"/>
  <c r="GC32" i="5" s="1"/>
  <c r="FX32" i="5"/>
  <c r="FW32" i="5"/>
  <c r="FT32" i="5"/>
  <c r="FS32" i="5"/>
  <c r="FP32" i="5"/>
  <c r="FO32" i="5"/>
  <c r="FQ32" i="5" s="1"/>
  <c r="FL32" i="5"/>
  <c r="IF32" i="5" s="1"/>
  <c r="FK32" i="5"/>
  <c r="FI32" i="5"/>
  <c r="FH32" i="5"/>
  <c r="FJ32" i="5" s="1"/>
  <c r="FF32" i="5"/>
  <c r="FE32" i="5"/>
  <c r="FD32" i="5"/>
  <c r="FB32" i="5"/>
  <c r="FA32" i="5"/>
  <c r="EZ32" i="5"/>
  <c r="EW32" i="5"/>
  <c r="EV32" i="5"/>
  <c r="EX32" i="5" s="1"/>
  <c r="ES32" i="5"/>
  <c r="ER32" i="5"/>
  <c r="EO32" i="5"/>
  <c r="EN32" i="5"/>
  <c r="HS32" i="5" s="1"/>
  <c r="EK32" i="5"/>
  <c r="IJ32" i="5" s="1"/>
  <c r="EJ32" i="5"/>
  <c r="EG32" i="5"/>
  <c r="EF32" i="5"/>
  <c r="EC32" i="5"/>
  <c r="EB32" i="5"/>
  <c r="ED32" i="5" s="1"/>
  <c r="DZ32" i="5"/>
  <c r="DY32" i="5"/>
  <c r="DX32" i="5"/>
  <c r="DU32" i="5"/>
  <c r="DV32" i="5" s="1"/>
  <c r="DQ32" i="5"/>
  <c r="DR32" i="5" s="1"/>
  <c r="DM32" i="5"/>
  <c r="DL32" i="5"/>
  <c r="DI32" i="5"/>
  <c r="DE32" i="5"/>
  <c r="DF32" i="5" s="1"/>
  <c r="DA32" i="5"/>
  <c r="CZ32" i="5"/>
  <c r="CW32" i="5"/>
  <c r="CX32" i="5" s="1"/>
  <c r="CT32" i="5"/>
  <c r="CS32" i="5"/>
  <c r="CO32" i="5"/>
  <c r="CP32" i="5" s="1"/>
  <c r="CK32" i="5"/>
  <c r="CG32" i="5"/>
  <c r="CF32" i="5"/>
  <c r="CC32" i="5"/>
  <c r="CB32" i="5"/>
  <c r="BY32" i="5"/>
  <c r="BZ32" i="5" s="1"/>
  <c r="BU32" i="5"/>
  <c r="BV32" i="5" s="1"/>
  <c r="BR32" i="5"/>
  <c r="BQ32" i="5"/>
  <c r="BM32" i="5"/>
  <c r="BN32" i="5" s="1"/>
  <c r="BJ32" i="5"/>
  <c r="BI32" i="5"/>
  <c r="BE32" i="5"/>
  <c r="BF32" i="5" s="1"/>
  <c r="BA32" i="5"/>
  <c r="BB32" i="5" s="1"/>
  <c r="AW32" i="5"/>
  <c r="AX32" i="5" s="1"/>
  <c r="AS32" i="5"/>
  <c r="AT32" i="5" s="1"/>
  <c r="AO32" i="5"/>
  <c r="AP32" i="5" s="1"/>
  <c r="AL32" i="5"/>
  <c r="AK32" i="5"/>
  <c r="AG32" i="5"/>
  <c r="AH32" i="5" s="1"/>
  <c r="AD32" i="5"/>
  <c r="AC32" i="5"/>
  <c r="Y32" i="5"/>
  <c r="Z32" i="5" s="1"/>
  <c r="U32" i="5"/>
  <c r="V32" i="5" s="1"/>
  <c r="Q32" i="5"/>
  <c r="R32" i="5" s="1"/>
  <c r="M32" i="5"/>
  <c r="I32" i="5"/>
  <c r="J32" i="5" s="1"/>
  <c r="F32" i="5"/>
  <c r="E32" i="5"/>
  <c r="HH32" i="5" s="1"/>
  <c r="HO31" i="5"/>
  <c r="GZ31" i="5"/>
  <c r="GY31" i="5"/>
  <c r="GV31" i="5"/>
  <c r="GU31" i="5"/>
  <c r="GW31" i="5" s="1"/>
  <c r="GR31" i="5"/>
  <c r="GQ31" i="5"/>
  <c r="GN31" i="5"/>
  <c r="GM31" i="5"/>
  <c r="GO31" i="5" s="1"/>
  <c r="GK31" i="5"/>
  <c r="GJ31" i="5"/>
  <c r="GI31" i="5"/>
  <c r="GF31" i="5"/>
  <c r="GG31" i="5" s="1"/>
  <c r="GE31" i="5"/>
  <c r="GB31" i="5"/>
  <c r="GA31" i="5"/>
  <c r="GC31" i="5" s="1"/>
  <c r="FX31" i="5"/>
  <c r="FW31" i="5"/>
  <c r="FT31" i="5"/>
  <c r="FS31" i="5"/>
  <c r="FP31" i="5"/>
  <c r="FO31" i="5"/>
  <c r="FQ31" i="5" s="1"/>
  <c r="FL31" i="5"/>
  <c r="IF31" i="5" s="1"/>
  <c r="FK31" i="5"/>
  <c r="FI31" i="5"/>
  <c r="FH31" i="5"/>
  <c r="FJ31" i="5" s="1"/>
  <c r="FF31" i="5"/>
  <c r="FE31" i="5"/>
  <c r="FD31" i="5"/>
  <c r="FB31" i="5"/>
  <c r="FA31" i="5"/>
  <c r="EZ31" i="5"/>
  <c r="EW31" i="5"/>
  <c r="EV31" i="5"/>
  <c r="EX31" i="5" s="1"/>
  <c r="ES31" i="5"/>
  <c r="ER31" i="5"/>
  <c r="EO31" i="5"/>
  <c r="EN31" i="5"/>
  <c r="HS31" i="5" s="1"/>
  <c r="EK31" i="5"/>
  <c r="IJ31" i="5" s="1"/>
  <c r="EJ31" i="5"/>
  <c r="EG31" i="5"/>
  <c r="EF31" i="5"/>
  <c r="EC31" i="5"/>
  <c r="EB31" i="5"/>
  <c r="DZ31" i="5"/>
  <c r="DY31" i="5"/>
  <c r="DX31" i="5"/>
  <c r="DU31" i="5"/>
  <c r="DV31" i="5" s="1"/>
  <c r="DQ31" i="5"/>
  <c r="DR31" i="5" s="1"/>
  <c r="DN31" i="5"/>
  <c r="DM31" i="5"/>
  <c r="DL31" i="5"/>
  <c r="DI31" i="5"/>
  <c r="DF31" i="5"/>
  <c r="DE31" i="5"/>
  <c r="DA31" i="5"/>
  <c r="CZ31" i="5"/>
  <c r="DB31" i="5" s="1"/>
  <c r="CX31" i="5"/>
  <c r="CW31" i="5"/>
  <c r="CS31" i="5"/>
  <c r="CT31" i="5" s="1"/>
  <c r="CO31" i="5"/>
  <c r="CP31" i="5" s="1"/>
  <c r="CK31" i="5"/>
  <c r="CG31" i="5"/>
  <c r="CF31" i="5"/>
  <c r="CH31" i="5" s="1"/>
  <c r="CD31" i="5"/>
  <c r="CC31" i="5"/>
  <c r="CB31" i="5"/>
  <c r="HK31" i="5" s="1"/>
  <c r="BY31" i="5"/>
  <c r="BZ31" i="5" s="1"/>
  <c r="BV31" i="5"/>
  <c r="BU31" i="5"/>
  <c r="BQ31" i="5"/>
  <c r="BR31" i="5" s="1"/>
  <c r="BN31" i="5"/>
  <c r="BM31" i="5"/>
  <c r="BI31" i="5"/>
  <c r="BE31" i="5"/>
  <c r="BF31" i="5" s="1"/>
  <c r="BA31" i="5"/>
  <c r="BB31" i="5" s="1"/>
  <c r="AW31" i="5"/>
  <c r="AX31" i="5" s="1"/>
  <c r="AS31" i="5"/>
  <c r="AT31" i="5" s="1"/>
  <c r="AP31" i="5"/>
  <c r="AO31" i="5"/>
  <c r="AK31" i="5"/>
  <c r="AL31" i="5" s="1"/>
  <c r="AH31" i="5"/>
  <c r="AG31" i="5"/>
  <c r="AC31" i="5"/>
  <c r="AD31" i="5" s="1"/>
  <c r="Y31" i="5"/>
  <c r="Z31" i="5" s="1"/>
  <c r="U31" i="5"/>
  <c r="V31" i="5" s="1"/>
  <c r="Q31" i="5"/>
  <c r="R31" i="5" s="1"/>
  <c r="M31" i="5"/>
  <c r="J31" i="5"/>
  <c r="I31" i="5"/>
  <c r="E31" i="5"/>
  <c r="F31" i="5" s="1"/>
  <c r="IB30" i="5"/>
  <c r="HO30" i="5"/>
  <c r="GZ30" i="5"/>
  <c r="GY30" i="5"/>
  <c r="GV30" i="5"/>
  <c r="GU30" i="5"/>
  <c r="GR30" i="5"/>
  <c r="GQ30" i="5"/>
  <c r="GN30" i="5"/>
  <c r="GM30" i="5"/>
  <c r="GO30" i="5" s="1"/>
  <c r="GK30" i="5"/>
  <c r="GJ30" i="5"/>
  <c r="GI30" i="5"/>
  <c r="GF30" i="5"/>
  <c r="GE30" i="5"/>
  <c r="GB30" i="5"/>
  <c r="GA30" i="5"/>
  <c r="FY30" i="5"/>
  <c r="FX30" i="5"/>
  <c r="FW30" i="5"/>
  <c r="FT30" i="5"/>
  <c r="FS30" i="5"/>
  <c r="FU30" i="5" s="1"/>
  <c r="FP30" i="5"/>
  <c r="FO30" i="5"/>
  <c r="FL30" i="5"/>
  <c r="FK30" i="5"/>
  <c r="FI30" i="5"/>
  <c r="FH30" i="5"/>
  <c r="FJ30" i="5" s="1"/>
  <c r="FF30" i="5"/>
  <c r="FE30" i="5"/>
  <c r="FD30" i="5"/>
  <c r="FA30" i="5"/>
  <c r="EZ30" i="5"/>
  <c r="EW30" i="5"/>
  <c r="EV30" i="5"/>
  <c r="EX30" i="5" s="1"/>
  <c r="ET30" i="5"/>
  <c r="ES30" i="5"/>
  <c r="ER30" i="5"/>
  <c r="EO30" i="5"/>
  <c r="EN30" i="5"/>
  <c r="HS30" i="5" s="1"/>
  <c r="EK30" i="5"/>
  <c r="IJ30" i="5" s="1"/>
  <c r="EJ30" i="5"/>
  <c r="II30" i="5" s="1"/>
  <c r="IK30" i="5" s="1"/>
  <c r="EG30" i="5"/>
  <c r="HX30" i="5" s="1"/>
  <c r="EF30" i="5"/>
  <c r="EC30" i="5"/>
  <c r="EB30" i="5"/>
  <c r="ED30" i="5" s="1"/>
  <c r="DZ30" i="5"/>
  <c r="DY30" i="5"/>
  <c r="DX30" i="5"/>
  <c r="DU30" i="5"/>
  <c r="DV30" i="5" s="1"/>
  <c r="DR30" i="5"/>
  <c r="DQ30" i="5"/>
  <c r="DM30" i="5"/>
  <c r="DL30" i="5"/>
  <c r="DN30" i="5" s="1"/>
  <c r="DI30" i="5"/>
  <c r="DE30" i="5"/>
  <c r="DF30" i="5" s="1"/>
  <c r="DA30" i="5"/>
  <c r="CZ30" i="5"/>
  <c r="CW30" i="5"/>
  <c r="CX30" i="5" s="1"/>
  <c r="CS30" i="5"/>
  <c r="CT30" i="5" s="1"/>
  <c r="CP30" i="5"/>
  <c r="CO30" i="5"/>
  <c r="CK30" i="5"/>
  <c r="CH30" i="5"/>
  <c r="CG30" i="5"/>
  <c r="CF30" i="5"/>
  <c r="CC30" i="5"/>
  <c r="CB30" i="5"/>
  <c r="BY30" i="5"/>
  <c r="BZ30" i="5" s="1"/>
  <c r="BU30" i="5"/>
  <c r="BV30" i="5" s="1"/>
  <c r="BQ30" i="5"/>
  <c r="BR30" i="5" s="1"/>
  <c r="BM30" i="5"/>
  <c r="BN30" i="5" s="1"/>
  <c r="BI30" i="5"/>
  <c r="BF30" i="5"/>
  <c r="BE30" i="5"/>
  <c r="BA30" i="5"/>
  <c r="BB30" i="5" s="1"/>
  <c r="AX30" i="5"/>
  <c r="AW30" i="5"/>
  <c r="AS30" i="5"/>
  <c r="AT30" i="5" s="1"/>
  <c r="AO30" i="5"/>
  <c r="AP30" i="5" s="1"/>
  <c r="AK30" i="5"/>
  <c r="AL30" i="5" s="1"/>
  <c r="AG30" i="5"/>
  <c r="AH30" i="5" s="1"/>
  <c r="AC30" i="5"/>
  <c r="AD30" i="5" s="1"/>
  <c r="Z30" i="5"/>
  <c r="Y30" i="5"/>
  <c r="U30" i="5"/>
  <c r="V30" i="5" s="1"/>
  <c r="R30" i="5"/>
  <c r="Q30" i="5"/>
  <c r="M30" i="5"/>
  <c r="I30" i="5"/>
  <c r="J30" i="5" s="1"/>
  <c r="E30" i="5"/>
  <c r="HO29" i="5"/>
  <c r="HA29" i="5"/>
  <c r="GZ29" i="5"/>
  <c r="GY29" i="5"/>
  <c r="GV29" i="5"/>
  <c r="GU29" i="5"/>
  <c r="GR29" i="5"/>
  <c r="GQ29" i="5"/>
  <c r="GS29" i="5" s="1"/>
  <c r="GO29" i="5"/>
  <c r="GN29" i="5"/>
  <c r="GM29" i="5"/>
  <c r="GJ29" i="5"/>
  <c r="GI29" i="5"/>
  <c r="GF29" i="5"/>
  <c r="GE29" i="5"/>
  <c r="GG29" i="5" s="1"/>
  <c r="GB29" i="5"/>
  <c r="GA29" i="5"/>
  <c r="FX29" i="5"/>
  <c r="FW29" i="5"/>
  <c r="FY29" i="5" s="1"/>
  <c r="FU29" i="5"/>
  <c r="FT29" i="5"/>
  <c r="FS29" i="5"/>
  <c r="FP29" i="5"/>
  <c r="FO29" i="5"/>
  <c r="FL29" i="5"/>
  <c r="FK29" i="5"/>
  <c r="FJ29" i="5"/>
  <c r="FI29" i="5"/>
  <c r="FH29" i="5"/>
  <c r="FE29" i="5"/>
  <c r="FD29" i="5"/>
  <c r="FF29" i="5" s="1"/>
  <c r="FA29" i="5"/>
  <c r="EZ29" i="5"/>
  <c r="EW29" i="5"/>
  <c r="EV29" i="5"/>
  <c r="ES29" i="5"/>
  <c r="ER29" i="5"/>
  <c r="ET29" i="5" s="1"/>
  <c r="EP29" i="5"/>
  <c r="EO29" i="5"/>
  <c r="EN29" i="5"/>
  <c r="HS29" i="5" s="1"/>
  <c r="EK29" i="5"/>
  <c r="IJ29" i="5" s="1"/>
  <c r="EJ29" i="5"/>
  <c r="II29" i="5" s="1"/>
  <c r="EG29" i="5"/>
  <c r="EF29" i="5"/>
  <c r="EH29" i="5" s="1"/>
  <c r="ED29" i="5"/>
  <c r="EC29" i="5"/>
  <c r="EB29" i="5"/>
  <c r="DY29" i="5"/>
  <c r="DX29" i="5"/>
  <c r="DU29" i="5"/>
  <c r="DV29" i="5" s="1"/>
  <c r="DQ29" i="5"/>
  <c r="DR29" i="5" s="1"/>
  <c r="DM29" i="5"/>
  <c r="DL29" i="5"/>
  <c r="DI29" i="5"/>
  <c r="DE29" i="5"/>
  <c r="DF29" i="5" s="1"/>
  <c r="DB29" i="5"/>
  <c r="DA29" i="5"/>
  <c r="CZ29" i="5"/>
  <c r="CX29" i="5"/>
  <c r="CW29" i="5"/>
  <c r="CS29" i="5"/>
  <c r="CT29" i="5" s="1"/>
  <c r="CO29" i="5"/>
  <c r="CP29" i="5" s="1"/>
  <c r="CK29" i="5"/>
  <c r="HT29" i="5" s="1"/>
  <c r="CG29" i="5"/>
  <c r="CF29" i="5"/>
  <c r="CH29" i="5" s="1"/>
  <c r="CC29" i="5"/>
  <c r="CB29" i="5"/>
  <c r="BY29" i="5"/>
  <c r="BZ29" i="5" s="1"/>
  <c r="BV29" i="5"/>
  <c r="BU29" i="5"/>
  <c r="BQ29" i="5"/>
  <c r="BR29" i="5" s="1"/>
  <c r="BM29" i="5"/>
  <c r="BN29" i="5" s="1"/>
  <c r="BI29" i="5"/>
  <c r="BJ29" i="5" s="1"/>
  <c r="BF29" i="5"/>
  <c r="BE29" i="5"/>
  <c r="BA29" i="5"/>
  <c r="BB29" i="5" s="1"/>
  <c r="AX29" i="5"/>
  <c r="AW29" i="5"/>
  <c r="AS29" i="5"/>
  <c r="AT29" i="5" s="1"/>
  <c r="AP29" i="5"/>
  <c r="AO29" i="5"/>
  <c r="AK29" i="5"/>
  <c r="AL29" i="5" s="1"/>
  <c r="AG29" i="5"/>
  <c r="AC29" i="5"/>
  <c r="AD29" i="5" s="1"/>
  <c r="Z29" i="5"/>
  <c r="Y29" i="5"/>
  <c r="U29" i="5"/>
  <c r="V29" i="5" s="1"/>
  <c r="R29" i="5"/>
  <c r="Q29" i="5"/>
  <c r="M29" i="5"/>
  <c r="N29" i="5" s="1"/>
  <c r="J29" i="5"/>
  <c r="I29" i="5"/>
  <c r="E29" i="5"/>
  <c r="F29" i="5" s="1"/>
  <c r="IF28" i="5"/>
  <c r="HO28" i="5"/>
  <c r="GZ28" i="5"/>
  <c r="GY28" i="5"/>
  <c r="HA28" i="5" s="1"/>
  <c r="GV28" i="5"/>
  <c r="GU28" i="5"/>
  <c r="GR28" i="5"/>
  <c r="GQ28" i="5"/>
  <c r="GS28" i="5" s="1"/>
  <c r="GO28" i="5"/>
  <c r="GN28" i="5"/>
  <c r="GM28" i="5"/>
  <c r="GJ28" i="5"/>
  <c r="GI28" i="5"/>
  <c r="GF28" i="5"/>
  <c r="GE28" i="5"/>
  <c r="GG28" i="5" s="1"/>
  <c r="GC28" i="5"/>
  <c r="GB28" i="5"/>
  <c r="GA28" i="5"/>
  <c r="FX28" i="5"/>
  <c r="FW28" i="5"/>
  <c r="FT28" i="5"/>
  <c r="FS28" i="5"/>
  <c r="FP28" i="5"/>
  <c r="FO28" i="5"/>
  <c r="FL28" i="5"/>
  <c r="FK28" i="5"/>
  <c r="FM28" i="5" s="1"/>
  <c r="FJ28" i="5"/>
  <c r="FI28" i="5"/>
  <c r="FH28" i="5"/>
  <c r="FE28" i="5"/>
  <c r="IB28" i="5" s="1"/>
  <c r="FD28" i="5"/>
  <c r="FA28" i="5"/>
  <c r="EZ28" i="5"/>
  <c r="FB28" i="5" s="1"/>
  <c r="EX28" i="5"/>
  <c r="EW28" i="5"/>
  <c r="EV28" i="5"/>
  <c r="ES28" i="5"/>
  <c r="ER28" i="5"/>
  <c r="ET28" i="5" s="1"/>
  <c r="EO28" i="5"/>
  <c r="EN28" i="5"/>
  <c r="HS28" i="5" s="1"/>
  <c r="EK28" i="5"/>
  <c r="IJ28" i="5" s="1"/>
  <c r="EJ28" i="5"/>
  <c r="EG28" i="5"/>
  <c r="EF28" i="5"/>
  <c r="ED28" i="5"/>
  <c r="EC28" i="5"/>
  <c r="EB28" i="5"/>
  <c r="DY28" i="5"/>
  <c r="DX28" i="5"/>
  <c r="DU28" i="5"/>
  <c r="DV28" i="5" s="1"/>
  <c r="DQ28" i="5"/>
  <c r="DR28" i="5" s="1"/>
  <c r="DM28" i="5"/>
  <c r="DL28" i="5"/>
  <c r="DI28" i="5"/>
  <c r="DJ28" i="5" s="1"/>
  <c r="DE28" i="5"/>
  <c r="DA28" i="5"/>
  <c r="CZ28" i="5"/>
  <c r="DB28" i="5" s="1"/>
  <c r="CX28" i="5"/>
  <c r="CW28" i="5"/>
  <c r="CS28" i="5"/>
  <c r="CT28" i="5" s="1"/>
  <c r="CP28" i="5"/>
  <c r="CO28" i="5"/>
  <c r="CK28" i="5"/>
  <c r="CL28" i="5" s="1"/>
  <c r="CG28" i="5"/>
  <c r="CF28" i="5"/>
  <c r="HG28" i="5" s="1"/>
  <c r="CC28" i="5"/>
  <c r="CB28" i="5"/>
  <c r="BZ28" i="5"/>
  <c r="BY28" i="5"/>
  <c r="BU28" i="5"/>
  <c r="BV28" i="5" s="1"/>
  <c r="BR28" i="5"/>
  <c r="BQ28" i="5"/>
  <c r="BM28" i="5"/>
  <c r="BN28" i="5" s="1"/>
  <c r="BI28" i="5"/>
  <c r="BJ28" i="5" s="1"/>
  <c r="BE28" i="5"/>
  <c r="BF28" i="5" s="1"/>
  <c r="BA28" i="5"/>
  <c r="BB28" i="5" s="1"/>
  <c r="AW28" i="5"/>
  <c r="AX28" i="5" s="1"/>
  <c r="AT28" i="5"/>
  <c r="AS28" i="5"/>
  <c r="AO28" i="5"/>
  <c r="AP28" i="5" s="1"/>
  <c r="AL28" i="5"/>
  <c r="AK28" i="5"/>
  <c r="AG28" i="5"/>
  <c r="AC28" i="5"/>
  <c r="AD28" i="5" s="1"/>
  <c r="Y28" i="5"/>
  <c r="Z28" i="5" s="1"/>
  <c r="U28" i="5"/>
  <c r="V28" i="5" s="1"/>
  <c r="Q28" i="5"/>
  <c r="R28" i="5" s="1"/>
  <c r="M28" i="5"/>
  <c r="N28" i="5" s="1"/>
  <c r="I28" i="5"/>
  <c r="J28" i="5" s="1"/>
  <c r="E28" i="5"/>
  <c r="HO27" i="5"/>
  <c r="GZ27" i="5"/>
  <c r="GY27" i="5"/>
  <c r="GV27" i="5"/>
  <c r="GU27" i="5"/>
  <c r="GW27" i="5" s="1"/>
  <c r="GS27" i="5"/>
  <c r="GR27" i="5"/>
  <c r="GQ27" i="5"/>
  <c r="GN27" i="5"/>
  <c r="GM27" i="5"/>
  <c r="GJ27" i="5"/>
  <c r="GI27" i="5"/>
  <c r="GF27" i="5"/>
  <c r="GE27" i="5"/>
  <c r="GG27" i="5" s="1"/>
  <c r="GC27" i="5"/>
  <c r="GB27" i="5"/>
  <c r="GA27" i="5"/>
  <c r="FY27" i="5"/>
  <c r="FX27" i="5"/>
  <c r="FW27" i="5"/>
  <c r="FT27" i="5"/>
  <c r="FS27" i="5"/>
  <c r="FU27" i="5" s="1"/>
  <c r="FP27" i="5"/>
  <c r="FO27" i="5"/>
  <c r="FL27" i="5"/>
  <c r="FK27" i="5"/>
  <c r="FI27" i="5"/>
  <c r="FH27" i="5"/>
  <c r="FE27" i="5"/>
  <c r="IB27" i="5" s="1"/>
  <c r="FD27" i="5"/>
  <c r="FA27" i="5"/>
  <c r="EZ27" i="5"/>
  <c r="FB27" i="5" s="1"/>
  <c r="EX27" i="5"/>
  <c r="EW27" i="5"/>
  <c r="EV27" i="5"/>
  <c r="ES27" i="5"/>
  <c r="ER27" i="5"/>
  <c r="EO27" i="5"/>
  <c r="EN27" i="5"/>
  <c r="EK27" i="5"/>
  <c r="IJ27" i="5" s="1"/>
  <c r="EJ27" i="5"/>
  <c r="EG27" i="5"/>
  <c r="EF27" i="5"/>
  <c r="EC27" i="5"/>
  <c r="ED27" i="5" s="1"/>
  <c r="EB27" i="5"/>
  <c r="DY27" i="5"/>
  <c r="DX27" i="5"/>
  <c r="DZ27" i="5" s="1"/>
  <c r="DU27" i="5"/>
  <c r="DV27" i="5" s="1"/>
  <c r="DQ27" i="5"/>
  <c r="DR27" i="5" s="1"/>
  <c r="DM27" i="5"/>
  <c r="DL27" i="5"/>
  <c r="DI27" i="5"/>
  <c r="DJ27" i="5" s="1"/>
  <c r="DE27" i="5"/>
  <c r="DF27" i="5" s="1"/>
  <c r="DB27" i="5"/>
  <c r="DA27" i="5"/>
  <c r="CZ27" i="5"/>
  <c r="CW27" i="5"/>
  <c r="CS27" i="5"/>
  <c r="CT27" i="5" s="1"/>
  <c r="CO27" i="5"/>
  <c r="CP27" i="5" s="1"/>
  <c r="CK27" i="5"/>
  <c r="CL27" i="5" s="1"/>
  <c r="CH27" i="5"/>
  <c r="CG27" i="5"/>
  <c r="CF27" i="5"/>
  <c r="HG27" i="5" s="1"/>
  <c r="CC27" i="5"/>
  <c r="CB27" i="5"/>
  <c r="BY27" i="5"/>
  <c r="BZ27" i="5" s="1"/>
  <c r="BU27" i="5"/>
  <c r="BV27" i="5" s="1"/>
  <c r="BQ27" i="5"/>
  <c r="BR27" i="5" s="1"/>
  <c r="BM27" i="5"/>
  <c r="BN27" i="5" s="1"/>
  <c r="BI27" i="5"/>
  <c r="BJ27" i="5" s="1"/>
  <c r="BF27" i="5"/>
  <c r="BE27" i="5"/>
  <c r="BA27" i="5"/>
  <c r="BB27" i="5" s="1"/>
  <c r="AW27" i="5"/>
  <c r="AX27" i="5" s="1"/>
  <c r="AS27" i="5"/>
  <c r="AT27" i="5" s="1"/>
  <c r="AO27" i="5"/>
  <c r="AP27" i="5" s="1"/>
  <c r="AK27" i="5"/>
  <c r="AL27" i="5" s="1"/>
  <c r="AG27" i="5"/>
  <c r="HP27" i="5" s="1"/>
  <c r="AC27" i="5"/>
  <c r="AD27" i="5" s="1"/>
  <c r="Y27" i="5"/>
  <c r="Z27" i="5" s="1"/>
  <c r="V27" i="5"/>
  <c r="U27" i="5"/>
  <c r="Q27" i="5"/>
  <c r="R27" i="5" s="1"/>
  <c r="N27" i="5"/>
  <c r="M27" i="5"/>
  <c r="I27" i="5"/>
  <c r="J27" i="5" s="1"/>
  <c r="F27" i="5"/>
  <c r="E27" i="5"/>
  <c r="HO26" i="5"/>
  <c r="HA26" i="5"/>
  <c r="GZ26" i="5"/>
  <c r="GY26" i="5"/>
  <c r="GV26" i="5"/>
  <c r="GU26" i="5"/>
  <c r="GR26" i="5"/>
  <c r="GQ26" i="5"/>
  <c r="GN26" i="5"/>
  <c r="GM26" i="5"/>
  <c r="GO26" i="5" s="1"/>
  <c r="GK26" i="5"/>
  <c r="GJ26" i="5"/>
  <c r="GI26" i="5"/>
  <c r="GF26" i="5"/>
  <c r="GG26" i="5" s="1"/>
  <c r="GE26" i="5"/>
  <c r="GB26" i="5"/>
  <c r="GA26" i="5"/>
  <c r="FX26" i="5"/>
  <c r="FW26" i="5"/>
  <c r="FT26" i="5"/>
  <c r="FS26" i="5"/>
  <c r="FU26" i="5" s="1"/>
  <c r="FP26" i="5"/>
  <c r="FQ26" i="5" s="1"/>
  <c r="FO26" i="5"/>
  <c r="FL26" i="5"/>
  <c r="IF26" i="5" s="1"/>
  <c r="FK26" i="5"/>
  <c r="FM26" i="5" s="1"/>
  <c r="FI26" i="5"/>
  <c r="FH26" i="5"/>
  <c r="FE26" i="5"/>
  <c r="FD26" i="5"/>
  <c r="FA26" i="5"/>
  <c r="FB26" i="5" s="1"/>
  <c r="EZ26" i="5"/>
  <c r="EW26" i="5"/>
  <c r="EV26" i="5"/>
  <c r="ES26" i="5"/>
  <c r="ER26" i="5"/>
  <c r="EP26" i="5"/>
  <c r="EO26" i="5"/>
  <c r="EN26" i="5"/>
  <c r="EK26" i="5"/>
  <c r="IJ26" i="5" s="1"/>
  <c r="EJ26" i="5"/>
  <c r="II26" i="5" s="1"/>
  <c r="EG26" i="5"/>
  <c r="EF26" i="5"/>
  <c r="EC26" i="5"/>
  <c r="EB26" i="5"/>
  <c r="ED26" i="5" s="1"/>
  <c r="DZ26" i="5"/>
  <c r="DY26" i="5"/>
  <c r="DX26" i="5"/>
  <c r="DU26" i="5"/>
  <c r="DV26" i="5" s="1"/>
  <c r="DQ26" i="5"/>
  <c r="DR26" i="5" s="1"/>
  <c r="DM26" i="5"/>
  <c r="DN26" i="5" s="1"/>
  <c r="DL26" i="5"/>
  <c r="DI26" i="5"/>
  <c r="HD26" i="5" s="1"/>
  <c r="DF26" i="5"/>
  <c r="DE26" i="5"/>
  <c r="DA26" i="5"/>
  <c r="CZ26" i="5"/>
  <c r="DB26" i="5" s="1"/>
  <c r="CW26" i="5"/>
  <c r="CX26" i="5" s="1"/>
  <c r="CS26" i="5"/>
  <c r="CT26" i="5" s="1"/>
  <c r="CO26" i="5"/>
  <c r="CP26" i="5" s="1"/>
  <c r="CK26" i="5"/>
  <c r="HT26" i="5" s="1"/>
  <c r="CG26" i="5"/>
  <c r="CF26" i="5"/>
  <c r="CC26" i="5"/>
  <c r="CB26" i="5"/>
  <c r="CD26" i="5" s="1"/>
  <c r="BY26" i="5"/>
  <c r="BZ26" i="5" s="1"/>
  <c r="BU26" i="5"/>
  <c r="BV26" i="5" s="1"/>
  <c r="BQ26" i="5"/>
  <c r="BR26" i="5" s="1"/>
  <c r="BM26" i="5"/>
  <c r="BN26" i="5" s="1"/>
  <c r="BI26" i="5"/>
  <c r="BE26" i="5"/>
  <c r="BF26" i="5" s="1"/>
  <c r="BA26" i="5"/>
  <c r="BB26" i="5" s="1"/>
  <c r="AW26" i="5"/>
  <c r="AX26" i="5" s="1"/>
  <c r="AS26" i="5"/>
  <c r="AT26" i="5" s="1"/>
  <c r="AO26" i="5"/>
  <c r="AP26" i="5" s="1"/>
  <c r="AK26" i="5"/>
  <c r="AL26" i="5" s="1"/>
  <c r="AG26" i="5"/>
  <c r="AH26" i="5" s="1"/>
  <c r="AC26" i="5"/>
  <c r="AD26" i="5" s="1"/>
  <c r="Y26" i="5"/>
  <c r="Z26" i="5" s="1"/>
  <c r="U26" i="5"/>
  <c r="V26" i="5" s="1"/>
  <c r="Q26" i="5"/>
  <c r="R26" i="5" s="1"/>
  <c r="M26" i="5"/>
  <c r="I26" i="5"/>
  <c r="J26" i="5" s="1"/>
  <c r="E26" i="5"/>
  <c r="F26" i="5" s="1"/>
  <c r="HO25" i="5"/>
  <c r="HA25" i="5"/>
  <c r="GZ25" i="5"/>
  <c r="GY25" i="5"/>
  <c r="GV25" i="5"/>
  <c r="GU25" i="5"/>
  <c r="GR25" i="5"/>
  <c r="GQ25" i="5"/>
  <c r="GN25" i="5"/>
  <c r="GM25" i="5"/>
  <c r="GO25" i="5" s="1"/>
  <c r="GK25" i="5"/>
  <c r="GJ25" i="5"/>
  <c r="GI25" i="5"/>
  <c r="GF25" i="5"/>
  <c r="GG25" i="5" s="1"/>
  <c r="GE25" i="5"/>
  <c r="GB25" i="5"/>
  <c r="GA25" i="5"/>
  <c r="GC25" i="5" s="1"/>
  <c r="FX25" i="5"/>
  <c r="FW25" i="5"/>
  <c r="FT25" i="5"/>
  <c r="FS25" i="5"/>
  <c r="FU25" i="5" s="1"/>
  <c r="FP25" i="5"/>
  <c r="FQ25" i="5" s="1"/>
  <c r="FO25" i="5"/>
  <c r="FL25" i="5"/>
  <c r="IF25" i="5" s="1"/>
  <c r="FK25" i="5"/>
  <c r="IE25" i="5" s="1"/>
  <c r="IG25" i="5" s="1"/>
  <c r="FI25" i="5"/>
  <c r="FH25" i="5"/>
  <c r="FE25" i="5"/>
  <c r="FD25" i="5"/>
  <c r="FF25" i="5" s="1"/>
  <c r="FA25" i="5"/>
  <c r="EZ25" i="5"/>
  <c r="EW25" i="5"/>
  <c r="EV25" i="5"/>
  <c r="ES25" i="5"/>
  <c r="ER25" i="5"/>
  <c r="EP25" i="5"/>
  <c r="EO25" i="5"/>
  <c r="EN25" i="5"/>
  <c r="HS25" i="5" s="1"/>
  <c r="EK25" i="5"/>
  <c r="IJ25" i="5" s="1"/>
  <c r="EJ25" i="5"/>
  <c r="II25" i="5" s="1"/>
  <c r="EG25" i="5"/>
  <c r="EF25" i="5"/>
  <c r="EC25" i="5"/>
  <c r="EB25" i="5"/>
  <c r="ED25" i="5" s="1"/>
  <c r="DZ25" i="5"/>
  <c r="DY25" i="5"/>
  <c r="DX25" i="5"/>
  <c r="DU25" i="5"/>
  <c r="DV25" i="5" s="1"/>
  <c r="DQ25" i="5"/>
  <c r="DR25" i="5" s="1"/>
  <c r="DM25" i="5"/>
  <c r="DL25" i="5"/>
  <c r="DI25" i="5"/>
  <c r="DF25" i="5"/>
  <c r="DE25" i="5"/>
  <c r="DA25" i="5"/>
  <c r="CZ25" i="5"/>
  <c r="DB25" i="5" s="1"/>
  <c r="CW25" i="5"/>
  <c r="CX25" i="5" s="1"/>
  <c r="CS25" i="5"/>
  <c r="CT25" i="5" s="1"/>
  <c r="CO25" i="5"/>
  <c r="CP25" i="5" s="1"/>
  <c r="CK25" i="5"/>
  <c r="HT25" i="5" s="1"/>
  <c r="CG25" i="5"/>
  <c r="CF25" i="5"/>
  <c r="CC25" i="5"/>
  <c r="CB25" i="5"/>
  <c r="CD25" i="5" s="1"/>
  <c r="BY25" i="5"/>
  <c r="BZ25" i="5" s="1"/>
  <c r="BU25" i="5"/>
  <c r="BV25" i="5" s="1"/>
  <c r="BQ25" i="5"/>
  <c r="BR25" i="5" s="1"/>
  <c r="BM25" i="5"/>
  <c r="BN25" i="5" s="1"/>
  <c r="BI25" i="5"/>
  <c r="BJ25" i="5" s="1"/>
  <c r="BE25" i="5"/>
  <c r="BF25" i="5" s="1"/>
  <c r="BA25" i="5"/>
  <c r="BB25" i="5" s="1"/>
  <c r="AW25" i="5"/>
  <c r="AX25" i="5" s="1"/>
  <c r="AS25" i="5"/>
  <c r="AT25" i="5" s="1"/>
  <c r="AO25" i="5"/>
  <c r="AP25" i="5" s="1"/>
  <c r="AK25" i="5"/>
  <c r="AL25" i="5" s="1"/>
  <c r="AG25" i="5"/>
  <c r="AH25" i="5" s="1"/>
  <c r="AC25" i="5"/>
  <c r="AD25" i="5" s="1"/>
  <c r="Y25" i="5"/>
  <c r="Z25" i="5" s="1"/>
  <c r="U25" i="5"/>
  <c r="V25" i="5" s="1"/>
  <c r="Q25" i="5"/>
  <c r="R25" i="5" s="1"/>
  <c r="M25" i="5"/>
  <c r="I25" i="5"/>
  <c r="J25" i="5" s="1"/>
  <c r="E25" i="5"/>
  <c r="HO24" i="5"/>
  <c r="HA24" i="5"/>
  <c r="GZ24" i="5"/>
  <c r="GY24" i="5"/>
  <c r="GV24" i="5"/>
  <c r="GU24" i="5"/>
  <c r="GR24" i="5"/>
  <c r="GQ24" i="5"/>
  <c r="GN24" i="5"/>
  <c r="GM24" i="5"/>
  <c r="GO24" i="5" s="1"/>
  <c r="GK24" i="5"/>
  <c r="GJ24" i="5"/>
  <c r="GI24" i="5"/>
  <c r="GF24" i="5"/>
  <c r="GG24" i="5" s="1"/>
  <c r="GE24" i="5"/>
  <c r="GB24" i="5"/>
  <c r="GA24" i="5"/>
  <c r="GC24" i="5" s="1"/>
  <c r="FX24" i="5"/>
  <c r="FW24" i="5"/>
  <c r="FT24" i="5"/>
  <c r="FS24" i="5"/>
  <c r="FU24" i="5" s="1"/>
  <c r="FP24" i="5"/>
  <c r="FQ24" i="5" s="1"/>
  <c r="FO24" i="5"/>
  <c r="FL24" i="5"/>
  <c r="IF24" i="5" s="1"/>
  <c r="FK24" i="5"/>
  <c r="FI24" i="5"/>
  <c r="FH24" i="5"/>
  <c r="FE24" i="5"/>
  <c r="FD24" i="5"/>
  <c r="FF24" i="5" s="1"/>
  <c r="FA24" i="5"/>
  <c r="FB24" i="5" s="1"/>
  <c r="EZ24" i="5"/>
  <c r="EW24" i="5"/>
  <c r="EV24" i="5"/>
  <c r="ES24" i="5"/>
  <c r="ER24" i="5"/>
  <c r="ET24" i="5" s="1"/>
  <c r="EP24" i="5"/>
  <c r="EO24" i="5"/>
  <c r="EN24" i="5"/>
  <c r="HS24" i="5" s="1"/>
  <c r="EK24" i="5"/>
  <c r="IJ24" i="5" s="1"/>
  <c r="EJ24" i="5"/>
  <c r="II24" i="5" s="1"/>
  <c r="EG24" i="5"/>
  <c r="EF24" i="5"/>
  <c r="EC24" i="5"/>
  <c r="EB24" i="5"/>
  <c r="ED24" i="5" s="1"/>
  <c r="DZ24" i="5"/>
  <c r="DY24" i="5"/>
  <c r="DX24" i="5"/>
  <c r="DU24" i="5"/>
  <c r="DV24" i="5" s="1"/>
  <c r="DQ24" i="5"/>
  <c r="DR24" i="5" s="1"/>
  <c r="DM24" i="5"/>
  <c r="DN24" i="5" s="1"/>
  <c r="DL24" i="5"/>
  <c r="DI24" i="5"/>
  <c r="DF24" i="5"/>
  <c r="DE24" i="5"/>
  <c r="DA24" i="5"/>
  <c r="CZ24" i="5"/>
  <c r="DB24" i="5" s="1"/>
  <c r="CW24" i="5"/>
  <c r="CX24" i="5" s="1"/>
  <c r="CS24" i="5"/>
  <c r="CT24" i="5" s="1"/>
  <c r="CO24" i="5"/>
  <c r="CP24" i="5" s="1"/>
  <c r="CK24" i="5"/>
  <c r="CG24" i="5"/>
  <c r="CF24" i="5"/>
  <c r="CC24" i="5"/>
  <c r="CB24" i="5"/>
  <c r="BY24" i="5"/>
  <c r="BZ24" i="5" s="1"/>
  <c r="BU24" i="5"/>
  <c r="BV24" i="5" s="1"/>
  <c r="BQ24" i="5"/>
  <c r="BR24" i="5" s="1"/>
  <c r="BM24" i="5"/>
  <c r="BN24" i="5" s="1"/>
  <c r="BI24" i="5"/>
  <c r="BE24" i="5"/>
  <c r="BF24" i="5" s="1"/>
  <c r="BA24" i="5"/>
  <c r="BB24" i="5" s="1"/>
  <c r="AW24" i="5"/>
  <c r="AX24" i="5" s="1"/>
  <c r="AS24" i="5"/>
  <c r="AT24" i="5" s="1"/>
  <c r="AO24" i="5"/>
  <c r="AP24" i="5" s="1"/>
  <c r="AK24" i="5"/>
  <c r="AL24" i="5" s="1"/>
  <c r="AG24" i="5"/>
  <c r="AH24" i="5" s="1"/>
  <c r="AC24" i="5"/>
  <c r="AD24" i="5" s="1"/>
  <c r="Y24" i="5"/>
  <c r="Z24" i="5" s="1"/>
  <c r="U24" i="5"/>
  <c r="V24" i="5" s="1"/>
  <c r="Q24" i="5"/>
  <c r="R24" i="5" s="1"/>
  <c r="M24" i="5"/>
  <c r="I24" i="5"/>
  <c r="J24" i="5" s="1"/>
  <c r="E24" i="5"/>
  <c r="HH24" i="5" s="1"/>
  <c r="HO23" i="5"/>
  <c r="HA23" i="5"/>
  <c r="GZ23" i="5"/>
  <c r="GY23" i="5"/>
  <c r="GV23" i="5"/>
  <c r="GU23" i="5"/>
  <c r="GR23" i="5"/>
  <c r="GQ23" i="5"/>
  <c r="GN23" i="5"/>
  <c r="GM23" i="5"/>
  <c r="GO23" i="5" s="1"/>
  <c r="GK23" i="5"/>
  <c r="GJ23" i="5"/>
  <c r="GI23" i="5"/>
  <c r="GF23" i="5"/>
  <c r="GG23" i="5" s="1"/>
  <c r="GE23" i="5"/>
  <c r="GB23" i="5"/>
  <c r="GA23" i="5"/>
  <c r="FX23" i="5"/>
  <c r="FW23" i="5"/>
  <c r="FT23" i="5"/>
  <c r="FS23" i="5"/>
  <c r="FU23" i="5" s="1"/>
  <c r="FP23" i="5"/>
  <c r="FQ23" i="5" s="1"/>
  <c r="FO23" i="5"/>
  <c r="FL23" i="5"/>
  <c r="IF23" i="5" s="1"/>
  <c r="FK23" i="5"/>
  <c r="FI23" i="5"/>
  <c r="FH23" i="5"/>
  <c r="FE23" i="5"/>
  <c r="FD23" i="5"/>
  <c r="FA23" i="5"/>
  <c r="FB23" i="5" s="1"/>
  <c r="EZ23" i="5"/>
  <c r="EW23" i="5"/>
  <c r="EV23" i="5"/>
  <c r="ES23" i="5"/>
  <c r="ER23" i="5"/>
  <c r="EP23" i="5"/>
  <c r="EO23" i="5"/>
  <c r="EN23" i="5"/>
  <c r="HS23" i="5" s="1"/>
  <c r="EK23" i="5"/>
  <c r="IJ23" i="5" s="1"/>
  <c r="EJ23" i="5"/>
  <c r="II23" i="5" s="1"/>
  <c r="IK23" i="5" s="1"/>
  <c r="EG23" i="5"/>
  <c r="EF23" i="5"/>
  <c r="EC23" i="5"/>
  <c r="EB23" i="5"/>
  <c r="ED23" i="5" s="1"/>
  <c r="DZ23" i="5"/>
  <c r="DY23" i="5"/>
  <c r="DX23" i="5"/>
  <c r="DU23" i="5"/>
  <c r="DV23" i="5" s="1"/>
  <c r="DQ23" i="5"/>
  <c r="DR23" i="5" s="1"/>
  <c r="DM23" i="5"/>
  <c r="DN23" i="5" s="1"/>
  <c r="DL23" i="5"/>
  <c r="DI23" i="5"/>
  <c r="DF23" i="5"/>
  <c r="DE23" i="5"/>
  <c r="DA23" i="5"/>
  <c r="CZ23" i="5"/>
  <c r="DB23" i="5" s="1"/>
  <c r="CW23" i="5"/>
  <c r="CX23" i="5" s="1"/>
  <c r="CS23" i="5"/>
  <c r="CT23" i="5" s="1"/>
  <c r="CO23" i="5"/>
  <c r="CP23" i="5" s="1"/>
  <c r="CK23" i="5"/>
  <c r="CG23" i="5"/>
  <c r="CF23" i="5"/>
  <c r="CC23" i="5"/>
  <c r="CB23" i="5"/>
  <c r="BY23" i="5"/>
  <c r="BZ23" i="5" s="1"/>
  <c r="BU23" i="5"/>
  <c r="BV23" i="5" s="1"/>
  <c r="BQ23" i="5"/>
  <c r="BR23" i="5" s="1"/>
  <c r="BM23" i="5"/>
  <c r="BN23" i="5" s="1"/>
  <c r="BI23" i="5"/>
  <c r="BJ23" i="5" s="1"/>
  <c r="BE23" i="5"/>
  <c r="BF23" i="5" s="1"/>
  <c r="BA23" i="5"/>
  <c r="BB23" i="5" s="1"/>
  <c r="AW23" i="5"/>
  <c r="AX23" i="5" s="1"/>
  <c r="AS23" i="5"/>
  <c r="AT23" i="5" s="1"/>
  <c r="AO23" i="5"/>
  <c r="AP23" i="5" s="1"/>
  <c r="AK23" i="5"/>
  <c r="AL23" i="5" s="1"/>
  <c r="AG23" i="5"/>
  <c r="AH23" i="5" s="1"/>
  <c r="AC23" i="5"/>
  <c r="AD23" i="5" s="1"/>
  <c r="Y23" i="5"/>
  <c r="Z23" i="5" s="1"/>
  <c r="U23" i="5"/>
  <c r="V23" i="5" s="1"/>
  <c r="Q23" i="5"/>
  <c r="R23" i="5" s="1"/>
  <c r="M23" i="5"/>
  <c r="I23" i="5"/>
  <c r="J23" i="5" s="1"/>
  <c r="E23" i="5"/>
  <c r="HH23" i="5" s="1"/>
  <c r="HO22" i="5"/>
  <c r="HA22" i="5"/>
  <c r="GZ22" i="5"/>
  <c r="GY22" i="5"/>
  <c r="GV22" i="5"/>
  <c r="GU22" i="5"/>
  <c r="GR22" i="5"/>
  <c r="GQ22" i="5"/>
  <c r="GN22" i="5"/>
  <c r="GM22" i="5"/>
  <c r="GO22" i="5" s="1"/>
  <c r="GK22" i="5"/>
  <c r="GJ22" i="5"/>
  <c r="GI22" i="5"/>
  <c r="GF22" i="5"/>
  <c r="GG22" i="5" s="1"/>
  <c r="GE22" i="5"/>
  <c r="GB22" i="5"/>
  <c r="GA22" i="5"/>
  <c r="GC22" i="5" s="1"/>
  <c r="FX22" i="5"/>
  <c r="FW22" i="5"/>
  <c r="FT22" i="5"/>
  <c r="FS22" i="5"/>
  <c r="FU22" i="5" s="1"/>
  <c r="FP22" i="5"/>
  <c r="FQ22" i="5" s="1"/>
  <c r="FO22" i="5"/>
  <c r="FL22" i="5"/>
  <c r="IF22" i="5" s="1"/>
  <c r="FK22" i="5"/>
  <c r="IE22" i="5" s="1"/>
  <c r="IG22" i="5" s="1"/>
  <c r="FI22" i="5"/>
  <c r="FH22" i="5"/>
  <c r="FE22" i="5"/>
  <c r="FD22" i="5"/>
  <c r="FA22" i="5"/>
  <c r="FB22" i="5" s="1"/>
  <c r="EZ22" i="5"/>
  <c r="EW22" i="5"/>
  <c r="EV22" i="5"/>
  <c r="ES22" i="5"/>
  <c r="ER22" i="5"/>
  <c r="ET22" i="5" s="1"/>
  <c r="EP22" i="5"/>
  <c r="EO22" i="5"/>
  <c r="EN22" i="5"/>
  <c r="HS22" i="5" s="1"/>
  <c r="EK22" i="5"/>
  <c r="IJ22" i="5" s="1"/>
  <c r="EJ22" i="5"/>
  <c r="II22" i="5" s="1"/>
  <c r="IK22" i="5" s="1"/>
  <c r="EG22" i="5"/>
  <c r="EF22" i="5"/>
  <c r="EC22" i="5"/>
  <c r="EB22" i="5"/>
  <c r="ED22" i="5" s="1"/>
  <c r="DZ22" i="5"/>
  <c r="DY22" i="5"/>
  <c r="DX22" i="5"/>
  <c r="DU22" i="5"/>
  <c r="DV22" i="5" s="1"/>
  <c r="DQ22" i="5"/>
  <c r="DR22" i="5" s="1"/>
  <c r="DM22" i="5"/>
  <c r="DN22" i="5" s="1"/>
  <c r="DL22" i="5"/>
  <c r="DI22" i="5"/>
  <c r="DF22" i="5"/>
  <c r="DE22" i="5"/>
  <c r="DA22" i="5"/>
  <c r="CZ22" i="5"/>
  <c r="DB22" i="5" s="1"/>
  <c r="CX22" i="5"/>
  <c r="CW22" i="5"/>
  <c r="CS22" i="5"/>
  <c r="CT22" i="5" s="1"/>
  <c r="CP22" i="5"/>
  <c r="CO22" i="5"/>
  <c r="CK22" i="5"/>
  <c r="CG22" i="5"/>
  <c r="CF22" i="5"/>
  <c r="CH22" i="5" s="1"/>
  <c r="CD22" i="5"/>
  <c r="CC22" i="5"/>
  <c r="CB22" i="5"/>
  <c r="BY22" i="5"/>
  <c r="BZ22" i="5" s="1"/>
  <c r="BV22" i="5"/>
  <c r="BU22" i="5"/>
  <c r="BQ22" i="5"/>
  <c r="BR22" i="5" s="1"/>
  <c r="BN22" i="5"/>
  <c r="BM22" i="5"/>
  <c r="BI22" i="5"/>
  <c r="BE22" i="5"/>
  <c r="BF22" i="5" s="1"/>
  <c r="BA22" i="5"/>
  <c r="BB22" i="5" s="1"/>
  <c r="AW22" i="5"/>
  <c r="AX22" i="5" s="1"/>
  <c r="AS22" i="5"/>
  <c r="AT22" i="5" s="1"/>
  <c r="AP22" i="5"/>
  <c r="AO22" i="5"/>
  <c r="AK22" i="5"/>
  <c r="AL22" i="5" s="1"/>
  <c r="AH22" i="5"/>
  <c r="AG22" i="5"/>
  <c r="AC22" i="5"/>
  <c r="AD22" i="5" s="1"/>
  <c r="Y22" i="5"/>
  <c r="Z22" i="5" s="1"/>
  <c r="U22" i="5"/>
  <c r="V22" i="5" s="1"/>
  <c r="Q22" i="5"/>
  <c r="R22" i="5" s="1"/>
  <c r="M22" i="5"/>
  <c r="HP22" i="5" s="1"/>
  <c r="HQ22" i="5" s="1"/>
  <c r="J22" i="5"/>
  <c r="I22" i="5"/>
  <c r="E22" i="5"/>
  <c r="II21" i="5"/>
  <c r="IK21" i="5" s="1"/>
  <c r="HO21" i="5"/>
  <c r="GZ21" i="5"/>
  <c r="GY21" i="5"/>
  <c r="HA21" i="5" s="1"/>
  <c r="GV21" i="5"/>
  <c r="GU21" i="5"/>
  <c r="GR21" i="5"/>
  <c r="GQ21" i="5"/>
  <c r="GN21" i="5"/>
  <c r="GM21" i="5"/>
  <c r="GO21" i="5" s="1"/>
  <c r="GK21" i="5"/>
  <c r="GJ21" i="5"/>
  <c r="GI21" i="5"/>
  <c r="GF21" i="5"/>
  <c r="GE21" i="5"/>
  <c r="GB21" i="5"/>
  <c r="GA21" i="5"/>
  <c r="FX21" i="5"/>
  <c r="FW21" i="5"/>
  <c r="FY21" i="5" s="1"/>
  <c r="FU21" i="5"/>
  <c r="FT21" i="5"/>
  <c r="FS21" i="5"/>
  <c r="FP21" i="5"/>
  <c r="FQ21" i="5" s="1"/>
  <c r="FO21" i="5"/>
  <c r="FL21" i="5"/>
  <c r="IF21" i="5" s="1"/>
  <c r="FK21" i="5"/>
  <c r="IE21" i="5" s="1"/>
  <c r="IG21" i="5" s="1"/>
  <c r="FI21" i="5"/>
  <c r="FH21" i="5"/>
  <c r="FE21" i="5"/>
  <c r="FD21" i="5"/>
  <c r="FA21" i="5"/>
  <c r="FB21" i="5" s="1"/>
  <c r="EZ21" i="5"/>
  <c r="EW21" i="5"/>
  <c r="EV21" i="5"/>
  <c r="EX21" i="5" s="1"/>
  <c r="ES21" i="5"/>
  <c r="ER21" i="5"/>
  <c r="EO21" i="5"/>
  <c r="EN21" i="5"/>
  <c r="HS21" i="5" s="1"/>
  <c r="EK21" i="5"/>
  <c r="IJ21" i="5" s="1"/>
  <c r="EJ21" i="5"/>
  <c r="EG21" i="5"/>
  <c r="HX21" i="5" s="1"/>
  <c r="EF21" i="5"/>
  <c r="EC21" i="5"/>
  <c r="EB21" i="5"/>
  <c r="DZ21" i="5"/>
  <c r="DY21" i="5"/>
  <c r="DX21" i="5"/>
  <c r="DU21" i="5"/>
  <c r="DV21" i="5" s="1"/>
  <c r="DQ21" i="5"/>
  <c r="DR21" i="5" s="1"/>
  <c r="DM21" i="5"/>
  <c r="DN21" i="5" s="1"/>
  <c r="DL21" i="5"/>
  <c r="DI21" i="5"/>
  <c r="DF21" i="5"/>
  <c r="DE21" i="5"/>
  <c r="DA21" i="5"/>
  <c r="CZ21" i="5"/>
  <c r="DB21" i="5" s="1"/>
  <c r="CW21" i="5"/>
  <c r="CX21" i="5" s="1"/>
  <c r="CS21" i="5"/>
  <c r="CT21" i="5" s="1"/>
  <c r="CO21" i="5"/>
  <c r="CP21" i="5" s="1"/>
  <c r="CK21" i="5"/>
  <c r="CG21" i="5"/>
  <c r="CF21" i="5"/>
  <c r="CC21" i="5"/>
  <c r="CB21" i="5"/>
  <c r="BY21" i="5"/>
  <c r="BZ21" i="5" s="1"/>
  <c r="BU21" i="5"/>
  <c r="BV21" i="5" s="1"/>
  <c r="BQ21" i="5"/>
  <c r="BR21" i="5" s="1"/>
  <c r="BM21" i="5"/>
  <c r="BN21" i="5" s="1"/>
  <c r="BI21" i="5"/>
  <c r="BJ21" i="5" s="1"/>
  <c r="BE21" i="5"/>
  <c r="BF21" i="5" s="1"/>
  <c r="BA21" i="5"/>
  <c r="BB21" i="5" s="1"/>
  <c r="AW21" i="5"/>
  <c r="AX21" i="5" s="1"/>
  <c r="AS21" i="5"/>
  <c r="AT21" i="5" s="1"/>
  <c r="AO21" i="5"/>
  <c r="AP21" i="5" s="1"/>
  <c r="AK21" i="5"/>
  <c r="AL21" i="5" s="1"/>
  <c r="AG21" i="5"/>
  <c r="AH21" i="5" s="1"/>
  <c r="AC21" i="5"/>
  <c r="AD21" i="5" s="1"/>
  <c r="Y21" i="5"/>
  <c r="Z21" i="5" s="1"/>
  <c r="U21" i="5"/>
  <c r="V21" i="5" s="1"/>
  <c r="Q21" i="5"/>
  <c r="R21" i="5" s="1"/>
  <c r="M21" i="5"/>
  <c r="I21" i="5"/>
  <c r="J21" i="5" s="1"/>
  <c r="E21" i="5"/>
  <c r="II20" i="5"/>
  <c r="IK20" i="5" s="1"/>
  <c r="HO20" i="5"/>
  <c r="GZ20" i="5"/>
  <c r="GY20" i="5"/>
  <c r="GV20" i="5"/>
  <c r="GU20" i="5"/>
  <c r="GR20" i="5"/>
  <c r="GQ20" i="5"/>
  <c r="GN20" i="5"/>
  <c r="GM20" i="5"/>
  <c r="GO20" i="5" s="1"/>
  <c r="GK20" i="5"/>
  <c r="GJ20" i="5"/>
  <c r="GI20" i="5"/>
  <c r="GF20" i="5"/>
  <c r="GE20" i="5"/>
  <c r="GB20" i="5"/>
  <c r="GA20" i="5"/>
  <c r="FX20" i="5"/>
  <c r="FW20" i="5"/>
  <c r="FY20" i="5" s="1"/>
  <c r="FU20" i="5"/>
  <c r="FT20" i="5"/>
  <c r="FS20" i="5"/>
  <c r="FP20" i="5"/>
  <c r="FQ20" i="5" s="1"/>
  <c r="FO20" i="5"/>
  <c r="FL20" i="5"/>
  <c r="IF20" i="5" s="1"/>
  <c r="FK20" i="5"/>
  <c r="IE20" i="5" s="1"/>
  <c r="IG20" i="5" s="1"/>
  <c r="FI20" i="5"/>
  <c r="FH20" i="5"/>
  <c r="FE20" i="5"/>
  <c r="FD20" i="5"/>
  <c r="FA20" i="5"/>
  <c r="FB20" i="5" s="1"/>
  <c r="EZ20" i="5"/>
  <c r="EW20" i="5"/>
  <c r="EV20" i="5"/>
  <c r="EX20" i="5" s="1"/>
  <c r="ES20" i="5"/>
  <c r="ER20" i="5"/>
  <c r="EO20" i="5"/>
  <c r="EN20" i="5"/>
  <c r="HS20" i="5" s="1"/>
  <c r="EK20" i="5"/>
  <c r="IJ20" i="5" s="1"/>
  <c r="EJ20" i="5"/>
  <c r="EG20" i="5"/>
  <c r="HX20" i="5" s="1"/>
  <c r="EF20" i="5"/>
  <c r="EC20" i="5"/>
  <c r="EB20" i="5"/>
  <c r="ED20" i="5" s="1"/>
  <c r="DZ20" i="5"/>
  <c r="DY20" i="5"/>
  <c r="DX20" i="5"/>
  <c r="DU20" i="5"/>
  <c r="DV20" i="5" s="1"/>
  <c r="DQ20" i="5"/>
  <c r="DR20" i="5" s="1"/>
  <c r="DM20" i="5"/>
  <c r="DN20" i="5" s="1"/>
  <c r="DL20" i="5"/>
  <c r="DI20" i="5"/>
  <c r="DF20" i="5"/>
  <c r="DE20" i="5"/>
  <c r="DA20" i="5"/>
  <c r="CZ20" i="5"/>
  <c r="DB20" i="5" s="1"/>
  <c r="CW20" i="5"/>
  <c r="CX20" i="5" s="1"/>
  <c r="CS20" i="5"/>
  <c r="CT20" i="5" s="1"/>
  <c r="CO20" i="5"/>
  <c r="CP20" i="5" s="1"/>
  <c r="CK20" i="5"/>
  <c r="CG20" i="5"/>
  <c r="CF20" i="5"/>
  <c r="CC20" i="5"/>
  <c r="CB20" i="5"/>
  <c r="BY20" i="5"/>
  <c r="BZ20" i="5" s="1"/>
  <c r="BU20" i="5"/>
  <c r="BV20" i="5" s="1"/>
  <c r="BQ20" i="5"/>
  <c r="BR20" i="5" s="1"/>
  <c r="BM20" i="5"/>
  <c r="BN20" i="5" s="1"/>
  <c r="BI20" i="5"/>
  <c r="HL20" i="5" s="1"/>
  <c r="BE20" i="5"/>
  <c r="BF20" i="5" s="1"/>
  <c r="BA20" i="5"/>
  <c r="BB20" i="5" s="1"/>
  <c r="AW20" i="5"/>
  <c r="AX20" i="5" s="1"/>
  <c r="AS20" i="5"/>
  <c r="AT20" i="5" s="1"/>
  <c r="AO20" i="5"/>
  <c r="AP20" i="5" s="1"/>
  <c r="AK20" i="5"/>
  <c r="AL20" i="5" s="1"/>
  <c r="AG20" i="5"/>
  <c r="AH20" i="5" s="1"/>
  <c r="AC20" i="5"/>
  <c r="AD20" i="5" s="1"/>
  <c r="Y20" i="5"/>
  <c r="Z20" i="5" s="1"/>
  <c r="U20" i="5"/>
  <c r="V20" i="5" s="1"/>
  <c r="Q20" i="5"/>
  <c r="R20" i="5" s="1"/>
  <c r="M20" i="5"/>
  <c r="I20" i="5"/>
  <c r="J20" i="5" s="1"/>
  <c r="E20" i="5"/>
  <c r="II19" i="5"/>
  <c r="IK19" i="5" s="1"/>
  <c r="HO19" i="5"/>
  <c r="GZ19" i="5"/>
  <c r="GY19" i="5"/>
  <c r="GV19" i="5"/>
  <c r="GU19" i="5"/>
  <c r="GR19" i="5"/>
  <c r="GQ19" i="5"/>
  <c r="GN19" i="5"/>
  <c r="GM19" i="5"/>
  <c r="GO19" i="5" s="1"/>
  <c r="GK19" i="5"/>
  <c r="GJ19" i="5"/>
  <c r="GI19" i="5"/>
  <c r="GF19" i="5"/>
  <c r="GE19" i="5"/>
  <c r="GB19" i="5"/>
  <c r="GA19" i="5"/>
  <c r="FX19" i="5"/>
  <c r="FW19" i="5"/>
  <c r="FY19" i="5" s="1"/>
  <c r="FU19" i="5"/>
  <c r="FT19" i="5"/>
  <c r="FS19" i="5"/>
  <c r="FP19" i="5"/>
  <c r="FQ19" i="5" s="1"/>
  <c r="FO19" i="5"/>
  <c r="FL19" i="5"/>
  <c r="IF19" i="5" s="1"/>
  <c r="FK19" i="5"/>
  <c r="IE19" i="5" s="1"/>
  <c r="IG19" i="5" s="1"/>
  <c r="FI19" i="5"/>
  <c r="FH19" i="5"/>
  <c r="FE19" i="5"/>
  <c r="FD19" i="5"/>
  <c r="FA19" i="5"/>
  <c r="FB19" i="5" s="1"/>
  <c r="EZ19" i="5"/>
  <c r="EW19" i="5"/>
  <c r="EV19" i="5"/>
  <c r="EX19" i="5" s="1"/>
  <c r="ES19" i="5"/>
  <c r="ER19" i="5"/>
  <c r="EO19" i="5"/>
  <c r="EN19" i="5"/>
  <c r="EK19" i="5"/>
  <c r="IJ19" i="5" s="1"/>
  <c r="EJ19" i="5"/>
  <c r="EG19" i="5"/>
  <c r="EF19" i="5"/>
  <c r="EC19" i="5"/>
  <c r="EB19" i="5"/>
  <c r="ED19" i="5" s="1"/>
  <c r="DZ19" i="5"/>
  <c r="DY19" i="5"/>
  <c r="DX19" i="5"/>
  <c r="DU19" i="5"/>
  <c r="DV19" i="5" s="1"/>
  <c r="DQ19" i="5"/>
  <c r="DR19" i="5" s="1"/>
  <c r="DM19" i="5"/>
  <c r="DN19" i="5" s="1"/>
  <c r="DL19" i="5"/>
  <c r="DI19" i="5"/>
  <c r="DF19" i="5"/>
  <c r="DE19" i="5"/>
  <c r="DA19" i="5"/>
  <c r="CZ19" i="5"/>
  <c r="DB19" i="5" s="1"/>
  <c r="CW19" i="5"/>
  <c r="CX19" i="5" s="1"/>
  <c r="CS19" i="5"/>
  <c r="CT19" i="5" s="1"/>
  <c r="CO19" i="5"/>
  <c r="CP19" i="5" s="1"/>
  <c r="CK19" i="5"/>
  <c r="CG19" i="5"/>
  <c r="CF19" i="5"/>
  <c r="CC19" i="5"/>
  <c r="CB19" i="5"/>
  <c r="BY19" i="5"/>
  <c r="BZ19" i="5" s="1"/>
  <c r="BU19" i="5"/>
  <c r="BV19" i="5" s="1"/>
  <c r="BQ19" i="5"/>
  <c r="BR19" i="5" s="1"/>
  <c r="BM19" i="5"/>
  <c r="BN19" i="5" s="1"/>
  <c r="BI19" i="5"/>
  <c r="HL19" i="5" s="1"/>
  <c r="BE19" i="5"/>
  <c r="BF19" i="5" s="1"/>
  <c r="BA19" i="5"/>
  <c r="BB19" i="5" s="1"/>
  <c r="AW19" i="5"/>
  <c r="AX19" i="5" s="1"/>
  <c r="AS19" i="5"/>
  <c r="AT19" i="5" s="1"/>
  <c r="AO19" i="5"/>
  <c r="AP19" i="5" s="1"/>
  <c r="AK19" i="5"/>
  <c r="AL19" i="5" s="1"/>
  <c r="AG19" i="5"/>
  <c r="AH19" i="5" s="1"/>
  <c r="AC19" i="5"/>
  <c r="AD19" i="5" s="1"/>
  <c r="Y19" i="5"/>
  <c r="Z19" i="5" s="1"/>
  <c r="U19" i="5"/>
  <c r="V19" i="5" s="1"/>
  <c r="Q19" i="5"/>
  <c r="R19" i="5" s="1"/>
  <c r="M19" i="5"/>
  <c r="I19" i="5"/>
  <c r="J19" i="5" s="1"/>
  <c r="E19" i="5"/>
  <c r="II18" i="5"/>
  <c r="IK18" i="5" s="1"/>
  <c r="HO18" i="5"/>
  <c r="GZ18" i="5"/>
  <c r="GY18" i="5"/>
  <c r="HA18" i="5" s="1"/>
  <c r="GV18" i="5"/>
  <c r="GU18" i="5"/>
  <c r="GR18" i="5"/>
  <c r="GQ18" i="5"/>
  <c r="GN18" i="5"/>
  <c r="GM18" i="5"/>
  <c r="GO18" i="5" s="1"/>
  <c r="GK18" i="5"/>
  <c r="GJ18" i="5"/>
  <c r="GI18" i="5"/>
  <c r="GF18" i="5"/>
  <c r="GE18" i="5"/>
  <c r="GB18" i="5"/>
  <c r="GA18" i="5"/>
  <c r="FX18" i="5"/>
  <c r="FW18" i="5"/>
  <c r="FY18" i="5" s="1"/>
  <c r="FU18" i="5"/>
  <c r="FT18" i="5"/>
  <c r="FS18" i="5"/>
  <c r="FP18" i="5"/>
  <c r="FQ18" i="5" s="1"/>
  <c r="FO18" i="5"/>
  <c r="FL18" i="5"/>
  <c r="IF18" i="5" s="1"/>
  <c r="FK18" i="5"/>
  <c r="IE18" i="5" s="1"/>
  <c r="IG18" i="5" s="1"/>
  <c r="FI18" i="5"/>
  <c r="FH18" i="5"/>
  <c r="FE18" i="5"/>
  <c r="FD18" i="5"/>
  <c r="FA18" i="5"/>
  <c r="FB18" i="5" s="1"/>
  <c r="EZ18" i="5"/>
  <c r="EW18" i="5"/>
  <c r="EV18" i="5"/>
  <c r="EX18" i="5" s="1"/>
  <c r="ES18" i="5"/>
  <c r="ER18" i="5"/>
  <c r="EO18" i="5"/>
  <c r="EN18" i="5"/>
  <c r="EK18" i="5"/>
  <c r="IJ18" i="5" s="1"/>
  <c r="EJ18" i="5"/>
  <c r="EG18" i="5"/>
  <c r="EF18" i="5"/>
  <c r="EC18" i="5"/>
  <c r="EB18" i="5"/>
  <c r="ED18" i="5" s="1"/>
  <c r="DZ18" i="5"/>
  <c r="DY18" i="5"/>
  <c r="DX18" i="5"/>
  <c r="DU18" i="5"/>
  <c r="DV18" i="5" s="1"/>
  <c r="DQ18" i="5"/>
  <c r="DR18" i="5" s="1"/>
  <c r="DM18" i="5"/>
  <c r="DN18" i="5" s="1"/>
  <c r="DL18" i="5"/>
  <c r="DI18" i="5"/>
  <c r="DF18" i="5"/>
  <c r="DE18" i="5"/>
  <c r="DA18" i="5"/>
  <c r="CZ18" i="5"/>
  <c r="DB18" i="5" s="1"/>
  <c r="CW18" i="5"/>
  <c r="CX18" i="5" s="1"/>
  <c r="CS18" i="5"/>
  <c r="CT18" i="5" s="1"/>
  <c r="CO18" i="5"/>
  <c r="CP18" i="5" s="1"/>
  <c r="CK18" i="5"/>
  <c r="CG18" i="5"/>
  <c r="CF18" i="5"/>
  <c r="CC18" i="5"/>
  <c r="CB18" i="5"/>
  <c r="BY18" i="5"/>
  <c r="BZ18" i="5" s="1"/>
  <c r="BU18" i="5"/>
  <c r="BV18" i="5" s="1"/>
  <c r="BQ18" i="5"/>
  <c r="BR18" i="5" s="1"/>
  <c r="BM18" i="5"/>
  <c r="BN18" i="5" s="1"/>
  <c r="BI18" i="5"/>
  <c r="BJ18" i="5" s="1"/>
  <c r="BE18" i="5"/>
  <c r="BF18" i="5" s="1"/>
  <c r="BA18" i="5"/>
  <c r="BB18" i="5" s="1"/>
  <c r="AW18" i="5"/>
  <c r="AX18" i="5" s="1"/>
  <c r="AS18" i="5"/>
  <c r="AT18" i="5" s="1"/>
  <c r="AO18" i="5"/>
  <c r="AP18" i="5" s="1"/>
  <c r="AK18" i="5"/>
  <c r="AL18" i="5" s="1"/>
  <c r="AG18" i="5"/>
  <c r="AH18" i="5" s="1"/>
  <c r="AC18" i="5"/>
  <c r="AD18" i="5" s="1"/>
  <c r="Y18" i="5"/>
  <c r="Z18" i="5" s="1"/>
  <c r="U18" i="5"/>
  <c r="V18" i="5" s="1"/>
  <c r="Q18" i="5"/>
  <c r="R18" i="5" s="1"/>
  <c r="M18" i="5"/>
  <c r="I18" i="5"/>
  <c r="J18" i="5" s="1"/>
  <c r="E18" i="5"/>
  <c r="II17" i="5"/>
  <c r="IK17" i="5" s="1"/>
  <c r="HO17" i="5"/>
  <c r="GZ17" i="5"/>
  <c r="GY17" i="5"/>
  <c r="HA17" i="5" s="1"/>
  <c r="GV17" i="5"/>
  <c r="GU17" i="5"/>
  <c r="GR17" i="5"/>
  <c r="GQ17" i="5"/>
  <c r="GN17" i="5"/>
  <c r="GM17" i="5"/>
  <c r="GO17" i="5" s="1"/>
  <c r="GK17" i="5"/>
  <c r="GJ17" i="5"/>
  <c r="GI17" i="5"/>
  <c r="GF17" i="5"/>
  <c r="GE17" i="5"/>
  <c r="GB17" i="5"/>
  <c r="GA17" i="5"/>
  <c r="FX17" i="5"/>
  <c r="FW17" i="5"/>
  <c r="FY17" i="5" s="1"/>
  <c r="FU17" i="5"/>
  <c r="FT17" i="5"/>
  <c r="FS17" i="5"/>
  <c r="FP17" i="5"/>
  <c r="FQ17" i="5" s="1"/>
  <c r="FO17" i="5"/>
  <c r="FL17" i="5"/>
  <c r="IF17" i="5" s="1"/>
  <c r="FK17" i="5"/>
  <c r="IE17" i="5" s="1"/>
  <c r="IG17" i="5" s="1"/>
  <c r="FI17" i="5"/>
  <c r="FH17" i="5"/>
  <c r="FE17" i="5"/>
  <c r="FD17" i="5"/>
  <c r="FA17" i="5"/>
  <c r="FB17" i="5" s="1"/>
  <c r="EZ17" i="5"/>
  <c r="EW17" i="5"/>
  <c r="EV17" i="5"/>
  <c r="EX17" i="5" s="1"/>
  <c r="ES17" i="5"/>
  <c r="ER17" i="5"/>
  <c r="EO17" i="5"/>
  <c r="EN17" i="5"/>
  <c r="HS17" i="5" s="1"/>
  <c r="EK17" i="5"/>
  <c r="IJ17" i="5" s="1"/>
  <c r="EJ17" i="5"/>
  <c r="EG17" i="5"/>
  <c r="HX17" i="5" s="1"/>
  <c r="EF17" i="5"/>
  <c r="EC17" i="5"/>
  <c r="EB17" i="5"/>
  <c r="DZ17" i="5"/>
  <c r="DY17" i="5"/>
  <c r="DX17" i="5"/>
  <c r="DU17" i="5"/>
  <c r="DV17" i="5" s="1"/>
  <c r="DQ17" i="5"/>
  <c r="DR17" i="5" s="1"/>
  <c r="DM17" i="5"/>
  <c r="HL17" i="5" s="1"/>
  <c r="DL17" i="5"/>
  <c r="DI17" i="5"/>
  <c r="DF17" i="5"/>
  <c r="DE17" i="5"/>
  <c r="DA17" i="5"/>
  <c r="CZ17" i="5"/>
  <c r="HK17" i="5" s="1"/>
  <c r="CW17" i="5"/>
  <c r="CX17" i="5" s="1"/>
  <c r="CS17" i="5"/>
  <c r="CT17" i="5" s="1"/>
  <c r="CO17" i="5"/>
  <c r="CP17" i="5" s="1"/>
  <c r="CK17" i="5"/>
  <c r="CG17" i="5"/>
  <c r="CF17" i="5"/>
  <c r="CC17" i="5"/>
  <c r="CD17" i="5" s="1"/>
  <c r="BY17" i="5"/>
  <c r="BZ17" i="5" s="1"/>
  <c r="BV17" i="5"/>
  <c r="BU17" i="5"/>
  <c r="BQ17" i="5"/>
  <c r="BR17" i="5" s="1"/>
  <c r="BN17" i="5"/>
  <c r="BM17" i="5"/>
  <c r="BI17" i="5"/>
  <c r="BJ17" i="5" s="1"/>
  <c r="BE17" i="5"/>
  <c r="BF17" i="5" s="1"/>
  <c r="BA17" i="5"/>
  <c r="BB17" i="5" s="1"/>
  <c r="AW17" i="5"/>
  <c r="AX17" i="5" s="1"/>
  <c r="AS17" i="5"/>
  <c r="AT17" i="5" s="1"/>
  <c r="AP17" i="5"/>
  <c r="AO17" i="5"/>
  <c r="AK17" i="5"/>
  <c r="AL17" i="5" s="1"/>
  <c r="AH17" i="5"/>
  <c r="AG17" i="5"/>
  <c r="AC17" i="5"/>
  <c r="AD17" i="5" s="1"/>
  <c r="Y17" i="5"/>
  <c r="Z17" i="5" s="1"/>
  <c r="U17" i="5"/>
  <c r="V17" i="5" s="1"/>
  <c r="Q17" i="5"/>
  <c r="R17" i="5" s="1"/>
  <c r="M17" i="5"/>
  <c r="HP17" i="5" s="1"/>
  <c r="HQ17" i="5" s="1"/>
  <c r="J17" i="5"/>
  <c r="I17" i="5"/>
  <c r="E17" i="5"/>
  <c r="F17" i="5" s="1"/>
  <c r="HP16" i="5"/>
  <c r="HQ16" i="5" s="1"/>
  <c r="HO16" i="5"/>
  <c r="GZ16" i="5"/>
  <c r="GY16" i="5"/>
  <c r="GV16" i="5"/>
  <c r="GU16" i="5"/>
  <c r="GR16" i="5"/>
  <c r="GQ16" i="5"/>
  <c r="GS16" i="5" s="1"/>
  <c r="GO16" i="5"/>
  <c r="GN16" i="5"/>
  <c r="GM16" i="5"/>
  <c r="GJ16" i="5"/>
  <c r="GI16" i="5"/>
  <c r="GF16" i="5"/>
  <c r="GE16" i="5"/>
  <c r="GB16" i="5"/>
  <c r="GA16" i="5"/>
  <c r="GC16" i="5" s="1"/>
  <c r="FY16" i="5"/>
  <c r="FX16" i="5"/>
  <c r="FW16" i="5"/>
  <c r="FT16" i="5"/>
  <c r="FU16" i="5" s="1"/>
  <c r="FS16" i="5"/>
  <c r="FP16" i="5"/>
  <c r="FO16" i="5"/>
  <c r="FQ16" i="5" s="1"/>
  <c r="FL16" i="5"/>
  <c r="FK16" i="5"/>
  <c r="IE16" i="5" s="1"/>
  <c r="FI16" i="5"/>
  <c r="FH16" i="5"/>
  <c r="FJ16" i="5" s="1"/>
  <c r="FE16" i="5"/>
  <c r="FD16" i="5"/>
  <c r="FA16" i="5"/>
  <c r="EZ16" i="5"/>
  <c r="FB16" i="5" s="1"/>
  <c r="EW16" i="5"/>
  <c r="EV16" i="5"/>
  <c r="ES16" i="5"/>
  <c r="ER16" i="5"/>
  <c r="EO16" i="5"/>
  <c r="EN16" i="5"/>
  <c r="EK16" i="5"/>
  <c r="IJ16" i="5" s="1"/>
  <c r="EJ16" i="5"/>
  <c r="II16" i="5" s="1"/>
  <c r="EG16" i="5"/>
  <c r="HX16" i="5" s="1"/>
  <c r="EF16" i="5"/>
  <c r="EH16" i="5" s="1"/>
  <c r="ED16" i="5"/>
  <c r="EC16" i="5"/>
  <c r="EB16" i="5"/>
  <c r="DY16" i="5"/>
  <c r="DX16" i="5"/>
  <c r="DU16" i="5"/>
  <c r="DV16" i="5" s="1"/>
  <c r="DQ16" i="5"/>
  <c r="DR16" i="5" s="1"/>
  <c r="DM16" i="5"/>
  <c r="DL16" i="5"/>
  <c r="DI16" i="5"/>
  <c r="DE16" i="5"/>
  <c r="DF16" i="5" s="1"/>
  <c r="DA16" i="5"/>
  <c r="CZ16" i="5"/>
  <c r="CW16" i="5"/>
  <c r="CX16" i="5" s="1"/>
  <c r="CS16" i="5"/>
  <c r="CT16" i="5" s="1"/>
  <c r="CO16" i="5"/>
  <c r="CP16" i="5" s="1"/>
  <c r="CK16" i="5"/>
  <c r="HT16" i="5" s="1"/>
  <c r="CH16" i="5"/>
  <c r="CG16" i="5"/>
  <c r="CF16" i="5"/>
  <c r="CC16" i="5"/>
  <c r="CD16" i="5" s="1"/>
  <c r="CB16" i="5"/>
  <c r="BY16" i="5"/>
  <c r="BZ16" i="5" s="1"/>
  <c r="BU16" i="5"/>
  <c r="BV16" i="5" s="1"/>
  <c r="BQ16" i="5"/>
  <c r="BR16" i="5" s="1"/>
  <c r="BM16" i="5"/>
  <c r="BN16" i="5" s="1"/>
  <c r="BI16" i="5"/>
  <c r="BJ16" i="5" s="1"/>
  <c r="BF16" i="5"/>
  <c r="BE16" i="5"/>
  <c r="BA16" i="5"/>
  <c r="BB16" i="5" s="1"/>
  <c r="AX16" i="5"/>
  <c r="AW16" i="5"/>
  <c r="AS16" i="5"/>
  <c r="AT16" i="5" s="1"/>
  <c r="AO16" i="5"/>
  <c r="AP16" i="5" s="1"/>
  <c r="AK16" i="5"/>
  <c r="AL16" i="5" s="1"/>
  <c r="AG16" i="5"/>
  <c r="AH16" i="5" s="1"/>
  <c r="AC16" i="5"/>
  <c r="AD16" i="5" s="1"/>
  <c r="Z16" i="5"/>
  <c r="Y16" i="5"/>
  <c r="U16" i="5"/>
  <c r="V16" i="5" s="1"/>
  <c r="R16" i="5"/>
  <c r="Q16" i="5"/>
  <c r="M16" i="5"/>
  <c r="N16" i="5" s="1"/>
  <c r="I16" i="5"/>
  <c r="J16" i="5" s="1"/>
  <c r="E16" i="5"/>
  <c r="HO15" i="5"/>
  <c r="GZ15" i="5"/>
  <c r="HA15" i="5" s="1"/>
  <c r="GY15" i="5"/>
  <c r="GV15" i="5"/>
  <c r="GU15" i="5"/>
  <c r="GW15" i="5" s="1"/>
  <c r="GR15" i="5"/>
  <c r="GQ15" i="5"/>
  <c r="GN15" i="5"/>
  <c r="GM15" i="5"/>
  <c r="GO15" i="5" s="1"/>
  <c r="GJ15" i="5"/>
  <c r="GK15" i="5" s="1"/>
  <c r="GI15" i="5"/>
  <c r="GF15" i="5"/>
  <c r="GE15" i="5"/>
  <c r="GG15" i="5" s="1"/>
  <c r="GB15" i="5"/>
  <c r="GA15" i="5"/>
  <c r="FX15" i="5"/>
  <c r="FW15" i="5"/>
  <c r="FT15" i="5"/>
  <c r="FS15" i="5"/>
  <c r="FP15" i="5"/>
  <c r="FO15" i="5"/>
  <c r="FL15" i="5"/>
  <c r="FK15" i="5"/>
  <c r="FJ15" i="5"/>
  <c r="FI15" i="5"/>
  <c r="FH15" i="5"/>
  <c r="FE15" i="5"/>
  <c r="FD15" i="5"/>
  <c r="FA15" i="5"/>
  <c r="EZ15" i="5"/>
  <c r="EW15" i="5"/>
  <c r="EV15" i="5"/>
  <c r="EX15" i="5" s="1"/>
  <c r="ET15" i="5"/>
  <c r="ES15" i="5"/>
  <c r="ER15" i="5"/>
  <c r="EO15" i="5"/>
  <c r="EP15" i="5" s="1"/>
  <c r="EN15" i="5"/>
  <c r="EK15" i="5"/>
  <c r="IJ15" i="5" s="1"/>
  <c r="EJ15" i="5"/>
  <c r="II15" i="5" s="1"/>
  <c r="IK15" i="5" s="1"/>
  <c r="EG15" i="5"/>
  <c r="EF15" i="5"/>
  <c r="EC15" i="5"/>
  <c r="EB15" i="5"/>
  <c r="ED15" i="5" s="1"/>
  <c r="DY15" i="5"/>
  <c r="DZ15" i="5" s="1"/>
  <c r="DX15" i="5"/>
  <c r="DU15" i="5"/>
  <c r="DV15" i="5" s="1"/>
  <c r="DR15" i="5"/>
  <c r="DQ15" i="5"/>
  <c r="DM15" i="5"/>
  <c r="DL15" i="5"/>
  <c r="DN15" i="5" s="1"/>
  <c r="DJ15" i="5"/>
  <c r="DI15" i="5"/>
  <c r="DE15" i="5"/>
  <c r="DF15" i="5" s="1"/>
  <c r="DA15" i="5"/>
  <c r="CZ15" i="5"/>
  <c r="DB15" i="5" s="1"/>
  <c r="CX15" i="5"/>
  <c r="CW15" i="5"/>
  <c r="CS15" i="5"/>
  <c r="CT15" i="5" s="1"/>
  <c r="CP15" i="5"/>
  <c r="CO15" i="5"/>
  <c r="CK15" i="5"/>
  <c r="CG15" i="5"/>
  <c r="CF15" i="5"/>
  <c r="CH15" i="5" s="1"/>
  <c r="CC15" i="5"/>
  <c r="CB15" i="5"/>
  <c r="BY15" i="5"/>
  <c r="BZ15" i="5" s="1"/>
  <c r="BV15" i="5"/>
  <c r="BU15" i="5"/>
  <c r="BQ15" i="5"/>
  <c r="BR15" i="5" s="1"/>
  <c r="BN15" i="5"/>
  <c r="BM15" i="5"/>
  <c r="BI15" i="5"/>
  <c r="BJ15" i="5" s="1"/>
  <c r="BE15" i="5"/>
  <c r="BF15" i="5" s="1"/>
  <c r="BA15" i="5"/>
  <c r="BB15" i="5" s="1"/>
  <c r="AW15" i="5"/>
  <c r="AX15" i="5" s="1"/>
  <c r="AS15" i="5"/>
  <c r="AT15" i="5" s="1"/>
  <c r="AP15" i="5"/>
  <c r="AO15" i="5"/>
  <c r="AK15" i="5"/>
  <c r="AL15" i="5" s="1"/>
  <c r="AH15" i="5"/>
  <c r="AG15" i="5"/>
  <c r="AC15" i="5"/>
  <c r="AD15" i="5" s="1"/>
  <c r="Y15" i="5"/>
  <c r="Z15" i="5" s="1"/>
  <c r="U15" i="5"/>
  <c r="V15" i="5" s="1"/>
  <c r="Q15" i="5"/>
  <c r="R15" i="5" s="1"/>
  <c r="M15" i="5"/>
  <c r="J15" i="5"/>
  <c r="I15" i="5"/>
  <c r="E15" i="5"/>
  <c r="HO14" i="5"/>
  <c r="GZ14" i="5"/>
  <c r="HA14" i="5" s="1"/>
  <c r="GY14" i="5"/>
  <c r="GV14" i="5"/>
  <c r="GU14" i="5"/>
  <c r="GW14" i="5" s="1"/>
  <c r="GR14" i="5"/>
  <c r="GQ14" i="5"/>
  <c r="GN14" i="5"/>
  <c r="GM14" i="5"/>
  <c r="GO14" i="5" s="1"/>
  <c r="GJ14" i="5"/>
  <c r="GK14" i="5" s="1"/>
  <c r="GI14" i="5"/>
  <c r="GF14" i="5"/>
  <c r="GE14" i="5"/>
  <c r="GB14" i="5"/>
  <c r="GA14" i="5"/>
  <c r="FY14" i="5"/>
  <c r="FX14" i="5"/>
  <c r="FW14" i="5"/>
  <c r="FT14" i="5"/>
  <c r="FS14" i="5"/>
  <c r="FP14" i="5"/>
  <c r="FO14" i="5"/>
  <c r="FL14" i="5"/>
  <c r="FK14" i="5"/>
  <c r="IE14" i="5" s="1"/>
  <c r="FJ14" i="5"/>
  <c r="FI14" i="5"/>
  <c r="FH14" i="5"/>
  <c r="FE14" i="5"/>
  <c r="IB14" i="5" s="1"/>
  <c r="FD14" i="5"/>
  <c r="FA14" i="5"/>
  <c r="EZ14" i="5"/>
  <c r="FB14" i="5" s="1"/>
  <c r="EW14" i="5"/>
  <c r="EV14" i="5"/>
  <c r="ES14" i="5"/>
  <c r="ER14" i="5"/>
  <c r="ET14" i="5" s="1"/>
  <c r="EO14" i="5"/>
  <c r="EP14" i="5" s="1"/>
  <c r="EN14" i="5"/>
  <c r="EK14" i="5"/>
  <c r="IJ14" i="5" s="1"/>
  <c r="EJ14" i="5"/>
  <c r="II14" i="5" s="1"/>
  <c r="IK14" i="5" s="1"/>
  <c r="EG14" i="5"/>
  <c r="HX14" i="5" s="1"/>
  <c r="EF14" i="5"/>
  <c r="EC14" i="5"/>
  <c r="EB14" i="5"/>
  <c r="DY14" i="5"/>
  <c r="DX14" i="5"/>
  <c r="DU14" i="5"/>
  <c r="DV14" i="5" s="1"/>
  <c r="DQ14" i="5"/>
  <c r="DR14" i="5" s="1"/>
  <c r="DM14" i="5"/>
  <c r="DL14" i="5"/>
  <c r="DN14" i="5" s="1"/>
  <c r="DI14" i="5"/>
  <c r="DE14" i="5"/>
  <c r="DF14" i="5" s="1"/>
  <c r="DA14" i="5"/>
  <c r="CZ14" i="5"/>
  <c r="DB14" i="5" s="1"/>
  <c r="CW14" i="5"/>
  <c r="CX14" i="5" s="1"/>
  <c r="CS14" i="5"/>
  <c r="CT14" i="5" s="1"/>
  <c r="CP14" i="5"/>
  <c r="CO14" i="5"/>
  <c r="CK14" i="5"/>
  <c r="HT14" i="5" s="1"/>
  <c r="CG14" i="5"/>
  <c r="CF14" i="5"/>
  <c r="CC14" i="5"/>
  <c r="CD14" i="5" s="1"/>
  <c r="BY14" i="5"/>
  <c r="BZ14" i="5" s="1"/>
  <c r="BU14" i="5"/>
  <c r="BQ14" i="5"/>
  <c r="BR14" i="5" s="1"/>
  <c r="BM14" i="5"/>
  <c r="BN14" i="5" s="1"/>
  <c r="BI14" i="5"/>
  <c r="BJ14" i="5" s="1"/>
  <c r="BE14" i="5"/>
  <c r="BF14" i="5" s="1"/>
  <c r="BA14" i="5"/>
  <c r="BB14" i="5" s="1"/>
  <c r="AW14" i="5"/>
  <c r="AX14" i="5" s="1"/>
  <c r="AS14" i="5"/>
  <c r="AT14" i="5" s="1"/>
  <c r="AO14" i="5"/>
  <c r="AP14" i="5" s="1"/>
  <c r="AK14" i="5"/>
  <c r="AL14" i="5" s="1"/>
  <c r="AG14" i="5"/>
  <c r="AH14" i="5" s="1"/>
  <c r="AC14" i="5"/>
  <c r="AD14" i="5" s="1"/>
  <c r="Y14" i="5"/>
  <c r="Z14" i="5" s="1"/>
  <c r="U14" i="5"/>
  <c r="V14" i="5" s="1"/>
  <c r="Q14" i="5"/>
  <c r="R14" i="5" s="1"/>
  <c r="M14" i="5"/>
  <c r="N14" i="5" s="1"/>
  <c r="I14" i="5"/>
  <c r="J14" i="5" s="1"/>
  <c r="E14" i="5"/>
  <c r="F14" i="5" s="1"/>
  <c r="IJ13" i="5"/>
  <c r="HO13" i="5"/>
  <c r="GZ13" i="5"/>
  <c r="GY13" i="5"/>
  <c r="GV13" i="5"/>
  <c r="GU13" i="5"/>
  <c r="GR13" i="5"/>
  <c r="GQ13" i="5"/>
  <c r="GS13" i="5" s="1"/>
  <c r="GN13" i="5"/>
  <c r="GM13" i="5"/>
  <c r="GJ13" i="5"/>
  <c r="GI13" i="5"/>
  <c r="GK13" i="5" s="1"/>
  <c r="GF13" i="5"/>
  <c r="GE13" i="5"/>
  <c r="GG13" i="5" s="1"/>
  <c r="GB13" i="5"/>
  <c r="GC13" i="5" s="1"/>
  <c r="GA13" i="5"/>
  <c r="FX13" i="5"/>
  <c r="FY13" i="5" s="1"/>
  <c r="FW13" i="5"/>
  <c r="FT13" i="5"/>
  <c r="IF13" i="5" s="1"/>
  <c r="FS13" i="5"/>
  <c r="FP13" i="5"/>
  <c r="FO13" i="5"/>
  <c r="FL13" i="5"/>
  <c r="FK13" i="5"/>
  <c r="FM13" i="5" s="1"/>
  <c r="FI13" i="5"/>
  <c r="FH13" i="5"/>
  <c r="FE13" i="5"/>
  <c r="FD13" i="5"/>
  <c r="FF13" i="5" s="1"/>
  <c r="FA13" i="5"/>
  <c r="EZ13" i="5"/>
  <c r="FB13" i="5" s="1"/>
  <c r="EW13" i="5"/>
  <c r="EV13" i="5"/>
  <c r="EX13" i="5" s="1"/>
  <c r="ES13" i="5"/>
  <c r="ET13" i="5" s="1"/>
  <c r="ER13" i="5"/>
  <c r="EO13" i="5"/>
  <c r="EN13" i="5"/>
  <c r="EK13" i="5"/>
  <c r="EJ13" i="5"/>
  <c r="II13" i="5" s="1"/>
  <c r="EH13" i="5"/>
  <c r="EG13" i="5"/>
  <c r="EF13" i="5"/>
  <c r="EC13" i="5"/>
  <c r="EB13" i="5"/>
  <c r="DY13" i="5"/>
  <c r="DX13" i="5"/>
  <c r="DZ13" i="5" s="1"/>
  <c r="DU13" i="5"/>
  <c r="DV13" i="5" s="1"/>
  <c r="DQ13" i="5"/>
  <c r="DR13" i="5" s="1"/>
  <c r="DM13" i="5"/>
  <c r="DL13" i="5"/>
  <c r="DN13" i="5" s="1"/>
  <c r="DI13" i="5"/>
  <c r="DJ13" i="5" s="1"/>
  <c r="DE13" i="5"/>
  <c r="DF13" i="5" s="1"/>
  <c r="DB13" i="5"/>
  <c r="DA13" i="5"/>
  <c r="CZ13" i="5"/>
  <c r="CW13" i="5"/>
  <c r="CX13" i="5" s="1"/>
  <c r="CS13" i="5"/>
  <c r="CT13" i="5" s="1"/>
  <c r="CO13" i="5"/>
  <c r="CP13" i="5" s="1"/>
  <c r="CK13" i="5"/>
  <c r="CL13" i="5" s="1"/>
  <c r="CG13" i="5"/>
  <c r="CF13" i="5"/>
  <c r="HG13" i="5" s="1"/>
  <c r="CC13" i="5"/>
  <c r="CB13" i="5"/>
  <c r="BY13" i="5"/>
  <c r="BZ13" i="5" s="1"/>
  <c r="BU13" i="5"/>
  <c r="BV13" i="5" s="1"/>
  <c r="BQ13" i="5"/>
  <c r="BR13" i="5" s="1"/>
  <c r="BM13" i="5"/>
  <c r="BN13" i="5" s="1"/>
  <c r="BI13" i="5"/>
  <c r="BJ13" i="5" s="1"/>
  <c r="BE13" i="5"/>
  <c r="BF13" i="5" s="1"/>
  <c r="BA13" i="5"/>
  <c r="BB13" i="5" s="1"/>
  <c r="AW13" i="5"/>
  <c r="AX13" i="5" s="1"/>
  <c r="AS13" i="5"/>
  <c r="AT13" i="5" s="1"/>
  <c r="AO13" i="5"/>
  <c r="AP13" i="5" s="1"/>
  <c r="AK13" i="5"/>
  <c r="AL13" i="5" s="1"/>
  <c r="AG13" i="5"/>
  <c r="AC13" i="5"/>
  <c r="AD13" i="5" s="1"/>
  <c r="Y13" i="5"/>
  <c r="Z13" i="5" s="1"/>
  <c r="U13" i="5"/>
  <c r="V13" i="5" s="1"/>
  <c r="Q13" i="5"/>
  <c r="R13" i="5" s="1"/>
  <c r="M13" i="5"/>
  <c r="N13" i="5" s="1"/>
  <c r="I13" i="5"/>
  <c r="HD13" i="5" s="1"/>
  <c r="E13" i="5"/>
  <c r="HO12" i="5"/>
  <c r="GZ12" i="5"/>
  <c r="GY12" i="5"/>
  <c r="GV12" i="5"/>
  <c r="GU12" i="5"/>
  <c r="GW12" i="5" s="1"/>
  <c r="GS12" i="5"/>
  <c r="GR12" i="5"/>
  <c r="GQ12" i="5"/>
  <c r="GN12" i="5"/>
  <c r="GM12" i="5"/>
  <c r="GJ12" i="5"/>
  <c r="GI12" i="5"/>
  <c r="GK12" i="5" s="1"/>
  <c r="GF12" i="5"/>
  <c r="GE12" i="5"/>
  <c r="GG12" i="5" s="1"/>
  <c r="GB12" i="5"/>
  <c r="GA12" i="5"/>
  <c r="FX12" i="5"/>
  <c r="FY12" i="5" s="1"/>
  <c r="FW12" i="5"/>
  <c r="FT12" i="5"/>
  <c r="FS12" i="5"/>
  <c r="FP12" i="5"/>
  <c r="FO12" i="5"/>
  <c r="FL12" i="5"/>
  <c r="FK12" i="5"/>
  <c r="FM12" i="5" s="1"/>
  <c r="FI12" i="5"/>
  <c r="FH12" i="5"/>
  <c r="FE12" i="5"/>
  <c r="FD12" i="5"/>
  <c r="FF12" i="5" s="1"/>
  <c r="FA12" i="5"/>
  <c r="EZ12" i="5"/>
  <c r="FB12" i="5" s="1"/>
  <c r="EW12" i="5"/>
  <c r="EX12" i="5" s="1"/>
  <c r="EV12" i="5"/>
  <c r="ES12" i="5"/>
  <c r="ET12" i="5" s="1"/>
  <c r="ER12" i="5"/>
  <c r="EO12" i="5"/>
  <c r="EN12" i="5"/>
  <c r="EK12" i="5"/>
  <c r="IJ12" i="5" s="1"/>
  <c r="EJ12" i="5"/>
  <c r="II12" i="5" s="1"/>
  <c r="EH12" i="5"/>
  <c r="EG12" i="5"/>
  <c r="EF12" i="5"/>
  <c r="HW12" i="5" s="1"/>
  <c r="EC12" i="5"/>
  <c r="EB12" i="5"/>
  <c r="DY12" i="5"/>
  <c r="DX12" i="5"/>
  <c r="DZ12" i="5" s="1"/>
  <c r="DU12" i="5"/>
  <c r="DV12" i="5" s="1"/>
  <c r="DQ12" i="5"/>
  <c r="DR12" i="5" s="1"/>
  <c r="DM12" i="5"/>
  <c r="DL12" i="5"/>
  <c r="DN12" i="5" s="1"/>
  <c r="DI12" i="5"/>
  <c r="DJ12" i="5" s="1"/>
  <c r="DE12" i="5"/>
  <c r="DF12" i="5" s="1"/>
  <c r="DA12" i="5"/>
  <c r="CZ12" i="5"/>
  <c r="DB12" i="5" s="1"/>
  <c r="CW12" i="5"/>
  <c r="CS12" i="5"/>
  <c r="CT12" i="5" s="1"/>
  <c r="CO12" i="5"/>
  <c r="CP12" i="5" s="1"/>
  <c r="CK12" i="5"/>
  <c r="CL12" i="5" s="1"/>
  <c r="CG12" i="5"/>
  <c r="CF12" i="5"/>
  <c r="CC12" i="5"/>
  <c r="CD12" i="5" s="1"/>
  <c r="BZ12" i="5"/>
  <c r="BY12" i="5"/>
  <c r="BU12" i="5"/>
  <c r="BV12" i="5" s="1"/>
  <c r="BQ12" i="5"/>
  <c r="BR12" i="5" s="1"/>
  <c r="BM12" i="5"/>
  <c r="BN12" i="5" s="1"/>
  <c r="BJ12" i="5"/>
  <c r="BI12" i="5"/>
  <c r="BE12" i="5"/>
  <c r="BF12" i="5" s="1"/>
  <c r="BA12" i="5"/>
  <c r="BB12" i="5" s="1"/>
  <c r="AW12" i="5"/>
  <c r="AX12" i="5" s="1"/>
  <c r="AT12" i="5"/>
  <c r="AS12" i="5"/>
  <c r="AO12" i="5"/>
  <c r="AP12" i="5" s="1"/>
  <c r="AL12" i="5"/>
  <c r="AK12" i="5"/>
  <c r="AG12" i="5"/>
  <c r="AH12" i="5" s="1"/>
  <c r="AD12" i="5"/>
  <c r="AC12" i="5"/>
  <c r="Y12" i="5"/>
  <c r="Z12" i="5" s="1"/>
  <c r="U12" i="5"/>
  <c r="V12" i="5" s="1"/>
  <c r="Q12" i="5"/>
  <c r="R12" i="5" s="1"/>
  <c r="N12" i="5"/>
  <c r="M12" i="5"/>
  <c r="I12" i="5"/>
  <c r="J12" i="5" s="1"/>
  <c r="F12" i="5"/>
  <c r="E12" i="5"/>
  <c r="II11" i="5"/>
  <c r="HO11" i="5"/>
  <c r="GZ11" i="5"/>
  <c r="GY11" i="5"/>
  <c r="HA11" i="5" s="1"/>
  <c r="GV11" i="5"/>
  <c r="GW11" i="5" s="1"/>
  <c r="GU11" i="5"/>
  <c r="GR11" i="5"/>
  <c r="GQ11" i="5"/>
  <c r="GN11" i="5"/>
  <c r="GM11" i="5"/>
  <c r="GJ11" i="5"/>
  <c r="GI11" i="5"/>
  <c r="GK11" i="5" s="1"/>
  <c r="GG11" i="5"/>
  <c r="GF11" i="5"/>
  <c r="GE11" i="5"/>
  <c r="GB11" i="5"/>
  <c r="GA11" i="5"/>
  <c r="FX11" i="5"/>
  <c r="FW11" i="5"/>
  <c r="FY11" i="5" s="1"/>
  <c r="FT11" i="5"/>
  <c r="FS11" i="5"/>
  <c r="FU11" i="5" s="1"/>
  <c r="FP11" i="5"/>
  <c r="FO11" i="5"/>
  <c r="FL11" i="5"/>
  <c r="FK11" i="5"/>
  <c r="FI11" i="5"/>
  <c r="FH11" i="5"/>
  <c r="FE11" i="5"/>
  <c r="FD11" i="5"/>
  <c r="FA11" i="5"/>
  <c r="EZ11" i="5"/>
  <c r="FB11" i="5" s="1"/>
  <c r="EW11" i="5"/>
  <c r="EV11" i="5"/>
  <c r="ES11" i="5"/>
  <c r="ER11" i="5"/>
  <c r="ET11" i="5" s="1"/>
  <c r="EO11" i="5"/>
  <c r="EN11" i="5"/>
  <c r="EP11" i="5" s="1"/>
  <c r="EK11" i="5"/>
  <c r="IJ11" i="5" s="1"/>
  <c r="EJ11" i="5"/>
  <c r="EG11" i="5"/>
  <c r="HX11" i="5" s="1"/>
  <c r="EF11" i="5"/>
  <c r="EC11" i="5"/>
  <c r="EB11" i="5"/>
  <c r="DY11" i="5"/>
  <c r="DX11" i="5"/>
  <c r="DV11" i="5"/>
  <c r="DU11" i="5"/>
  <c r="DQ11" i="5"/>
  <c r="DR11" i="5" s="1"/>
  <c r="DM11" i="5"/>
  <c r="DN11" i="5" s="1"/>
  <c r="DL11" i="5"/>
  <c r="DI11" i="5"/>
  <c r="DE11" i="5"/>
  <c r="DF11" i="5" s="1"/>
  <c r="DA11" i="5"/>
  <c r="DB11" i="5" s="1"/>
  <c r="CZ11" i="5"/>
  <c r="CW11" i="5"/>
  <c r="CX11" i="5" s="1"/>
  <c r="CS11" i="5"/>
  <c r="CT11" i="5" s="1"/>
  <c r="CO11" i="5"/>
  <c r="CP11" i="5" s="1"/>
  <c r="CL11" i="5"/>
  <c r="CK11" i="5"/>
  <c r="CG11" i="5"/>
  <c r="CF11" i="5"/>
  <c r="CC11" i="5"/>
  <c r="CB11" i="5"/>
  <c r="BZ11" i="5"/>
  <c r="BY11" i="5"/>
  <c r="BU11" i="5"/>
  <c r="BV11" i="5" s="1"/>
  <c r="BQ11" i="5"/>
  <c r="BR11" i="5" s="1"/>
  <c r="BM11" i="5"/>
  <c r="BN11" i="5" s="1"/>
  <c r="BJ11" i="5"/>
  <c r="BI11" i="5"/>
  <c r="BE11" i="5"/>
  <c r="BF11" i="5" s="1"/>
  <c r="BA11" i="5"/>
  <c r="BB11" i="5" s="1"/>
  <c r="AW11" i="5"/>
  <c r="AX11" i="5" s="1"/>
  <c r="AT11" i="5"/>
  <c r="AS11" i="5"/>
  <c r="AO11" i="5"/>
  <c r="AP11" i="5" s="1"/>
  <c r="AL11" i="5"/>
  <c r="AK11" i="5"/>
  <c r="AG11" i="5"/>
  <c r="AH11" i="5" s="1"/>
  <c r="AD11" i="5"/>
  <c r="AC11" i="5"/>
  <c r="Y11" i="5"/>
  <c r="Z11" i="5" s="1"/>
  <c r="U11" i="5"/>
  <c r="V11" i="5" s="1"/>
  <c r="Q11" i="5"/>
  <c r="R11" i="5" s="1"/>
  <c r="N11" i="5"/>
  <c r="M11" i="5"/>
  <c r="I11" i="5"/>
  <c r="J11" i="5" s="1"/>
  <c r="F11" i="5"/>
  <c r="E11" i="5"/>
  <c r="II10" i="5"/>
  <c r="HO10" i="5"/>
  <c r="GZ10" i="5"/>
  <c r="GY10" i="5"/>
  <c r="HA10" i="5" s="1"/>
  <c r="GV10" i="5"/>
  <c r="GW10" i="5" s="1"/>
  <c r="GU10" i="5"/>
  <c r="GR10" i="5"/>
  <c r="GQ10" i="5"/>
  <c r="GN10" i="5"/>
  <c r="GM10" i="5"/>
  <c r="GJ10" i="5"/>
  <c r="GI10" i="5"/>
  <c r="GK10" i="5" s="1"/>
  <c r="GG10" i="5"/>
  <c r="GF10" i="5"/>
  <c r="GE10" i="5"/>
  <c r="GB10" i="5"/>
  <c r="GA10" i="5"/>
  <c r="FX10" i="5"/>
  <c r="FW10" i="5"/>
  <c r="FY10" i="5" s="1"/>
  <c r="FT10" i="5"/>
  <c r="FS10" i="5"/>
  <c r="FU10" i="5" s="1"/>
  <c r="FP10" i="5"/>
  <c r="FO10" i="5"/>
  <c r="FQ10" i="5" s="1"/>
  <c r="FL10" i="5"/>
  <c r="FK10" i="5"/>
  <c r="FI10" i="5"/>
  <c r="FH10" i="5"/>
  <c r="FJ10" i="5" s="1"/>
  <c r="FE10" i="5"/>
  <c r="FD10" i="5"/>
  <c r="FA10" i="5"/>
  <c r="EZ10" i="5"/>
  <c r="FB10" i="5" s="1"/>
  <c r="EW10" i="5"/>
  <c r="EV10" i="5"/>
  <c r="ES10" i="5"/>
  <c r="ER10" i="5"/>
  <c r="ET10" i="5" s="1"/>
  <c r="EO10" i="5"/>
  <c r="EN10" i="5"/>
  <c r="EP10" i="5" s="1"/>
  <c r="EK10" i="5"/>
  <c r="IJ10" i="5" s="1"/>
  <c r="EJ10" i="5"/>
  <c r="EG10" i="5"/>
  <c r="EH10" i="5" s="1"/>
  <c r="EF10" i="5"/>
  <c r="EC10" i="5"/>
  <c r="EB10" i="5"/>
  <c r="DY10" i="5"/>
  <c r="DX10" i="5"/>
  <c r="DZ10" i="5" s="1"/>
  <c r="DU10" i="5"/>
  <c r="DV10" i="5" s="1"/>
  <c r="DQ10" i="5"/>
  <c r="DR10" i="5" s="1"/>
  <c r="DM10" i="5"/>
  <c r="DL10" i="5"/>
  <c r="DN10" i="5" s="1"/>
  <c r="DI10" i="5"/>
  <c r="DE10" i="5"/>
  <c r="DF10" i="5" s="1"/>
  <c r="DA10" i="5"/>
  <c r="CZ10" i="5"/>
  <c r="HK10" i="5" s="1"/>
  <c r="CW10" i="5"/>
  <c r="CX10" i="5" s="1"/>
  <c r="CS10" i="5"/>
  <c r="CT10" i="5" s="1"/>
  <c r="CO10" i="5"/>
  <c r="CP10" i="5" s="1"/>
  <c r="CL10" i="5"/>
  <c r="CK10" i="5"/>
  <c r="CG10" i="5"/>
  <c r="CF10" i="5"/>
  <c r="HG10" i="5" s="1"/>
  <c r="CC10" i="5"/>
  <c r="CD10" i="5" s="1"/>
  <c r="BY10" i="5"/>
  <c r="BZ10" i="5" s="1"/>
  <c r="BU10" i="5"/>
  <c r="BV10" i="5" s="1"/>
  <c r="BQ10" i="5"/>
  <c r="BR10" i="5" s="1"/>
  <c r="BM10" i="5"/>
  <c r="BN10" i="5" s="1"/>
  <c r="BI10" i="5"/>
  <c r="BE10" i="5"/>
  <c r="BF10" i="5" s="1"/>
  <c r="BA10" i="5"/>
  <c r="BB10" i="5" s="1"/>
  <c r="AW10" i="5"/>
  <c r="AX10" i="5" s="1"/>
  <c r="AS10" i="5"/>
  <c r="AT10" i="5" s="1"/>
  <c r="AO10" i="5"/>
  <c r="AP10" i="5" s="1"/>
  <c r="AK10" i="5"/>
  <c r="AL10" i="5" s="1"/>
  <c r="AG10" i="5"/>
  <c r="AH10" i="5" s="1"/>
  <c r="AC10" i="5"/>
  <c r="AD10" i="5" s="1"/>
  <c r="Y10" i="5"/>
  <c r="Z10" i="5" s="1"/>
  <c r="U10" i="5"/>
  <c r="V10" i="5" s="1"/>
  <c r="Q10" i="5"/>
  <c r="R10" i="5" s="1"/>
  <c r="M10" i="5"/>
  <c r="I10" i="5"/>
  <c r="J10" i="5" s="1"/>
  <c r="E10" i="5"/>
  <c r="F10" i="5" s="1"/>
  <c r="HO9" i="5"/>
  <c r="HA9" i="5"/>
  <c r="GZ9" i="5"/>
  <c r="GY9" i="5"/>
  <c r="GV9" i="5"/>
  <c r="GU9" i="5"/>
  <c r="GR9" i="5"/>
  <c r="GQ9" i="5"/>
  <c r="GS9" i="5" s="1"/>
  <c r="GN9" i="5"/>
  <c r="GM9" i="5"/>
  <c r="GO9" i="5" s="1"/>
  <c r="GJ9" i="5"/>
  <c r="GI9" i="5"/>
  <c r="GK9" i="5" s="1"/>
  <c r="GF9" i="5"/>
  <c r="GG9" i="5" s="1"/>
  <c r="GE9" i="5"/>
  <c r="GB9" i="5"/>
  <c r="GA9" i="5"/>
  <c r="GC9" i="5" s="1"/>
  <c r="FX9" i="5"/>
  <c r="FW9" i="5"/>
  <c r="FT9" i="5"/>
  <c r="FS9" i="5"/>
  <c r="FU9" i="5" s="1"/>
  <c r="FP9" i="5"/>
  <c r="FQ9" i="5" s="1"/>
  <c r="FO9" i="5"/>
  <c r="FL9" i="5"/>
  <c r="IF9" i="5" s="1"/>
  <c r="FK9" i="5"/>
  <c r="IE9" i="5" s="1"/>
  <c r="IG9" i="5" s="1"/>
  <c r="FI9" i="5"/>
  <c r="FH9" i="5"/>
  <c r="FJ9" i="5" s="1"/>
  <c r="FE9" i="5"/>
  <c r="FF9" i="5" s="1"/>
  <c r="FD9" i="5"/>
  <c r="FA9" i="5"/>
  <c r="EZ9" i="5"/>
  <c r="EW9" i="5"/>
  <c r="EV9" i="5"/>
  <c r="ES9" i="5"/>
  <c r="ER9" i="5"/>
  <c r="ET9" i="5" s="1"/>
  <c r="EP9" i="5"/>
  <c r="EO9" i="5"/>
  <c r="EN9" i="5"/>
  <c r="HS9" i="5" s="1"/>
  <c r="HU9" i="5" s="1"/>
  <c r="EK9" i="5"/>
  <c r="IJ9" i="5" s="1"/>
  <c r="EJ9" i="5"/>
  <c r="II9" i="5" s="1"/>
  <c r="IK9" i="5" s="1"/>
  <c r="EG9" i="5"/>
  <c r="EF9" i="5"/>
  <c r="EC9" i="5"/>
  <c r="EB9" i="5"/>
  <c r="ED9" i="5" s="1"/>
  <c r="DY9" i="5"/>
  <c r="DX9" i="5"/>
  <c r="DZ9" i="5" s="1"/>
  <c r="DU9" i="5"/>
  <c r="DV9" i="5" s="1"/>
  <c r="DQ9" i="5"/>
  <c r="DR9" i="5" s="1"/>
  <c r="DM9" i="5"/>
  <c r="DL9" i="5"/>
  <c r="DI9" i="5"/>
  <c r="DE9" i="5"/>
  <c r="DF9" i="5" s="1"/>
  <c r="DA9" i="5"/>
  <c r="CZ9" i="5"/>
  <c r="DB9" i="5" s="1"/>
  <c r="CW9" i="5"/>
  <c r="CX9" i="5" s="1"/>
  <c r="CS9" i="5"/>
  <c r="CT9" i="5" s="1"/>
  <c r="CO9" i="5"/>
  <c r="CP9" i="5" s="1"/>
  <c r="CK9" i="5"/>
  <c r="HT9" i="5" s="1"/>
  <c r="CG9" i="5"/>
  <c r="CF9" i="5"/>
  <c r="CH9" i="5" s="1"/>
  <c r="CC9" i="5"/>
  <c r="CD9" i="5" s="1"/>
  <c r="CB9" i="5"/>
  <c r="BY9" i="5"/>
  <c r="BZ9" i="5" s="1"/>
  <c r="BU9" i="5"/>
  <c r="BV9" i="5" s="1"/>
  <c r="BQ9" i="5"/>
  <c r="BR9" i="5" s="1"/>
  <c r="BM9" i="5"/>
  <c r="BN9" i="5" s="1"/>
  <c r="BI9" i="5"/>
  <c r="BE9" i="5"/>
  <c r="BF9" i="5" s="1"/>
  <c r="BA9" i="5"/>
  <c r="BB9" i="5" s="1"/>
  <c r="AW9" i="5"/>
  <c r="AX9" i="5" s="1"/>
  <c r="AS9" i="5"/>
  <c r="AT9" i="5" s="1"/>
  <c r="AO9" i="5"/>
  <c r="AP9" i="5" s="1"/>
  <c r="AK9" i="5"/>
  <c r="AL9" i="5" s="1"/>
  <c r="AG9" i="5"/>
  <c r="AH9" i="5" s="1"/>
  <c r="AC9" i="5"/>
  <c r="AD9" i="5" s="1"/>
  <c r="Y9" i="5"/>
  <c r="Z9" i="5" s="1"/>
  <c r="U9" i="5"/>
  <c r="V9" i="5" s="1"/>
  <c r="Q9" i="5"/>
  <c r="R9" i="5" s="1"/>
  <c r="M9" i="5"/>
  <c r="I9" i="5"/>
  <c r="J9" i="5" s="1"/>
  <c r="E9" i="5"/>
  <c r="II8" i="5"/>
  <c r="HO8" i="5"/>
  <c r="GZ8" i="5"/>
  <c r="HA8" i="5" s="1"/>
  <c r="GY8" i="5"/>
  <c r="GV8" i="5"/>
  <c r="GU8" i="5"/>
  <c r="GR8" i="5"/>
  <c r="GQ8" i="5"/>
  <c r="GN8" i="5"/>
  <c r="GM8" i="5"/>
  <c r="GO8" i="5" s="1"/>
  <c r="GK8" i="5"/>
  <c r="GJ8" i="5"/>
  <c r="GI8" i="5"/>
  <c r="GF8" i="5"/>
  <c r="GE8" i="5"/>
  <c r="GB8" i="5"/>
  <c r="GA8" i="5"/>
  <c r="FX8" i="5"/>
  <c r="FW8" i="5"/>
  <c r="FY8" i="5" s="1"/>
  <c r="FT8" i="5"/>
  <c r="FS8" i="5"/>
  <c r="FU8" i="5" s="1"/>
  <c r="FP8" i="5"/>
  <c r="FQ8" i="5" s="1"/>
  <c r="FO8" i="5"/>
  <c r="FL8" i="5"/>
  <c r="IF8" i="5" s="1"/>
  <c r="FK8" i="5"/>
  <c r="IE8" i="5" s="1"/>
  <c r="FI8" i="5"/>
  <c r="FH8" i="5"/>
  <c r="FE8" i="5"/>
  <c r="FD8" i="5"/>
  <c r="IA8" i="5" s="1"/>
  <c r="FA8" i="5"/>
  <c r="EZ8" i="5"/>
  <c r="EW8" i="5"/>
  <c r="EV8" i="5"/>
  <c r="EX8" i="5" s="1"/>
  <c r="ES8" i="5"/>
  <c r="ER8" i="5"/>
  <c r="ET8" i="5" s="1"/>
  <c r="EO8" i="5"/>
  <c r="EP8" i="5" s="1"/>
  <c r="EN8" i="5"/>
  <c r="HS8" i="5" s="1"/>
  <c r="HU8" i="5" s="1"/>
  <c r="EK8" i="5"/>
  <c r="IJ8" i="5" s="1"/>
  <c r="EJ8" i="5"/>
  <c r="EG8" i="5"/>
  <c r="HX8" i="5" s="1"/>
  <c r="EF8" i="5"/>
  <c r="EC8" i="5"/>
  <c r="EB8" i="5"/>
  <c r="ED8" i="5" s="1"/>
  <c r="DZ8" i="5"/>
  <c r="DY8" i="5"/>
  <c r="DX8" i="5"/>
  <c r="DU8" i="5"/>
  <c r="DV8" i="5" s="1"/>
  <c r="DQ8" i="5"/>
  <c r="DR8" i="5" s="1"/>
  <c r="DM8" i="5"/>
  <c r="DN8" i="5" s="1"/>
  <c r="DL8" i="5"/>
  <c r="DI8" i="5"/>
  <c r="DF8" i="5"/>
  <c r="DE8" i="5"/>
  <c r="DA8" i="5"/>
  <c r="CZ8" i="5"/>
  <c r="DB8" i="5" s="1"/>
  <c r="CW8" i="5"/>
  <c r="CX8" i="5" s="1"/>
  <c r="CS8" i="5"/>
  <c r="CT8" i="5" s="1"/>
  <c r="CO8" i="5"/>
  <c r="CP8" i="5" s="1"/>
  <c r="CK8" i="5"/>
  <c r="HT8" i="5" s="1"/>
  <c r="CG8" i="5"/>
  <c r="CF8" i="5"/>
  <c r="CC8" i="5"/>
  <c r="CD8" i="5" s="1"/>
  <c r="CB8" i="5"/>
  <c r="BY8" i="5"/>
  <c r="BZ8" i="5" s="1"/>
  <c r="BU8" i="5"/>
  <c r="BV8" i="5" s="1"/>
  <c r="BQ8" i="5"/>
  <c r="BR8" i="5" s="1"/>
  <c r="BM8" i="5"/>
  <c r="BN8" i="5" s="1"/>
  <c r="BI8" i="5"/>
  <c r="BE8" i="5"/>
  <c r="BF8" i="5" s="1"/>
  <c r="BA8" i="5"/>
  <c r="BB8" i="5" s="1"/>
  <c r="AW8" i="5"/>
  <c r="AX8" i="5" s="1"/>
  <c r="AS8" i="5"/>
  <c r="AT8" i="5" s="1"/>
  <c r="AO8" i="5"/>
  <c r="AP8" i="5" s="1"/>
  <c r="AK8" i="5"/>
  <c r="AL8" i="5" s="1"/>
  <c r="AG8" i="5"/>
  <c r="AH8" i="5" s="1"/>
  <c r="AC8" i="5"/>
  <c r="AD8" i="5" s="1"/>
  <c r="Y8" i="5"/>
  <c r="Z8" i="5" s="1"/>
  <c r="U8" i="5"/>
  <c r="V8" i="5" s="1"/>
  <c r="Q8" i="5"/>
  <c r="R8" i="5" s="1"/>
  <c r="M8" i="5"/>
  <c r="I8" i="5"/>
  <c r="J8" i="5" s="1"/>
  <c r="E8" i="5"/>
  <c r="HH8" i="5" s="1"/>
  <c r="HO7" i="5"/>
  <c r="HA7" i="5"/>
  <c r="GZ7" i="5"/>
  <c r="GY7" i="5"/>
  <c r="GV7" i="5"/>
  <c r="GU7" i="5"/>
  <c r="GR7" i="5"/>
  <c r="GQ7" i="5"/>
  <c r="GS7" i="5" s="1"/>
  <c r="GN7" i="5"/>
  <c r="GM7" i="5"/>
  <c r="GO7" i="5" s="1"/>
  <c r="GJ7" i="5"/>
  <c r="GI7" i="5"/>
  <c r="GK7" i="5" s="1"/>
  <c r="GF7" i="5"/>
  <c r="GG7" i="5" s="1"/>
  <c r="GE7" i="5"/>
  <c r="GB7" i="5"/>
  <c r="GA7" i="5"/>
  <c r="GC7" i="5" s="1"/>
  <c r="FX7" i="5"/>
  <c r="FW7" i="5"/>
  <c r="FT7" i="5"/>
  <c r="FS7" i="5"/>
  <c r="FU7" i="5" s="1"/>
  <c r="FP7" i="5"/>
  <c r="FQ7" i="5" s="1"/>
  <c r="FO7" i="5"/>
  <c r="FL7" i="5"/>
  <c r="IF7" i="5" s="1"/>
  <c r="FK7" i="5"/>
  <c r="IE7" i="5" s="1"/>
  <c r="FI7" i="5"/>
  <c r="FH7" i="5"/>
  <c r="FE7" i="5"/>
  <c r="FF7" i="5" s="1"/>
  <c r="FD7" i="5"/>
  <c r="FA7" i="5"/>
  <c r="EZ7" i="5"/>
  <c r="EW7" i="5"/>
  <c r="EV7" i="5"/>
  <c r="ES7" i="5"/>
  <c r="ER7" i="5"/>
  <c r="ET7" i="5" s="1"/>
  <c r="EP7" i="5"/>
  <c r="EO7" i="5"/>
  <c r="EN7" i="5"/>
  <c r="HS7" i="5" s="1"/>
  <c r="EK7" i="5"/>
  <c r="IJ7" i="5" s="1"/>
  <c r="EJ7" i="5"/>
  <c r="II7" i="5" s="1"/>
  <c r="IK7" i="5" s="1"/>
  <c r="EG7" i="5"/>
  <c r="EF7" i="5"/>
  <c r="EC7" i="5"/>
  <c r="EB7" i="5"/>
  <c r="ED7" i="5" s="1"/>
  <c r="DY7" i="5"/>
  <c r="DX7" i="5"/>
  <c r="DZ7" i="5" s="1"/>
  <c r="DU7" i="5"/>
  <c r="DV7" i="5" s="1"/>
  <c r="DQ7" i="5"/>
  <c r="DR7" i="5" s="1"/>
  <c r="DM7" i="5"/>
  <c r="DL7" i="5"/>
  <c r="DI7" i="5"/>
  <c r="DF7" i="5"/>
  <c r="DE7" i="5"/>
  <c r="DA7" i="5"/>
  <c r="CZ7" i="5"/>
  <c r="DB7" i="5" s="1"/>
  <c r="CX7" i="5"/>
  <c r="CW7" i="5"/>
  <c r="CS7" i="5"/>
  <c r="CT7" i="5" s="1"/>
  <c r="CP7" i="5"/>
  <c r="CO7" i="5"/>
  <c r="CK7" i="5"/>
  <c r="CG7" i="5"/>
  <c r="CF7" i="5"/>
  <c r="CH7" i="5" s="1"/>
  <c r="CC7" i="5"/>
  <c r="CB7" i="5"/>
  <c r="BY7" i="5"/>
  <c r="BZ7" i="5" s="1"/>
  <c r="BV7" i="5"/>
  <c r="BU7" i="5"/>
  <c r="BQ7" i="5"/>
  <c r="BR7" i="5" s="1"/>
  <c r="BN7" i="5"/>
  <c r="BM7" i="5"/>
  <c r="BI7" i="5"/>
  <c r="BJ7" i="5" s="1"/>
  <c r="BE7" i="5"/>
  <c r="BF7" i="5" s="1"/>
  <c r="BA7" i="5"/>
  <c r="BB7" i="5" s="1"/>
  <c r="AW7" i="5"/>
  <c r="AX7" i="5" s="1"/>
  <c r="AS7" i="5"/>
  <c r="AT7" i="5" s="1"/>
  <c r="AO7" i="5"/>
  <c r="AP7" i="5" s="1"/>
  <c r="AK7" i="5"/>
  <c r="AL7" i="5" s="1"/>
  <c r="AG7" i="5"/>
  <c r="AH7" i="5" s="1"/>
  <c r="AC7" i="5"/>
  <c r="AD7" i="5" s="1"/>
  <c r="Y7" i="5"/>
  <c r="Z7" i="5" s="1"/>
  <c r="U7" i="5"/>
  <c r="V7" i="5" s="1"/>
  <c r="Q7" i="5"/>
  <c r="R7" i="5" s="1"/>
  <c r="M7" i="5"/>
  <c r="I7" i="5"/>
  <c r="J7" i="5" s="1"/>
  <c r="E7" i="5"/>
  <c r="HH7" i="5" s="1"/>
  <c r="HO6" i="5"/>
  <c r="HA6" i="5"/>
  <c r="GZ6" i="5"/>
  <c r="GY6" i="5"/>
  <c r="GV6" i="5"/>
  <c r="GU6" i="5"/>
  <c r="GR6" i="5"/>
  <c r="GQ6" i="5"/>
  <c r="GS6" i="5" s="1"/>
  <c r="GN6" i="5"/>
  <c r="GM6" i="5"/>
  <c r="GO6" i="5" s="1"/>
  <c r="GJ6" i="5"/>
  <c r="GI6" i="5"/>
  <c r="GK6" i="5" s="1"/>
  <c r="GF6" i="5"/>
  <c r="GG6" i="5" s="1"/>
  <c r="GE6" i="5"/>
  <c r="GB6" i="5"/>
  <c r="GA6" i="5"/>
  <c r="GC6" i="5" s="1"/>
  <c r="FX6" i="5"/>
  <c r="FW6" i="5"/>
  <c r="FT6" i="5"/>
  <c r="FS6" i="5"/>
  <c r="FU6" i="5" s="1"/>
  <c r="FP6" i="5"/>
  <c r="FQ6" i="5" s="1"/>
  <c r="FO6" i="5"/>
  <c r="FL6" i="5"/>
  <c r="IF6" i="5" s="1"/>
  <c r="FK6" i="5"/>
  <c r="IE6" i="5" s="1"/>
  <c r="FI6" i="5"/>
  <c r="FH6" i="5"/>
  <c r="FE6" i="5"/>
  <c r="FF6" i="5" s="1"/>
  <c r="FD6" i="5"/>
  <c r="FA6" i="5"/>
  <c r="EZ6" i="5"/>
  <c r="EW6" i="5"/>
  <c r="EV6" i="5"/>
  <c r="ES6" i="5"/>
  <c r="ER6" i="5"/>
  <c r="ET6" i="5" s="1"/>
  <c r="EP6" i="5"/>
  <c r="EO6" i="5"/>
  <c r="EN6" i="5"/>
  <c r="HS6" i="5" s="1"/>
  <c r="HU6" i="5" s="1"/>
  <c r="EK6" i="5"/>
  <c r="IJ6" i="5" s="1"/>
  <c r="EJ6" i="5"/>
  <c r="II6" i="5" s="1"/>
  <c r="IK6" i="5" s="1"/>
  <c r="EG6" i="5"/>
  <c r="EF6" i="5"/>
  <c r="EC6" i="5"/>
  <c r="EB6" i="5"/>
  <c r="ED6" i="5" s="1"/>
  <c r="DY6" i="5"/>
  <c r="DX6" i="5"/>
  <c r="DZ6" i="5" s="1"/>
  <c r="DU6" i="5"/>
  <c r="DV6" i="5" s="1"/>
  <c r="DQ6" i="5"/>
  <c r="DR6" i="5" s="1"/>
  <c r="DM6" i="5"/>
  <c r="DL6" i="5"/>
  <c r="DI6" i="5"/>
  <c r="DF6" i="5"/>
  <c r="DE6" i="5"/>
  <c r="DA6" i="5"/>
  <c r="CZ6" i="5"/>
  <c r="DB6" i="5" s="1"/>
  <c r="CW6" i="5"/>
  <c r="CX6" i="5" s="1"/>
  <c r="CS6" i="5"/>
  <c r="CT6" i="5" s="1"/>
  <c r="CO6" i="5"/>
  <c r="CP6" i="5" s="1"/>
  <c r="CK6" i="5"/>
  <c r="HT6" i="5" s="1"/>
  <c r="CG6" i="5"/>
  <c r="CF6" i="5"/>
  <c r="CC6" i="5"/>
  <c r="CD6" i="5" s="1"/>
  <c r="CB6" i="5"/>
  <c r="BY6" i="5"/>
  <c r="BZ6" i="5" s="1"/>
  <c r="BU6" i="5"/>
  <c r="BV6" i="5" s="1"/>
  <c r="BQ6" i="5"/>
  <c r="BR6" i="5" s="1"/>
  <c r="BM6" i="5"/>
  <c r="BN6" i="5" s="1"/>
  <c r="BI6" i="5"/>
  <c r="BE6" i="5"/>
  <c r="BF6" i="5" s="1"/>
  <c r="BA6" i="5"/>
  <c r="BB6" i="5" s="1"/>
  <c r="AW6" i="5"/>
  <c r="AX6" i="5" s="1"/>
  <c r="AS6" i="5"/>
  <c r="AT6" i="5" s="1"/>
  <c r="AO6" i="5"/>
  <c r="AP6" i="5" s="1"/>
  <c r="AK6" i="5"/>
  <c r="AL6" i="5" s="1"/>
  <c r="AG6" i="5"/>
  <c r="AH6" i="5" s="1"/>
  <c r="AC6" i="5"/>
  <c r="AD6" i="5" s="1"/>
  <c r="Y6" i="5"/>
  <c r="X6" i="5"/>
  <c r="X72" i="5" s="1"/>
  <c r="V6" i="5"/>
  <c r="U6" i="5"/>
  <c r="Q6" i="5"/>
  <c r="R6" i="5" s="1"/>
  <c r="N6" i="5"/>
  <c r="M6" i="5"/>
  <c r="HP6" i="5" s="1"/>
  <c r="I6" i="5"/>
  <c r="J6" i="5" s="1"/>
  <c r="E6" i="5"/>
  <c r="F6" i="5" s="1"/>
  <c r="HO5" i="5"/>
  <c r="GZ5" i="5"/>
  <c r="GY5" i="5"/>
  <c r="GV5" i="5"/>
  <c r="GW5" i="5" s="1"/>
  <c r="GU5" i="5"/>
  <c r="GR5" i="5"/>
  <c r="GQ5" i="5"/>
  <c r="GN5" i="5"/>
  <c r="GM5" i="5"/>
  <c r="GJ5" i="5"/>
  <c r="GI5" i="5"/>
  <c r="GK5" i="5" s="1"/>
  <c r="GG5" i="5"/>
  <c r="GF5" i="5"/>
  <c r="GE5" i="5"/>
  <c r="GB5" i="5"/>
  <c r="GA5" i="5"/>
  <c r="FX5" i="5"/>
  <c r="FW5" i="5"/>
  <c r="FT5" i="5"/>
  <c r="FS5" i="5"/>
  <c r="FU5" i="5" s="1"/>
  <c r="FP5" i="5"/>
  <c r="FO5" i="5"/>
  <c r="FQ5" i="5" s="1"/>
  <c r="FL5" i="5"/>
  <c r="IF5" i="5" s="1"/>
  <c r="FK5" i="5"/>
  <c r="FI5" i="5"/>
  <c r="FH5" i="5"/>
  <c r="FJ5" i="5" s="1"/>
  <c r="FE5" i="5"/>
  <c r="IB5" i="5" s="1"/>
  <c r="FD5" i="5"/>
  <c r="FA5" i="5"/>
  <c r="EZ5" i="5"/>
  <c r="FB5" i="5" s="1"/>
  <c r="EW5" i="5"/>
  <c r="EX5" i="5" s="1"/>
  <c r="EV5" i="5"/>
  <c r="ES5" i="5"/>
  <c r="ER5" i="5"/>
  <c r="ET5" i="5" s="1"/>
  <c r="EO5" i="5"/>
  <c r="EN5" i="5"/>
  <c r="EK5" i="5"/>
  <c r="IJ5" i="5" s="1"/>
  <c r="EJ5" i="5"/>
  <c r="II5" i="5" s="1"/>
  <c r="IK5" i="5" s="1"/>
  <c r="EG5" i="5"/>
  <c r="EF5" i="5"/>
  <c r="HW5" i="5" s="1"/>
  <c r="EC5" i="5"/>
  <c r="EB5" i="5"/>
  <c r="DY5" i="5"/>
  <c r="DX5" i="5"/>
  <c r="DZ5" i="5" s="1"/>
  <c r="DV5" i="5"/>
  <c r="DU5" i="5"/>
  <c r="DQ5" i="5"/>
  <c r="DR5" i="5" s="1"/>
  <c r="DM5" i="5"/>
  <c r="DN5" i="5" s="1"/>
  <c r="DL5" i="5"/>
  <c r="DI5" i="5"/>
  <c r="DE5" i="5"/>
  <c r="DF5" i="5" s="1"/>
  <c r="DA5" i="5"/>
  <c r="DB5" i="5" s="1"/>
  <c r="CZ5" i="5"/>
  <c r="CW5" i="5"/>
  <c r="CX5" i="5" s="1"/>
  <c r="CS5" i="5"/>
  <c r="CT5" i="5" s="1"/>
  <c r="CO5" i="5"/>
  <c r="CP5" i="5" s="1"/>
  <c r="CK5" i="5"/>
  <c r="CL5" i="5" s="1"/>
  <c r="CG5" i="5"/>
  <c r="CF5" i="5"/>
  <c r="CC5" i="5"/>
  <c r="CB5" i="5"/>
  <c r="CD5" i="5" s="1"/>
  <c r="BZ5" i="5"/>
  <c r="BY5" i="5"/>
  <c r="BU5" i="5"/>
  <c r="BV5" i="5" s="1"/>
  <c r="BQ5" i="5"/>
  <c r="BR5" i="5" s="1"/>
  <c r="BM5" i="5"/>
  <c r="BN5" i="5" s="1"/>
  <c r="BI5" i="5"/>
  <c r="BE5" i="5"/>
  <c r="BF5" i="5" s="1"/>
  <c r="BB5" i="5"/>
  <c r="BA5" i="5"/>
  <c r="AW5" i="5"/>
  <c r="AX5" i="5" s="1"/>
  <c r="AT5" i="5"/>
  <c r="AS5" i="5"/>
  <c r="AO5" i="5"/>
  <c r="AP5" i="5" s="1"/>
  <c r="AK5" i="5"/>
  <c r="AL5" i="5" s="1"/>
  <c r="AG5" i="5"/>
  <c r="AH5" i="5" s="1"/>
  <c r="AC5" i="5"/>
  <c r="AD5" i="5" s="1"/>
  <c r="Y5" i="5"/>
  <c r="Z5" i="5" s="1"/>
  <c r="V5" i="5"/>
  <c r="U5" i="5"/>
  <c r="Q5" i="5"/>
  <c r="R5" i="5" s="1"/>
  <c r="N5" i="5"/>
  <c r="M5" i="5"/>
  <c r="HP5" i="5" s="1"/>
  <c r="I5" i="5"/>
  <c r="J5" i="5" s="1"/>
  <c r="E5" i="5"/>
  <c r="F5" i="5" s="1"/>
  <c r="HO4" i="5"/>
  <c r="GZ4" i="5"/>
  <c r="GY4" i="5"/>
  <c r="GV4" i="5"/>
  <c r="GW4" i="5" s="1"/>
  <c r="GU4" i="5"/>
  <c r="GR4" i="5"/>
  <c r="GQ4" i="5"/>
  <c r="GN4" i="5"/>
  <c r="GM4" i="5"/>
  <c r="GJ4" i="5"/>
  <c r="GI4" i="5"/>
  <c r="GG4" i="5"/>
  <c r="GF4" i="5"/>
  <c r="GE4" i="5"/>
  <c r="GB4" i="5"/>
  <c r="GA4" i="5"/>
  <c r="FX4" i="5"/>
  <c r="FW4" i="5"/>
  <c r="FT4" i="5"/>
  <c r="FS4" i="5"/>
  <c r="FP4" i="5"/>
  <c r="FO4" i="5"/>
  <c r="FQ4" i="5" s="1"/>
  <c r="FL4" i="5"/>
  <c r="FL72" i="5" s="1"/>
  <c r="FK4" i="5"/>
  <c r="FI4" i="5"/>
  <c r="FH4" i="5"/>
  <c r="FE4" i="5"/>
  <c r="FD4" i="5"/>
  <c r="FA4" i="5"/>
  <c r="EZ4" i="5"/>
  <c r="FB4" i="5" s="1"/>
  <c r="EW4" i="5"/>
  <c r="EV4" i="5"/>
  <c r="ES4" i="5"/>
  <c r="ER4" i="5"/>
  <c r="ER72" i="5" s="1"/>
  <c r="EO4" i="5"/>
  <c r="EN4" i="5"/>
  <c r="EK4" i="5"/>
  <c r="IJ4" i="5" s="1"/>
  <c r="EJ4" i="5"/>
  <c r="II4" i="5" s="1"/>
  <c r="EG4" i="5"/>
  <c r="EF4" i="5"/>
  <c r="EC4" i="5"/>
  <c r="EB4" i="5"/>
  <c r="DY4" i="5"/>
  <c r="DX4" i="5"/>
  <c r="DV4" i="5"/>
  <c r="DU4" i="5"/>
  <c r="DQ4" i="5"/>
  <c r="DM4" i="5"/>
  <c r="DN4" i="5" s="1"/>
  <c r="DL4" i="5"/>
  <c r="DI4" i="5"/>
  <c r="DE4" i="5"/>
  <c r="DA4" i="5"/>
  <c r="DA72" i="5" s="1"/>
  <c r="CZ4" i="5"/>
  <c r="CW4" i="5"/>
  <c r="CS4" i="5"/>
  <c r="CT4" i="5" s="1"/>
  <c r="CO4" i="5"/>
  <c r="CK4" i="5"/>
  <c r="CL4" i="5" s="1"/>
  <c r="CG4" i="5"/>
  <c r="CF4" i="5"/>
  <c r="CC4" i="5"/>
  <c r="CB4" i="5"/>
  <c r="BZ4" i="5"/>
  <c r="BY4" i="5"/>
  <c r="BU4" i="5"/>
  <c r="BQ4" i="5"/>
  <c r="BR4" i="5" s="1"/>
  <c r="BM4" i="5"/>
  <c r="BI4" i="5"/>
  <c r="BJ4" i="5" s="1"/>
  <c r="BE4" i="5"/>
  <c r="BB4" i="5"/>
  <c r="BA4" i="5"/>
  <c r="AW4" i="5"/>
  <c r="AT4" i="5"/>
  <c r="AS4" i="5"/>
  <c r="AO4" i="5"/>
  <c r="AK4" i="5"/>
  <c r="AL4" i="5" s="1"/>
  <c r="AG4" i="5"/>
  <c r="AC4" i="5"/>
  <c r="AD4" i="5" s="1"/>
  <c r="Y4" i="5"/>
  <c r="U4" i="5"/>
  <c r="V4" i="5" s="1"/>
  <c r="Q4" i="5"/>
  <c r="N4" i="5"/>
  <c r="M4" i="5"/>
  <c r="HP4" i="5" s="1"/>
  <c r="I4" i="5"/>
  <c r="E4" i="5"/>
  <c r="F4" i="5" s="1"/>
  <c r="BH72" i="4"/>
  <c r="BG72" i="4"/>
  <c r="BD72" i="4"/>
  <c r="BC72" i="4"/>
  <c r="AY72" i="4"/>
  <c r="AV72" i="4"/>
  <c r="AU72" i="4"/>
  <c r="AR72" i="4"/>
  <c r="AQ72" i="4"/>
  <c r="AM72" i="4"/>
  <c r="AI72" i="4"/>
  <c r="AE72" i="4"/>
  <c r="AB72" i="4"/>
  <c r="AA72" i="4"/>
  <c r="W72" i="4"/>
  <c r="S72" i="4"/>
  <c r="O72" i="4"/>
  <c r="K72" i="4"/>
  <c r="H72" i="4"/>
  <c r="G72" i="4"/>
  <c r="D72" i="4"/>
  <c r="BU71" i="4"/>
  <c r="BT71" i="4"/>
  <c r="BV71" i="4" s="1"/>
  <c r="BQ71" i="4"/>
  <c r="BP71" i="4"/>
  <c r="BM71" i="4"/>
  <c r="BL71" i="4"/>
  <c r="BN71" i="4" s="1"/>
  <c r="BI71" i="4"/>
  <c r="BU70" i="4"/>
  <c r="BV70" i="4" s="1"/>
  <c r="BT70" i="4"/>
  <c r="BQ70" i="4"/>
  <c r="BP70" i="4"/>
  <c r="BM70" i="4"/>
  <c r="BL70" i="4"/>
  <c r="BI70" i="4"/>
  <c r="BY70" i="4" s="1"/>
  <c r="BU69" i="4"/>
  <c r="BT69" i="4"/>
  <c r="BQ69" i="4"/>
  <c r="BP69" i="4"/>
  <c r="BR69" i="4" s="1"/>
  <c r="BM69" i="4"/>
  <c r="BL69" i="4"/>
  <c r="BN69" i="4" s="1"/>
  <c r="BI69" i="4"/>
  <c r="BJ69" i="4" s="1"/>
  <c r="BF69" i="4"/>
  <c r="BE69" i="4"/>
  <c r="BA69" i="4"/>
  <c r="AZ69" i="4"/>
  <c r="AX69" i="4"/>
  <c r="AW69" i="4"/>
  <c r="AS69" i="4"/>
  <c r="AT69" i="4" s="1"/>
  <c r="AP69" i="4"/>
  <c r="AO69" i="4"/>
  <c r="AK69" i="4"/>
  <c r="AL69" i="4" s="1"/>
  <c r="AH69" i="4"/>
  <c r="AG69" i="4"/>
  <c r="AC69" i="4"/>
  <c r="AD69" i="4" s="1"/>
  <c r="Z69" i="4"/>
  <c r="U69" i="4"/>
  <c r="V69" i="4" s="1"/>
  <c r="Q69" i="4"/>
  <c r="R69" i="4" s="1"/>
  <c r="M69" i="4"/>
  <c r="N69" i="4" s="1"/>
  <c r="I69" i="4"/>
  <c r="J69" i="4" s="1"/>
  <c r="E69" i="4"/>
  <c r="F69" i="4" s="1"/>
  <c r="BU68" i="4"/>
  <c r="BT68" i="4"/>
  <c r="BV68" i="4" s="1"/>
  <c r="BQ68" i="4"/>
  <c r="BP68" i="4"/>
  <c r="BM68" i="4"/>
  <c r="BL68" i="4"/>
  <c r="BN68" i="4" s="1"/>
  <c r="BJ68" i="4"/>
  <c r="BI68" i="4"/>
  <c r="BE68" i="4"/>
  <c r="BF68" i="4" s="1"/>
  <c r="BB68" i="4"/>
  <c r="BA68" i="4"/>
  <c r="AZ68" i="4"/>
  <c r="AW68" i="4"/>
  <c r="AX68" i="4" s="1"/>
  <c r="AT68" i="4"/>
  <c r="AS68" i="4"/>
  <c r="AO68" i="4"/>
  <c r="AP68" i="4" s="1"/>
  <c r="AL68" i="4"/>
  <c r="AK68" i="4"/>
  <c r="AG68" i="4"/>
  <c r="AH68" i="4" s="1"/>
  <c r="AD68" i="4"/>
  <c r="AC68" i="4"/>
  <c r="Z68" i="4"/>
  <c r="U68" i="4"/>
  <c r="V68" i="4" s="1"/>
  <c r="Q68" i="4"/>
  <c r="R68" i="4" s="1"/>
  <c r="M68" i="4"/>
  <c r="N68" i="4" s="1"/>
  <c r="I68" i="4"/>
  <c r="J68" i="4" s="1"/>
  <c r="F68" i="4"/>
  <c r="E68" i="4"/>
  <c r="BU67" i="4"/>
  <c r="BT67" i="4"/>
  <c r="BQ67" i="4"/>
  <c r="BP67" i="4"/>
  <c r="BR67" i="4" s="1"/>
  <c r="BN67" i="4"/>
  <c r="BM67" i="4"/>
  <c r="BL67" i="4"/>
  <c r="BI67" i="4"/>
  <c r="BJ67" i="4" s="1"/>
  <c r="BF67" i="4"/>
  <c r="BE67" i="4"/>
  <c r="BA67" i="4"/>
  <c r="AZ67" i="4"/>
  <c r="BX67" i="4" s="1"/>
  <c r="AW67" i="4"/>
  <c r="AX67" i="4" s="1"/>
  <c r="AT67" i="4"/>
  <c r="AS67" i="4"/>
  <c r="AO67" i="4"/>
  <c r="AP67" i="4" s="1"/>
  <c r="AL67" i="4"/>
  <c r="AK67" i="4"/>
  <c r="AG67" i="4"/>
  <c r="AH67" i="4" s="1"/>
  <c r="AD67" i="4"/>
  <c r="AC67" i="4"/>
  <c r="Z67" i="4"/>
  <c r="U67" i="4"/>
  <c r="V67" i="4" s="1"/>
  <c r="R67" i="4"/>
  <c r="Q67" i="4"/>
  <c r="M67" i="4"/>
  <c r="N67" i="4" s="1"/>
  <c r="I67" i="4"/>
  <c r="J67" i="4" s="1"/>
  <c r="E67" i="4"/>
  <c r="F67" i="4" s="1"/>
  <c r="BU66" i="4"/>
  <c r="BT66" i="4"/>
  <c r="BQ66" i="4"/>
  <c r="BP66" i="4"/>
  <c r="BM66" i="4"/>
  <c r="BL66" i="4"/>
  <c r="BN66" i="4" s="1"/>
  <c r="BJ66" i="4"/>
  <c r="BI66" i="4"/>
  <c r="BE66" i="4"/>
  <c r="BF66" i="4" s="1"/>
  <c r="BA66" i="4"/>
  <c r="BB66" i="4" s="1"/>
  <c r="AZ66" i="4"/>
  <c r="AW66" i="4"/>
  <c r="AX66" i="4" s="1"/>
  <c r="AS66" i="4"/>
  <c r="AT66" i="4" s="1"/>
  <c r="AO66" i="4"/>
  <c r="AP66" i="4" s="1"/>
  <c r="AK66" i="4"/>
  <c r="AL66" i="4" s="1"/>
  <c r="AG66" i="4"/>
  <c r="AH66" i="4" s="1"/>
  <c r="AC66" i="4"/>
  <c r="AD66" i="4" s="1"/>
  <c r="X66" i="4"/>
  <c r="Z66" i="4" s="1"/>
  <c r="U66" i="4"/>
  <c r="T66" i="4"/>
  <c r="V66" i="4" s="1"/>
  <c r="Q66" i="4"/>
  <c r="P66" i="4"/>
  <c r="M66" i="4"/>
  <c r="N66" i="4" s="1"/>
  <c r="L66" i="4"/>
  <c r="I66" i="4"/>
  <c r="J66" i="4" s="1"/>
  <c r="F66" i="4"/>
  <c r="E66" i="4"/>
  <c r="BU65" i="4"/>
  <c r="BT65" i="4"/>
  <c r="BR65" i="4"/>
  <c r="BQ65" i="4"/>
  <c r="BP65" i="4"/>
  <c r="BM65" i="4"/>
  <c r="BL65" i="4"/>
  <c r="BI65" i="4"/>
  <c r="BJ65" i="4" s="1"/>
  <c r="BF65" i="4"/>
  <c r="BE65" i="4"/>
  <c r="BA65" i="4"/>
  <c r="AZ65" i="4"/>
  <c r="AW65" i="4"/>
  <c r="AX65" i="4" s="1"/>
  <c r="AS65" i="4"/>
  <c r="AT65" i="4" s="1"/>
  <c r="AO65" i="4"/>
  <c r="AP65" i="4" s="1"/>
  <c r="AK65" i="4"/>
  <c r="AL65" i="4" s="1"/>
  <c r="AG65" i="4"/>
  <c r="AH65" i="4" s="1"/>
  <c r="AC65" i="4"/>
  <c r="AD65" i="4" s="1"/>
  <c r="Z65" i="4"/>
  <c r="U65" i="4"/>
  <c r="V65" i="4" s="1"/>
  <c r="R65" i="4"/>
  <c r="Q65" i="4"/>
  <c r="M65" i="4"/>
  <c r="N65" i="4" s="1"/>
  <c r="J65" i="4"/>
  <c r="I65" i="4"/>
  <c r="E65" i="4"/>
  <c r="F65" i="4" s="1"/>
  <c r="BZ64" i="4"/>
  <c r="BY64" i="4"/>
  <c r="BX64" i="4"/>
  <c r="BU63" i="4"/>
  <c r="BT63" i="4"/>
  <c r="BV63" i="4" s="1"/>
  <c r="BQ63" i="4"/>
  <c r="BP63" i="4"/>
  <c r="BM63" i="4"/>
  <c r="BL63" i="4"/>
  <c r="BI63" i="4"/>
  <c r="BU62" i="4"/>
  <c r="BT62" i="4"/>
  <c r="BV62" i="4" s="1"/>
  <c r="BQ62" i="4"/>
  <c r="BR62" i="4" s="1"/>
  <c r="BP62" i="4"/>
  <c r="BM62" i="4"/>
  <c r="BL62" i="4"/>
  <c r="BN62" i="4" s="1"/>
  <c r="BI62" i="4"/>
  <c r="BU61" i="4"/>
  <c r="BT61" i="4"/>
  <c r="BV61" i="4" s="1"/>
  <c r="BQ61" i="4"/>
  <c r="BP61" i="4"/>
  <c r="BR61" i="4" s="1"/>
  <c r="BM61" i="4"/>
  <c r="BY61" i="4" s="1"/>
  <c r="BL61" i="4"/>
  <c r="BI61" i="4"/>
  <c r="BU60" i="4"/>
  <c r="BT60" i="4"/>
  <c r="BQ60" i="4"/>
  <c r="BP60" i="4"/>
  <c r="BN60" i="4"/>
  <c r="BM60" i="4"/>
  <c r="BL60" i="4"/>
  <c r="BI60" i="4"/>
  <c r="BV59" i="4"/>
  <c r="BU59" i="4"/>
  <c r="BT59" i="4"/>
  <c r="BQ59" i="4"/>
  <c r="BP59" i="4"/>
  <c r="BM59" i="4"/>
  <c r="BL59" i="4"/>
  <c r="BI59" i="4"/>
  <c r="BJ59" i="4" s="1"/>
  <c r="BU58" i="4"/>
  <c r="BT58" i="4"/>
  <c r="BQ58" i="4"/>
  <c r="BP58" i="4"/>
  <c r="BN58" i="4"/>
  <c r="BM58" i="4"/>
  <c r="BL58" i="4"/>
  <c r="BI58" i="4"/>
  <c r="BJ58" i="4" s="1"/>
  <c r="BE58" i="4"/>
  <c r="BF58" i="4" s="1"/>
  <c r="BA58" i="4"/>
  <c r="BB58" i="4" s="1"/>
  <c r="AZ58" i="4"/>
  <c r="AW58" i="4"/>
  <c r="AX58" i="4" s="1"/>
  <c r="AT58" i="4"/>
  <c r="AS58" i="4"/>
  <c r="AO58" i="4"/>
  <c r="AP58" i="4" s="1"/>
  <c r="AK58" i="4"/>
  <c r="AL58" i="4" s="1"/>
  <c r="AG58" i="4"/>
  <c r="AH58" i="4" s="1"/>
  <c r="AD58" i="4"/>
  <c r="AC58" i="4"/>
  <c r="Z58" i="4"/>
  <c r="U58" i="4"/>
  <c r="V58" i="4" s="1"/>
  <c r="Q58" i="4"/>
  <c r="R58" i="4" s="1"/>
  <c r="M58" i="4"/>
  <c r="N58" i="4" s="1"/>
  <c r="I58" i="4"/>
  <c r="J58" i="4" s="1"/>
  <c r="E58" i="4"/>
  <c r="BY58" i="4" s="1"/>
  <c r="BU57" i="4"/>
  <c r="BT57" i="4"/>
  <c r="BV57" i="4" s="1"/>
  <c r="BQ57" i="4"/>
  <c r="BR57" i="4" s="1"/>
  <c r="BP57" i="4"/>
  <c r="BM57" i="4"/>
  <c r="BL57" i="4"/>
  <c r="BN57" i="4" s="1"/>
  <c r="BI57" i="4"/>
  <c r="BJ57" i="4" s="1"/>
  <c r="BE57" i="4"/>
  <c r="BF57" i="4" s="1"/>
  <c r="BA57" i="4"/>
  <c r="AZ57" i="4"/>
  <c r="BB57" i="4" s="1"/>
  <c r="AX57" i="4"/>
  <c r="AW57" i="4"/>
  <c r="AS57" i="4"/>
  <c r="AT57" i="4" s="1"/>
  <c r="AO57" i="4"/>
  <c r="AP57" i="4" s="1"/>
  <c r="AK57" i="4"/>
  <c r="AL57" i="4" s="1"/>
  <c r="AG57" i="4"/>
  <c r="AH57" i="4" s="1"/>
  <c r="AC57" i="4"/>
  <c r="AD57" i="4" s="1"/>
  <c r="Z57" i="4"/>
  <c r="U57" i="4"/>
  <c r="V57" i="4" s="1"/>
  <c r="Q57" i="4"/>
  <c r="R57" i="4" s="1"/>
  <c r="M57" i="4"/>
  <c r="N57" i="4" s="1"/>
  <c r="I57" i="4"/>
  <c r="J57" i="4" s="1"/>
  <c r="E57" i="4"/>
  <c r="F57" i="4" s="1"/>
  <c r="BU56" i="4"/>
  <c r="BT56" i="4"/>
  <c r="BV56" i="4" s="1"/>
  <c r="BQ56" i="4"/>
  <c r="BP56" i="4"/>
  <c r="BM56" i="4"/>
  <c r="BN56" i="4" s="1"/>
  <c r="BL56" i="4"/>
  <c r="BI56" i="4"/>
  <c r="BJ56" i="4" s="1"/>
  <c r="BE56" i="4"/>
  <c r="BF56" i="4" s="1"/>
  <c r="BA56" i="4"/>
  <c r="BB56" i="4" s="1"/>
  <c r="AZ56" i="4"/>
  <c r="AW56" i="4"/>
  <c r="AX56" i="4" s="1"/>
  <c r="AT56" i="4"/>
  <c r="AS56" i="4"/>
  <c r="AO56" i="4"/>
  <c r="AP56" i="4" s="1"/>
  <c r="AK56" i="4"/>
  <c r="AL56" i="4" s="1"/>
  <c r="AG56" i="4"/>
  <c r="AH56" i="4" s="1"/>
  <c r="AC56" i="4"/>
  <c r="AD56" i="4" s="1"/>
  <c r="Z56" i="4"/>
  <c r="U56" i="4"/>
  <c r="V56" i="4" s="1"/>
  <c r="Q56" i="4"/>
  <c r="R56" i="4" s="1"/>
  <c r="M56" i="4"/>
  <c r="N56" i="4" s="1"/>
  <c r="I56" i="4"/>
  <c r="J56" i="4" s="1"/>
  <c r="E56" i="4"/>
  <c r="BU55" i="4"/>
  <c r="BT55" i="4"/>
  <c r="BV55" i="4" s="1"/>
  <c r="BQ55" i="4"/>
  <c r="BR55" i="4" s="1"/>
  <c r="BP55" i="4"/>
  <c r="BM55" i="4"/>
  <c r="BL55" i="4"/>
  <c r="BN55" i="4" s="1"/>
  <c r="BI55" i="4"/>
  <c r="BJ55" i="4" s="1"/>
  <c r="BE55" i="4"/>
  <c r="BF55" i="4" s="1"/>
  <c r="BA55" i="4"/>
  <c r="AZ55" i="4"/>
  <c r="BB55" i="4" s="1"/>
  <c r="AX55" i="4"/>
  <c r="AW55" i="4"/>
  <c r="AS55" i="4"/>
  <c r="AT55" i="4" s="1"/>
  <c r="AP55" i="4"/>
  <c r="AO55" i="4"/>
  <c r="AK55" i="4"/>
  <c r="AL55" i="4" s="1"/>
  <c r="AG55" i="4"/>
  <c r="AH55" i="4" s="1"/>
  <c r="AC55" i="4"/>
  <c r="AD55" i="4" s="1"/>
  <c r="Z55" i="4"/>
  <c r="U55" i="4"/>
  <c r="V55" i="4" s="1"/>
  <c r="R55" i="4"/>
  <c r="Q55" i="4"/>
  <c r="M55" i="4"/>
  <c r="N55" i="4" s="1"/>
  <c r="J55" i="4"/>
  <c r="I55" i="4"/>
  <c r="E55" i="4"/>
  <c r="F55" i="4" s="1"/>
  <c r="BU54" i="4"/>
  <c r="BT54" i="4"/>
  <c r="BQ54" i="4"/>
  <c r="BP54" i="4"/>
  <c r="BR54" i="4" s="1"/>
  <c r="BM54" i="4"/>
  <c r="BL54" i="4"/>
  <c r="BN54" i="4" s="1"/>
  <c r="BJ54" i="4"/>
  <c r="BI54" i="4"/>
  <c r="BE54" i="4"/>
  <c r="BF54" i="4" s="1"/>
  <c r="BB54" i="4"/>
  <c r="BA54" i="4"/>
  <c r="AZ54" i="4"/>
  <c r="AW54" i="4"/>
  <c r="AX54" i="4" s="1"/>
  <c r="AT54" i="4"/>
  <c r="AS54" i="4"/>
  <c r="AO54" i="4"/>
  <c r="AP54" i="4" s="1"/>
  <c r="AK54" i="4"/>
  <c r="AL54" i="4" s="1"/>
  <c r="AG54" i="4"/>
  <c r="AH54" i="4" s="1"/>
  <c r="AC54" i="4"/>
  <c r="AD54" i="4" s="1"/>
  <c r="Z54" i="4"/>
  <c r="U54" i="4"/>
  <c r="V54" i="4" s="1"/>
  <c r="Q54" i="4"/>
  <c r="R54" i="4" s="1"/>
  <c r="M54" i="4"/>
  <c r="N54" i="4" s="1"/>
  <c r="J54" i="4"/>
  <c r="I54" i="4"/>
  <c r="E54" i="4"/>
  <c r="BV53" i="4"/>
  <c r="BU53" i="4"/>
  <c r="BT53" i="4"/>
  <c r="BQ53" i="4"/>
  <c r="BR53" i="4" s="1"/>
  <c r="BP53" i="4"/>
  <c r="BM53" i="4"/>
  <c r="BL53" i="4"/>
  <c r="BN53" i="4" s="1"/>
  <c r="BJ53" i="4"/>
  <c r="BI53" i="4"/>
  <c r="BE53" i="4"/>
  <c r="BF53" i="4" s="1"/>
  <c r="BA53" i="4"/>
  <c r="AZ53" i="4"/>
  <c r="BB53" i="4" s="1"/>
  <c r="AX53" i="4"/>
  <c r="AW53" i="4"/>
  <c r="AS53" i="4"/>
  <c r="AT53" i="4" s="1"/>
  <c r="AP53" i="4"/>
  <c r="AO53" i="4"/>
  <c r="AK53" i="4"/>
  <c r="AL53" i="4" s="1"/>
  <c r="AG53" i="4"/>
  <c r="AH53" i="4" s="1"/>
  <c r="AC53" i="4"/>
  <c r="AD53" i="4" s="1"/>
  <c r="Z53" i="4"/>
  <c r="U53" i="4"/>
  <c r="V53" i="4" s="1"/>
  <c r="Q53" i="4"/>
  <c r="R53" i="4" s="1"/>
  <c r="M53" i="4"/>
  <c r="N53" i="4" s="1"/>
  <c r="I53" i="4"/>
  <c r="J53" i="4" s="1"/>
  <c r="F53" i="4"/>
  <c r="E53" i="4"/>
  <c r="BU52" i="4"/>
  <c r="BT52" i="4"/>
  <c r="BQ52" i="4"/>
  <c r="BP52" i="4"/>
  <c r="BM52" i="4"/>
  <c r="BN52" i="4" s="1"/>
  <c r="BL52" i="4"/>
  <c r="BI52" i="4"/>
  <c r="BJ52" i="4" s="1"/>
  <c r="BF52" i="4"/>
  <c r="BE52" i="4"/>
  <c r="BA52" i="4"/>
  <c r="AZ52" i="4"/>
  <c r="AW52" i="4"/>
  <c r="AX52" i="4" s="1"/>
  <c r="AS52" i="4"/>
  <c r="AT52" i="4" s="1"/>
  <c r="AO52" i="4"/>
  <c r="AP52" i="4" s="1"/>
  <c r="AL52" i="4"/>
  <c r="AK52" i="4"/>
  <c r="AG52" i="4"/>
  <c r="AH52" i="4" s="1"/>
  <c r="AD52" i="4"/>
  <c r="AC52" i="4"/>
  <c r="Z52" i="4"/>
  <c r="U52" i="4"/>
  <c r="V52" i="4" s="1"/>
  <c r="R52" i="4"/>
  <c r="Q52" i="4"/>
  <c r="M52" i="4"/>
  <c r="N52" i="4" s="1"/>
  <c r="I52" i="4"/>
  <c r="J52" i="4" s="1"/>
  <c r="E52" i="4"/>
  <c r="BU51" i="4"/>
  <c r="BT51" i="4"/>
  <c r="BV51" i="4" s="1"/>
  <c r="BQ51" i="4"/>
  <c r="BR51" i="4" s="1"/>
  <c r="BP51" i="4"/>
  <c r="BM51" i="4"/>
  <c r="BL51" i="4"/>
  <c r="BN51" i="4" s="1"/>
  <c r="BJ51" i="4"/>
  <c r="BI51" i="4"/>
  <c r="BE51" i="4"/>
  <c r="BF51" i="4" s="1"/>
  <c r="BA51" i="4"/>
  <c r="AZ51" i="4"/>
  <c r="AW51" i="4"/>
  <c r="AX51" i="4" s="1"/>
  <c r="AS51" i="4"/>
  <c r="AT51" i="4" s="1"/>
  <c r="AP51" i="4"/>
  <c r="AO51" i="4"/>
  <c r="AK51" i="4"/>
  <c r="AJ51" i="4"/>
  <c r="AL51" i="4" s="1"/>
  <c r="AG51" i="4"/>
  <c r="AF51" i="4"/>
  <c r="AF72" i="4" s="1"/>
  <c r="AC51" i="4"/>
  <c r="AD51" i="4" s="1"/>
  <c r="Z51" i="4"/>
  <c r="U51" i="4"/>
  <c r="V51" i="4" s="1"/>
  <c r="Q51" i="4"/>
  <c r="R51" i="4" s="1"/>
  <c r="M51" i="4"/>
  <c r="N51" i="4" s="1"/>
  <c r="I51" i="4"/>
  <c r="J51" i="4" s="1"/>
  <c r="E51" i="4"/>
  <c r="BU50" i="4"/>
  <c r="BT50" i="4"/>
  <c r="BV50" i="4" s="1"/>
  <c r="BQ50" i="4"/>
  <c r="BR50" i="4" s="1"/>
  <c r="BP50" i="4"/>
  <c r="BM50" i="4"/>
  <c r="BL50" i="4"/>
  <c r="BN50" i="4" s="1"/>
  <c r="BJ50" i="4"/>
  <c r="BI50" i="4"/>
  <c r="BE50" i="4"/>
  <c r="BF50" i="4" s="1"/>
  <c r="BA50" i="4"/>
  <c r="AZ50" i="4"/>
  <c r="BB50" i="4" s="1"/>
  <c r="AW50" i="4"/>
  <c r="AX50" i="4" s="1"/>
  <c r="AS50" i="4"/>
  <c r="AT50" i="4" s="1"/>
  <c r="AP50" i="4"/>
  <c r="AO50" i="4"/>
  <c r="AK50" i="4"/>
  <c r="AL50" i="4" s="1"/>
  <c r="AG50" i="4"/>
  <c r="AH50" i="4" s="1"/>
  <c r="AC50" i="4"/>
  <c r="AD50" i="4" s="1"/>
  <c r="Z50" i="4"/>
  <c r="U50" i="4"/>
  <c r="V50" i="4" s="1"/>
  <c r="Q50" i="4"/>
  <c r="R50" i="4" s="1"/>
  <c r="M50" i="4"/>
  <c r="N50" i="4" s="1"/>
  <c r="I50" i="4"/>
  <c r="J50" i="4" s="1"/>
  <c r="E50" i="4"/>
  <c r="BU49" i="4"/>
  <c r="BT49" i="4"/>
  <c r="BQ49" i="4"/>
  <c r="BP49" i="4"/>
  <c r="BR49" i="4" s="1"/>
  <c r="BN49" i="4"/>
  <c r="BM49" i="4"/>
  <c r="BL49" i="4"/>
  <c r="BI49" i="4"/>
  <c r="BJ49" i="4" s="1"/>
  <c r="BF49" i="4"/>
  <c r="BE49" i="4"/>
  <c r="BA49" i="4"/>
  <c r="AZ49" i="4"/>
  <c r="AW49" i="4"/>
  <c r="AX49" i="4" s="1"/>
  <c r="AT49" i="4"/>
  <c r="AS49" i="4"/>
  <c r="AO49" i="4"/>
  <c r="AP49" i="4" s="1"/>
  <c r="AL49" i="4"/>
  <c r="AK49" i="4"/>
  <c r="AG49" i="4"/>
  <c r="AH49" i="4" s="1"/>
  <c r="AC49" i="4"/>
  <c r="AD49" i="4" s="1"/>
  <c r="Z49" i="4"/>
  <c r="U49" i="4"/>
  <c r="V49" i="4" s="1"/>
  <c r="Q49" i="4"/>
  <c r="R49" i="4" s="1"/>
  <c r="M49" i="4"/>
  <c r="N49" i="4" s="1"/>
  <c r="I49" i="4"/>
  <c r="J49" i="4" s="1"/>
  <c r="E49" i="4"/>
  <c r="BV48" i="4"/>
  <c r="BU48" i="4"/>
  <c r="BT48" i="4"/>
  <c r="BQ48" i="4"/>
  <c r="BP48" i="4"/>
  <c r="BM48" i="4"/>
  <c r="BL48" i="4"/>
  <c r="BN48" i="4" s="1"/>
  <c r="BI48" i="4"/>
  <c r="BJ48" i="4" s="1"/>
  <c r="BE48" i="4"/>
  <c r="BF48" i="4" s="1"/>
  <c r="BA48" i="4"/>
  <c r="AZ48" i="4"/>
  <c r="BB48" i="4" s="1"/>
  <c r="AX48" i="4"/>
  <c r="AW48" i="4"/>
  <c r="AS48" i="4"/>
  <c r="AT48" i="4" s="1"/>
  <c r="AO48" i="4"/>
  <c r="AP48" i="4" s="1"/>
  <c r="AK48" i="4"/>
  <c r="AL48" i="4" s="1"/>
  <c r="AG48" i="4"/>
  <c r="AH48" i="4" s="1"/>
  <c r="AC48" i="4"/>
  <c r="AD48" i="4" s="1"/>
  <c r="Z48" i="4"/>
  <c r="U48" i="4"/>
  <c r="V48" i="4" s="1"/>
  <c r="Q48" i="4"/>
  <c r="R48" i="4" s="1"/>
  <c r="M48" i="4"/>
  <c r="N48" i="4" s="1"/>
  <c r="I48" i="4"/>
  <c r="J48" i="4" s="1"/>
  <c r="F48" i="4"/>
  <c r="E48" i="4"/>
  <c r="BU47" i="4"/>
  <c r="BT47" i="4"/>
  <c r="BV47" i="4" s="1"/>
  <c r="BQ47" i="4"/>
  <c r="BP47" i="4"/>
  <c r="BM47" i="4"/>
  <c r="BL47" i="4"/>
  <c r="BN47" i="4" s="1"/>
  <c r="BI47" i="4"/>
  <c r="BJ47" i="4" s="1"/>
  <c r="BE47" i="4"/>
  <c r="BF47" i="4" s="1"/>
  <c r="BA47" i="4"/>
  <c r="BB47" i="4" s="1"/>
  <c r="AZ47" i="4"/>
  <c r="AW47" i="4"/>
  <c r="AX47" i="4" s="1"/>
  <c r="AT47" i="4"/>
  <c r="AS47" i="4"/>
  <c r="AO47" i="4"/>
  <c r="AP47" i="4" s="1"/>
  <c r="AK47" i="4"/>
  <c r="AL47" i="4" s="1"/>
  <c r="AG47" i="4"/>
  <c r="AH47" i="4" s="1"/>
  <c r="AD47" i="4"/>
  <c r="AC47" i="4"/>
  <c r="Z47" i="4"/>
  <c r="U47" i="4"/>
  <c r="V47" i="4" s="1"/>
  <c r="R47" i="4"/>
  <c r="Q47" i="4"/>
  <c r="M47" i="4"/>
  <c r="N47" i="4" s="1"/>
  <c r="J47" i="4"/>
  <c r="I47" i="4"/>
  <c r="E47" i="4"/>
  <c r="BU46" i="4"/>
  <c r="BV46" i="4" s="1"/>
  <c r="BT46" i="4"/>
  <c r="BQ46" i="4"/>
  <c r="BP46" i="4"/>
  <c r="BM46" i="4"/>
  <c r="BL46" i="4"/>
  <c r="BI46" i="4"/>
  <c r="BJ46" i="4" s="1"/>
  <c r="BE46" i="4"/>
  <c r="BF46" i="4" s="1"/>
  <c r="BA46" i="4"/>
  <c r="AZ46" i="4"/>
  <c r="BB46" i="4" s="1"/>
  <c r="AW46" i="4"/>
  <c r="AX46" i="4" s="1"/>
  <c r="AS46" i="4"/>
  <c r="AT46" i="4" s="1"/>
  <c r="AO46" i="4"/>
  <c r="AP46" i="4" s="1"/>
  <c r="AK46" i="4"/>
  <c r="AL46" i="4" s="1"/>
  <c r="AG46" i="4"/>
  <c r="AH46" i="4" s="1"/>
  <c r="AC46" i="4"/>
  <c r="AD46" i="4" s="1"/>
  <c r="Z46" i="4"/>
  <c r="U46" i="4"/>
  <c r="V46" i="4" s="1"/>
  <c r="Q46" i="4"/>
  <c r="R46" i="4" s="1"/>
  <c r="N46" i="4"/>
  <c r="M46" i="4"/>
  <c r="I46" i="4"/>
  <c r="J46" i="4" s="1"/>
  <c r="E46" i="4"/>
  <c r="BU45" i="4"/>
  <c r="BT45" i="4"/>
  <c r="BV45" i="4" s="1"/>
  <c r="BQ45" i="4"/>
  <c r="BP45" i="4"/>
  <c r="BR45" i="4" s="1"/>
  <c r="BM45" i="4"/>
  <c r="BL45" i="4"/>
  <c r="BN45" i="4" s="1"/>
  <c r="BI45" i="4"/>
  <c r="BJ45" i="4" s="1"/>
  <c r="BE45" i="4"/>
  <c r="BF45" i="4" s="1"/>
  <c r="BA45" i="4"/>
  <c r="AZ45" i="4"/>
  <c r="AW45" i="4"/>
  <c r="AX45" i="4" s="1"/>
  <c r="AS45" i="4"/>
  <c r="AT45" i="4" s="1"/>
  <c r="AO45" i="4"/>
  <c r="AP45" i="4" s="1"/>
  <c r="AK45" i="4"/>
  <c r="AL45" i="4" s="1"/>
  <c r="AG45" i="4"/>
  <c r="AH45" i="4" s="1"/>
  <c r="AD45" i="4"/>
  <c r="AC45" i="4"/>
  <c r="Z45" i="4"/>
  <c r="U45" i="4"/>
  <c r="V45" i="4" s="1"/>
  <c r="R45" i="4"/>
  <c r="Q45" i="4"/>
  <c r="M45" i="4"/>
  <c r="N45" i="4" s="1"/>
  <c r="I45" i="4"/>
  <c r="J45" i="4" s="1"/>
  <c r="E45" i="4"/>
  <c r="BU44" i="4"/>
  <c r="BT44" i="4"/>
  <c r="BV44" i="4" s="1"/>
  <c r="BQ44" i="4"/>
  <c r="BP44" i="4"/>
  <c r="BR44" i="4" s="1"/>
  <c r="BM44" i="4"/>
  <c r="BL44" i="4"/>
  <c r="BN44" i="4" s="1"/>
  <c r="BI44" i="4"/>
  <c r="BJ44" i="4" s="1"/>
  <c r="BE44" i="4"/>
  <c r="BF44" i="4" s="1"/>
  <c r="BA44" i="4"/>
  <c r="AZ44" i="4"/>
  <c r="AW44" i="4"/>
  <c r="AX44" i="4" s="1"/>
  <c r="AS44" i="4"/>
  <c r="AT44" i="4" s="1"/>
  <c r="AO44" i="4"/>
  <c r="AP44" i="4" s="1"/>
  <c r="AK44" i="4"/>
  <c r="AL44" i="4" s="1"/>
  <c r="AH44" i="4"/>
  <c r="AG44" i="4"/>
  <c r="AC44" i="4"/>
  <c r="AD44" i="4" s="1"/>
  <c r="Z44" i="4"/>
  <c r="V44" i="4"/>
  <c r="U44" i="4"/>
  <c r="Q44" i="4"/>
  <c r="R44" i="4" s="1"/>
  <c r="M44" i="4"/>
  <c r="N44" i="4" s="1"/>
  <c r="I44" i="4"/>
  <c r="J44" i="4" s="1"/>
  <c r="E44" i="4"/>
  <c r="BU43" i="4"/>
  <c r="BT43" i="4"/>
  <c r="BQ43" i="4"/>
  <c r="BP43" i="4"/>
  <c r="BR43" i="4" s="1"/>
  <c r="BM43" i="4"/>
  <c r="BL43" i="4"/>
  <c r="BN43" i="4" s="1"/>
  <c r="BI43" i="4"/>
  <c r="BJ43" i="4" s="1"/>
  <c r="BF43" i="4"/>
  <c r="BA43" i="4"/>
  <c r="AZ43" i="4"/>
  <c r="BX43" i="4" s="1"/>
  <c r="AX43" i="4"/>
  <c r="AW43" i="4"/>
  <c r="AS43" i="4"/>
  <c r="AT43" i="4" s="1"/>
  <c r="AP43" i="4"/>
  <c r="AO43" i="4"/>
  <c r="AK43" i="4"/>
  <c r="AL43" i="4" s="1"/>
  <c r="AG43" i="4"/>
  <c r="AH43" i="4" s="1"/>
  <c r="AC43" i="4"/>
  <c r="AD43" i="4" s="1"/>
  <c r="Z43" i="4"/>
  <c r="Y43" i="4"/>
  <c r="U43" i="4"/>
  <c r="V43" i="4" s="1"/>
  <c r="R43" i="4"/>
  <c r="Q43" i="4"/>
  <c r="M43" i="4"/>
  <c r="N43" i="4" s="1"/>
  <c r="I43" i="4"/>
  <c r="J43" i="4" s="1"/>
  <c r="E43" i="4"/>
  <c r="BU42" i="4"/>
  <c r="BT42" i="4"/>
  <c r="BV42" i="4" s="1"/>
  <c r="BQ42" i="4"/>
  <c r="BP42" i="4"/>
  <c r="BR42" i="4" s="1"/>
  <c r="BM42" i="4"/>
  <c r="BL42" i="4"/>
  <c r="BN42" i="4" s="1"/>
  <c r="BI42" i="4"/>
  <c r="BJ42" i="4" s="1"/>
  <c r="BE42" i="4"/>
  <c r="BF42" i="4" s="1"/>
  <c r="BB42" i="4"/>
  <c r="BA42" i="4"/>
  <c r="AZ42" i="4"/>
  <c r="AW42" i="4"/>
  <c r="AX42" i="4" s="1"/>
  <c r="AS42" i="4"/>
  <c r="AT42" i="4" s="1"/>
  <c r="AO42" i="4"/>
  <c r="AP42" i="4" s="1"/>
  <c r="AK42" i="4"/>
  <c r="AL42" i="4" s="1"/>
  <c r="AG42" i="4"/>
  <c r="AH42" i="4" s="1"/>
  <c r="AC42" i="4"/>
  <c r="AD42" i="4" s="1"/>
  <c r="Z42" i="4"/>
  <c r="U42" i="4"/>
  <c r="V42" i="4" s="1"/>
  <c r="Q42" i="4"/>
  <c r="R42" i="4" s="1"/>
  <c r="N42" i="4"/>
  <c r="M42" i="4"/>
  <c r="I42" i="4"/>
  <c r="J42" i="4" s="1"/>
  <c r="E42" i="4"/>
  <c r="BU41" i="4"/>
  <c r="BT41" i="4"/>
  <c r="BV41" i="4" s="1"/>
  <c r="BQ41" i="4"/>
  <c r="BR41" i="4" s="1"/>
  <c r="BP41" i="4"/>
  <c r="BM41" i="4"/>
  <c r="BL41" i="4"/>
  <c r="BN41" i="4" s="1"/>
  <c r="BI41" i="4"/>
  <c r="BJ41" i="4" s="1"/>
  <c r="BE41" i="4"/>
  <c r="BF41" i="4" s="1"/>
  <c r="BA41" i="4"/>
  <c r="AZ41" i="4"/>
  <c r="AW41" i="4"/>
  <c r="AX41" i="4" s="1"/>
  <c r="AT41" i="4"/>
  <c r="AS41" i="4"/>
  <c r="AO41" i="4"/>
  <c r="AP41" i="4" s="1"/>
  <c r="AK41" i="4"/>
  <c r="AL41" i="4" s="1"/>
  <c r="AG41" i="4"/>
  <c r="AH41" i="4" s="1"/>
  <c r="AD41" i="4"/>
  <c r="AC41" i="4"/>
  <c r="X41" i="4"/>
  <c r="Z41" i="4" s="1"/>
  <c r="V41" i="4"/>
  <c r="U41" i="4"/>
  <c r="Q41" i="4"/>
  <c r="R41" i="4" s="1"/>
  <c r="M41" i="4"/>
  <c r="N41" i="4" s="1"/>
  <c r="I41" i="4"/>
  <c r="J41" i="4" s="1"/>
  <c r="E41" i="4"/>
  <c r="BV40" i="4"/>
  <c r="BU40" i="4"/>
  <c r="BT40" i="4"/>
  <c r="BQ40" i="4"/>
  <c r="BR40" i="4" s="1"/>
  <c r="BP40" i="4"/>
  <c r="BM40" i="4"/>
  <c r="BL40" i="4"/>
  <c r="BN40" i="4" s="1"/>
  <c r="BI40" i="4"/>
  <c r="BJ40" i="4" s="1"/>
  <c r="BE40" i="4"/>
  <c r="BF40" i="4" s="1"/>
  <c r="BA40" i="4"/>
  <c r="AZ40" i="4"/>
  <c r="BX40" i="4" s="1"/>
  <c r="AW40" i="4"/>
  <c r="AX40" i="4" s="1"/>
  <c r="AS40" i="4"/>
  <c r="AT40" i="4" s="1"/>
  <c r="AP40" i="4"/>
  <c r="AO40" i="4"/>
  <c r="AK40" i="4"/>
  <c r="AL40" i="4" s="1"/>
  <c r="AH40" i="4"/>
  <c r="AG40" i="4"/>
  <c r="AC40" i="4"/>
  <c r="AD40" i="4" s="1"/>
  <c r="Z40" i="4"/>
  <c r="U40" i="4"/>
  <c r="V40" i="4" s="1"/>
  <c r="R40" i="4"/>
  <c r="Q40" i="4"/>
  <c r="M40" i="4"/>
  <c r="N40" i="4" s="1"/>
  <c r="J40" i="4"/>
  <c r="I40" i="4"/>
  <c r="E40" i="4"/>
  <c r="F40" i="4" s="1"/>
  <c r="BU39" i="4"/>
  <c r="BT39" i="4"/>
  <c r="BV39" i="4" s="1"/>
  <c r="BQ39" i="4"/>
  <c r="BP39" i="4"/>
  <c r="BM39" i="4"/>
  <c r="BL39" i="4"/>
  <c r="BN39" i="4" s="1"/>
  <c r="BJ39" i="4"/>
  <c r="BI39" i="4"/>
  <c r="BE39" i="4"/>
  <c r="BF39" i="4" s="1"/>
  <c r="BA39" i="4"/>
  <c r="AZ39" i="4"/>
  <c r="AW39" i="4"/>
  <c r="AX39" i="4" s="1"/>
  <c r="AT39" i="4"/>
  <c r="AS39" i="4"/>
  <c r="AO39" i="4"/>
  <c r="AP39" i="4" s="1"/>
  <c r="AL39" i="4"/>
  <c r="AK39" i="4"/>
  <c r="AG39" i="4"/>
  <c r="AH39" i="4" s="1"/>
  <c r="AC39" i="4"/>
  <c r="AD39" i="4" s="1"/>
  <c r="Z39" i="4"/>
  <c r="U39" i="4"/>
  <c r="V39" i="4" s="1"/>
  <c r="R39" i="4"/>
  <c r="Q39" i="4"/>
  <c r="M39" i="4"/>
  <c r="N39" i="4" s="1"/>
  <c r="J39" i="4"/>
  <c r="I39" i="4"/>
  <c r="E39" i="4"/>
  <c r="BV38" i="4"/>
  <c r="BU38" i="4"/>
  <c r="BT38" i="4"/>
  <c r="BQ38" i="4"/>
  <c r="BP38" i="4"/>
  <c r="BM38" i="4"/>
  <c r="BL38" i="4"/>
  <c r="BI38" i="4"/>
  <c r="BJ38" i="4" s="1"/>
  <c r="BE38" i="4"/>
  <c r="BF38" i="4" s="1"/>
  <c r="BA38" i="4"/>
  <c r="AZ38" i="4"/>
  <c r="BB38" i="4" s="1"/>
  <c r="AW38" i="4"/>
  <c r="AX38" i="4" s="1"/>
  <c r="AS38" i="4"/>
  <c r="AT38" i="4" s="1"/>
  <c r="AP38" i="4"/>
  <c r="AO38" i="4"/>
  <c r="AK38" i="4"/>
  <c r="AL38" i="4" s="1"/>
  <c r="AG38" i="4"/>
  <c r="AH38" i="4" s="1"/>
  <c r="AC38" i="4"/>
  <c r="AD38" i="4" s="1"/>
  <c r="Z38" i="4"/>
  <c r="U38" i="4"/>
  <c r="V38" i="4" s="1"/>
  <c r="Q38" i="4"/>
  <c r="R38" i="4" s="1"/>
  <c r="N38" i="4"/>
  <c r="M38" i="4"/>
  <c r="I38" i="4"/>
  <c r="J38" i="4" s="1"/>
  <c r="E38" i="4"/>
  <c r="F38" i="4" s="1"/>
  <c r="BU37" i="4"/>
  <c r="BT37" i="4"/>
  <c r="BV37" i="4" s="1"/>
  <c r="BQ37" i="4"/>
  <c r="BR37" i="4" s="1"/>
  <c r="BP37" i="4"/>
  <c r="BM37" i="4"/>
  <c r="BL37" i="4"/>
  <c r="BN37" i="4" s="1"/>
  <c r="BI37" i="4"/>
  <c r="BJ37" i="4" s="1"/>
  <c r="BE37" i="4"/>
  <c r="BF37" i="4" s="1"/>
  <c r="BA37" i="4"/>
  <c r="AZ37" i="4"/>
  <c r="AW37" i="4"/>
  <c r="AX37" i="4" s="1"/>
  <c r="AS37" i="4"/>
  <c r="AT37" i="4" s="1"/>
  <c r="AO37" i="4"/>
  <c r="AP37" i="4" s="1"/>
  <c r="AK37" i="4"/>
  <c r="AL37" i="4" s="1"/>
  <c r="AG37" i="4"/>
  <c r="AH37" i="4" s="1"/>
  <c r="AD37" i="4"/>
  <c r="AC37" i="4"/>
  <c r="Z37" i="4"/>
  <c r="U37" i="4"/>
  <c r="V37" i="4" s="1"/>
  <c r="R37" i="4"/>
  <c r="Q37" i="4"/>
  <c r="M37" i="4"/>
  <c r="N37" i="4" s="1"/>
  <c r="J37" i="4"/>
  <c r="I37" i="4"/>
  <c r="E37" i="4"/>
  <c r="F37" i="4" s="1"/>
  <c r="BV36" i="4"/>
  <c r="BU36" i="4"/>
  <c r="BT36" i="4"/>
  <c r="BQ36" i="4"/>
  <c r="BP36" i="4"/>
  <c r="BM36" i="4"/>
  <c r="BL36" i="4"/>
  <c r="BI36" i="4"/>
  <c r="BJ36" i="4" s="1"/>
  <c r="BE36" i="4"/>
  <c r="BF36" i="4" s="1"/>
  <c r="BA36" i="4"/>
  <c r="AZ36" i="4"/>
  <c r="AW36" i="4"/>
  <c r="AX36" i="4" s="1"/>
  <c r="AS36" i="4"/>
  <c r="AT36" i="4" s="1"/>
  <c r="AO36" i="4"/>
  <c r="AP36" i="4" s="1"/>
  <c r="AK36" i="4"/>
  <c r="AL36" i="4" s="1"/>
  <c r="AG36" i="4"/>
  <c r="AH36" i="4" s="1"/>
  <c r="AC36" i="4"/>
  <c r="AD36" i="4" s="1"/>
  <c r="Z36" i="4"/>
  <c r="U36" i="4"/>
  <c r="V36" i="4" s="1"/>
  <c r="Q36" i="4"/>
  <c r="R36" i="4" s="1"/>
  <c r="M36" i="4"/>
  <c r="N36" i="4" s="1"/>
  <c r="I36" i="4"/>
  <c r="J36" i="4" s="1"/>
  <c r="E36" i="4"/>
  <c r="BU35" i="4"/>
  <c r="BT35" i="4"/>
  <c r="BV35" i="4" s="1"/>
  <c r="BQ35" i="4"/>
  <c r="BP35" i="4"/>
  <c r="BM35" i="4"/>
  <c r="BL35" i="4"/>
  <c r="BI35" i="4"/>
  <c r="BJ35" i="4" s="1"/>
  <c r="BE35" i="4"/>
  <c r="BF35" i="4" s="1"/>
  <c r="BA35" i="4"/>
  <c r="AZ35" i="4"/>
  <c r="AW35" i="4"/>
  <c r="AX35" i="4" s="1"/>
  <c r="AS35" i="4"/>
  <c r="AT35" i="4" s="1"/>
  <c r="AO35" i="4"/>
  <c r="AP35" i="4" s="1"/>
  <c r="AK35" i="4"/>
  <c r="AL35" i="4" s="1"/>
  <c r="AG35" i="4"/>
  <c r="AH35" i="4" s="1"/>
  <c r="AC35" i="4"/>
  <c r="AD35" i="4" s="1"/>
  <c r="Z35" i="4"/>
  <c r="U35" i="4"/>
  <c r="V35" i="4" s="1"/>
  <c r="Q35" i="4"/>
  <c r="R35" i="4" s="1"/>
  <c r="M35" i="4"/>
  <c r="N35" i="4" s="1"/>
  <c r="J35" i="4"/>
  <c r="I35" i="4"/>
  <c r="E35" i="4"/>
  <c r="F35" i="4" s="1"/>
  <c r="BV34" i="4"/>
  <c r="BU34" i="4"/>
  <c r="BT34" i="4"/>
  <c r="BQ34" i="4"/>
  <c r="BP34" i="4"/>
  <c r="BM34" i="4"/>
  <c r="BL34" i="4"/>
  <c r="BI34" i="4"/>
  <c r="BJ34" i="4" s="1"/>
  <c r="BE34" i="4"/>
  <c r="BF34" i="4" s="1"/>
  <c r="BA34" i="4"/>
  <c r="AZ34" i="4"/>
  <c r="AW34" i="4"/>
  <c r="AX34" i="4" s="1"/>
  <c r="AS34" i="4"/>
  <c r="AT34" i="4" s="1"/>
  <c r="AO34" i="4"/>
  <c r="AP34" i="4" s="1"/>
  <c r="AK34" i="4"/>
  <c r="AL34" i="4" s="1"/>
  <c r="AG34" i="4"/>
  <c r="AH34" i="4" s="1"/>
  <c r="AC34" i="4"/>
  <c r="AD34" i="4" s="1"/>
  <c r="Z34" i="4"/>
  <c r="U34" i="4"/>
  <c r="V34" i="4" s="1"/>
  <c r="Q34" i="4"/>
  <c r="R34" i="4" s="1"/>
  <c r="M34" i="4"/>
  <c r="N34" i="4" s="1"/>
  <c r="I34" i="4"/>
  <c r="J34" i="4" s="1"/>
  <c r="E34" i="4"/>
  <c r="BU33" i="4"/>
  <c r="BT33" i="4"/>
  <c r="BV33" i="4" s="1"/>
  <c r="BQ33" i="4"/>
  <c r="BP33" i="4"/>
  <c r="BM33" i="4"/>
  <c r="BL33" i="4"/>
  <c r="BN33" i="4" s="1"/>
  <c r="BI33" i="4"/>
  <c r="BJ33" i="4" s="1"/>
  <c r="BE33" i="4"/>
  <c r="BF33" i="4" s="1"/>
  <c r="BA33" i="4"/>
  <c r="BB33" i="4" s="1"/>
  <c r="AZ33" i="4"/>
  <c r="AW33" i="4"/>
  <c r="AX33" i="4" s="1"/>
  <c r="AS33" i="4"/>
  <c r="AT33" i="4" s="1"/>
  <c r="AO33" i="4"/>
  <c r="AP33" i="4" s="1"/>
  <c r="AK33" i="4"/>
  <c r="AL33" i="4" s="1"/>
  <c r="AG33" i="4"/>
  <c r="AH33" i="4" s="1"/>
  <c r="AC33" i="4"/>
  <c r="AD33" i="4" s="1"/>
  <c r="Z33" i="4"/>
  <c r="U33" i="4"/>
  <c r="V33" i="4" s="1"/>
  <c r="Q33" i="4"/>
  <c r="R33" i="4" s="1"/>
  <c r="M33" i="4"/>
  <c r="N33" i="4" s="1"/>
  <c r="J33" i="4"/>
  <c r="I33" i="4"/>
  <c r="E33" i="4"/>
  <c r="F33" i="4" s="1"/>
  <c r="BU32" i="4"/>
  <c r="BV32" i="4" s="1"/>
  <c r="BT32" i="4"/>
  <c r="BQ32" i="4"/>
  <c r="BP32" i="4"/>
  <c r="BR32" i="4" s="1"/>
  <c r="BM32" i="4"/>
  <c r="BL32" i="4"/>
  <c r="BN32" i="4" s="1"/>
  <c r="BI32" i="4"/>
  <c r="BJ32" i="4" s="1"/>
  <c r="BE32" i="4"/>
  <c r="BF32" i="4" s="1"/>
  <c r="BA32" i="4"/>
  <c r="AZ32" i="4"/>
  <c r="AW32" i="4"/>
  <c r="AX32" i="4" s="1"/>
  <c r="AS32" i="4"/>
  <c r="AT32" i="4" s="1"/>
  <c r="AP32" i="4"/>
  <c r="AO32" i="4"/>
  <c r="AK32" i="4"/>
  <c r="AL32" i="4" s="1"/>
  <c r="AG32" i="4"/>
  <c r="AH32" i="4" s="1"/>
  <c r="AC32" i="4"/>
  <c r="AD32" i="4" s="1"/>
  <c r="Z32" i="4"/>
  <c r="U32" i="4"/>
  <c r="V32" i="4" s="1"/>
  <c r="Q32" i="4"/>
  <c r="R32" i="4" s="1"/>
  <c r="M32" i="4"/>
  <c r="N32" i="4" s="1"/>
  <c r="I32" i="4"/>
  <c r="J32" i="4" s="1"/>
  <c r="E32" i="4"/>
  <c r="BU31" i="4"/>
  <c r="BT31" i="4"/>
  <c r="BV31" i="4" s="1"/>
  <c r="BQ31" i="4"/>
  <c r="BP31" i="4"/>
  <c r="BR31" i="4" s="1"/>
  <c r="BM31" i="4"/>
  <c r="BL31" i="4"/>
  <c r="BN31" i="4" s="1"/>
  <c r="BJ31" i="4"/>
  <c r="BI31" i="4"/>
  <c r="BE31" i="4"/>
  <c r="BF31" i="4" s="1"/>
  <c r="BB31" i="4"/>
  <c r="BA31" i="4"/>
  <c r="AZ31" i="4"/>
  <c r="AW31" i="4"/>
  <c r="AX31" i="4" s="1"/>
  <c r="AT31" i="4"/>
  <c r="AS31" i="4"/>
  <c r="AO31" i="4"/>
  <c r="AP31" i="4" s="1"/>
  <c r="AK31" i="4"/>
  <c r="AL31" i="4" s="1"/>
  <c r="AG31" i="4"/>
  <c r="AH31" i="4" s="1"/>
  <c r="AC31" i="4"/>
  <c r="AD31" i="4" s="1"/>
  <c r="Z31" i="4"/>
  <c r="U31" i="4"/>
  <c r="V31" i="4" s="1"/>
  <c r="Q31" i="4"/>
  <c r="R31" i="4" s="1"/>
  <c r="M31" i="4"/>
  <c r="N31" i="4" s="1"/>
  <c r="I31" i="4"/>
  <c r="J31" i="4" s="1"/>
  <c r="E31" i="4"/>
  <c r="BU30" i="4"/>
  <c r="BV30" i="4" s="1"/>
  <c r="BT30" i="4"/>
  <c r="BQ30" i="4"/>
  <c r="BP30" i="4"/>
  <c r="BR30" i="4" s="1"/>
  <c r="BM30" i="4"/>
  <c r="BL30" i="4"/>
  <c r="BN30" i="4" s="1"/>
  <c r="BI30" i="4"/>
  <c r="BJ30" i="4" s="1"/>
  <c r="BE30" i="4"/>
  <c r="BF30" i="4" s="1"/>
  <c r="BA30" i="4"/>
  <c r="AZ30" i="4"/>
  <c r="AW30" i="4"/>
  <c r="AX30" i="4" s="1"/>
  <c r="AS30" i="4"/>
  <c r="AT30" i="4" s="1"/>
  <c r="AP30" i="4"/>
  <c r="AO30" i="4"/>
  <c r="AK30" i="4"/>
  <c r="AL30" i="4" s="1"/>
  <c r="AG30" i="4"/>
  <c r="AH30" i="4" s="1"/>
  <c r="AC30" i="4"/>
  <c r="AD30" i="4" s="1"/>
  <c r="Z30" i="4"/>
  <c r="U30" i="4"/>
  <c r="V30" i="4" s="1"/>
  <c r="Q30" i="4"/>
  <c r="R30" i="4" s="1"/>
  <c r="M30" i="4"/>
  <c r="N30" i="4" s="1"/>
  <c r="I30" i="4"/>
  <c r="J30" i="4" s="1"/>
  <c r="E30" i="4"/>
  <c r="BU29" i="4"/>
  <c r="BT29" i="4"/>
  <c r="BV29" i="4" s="1"/>
  <c r="BQ29" i="4"/>
  <c r="BP29" i="4"/>
  <c r="BR29" i="4" s="1"/>
  <c r="BM29" i="4"/>
  <c r="BL29" i="4"/>
  <c r="BN29" i="4" s="1"/>
  <c r="BJ29" i="4"/>
  <c r="BI29" i="4"/>
  <c r="BE29" i="4"/>
  <c r="BF29" i="4" s="1"/>
  <c r="BB29" i="4"/>
  <c r="BA29" i="4"/>
  <c r="AZ29" i="4"/>
  <c r="AW29" i="4"/>
  <c r="AX29" i="4" s="1"/>
  <c r="AT29" i="4"/>
  <c r="AS29" i="4"/>
  <c r="AO29" i="4"/>
  <c r="AP29" i="4" s="1"/>
  <c r="AK29" i="4"/>
  <c r="AL29" i="4" s="1"/>
  <c r="AG29" i="4"/>
  <c r="AH29" i="4" s="1"/>
  <c r="AC29" i="4"/>
  <c r="AD29" i="4" s="1"/>
  <c r="Z29" i="4"/>
  <c r="U29" i="4"/>
  <c r="V29" i="4" s="1"/>
  <c r="Q29" i="4"/>
  <c r="R29" i="4" s="1"/>
  <c r="M29" i="4"/>
  <c r="N29" i="4" s="1"/>
  <c r="I29" i="4"/>
  <c r="J29" i="4" s="1"/>
  <c r="E29" i="4"/>
  <c r="BU28" i="4"/>
  <c r="BV28" i="4" s="1"/>
  <c r="BT28" i="4"/>
  <c r="BQ28" i="4"/>
  <c r="BP28" i="4"/>
  <c r="BR28" i="4" s="1"/>
  <c r="BM28" i="4"/>
  <c r="BL28" i="4"/>
  <c r="BN28" i="4" s="1"/>
  <c r="BI28" i="4"/>
  <c r="BJ28" i="4" s="1"/>
  <c r="BE28" i="4"/>
  <c r="BF28" i="4" s="1"/>
  <c r="BA28" i="4"/>
  <c r="AZ28" i="4"/>
  <c r="BB28" i="4" s="1"/>
  <c r="AW28" i="4"/>
  <c r="AX28" i="4" s="1"/>
  <c r="AS28" i="4"/>
  <c r="AT28" i="4" s="1"/>
  <c r="AP28" i="4"/>
  <c r="AO28" i="4"/>
  <c r="AN28" i="4"/>
  <c r="AK28" i="4"/>
  <c r="AL28" i="4" s="1"/>
  <c r="AJ28" i="4"/>
  <c r="AG28" i="4"/>
  <c r="AH28" i="4" s="1"/>
  <c r="AC28" i="4"/>
  <c r="AD28" i="4" s="1"/>
  <c r="Z28" i="4"/>
  <c r="U28" i="4"/>
  <c r="V28" i="4" s="1"/>
  <c r="Q28" i="4"/>
  <c r="R28" i="4" s="1"/>
  <c r="M28" i="4"/>
  <c r="N28" i="4" s="1"/>
  <c r="I28" i="4"/>
  <c r="J28" i="4" s="1"/>
  <c r="F28" i="4"/>
  <c r="E28" i="4"/>
  <c r="BU27" i="4"/>
  <c r="BT27" i="4"/>
  <c r="BV27" i="4" s="1"/>
  <c r="BQ27" i="4"/>
  <c r="BP27" i="4"/>
  <c r="BR27" i="4" s="1"/>
  <c r="BM27" i="4"/>
  <c r="BL27" i="4"/>
  <c r="BI27" i="4"/>
  <c r="BJ27" i="4" s="1"/>
  <c r="BE27" i="4"/>
  <c r="BF27" i="4" s="1"/>
  <c r="BA27" i="4"/>
  <c r="AZ27" i="4"/>
  <c r="BB27" i="4" s="1"/>
  <c r="AW27" i="4"/>
  <c r="AX27" i="4" s="1"/>
  <c r="AS27" i="4"/>
  <c r="AT27" i="4" s="1"/>
  <c r="AO27" i="4"/>
  <c r="AP27" i="4" s="1"/>
  <c r="AK27" i="4"/>
  <c r="AL27" i="4" s="1"/>
  <c r="AG27" i="4"/>
  <c r="AH27" i="4" s="1"/>
  <c r="AC27" i="4"/>
  <c r="AD27" i="4" s="1"/>
  <c r="Z27" i="4"/>
  <c r="X27" i="4"/>
  <c r="X72" i="4" s="1"/>
  <c r="U27" i="4"/>
  <c r="V27" i="4" s="1"/>
  <c r="Q27" i="4"/>
  <c r="R27" i="4" s="1"/>
  <c r="M27" i="4"/>
  <c r="N27" i="4" s="1"/>
  <c r="I27" i="4"/>
  <c r="J27" i="4" s="1"/>
  <c r="E27" i="4"/>
  <c r="BU26" i="4"/>
  <c r="BT26" i="4"/>
  <c r="BV26" i="4" s="1"/>
  <c r="BQ26" i="4"/>
  <c r="BP26" i="4"/>
  <c r="BM26" i="4"/>
  <c r="BN26" i="4" s="1"/>
  <c r="BL26" i="4"/>
  <c r="BI26" i="4"/>
  <c r="BJ26" i="4" s="1"/>
  <c r="BE26" i="4"/>
  <c r="BF26" i="4" s="1"/>
  <c r="BA26" i="4"/>
  <c r="BB26" i="4" s="1"/>
  <c r="AZ26" i="4"/>
  <c r="AW26" i="4"/>
  <c r="AX26" i="4" s="1"/>
  <c r="AS26" i="4"/>
  <c r="AT26" i="4" s="1"/>
  <c r="AO26" i="4"/>
  <c r="AP26" i="4" s="1"/>
  <c r="AK26" i="4"/>
  <c r="AL26" i="4" s="1"/>
  <c r="AG26" i="4"/>
  <c r="AH26" i="4" s="1"/>
  <c r="AD26" i="4"/>
  <c r="AC26" i="4"/>
  <c r="Z26" i="4"/>
  <c r="U26" i="4"/>
  <c r="V26" i="4" s="1"/>
  <c r="Q26" i="4"/>
  <c r="R26" i="4" s="1"/>
  <c r="M26" i="4"/>
  <c r="N26" i="4" s="1"/>
  <c r="I26" i="4"/>
  <c r="J26" i="4" s="1"/>
  <c r="E26" i="4"/>
  <c r="F26" i="4" s="1"/>
  <c r="BU25" i="4"/>
  <c r="BT25" i="4"/>
  <c r="BQ25" i="4"/>
  <c r="BP25" i="4"/>
  <c r="BM25" i="4"/>
  <c r="BL25" i="4"/>
  <c r="BI25" i="4"/>
  <c r="BJ25" i="4" s="1"/>
  <c r="BE25" i="4"/>
  <c r="BF25" i="4" s="1"/>
  <c r="BA25" i="4"/>
  <c r="AZ25" i="4"/>
  <c r="BB25" i="4" s="1"/>
  <c r="AW25" i="4"/>
  <c r="AX25" i="4" s="1"/>
  <c r="AS25" i="4"/>
  <c r="AT25" i="4" s="1"/>
  <c r="AO25" i="4"/>
  <c r="AP25" i="4" s="1"/>
  <c r="AK25" i="4"/>
  <c r="AL25" i="4" s="1"/>
  <c r="AG25" i="4"/>
  <c r="AH25" i="4" s="1"/>
  <c r="AC25" i="4"/>
  <c r="AD25" i="4" s="1"/>
  <c r="Z25" i="4"/>
  <c r="U25" i="4"/>
  <c r="V25" i="4" s="1"/>
  <c r="Q25" i="4"/>
  <c r="R25" i="4" s="1"/>
  <c r="M25" i="4"/>
  <c r="N25" i="4" s="1"/>
  <c r="I25" i="4"/>
  <c r="J25" i="4" s="1"/>
  <c r="E25" i="4"/>
  <c r="F25" i="4" s="1"/>
  <c r="BU24" i="4"/>
  <c r="BT24" i="4"/>
  <c r="BV24" i="4" s="1"/>
  <c r="BQ24" i="4"/>
  <c r="BP24" i="4"/>
  <c r="BM24" i="4"/>
  <c r="BL24" i="4"/>
  <c r="BN24" i="4" s="1"/>
  <c r="BI24" i="4"/>
  <c r="BJ24" i="4" s="1"/>
  <c r="BE24" i="4"/>
  <c r="BF24" i="4" s="1"/>
  <c r="BA24" i="4"/>
  <c r="AZ24" i="4"/>
  <c r="BX24" i="4" s="1"/>
  <c r="AW24" i="4"/>
  <c r="AX24" i="4" s="1"/>
  <c r="AS24" i="4"/>
  <c r="AT24" i="4" s="1"/>
  <c r="AO24" i="4"/>
  <c r="AP24" i="4" s="1"/>
  <c r="AL24" i="4"/>
  <c r="AK24" i="4"/>
  <c r="AG24" i="4"/>
  <c r="AH24" i="4" s="1"/>
  <c r="AD24" i="4"/>
  <c r="AC24" i="4"/>
  <c r="Z24" i="4"/>
  <c r="U24" i="4"/>
  <c r="V24" i="4" s="1"/>
  <c r="Q24" i="4"/>
  <c r="R24" i="4" s="1"/>
  <c r="M24" i="4"/>
  <c r="N24" i="4" s="1"/>
  <c r="I24" i="4"/>
  <c r="J24" i="4" s="1"/>
  <c r="E24" i="4"/>
  <c r="F24" i="4" s="1"/>
  <c r="BV23" i="4"/>
  <c r="BU23" i="4"/>
  <c r="BT23" i="4"/>
  <c r="BQ23" i="4"/>
  <c r="BP23" i="4"/>
  <c r="BM23" i="4"/>
  <c r="BL23" i="4"/>
  <c r="BI23" i="4"/>
  <c r="BJ23" i="4" s="1"/>
  <c r="BE23" i="4"/>
  <c r="BF23" i="4" s="1"/>
  <c r="BA23" i="4"/>
  <c r="AZ23" i="4"/>
  <c r="AW23" i="4"/>
  <c r="AX23" i="4" s="1"/>
  <c r="AS23" i="4"/>
  <c r="AT23" i="4" s="1"/>
  <c r="AO23" i="4"/>
  <c r="AP23" i="4" s="1"/>
  <c r="AK23" i="4"/>
  <c r="AL23" i="4" s="1"/>
  <c r="AH23" i="4"/>
  <c r="AG23" i="4"/>
  <c r="AC23" i="4"/>
  <c r="AD23" i="4" s="1"/>
  <c r="Z23" i="4"/>
  <c r="U23" i="4"/>
  <c r="V23" i="4" s="1"/>
  <c r="Q23" i="4"/>
  <c r="R23" i="4" s="1"/>
  <c r="M23" i="4"/>
  <c r="N23" i="4" s="1"/>
  <c r="I23" i="4"/>
  <c r="J23" i="4" s="1"/>
  <c r="E23" i="4"/>
  <c r="F23" i="4" s="1"/>
  <c r="BU22" i="4"/>
  <c r="BT22" i="4"/>
  <c r="BV22" i="4" s="1"/>
  <c r="BQ22" i="4"/>
  <c r="BP22" i="4"/>
  <c r="BM22" i="4"/>
  <c r="BL22" i="4"/>
  <c r="BN22" i="4" s="1"/>
  <c r="BI22" i="4"/>
  <c r="BJ22" i="4" s="1"/>
  <c r="BE22" i="4"/>
  <c r="BF22" i="4" s="1"/>
  <c r="BA22" i="4"/>
  <c r="AZ22" i="4"/>
  <c r="BX22" i="4" s="1"/>
  <c r="AW22" i="4"/>
  <c r="AX22" i="4" s="1"/>
  <c r="AS22" i="4"/>
  <c r="AT22" i="4" s="1"/>
  <c r="AO22" i="4"/>
  <c r="AP22" i="4" s="1"/>
  <c r="AL22" i="4"/>
  <c r="AK22" i="4"/>
  <c r="AG22" i="4"/>
  <c r="AH22" i="4" s="1"/>
  <c r="AD22" i="4"/>
  <c r="AC22" i="4"/>
  <c r="Z22" i="4"/>
  <c r="U22" i="4"/>
  <c r="V22" i="4" s="1"/>
  <c r="Q22" i="4"/>
  <c r="R22" i="4" s="1"/>
  <c r="M22" i="4"/>
  <c r="N22" i="4" s="1"/>
  <c r="I22" i="4"/>
  <c r="J22" i="4" s="1"/>
  <c r="E22" i="4"/>
  <c r="F22" i="4" s="1"/>
  <c r="BU21" i="4"/>
  <c r="BT21" i="4"/>
  <c r="BQ21" i="4"/>
  <c r="BP21" i="4"/>
  <c r="BM21" i="4"/>
  <c r="BL21" i="4"/>
  <c r="BI21" i="4"/>
  <c r="BJ21" i="4" s="1"/>
  <c r="BE21" i="4"/>
  <c r="BF21" i="4" s="1"/>
  <c r="BA21" i="4"/>
  <c r="AZ21" i="4"/>
  <c r="AW21" i="4"/>
  <c r="AX21" i="4" s="1"/>
  <c r="AS21" i="4"/>
  <c r="AT21" i="4" s="1"/>
  <c r="AP21" i="4"/>
  <c r="AO21" i="4"/>
  <c r="AK21" i="4"/>
  <c r="AL21" i="4" s="1"/>
  <c r="AH21" i="4"/>
  <c r="AG21" i="4"/>
  <c r="AC21" i="4"/>
  <c r="AD21" i="4" s="1"/>
  <c r="Z21" i="4"/>
  <c r="U21" i="4"/>
  <c r="V21" i="4" s="1"/>
  <c r="Q21" i="4"/>
  <c r="R21" i="4" s="1"/>
  <c r="M21" i="4"/>
  <c r="N21" i="4" s="1"/>
  <c r="I21" i="4"/>
  <c r="J21" i="4" s="1"/>
  <c r="E21" i="4"/>
  <c r="BU20" i="4"/>
  <c r="BT20" i="4"/>
  <c r="BV20" i="4" s="1"/>
  <c r="BQ20" i="4"/>
  <c r="BP20" i="4"/>
  <c r="BR20" i="4" s="1"/>
  <c r="BM20" i="4"/>
  <c r="BL20" i="4"/>
  <c r="BN20" i="4" s="1"/>
  <c r="BI20" i="4"/>
  <c r="BJ20" i="4" s="1"/>
  <c r="BE20" i="4"/>
  <c r="BF20" i="4" s="1"/>
  <c r="BA20" i="4"/>
  <c r="AZ20" i="4"/>
  <c r="AW20" i="4"/>
  <c r="AX20" i="4" s="1"/>
  <c r="AS20" i="4"/>
  <c r="AT20" i="4" s="1"/>
  <c r="AO20" i="4"/>
  <c r="AP20" i="4" s="1"/>
  <c r="AL20" i="4"/>
  <c r="AK20" i="4"/>
  <c r="AG20" i="4"/>
  <c r="AH20" i="4" s="1"/>
  <c r="AC20" i="4"/>
  <c r="AD20" i="4" s="1"/>
  <c r="Z20" i="4"/>
  <c r="U20" i="4"/>
  <c r="V20" i="4" s="1"/>
  <c r="Q20" i="4"/>
  <c r="R20" i="4" s="1"/>
  <c r="M20" i="4"/>
  <c r="N20" i="4" s="1"/>
  <c r="I20" i="4"/>
  <c r="J20" i="4" s="1"/>
  <c r="E20" i="4"/>
  <c r="BU19" i="4"/>
  <c r="BV19" i="4" s="1"/>
  <c r="BT19" i="4"/>
  <c r="BQ19" i="4"/>
  <c r="BP19" i="4"/>
  <c r="BM19" i="4"/>
  <c r="BL19" i="4"/>
  <c r="BI19" i="4"/>
  <c r="BJ19" i="4" s="1"/>
  <c r="BE19" i="4"/>
  <c r="BF19" i="4" s="1"/>
  <c r="BA19" i="4"/>
  <c r="AZ19" i="4"/>
  <c r="AW19" i="4"/>
  <c r="AX19" i="4" s="1"/>
  <c r="AS19" i="4"/>
  <c r="AT19" i="4" s="1"/>
  <c r="AO19" i="4"/>
  <c r="AP19" i="4" s="1"/>
  <c r="AK19" i="4"/>
  <c r="AL19" i="4" s="1"/>
  <c r="AH19" i="4"/>
  <c r="AG19" i="4"/>
  <c r="AC19" i="4"/>
  <c r="AD19" i="4" s="1"/>
  <c r="Z19" i="4"/>
  <c r="U19" i="4"/>
  <c r="V19" i="4" s="1"/>
  <c r="Q19" i="4"/>
  <c r="R19" i="4" s="1"/>
  <c r="M19" i="4"/>
  <c r="N19" i="4" s="1"/>
  <c r="I19" i="4"/>
  <c r="J19" i="4" s="1"/>
  <c r="E19" i="4"/>
  <c r="F19" i="4" s="1"/>
  <c r="BU18" i="4"/>
  <c r="BT18" i="4"/>
  <c r="BV18" i="4" s="1"/>
  <c r="BQ18" i="4"/>
  <c r="BP18" i="4"/>
  <c r="BR18" i="4" s="1"/>
  <c r="BM18" i="4"/>
  <c r="BL18" i="4"/>
  <c r="BN18" i="4" s="1"/>
  <c r="BI18" i="4"/>
  <c r="BJ18" i="4" s="1"/>
  <c r="BE18" i="4"/>
  <c r="BF18" i="4" s="1"/>
  <c r="BA18" i="4"/>
  <c r="AZ18" i="4"/>
  <c r="AW18" i="4"/>
  <c r="AX18" i="4" s="1"/>
  <c r="AS18" i="4"/>
  <c r="AT18" i="4" s="1"/>
  <c r="AO18" i="4"/>
  <c r="AP18" i="4" s="1"/>
  <c r="AL18" i="4"/>
  <c r="AK18" i="4"/>
  <c r="AG18" i="4"/>
  <c r="AH18" i="4" s="1"/>
  <c r="AC18" i="4"/>
  <c r="AD18" i="4" s="1"/>
  <c r="Z18" i="4"/>
  <c r="U18" i="4"/>
  <c r="V18" i="4" s="1"/>
  <c r="Q18" i="4"/>
  <c r="R18" i="4" s="1"/>
  <c r="M18" i="4"/>
  <c r="N18" i="4" s="1"/>
  <c r="I18" i="4"/>
  <c r="J18" i="4" s="1"/>
  <c r="E18" i="4"/>
  <c r="BU17" i="4"/>
  <c r="BV17" i="4" s="1"/>
  <c r="BT17" i="4"/>
  <c r="BQ17" i="4"/>
  <c r="BP17" i="4"/>
  <c r="BM17" i="4"/>
  <c r="BL17" i="4"/>
  <c r="BI17" i="4"/>
  <c r="BJ17" i="4" s="1"/>
  <c r="BE17" i="4"/>
  <c r="BF17" i="4" s="1"/>
  <c r="BA17" i="4"/>
  <c r="AZ17" i="4"/>
  <c r="AW17" i="4"/>
  <c r="AX17" i="4" s="1"/>
  <c r="AS17" i="4"/>
  <c r="AT17" i="4" s="1"/>
  <c r="AO17" i="4"/>
  <c r="AP17" i="4" s="1"/>
  <c r="AK17" i="4"/>
  <c r="AL17" i="4" s="1"/>
  <c r="AH17" i="4"/>
  <c r="AG17" i="4"/>
  <c r="AC17" i="4"/>
  <c r="AD17" i="4" s="1"/>
  <c r="Z17" i="4"/>
  <c r="U17" i="4"/>
  <c r="V17" i="4" s="1"/>
  <c r="Q17" i="4"/>
  <c r="R17" i="4" s="1"/>
  <c r="M17" i="4"/>
  <c r="N17" i="4" s="1"/>
  <c r="I17" i="4"/>
  <c r="J17" i="4" s="1"/>
  <c r="E17" i="4"/>
  <c r="F17" i="4" s="1"/>
  <c r="BU16" i="4"/>
  <c r="BT16" i="4"/>
  <c r="BV16" i="4" s="1"/>
  <c r="BQ16" i="4"/>
  <c r="BP16" i="4"/>
  <c r="BR16" i="4" s="1"/>
  <c r="BM16" i="4"/>
  <c r="BL16" i="4"/>
  <c r="BN16" i="4" s="1"/>
  <c r="BI16" i="4"/>
  <c r="BJ16" i="4" s="1"/>
  <c r="BE16" i="4"/>
  <c r="BF16" i="4" s="1"/>
  <c r="BA16" i="4"/>
  <c r="AZ16" i="4"/>
  <c r="AW16" i="4"/>
  <c r="AX16" i="4" s="1"/>
  <c r="AS16" i="4"/>
  <c r="AT16" i="4" s="1"/>
  <c r="AO16" i="4"/>
  <c r="AP16" i="4" s="1"/>
  <c r="AL16" i="4"/>
  <c r="AK16" i="4"/>
  <c r="AG16" i="4"/>
  <c r="AH16" i="4" s="1"/>
  <c r="AC16" i="4"/>
  <c r="AD16" i="4" s="1"/>
  <c r="Z16" i="4"/>
  <c r="U16" i="4"/>
  <c r="V16" i="4" s="1"/>
  <c r="Q16" i="4"/>
  <c r="R16" i="4" s="1"/>
  <c r="M16" i="4"/>
  <c r="N16" i="4" s="1"/>
  <c r="I16" i="4"/>
  <c r="J16" i="4" s="1"/>
  <c r="E16" i="4"/>
  <c r="BU15" i="4"/>
  <c r="BV15" i="4" s="1"/>
  <c r="BT15" i="4"/>
  <c r="BQ15" i="4"/>
  <c r="BP15" i="4"/>
  <c r="BM15" i="4"/>
  <c r="BL15" i="4"/>
  <c r="BI15" i="4"/>
  <c r="BJ15" i="4" s="1"/>
  <c r="BE15" i="4"/>
  <c r="BF15" i="4" s="1"/>
  <c r="BA15" i="4"/>
  <c r="AZ15" i="4"/>
  <c r="AW15" i="4"/>
  <c r="AX15" i="4" s="1"/>
  <c r="AS15" i="4"/>
  <c r="AT15" i="4" s="1"/>
  <c r="AO15" i="4"/>
  <c r="AP15" i="4" s="1"/>
  <c r="AK15" i="4"/>
  <c r="AL15" i="4" s="1"/>
  <c r="AH15" i="4"/>
  <c r="AG15" i="4"/>
  <c r="AC15" i="4"/>
  <c r="AD15" i="4" s="1"/>
  <c r="Z15" i="4"/>
  <c r="U15" i="4"/>
  <c r="V15" i="4" s="1"/>
  <c r="Q15" i="4"/>
  <c r="R15" i="4" s="1"/>
  <c r="M15" i="4"/>
  <c r="N15" i="4" s="1"/>
  <c r="I15" i="4"/>
  <c r="J15" i="4" s="1"/>
  <c r="E15" i="4"/>
  <c r="F15" i="4" s="1"/>
  <c r="BU14" i="4"/>
  <c r="BT14" i="4"/>
  <c r="BV14" i="4" s="1"/>
  <c r="BQ14" i="4"/>
  <c r="BP14" i="4"/>
  <c r="BR14" i="4" s="1"/>
  <c r="BM14" i="4"/>
  <c r="BL14" i="4"/>
  <c r="BN14" i="4" s="1"/>
  <c r="BI14" i="4"/>
  <c r="BJ14" i="4" s="1"/>
  <c r="BE14" i="4"/>
  <c r="BF14" i="4" s="1"/>
  <c r="BA14" i="4"/>
  <c r="AZ14" i="4"/>
  <c r="BB14" i="4" s="1"/>
  <c r="AW14" i="4"/>
  <c r="AX14" i="4" s="1"/>
  <c r="AS14" i="4"/>
  <c r="AT14" i="4" s="1"/>
  <c r="AO14" i="4"/>
  <c r="AN14" i="4"/>
  <c r="AN72" i="4" s="1"/>
  <c r="AK14" i="4"/>
  <c r="AJ14" i="4"/>
  <c r="AJ72" i="4" s="1"/>
  <c r="AH14" i="4"/>
  <c r="AG14" i="4"/>
  <c r="AC14" i="4"/>
  <c r="AD14" i="4" s="1"/>
  <c r="Z14" i="4"/>
  <c r="V14" i="4"/>
  <c r="U14" i="4"/>
  <c r="Q14" i="4"/>
  <c r="R14" i="4" s="1"/>
  <c r="M14" i="4"/>
  <c r="N14" i="4" s="1"/>
  <c r="I14" i="4"/>
  <c r="J14" i="4" s="1"/>
  <c r="E14" i="4"/>
  <c r="BU13" i="4"/>
  <c r="BT13" i="4"/>
  <c r="BQ13" i="4"/>
  <c r="BP13" i="4"/>
  <c r="BR13" i="4" s="1"/>
  <c r="BN13" i="4"/>
  <c r="BM13" i="4"/>
  <c r="BL13" i="4"/>
  <c r="BI13" i="4"/>
  <c r="BJ13" i="4" s="1"/>
  <c r="BF13" i="4"/>
  <c r="BE13" i="4"/>
  <c r="BA13" i="4"/>
  <c r="AZ13" i="4"/>
  <c r="BX13" i="4" s="1"/>
  <c r="AW13" i="4"/>
  <c r="AX13" i="4" s="1"/>
  <c r="AS13" i="4"/>
  <c r="AT13" i="4" s="1"/>
  <c r="AO13" i="4"/>
  <c r="AP13" i="4" s="1"/>
  <c r="AL13" i="4"/>
  <c r="AK13" i="4"/>
  <c r="AG13" i="4"/>
  <c r="AH13" i="4" s="1"/>
  <c r="AD13" i="4"/>
  <c r="AC13" i="4"/>
  <c r="Z13" i="4"/>
  <c r="U13" i="4"/>
  <c r="V13" i="4" s="1"/>
  <c r="R13" i="4"/>
  <c r="Q13" i="4"/>
  <c r="M13" i="4"/>
  <c r="N13" i="4" s="1"/>
  <c r="I13" i="4"/>
  <c r="J13" i="4" s="1"/>
  <c r="E13" i="4"/>
  <c r="BY13" i="4" s="1"/>
  <c r="BU12" i="4"/>
  <c r="BT12" i="4"/>
  <c r="BV12" i="4" s="1"/>
  <c r="BR12" i="4"/>
  <c r="BQ12" i="4"/>
  <c r="BP12" i="4"/>
  <c r="BM12" i="4"/>
  <c r="BL12" i="4"/>
  <c r="BN12" i="4" s="1"/>
  <c r="BI12" i="4"/>
  <c r="BJ12" i="4" s="1"/>
  <c r="BE12" i="4"/>
  <c r="BF12" i="4" s="1"/>
  <c r="BA12" i="4"/>
  <c r="AZ12" i="4"/>
  <c r="BB12" i="4" s="1"/>
  <c r="AW12" i="4"/>
  <c r="AX12" i="4" s="1"/>
  <c r="AS12" i="4"/>
  <c r="AT12" i="4" s="1"/>
  <c r="AP12" i="4"/>
  <c r="AO12" i="4"/>
  <c r="AK12" i="4"/>
  <c r="AL12" i="4" s="1"/>
  <c r="AG12" i="4"/>
  <c r="AH12" i="4" s="1"/>
  <c r="AC12" i="4"/>
  <c r="AD12" i="4" s="1"/>
  <c r="Z12" i="4"/>
  <c r="U12" i="4"/>
  <c r="V12" i="4" s="1"/>
  <c r="Q12" i="4"/>
  <c r="R12" i="4" s="1"/>
  <c r="M12" i="4"/>
  <c r="N12" i="4" s="1"/>
  <c r="I12" i="4"/>
  <c r="J12" i="4" s="1"/>
  <c r="E12" i="4"/>
  <c r="BY12" i="4" s="1"/>
  <c r="BU11" i="4"/>
  <c r="BT11" i="4"/>
  <c r="BV11" i="4" s="1"/>
  <c r="BQ11" i="4"/>
  <c r="BP11" i="4"/>
  <c r="BR11" i="4" s="1"/>
  <c r="BM11" i="4"/>
  <c r="BL11" i="4"/>
  <c r="BN11" i="4" s="1"/>
  <c r="BJ11" i="4"/>
  <c r="BI11" i="4"/>
  <c r="BE11" i="4"/>
  <c r="BF11" i="4" s="1"/>
  <c r="BB11" i="4"/>
  <c r="BA11" i="4"/>
  <c r="AZ11" i="4"/>
  <c r="AW11" i="4"/>
  <c r="AX11" i="4" s="1"/>
  <c r="AT11" i="4"/>
  <c r="AS11" i="4"/>
  <c r="AO11" i="4"/>
  <c r="AP11" i="4" s="1"/>
  <c r="AK11" i="4"/>
  <c r="AL11" i="4" s="1"/>
  <c r="AG11" i="4"/>
  <c r="AH11" i="4" s="1"/>
  <c r="AC11" i="4"/>
  <c r="AD11" i="4" s="1"/>
  <c r="Z11" i="4"/>
  <c r="U11" i="4"/>
  <c r="V11" i="4" s="1"/>
  <c r="Q11" i="4"/>
  <c r="R11" i="4" s="1"/>
  <c r="M11" i="4"/>
  <c r="N11" i="4" s="1"/>
  <c r="I11" i="4"/>
  <c r="J11" i="4" s="1"/>
  <c r="E11" i="4"/>
  <c r="BU10" i="4"/>
  <c r="BV10" i="4" s="1"/>
  <c r="BT10" i="4"/>
  <c r="BQ10" i="4"/>
  <c r="BP10" i="4"/>
  <c r="BR10" i="4" s="1"/>
  <c r="BM10" i="4"/>
  <c r="BL10" i="4"/>
  <c r="BN10" i="4" s="1"/>
  <c r="BI10" i="4"/>
  <c r="BJ10" i="4" s="1"/>
  <c r="BE10" i="4"/>
  <c r="BF10" i="4" s="1"/>
  <c r="BA10" i="4"/>
  <c r="AZ10" i="4"/>
  <c r="BB10" i="4" s="1"/>
  <c r="AW10" i="4"/>
  <c r="AX10" i="4" s="1"/>
  <c r="AS10" i="4"/>
  <c r="AT10" i="4" s="1"/>
  <c r="AP10" i="4"/>
  <c r="AO10" i="4"/>
  <c r="AK10" i="4"/>
  <c r="AL10" i="4" s="1"/>
  <c r="AG10" i="4"/>
  <c r="AH10" i="4" s="1"/>
  <c r="AC10" i="4"/>
  <c r="AD10" i="4" s="1"/>
  <c r="Z10" i="4"/>
  <c r="U10" i="4"/>
  <c r="V10" i="4" s="1"/>
  <c r="Q10" i="4"/>
  <c r="R10" i="4" s="1"/>
  <c r="M10" i="4"/>
  <c r="N10" i="4" s="1"/>
  <c r="I10" i="4"/>
  <c r="J10" i="4" s="1"/>
  <c r="E10" i="4"/>
  <c r="BY10" i="4" s="1"/>
  <c r="BU9" i="4"/>
  <c r="BT9" i="4"/>
  <c r="BV9" i="4" s="1"/>
  <c r="BQ9" i="4"/>
  <c r="BP9" i="4"/>
  <c r="BR9" i="4" s="1"/>
  <c r="BM9" i="4"/>
  <c r="BL9" i="4"/>
  <c r="BI9" i="4"/>
  <c r="BJ9" i="4" s="1"/>
  <c r="BE9" i="4"/>
  <c r="BF9" i="4" s="1"/>
  <c r="BA9" i="4"/>
  <c r="BB9" i="4" s="1"/>
  <c r="AZ9" i="4"/>
  <c r="AW9" i="4"/>
  <c r="AX9" i="4" s="1"/>
  <c r="AS9" i="4"/>
  <c r="AT9" i="4" s="1"/>
  <c r="AO9" i="4"/>
  <c r="AP9" i="4" s="1"/>
  <c r="AK9" i="4"/>
  <c r="AL9" i="4" s="1"/>
  <c r="AG9" i="4"/>
  <c r="AH9" i="4" s="1"/>
  <c r="AC9" i="4"/>
  <c r="AD9" i="4" s="1"/>
  <c r="Z9" i="4"/>
  <c r="U9" i="4"/>
  <c r="V9" i="4" s="1"/>
  <c r="Q9" i="4"/>
  <c r="R9" i="4" s="1"/>
  <c r="M9" i="4"/>
  <c r="N9" i="4" s="1"/>
  <c r="I9" i="4"/>
  <c r="J9" i="4" s="1"/>
  <c r="E9" i="4"/>
  <c r="BU8" i="4"/>
  <c r="BT8" i="4"/>
  <c r="BQ8" i="4"/>
  <c r="BP8" i="4"/>
  <c r="BR8" i="4" s="1"/>
  <c r="BM8" i="4"/>
  <c r="BL8" i="4"/>
  <c r="BI8" i="4"/>
  <c r="BJ8" i="4" s="1"/>
  <c r="BF8" i="4"/>
  <c r="BE8" i="4"/>
  <c r="BA8" i="4"/>
  <c r="AZ8" i="4"/>
  <c r="BB8" i="4" s="1"/>
  <c r="AW8" i="4"/>
  <c r="AX8" i="4" s="1"/>
  <c r="AS8" i="4"/>
  <c r="AT8" i="4" s="1"/>
  <c r="AO8" i="4"/>
  <c r="AP8" i="4" s="1"/>
  <c r="AK8" i="4"/>
  <c r="AL8" i="4" s="1"/>
  <c r="AG8" i="4"/>
  <c r="AH8" i="4" s="1"/>
  <c r="AC8" i="4"/>
  <c r="AD8" i="4" s="1"/>
  <c r="Z8" i="4"/>
  <c r="U8" i="4"/>
  <c r="V8" i="4" s="1"/>
  <c r="Q8" i="4"/>
  <c r="R8" i="4" s="1"/>
  <c r="M8" i="4"/>
  <c r="N8" i="4" s="1"/>
  <c r="I8" i="4"/>
  <c r="J8" i="4" s="1"/>
  <c r="E8" i="4"/>
  <c r="BY8" i="4" s="1"/>
  <c r="BU7" i="4"/>
  <c r="BT7" i="4"/>
  <c r="BV7" i="4" s="1"/>
  <c r="BQ7" i="4"/>
  <c r="BP7" i="4"/>
  <c r="BR7" i="4" s="1"/>
  <c r="BM7" i="4"/>
  <c r="BL7" i="4"/>
  <c r="BI7" i="4"/>
  <c r="BJ7" i="4" s="1"/>
  <c r="BE7" i="4"/>
  <c r="BF7" i="4" s="1"/>
  <c r="BA7" i="4"/>
  <c r="BB7" i="4" s="1"/>
  <c r="AZ7" i="4"/>
  <c r="AW7" i="4"/>
  <c r="AX7" i="4" s="1"/>
  <c r="AS7" i="4"/>
  <c r="AT7" i="4" s="1"/>
  <c r="AO7" i="4"/>
  <c r="AP7" i="4" s="1"/>
  <c r="AK7" i="4"/>
  <c r="AL7" i="4" s="1"/>
  <c r="AG7" i="4"/>
  <c r="AH7" i="4" s="1"/>
  <c r="AC7" i="4"/>
  <c r="AD7" i="4" s="1"/>
  <c r="Z7" i="4"/>
  <c r="U7" i="4"/>
  <c r="V7" i="4" s="1"/>
  <c r="Q7" i="4"/>
  <c r="R7" i="4" s="1"/>
  <c r="M7" i="4"/>
  <c r="N7" i="4" s="1"/>
  <c r="I7" i="4"/>
  <c r="J7" i="4" s="1"/>
  <c r="E7" i="4"/>
  <c r="BU6" i="4"/>
  <c r="BT6" i="4"/>
  <c r="BT72" i="4" s="1"/>
  <c r="BQ6" i="4"/>
  <c r="BP6" i="4"/>
  <c r="BM6" i="4"/>
  <c r="BL6" i="4"/>
  <c r="BL72" i="4" s="1"/>
  <c r="BI6" i="4"/>
  <c r="BE6" i="4"/>
  <c r="BE72" i="4" s="1"/>
  <c r="BA6" i="4"/>
  <c r="AZ6" i="4"/>
  <c r="AW6" i="4"/>
  <c r="AW72" i="4" s="1"/>
  <c r="AS6" i="4"/>
  <c r="AO6" i="4"/>
  <c r="AK6" i="4"/>
  <c r="AG6" i="4"/>
  <c r="AG72" i="4" s="1"/>
  <c r="AC6" i="4"/>
  <c r="Y6" i="4"/>
  <c r="Y72" i="4" s="1"/>
  <c r="U6" i="4"/>
  <c r="Q6" i="4"/>
  <c r="Q72" i="4" s="1"/>
  <c r="M6" i="4"/>
  <c r="I6" i="4"/>
  <c r="E6" i="4"/>
  <c r="ER78" i="3"/>
  <c r="DI78" i="3"/>
  <c r="ER77" i="3"/>
  <c r="DI77" i="3"/>
  <c r="GR76" i="3"/>
  <c r="FY76" i="3"/>
  <c r="FU76" i="3"/>
  <c r="FN76" i="3"/>
  <c r="FJ76" i="3"/>
  <c r="FF76" i="3"/>
  <c r="FB76" i="3"/>
  <c r="EX76" i="3"/>
  <c r="ET76" i="3"/>
  <c r="EM76" i="3"/>
  <c r="EI76" i="3"/>
  <c r="EE76" i="3"/>
  <c r="EA76" i="3"/>
  <c r="DW76" i="3"/>
  <c r="DS76" i="3"/>
  <c r="DO76" i="3"/>
  <c r="DK76" i="3"/>
  <c r="DG76" i="3"/>
  <c r="DC76" i="3"/>
  <c r="CY76" i="3"/>
  <c r="CU76" i="3"/>
  <c r="CR76" i="3"/>
  <c r="CQ76" i="3"/>
  <c r="CM76" i="3"/>
  <c r="CI76" i="3"/>
  <c r="CE76" i="3"/>
  <c r="CA76" i="3"/>
  <c r="BW76" i="3"/>
  <c r="BS76" i="3"/>
  <c r="BO76" i="3"/>
  <c r="BK76" i="3"/>
  <c r="BG76" i="3"/>
  <c r="BC76" i="3"/>
  <c r="AZ76" i="3"/>
  <c r="AY76" i="3"/>
  <c r="AV76" i="3"/>
  <c r="AU76" i="3"/>
  <c r="AR76" i="3"/>
  <c r="AQ76" i="3"/>
  <c r="AN76" i="3"/>
  <c r="AM76" i="3"/>
  <c r="AJ76" i="3"/>
  <c r="AI76" i="3"/>
  <c r="AE76" i="3"/>
  <c r="AB76" i="3"/>
  <c r="AA76" i="3"/>
  <c r="W76" i="3"/>
  <c r="S76" i="3"/>
  <c r="P76" i="3"/>
  <c r="O76" i="3"/>
  <c r="L76" i="3"/>
  <c r="K76" i="3"/>
  <c r="H76" i="3"/>
  <c r="G76" i="3"/>
  <c r="D76" i="3"/>
  <c r="HO75" i="3"/>
  <c r="HN75" i="3"/>
  <c r="HM75" i="3"/>
  <c r="GT75" i="3"/>
  <c r="GS75" i="3"/>
  <c r="GR75" i="3"/>
  <c r="GG75" i="3"/>
  <c r="GI75" i="3" s="1"/>
  <c r="FK75" i="3"/>
  <c r="FG75" i="3"/>
  <c r="FC75" i="3"/>
  <c r="EY75" i="3"/>
  <c r="EU75" i="3"/>
  <c r="EW75" i="3" s="1"/>
  <c r="ER75" i="3"/>
  <c r="HJ75" i="3" s="1"/>
  <c r="EQ75" i="3"/>
  <c r="HI75" i="3" s="1"/>
  <c r="HK75" i="3" s="1"/>
  <c r="EO75" i="3"/>
  <c r="HR75" i="3" s="1"/>
  <c r="EN75" i="3"/>
  <c r="EP75" i="3" s="1"/>
  <c r="EK75" i="3"/>
  <c r="EJ75" i="3"/>
  <c r="EG75" i="3"/>
  <c r="HF75" i="3" s="1"/>
  <c r="EF75" i="3"/>
  <c r="ED75" i="3"/>
  <c r="EC75" i="3"/>
  <c r="EB75" i="3"/>
  <c r="DY75" i="3"/>
  <c r="DX75" i="3"/>
  <c r="DZ75" i="3" s="1"/>
  <c r="DV75" i="3"/>
  <c r="DR75" i="3"/>
  <c r="DN75" i="3"/>
  <c r="DJ75" i="3"/>
  <c r="DE75" i="3"/>
  <c r="DF75" i="3" s="1"/>
  <c r="DA75" i="3"/>
  <c r="CZ75" i="3"/>
  <c r="GK75" i="3" s="1"/>
  <c r="CW75" i="3"/>
  <c r="CV75" i="3"/>
  <c r="CX75" i="3" s="1"/>
  <c r="CT75" i="3"/>
  <c r="CP75" i="3"/>
  <c r="CO75" i="3"/>
  <c r="CN75" i="3"/>
  <c r="CK75" i="3"/>
  <c r="CL75" i="3" s="1"/>
  <c r="CG75" i="3"/>
  <c r="CH75" i="3" s="1"/>
  <c r="CF75" i="3"/>
  <c r="CC75" i="3"/>
  <c r="CB75" i="3"/>
  <c r="BY75" i="3"/>
  <c r="BX75" i="3"/>
  <c r="GW75" i="3" s="1"/>
  <c r="BU75" i="3"/>
  <c r="BT75" i="3"/>
  <c r="BQ75" i="3"/>
  <c r="BP75" i="3"/>
  <c r="BN75" i="3"/>
  <c r="BI75" i="3"/>
  <c r="BJ75" i="3" s="1"/>
  <c r="BH75" i="3"/>
  <c r="BF75" i="3"/>
  <c r="BB75" i="3"/>
  <c r="AX75" i="3"/>
  <c r="AT75" i="3"/>
  <c r="AP75" i="3"/>
  <c r="AL75" i="3"/>
  <c r="AH75" i="3"/>
  <c r="AF75" i="3"/>
  <c r="GO75" i="3" s="1"/>
  <c r="AD75" i="3"/>
  <c r="Z75" i="3"/>
  <c r="V75" i="3"/>
  <c r="R75" i="3"/>
  <c r="N75" i="3"/>
  <c r="J75" i="3"/>
  <c r="F75" i="3"/>
  <c r="HN74" i="3"/>
  <c r="HM74" i="3"/>
  <c r="HO74" i="3" s="1"/>
  <c r="GS74" i="3"/>
  <c r="GR74" i="3"/>
  <c r="GT74" i="3" s="1"/>
  <c r="GG74" i="3"/>
  <c r="GI74" i="3" s="1"/>
  <c r="FK74" i="3"/>
  <c r="FG74" i="3"/>
  <c r="FC74" i="3"/>
  <c r="EY74" i="3"/>
  <c r="EU74" i="3"/>
  <c r="EW74" i="3" s="1"/>
  <c r="ER74" i="3"/>
  <c r="HJ74" i="3" s="1"/>
  <c r="EQ74" i="3"/>
  <c r="EO74" i="3"/>
  <c r="EN74" i="3"/>
  <c r="HQ74" i="3" s="1"/>
  <c r="EL74" i="3"/>
  <c r="EK74" i="3"/>
  <c r="EJ74" i="3"/>
  <c r="EG74" i="3"/>
  <c r="HF74" i="3" s="1"/>
  <c r="EF74" i="3"/>
  <c r="HE74" i="3" s="1"/>
  <c r="EC74" i="3"/>
  <c r="EB74" i="3"/>
  <c r="DY74" i="3"/>
  <c r="DZ74" i="3" s="1"/>
  <c r="DX74" i="3"/>
  <c r="DV74" i="3"/>
  <c r="DR74" i="3"/>
  <c r="DN74" i="3"/>
  <c r="DJ74" i="3"/>
  <c r="DE74" i="3"/>
  <c r="DD74" i="3"/>
  <c r="DF74" i="3" s="1"/>
  <c r="DA74" i="3"/>
  <c r="CZ74" i="3"/>
  <c r="CW74" i="3"/>
  <c r="CV74" i="3"/>
  <c r="CX74" i="3" s="1"/>
  <c r="CT74" i="3"/>
  <c r="CO74" i="3"/>
  <c r="CN74" i="3"/>
  <c r="CK74" i="3"/>
  <c r="CL74" i="3" s="1"/>
  <c r="CJ74" i="3"/>
  <c r="CG74" i="3"/>
  <c r="CF74" i="3"/>
  <c r="CH74" i="3" s="1"/>
  <c r="CC74" i="3"/>
  <c r="CB74" i="3"/>
  <c r="BY74" i="3"/>
  <c r="BX74" i="3"/>
  <c r="BU74" i="3"/>
  <c r="BV74" i="3" s="1"/>
  <c r="BT74" i="3"/>
  <c r="BQ74" i="3"/>
  <c r="BP74" i="3"/>
  <c r="BN74" i="3"/>
  <c r="BI74" i="3"/>
  <c r="BH74" i="3"/>
  <c r="BF74" i="3"/>
  <c r="BB74" i="3"/>
  <c r="AX74" i="3"/>
  <c r="AT74" i="3"/>
  <c r="AP74" i="3"/>
  <c r="AL74" i="3"/>
  <c r="AG74" i="3"/>
  <c r="GP74" i="3" s="1"/>
  <c r="AF74" i="3"/>
  <c r="AD74" i="3"/>
  <c r="Z74" i="3"/>
  <c r="V74" i="3"/>
  <c r="R74" i="3"/>
  <c r="N74" i="3"/>
  <c r="J74" i="3"/>
  <c r="F74" i="3"/>
  <c r="HN73" i="3"/>
  <c r="HM73" i="3"/>
  <c r="GW73" i="3"/>
  <c r="GS73" i="3"/>
  <c r="GR73" i="3"/>
  <c r="GT73" i="3" s="1"/>
  <c r="GG73" i="3"/>
  <c r="GI73" i="3" s="1"/>
  <c r="FK73" i="3"/>
  <c r="FG73" i="3"/>
  <c r="FC73" i="3"/>
  <c r="EY73" i="3"/>
  <c r="EW73" i="3"/>
  <c r="EU73" i="3"/>
  <c r="ER73" i="3"/>
  <c r="HJ73" i="3" s="1"/>
  <c r="EQ73" i="3"/>
  <c r="EO73" i="3"/>
  <c r="HR73" i="3" s="1"/>
  <c r="EN73" i="3"/>
  <c r="EK73" i="3"/>
  <c r="EJ73" i="3"/>
  <c r="EL73" i="3" s="1"/>
  <c r="EG73" i="3"/>
  <c r="EF73" i="3"/>
  <c r="HE73" i="3" s="1"/>
  <c r="EC73" i="3"/>
  <c r="EB73" i="3"/>
  <c r="ED73" i="3" s="1"/>
  <c r="DY73" i="3"/>
  <c r="DX73" i="3"/>
  <c r="DZ73" i="3" s="1"/>
  <c r="DV73" i="3"/>
  <c r="DR73" i="3"/>
  <c r="DN73" i="3"/>
  <c r="DJ73" i="3"/>
  <c r="DE73" i="3"/>
  <c r="DD73" i="3"/>
  <c r="DA73" i="3"/>
  <c r="DB73" i="3" s="1"/>
  <c r="CZ73" i="3"/>
  <c r="CW73" i="3"/>
  <c r="CV73" i="3"/>
  <c r="CT73" i="3"/>
  <c r="CO73" i="3"/>
  <c r="CN73" i="3"/>
  <c r="CP73" i="3" s="1"/>
  <c r="CK73" i="3"/>
  <c r="CJ73" i="3"/>
  <c r="CL73" i="3" s="1"/>
  <c r="CG73" i="3"/>
  <c r="CF73" i="3"/>
  <c r="CC73" i="3"/>
  <c r="CD73" i="3" s="1"/>
  <c r="CB73" i="3"/>
  <c r="BY73" i="3"/>
  <c r="GX73" i="3" s="1"/>
  <c r="BX73" i="3"/>
  <c r="BU73" i="3"/>
  <c r="BT73" i="3"/>
  <c r="BR73" i="3"/>
  <c r="BQ73" i="3"/>
  <c r="BP73" i="3"/>
  <c r="BN73" i="3"/>
  <c r="BJ73" i="3"/>
  <c r="BI73" i="3"/>
  <c r="BH73" i="3"/>
  <c r="BF73" i="3"/>
  <c r="BB73" i="3"/>
  <c r="AX73" i="3"/>
  <c r="AT73" i="3"/>
  <c r="AP73" i="3"/>
  <c r="AL73" i="3"/>
  <c r="AF73" i="3"/>
  <c r="AD73" i="3"/>
  <c r="Z73" i="3"/>
  <c r="V73" i="3"/>
  <c r="R73" i="3"/>
  <c r="N73" i="3"/>
  <c r="J73" i="3"/>
  <c r="F73" i="3"/>
  <c r="HN72" i="3"/>
  <c r="HM72" i="3"/>
  <c r="HF72" i="3"/>
  <c r="GS72" i="3"/>
  <c r="GR72" i="3"/>
  <c r="GT72" i="3" s="1"/>
  <c r="GG72" i="3"/>
  <c r="GI72" i="3" s="1"/>
  <c r="FK72" i="3"/>
  <c r="FG72" i="3"/>
  <c r="FC72" i="3"/>
  <c r="EY72" i="3"/>
  <c r="EU72" i="3"/>
  <c r="EW72" i="3" s="1"/>
  <c r="ER72" i="3"/>
  <c r="HJ72" i="3" s="1"/>
  <c r="EQ72" i="3"/>
  <c r="ES72" i="3" s="1"/>
  <c r="EO72" i="3"/>
  <c r="HR72" i="3" s="1"/>
  <c r="EN72" i="3"/>
  <c r="HQ72" i="3" s="1"/>
  <c r="EK72" i="3"/>
  <c r="EL72" i="3" s="1"/>
  <c r="EJ72" i="3"/>
  <c r="EG72" i="3"/>
  <c r="EF72" i="3"/>
  <c r="EC72" i="3"/>
  <c r="EB72" i="3"/>
  <c r="DY72" i="3"/>
  <c r="DX72" i="3"/>
  <c r="DZ72" i="3" s="1"/>
  <c r="DV72" i="3"/>
  <c r="DR72" i="3"/>
  <c r="DN72" i="3"/>
  <c r="DJ72" i="3"/>
  <c r="DD72" i="3"/>
  <c r="DF72" i="3" s="1"/>
  <c r="DA72" i="3"/>
  <c r="CZ72" i="3"/>
  <c r="CX72" i="3"/>
  <c r="CV72" i="3"/>
  <c r="CS72" i="3"/>
  <c r="CT72" i="3" s="1"/>
  <c r="CO72" i="3"/>
  <c r="CP72" i="3" s="1"/>
  <c r="CN72" i="3"/>
  <c r="CK72" i="3"/>
  <c r="CL72" i="3" s="1"/>
  <c r="CJ72" i="3"/>
  <c r="CG72" i="3"/>
  <c r="CF72" i="3"/>
  <c r="CC72" i="3"/>
  <c r="CB72" i="3"/>
  <c r="BZ72" i="3"/>
  <c r="BY72" i="3"/>
  <c r="BX72" i="3"/>
  <c r="BU72" i="3"/>
  <c r="BT72" i="3"/>
  <c r="BQ72" i="3"/>
  <c r="BP72" i="3"/>
  <c r="BR72" i="3" s="1"/>
  <c r="BN72" i="3"/>
  <c r="BI72" i="3"/>
  <c r="GP72" i="3" s="1"/>
  <c r="BH72" i="3"/>
  <c r="BF72" i="3"/>
  <c r="BB72" i="3"/>
  <c r="AX72" i="3"/>
  <c r="AT72" i="3"/>
  <c r="AP72" i="3"/>
  <c r="AL72" i="3"/>
  <c r="AF72" i="3"/>
  <c r="AD72" i="3"/>
  <c r="Z72" i="3"/>
  <c r="V72" i="3"/>
  <c r="R72" i="3"/>
  <c r="N72" i="3"/>
  <c r="J72" i="3"/>
  <c r="F72" i="3"/>
  <c r="HN71" i="3"/>
  <c r="HO71" i="3" s="1"/>
  <c r="HM71" i="3"/>
  <c r="HJ71" i="3"/>
  <c r="GS71" i="3"/>
  <c r="GR71" i="3"/>
  <c r="GT71" i="3" s="1"/>
  <c r="GG71" i="3"/>
  <c r="GI71" i="3" s="1"/>
  <c r="FK71" i="3"/>
  <c r="FG71" i="3"/>
  <c r="FC71" i="3"/>
  <c r="HE71" i="3" s="1"/>
  <c r="EY71" i="3"/>
  <c r="EU71" i="3"/>
  <c r="EW71" i="3" s="1"/>
  <c r="EQ71" i="3"/>
  <c r="ES71" i="3" s="1"/>
  <c r="EO71" i="3"/>
  <c r="HR71" i="3" s="1"/>
  <c r="EN71" i="3"/>
  <c r="EK71" i="3"/>
  <c r="EJ71" i="3"/>
  <c r="EL71" i="3" s="1"/>
  <c r="EG71" i="3"/>
  <c r="EF71" i="3"/>
  <c r="EC71" i="3"/>
  <c r="EB71" i="3"/>
  <c r="ED71" i="3" s="1"/>
  <c r="DY71" i="3"/>
  <c r="DX71" i="3"/>
  <c r="DZ71" i="3" s="1"/>
  <c r="DV71" i="3"/>
  <c r="DR71" i="3"/>
  <c r="DN71" i="3"/>
  <c r="DJ71" i="3"/>
  <c r="DF71" i="3"/>
  <c r="DE71" i="3"/>
  <c r="DD71" i="3"/>
  <c r="DA71" i="3"/>
  <c r="DB71" i="3" s="1"/>
  <c r="CZ71" i="3"/>
  <c r="CS71" i="3"/>
  <c r="CT71" i="3" s="1"/>
  <c r="CO71" i="3"/>
  <c r="CN71" i="3"/>
  <c r="CP71" i="3" s="1"/>
  <c r="CK71" i="3"/>
  <c r="CJ71" i="3"/>
  <c r="CG71" i="3"/>
  <c r="CF71" i="3"/>
  <c r="CC71" i="3"/>
  <c r="CB71" i="3"/>
  <c r="BY71" i="3"/>
  <c r="BX71" i="3"/>
  <c r="BU71" i="3"/>
  <c r="BT71" i="3"/>
  <c r="BQ71" i="3"/>
  <c r="BP71" i="3"/>
  <c r="BR71" i="3" s="1"/>
  <c r="BN71" i="3"/>
  <c r="BI71" i="3"/>
  <c r="BH71" i="3"/>
  <c r="BF71" i="3"/>
  <c r="BB71" i="3"/>
  <c r="AX71" i="3"/>
  <c r="AT71" i="3"/>
  <c r="AP71" i="3"/>
  <c r="AL71" i="3"/>
  <c r="AF71" i="3"/>
  <c r="AD71" i="3"/>
  <c r="Z71" i="3"/>
  <c r="V71" i="3"/>
  <c r="R71" i="3"/>
  <c r="N71" i="3"/>
  <c r="J71" i="3"/>
  <c r="F71" i="3"/>
  <c r="HR70" i="3"/>
  <c r="HQ70" i="3"/>
  <c r="HS70" i="3" s="1"/>
  <c r="HJ70" i="3"/>
  <c r="HI70" i="3"/>
  <c r="HF70" i="3"/>
  <c r="HE70" i="3"/>
  <c r="HG70" i="3" s="1"/>
  <c r="HB70" i="3"/>
  <c r="HA70" i="3"/>
  <c r="HC70" i="3" s="1"/>
  <c r="GX70" i="3"/>
  <c r="GW70" i="3"/>
  <c r="GY70" i="3" s="1"/>
  <c r="GP70" i="3"/>
  <c r="GQ70" i="3" s="1"/>
  <c r="GO70" i="3"/>
  <c r="GL70" i="3"/>
  <c r="GK70" i="3"/>
  <c r="GI70" i="3"/>
  <c r="GR69" i="3"/>
  <c r="GH69" i="3"/>
  <c r="GG69" i="3"/>
  <c r="GI69" i="3" s="1"/>
  <c r="FO69" i="3"/>
  <c r="FL69" i="3"/>
  <c r="FK69" i="3"/>
  <c r="FH69" i="3"/>
  <c r="FG69" i="3"/>
  <c r="FD69" i="3"/>
  <c r="FC69" i="3"/>
  <c r="EZ69" i="3"/>
  <c r="EY69" i="3"/>
  <c r="EV69" i="3"/>
  <c r="EU69" i="3"/>
  <c r="ES69" i="3"/>
  <c r="ER69" i="3"/>
  <c r="EQ69" i="3"/>
  <c r="HI69" i="3" s="1"/>
  <c r="EO69" i="3"/>
  <c r="EN69" i="3"/>
  <c r="HQ69" i="3" s="1"/>
  <c r="EK69" i="3"/>
  <c r="EJ69" i="3"/>
  <c r="EL69" i="3" s="1"/>
  <c r="EG69" i="3"/>
  <c r="EF69" i="3"/>
  <c r="EH69" i="3" s="1"/>
  <c r="EC69" i="3"/>
  <c r="ED69" i="3" s="1"/>
  <c r="EB69" i="3"/>
  <c r="DY69" i="3"/>
  <c r="DZ69" i="3" s="1"/>
  <c r="DX69" i="3"/>
  <c r="DU69" i="3"/>
  <c r="DT69" i="3"/>
  <c r="DQ69" i="3"/>
  <c r="HN69" i="3" s="1"/>
  <c r="DP69" i="3"/>
  <c r="DM69" i="3"/>
  <c r="HF69" i="3" s="1"/>
  <c r="DL69" i="3"/>
  <c r="DI69" i="3"/>
  <c r="DH69" i="3"/>
  <c r="DE69" i="3"/>
  <c r="DD69" i="3"/>
  <c r="DF69" i="3" s="1"/>
  <c r="DA69" i="3"/>
  <c r="CZ69" i="3"/>
  <c r="DB69" i="3" s="1"/>
  <c r="CW69" i="3"/>
  <c r="CV69" i="3"/>
  <c r="CX69" i="3" s="1"/>
  <c r="CS69" i="3"/>
  <c r="CT69" i="3" s="1"/>
  <c r="CO69" i="3"/>
  <c r="CN69" i="3"/>
  <c r="CP69" i="3" s="1"/>
  <c r="CK69" i="3"/>
  <c r="CL69" i="3" s="1"/>
  <c r="CJ69" i="3"/>
  <c r="CG69" i="3"/>
  <c r="CH69" i="3" s="1"/>
  <c r="CF69" i="3"/>
  <c r="CC69" i="3"/>
  <c r="CB69" i="3"/>
  <c r="BY69" i="3"/>
  <c r="BX69" i="3"/>
  <c r="BU69" i="3"/>
  <c r="BT69" i="3"/>
  <c r="BV69" i="3" s="1"/>
  <c r="BQ69" i="3"/>
  <c r="BP69" i="3"/>
  <c r="BM69" i="3"/>
  <c r="BL69" i="3"/>
  <c r="BI69" i="3"/>
  <c r="BH69" i="3"/>
  <c r="BJ69" i="3" s="1"/>
  <c r="BE69" i="3"/>
  <c r="BA69" i="3"/>
  <c r="BB69" i="3" s="1"/>
  <c r="AX69" i="3"/>
  <c r="AW69" i="3"/>
  <c r="AS69" i="3"/>
  <c r="AT69" i="3" s="1"/>
  <c r="AO69" i="3"/>
  <c r="AP69" i="3" s="1"/>
  <c r="AK69" i="3"/>
  <c r="GS69" i="3" s="1"/>
  <c r="GT69" i="3" s="1"/>
  <c r="AH69" i="3"/>
  <c r="AG69" i="3"/>
  <c r="AF69" i="3"/>
  <c r="AC69" i="3"/>
  <c r="AD69" i="3" s="1"/>
  <c r="Y69" i="3"/>
  <c r="Z69" i="3" s="1"/>
  <c r="U69" i="3"/>
  <c r="V69" i="3" s="1"/>
  <c r="Q69" i="3"/>
  <c r="R69" i="3" s="1"/>
  <c r="M69" i="3"/>
  <c r="N69" i="3" s="1"/>
  <c r="I69" i="3"/>
  <c r="J69" i="3" s="1"/>
  <c r="E69" i="3"/>
  <c r="GR68" i="3"/>
  <c r="GH68" i="3"/>
  <c r="GG68" i="3"/>
  <c r="GI68" i="3" s="1"/>
  <c r="FO68" i="3"/>
  <c r="FL68" i="3"/>
  <c r="FK68" i="3"/>
  <c r="FH68" i="3"/>
  <c r="FG68" i="3"/>
  <c r="FD68" i="3"/>
  <c r="FC68" i="3"/>
  <c r="EZ68" i="3"/>
  <c r="EY68" i="3"/>
  <c r="EV68" i="3"/>
  <c r="EU68" i="3"/>
  <c r="EW68" i="3" s="1"/>
  <c r="ER68" i="3"/>
  <c r="ES68" i="3" s="1"/>
  <c r="EQ68" i="3"/>
  <c r="EO68" i="3"/>
  <c r="HR68" i="3" s="1"/>
  <c r="EN68" i="3"/>
  <c r="EK68" i="3"/>
  <c r="EJ68" i="3"/>
  <c r="EG68" i="3"/>
  <c r="EF68" i="3"/>
  <c r="EC68" i="3"/>
  <c r="EB68" i="3"/>
  <c r="DY68" i="3"/>
  <c r="DX68" i="3"/>
  <c r="DU68" i="3"/>
  <c r="DT68" i="3"/>
  <c r="DV68" i="3" s="1"/>
  <c r="DQ68" i="3"/>
  <c r="HN68" i="3" s="1"/>
  <c r="DP68" i="3"/>
  <c r="HM68" i="3" s="1"/>
  <c r="DM68" i="3"/>
  <c r="HF68" i="3" s="1"/>
  <c r="DL68" i="3"/>
  <c r="DI68" i="3"/>
  <c r="DH68" i="3"/>
  <c r="DE68" i="3"/>
  <c r="DD68" i="3"/>
  <c r="DB68" i="3"/>
  <c r="DA68" i="3"/>
  <c r="CZ68" i="3"/>
  <c r="CW68" i="3"/>
  <c r="CV68" i="3"/>
  <c r="CS68" i="3"/>
  <c r="CT68" i="3" s="1"/>
  <c r="CO68" i="3"/>
  <c r="CN68" i="3"/>
  <c r="CP68" i="3" s="1"/>
  <c r="CK68" i="3"/>
  <c r="CJ68" i="3"/>
  <c r="CL68" i="3" s="1"/>
  <c r="CG68" i="3"/>
  <c r="CF68" i="3"/>
  <c r="CC68" i="3"/>
  <c r="CB68" i="3"/>
  <c r="BZ68" i="3"/>
  <c r="BY68" i="3"/>
  <c r="BX68" i="3"/>
  <c r="BU68" i="3"/>
  <c r="BT68" i="3"/>
  <c r="BV68" i="3" s="1"/>
  <c r="BQ68" i="3"/>
  <c r="BP68" i="3"/>
  <c r="BM68" i="3"/>
  <c r="BN68" i="3" s="1"/>
  <c r="BL68" i="3"/>
  <c r="BI68" i="3"/>
  <c r="BH68" i="3"/>
  <c r="BJ68" i="3" s="1"/>
  <c r="BE68" i="3"/>
  <c r="BA68" i="3"/>
  <c r="BB68" i="3" s="1"/>
  <c r="AW68" i="3"/>
  <c r="AX68" i="3" s="1"/>
  <c r="AS68" i="3"/>
  <c r="AT68" i="3" s="1"/>
  <c r="AO68" i="3"/>
  <c r="AP68" i="3" s="1"/>
  <c r="AK68" i="3"/>
  <c r="AL68" i="3" s="1"/>
  <c r="AG68" i="3"/>
  <c r="AF68" i="3"/>
  <c r="AC68" i="3"/>
  <c r="AD68" i="3" s="1"/>
  <c r="Y68" i="3"/>
  <c r="Z68" i="3" s="1"/>
  <c r="U68" i="3"/>
  <c r="V68" i="3" s="1"/>
  <c r="Q68" i="3"/>
  <c r="R68" i="3" s="1"/>
  <c r="M68" i="3"/>
  <c r="N68" i="3" s="1"/>
  <c r="I68" i="3"/>
  <c r="J68" i="3" s="1"/>
  <c r="E68" i="3"/>
  <c r="F68" i="3" s="1"/>
  <c r="HN66" i="3"/>
  <c r="GX66" i="3"/>
  <c r="GW66" i="3"/>
  <c r="GS66" i="3"/>
  <c r="GR66" i="3"/>
  <c r="GH66" i="3"/>
  <c r="GG66" i="3"/>
  <c r="GD66" i="3"/>
  <c r="GC66" i="3"/>
  <c r="GA66" i="3"/>
  <c r="GB66" i="3" s="1"/>
  <c r="FZ66" i="3"/>
  <c r="FW66" i="3"/>
  <c r="FV66" i="3"/>
  <c r="FX66" i="3" s="1"/>
  <c r="FS66" i="3"/>
  <c r="FR66" i="3"/>
  <c r="FT66" i="3" s="1"/>
  <c r="FP66" i="3"/>
  <c r="FO66" i="3"/>
  <c r="FQ66" i="3" s="1"/>
  <c r="FL66" i="3"/>
  <c r="FK66" i="3"/>
  <c r="FH66" i="3"/>
  <c r="FG66" i="3"/>
  <c r="FD66" i="3"/>
  <c r="FC66" i="3"/>
  <c r="EZ66" i="3"/>
  <c r="EY66" i="3"/>
  <c r="EV66" i="3"/>
  <c r="EW66" i="3" s="1"/>
  <c r="EU66" i="3"/>
  <c r="ES66" i="3"/>
  <c r="ER66" i="3"/>
  <c r="EQ66" i="3"/>
  <c r="EO66" i="3"/>
  <c r="EN66" i="3"/>
  <c r="HQ66" i="3" s="1"/>
  <c r="EK66" i="3"/>
  <c r="EJ66" i="3"/>
  <c r="EL66" i="3" s="1"/>
  <c r="EG66" i="3"/>
  <c r="EF66" i="3"/>
  <c r="EC66" i="3"/>
  <c r="EB66" i="3"/>
  <c r="ED66" i="3" s="1"/>
  <c r="DU66" i="3"/>
  <c r="DT66" i="3"/>
  <c r="DR66" i="3"/>
  <c r="DP66" i="3"/>
  <c r="HM66" i="3" s="1"/>
  <c r="DN66" i="3"/>
  <c r="DM66" i="3"/>
  <c r="DL66" i="3"/>
  <c r="DI66" i="3"/>
  <c r="DH66" i="3"/>
  <c r="HN65" i="3"/>
  <c r="HO65" i="3" s="1"/>
  <c r="HM65" i="3"/>
  <c r="GX65" i="3"/>
  <c r="GW65" i="3"/>
  <c r="GS65" i="3"/>
  <c r="GR65" i="3"/>
  <c r="GH65" i="3"/>
  <c r="GG65" i="3"/>
  <c r="GI65" i="3" s="1"/>
  <c r="GD65" i="3"/>
  <c r="GC65" i="3"/>
  <c r="GE65" i="3" s="1"/>
  <c r="GA65" i="3"/>
  <c r="FZ65" i="3"/>
  <c r="FW65" i="3"/>
  <c r="FV65" i="3"/>
  <c r="FS65" i="3"/>
  <c r="FT65" i="3" s="1"/>
  <c r="FR65" i="3"/>
  <c r="FP65" i="3"/>
  <c r="FO65" i="3"/>
  <c r="FQ65" i="3" s="1"/>
  <c r="FL65" i="3"/>
  <c r="FK65" i="3"/>
  <c r="FH65" i="3"/>
  <c r="FG65" i="3"/>
  <c r="FI65" i="3" s="1"/>
  <c r="FD65" i="3"/>
  <c r="FC65" i="3"/>
  <c r="EZ65" i="3"/>
  <c r="EY65" i="3"/>
  <c r="EV65" i="3"/>
  <c r="EU65" i="3"/>
  <c r="ER65" i="3"/>
  <c r="HJ65" i="3" s="1"/>
  <c r="EQ65" i="3"/>
  <c r="EO65" i="3"/>
  <c r="EN65" i="3"/>
  <c r="EL65" i="3"/>
  <c r="EK65" i="3"/>
  <c r="EJ65" i="3"/>
  <c r="EG65" i="3"/>
  <c r="EF65" i="3"/>
  <c r="EC65" i="3"/>
  <c r="EB65" i="3"/>
  <c r="DM65" i="3"/>
  <c r="DI65" i="3"/>
  <c r="GP65" i="3" s="1"/>
  <c r="GS64" i="3"/>
  <c r="GR64" i="3"/>
  <c r="GH64" i="3"/>
  <c r="GG64" i="3"/>
  <c r="GI64" i="3" s="1"/>
  <c r="GD64" i="3"/>
  <c r="GC64" i="3"/>
  <c r="GA64" i="3"/>
  <c r="FZ64" i="3"/>
  <c r="FW64" i="3"/>
  <c r="FV64" i="3"/>
  <c r="FS64" i="3"/>
  <c r="FR64" i="3"/>
  <c r="FP64" i="3"/>
  <c r="FO64" i="3"/>
  <c r="FQ64" i="3" s="1"/>
  <c r="FL64" i="3"/>
  <c r="FK64" i="3"/>
  <c r="FM64" i="3" s="1"/>
  <c r="FH64" i="3"/>
  <c r="FG64" i="3"/>
  <c r="FD64" i="3"/>
  <c r="FC64" i="3"/>
  <c r="FA64" i="3"/>
  <c r="EZ64" i="3"/>
  <c r="EY64" i="3"/>
  <c r="EV64" i="3"/>
  <c r="EU64" i="3"/>
  <c r="ER64" i="3"/>
  <c r="EQ64" i="3"/>
  <c r="EO64" i="3"/>
  <c r="HR64" i="3" s="1"/>
  <c r="EN64" i="3"/>
  <c r="EK64" i="3"/>
  <c r="EJ64" i="3"/>
  <c r="EL64" i="3" s="1"/>
  <c r="EG64" i="3"/>
  <c r="EF64" i="3"/>
  <c r="EH64" i="3" s="1"/>
  <c r="EC64" i="3"/>
  <c r="EB64" i="3"/>
  <c r="DY64" i="3"/>
  <c r="DX64" i="3"/>
  <c r="DV64" i="3"/>
  <c r="DU64" i="3"/>
  <c r="DT64" i="3"/>
  <c r="DQ64" i="3"/>
  <c r="DP64" i="3"/>
  <c r="HM64" i="3" s="1"/>
  <c r="DM64" i="3"/>
  <c r="HF64" i="3" s="1"/>
  <c r="DL64" i="3"/>
  <c r="HE64" i="3" s="1"/>
  <c r="HG64" i="3" s="1"/>
  <c r="DI64" i="3"/>
  <c r="DH64" i="3"/>
  <c r="DE64" i="3"/>
  <c r="GX64" i="3" s="1"/>
  <c r="DD64" i="3"/>
  <c r="DF64" i="3" s="1"/>
  <c r="CZ64" i="3"/>
  <c r="CW64" i="3"/>
  <c r="CV64" i="3"/>
  <c r="CS64" i="3"/>
  <c r="CN64" i="3"/>
  <c r="CL64" i="3"/>
  <c r="CJ64" i="3"/>
  <c r="CB64" i="3"/>
  <c r="BL64" i="3"/>
  <c r="AF64" i="3"/>
  <c r="HN63" i="3"/>
  <c r="GS63" i="3"/>
  <c r="GR63" i="3"/>
  <c r="GT63" i="3" s="1"/>
  <c r="GH63" i="3"/>
  <c r="GG63" i="3"/>
  <c r="GI63" i="3" s="1"/>
  <c r="GE63" i="3"/>
  <c r="GD63" i="3"/>
  <c r="GC63" i="3"/>
  <c r="GA63" i="3"/>
  <c r="FZ63" i="3"/>
  <c r="GB63" i="3" s="1"/>
  <c r="FW63" i="3"/>
  <c r="FV63" i="3"/>
  <c r="FX63" i="3" s="1"/>
  <c r="FS63" i="3"/>
  <c r="FR63" i="3"/>
  <c r="FP63" i="3"/>
  <c r="FO63" i="3"/>
  <c r="FQ63" i="3" s="1"/>
  <c r="FL63" i="3"/>
  <c r="FK63" i="3"/>
  <c r="FM63" i="3" s="1"/>
  <c r="FH63" i="3"/>
  <c r="FG63" i="3"/>
  <c r="FD63" i="3"/>
  <c r="FC63" i="3"/>
  <c r="FE63" i="3" s="1"/>
  <c r="FA63" i="3"/>
  <c r="EZ63" i="3"/>
  <c r="EY63" i="3"/>
  <c r="EV63" i="3"/>
  <c r="EU63" i="3"/>
  <c r="EW63" i="3" s="1"/>
  <c r="ER63" i="3"/>
  <c r="EQ63" i="3"/>
  <c r="EO63" i="3"/>
  <c r="EN63" i="3"/>
  <c r="HQ63" i="3" s="1"/>
  <c r="EK63" i="3"/>
  <c r="EJ63" i="3"/>
  <c r="EL63" i="3" s="1"/>
  <c r="EG63" i="3"/>
  <c r="EF63" i="3"/>
  <c r="EH63" i="3" s="1"/>
  <c r="EC63" i="3"/>
  <c r="EB63" i="3"/>
  <c r="ED63" i="3" s="1"/>
  <c r="DY63" i="3"/>
  <c r="DX63" i="3"/>
  <c r="DZ63" i="3" s="1"/>
  <c r="DV63" i="3"/>
  <c r="DU63" i="3"/>
  <c r="DT63" i="3"/>
  <c r="DP63" i="3"/>
  <c r="DN63" i="3"/>
  <c r="DM63" i="3"/>
  <c r="HF63" i="3" s="1"/>
  <c r="DL63" i="3"/>
  <c r="HE63" i="3" s="1"/>
  <c r="DI63" i="3"/>
  <c r="DJ63" i="3" s="1"/>
  <c r="DH63" i="3"/>
  <c r="DE63" i="3"/>
  <c r="GX63" i="3" s="1"/>
  <c r="DD63" i="3"/>
  <c r="DA63" i="3"/>
  <c r="HB63" i="3" s="1"/>
  <c r="CZ63" i="3"/>
  <c r="CW63" i="3"/>
  <c r="CV63" i="3"/>
  <c r="CL63" i="3"/>
  <c r="CJ63" i="3"/>
  <c r="BL63" i="3"/>
  <c r="GW63" i="3" s="1"/>
  <c r="GY63" i="3" s="1"/>
  <c r="HN62" i="3"/>
  <c r="GS62" i="3"/>
  <c r="GR62" i="3"/>
  <c r="GH62" i="3"/>
  <c r="GG62" i="3"/>
  <c r="GD62" i="3"/>
  <c r="GC62" i="3"/>
  <c r="GA62" i="3"/>
  <c r="FZ62" i="3"/>
  <c r="GB62" i="3" s="1"/>
  <c r="FW62" i="3"/>
  <c r="FV62" i="3"/>
  <c r="FX62" i="3" s="1"/>
  <c r="FS62" i="3"/>
  <c r="FR62" i="3"/>
  <c r="FP62" i="3"/>
  <c r="FO62" i="3"/>
  <c r="FM62" i="3"/>
  <c r="FL62" i="3"/>
  <c r="FK62" i="3"/>
  <c r="FH62" i="3"/>
  <c r="FG62" i="3"/>
  <c r="FI62" i="3" s="1"/>
  <c r="FD62" i="3"/>
  <c r="FC62" i="3"/>
  <c r="EZ62" i="3"/>
  <c r="EY62" i="3"/>
  <c r="EV62" i="3"/>
  <c r="EU62" i="3"/>
  <c r="EW62" i="3" s="1"/>
  <c r="ER62" i="3"/>
  <c r="EQ62" i="3"/>
  <c r="ES62" i="3" s="1"/>
  <c r="EO62" i="3"/>
  <c r="EN62" i="3"/>
  <c r="EK62" i="3"/>
  <c r="EJ62" i="3"/>
  <c r="EH62" i="3"/>
  <c r="EG62" i="3"/>
  <c r="EF62" i="3"/>
  <c r="EC62" i="3"/>
  <c r="EB62" i="3"/>
  <c r="DY62" i="3"/>
  <c r="DX62" i="3"/>
  <c r="DU62" i="3"/>
  <c r="DT62" i="3"/>
  <c r="DR62" i="3"/>
  <c r="DP62" i="3"/>
  <c r="HM62" i="3" s="1"/>
  <c r="HO62" i="3" s="1"/>
  <c r="DM62" i="3"/>
  <c r="HF62" i="3" s="1"/>
  <c r="DL62" i="3"/>
  <c r="DI62" i="3"/>
  <c r="DH62" i="3"/>
  <c r="DE62" i="3"/>
  <c r="DD62" i="3"/>
  <c r="DA62" i="3"/>
  <c r="CZ62" i="3"/>
  <c r="CW62" i="3"/>
  <c r="GL62" i="3" s="1"/>
  <c r="CV62" i="3"/>
  <c r="CJ62" i="3"/>
  <c r="CL62" i="3" s="1"/>
  <c r="BL62" i="3"/>
  <c r="GR61" i="3"/>
  <c r="GH61" i="3"/>
  <c r="GI61" i="3" s="1"/>
  <c r="GG61" i="3"/>
  <c r="GD61" i="3"/>
  <c r="GC61" i="3"/>
  <c r="GE61" i="3" s="1"/>
  <c r="GA61" i="3"/>
  <c r="FZ61" i="3"/>
  <c r="GB61" i="3" s="1"/>
  <c r="FW61" i="3"/>
  <c r="FV61" i="3"/>
  <c r="FX61" i="3" s="1"/>
  <c r="FS61" i="3"/>
  <c r="FR61" i="3"/>
  <c r="FT61" i="3" s="1"/>
  <c r="FQ61" i="3"/>
  <c r="FP61" i="3"/>
  <c r="FO61" i="3"/>
  <c r="FL61" i="3"/>
  <c r="FK61" i="3"/>
  <c r="FM61" i="3" s="1"/>
  <c r="FH61" i="3"/>
  <c r="FG61" i="3"/>
  <c r="FI61" i="3" s="1"/>
  <c r="FD61" i="3"/>
  <c r="FE61" i="3" s="1"/>
  <c r="FC61" i="3"/>
  <c r="EZ61" i="3"/>
  <c r="EY61" i="3"/>
  <c r="FA61" i="3" s="1"/>
  <c r="EV61" i="3"/>
  <c r="EU61" i="3"/>
  <c r="EW61" i="3" s="1"/>
  <c r="ER61" i="3"/>
  <c r="EQ61" i="3"/>
  <c r="EO61" i="3"/>
  <c r="HR61" i="3" s="1"/>
  <c r="EN61" i="3"/>
  <c r="EP61" i="3" s="1"/>
  <c r="EL61" i="3"/>
  <c r="EK61" i="3"/>
  <c r="EJ61" i="3"/>
  <c r="EG61" i="3"/>
  <c r="EF61" i="3"/>
  <c r="EH61" i="3" s="1"/>
  <c r="EC61" i="3"/>
  <c r="EB61" i="3"/>
  <c r="ED61" i="3" s="1"/>
  <c r="DY61" i="3"/>
  <c r="DZ61" i="3" s="1"/>
  <c r="DX61" i="3"/>
  <c r="DU61" i="3"/>
  <c r="DT61" i="3"/>
  <c r="DV61" i="3" s="1"/>
  <c r="DQ61" i="3"/>
  <c r="HN61" i="3" s="1"/>
  <c r="DP61" i="3"/>
  <c r="HM61" i="3" s="1"/>
  <c r="HO61" i="3" s="1"/>
  <c r="DM61" i="3"/>
  <c r="DL61" i="3"/>
  <c r="DI61" i="3"/>
  <c r="DH61" i="3"/>
  <c r="DJ61" i="3" s="1"/>
  <c r="DF61" i="3"/>
  <c r="DE61" i="3"/>
  <c r="DD61" i="3"/>
  <c r="DA61" i="3"/>
  <c r="CZ61" i="3"/>
  <c r="DB61" i="3" s="1"/>
  <c r="CW61" i="3"/>
  <c r="CV61" i="3"/>
  <c r="CX61" i="3" s="1"/>
  <c r="CS61" i="3"/>
  <c r="CT61" i="3" s="1"/>
  <c r="CO61" i="3"/>
  <c r="CN61" i="3"/>
  <c r="CP61" i="3" s="1"/>
  <c r="CK61" i="3"/>
  <c r="CJ61" i="3"/>
  <c r="CL61" i="3" s="1"/>
  <c r="CG61" i="3"/>
  <c r="CF61" i="3"/>
  <c r="CH61" i="3" s="1"/>
  <c r="CD61" i="3"/>
  <c r="CC61" i="3"/>
  <c r="CB61" i="3"/>
  <c r="BY61" i="3"/>
  <c r="BX61" i="3"/>
  <c r="BZ61" i="3" s="1"/>
  <c r="BU61" i="3"/>
  <c r="BT61" i="3"/>
  <c r="BV61" i="3" s="1"/>
  <c r="BQ61" i="3"/>
  <c r="BP61" i="3"/>
  <c r="BR61" i="3" s="1"/>
  <c r="BM61" i="3"/>
  <c r="BL61" i="3"/>
  <c r="BI61" i="3"/>
  <c r="BH61" i="3"/>
  <c r="BJ61" i="3" s="1"/>
  <c r="BE61" i="3"/>
  <c r="BB61" i="3"/>
  <c r="BA61" i="3"/>
  <c r="AW61" i="3"/>
  <c r="AX61" i="3" s="1"/>
  <c r="AS61" i="3"/>
  <c r="AT61" i="3" s="1"/>
  <c r="AO61" i="3"/>
  <c r="AP61" i="3" s="1"/>
  <c r="AL61" i="3"/>
  <c r="AK61" i="3"/>
  <c r="GS61" i="3" s="1"/>
  <c r="GT61" i="3" s="1"/>
  <c r="AG61" i="3"/>
  <c r="AF61" i="3"/>
  <c r="AD61" i="3"/>
  <c r="AC61" i="3"/>
  <c r="Y61" i="3"/>
  <c r="Z61" i="3" s="1"/>
  <c r="U61" i="3"/>
  <c r="V61" i="3" s="1"/>
  <c r="Q61" i="3"/>
  <c r="R61" i="3" s="1"/>
  <c r="N61" i="3"/>
  <c r="M61" i="3"/>
  <c r="I61" i="3"/>
  <c r="E61" i="3"/>
  <c r="F61" i="3" s="1"/>
  <c r="HM60" i="3"/>
  <c r="HO60" i="3" s="1"/>
  <c r="GR60" i="3"/>
  <c r="GH60" i="3"/>
  <c r="GG60" i="3"/>
  <c r="GI60" i="3" s="1"/>
  <c r="GD60" i="3"/>
  <c r="GC60" i="3"/>
  <c r="GA60" i="3"/>
  <c r="FZ60" i="3"/>
  <c r="GB60" i="3" s="1"/>
  <c r="FW60" i="3"/>
  <c r="FV60" i="3"/>
  <c r="FX60" i="3" s="1"/>
  <c r="FS60" i="3"/>
  <c r="FR60" i="3"/>
  <c r="FT60" i="3" s="1"/>
  <c r="FP60" i="3"/>
  <c r="FO60" i="3"/>
  <c r="FQ60" i="3" s="1"/>
  <c r="FM60" i="3"/>
  <c r="FL60" i="3"/>
  <c r="FK60" i="3"/>
  <c r="FH60" i="3"/>
  <c r="FG60" i="3"/>
  <c r="FI60" i="3" s="1"/>
  <c r="FD60" i="3"/>
  <c r="FC60" i="3"/>
  <c r="FE60" i="3" s="1"/>
  <c r="EZ60" i="3"/>
  <c r="EY60" i="3"/>
  <c r="FA60" i="3" s="1"/>
  <c r="EW60" i="3"/>
  <c r="EV60" i="3"/>
  <c r="EU60" i="3"/>
  <c r="ER60" i="3"/>
  <c r="HJ60" i="3" s="1"/>
  <c r="EQ60" i="3"/>
  <c r="HI60" i="3" s="1"/>
  <c r="EO60" i="3"/>
  <c r="EN60" i="3"/>
  <c r="EL60" i="3"/>
  <c r="EK60" i="3"/>
  <c r="EJ60" i="3"/>
  <c r="EG60" i="3"/>
  <c r="EF60" i="3"/>
  <c r="EC60" i="3"/>
  <c r="EB60" i="3"/>
  <c r="DY60" i="3"/>
  <c r="DX60" i="3"/>
  <c r="DU60" i="3"/>
  <c r="DT60" i="3"/>
  <c r="DV60" i="3" s="1"/>
  <c r="DR60" i="3"/>
  <c r="DQ60" i="3"/>
  <c r="HN60" i="3" s="1"/>
  <c r="DP60" i="3"/>
  <c r="DM60" i="3"/>
  <c r="DL60" i="3"/>
  <c r="HE60" i="3" s="1"/>
  <c r="DI60" i="3"/>
  <c r="DH60" i="3"/>
  <c r="DE60" i="3"/>
  <c r="DF60" i="3" s="1"/>
  <c r="DD60" i="3"/>
  <c r="DA60" i="3"/>
  <c r="CZ60" i="3"/>
  <c r="DB60" i="3" s="1"/>
  <c r="CW60" i="3"/>
  <c r="CV60" i="3"/>
  <c r="CS60" i="3"/>
  <c r="CT60" i="3" s="1"/>
  <c r="CP60" i="3"/>
  <c r="CO60" i="3"/>
  <c r="CN60" i="3"/>
  <c r="CK60" i="3"/>
  <c r="CJ60" i="3"/>
  <c r="CL60" i="3" s="1"/>
  <c r="CG60" i="3"/>
  <c r="CF60" i="3"/>
  <c r="CH60" i="3" s="1"/>
  <c r="CC60" i="3"/>
  <c r="CD60" i="3" s="1"/>
  <c r="CB60" i="3"/>
  <c r="BY60" i="3"/>
  <c r="BX60" i="3"/>
  <c r="BU60" i="3"/>
  <c r="BT60" i="3"/>
  <c r="BQ60" i="3"/>
  <c r="BP60" i="3"/>
  <c r="BM60" i="3"/>
  <c r="BL60" i="3"/>
  <c r="BN60" i="3" s="1"/>
  <c r="BJ60" i="3"/>
  <c r="BI60" i="3"/>
  <c r="BH60" i="3"/>
  <c r="BE60" i="3"/>
  <c r="BB60" i="3"/>
  <c r="BA60" i="3"/>
  <c r="AW60" i="3"/>
  <c r="AX60" i="3" s="1"/>
  <c r="AT60" i="3"/>
  <c r="AS60" i="3"/>
  <c r="AO60" i="3"/>
  <c r="AP60" i="3" s="1"/>
  <c r="AK60" i="3"/>
  <c r="AG60" i="3"/>
  <c r="AF60" i="3"/>
  <c r="AC60" i="3"/>
  <c r="AD60" i="3" s="1"/>
  <c r="Y60" i="3"/>
  <c r="Z60" i="3" s="1"/>
  <c r="U60" i="3"/>
  <c r="V60" i="3" s="1"/>
  <c r="Q60" i="3"/>
  <c r="R60" i="3" s="1"/>
  <c r="M60" i="3"/>
  <c r="N60" i="3" s="1"/>
  <c r="I60" i="3"/>
  <c r="J60" i="3" s="1"/>
  <c r="E60" i="3"/>
  <c r="GR59" i="3"/>
  <c r="GH59" i="3"/>
  <c r="GG59" i="3"/>
  <c r="GD59" i="3"/>
  <c r="GC59" i="3"/>
  <c r="GE59" i="3" s="1"/>
  <c r="GB59" i="3"/>
  <c r="GA59" i="3"/>
  <c r="FZ59" i="3"/>
  <c r="FX59" i="3"/>
  <c r="FW59" i="3"/>
  <c r="FV59" i="3"/>
  <c r="FS59" i="3"/>
  <c r="FR59" i="3"/>
  <c r="FT59" i="3" s="1"/>
  <c r="FP59" i="3"/>
  <c r="FO59" i="3"/>
  <c r="FL59" i="3"/>
  <c r="FK59" i="3"/>
  <c r="FM59" i="3" s="1"/>
  <c r="FH59" i="3"/>
  <c r="FG59" i="3"/>
  <c r="FI59" i="3" s="1"/>
  <c r="FD59" i="3"/>
  <c r="FC59" i="3"/>
  <c r="EZ59" i="3"/>
  <c r="EY59" i="3"/>
  <c r="FA59" i="3" s="1"/>
  <c r="EW59" i="3"/>
  <c r="EV59" i="3"/>
  <c r="EU59" i="3"/>
  <c r="ES59" i="3"/>
  <c r="ER59" i="3"/>
  <c r="EQ59" i="3"/>
  <c r="EO59" i="3"/>
  <c r="EN59" i="3"/>
  <c r="EK59" i="3"/>
  <c r="EJ59" i="3"/>
  <c r="EG59" i="3"/>
  <c r="EF59" i="3"/>
  <c r="EC59" i="3"/>
  <c r="EB59" i="3"/>
  <c r="ED59" i="3" s="1"/>
  <c r="DY59" i="3"/>
  <c r="DX59" i="3"/>
  <c r="DU59" i="3"/>
  <c r="DT59" i="3"/>
  <c r="DV59" i="3" s="1"/>
  <c r="DR59" i="3"/>
  <c r="DQ59" i="3"/>
  <c r="HN59" i="3" s="1"/>
  <c r="DP59" i="3"/>
  <c r="HM59" i="3" s="1"/>
  <c r="DN59" i="3"/>
  <c r="DM59" i="3"/>
  <c r="HF59" i="3" s="1"/>
  <c r="DL59" i="3"/>
  <c r="DI59" i="3"/>
  <c r="DH59" i="3"/>
  <c r="DJ59" i="3" s="1"/>
  <c r="DE59" i="3"/>
  <c r="DD59" i="3"/>
  <c r="DA59" i="3"/>
  <c r="CZ59" i="3"/>
  <c r="DB59" i="3" s="1"/>
  <c r="CW59" i="3"/>
  <c r="CV59" i="3"/>
  <c r="CX59" i="3" s="1"/>
  <c r="CS59" i="3"/>
  <c r="CT59" i="3" s="1"/>
  <c r="CO59" i="3"/>
  <c r="CN59" i="3"/>
  <c r="CP59" i="3" s="1"/>
  <c r="CL59" i="3"/>
  <c r="CK59" i="3"/>
  <c r="CJ59" i="3"/>
  <c r="CG59" i="3"/>
  <c r="CF59" i="3"/>
  <c r="CC59" i="3"/>
  <c r="CB59" i="3"/>
  <c r="CD59" i="3" s="1"/>
  <c r="BZ59" i="3"/>
  <c r="BY59" i="3"/>
  <c r="BX59" i="3"/>
  <c r="BU59" i="3"/>
  <c r="HB59" i="3" s="1"/>
  <c r="BT59" i="3"/>
  <c r="BQ59" i="3"/>
  <c r="BP59" i="3"/>
  <c r="BM59" i="3"/>
  <c r="BL59" i="3"/>
  <c r="BI59" i="3"/>
  <c r="BH59" i="3"/>
  <c r="BJ59" i="3" s="1"/>
  <c r="BF59" i="3"/>
  <c r="BE59" i="3"/>
  <c r="BA59" i="3"/>
  <c r="BB59" i="3" s="1"/>
  <c r="AW59" i="3"/>
  <c r="AX59" i="3" s="1"/>
  <c r="AS59" i="3"/>
  <c r="AT59" i="3" s="1"/>
  <c r="AO59" i="3"/>
  <c r="AP59" i="3" s="1"/>
  <c r="AK59" i="3"/>
  <c r="AL59" i="3" s="1"/>
  <c r="AG59" i="3"/>
  <c r="AF59" i="3"/>
  <c r="AH59" i="3" s="1"/>
  <c r="AC59" i="3"/>
  <c r="AD59" i="3" s="1"/>
  <c r="Y59" i="3"/>
  <c r="Z59" i="3" s="1"/>
  <c r="U59" i="3"/>
  <c r="V59" i="3" s="1"/>
  <c r="R59" i="3"/>
  <c r="Q59" i="3"/>
  <c r="M59" i="3"/>
  <c r="N59" i="3" s="1"/>
  <c r="J59" i="3"/>
  <c r="I59" i="3"/>
  <c r="E59" i="3"/>
  <c r="GR58" i="3"/>
  <c r="GI58" i="3"/>
  <c r="GH58" i="3"/>
  <c r="GG58" i="3"/>
  <c r="GD58" i="3"/>
  <c r="GC58" i="3"/>
  <c r="GE58" i="3" s="1"/>
  <c r="GA58" i="3"/>
  <c r="FZ58" i="3"/>
  <c r="GB58" i="3" s="1"/>
  <c r="FW58" i="3"/>
  <c r="FX58" i="3" s="1"/>
  <c r="FV58" i="3"/>
  <c r="FS58" i="3"/>
  <c r="FR58" i="3"/>
  <c r="FP58" i="3"/>
  <c r="FO58" i="3"/>
  <c r="FL58" i="3"/>
  <c r="FK58" i="3"/>
  <c r="FH58" i="3"/>
  <c r="FG58" i="3"/>
  <c r="FI58" i="3" s="1"/>
  <c r="FE58" i="3"/>
  <c r="FD58" i="3"/>
  <c r="FC58" i="3"/>
  <c r="EZ58" i="3"/>
  <c r="EY58" i="3"/>
  <c r="EV58" i="3"/>
  <c r="EU58" i="3"/>
  <c r="EW58" i="3" s="1"/>
  <c r="ES58" i="3"/>
  <c r="ER58" i="3"/>
  <c r="EQ58" i="3"/>
  <c r="EO58" i="3"/>
  <c r="HR58" i="3" s="1"/>
  <c r="EN58" i="3"/>
  <c r="EK58" i="3"/>
  <c r="EJ58" i="3"/>
  <c r="EL58" i="3" s="1"/>
  <c r="EG58" i="3"/>
  <c r="EF58" i="3"/>
  <c r="EC58" i="3"/>
  <c r="EB58" i="3"/>
  <c r="ED58" i="3" s="1"/>
  <c r="DY58" i="3"/>
  <c r="DZ58" i="3" s="1"/>
  <c r="DX58" i="3"/>
  <c r="DU58" i="3"/>
  <c r="DT58" i="3"/>
  <c r="DQ58" i="3"/>
  <c r="HN58" i="3" s="1"/>
  <c r="DP58" i="3"/>
  <c r="DM58" i="3"/>
  <c r="DL58" i="3"/>
  <c r="DJ58" i="3"/>
  <c r="DI58" i="3"/>
  <c r="DH58" i="3"/>
  <c r="DE58" i="3"/>
  <c r="DD58" i="3"/>
  <c r="DF58" i="3" s="1"/>
  <c r="DA58" i="3"/>
  <c r="CZ58" i="3"/>
  <c r="DB58" i="3" s="1"/>
  <c r="CW58" i="3"/>
  <c r="CV58" i="3"/>
  <c r="CS58" i="3"/>
  <c r="CT58" i="3" s="1"/>
  <c r="CO58" i="3"/>
  <c r="CN58" i="3"/>
  <c r="CP58" i="3" s="1"/>
  <c r="CK58" i="3"/>
  <c r="CJ58" i="3"/>
  <c r="CG58" i="3"/>
  <c r="CH58" i="3" s="1"/>
  <c r="CF58" i="3"/>
  <c r="CC58" i="3"/>
  <c r="CB58" i="3"/>
  <c r="BY58" i="3"/>
  <c r="BX58" i="3"/>
  <c r="BU58" i="3"/>
  <c r="BT58" i="3"/>
  <c r="BR58" i="3"/>
  <c r="BQ58" i="3"/>
  <c r="BP58" i="3"/>
  <c r="BM58" i="3"/>
  <c r="BL58" i="3"/>
  <c r="BI58" i="3"/>
  <c r="BH58" i="3"/>
  <c r="BJ58" i="3" s="1"/>
  <c r="BE58" i="3"/>
  <c r="BA58" i="3"/>
  <c r="BB58" i="3" s="1"/>
  <c r="AW58" i="3"/>
  <c r="AX58" i="3" s="1"/>
  <c r="AS58" i="3"/>
  <c r="AT58" i="3" s="1"/>
  <c r="AO58" i="3"/>
  <c r="AP58" i="3" s="1"/>
  <c r="AK58" i="3"/>
  <c r="AL58" i="3" s="1"/>
  <c r="AH58" i="3"/>
  <c r="AG58" i="3"/>
  <c r="AF58" i="3"/>
  <c r="AD58" i="3"/>
  <c r="AC58" i="3"/>
  <c r="Y58" i="3"/>
  <c r="Z58" i="3" s="1"/>
  <c r="V58" i="3"/>
  <c r="U58" i="3"/>
  <c r="Q58" i="3"/>
  <c r="R58" i="3" s="1"/>
  <c r="M58" i="3"/>
  <c r="N58" i="3" s="1"/>
  <c r="I58" i="3"/>
  <c r="J58" i="3" s="1"/>
  <c r="F58" i="3"/>
  <c r="E58" i="3"/>
  <c r="GR57" i="3"/>
  <c r="GI57" i="3"/>
  <c r="GH57" i="3"/>
  <c r="GG57" i="3"/>
  <c r="GD57" i="3"/>
  <c r="GC57" i="3"/>
  <c r="GE57" i="3" s="1"/>
  <c r="GA57" i="3"/>
  <c r="FZ57" i="3"/>
  <c r="FW57" i="3"/>
  <c r="FV57" i="3"/>
  <c r="FX57" i="3" s="1"/>
  <c r="FS57" i="3"/>
  <c r="FR57" i="3"/>
  <c r="FT57" i="3" s="1"/>
  <c r="FQ57" i="3"/>
  <c r="FP57" i="3"/>
  <c r="FO57" i="3"/>
  <c r="FL57" i="3"/>
  <c r="FK57" i="3"/>
  <c r="FM57" i="3" s="1"/>
  <c r="FH57" i="3"/>
  <c r="FG57" i="3"/>
  <c r="FI57" i="3" s="1"/>
  <c r="FD57" i="3"/>
  <c r="FE57" i="3" s="1"/>
  <c r="FC57" i="3"/>
  <c r="EZ57" i="3"/>
  <c r="EY57" i="3"/>
  <c r="EV57" i="3"/>
  <c r="EU57" i="3"/>
  <c r="EW57" i="3" s="1"/>
  <c r="ER57" i="3"/>
  <c r="HJ57" i="3" s="1"/>
  <c r="EQ57" i="3"/>
  <c r="EO57" i="3"/>
  <c r="EN57" i="3"/>
  <c r="EL57" i="3"/>
  <c r="EK57" i="3"/>
  <c r="EJ57" i="3"/>
  <c r="EG57" i="3"/>
  <c r="HF57" i="3" s="1"/>
  <c r="EF57" i="3"/>
  <c r="EC57" i="3"/>
  <c r="EB57" i="3"/>
  <c r="ED57" i="3" s="1"/>
  <c r="DZ57" i="3"/>
  <c r="DY57" i="3"/>
  <c r="DX57" i="3"/>
  <c r="DU57" i="3"/>
  <c r="DT57" i="3"/>
  <c r="DV57" i="3" s="1"/>
  <c r="DQ57" i="3"/>
  <c r="HN57" i="3" s="1"/>
  <c r="DP57" i="3"/>
  <c r="DM57" i="3"/>
  <c r="DL57" i="3"/>
  <c r="DI57" i="3"/>
  <c r="DH57" i="3"/>
  <c r="DE57" i="3"/>
  <c r="DD57" i="3"/>
  <c r="DF57" i="3" s="1"/>
  <c r="DA57" i="3"/>
  <c r="CZ57" i="3"/>
  <c r="CW57" i="3"/>
  <c r="CX57" i="3" s="1"/>
  <c r="CV57" i="3"/>
  <c r="CS57" i="3"/>
  <c r="CT57" i="3" s="1"/>
  <c r="CO57" i="3"/>
  <c r="CN57" i="3"/>
  <c r="CK57" i="3"/>
  <c r="CJ57" i="3"/>
  <c r="CL57" i="3" s="1"/>
  <c r="CG57" i="3"/>
  <c r="CF57" i="3"/>
  <c r="CC57" i="3"/>
  <c r="CB57" i="3"/>
  <c r="BY57" i="3"/>
  <c r="BZ57" i="3" s="1"/>
  <c r="BX57" i="3"/>
  <c r="BU57" i="3"/>
  <c r="BT57" i="3"/>
  <c r="BQ57" i="3"/>
  <c r="BP57" i="3"/>
  <c r="BM57" i="3"/>
  <c r="BL57" i="3"/>
  <c r="BI57" i="3"/>
  <c r="BJ57" i="3" s="1"/>
  <c r="BH57" i="3"/>
  <c r="BF57" i="3"/>
  <c r="BE57" i="3"/>
  <c r="BB57" i="3"/>
  <c r="BA57" i="3"/>
  <c r="AX57" i="3"/>
  <c r="AW57" i="3"/>
  <c r="AT57" i="3"/>
  <c r="AS57" i="3"/>
  <c r="AP57" i="3"/>
  <c r="AO57" i="3"/>
  <c r="AL57" i="3"/>
  <c r="AK57" i="3"/>
  <c r="GS57" i="3" s="1"/>
  <c r="GT57" i="3" s="1"/>
  <c r="AH57" i="3"/>
  <c r="AG57" i="3"/>
  <c r="AF57" i="3"/>
  <c r="AC57" i="3"/>
  <c r="AD57" i="3" s="1"/>
  <c r="Y57" i="3"/>
  <c r="Z57" i="3" s="1"/>
  <c r="U57" i="3"/>
  <c r="V57" i="3" s="1"/>
  <c r="Q57" i="3"/>
  <c r="R57" i="3" s="1"/>
  <c r="M57" i="3"/>
  <c r="N57" i="3" s="1"/>
  <c r="I57" i="3"/>
  <c r="J57" i="3" s="1"/>
  <c r="E57" i="3"/>
  <c r="GR56" i="3"/>
  <c r="GI56" i="3"/>
  <c r="GH56" i="3"/>
  <c r="GG56" i="3"/>
  <c r="GD56" i="3"/>
  <c r="GC56" i="3"/>
  <c r="GA56" i="3"/>
  <c r="FZ56" i="3"/>
  <c r="FW56" i="3"/>
  <c r="FV56" i="3"/>
  <c r="FT56" i="3"/>
  <c r="FS56" i="3"/>
  <c r="FR56" i="3"/>
  <c r="FP56" i="3"/>
  <c r="FO56" i="3"/>
  <c r="FL56" i="3"/>
  <c r="FK56" i="3"/>
  <c r="FH56" i="3"/>
  <c r="FI56" i="3" s="1"/>
  <c r="FG56" i="3"/>
  <c r="FD56" i="3"/>
  <c r="FC56" i="3"/>
  <c r="FE56" i="3" s="1"/>
  <c r="EZ56" i="3"/>
  <c r="EY56" i="3"/>
  <c r="EV56" i="3"/>
  <c r="EU56" i="3"/>
  <c r="EW56" i="3" s="1"/>
  <c r="ER56" i="3"/>
  <c r="ES56" i="3" s="1"/>
  <c r="EQ56" i="3"/>
  <c r="HI56" i="3" s="1"/>
  <c r="EO56" i="3"/>
  <c r="EN56" i="3"/>
  <c r="EP56" i="3" s="1"/>
  <c r="EK56" i="3"/>
  <c r="EJ56" i="3"/>
  <c r="EG56" i="3"/>
  <c r="EF56" i="3"/>
  <c r="EH56" i="3" s="1"/>
  <c r="EC56" i="3"/>
  <c r="ED56" i="3" s="1"/>
  <c r="EB56" i="3"/>
  <c r="DY56" i="3"/>
  <c r="DZ56" i="3" s="1"/>
  <c r="DX56" i="3"/>
  <c r="DU56" i="3"/>
  <c r="DT56" i="3"/>
  <c r="DQ56" i="3"/>
  <c r="HN56" i="3" s="1"/>
  <c r="DP56" i="3"/>
  <c r="DM56" i="3"/>
  <c r="DL56" i="3"/>
  <c r="DJ56" i="3"/>
  <c r="DI56" i="3"/>
  <c r="DH56" i="3"/>
  <c r="DE56" i="3"/>
  <c r="DD56" i="3"/>
  <c r="DF56" i="3" s="1"/>
  <c r="DA56" i="3"/>
  <c r="CZ56" i="3"/>
  <c r="DB56" i="3" s="1"/>
  <c r="CW56" i="3"/>
  <c r="CV56" i="3"/>
  <c r="CS56" i="3"/>
  <c r="CT56" i="3" s="1"/>
  <c r="CO56" i="3"/>
  <c r="CN56" i="3"/>
  <c r="CK56" i="3"/>
  <c r="CL56" i="3" s="1"/>
  <c r="CJ56" i="3"/>
  <c r="CH56" i="3"/>
  <c r="CG56" i="3"/>
  <c r="CF56" i="3"/>
  <c r="CC56" i="3"/>
  <c r="CB56" i="3"/>
  <c r="BY56" i="3"/>
  <c r="BX56" i="3"/>
  <c r="BU56" i="3"/>
  <c r="BT56" i="3"/>
  <c r="BR56" i="3"/>
  <c r="BQ56" i="3"/>
  <c r="BP56" i="3"/>
  <c r="BM56" i="3"/>
  <c r="BL56" i="3"/>
  <c r="BI56" i="3"/>
  <c r="BH56" i="3"/>
  <c r="BJ56" i="3" s="1"/>
  <c r="BE56" i="3"/>
  <c r="BA56" i="3"/>
  <c r="BB56" i="3" s="1"/>
  <c r="AW56" i="3"/>
  <c r="AX56" i="3" s="1"/>
  <c r="AS56" i="3"/>
  <c r="AT56" i="3" s="1"/>
  <c r="AO56" i="3"/>
  <c r="AP56" i="3" s="1"/>
  <c r="AK56" i="3"/>
  <c r="AL56" i="3" s="1"/>
  <c r="AG56" i="3"/>
  <c r="AF56" i="3"/>
  <c r="AD56" i="3"/>
  <c r="AC56" i="3"/>
  <c r="Y56" i="3"/>
  <c r="Z56" i="3" s="1"/>
  <c r="U56" i="3"/>
  <c r="V56" i="3" s="1"/>
  <c r="Q56" i="3"/>
  <c r="R56" i="3" s="1"/>
  <c r="M56" i="3"/>
  <c r="N56" i="3" s="1"/>
  <c r="I56" i="3"/>
  <c r="J56" i="3" s="1"/>
  <c r="E56" i="3"/>
  <c r="F56" i="3" s="1"/>
  <c r="GR55" i="3"/>
  <c r="GT55" i="3" s="1"/>
  <c r="GH55" i="3"/>
  <c r="GI55" i="3" s="1"/>
  <c r="GG55" i="3"/>
  <c r="GD55" i="3"/>
  <c r="GC55" i="3"/>
  <c r="GA55" i="3"/>
  <c r="FZ55" i="3"/>
  <c r="FW55" i="3"/>
  <c r="FV55" i="3"/>
  <c r="FS55" i="3"/>
  <c r="FT55" i="3" s="1"/>
  <c r="FR55" i="3"/>
  <c r="FQ55" i="3"/>
  <c r="FP55" i="3"/>
  <c r="FO55" i="3"/>
  <c r="FL55" i="3"/>
  <c r="FK55" i="3"/>
  <c r="FM55" i="3" s="1"/>
  <c r="FH55" i="3"/>
  <c r="FG55" i="3"/>
  <c r="FD55" i="3"/>
  <c r="FC55" i="3"/>
  <c r="FA55" i="3"/>
  <c r="EZ55" i="3"/>
  <c r="EY55" i="3"/>
  <c r="EV55" i="3"/>
  <c r="EU55" i="3"/>
  <c r="ER55" i="3"/>
  <c r="HJ55" i="3" s="1"/>
  <c r="EQ55" i="3"/>
  <c r="EO55" i="3"/>
  <c r="EP55" i="3" s="1"/>
  <c r="EN55" i="3"/>
  <c r="EK55" i="3"/>
  <c r="EJ55" i="3"/>
  <c r="EL55" i="3" s="1"/>
  <c r="EG55" i="3"/>
  <c r="HF55" i="3" s="1"/>
  <c r="EF55" i="3"/>
  <c r="EC55" i="3"/>
  <c r="EB55" i="3"/>
  <c r="ED55" i="3" s="1"/>
  <c r="DY55" i="3"/>
  <c r="DZ55" i="3" s="1"/>
  <c r="DX55" i="3"/>
  <c r="DU55" i="3"/>
  <c r="DT55" i="3"/>
  <c r="DQ55" i="3"/>
  <c r="HN55" i="3" s="1"/>
  <c r="DP55" i="3"/>
  <c r="HM55" i="3" s="1"/>
  <c r="DM55" i="3"/>
  <c r="DL55" i="3"/>
  <c r="DI55" i="3"/>
  <c r="DJ55" i="3" s="1"/>
  <c r="DH55" i="3"/>
  <c r="DF55" i="3"/>
  <c r="DE55" i="3"/>
  <c r="DD55" i="3"/>
  <c r="DA55" i="3"/>
  <c r="CZ55" i="3"/>
  <c r="DB55" i="3" s="1"/>
  <c r="CW55" i="3"/>
  <c r="CV55" i="3"/>
  <c r="CS55" i="3"/>
  <c r="CT55" i="3" s="1"/>
  <c r="CO55" i="3"/>
  <c r="CN55" i="3"/>
  <c r="CK55" i="3"/>
  <c r="CJ55" i="3"/>
  <c r="CG55" i="3"/>
  <c r="CH55" i="3" s="1"/>
  <c r="CF55" i="3"/>
  <c r="CC55" i="3"/>
  <c r="CB55" i="3"/>
  <c r="CD55" i="3" s="1"/>
  <c r="BY55" i="3"/>
  <c r="BX55" i="3"/>
  <c r="BU55" i="3"/>
  <c r="BT55" i="3"/>
  <c r="BV55" i="3" s="1"/>
  <c r="BQ55" i="3"/>
  <c r="BR55" i="3" s="1"/>
  <c r="BP55" i="3"/>
  <c r="BM55" i="3"/>
  <c r="BL55" i="3"/>
  <c r="BI55" i="3"/>
  <c r="BH55" i="3"/>
  <c r="BF55" i="3"/>
  <c r="BE55" i="3"/>
  <c r="BB55" i="3"/>
  <c r="BA55" i="3"/>
  <c r="AX55" i="3"/>
  <c r="AW55" i="3"/>
  <c r="AT55" i="3"/>
  <c r="AS55" i="3"/>
  <c r="AP55" i="3"/>
  <c r="AO55" i="3"/>
  <c r="AL55" i="3"/>
  <c r="AK55" i="3"/>
  <c r="GS55" i="3" s="1"/>
  <c r="AG55" i="3"/>
  <c r="AF55" i="3"/>
  <c r="AC55" i="3"/>
  <c r="AD55" i="3" s="1"/>
  <c r="Y55" i="3"/>
  <c r="Z55" i="3" s="1"/>
  <c r="U55" i="3"/>
  <c r="V55" i="3" s="1"/>
  <c r="Q55" i="3"/>
  <c r="R55" i="3" s="1"/>
  <c r="M55" i="3"/>
  <c r="N55" i="3" s="1"/>
  <c r="I55" i="3"/>
  <c r="J55" i="3" s="1"/>
  <c r="E55" i="3"/>
  <c r="F55" i="3" s="1"/>
  <c r="HR54" i="3"/>
  <c r="GR54" i="3"/>
  <c r="GH54" i="3"/>
  <c r="GG54" i="3"/>
  <c r="GI54" i="3" s="1"/>
  <c r="GD54" i="3"/>
  <c r="GE54" i="3" s="1"/>
  <c r="GC54" i="3"/>
  <c r="GA54" i="3"/>
  <c r="GB54" i="3" s="1"/>
  <c r="FZ54" i="3"/>
  <c r="FW54" i="3"/>
  <c r="FV54" i="3"/>
  <c r="FX54" i="3" s="1"/>
  <c r="FS54" i="3"/>
  <c r="FR54" i="3"/>
  <c r="FP54" i="3"/>
  <c r="FO54" i="3"/>
  <c r="FM54" i="3"/>
  <c r="FL54" i="3"/>
  <c r="FK54" i="3"/>
  <c r="FH54" i="3"/>
  <c r="FG54" i="3"/>
  <c r="FI54" i="3" s="1"/>
  <c r="FD54" i="3"/>
  <c r="FC54" i="3"/>
  <c r="EZ54" i="3"/>
  <c r="EY54" i="3"/>
  <c r="EV54" i="3"/>
  <c r="EU54" i="3"/>
  <c r="EW54" i="3" s="1"/>
  <c r="ER54" i="3"/>
  <c r="EQ54" i="3"/>
  <c r="EO54" i="3"/>
  <c r="EN54" i="3"/>
  <c r="EK54" i="3"/>
  <c r="EL54" i="3" s="1"/>
  <c r="EJ54" i="3"/>
  <c r="EG54" i="3"/>
  <c r="EF54" i="3"/>
  <c r="EC54" i="3"/>
  <c r="EB54" i="3"/>
  <c r="ED54" i="3" s="1"/>
  <c r="DY54" i="3"/>
  <c r="DX54" i="3"/>
  <c r="DU54" i="3"/>
  <c r="DT54" i="3"/>
  <c r="DR54" i="3"/>
  <c r="DQ54" i="3"/>
  <c r="HN54" i="3" s="1"/>
  <c r="DP54" i="3"/>
  <c r="HM54" i="3" s="1"/>
  <c r="DM54" i="3"/>
  <c r="DL54" i="3"/>
  <c r="DN54" i="3" s="1"/>
  <c r="DI54" i="3"/>
  <c r="DH54" i="3"/>
  <c r="DE54" i="3"/>
  <c r="DD54" i="3"/>
  <c r="DB54" i="3"/>
  <c r="DA54" i="3"/>
  <c r="CZ54" i="3"/>
  <c r="CW54" i="3"/>
  <c r="CV54" i="3"/>
  <c r="CS54" i="3"/>
  <c r="CT54" i="3" s="1"/>
  <c r="CP54" i="3"/>
  <c r="CO54" i="3"/>
  <c r="CN54" i="3"/>
  <c r="CK54" i="3"/>
  <c r="CJ54" i="3"/>
  <c r="CL54" i="3" s="1"/>
  <c r="CG54" i="3"/>
  <c r="CF54" i="3"/>
  <c r="CC54" i="3"/>
  <c r="CB54" i="3"/>
  <c r="BZ54" i="3"/>
  <c r="BY54" i="3"/>
  <c r="BX54" i="3"/>
  <c r="BU54" i="3"/>
  <c r="HB54" i="3" s="1"/>
  <c r="BT54" i="3"/>
  <c r="BQ54" i="3"/>
  <c r="BP54" i="3"/>
  <c r="BR54" i="3" s="1"/>
  <c r="BM54" i="3"/>
  <c r="BN54" i="3" s="1"/>
  <c r="BL54" i="3"/>
  <c r="BI54" i="3"/>
  <c r="BH54" i="3"/>
  <c r="BE54" i="3"/>
  <c r="BA54" i="3"/>
  <c r="BB54" i="3" s="1"/>
  <c r="AW54" i="3"/>
  <c r="AX54" i="3" s="1"/>
  <c r="AS54" i="3"/>
  <c r="AT54" i="3" s="1"/>
  <c r="AO54" i="3"/>
  <c r="AP54" i="3" s="1"/>
  <c r="AK54" i="3"/>
  <c r="AL54" i="3" s="1"/>
  <c r="AG54" i="3"/>
  <c r="AF54" i="3"/>
  <c r="AD54" i="3"/>
  <c r="AC54" i="3"/>
  <c r="Y54" i="3"/>
  <c r="Z54" i="3" s="1"/>
  <c r="V54" i="3"/>
  <c r="U54" i="3"/>
  <c r="Q54" i="3"/>
  <c r="R54" i="3" s="1"/>
  <c r="N54" i="3"/>
  <c r="M54" i="3"/>
  <c r="I54" i="3"/>
  <c r="J54" i="3" s="1"/>
  <c r="F54" i="3"/>
  <c r="E54" i="3"/>
  <c r="GR53" i="3"/>
  <c r="GH53" i="3"/>
  <c r="GG53" i="3"/>
  <c r="GI53" i="3" s="1"/>
  <c r="GD53" i="3"/>
  <c r="GC53" i="3"/>
  <c r="GA53" i="3"/>
  <c r="FZ53" i="3"/>
  <c r="GB53" i="3" s="1"/>
  <c r="FW53" i="3"/>
  <c r="FX53" i="3" s="1"/>
  <c r="FV53" i="3"/>
  <c r="FS53" i="3"/>
  <c r="FR53" i="3"/>
  <c r="FT53" i="3" s="1"/>
  <c r="FP53" i="3"/>
  <c r="FO53" i="3"/>
  <c r="FL53" i="3"/>
  <c r="FK53" i="3"/>
  <c r="FM53" i="3" s="1"/>
  <c r="FI53" i="3"/>
  <c r="FH53" i="3"/>
  <c r="FG53" i="3"/>
  <c r="FD53" i="3"/>
  <c r="FC53" i="3"/>
  <c r="EZ53" i="3"/>
  <c r="EY53" i="3"/>
  <c r="FA53" i="3" s="1"/>
  <c r="EV53" i="3"/>
  <c r="EU53" i="3"/>
  <c r="EW53" i="3" s="1"/>
  <c r="ER53" i="3"/>
  <c r="HJ53" i="3" s="1"/>
  <c r="EQ53" i="3"/>
  <c r="EO53" i="3"/>
  <c r="EN53" i="3"/>
  <c r="EK53" i="3"/>
  <c r="EJ53" i="3"/>
  <c r="EL53" i="3" s="1"/>
  <c r="EG53" i="3"/>
  <c r="EF53" i="3"/>
  <c r="EC53" i="3"/>
  <c r="EB53" i="3"/>
  <c r="ED53" i="3" s="1"/>
  <c r="DY53" i="3"/>
  <c r="DX53" i="3"/>
  <c r="DZ53" i="3" s="1"/>
  <c r="DU53" i="3"/>
  <c r="DT53" i="3"/>
  <c r="DV53" i="3" s="1"/>
  <c r="DQ53" i="3"/>
  <c r="HN53" i="3" s="1"/>
  <c r="DP53" i="3"/>
  <c r="HM53" i="3" s="1"/>
  <c r="DM53" i="3"/>
  <c r="DN53" i="3" s="1"/>
  <c r="DL53" i="3"/>
  <c r="DI53" i="3"/>
  <c r="DH53" i="3"/>
  <c r="DJ53" i="3" s="1"/>
  <c r="DE53" i="3"/>
  <c r="DD53" i="3"/>
  <c r="DA53" i="3"/>
  <c r="CZ53" i="3"/>
  <c r="DB53" i="3" s="1"/>
  <c r="CX53" i="3"/>
  <c r="CW53" i="3"/>
  <c r="CV53" i="3"/>
  <c r="CS53" i="3"/>
  <c r="CT53" i="3" s="1"/>
  <c r="CO53" i="3"/>
  <c r="CN53" i="3"/>
  <c r="CK53" i="3"/>
  <c r="CJ53" i="3"/>
  <c r="CL53" i="3" s="1"/>
  <c r="CG53" i="3"/>
  <c r="CF53" i="3"/>
  <c r="CH53" i="3" s="1"/>
  <c r="CC53" i="3"/>
  <c r="CB53" i="3"/>
  <c r="CD53" i="3" s="1"/>
  <c r="BY53" i="3"/>
  <c r="BX53" i="3"/>
  <c r="BZ53" i="3" s="1"/>
  <c r="BU53" i="3"/>
  <c r="HB53" i="3" s="1"/>
  <c r="BT53" i="3"/>
  <c r="BQ53" i="3"/>
  <c r="BP53" i="3"/>
  <c r="BR53" i="3" s="1"/>
  <c r="BM53" i="3"/>
  <c r="BL53" i="3"/>
  <c r="BI53" i="3"/>
  <c r="BH53" i="3"/>
  <c r="BJ53" i="3" s="1"/>
  <c r="BF53" i="3"/>
  <c r="BE53" i="3"/>
  <c r="BA53" i="3"/>
  <c r="BB53" i="3" s="1"/>
  <c r="AX53" i="3"/>
  <c r="AW53" i="3"/>
  <c r="AS53" i="3"/>
  <c r="AT53" i="3" s="1"/>
  <c r="AP53" i="3"/>
  <c r="AO53" i="3"/>
  <c r="AK53" i="3"/>
  <c r="AH53" i="3"/>
  <c r="AG53" i="3"/>
  <c r="AF53" i="3"/>
  <c r="AC53" i="3"/>
  <c r="AD53" i="3" s="1"/>
  <c r="Y53" i="3"/>
  <c r="Z53" i="3" s="1"/>
  <c r="U53" i="3"/>
  <c r="V53" i="3" s="1"/>
  <c r="Q53" i="3"/>
  <c r="R53" i="3" s="1"/>
  <c r="M53" i="3"/>
  <c r="N53" i="3" s="1"/>
  <c r="I53" i="3"/>
  <c r="J53" i="3" s="1"/>
  <c r="E53" i="3"/>
  <c r="GR52" i="3"/>
  <c r="GI52" i="3"/>
  <c r="GH52" i="3"/>
  <c r="GG52" i="3"/>
  <c r="GD52" i="3"/>
  <c r="GC52" i="3"/>
  <c r="GA52" i="3"/>
  <c r="FZ52" i="3"/>
  <c r="GB52" i="3" s="1"/>
  <c r="FW52" i="3"/>
  <c r="FV52" i="3"/>
  <c r="FX52" i="3" s="1"/>
  <c r="FS52" i="3"/>
  <c r="FR52" i="3"/>
  <c r="FT52" i="3" s="1"/>
  <c r="FP52" i="3"/>
  <c r="FQ52" i="3" s="1"/>
  <c r="FO52" i="3"/>
  <c r="FL52" i="3"/>
  <c r="FK52" i="3"/>
  <c r="FM52" i="3" s="1"/>
  <c r="FH52" i="3"/>
  <c r="FG52" i="3"/>
  <c r="FD52" i="3"/>
  <c r="FC52" i="3"/>
  <c r="EZ52" i="3"/>
  <c r="EY52" i="3"/>
  <c r="EV52" i="3"/>
  <c r="EU52" i="3"/>
  <c r="ER52" i="3"/>
  <c r="EQ52" i="3"/>
  <c r="EP52" i="3"/>
  <c r="EO52" i="3"/>
  <c r="EN52" i="3"/>
  <c r="EK52" i="3"/>
  <c r="EJ52" i="3"/>
  <c r="EL52" i="3" s="1"/>
  <c r="EG52" i="3"/>
  <c r="EF52" i="3"/>
  <c r="EC52" i="3"/>
  <c r="EB52" i="3"/>
  <c r="ED52" i="3" s="1"/>
  <c r="DY52" i="3"/>
  <c r="DX52" i="3"/>
  <c r="DU52" i="3"/>
  <c r="DT52" i="3"/>
  <c r="DQ52" i="3"/>
  <c r="HN52" i="3" s="1"/>
  <c r="DP52" i="3"/>
  <c r="DM52" i="3"/>
  <c r="DL52" i="3"/>
  <c r="DJ52" i="3"/>
  <c r="DI52" i="3"/>
  <c r="DH52" i="3"/>
  <c r="DE52" i="3"/>
  <c r="DD52" i="3"/>
  <c r="DF52" i="3" s="1"/>
  <c r="DA52" i="3"/>
  <c r="CZ52" i="3"/>
  <c r="DB52" i="3" s="1"/>
  <c r="CW52" i="3"/>
  <c r="CV52" i="3"/>
  <c r="CX52" i="3" s="1"/>
  <c r="CS52" i="3"/>
  <c r="CT52" i="3" s="1"/>
  <c r="CO52" i="3"/>
  <c r="CN52" i="3"/>
  <c r="CP52" i="3" s="1"/>
  <c r="CK52" i="3"/>
  <c r="CJ52" i="3"/>
  <c r="CL52" i="3" s="1"/>
  <c r="CG52" i="3"/>
  <c r="CF52" i="3"/>
  <c r="CC52" i="3"/>
  <c r="CB52" i="3"/>
  <c r="BY52" i="3"/>
  <c r="BX52" i="3"/>
  <c r="BU52" i="3"/>
  <c r="BT52" i="3"/>
  <c r="BR52" i="3"/>
  <c r="BQ52" i="3"/>
  <c r="BP52" i="3"/>
  <c r="BM52" i="3"/>
  <c r="BL52" i="3"/>
  <c r="BN52" i="3" s="1"/>
  <c r="BI52" i="3"/>
  <c r="BH52" i="3"/>
  <c r="BE52" i="3"/>
  <c r="BA52" i="3"/>
  <c r="BB52" i="3" s="1"/>
  <c r="AW52" i="3"/>
  <c r="AX52" i="3" s="1"/>
  <c r="AS52" i="3"/>
  <c r="AT52" i="3" s="1"/>
  <c r="AO52" i="3"/>
  <c r="AP52" i="3" s="1"/>
  <c r="AK52" i="3"/>
  <c r="AL52" i="3" s="1"/>
  <c r="AG52" i="3"/>
  <c r="AF52" i="3"/>
  <c r="AC52" i="3"/>
  <c r="AD52" i="3" s="1"/>
  <c r="Z52" i="3"/>
  <c r="Y52" i="3"/>
  <c r="U52" i="3"/>
  <c r="V52" i="3" s="1"/>
  <c r="Q52" i="3"/>
  <c r="R52" i="3" s="1"/>
  <c r="M52" i="3"/>
  <c r="N52" i="3" s="1"/>
  <c r="I52" i="3"/>
  <c r="J52" i="3" s="1"/>
  <c r="E52" i="3"/>
  <c r="F52" i="3" s="1"/>
  <c r="HQ51" i="3"/>
  <c r="GR51" i="3"/>
  <c r="GH51" i="3"/>
  <c r="GG51" i="3"/>
  <c r="GI51" i="3" s="1"/>
  <c r="GD51" i="3"/>
  <c r="GC51" i="3"/>
  <c r="GE51" i="3" s="1"/>
  <c r="GA51" i="3"/>
  <c r="FZ51" i="3"/>
  <c r="FW51" i="3"/>
  <c r="FV51" i="3"/>
  <c r="FX51" i="3" s="1"/>
  <c r="FS51" i="3"/>
  <c r="FR51" i="3"/>
  <c r="FP51" i="3"/>
  <c r="FO51" i="3"/>
  <c r="FQ51" i="3" s="1"/>
  <c r="FL51" i="3"/>
  <c r="FK51" i="3"/>
  <c r="FH51" i="3"/>
  <c r="FG51" i="3"/>
  <c r="FI51" i="3" s="1"/>
  <c r="FD51" i="3"/>
  <c r="FC51" i="3"/>
  <c r="EZ51" i="3"/>
  <c r="EY51" i="3"/>
  <c r="EV51" i="3"/>
  <c r="EU51" i="3"/>
  <c r="ER51" i="3"/>
  <c r="HJ51" i="3" s="1"/>
  <c r="EQ51" i="3"/>
  <c r="EO51" i="3"/>
  <c r="EN51" i="3"/>
  <c r="EP51" i="3" s="1"/>
  <c r="EL51" i="3"/>
  <c r="EK51" i="3"/>
  <c r="EJ51" i="3"/>
  <c r="EG51" i="3"/>
  <c r="EF51" i="3"/>
  <c r="EH51" i="3" s="1"/>
  <c r="EC51" i="3"/>
  <c r="EB51" i="3"/>
  <c r="DY51" i="3"/>
  <c r="DX51" i="3"/>
  <c r="DZ51" i="3" s="1"/>
  <c r="DV51" i="3"/>
  <c r="DU51" i="3"/>
  <c r="DT51" i="3"/>
  <c r="DQ51" i="3"/>
  <c r="DP51" i="3"/>
  <c r="HM51" i="3" s="1"/>
  <c r="DM51" i="3"/>
  <c r="DL51" i="3"/>
  <c r="DI51" i="3"/>
  <c r="DH51" i="3"/>
  <c r="DE51" i="3"/>
  <c r="DD51" i="3"/>
  <c r="DF51" i="3" s="1"/>
  <c r="DA51" i="3"/>
  <c r="CZ51" i="3"/>
  <c r="CW51" i="3"/>
  <c r="CV51" i="3"/>
  <c r="CX51" i="3" s="1"/>
  <c r="CS51" i="3"/>
  <c r="CT51" i="3" s="1"/>
  <c r="CO51" i="3"/>
  <c r="CN51" i="3"/>
  <c r="CK51" i="3"/>
  <c r="CJ51" i="3"/>
  <c r="CL51" i="3" s="1"/>
  <c r="CG51" i="3"/>
  <c r="CF51" i="3"/>
  <c r="CH51" i="3" s="1"/>
  <c r="CC51" i="3"/>
  <c r="CD51" i="3" s="1"/>
  <c r="CB51" i="3"/>
  <c r="BY51" i="3"/>
  <c r="BX51" i="3"/>
  <c r="BZ51" i="3" s="1"/>
  <c r="BU51" i="3"/>
  <c r="BT51" i="3"/>
  <c r="BQ51" i="3"/>
  <c r="BP51" i="3"/>
  <c r="BN51" i="3"/>
  <c r="BM51" i="3"/>
  <c r="BL51" i="3"/>
  <c r="BI51" i="3"/>
  <c r="BH51" i="3"/>
  <c r="BE51" i="3"/>
  <c r="BA51" i="3"/>
  <c r="BB51" i="3" s="1"/>
  <c r="AW51" i="3"/>
  <c r="AX51" i="3" s="1"/>
  <c r="AT51" i="3"/>
  <c r="AS51" i="3"/>
  <c r="AO51" i="3"/>
  <c r="AP51" i="3" s="1"/>
  <c r="AK51" i="3"/>
  <c r="GS51" i="3" s="1"/>
  <c r="GT51" i="3" s="1"/>
  <c r="AG51" i="3"/>
  <c r="AF51" i="3"/>
  <c r="AC51" i="3"/>
  <c r="AD51" i="3" s="1"/>
  <c r="Y51" i="3"/>
  <c r="Z51" i="3" s="1"/>
  <c r="U51" i="3"/>
  <c r="V51" i="3" s="1"/>
  <c r="Q51" i="3"/>
  <c r="R51" i="3" s="1"/>
  <c r="M51" i="3"/>
  <c r="N51" i="3" s="1"/>
  <c r="I51" i="3"/>
  <c r="J51" i="3" s="1"/>
  <c r="E51" i="3"/>
  <c r="F51" i="3" s="1"/>
  <c r="HM50" i="3"/>
  <c r="GR50" i="3"/>
  <c r="GT50" i="3" s="1"/>
  <c r="GH50" i="3"/>
  <c r="GG50" i="3"/>
  <c r="GI50" i="3" s="1"/>
  <c r="GD50" i="3"/>
  <c r="GC50" i="3"/>
  <c r="GA50" i="3"/>
  <c r="FZ50" i="3"/>
  <c r="GB50" i="3" s="1"/>
  <c r="FW50" i="3"/>
  <c r="FX50" i="3" s="1"/>
  <c r="FV50" i="3"/>
  <c r="FS50" i="3"/>
  <c r="FR50" i="3"/>
  <c r="FT50" i="3" s="1"/>
  <c r="FP50" i="3"/>
  <c r="FO50" i="3"/>
  <c r="FL50" i="3"/>
  <c r="FK50" i="3"/>
  <c r="FM50" i="3" s="1"/>
  <c r="FH50" i="3"/>
  <c r="FG50" i="3"/>
  <c r="FD50" i="3"/>
  <c r="FC50" i="3"/>
  <c r="FE50" i="3" s="1"/>
  <c r="EZ50" i="3"/>
  <c r="EY50" i="3"/>
  <c r="FA50" i="3" s="1"/>
  <c r="EV50" i="3"/>
  <c r="EW50" i="3" s="1"/>
  <c r="EU50" i="3"/>
  <c r="ER50" i="3"/>
  <c r="EQ50" i="3"/>
  <c r="HI50" i="3" s="1"/>
  <c r="EO50" i="3"/>
  <c r="HR50" i="3" s="1"/>
  <c r="EN50" i="3"/>
  <c r="EK50" i="3"/>
  <c r="EJ50" i="3"/>
  <c r="EL50" i="3" s="1"/>
  <c r="EH50" i="3"/>
  <c r="EG50" i="3"/>
  <c r="EF50" i="3"/>
  <c r="EC50" i="3"/>
  <c r="EB50" i="3"/>
  <c r="ED50" i="3" s="1"/>
  <c r="DY50" i="3"/>
  <c r="DX50" i="3"/>
  <c r="DU50" i="3"/>
  <c r="DT50" i="3"/>
  <c r="DV50" i="3" s="1"/>
  <c r="DQ50" i="3"/>
  <c r="HN50" i="3" s="1"/>
  <c r="DP50" i="3"/>
  <c r="DM50" i="3"/>
  <c r="DL50" i="3"/>
  <c r="DI50" i="3"/>
  <c r="DH50" i="3"/>
  <c r="DE50" i="3"/>
  <c r="DD50" i="3"/>
  <c r="DB50" i="3"/>
  <c r="DA50" i="3"/>
  <c r="CZ50" i="3"/>
  <c r="CW50" i="3"/>
  <c r="CV50" i="3"/>
  <c r="CX50" i="3" s="1"/>
  <c r="CS50" i="3"/>
  <c r="CT50" i="3" s="1"/>
  <c r="CO50" i="3"/>
  <c r="CN50" i="3"/>
  <c r="CP50" i="3" s="1"/>
  <c r="CK50" i="3"/>
  <c r="CJ50" i="3"/>
  <c r="CG50" i="3"/>
  <c r="CF50" i="3"/>
  <c r="CH50" i="3" s="1"/>
  <c r="CC50" i="3"/>
  <c r="CB50" i="3"/>
  <c r="BY50" i="3"/>
  <c r="BX50" i="3"/>
  <c r="BU50" i="3"/>
  <c r="BT50" i="3"/>
  <c r="BQ50" i="3"/>
  <c r="BP50" i="3"/>
  <c r="BR50" i="3" s="1"/>
  <c r="BM50" i="3"/>
  <c r="BL50" i="3"/>
  <c r="BN50" i="3" s="1"/>
  <c r="BI50" i="3"/>
  <c r="BJ50" i="3" s="1"/>
  <c r="BH50" i="3"/>
  <c r="BE50" i="3"/>
  <c r="BF50" i="3" s="1"/>
  <c r="BB50" i="3"/>
  <c r="BA50" i="3"/>
  <c r="AW50" i="3"/>
  <c r="AX50" i="3" s="1"/>
  <c r="AS50" i="3"/>
  <c r="AT50" i="3" s="1"/>
  <c r="AO50" i="3"/>
  <c r="AP50" i="3" s="1"/>
  <c r="AL50" i="3"/>
  <c r="AK50" i="3"/>
  <c r="GS50" i="3" s="1"/>
  <c r="AG50" i="3"/>
  <c r="AF50" i="3"/>
  <c r="AC50" i="3"/>
  <c r="AD50" i="3" s="1"/>
  <c r="Y50" i="3"/>
  <c r="Z50" i="3" s="1"/>
  <c r="U50" i="3"/>
  <c r="V50" i="3" s="1"/>
  <c r="Q50" i="3"/>
  <c r="R50" i="3" s="1"/>
  <c r="M50" i="3"/>
  <c r="I50" i="3"/>
  <c r="E50" i="3"/>
  <c r="GS49" i="3"/>
  <c r="GT49" i="3" s="1"/>
  <c r="GR49" i="3"/>
  <c r="GH49" i="3"/>
  <c r="GG49" i="3"/>
  <c r="GD49" i="3"/>
  <c r="GC49" i="3"/>
  <c r="GA49" i="3"/>
  <c r="FZ49" i="3"/>
  <c r="FW49" i="3"/>
  <c r="FV49" i="3"/>
  <c r="FX49" i="3" s="1"/>
  <c r="FT49" i="3"/>
  <c r="FS49" i="3"/>
  <c r="FR49" i="3"/>
  <c r="FP49" i="3"/>
  <c r="FO49" i="3"/>
  <c r="FL49" i="3"/>
  <c r="FK49" i="3"/>
  <c r="FH49" i="3"/>
  <c r="FG49" i="3"/>
  <c r="FI49" i="3" s="1"/>
  <c r="FE49" i="3"/>
  <c r="FD49" i="3"/>
  <c r="FC49" i="3"/>
  <c r="EZ49" i="3"/>
  <c r="FA49" i="3" s="1"/>
  <c r="EY49" i="3"/>
  <c r="EV49" i="3"/>
  <c r="EU49" i="3"/>
  <c r="EW49" i="3" s="1"/>
  <c r="ER49" i="3"/>
  <c r="HJ49" i="3" s="1"/>
  <c r="EQ49" i="3"/>
  <c r="HI49" i="3" s="1"/>
  <c r="EO49" i="3"/>
  <c r="EN49" i="3"/>
  <c r="EP49" i="3" s="1"/>
  <c r="EK49" i="3"/>
  <c r="EL49" i="3" s="1"/>
  <c r="EJ49" i="3"/>
  <c r="EG49" i="3"/>
  <c r="EF49" i="3"/>
  <c r="EH49" i="3" s="1"/>
  <c r="EC49" i="3"/>
  <c r="EB49" i="3"/>
  <c r="DY49" i="3"/>
  <c r="DX49" i="3"/>
  <c r="DZ49" i="3" s="1"/>
  <c r="DU49" i="3"/>
  <c r="DT49" i="3"/>
  <c r="DQ49" i="3"/>
  <c r="HN49" i="3" s="1"/>
  <c r="DP49" i="3"/>
  <c r="DM49" i="3"/>
  <c r="DL49" i="3"/>
  <c r="DN49" i="3" s="1"/>
  <c r="DI49" i="3"/>
  <c r="DJ49" i="3" s="1"/>
  <c r="DH49" i="3"/>
  <c r="DE49" i="3"/>
  <c r="DD49" i="3"/>
  <c r="DA49" i="3"/>
  <c r="CZ49" i="3"/>
  <c r="CW49" i="3"/>
  <c r="CV49" i="3"/>
  <c r="CX49" i="3" s="1"/>
  <c r="CT49" i="3"/>
  <c r="CS49" i="3"/>
  <c r="CO49" i="3"/>
  <c r="CN49" i="3"/>
  <c r="CP49" i="3" s="1"/>
  <c r="CK49" i="3"/>
  <c r="CJ49" i="3"/>
  <c r="CG49" i="3"/>
  <c r="CH49" i="3" s="1"/>
  <c r="CC49" i="3"/>
  <c r="CB49" i="3"/>
  <c r="BY49" i="3"/>
  <c r="BX49" i="3"/>
  <c r="BZ49" i="3" s="1"/>
  <c r="BV49" i="3"/>
  <c r="BU49" i="3"/>
  <c r="BT49" i="3"/>
  <c r="BQ49" i="3"/>
  <c r="BP49" i="3"/>
  <c r="BM49" i="3"/>
  <c r="BL49" i="3"/>
  <c r="BI49" i="3"/>
  <c r="BH49" i="3"/>
  <c r="BJ49" i="3" s="1"/>
  <c r="BE49" i="3"/>
  <c r="BF49" i="3" s="1"/>
  <c r="BA49" i="3"/>
  <c r="BB49" i="3" s="1"/>
  <c r="AX49" i="3"/>
  <c r="AW49" i="3"/>
  <c r="AS49" i="3"/>
  <c r="AT49" i="3" s="1"/>
  <c r="AO49" i="3"/>
  <c r="AP49" i="3" s="1"/>
  <c r="AK49" i="3"/>
  <c r="AL49" i="3" s="1"/>
  <c r="AH49" i="3"/>
  <c r="AG49" i="3"/>
  <c r="AF49" i="3"/>
  <c r="AC49" i="3"/>
  <c r="AD49" i="3" s="1"/>
  <c r="Y49" i="3"/>
  <c r="Z49" i="3" s="1"/>
  <c r="U49" i="3"/>
  <c r="V49" i="3" s="1"/>
  <c r="Q49" i="3"/>
  <c r="R49" i="3" s="1"/>
  <c r="M49" i="3"/>
  <c r="I49" i="3"/>
  <c r="E49" i="3"/>
  <c r="GR48" i="3"/>
  <c r="GH48" i="3"/>
  <c r="GG48" i="3"/>
  <c r="GD48" i="3"/>
  <c r="GC48" i="3"/>
  <c r="GE48" i="3" s="1"/>
  <c r="GA48" i="3"/>
  <c r="GB48" i="3" s="1"/>
  <c r="FZ48" i="3"/>
  <c r="FW48" i="3"/>
  <c r="FV48" i="3"/>
  <c r="FX48" i="3" s="1"/>
  <c r="FS48" i="3"/>
  <c r="FR48" i="3"/>
  <c r="FP48" i="3"/>
  <c r="FO48" i="3"/>
  <c r="FQ48" i="3" s="1"/>
  <c r="FL48" i="3"/>
  <c r="FK48" i="3"/>
  <c r="FH48" i="3"/>
  <c r="FG48" i="3"/>
  <c r="FI48" i="3" s="1"/>
  <c r="FD48" i="3"/>
  <c r="FC48" i="3"/>
  <c r="FE48" i="3" s="1"/>
  <c r="EZ48" i="3"/>
  <c r="FA48" i="3" s="1"/>
  <c r="EY48" i="3"/>
  <c r="EV48" i="3"/>
  <c r="EU48" i="3"/>
  <c r="ER48" i="3"/>
  <c r="EQ48" i="3"/>
  <c r="EO48" i="3"/>
  <c r="HR48" i="3" s="1"/>
  <c r="EN48" i="3"/>
  <c r="EL48" i="3"/>
  <c r="EK48" i="3"/>
  <c r="EJ48" i="3"/>
  <c r="EG48" i="3"/>
  <c r="EF48" i="3"/>
  <c r="EC48" i="3"/>
  <c r="EB48" i="3"/>
  <c r="ED48" i="3" s="1"/>
  <c r="DY48" i="3"/>
  <c r="DX48" i="3"/>
  <c r="DZ48" i="3" s="1"/>
  <c r="DU48" i="3"/>
  <c r="DT48" i="3"/>
  <c r="DV48" i="3" s="1"/>
  <c r="DQ48" i="3"/>
  <c r="DP48" i="3"/>
  <c r="HM48" i="3" s="1"/>
  <c r="DM48" i="3"/>
  <c r="DL48" i="3"/>
  <c r="DI48" i="3"/>
  <c r="DH48" i="3"/>
  <c r="DE48" i="3"/>
  <c r="DD48" i="3"/>
  <c r="DF48" i="3" s="1"/>
  <c r="DA48" i="3"/>
  <c r="CZ48" i="3"/>
  <c r="CW48" i="3"/>
  <c r="CV48" i="3"/>
  <c r="CX48" i="3" s="1"/>
  <c r="CS48" i="3"/>
  <c r="CT48" i="3" s="1"/>
  <c r="CO48" i="3"/>
  <c r="CN48" i="3"/>
  <c r="CK48" i="3"/>
  <c r="CJ48" i="3"/>
  <c r="CG48" i="3"/>
  <c r="CF48" i="3"/>
  <c r="CH48" i="3" s="1"/>
  <c r="CD48" i="3"/>
  <c r="CC48" i="3"/>
  <c r="CB48" i="3"/>
  <c r="BY48" i="3"/>
  <c r="BX48" i="3"/>
  <c r="BU48" i="3"/>
  <c r="BT48" i="3"/>
  <c r="BV48" i="3" s="1"/>
  <c r="BQ48" i="3"/>
  <c r="BP48" i="3"/>
  <c r="BR48" i="3" s="1"/>
  <c r="BM48" i="3"/>
  <c r="BL48" i="3"/>
  <c r="BI48" i="3"/>
  <c r="BJ48" i="3" s="1"/>
  <c r="BH48" i="3"/>
  <c r="BE48" i="3"/>
  <c r="BA48" i="3"/>
  <c r="BB48" i="3" s="1"/>
  <c r="AW48" i="3"/>
  <c r="AX48" i="3" s="1"/>
  <c r="AT48" i="3"/>
  <c r="AS48" i="3"/>
  <c r="AO48" i="3"/>
  <c r="AP48" i="3" s="1"/>
  <c r="AK48" i="3"/>
  <c r="AG48" i="3"/>
  <c r="AF48" i="3"/>
  <c r="AC48" i="3"/>
  <c r="AD48" i="3" s="1"/>
  <c r="Y48" i="3"/>
  <c r="Z48" i="3" s="1"/>
  <c r="U48" i="3"/>
  <c r="V48" i="3" s="1"/>
  <c r="Q48" i="3"/>
  <c r="R48" i="3" s="1"/>
  <c r="M48" i="3"/>
  <c r="N48" i="3" s="1"/>
  <c r="I48" i="3"/>
  <c r="E48" i="3"/>
  <c r="F48" i="3" s="1"/>
  <c r="GR47" i="3"/>
  <c r="GH47" i="3"/>
  <c r="GG47" i="3"/>
  <c r="GI47" i="3" s="1"/>
  <c r="GD47" i="3"/>
  <c r="GC47" i="3"/>
  <c r="GE47" i="3" s="1"/>
  <c r="GA47" i="3"/>
  <c r="FZ47" i="3"/>
  <c r="GB47" i="3" s="1"/>
  <c r="FW47" i="3"/>
  <c r="FX47" i="3" s="1"/>
  <c r="FV47" i="3"/>
  <c r="FS47" i="3"/>
  <c r="FR47" i="3"/>
  <c r="FT47" i="3" s="1"/>
  <c r="FP47" i="3"/>
  <c r="FO47" i="3"/>
  <c r="FL47" i="3"/>
  <c r="FK47" i="3"/>
  <c r="FH47" i="3"/>
  <c r="FG47" i="3"/>
  <c r="FD47" i="3"/>
  <c r="FC47" i="3"/>
  <c r="EZ47" i="3"/>
  <c r="EY47" i="3"/>
  <c r="FA47" i="3" s="1"/>
  <c r="EW47" i="3"/>
  <c r="EV47" i="3"/>
  <c r="EU47" i="3"/>
  <c r="ER47" i="3"/>
  <c r="EQ47" i="3"/>
  <c r="EO47" i="3"/>
  <c r="EN47" i="3"/>
  <c r="EK47" i="3"/>
  <c r="EJ47" i="3"/>
  <c r="EL47" i="3" s="1"/>
  <c r="EH47" i="3"/>
  <c r="EG47" i="3"/>
  <c r="EF47" i="3"/>
  <c r="EC47" i="3"/>
  <c r="ED47" i="3" s="1"/>
  <c r="EB47" i="3"/>
  <c r="DY47" i="3"/>
  <c r="DX47" i="3"/>
  <c r="DZ47" i="3" s="1"/>
  <c r="DU47" i="3"/>
  <c r="DT47" i="3"/>
  <c r="DQ47" i="3"/>
  <c r="HN47" i="3" s="1"/>
  <c r="DP47" i="3"/>
  <c r="DM47" i="3"/>
  <c r="DL47" i="3"/>
  <c r="DI47" i="3"/>
  <c r="DH47" i="3"/>
  <c r="DJ47" i="3" s="1"/>
  <c r="DE47" i="3"/>
  <c r="DD47" i="3"/>
  <c r="DA47" i="3"/>
  <c r="CZ47" i="3"/>
  <c r="DB47" i="3" s="1"/>
  <c r="CW47" i="3"/>
  <c r="CV47" i="3"/>
  <c r="CS47" i="3"/>
  <c r="CT47" i="3" s="1"/>
  <c r="CP47" i="3"/>
  <c r="CO47" i="3"/>
  <c r="CN47" i="3"/>
  <c r="CK47" i="3"/>
  <c r="CJ47" i="3"/>
  <c r="CG47" i="3"/>
  <c r="CF47" i="3"/>
  <c r="CH47" i="3" s="1"/>
  <c r="CC47" i="3"/>
  <c r="CB47" i="3"/>
  <c r="CD47" i="3" s="1"/>
  <c r="BY47" i="3"/>
  <c r="BX47" i="3"/>
  <c r="BZ47" i="3" s="1"/>
  <c r="BU47" i="3"/>
  <c r="BV47" i="3" s="1"/>
  <c r="BT47" i="3"/>
  <c r="BQ47" i="3"/>
  <c r="BP47" i="3"/>
  <c r="BR47" i="3" s="1"/>
  <c r="BM47" i="3"/>
  <c r="BL47" i="3"/>
  <c r="BI47" i="3"/>
  <c r="BJ47" i="3" s="1"/>
  <c r="BE47" i="3"/>
  <c r="BF47" i="3" s="1"/>
  <c r="BA47" i="3"/>
  <c r="BB47" i="3" s="1"/>
  <c r="AW47" i="3"/>
  <c r="AX47" i="3" s="1"/>
  <c r="AT47" i="3"/>
  <c r="AS47" i="3"/>
  <c r="AO47" i="3"/>
  <c r="AP47" i="3" s="1"/>
  <c r="AK47" i="3"/>
  <c r="AG47" i="3"/>
  <c r="AF47" i="3"/>
  <c r="AC47" i="3"/>
  <c r="AD47" i="3" s="1"/>
  <c r="Y47" i="3"/>
  <c r="Z47" i="3" s="1"/>
  <c r="U47" i="3"/>
  <c r="V47" i="3" s="1"/>
  <c r="Q47" i="3"/>
  <c r="R47" i="3" s="1"/>
  <c r="M47" i="3"/>
  <c r="N47" i="3" s="1"/>
  <c r="I47" i="3"/>
  <c r="J47" i="3" s="1"/>
  <c r="E47" i="3"/>
  <c r="GR46" i="3"/>
  <c r="GH46" i="3"/>
  <c r="GG46" i="3"/>
  <c r="GI46" i="3" s="1"/>
  <c r="GD46" i="3"/>
  <c r="GC46" i="3"/>
  <c r="GA46" i="3"/>
  <c r="FZ46" i="3"/>
  <c r="FW46" i="3"/>
  <c r="FV46" i="3"/>
  <c r="FS46" i="3"/>
  <c r="FR46" i="3"/>
  <c r="FP46" i="3"/>
  <c r="FO46" i="3"/>
  <c r="FQ46" i="3" s="1"/>
  <c r="FM46" i="3"/>
  <c r="FL46" i="3"/>
  <c r="FK46" i="3"/>
  <c r="FH46" i="3"/>
  <c r="FG46" i="3"/>
  <c r="FD46" i="3"/>
  <c r="FC46" i="3"/>
  <c r="EZ46" i="3"/>
  <c r="EY46" i="3"/>
  <c r="FA46" i="3" s="1"/>
  <c r="EW46" i="3"/>
  <c r="EV46" i="3"/>
  <c r="EU46" i="3"/>
  <c r="ER46" i="3"/>
  <c r="EQ46" i="3"/>
  <c r="EO46" i="3"/>
  <c r="EN46" i="3"/>
  <c r="EK46" i="3"/>
  <c r="EJ46" i="3"/>
  <c r="EG46" i="3"/>
  <c r="EF46" i="3"/>
  <c r="EC46" i="3"/>
  <c r="ED46" i="3" s="1"/>
  <c r="EB46" i="3"/>
  <c r="DY46" i="3"/>
  <c r="DX46" i="3"/>
  <c r="DZ46" i="3" s="1"/>
  <c r="DU46" i="3"/>
  <c r="DT46" i="3"/>
  <c r="DQ46" i="3"/>
  <c r="HN46" i="3" s="1"/>
  <c r="DP46" i="3"/>
  <c r="DM46" i="3"/>
  <c r="DL46" i="3"/>
  <c r="DI46" i="3"/>
  <c r="DH46" i="3"/>
  <c r="DJ46" i="3" s="1"/>
  <c r="DE46" i="3"/>
  <c r="DD46" i="3"/>
  <c r="DF46" i="3" s="1"/>
  <c r="DA46" i="3"/>
  <c r="DB46" i="3" s="1"/>
  <c r="CZ46" i="3"/>
  <c r="CW46" i="3"/>
  <c r="CV46" i="3"/>
  <c r="CS46" i="3"/>
  <c r="CT46" i="3" s="1"/>
  <c r="CO46" i="3"/>
  <c r="CN46" i="3"/>
  <c r="CP46" i="3" s="1"/>
  <c r="CK46" i="3"/>
  <c r="CL46" i="3" s="1"/>
  <c r="CJ46" i="3"/>
  <c r="CG46" i="3"/>
  <c r="CF46" i="3"/>
  <c r="CH46" i="3" s="1"/>
  <c r="CC46" i="3"/>
  <c r="CB46" i="3"/>
  <c r="BY46" i="3"/>
  <c r="BX46" i="3"/>
  <c r="BU46" i="3"/>
  <c r="BT46" i="3"/>
  <c r="BQ46" i="3"/>
  <c r="BP46" i="3"/>
  <c r="BM46" i="3"/>
  <c r="BL46" i="3"/>
  <c r="BN46" i="3" s="1"/>
  <c r="BJ46" i="3"/>
  <c r="BI46" i="3"/>
  <c r="BH46" i="3"/>
  <c r="BE46" i="3"/>
  <c r="BA46" i="3"/>
  <c r="BB46" i="3" s="1"/>
  <c r="AW46" i="3"/>
  <c r="AX46" i="3" s="1"/>
  <c r="AS46" i="3"/>
  <c r="AT46" i="3" s="1"/>
  <c r="AO46" i="3"/>
  <c r="AP46" i="3" s="1"/>
  <c r="AK46" i="3"/>
  <c r="AL46" i="3" s="1"/>
  <c r="AG46" i="3"/>
  <c r="AF46" i="3"/>
  <c r="AC46" i="3"/>
  <c r="AD46" i="3" s="1"/>
  <c r="Z46" i="3"/>
  <c r="Y46" i="3"/>
  <c r="U46" i="3"/>
  <c r="V46" i="3" s="1"/>
  <c r="Q46" i="3"/>
  <c r="R46" i="3" s="1"/>
  <c r="M46" i="3"/>
  <c r="N46" i="3" s="1"/>
  <c r="I46" i="3"/>
  <c r="J46" i="3" s="1"/>
  <c r="E46" i="3"/>
  <c r="GR45" i="3"/>
  <c r="GH45" i="3"/>
  <c r="GG45" i="3"/>
  <c r="GD45" i="3"/>
  <c r="GC45" i="3"/>
  <c r="GE45" i="3" s="1"/>
  <c r="GA45" i="3"/>
  <c r="FZ45" i="3"/>
  <c r="GB45" i="3" s="1"/>
  <c r="FW45" i="3"/>
  <c r="FV45" i="3"/>
  <c r="FX45" i="3" s="1"/>
  <c r="FS45" i="3"/>
  <c r="FT45" i="3" s="1"/>
  <c r="FR45" i="3"/>
  <c r="FP45" i="3"/>
  <c r="FO45" i="3"/>
  <c r="FQ45" i="3" s="1"/>
  <c r="FL45" i="3"/>
  <c r="FK45" i="3"/>
  <c r="FH45" i="3"/>
  <c r="FG45" i="3"/>
  <c r="FD45" i="3"/>
  <c r="FC45" i="3"/>
  <c r="EZ45" i="3"/>
  <c r="EY45" i="3"/>
  <c r="EV45" i="3"/>
  <c r="EU45" i="3"/>
  <c r="EW45" i="3" s="1"/>
  <c r="ES45" i="3"/>
  <c r="ER45" i="3"/>
  <c r="EQ45" i="3"/>
  <c r="EO45" i="3"/>
  <c r="EN45" i="3"/>
  <c r="EK45" i="3"/>
  <c r="EJ45" i="3"/>
  <c r="EG45" i="3"/>
  <c r="EF45" i="3"/>
  <c r="EH45" i="3" s="1"/>
  <c r="ED45" i="3"/>
  <c r="EC45" i="3"/>
  <c r="EB45" i="3"/>
  <c r="DY45" i="3"/>
  <c r="DZ45" i="3" s="1"/>
  <c r="DX45" i="3"/>
  <c r="DU45" i="3"/>
  <c r="DT45" i="3"/>
  <c r="DV45" i="3" s="1"/>
  <c r="DQ45" i="3"/>
  <c r="HN45" i="3" s="1"/>
  <c r="DP45" i="3"/>
  <c r="HM45" i="3" s="1"/>
  <c r="DM45" i="3"/>
  <c r="DL45" i="3"/>
  <c r="DI45" i="3"/>
  <c r="DJ45" i="3" s="1"/>
  <c r="DH45" i="3"/>
  <c r="DE45" i="3"/>
  <c r="DD45" i="3"/>
  <c r="DF45" i="3" s="1"/>
  <c r="DA45" i="3"/>
  <c r="CZ45" i="3"/>
  <c r="CW45" i="3"/>
  <c r="CV45" i="3"/>
  <c r="CX45" i="3" s="1"/>
  <c r="CS45" i="3"/>
  <c r="CT45" i="3" s="1"/>
  <c r="CO45" i="3"/>
  <c r="CN45" i="3"/>
  <c r="CP45" i="3" s="1"/>
  <c r="CL45" i="3"/>
  <c r="CK45" i="3"/>
  <c r="CJ45" i="3"/>
  <c r="CG45" i="3"/>
  <c r="CF45" i="3"/>
  <c r="CC45" i="3"/>
  <c r="CB45" i="3"/>
  <c r="CD45" i="3" s="1"/>
  <c r="BY45" i="3"/>
  <c r="BX45" i="3"/>
  <c r="BZ45" i="3" s="1"/>
  <c r="BU45" i="3"/>
  <c r="BT45" i="3"/>
  <c r="BQ45" i="3"/>
  <c r="BR45" i="3" s="1"/>
  <c r="BP45" i="3"/>
  <c r="BM45" i="3"/>
  <c r="BL45" i="3"/>
  <c r="BI45" i="3"/>
  <c r="BH45" i="3"/>
  <c r="BE45" i="3"/>
  <c r="BA45" i="3"/>
  <c r="BB45" i="3" s="1"/>
  <c r="AW45" i="3"/>
  <c r="AX45" i="3" s="1"/>
  <c r="AS45" i="3"/>
  <c r="AT45" i="3" s="1"/>
  <c r="AP45" i="3"/>
  <c r="AO45" i="3"/>
  <c r="AK45" i="3"/>
  <c r="AL45" i="3" s="1"/>
  <c r="AG45" i="3"/>
  <c r="AH45" i="3" s="1"/>
  <c r="AF45" i="3"/>
  <c r="AC45" i="3"/>
  <c r="AD45" i="3" s="1"/>
  <c r="Y45" i="3"/>
  <c r="Z45" i="3" s="1"/>
  <c r="U45" i="3"/>
  <c r="V45" i="3" s="1"/>
  <c r="Q45" i="3"/>
  <c r="R45" i="3" s="1"/>
  <c r="M45" i="3"/>
  <c r="N45" i="3" s="1"/>
  <c r="I45" i="3"/>
  <c r="J45" i="3" s="1"/>
  <c r="E45" i="3"/>
  <c r="GR44" i="3"/>
  <c r="GH44" i="3"/>
  <c r="GG44" i="3"/>
  <c r="GI44" i="3" s="1"/>
  <c r="GD44" i="3"/>
  <c r="GC44" i="3"/>
  <c r="GA44" i="3"/>
  <c r="FZ44" i="3"/>
  <c r="GB44" i="3" s="1"/>
  <c r="FW44" i="3"/>
  <c r="FV44" i="3"/>
  <c r="FX44" i="3" s="1"/>
  <c r="FS44" i="3"/>
  <c r="FT44" i="3" s="1"/>
  <c r="FR44" i="3"/>
  <c r="FP44" i="3"/>
  <c r="FO44" i="3"/>
  <c r="FL44" i="3"/>
  <c r="FK44" i="3"/>
  <c r="FH44" i="3"/>
  <c r="FG44" i="3"/>
  <c r="FI44" i="3" s="1"/>
  <c r="FE44" i="3"/>
  <c r="FD44" i="3"/>
  <c r="FC44" i="3"/>
  <c r="EZ44" i="3"/>
  <c r="EY44" i="3"/>
  <c r="EV44" i="3"/>
  <c r="EU44" i="3"/>
  <c r="EW44" i="3" s="1"/>
  <c r="ER44" i="3"/>
  <c r="EQ44" i="3"/>
  <c r="HI44" i="3" s="1"/>
  <c r="EO44" i="3"/>
  <c r="EN44" i="3"/>
  <c r="EK44" i="3"/>
  <c r="EL44" i="3" s="1"/>
  <c r="EJ44" i="3"/>
  <c r="EG44" i="3"/>
  <c r="EF44" i="3"/>
  <c r="EH44" i="3" s="1"/>
  <c r="EC44" i="3"/>
  <c r="EB44" i="3"/>
  <c r="DY44" i="3"/>
  <c r="DX44" i="3"/>
  <c r="DU44" i="3"/>
  <c r="DT44" i="3"/>
  <c r="DQ44" i="3"/>
  <c r="HN44" i="3" s="1"/>
  <c r="DP44" i="3"/>
  <c r="DM44" i="3"/>
  <c r="DL44" i="3"/>
  <c r="DN44" i="3" s="1"/>
  <c r="DJ44" i="3"/>
  <c r="DI44" i="3"/>
  <c r="DH44" i="3"/>
  <c r="DE44" i="3"/>
  <c r="DD44" i="3"/>
  <c r="DA44" i="3"/>
  <c r="CZ44" i="3"/>
  <c r="CW44" i="3"/>
  <c r="CV44" i="3"/>
  <c r="CX44" i="3" s="1"/>
  <c r="CT44" i="3"/>
  <c r="CS44" i="3"/>
  <c r="CO44" i="3"/>
  <c r="CN44" i="3"/>
  <c r="CP44" i="3" s="1"/>
  <c r="CK44" i="3"/>
  <c r="CJ44" i="3"/>
  <c r="CG44" i="3"/>
  <c r="CF44" i="3"/>
  <c r="CH44" i="3" s="1"/>
  <c r="CC44" i="3"/>
  <c r="CB44" i="3"/>
  <c r="BY44" i="3"/>
  <c r="BX44" i="3"/>
  <c r="BZ44" i="3" s="1"/>
  <c r="BU44" i="3"/>
  <c r="BT44" i="3"/>
  <c r="BV44" i="3" s="1"/>
  <c r="BQ44" i="3"/>
  <c r="BR44" i="3" s="1"/>
  <c r="BP44" i="3"/>
  <c r="BM44" i="3"/>
  <c r="BL44" i="3"/>
  <c r="BI44" i="3"/>
  <c r="BH44" i="3"/>
  <c r="BE44" i="3"/>
  <c r="BA44" i="3"/>
  <c r="BB44" i="3" s="1"/>
  <c r="AW44" i="3"/>
  <c r="AX44" i="3" s="1"/>
  <c r="AS44" i="3"/>
  <c r="AT44" i="3" s="1"/>
  <c r="AO44" i="3"/>
  <c r="AP44" i="3" s="1"/>
  <c r="AK44" i="3"/>
  <c r="AL44" i="3" s="1"/>
  <c r="AG44" i="3"/>
  <c r="AF44" i="3"/>
  <c r="AC44" i="3"/>
  <c r="AD44" i="3" s="1"/>
  <c r="Y44" i="3"/>
  <c r="Z44" i="3" s="1"/>
  <c r="U44" i="3"/>
  <c r="V44" i="3" s="1"/>
  <c r="Q44" i="3"/>
  <c r="R44" i="3" s="1"/>
  <c r="N44" i="3"/>
  <c r="M44" i="3"/>
  <c r="I44" i="3"/>
  <c r="J44" i="3" s="1"/>
  <c r="F44" i="3"/>
  <c r="E44" i="3"/>
  <c r="GR43" i="3"/>
  <c r="GH43" i="3"/>
  <c r="GG43" i="3"/>
  <c r="GD43" i="3"/>
  <c r="GC43" i="3"/>
  <c r="GE43" i="3" s="1"/>
  <c r="GA43" i="3"/>
  <c r="FZ43" i="3"/>
  <c r="FW43" i="3"/>
  <c r="FV43" i="3"/>
  <c r="FX43" i="3" s="1"/>
  <c r="FS43" i="3"/>
  <c r="FR43" i="3"/>
  <c r="FT43" i="3" s="1"/>
  <c r="FP43" i="3"/>
  <c r="FQ43" i="3" s="1"/>
  <c r="FO43" i="3"/>
  <c r="FL43" i="3"/>
  <c r="FK43" i="3"/>
  <c r="FH43" i="3"/>
  <c r="FG43" i="3"/>
  <c r="FD43" i="3"/>
  <c r="FC43" i="3"/>
  <c r="FE43" i="3" s="1"/>
  <c r="FA43" i="3"/>
  <c r="EZ43" i="3"/>
  <c r="EY43" i="3"/>
  <c r="EV43" i="3"/>
  <c r="EU43" i="3"/>
  <c r="ER43" i="3"/>
  <c r="HJ43" i="3" s="1"/>
  <c r="EQ43" i="3"/>
  <c r="EO43" i="3"/>
  <c r="EN43" i="3"/>
  <c r="EK43" i="3"/>
  <c r="EJ43" i="3"/>
  <c r="EL43" i="3" s="1"/>
  <c r="EG43" i="3"/>
  <c r="EH43" i="3" s="1"/>
  <c r="EF43" i="3"/>
  <c r="EC43" i="3"/>
  <c r="EB43" i="3"/>
  <c r="ED43" i="3" s="1"/>
  <c r="DY43" i="3"/>
  <c r="DX43" i="3"/>
  <c r="DU43" i="3"/>
  <c r="DT43" i="3"/>
  <c r="DQ43" i="3"/>
  <c r="DP43" i="3"/>
  <c r="HM43" i="3" s="1"/>
  <c r="DM43" i="3"/>
  <c r="DL43" i="3"/>
  <c r="DI43" i="3"/>
  <c r="DH43" i="3"/>
  <c r="DJ43" i="3" s="1"/>
  <c r="DF43" i="3"/>
  <c r="DE43" i="3"/>
  <c r="DD43" i="3"/>
  <c r="DA43" i="3"/>
  <c r="CZ43" i="3"/>
  <c r="CW43" i="3"/>
  <c r="CV43" i="3"/>
  <c r="CS43" i="3"/>
  <c r="CT43" i="3" s="1"/>
  <c r="CO43" i="3"/>
  <c r="CP43" i="3" s="1"/>
  <c r="CN43" i="3"/>
  <c r="CK43" i="3"/>
  <c r="CJ43" i="3"/>
  <c r="CL43" i="3" s="1"/>
  <c r="CG43" i="3"/>
  <c r="CF43" i="3"/>
  <c r="CC43" i="3"/>
  <c r="CB43" i="3"/>
  <c r="CD43" i="3" s="1"/>
  <c r="BY43" i="3"/>
  <c r="BZ43" i="3" s="1"/>
  <c r="BX43" i="3"/>
  <c r="BU43" i="3"/>
  <c r="BT43" i="3"/>
  <c r="BV43" i="3" s="1"/>
  <c r="BQ43" i="3"/>
  <c r="BP43" i="3"/>
  <c r="BM43" i="3"/>
  <c r="BL43" i="3"/>
  <c r="BN43" i="3" s="1"/>
  <c r="BI43" i="3"/>
  <c r="BH43" i="3"/>
  <c r="BE43" i="3"/>
  <c r="BB43" i="3"/>
  <c r="BA43" i="3"/>
  <c r="AW43" i="3"/>
  <c r="AX43" i="3" s="1"/>
  <c r="AS43" i="3"/>
  <c r="AT43" i="3" s="1"/>
  <c r="AO43" i="3"/>
  <c r="AP43" i="3" s="1"/>
  <c r="AK43" i="3"/>
  <c r="AG43" i="3"/>
  <c r="AF43" i="3"/>
  <c r="AC43" i="3"/>
  <c r="AD43" i="3" s="1"/>
  <c r="Y43" i="3"/>
  <c r="Z43" i="3" s="1"/>
  <c r="U43" i="3"/>
  <c r="V43" i="3" s="1"/>
  <c r="Q43" i="3"/>
  <c r="M43" i="3"/>
  <c r="N43" i="3" s="1"/>
  <c r="I43" i="3"/>
  <c r="J43" i="3" s="1"/>
  <c r="E43" i="3"/>
  <c r="F43" i="3" s="1"/>
  <c r="GR42" i="3"/>
  <c r="GH42" i="3"/>
  <c r="GG42" i="3"/>
  <c r="GD42" i="3"/>
  <c r="GC42" i="3"/>
  <c r="GE42" i="3" s="1"/>
  <c r="GB42" i="3"/>
  <c r="GA42" i="3"/>
  <c r="FZ42" i="3"/>
  <c r="FW42" i="3"/>
  <c r="FV42" i="3"/>
  <c r="FX42" i="3" s="1"/>
  <c r="FS42" i="3"/>
  <c r="FR42" i="3"/>
  <c r="FT42" i="3" s="1"/>
  <c r="FP42" i="3"/>
  <c r="FQ42" i="3" s="1"/>
  <c r="FO42" i="3"/>
  <c r="FL42" i="3"/>
  <c r="FK42" i="3"/>
  <c r="FM42" i="3" s="1"/>
  <c r="FH42" i="3"/>
  <c r="FG42" i="3"/>
  <c r="FD42" i="3"/>
  <c r="FC42" i="3"/>
  <c r="FE42" i="3" s="1"/>
  <c r="EZ42" i="3"/>
  <c r="EY42" i="3"/>
  <c r="FA42" i="3" s="1"/>
  <c r="EW42" i="3"/>
  <c r="EV42" i="3"/>
  <c r="EU42" i="3"/>
  <c r="ER42" i="3"/>
  <c r="HJ42" i="3" s="1"/>
  <c r="EQ42" i="3"/>
  <c r="EO42" i="3"/>
  <c r="HR42" i="3" s="1"/>
  <c r="EN42" i="3"/>
  <c r="EL42" i="3"/>
  <c r="EK42" i="3"/>
  <c r="EJ42" i="3"/>
  <c r="EG42" i="3"/>
  <c r="EF42" i="3"/>
  <c r="EC42" i="3"/>
  <c r="EB42" i="3"/>
  <c r="DY42" i="3"/>
  <c r="DX42" i="3"/>
  <c r="DU42" i="3"/>
  <c r="DT42" i="3"/>
  <c r="DV42" i="3" s="1"/>
  <c r="DR42" i="3"/>
  <c r="DQ42" i="3"/>
  <c r="HN42" i="3" s="1"/>
  <c r="DP42" i="3"/>
  <c r="HM42" i="3" s="1"/>
  <c r="DM42" i="3"/>
  <c r="DL42" i="3"/>
  <c r="HE42" i="3" s="1"/>
  <c r="DI42" i="3"/>
  <c r="DH42" i="3"/>
  <c r="DJ42" i="3" s="1"/>
  <c r="DE42" i="3"/>
  <c r="DF42" i="3" s="1"/>
  <c r="DD42" i="3"/>
  <c r="DA42" i="3"/>
  <c r="CZ42" i="3"/>
  <c r="DB42" i="3" s="1"/>
  <c r="CW42" i="3"/>
  <c r="CV42" i="3"/>
  <c r="CS42" i="3"/>
  <c r="CT42" i="3" s="1"/>
  <c r="CP42" i="3"/>
  <c r="CO42" i="3"/>
  <c r="CN42" i="3"/>
  <c r="CK42" i="3"/>
  <c r="CJ42" i="3"/>
  <c r="CL42" i="3" s="1"/>
  <c r="CG42" i="3"/>
  <c r="CF42" i="3"/>
  <c r="CH42" i="3" s="1"/>
  <c r="CC42" i="3"/>
  <c r="CD42" i="3" s="1"/>
  <c r="CB42" i="3"/>
  <c r="BY42" i="3"/>
  <c r="BX42" i="3"/>
  <c r="BU42" i="3"/>
  <c r="BT42" i="3"/>
  <c r="BQ42" i="3"/>
  <c r="BP42" i="3"/>
  <c r="BM42" i="3"/>
  <c r="BL42" i="3"/>
  <c r="BN42" i="3" s="1"/>
  <c r="BJ42" i="3"/>
  <c r="BI42" i="3"/>
  <c r="BH42" i="3"/>
  <c r="BE42" i="3"/>
  <c r="BB42" i="3"/>
  <c r="BA42" i="3"/>
  <c r="AW42" i="3"/>
  <c r="AX42" i="3" s="1"/>
  <c r="AT42" i="3"/>
  <c r="AS42" i="3"/>
  <c r="AO42" i="3"/>
  <c r="AP42" i="3" s="1"/>
  <c r="AK42" i="3"/>
  <c r="AG42" i="3"/>
  <c r="GL42" i="3" s="1"/>
  <c r="AF42" i="3"/>
  <c r="AC42" i="3"/>
  <c r="AD42" i="3" s="1"/>
  <c r="Y42" i="3"/>
  <c r="Z42" i="3" s="1"/>
  <c r="U42" i="3"/>
  <c r="V42" i="3" s="1"/>
  <c r="Q42" i="3"/>
  <c r="R42" i="3" s="1"/>
  <c r="M42" i="3"/>
  <c r="N42" i="3" s="1"/>
  <c r="I42" i="3"/>
  <c r="J42" i="3" s="1"/>
  <c r="E42" i="3"/>
  <c r="GR41" i="3"/>
  <c r="GH41" i="3"/>
  <c r="GG41" i="3"/>
  <c r="GD41" i="3"/>
  <c r="GC41" i="3"/>
  <c r="GE41" i="3" s="1"/>
  <c r="GB41" i="3"/>
  <c r="GA41" i="3"/>
  <c r="FZ41" i="3"/>
  <c r="FW41" i="3"/>
  <c r="FX41" i="3" s="1"/>
  <c r="FV41" i="3"/>
  <c r="FS41" i="3"/>
  <c r="FR41" i="3"/>
  <c r="FP41" i="3"/>
  <c r="FO41" i="3"/>
  <c r="FL41" i="3"/>
  <c r="FK41" i="3"/>
  <c r="FM41" i="3" s="1"/>
  <c r="FH41" i="3"/>
  <c r="FG41" i="3"/>
  <c r="FI41" i="3" s="1"/>
  <c r="FD41" i="3"/>
  <c r="FC41" i="3"/>
  <c r="EZ41" i="3"/>
  <c r="EY41" i="3"/>
  <c r="FA41" i="3" s="1"/>
  <c r="EW41" i="3"/>
  <c r="EV41" i="3"/>
  <c r="EU41" i="3"/>
  <c r="ES41" i="3"/>
  <c r="ER41" i="3"/>
  <c r="EQ41" i="3"/>
  <c r="EO41" i="3"/>
  <c r="EN41" i="3"/>
  <c r="EK41" i="3"/>
  <c r="EJ41" i="3"/>
  <c r="EG41" i="3"/>
  <c r="EF41" i="3"/>
  <c r="EC41" i="3"/>
  <c r="EB41" i="3"/>
  <c r="ED41" i="3" s="1"/>
  <c r="DY41" i="3"/>
  <c r="DX41" i="3"/>
  <c r="DU41" i="3"/>
  <c r="DT41" i="3"/>
  <c r="DV41" i="3" s="1"/>
  <c r="DR41" i="3"/>
  <c r="DQ41" i="3"/>
  <c r="HN41" i="3" s="1"/>
  <c r="DP41" i="3"/>
  <c r="HM41" i="3" s="1"/>
  <c r="DM41" i="3"/>
  <c r="DL41" i="3"/>
  <c r="DI41" i="3"/>
  <c r="DH41" i="3"/>
  <c r="DE41" i="3"/>
  <c r="DD41" i="3"/>
  <c r="DA41" i="3"/>
  <c r="CZ41" i="3"/>
  <c r="DB41" i="3" s="1"/>
  <c r="CW41" i="3"/>
  <c r="CV41" i="3"/>
  <c r="CX41" i="3" s="1"/>
  <c r="CS41" i="3"/>
  <c r="CT41" i="3" s="1"/>
  <c r="CO41" i="3"/>
  <c r="CN41" i="3"/>
  <c r="CP41" i="3" s="1"/>
  <c r="CL41" i="3"/>
  <c r="CK41" i="3"/>
  <c r="CJ41" i="3"/>
  <c r="CG41" i="3"/>
  <c r="CF41" i="3"/>
  <c r="CC41" i="3"/>
  <c r="CB41" i="3"/>
  <c r="CD41" i="3" s="1"/>
  <c r="BZ41" i="3"/>
  <c r="BY41" i="3"/>
  <c r="BX41" i="3"/>
  <c r="BU41" i="3"/>
  <c r="BT41" i="3"/>
  <c r="BV41" i="3" s="1"/>
  <c r="BQ41" i="3"/>
  <c r="BP41" i="3"/>
  <c r="BM41" i="3"/>
  <c r="BL41" i="3"/>
  <c r="BI41" i="3"/>
  <c r="BH41" i="3"/>
  <c r="BJ41" i="3" s="1"/>
  <c r="BF41" i="3"/>
  <c r="BE41" i="3"/>
  <c r="BA41" i="3"/>
  <c r="BB41" i="3" s="1"/>
  <c r="AW41" i="3"/>
  <c r="AX41" i="3" s="1"/>
  <c r="AS41" i="3"/>
  <c r="AT41" i="3" s="1"/>
  <c r="AP41" i="3"/>
  <c r="AO41" i="3"/>
  <c r="AK41" i="3"/>
  <c r="GS41" i="3" s="1"/>
  <c r="AH41" i="3"/>
  <c r="AG41" i="3"/>
  <c r="AF41" i="3"/>
  <c r="AC41" i="3"/>
  <c r="AD41" i="3" s="1"/>
  <c r="Z41" i="3"/>
  <c r="Y41" i="3"/>
  <c r="U41" i="3"/>
  <c r="V41" i="3" s="1"/>
  <c r="Q41" i="3"/>
  <c r="R41" i="3" s="1"/>
  <c r="M41" i="3"/>
  <c r="N41" i="3" s="1"/>
  <c r="I41" i="3"/>
  <c r="J41" i="3" s="1"/>
  <c r="E41" i="3"/>
  <c r="GR40" i="3"/>
  <c r="GI40" i="3"/>
  <c r="GH40" i="3"/>
  <c r="GG40" i="3"/>
  <c r="GD40" i="3"/>
  <c r="GC40" i="3"/>
  <c r="GA40" i="3"/>
  <c r="FZ40" i="3"/>
  <c r="GB40" i="3" s="1"/>
  <c r="FX40" i="3"/>
  <c r="FW40" i="3"/>
  <c r="FV40" i="3"/>
  <c r="FS40" i="3"/>
  <c r="FR40" i="3"/>
  <c r="FT40" i="3" s="1"/>
  <c r="FP40" i="3"/>
  <c r="FO40" i="3"/>
  <c r="FQ40" i="3" s="1"/>
  <c r="FL40" i="3"/>
  <c r="FK40" i="3"/>
  <c r="FM40" i="3" s="1"/>
  <c r="FH40" i="3"/>
  <c r="FG40" i="3"/>
  <c r="FI40" i="3" s="1"/>
  <c r="FE40" i="3"/>
  <c r="FD40" i="3"/>
  <c r="FC40" i="3"/>
  <c r="EZ40" i="3"/>
  <c r="EY40" i="3"/>
  <c r="EV40" i="3"/>
  <c r="EU40" i="3"/>
  <c r="EW40" i="3" s="1"/>
  <c r="ER40" i="3"/>
  <c r="ES40" i="3" s="1"/>
  <c r="EQ40" i="3"/>
  <c r="EO40" i="3"/>
  <c r="EN40" i="3"/>
  <c r="EK40" i="3"/>
  <c r="EJ40" i="3"/>
  <c r="EL40" i="3" s="1"/>
  <c r="EG40" i="3"/>
  <c r="EF40" i="3"/>
  <c r="EC40" i="3"/>
  <c r="EB40" i="3"/>
  <c r="ED40" i="3" s="1"/>
  <c r="DZ40" i="3"/>
  <c r="DY40" i="3"/>
  <c r="DX40" i="3"/>
  <c r="DU40" i="3"/>
  <c r="DT40" i="3"/>
  <c r="DQ40" i="3"/>
  <c r="HN40" i="3" s="1"/>
  <c r="DP40" i="3"/>
  <c r="DN40" i="3"/>
  <c r="DM40" i="3"/>
  <c r="HF40" i="3" s="1"/>
  <c r="DL40" i="3"/>
  <c r="HE40" i="3" s="1"/>
  <c r="DI40" i="3"/>
  <c r="DH40" i="3"/>
  <c r="DJ40" i="3" s="1"/>
  <c r="DE40" i="3"/>
  <c r="DD40" i="3"/>
  <c r="DF40" i="3" s="1"/>
  <c r="DA40" i="3"/>
  <c r="CZ40" i="3"/>
  <c r="DB40" i="3" s="1"/>
  <c r="CW40" i="3"/>
  <c r="CV40" i="3"/>
  <c r="CX40" i="3" s="1"/>
  <c r="CT40" i="3"/>
  <c r="CS40" i="3"/>
  <c r="CO40" i="3"/>
  <c r="CN40" i="3"/>
  <c r="CP40" i="3" s="1"/>
  <c r="CL40" i="3"/>
  <c r="CK40" i="3"/>
  <c r="CJ40" i="3"/>
  <c r="CG40" i="3"/>
  <c r="CH40" i="3" s="1"/>
  <c r="CF40" i="3"/>
  <c r="CC40" i="3"/>
  <c r="CB40" i="3"/>
  <c r="BY40" i="3"/>
  <c r="BX40" i="3"/>
  <c r="BU40" i="3"/>
  <c r="BT40" i="3"/>
  <c r="BQ40" i="3"/>
  <c r="BP40" i="3"/>
  <c r="BR40" i="3" s="1"/>
  <c r="BM40" i="3"/>
  <c r="BL40" i="3"/>
  <c r="BI40" i="3"/>
  <c r="BH40" i="3"/>
  <c r="BJ40" i="3" s="1"/>
  <c r="BF40" i="3"/>
  <c r="BE40" i="3"/>
  <c r="BA40" i="3"/>
  <c r="BB40" i="3" s="1"/>
  <c r="AX40" i="3"/>
  <c r="AW40" i="3"/>
  <c r="AS40" i="3"/>
  <c r="AT40" i="3" s="1"/>
  <c r="AO40" i="3"/>
  <c r="AP40" i="3" s="1"/>
  <c r="AK40" i="3"/>
  <c r="AG40" i="3"/>
  <c r="AF40" i="3"/>
  <c r="AH40" i="3" s="1"/>
  <c r="AD40" i="3"/>
  <c r="AC40" i="3"/>
  <c r="Y40" i="3"/>
  <c r="Z40" i="3" s="1"/>
  <c r="U40" i="3"/>
  <c r="V40" i="3" s="1"/>
  <c r="Q40" i="3"/>
  <c r="R40" i="3" s="1"/>
  <c r="M40" i="3"/>
  <c r="N40" i="3" s="1"/>
  <c r="I40" i="3"/>
  <c r="J40" i="3" s="1"/>
  <c r="E40" i="3"/>
  <c r="GR39" i="3"/>
  <c r="GT39" i="3" s="1"/>
  <c r="GH39" i="3"/>
  <c r="GI39" i="3" s="1"/>
  <c r="GG39" i="3"/>
  <c r="GD39" i="3"/>
  <c r="GC39" i="3"/>
  <c r="GE39" i="3" s="1"/>
  <c r="GA39" i="3"/>
  <c r="FZ39" i="3"/>
  <c r="GB39" i="3" s="1"/>
  <c r="FW39" i="3"/>
  <c r="FV39" i="3"/>
  <c r="FX39" i="3" s="1"/>
  <c r="FS39" i="3"/>
  <c r="FR39" i="3"/>
  <c r="FT39" i="3" s="1"/>
  <c r="FQ39" i="3"/>
  <c r="FP39" i="3"/>
  <c r="FO39" i="3"/>
  <c r="FL39" i="3"/>
  <c r="FK39" i="3"/>
  <c r="FH39" i="3"/>
  <c r="FG39" i="3"/>
  <c r="FI39" i="3" s="1"/>
  <c r="FE39" i="3"/>
  <c r="FD39" i="3"/>
  <c r="FC39" i="3"/>
  <c r="FA39" i="3"/>
  <c r="EZ39" i="3"/>
  <c r="EY39" i="3"/>
  <c r="EV39" i="3"/>
  <c r="EU39" i="3"/>
  <c r="EW39" i="3" s="1"/>
  <c r="ER39" i="3"/>
  <c r="HJ39" i="3" s="1"/>
  <c r="EQ39" i="3"/>
  <c r="EO39" i="3"/>
  <c r="EN39" i="3"/>
  <c r="EP39" i="3" s="1"/>
  <c r="EL39" i="3"/>
  <c r="EK39" i="3"/>
  <c r="EJ39" i="3"/>
  <c r="EG39" i="3"/>
  <c r="EF39" i="3"/>
  <c r="EC39" i="3"/>
  <c r="EB39" i="3"/>
  <c r="ED39" i="3" s="1"/>
  <c r="DZ39" i="3"/>
  <c r="DY39" i="3"/>
  <c r="DX39" i="3"/>
  <c r="DU39" i="3"/>
  <c r="DT39" i="3"/>
  <c r="DQ39" i="3"/>
  <c r="HN39" i="3" s="1"/>
  <c r="DP39" i="3"/>
  <c r="HM39" i="3" s="1"/>
  <c r="HO39" i="3" s="1"/>
  <c r="DM39" i="3"/>
  <c r="DL39" i="3"/>
  <c r="DI39" i="3"/>
  <c r="DH39" i="3"/>
  <c r="DJ39" i="3" s="1"/>
  <c r="DF39" i="3"/>
  <c r="DE39" i="3"/>
  <c r="DD39" i="3"/>
  <c r="DA39" i="3"/>
  <c r="CZ39" i="3"/>
  <c r="CW39" i="3"/>
  <c r="CV39" i="3"/>
  <c r="CX39" i="3" s="1"/>
  <c r="CS39" i="3"/>
  <c r="CT39" i="3" s="1"/>
  <c r="CO39" i="3"/>
  <c r="CN39" i="3"/>
  <c r="CP39" i="3" s="1"/>
  <c r="CK39" i="3"/>
  <c r="CJ39" i="3"/>
  <c r="CL39" i="3" s="1"/>
  <c r="CG39" i="3"/>
  <c r="CF39" i="3"/>
  <c r="CC39" i="3"/>
  <c r="CB39" i="3"/>
  <c r="CD39" i="3" s="1"/>
  <c r="BY39" i="3"/>
  <c r="BX39" i="3"/>
  <c r="BU39" i="3"/>
  <c r="BT39" i="3"/>
  <c r="BV39" i="3" s="1"/>
  <c r="BQ39" i="3"/>
  <c r="BR39" i="3" s="1"/>
  <c r="BP39" i="3"/>
  <c r="BN39" i="3"/>
  <c r="BM39" i="3"/>
  <c r="BI39" i="3"/>
  <c r="BJ39" i="3" s="1"/>
  <c r="BE39" i="3"/>
  <c r="BA39" i="3"/>
  <c r="BB39" i="3" s="1"/>
  <c r="AX39" i="3"/>
  <c r="AW39" i="3"/>
  <c r="AS39" i="3"/>
  <c r="AT39" i="3" s="1"/>
  <c r="AP39" i="3"/>
  <c r="AO39" i="3"/>
  <c r="AK39" i="3"/>
  <c r="GS39" i="3" s="1"/>
  <c r="AH39" i="3"/>
  <c r="AG39" i="3"/>
  <c r="AF39" i="3"/>
  <c r="AC39" i="3"/>
  <c r="AD39" i="3" s="1"/>
  <c r="Z39" i="3"/>
  <c r="Y39" i="3"/>
  <c r="U39" i="3"/>
  <c r="V39" i="3" s="1"/>
  <c r="Q39" i="3"/>
  <c r="R39" i="3" s="1"/>
  <c r="M39" i="3"/>
  <c r="N39" i="3" s="1"/>
  <c r="J39" i="3"/>
  <c r="I39" i="3"/>
  <c r="E39" i="3"/>
  <c r="GS38" i="3"/>
  <c r="GR38" i="3"/>
  <c r="GH38" i="3"/>
  <c r="GG38" i="3"/>
  <c r="GI38" i="3" s="1"/>
  <c r="GD38" i="3"/>
  <c r="GC38" i="3"/>
  <c r="GA38" i="3"/>
  <c r="FZ38" i="3"/>
  <c r="GB38" i="3" s="1"/>
  <c r="FX38" i="3"/>
  <c r="FW38" i="3"/>
  <c r="FV38" i="3"/>
  <c r="FS38" i="3"/>
  <c r="FT38" i="3" s="1"/>
  <c r="FR38" i="3"/>
  <c r="FP38" i="3"/>
  <c r="FO38" i="3"/>
  <c r="FL38" i="3"/>
  <c r="FK38" i="3"/>
  <c r="FH38" i="3"/>
  <c r="FG38" i="3"/>
  <c r="FI38" i="3" s="1"/>
  <c r="FD38" i="3"/>
  <c r="FC38" i="3"/>
  <c r="EZ38" i="3"/>
  <c r="EY38" i="3"/>
  <c r="EV38" i="3"/>
  <c r="EU38" i="3"/>
  <c r="ER38" i="3"/>
  <c r="EQ38" i="3"/>
  <c r="ES38" i="3" s="1"/>
  <c r="EO38" i="3"/>
  <c r="EN38" i="3"/>
  <c r="HQ38" i="3" s="1"/>
  <c r="EK38" i="3"/>
  <c r="EJ38" i="3"/>
  <c r="EG38" i="3"/>
  <c r="EF38" i="3"/>
  <c r="ED38" i="3"/>
  <c r="EC38" i="3"/>
  <c r="EB38" i="3"/>
  <c r="DY38" i="3"/>
  <c r="DX38" i="3"/>
  <c r="DU38" i="3"/>
  <c r="DT38" i="3"/>
  <c r="DQ38" i="3"/>
  <c r="HN38" i="3" s="1"/>
  <c r="DP38" i="3"/>
  <c r="DM38" i="3"/>
  <c r="DL38" i="3"/>
  <c r="DN38" i="3" s="1"/>
  <c r="DJ38" i="3"/>
  <c r="DI38" i="3"/>
  <c r="DH38" i="3"/>
  <c r="DE38" i="3"/>
  <c r="DD38" i="3"/>
  <c r="DA38" i="3"/>
  <c r="CZ38" i="3"/>
  <c r="CX38" i="3"/>
  <c r="CW38" i="3"/>
  <c r="CV38" i="3"/>
  <c r="CS38" i="3"/>
  <c r="CT38" i="3" s="1"/>
  <c r="CO38" i="3"/>
  <c r="CN38" i="3"/>
  <c r="CK38" i="3"/>
  <c r="CJ38" i="3"/>
  <c r="CL38" i="3" s="1"/>
  <c r="CH38" i="3"/>
  <c r="CG38" i="3"/>
  <c r="CF38" i="3"/>
  <c r="CC38" i="3"/>
  <c r="CB38" i="3"/>
  <c r="CD38" i="3" s="1"/>
  <c r="BY38" i="3"/>
  <c r="BX38" i="3"/>
  <c r="BU38" i="3"/>
  <c r="BV38" i="3" s="1"/>
  <c r="BT38" i="3"/>
  <c r="BQ38" i="3"/>
  <c r="BP38" i="3"/>
  <c r="BR38" i="3" s="1"/>
  <c r="BM38" i="3"/>
  <c r="BN38" i="3" s="1"/>
  <c r="BI38" i="3"/>
  <c r="BH38" i="3"/>
  <c r="BJ38" i="3" s="1"/>
  <c r="BE38" i="3"/>
  <c r="BF38" i="3" s="1"/>
  <c r="BA38" i="3"/>
  <c r="BB38" i="3" s="1"/>
  <c r="AX38" i="3"/>
  <c r="AW38" i="3"/>
  <c r="AS38" i="3"/>
  <c r="AT38" i="3" s="1"/>
  <c r="AO38" i="3"/>
  <c r="AP38" i="3" s="1"/>
  <c r="AK38" i="3"/>
  <c r="AL38" i="3" s="1"/>
  <c r="AH38" i="3"/>
  <c r="AG38" i="3"/>
  <c r="AF38" i="3"/>
  <c r="AC38" i="3"/>
  <c r="AD38" i="3" s="1"/>
  <c r="Z38" i="3"/>
  <c r="Y38" i="3"/>
  <c r="U38" i="3"/>
  <c r="V38" i="3" s="1"/>
  <c r="Q38" i="3"/>
  <c r="R38" i="3" s="1"/>
  <c r="M38" i="3"/>
  <c r="N38" i="3" s="1"/>
  <c r="J38" i="3"/>
  <c r="I38" i="3"/>
  <c r="E38" i="3"/>
  <c r="GR37" i="3"/>
  <c r="GH37" i="3"/>
  <c r="GG37" i="3"/>
  <c r="GI37" i="3" s="1"/>
  <c r="GD37" i="3"/>
  <c r="GC37" i="3"/>
  <c r="GA37" i="3"/>
  <c r="FZ37" i="3"/>
  <c r="GB37" i="3" s="1"/>
  <c r="FX37" i="3"/>
  <c r="FW37" i="3"/>
  <c r="FV37" i="3"/>
  <c r="FT37" i="3"/>
  <c r="FS37" i="3"/>
  <c r="FR37" i="3"/>
  <c r="FP37" i="3"/>
  <c r="FO37" i="3"/>
  <c r="FQ37" i="3" s="1"/>
  <c r="FL37" i="3"/>
  <c r="FK37" i="3"/>
  <c r="FH37" i="3"/>
  <c r="FG37" i="3"/>
  <c r="FI37" i="3" s="1"/>
  <c r="FD37" i="3"/>
  <c r="FC37" i="3"/>
  <c r="FE37" i="3" s="1"/>
  <c r="EZ37" i="3"/>
  <c r="HJ37" i="3" s="1"/>
  <c r="EY37" i="3"/>
  <c r="EV37" i="3"/>
  <c r="EU37" i="3"/>
  <c r="EW37" i="3" s="1"/>
  <c r="ES37" i="3"/>
  <c r="ER37" i="3"/>
  <c r="EQ37" i="3"/>
  <c r="EO37" i="3"/>
  <c r="EN37" i="3"/>
  <c r="HQ37" i="3" s="1"/>
  <c r="EK37" i="3"/>
  <c r="EJ37" i="3"/>
  <c r="EL37" i="3" s="1"/>
  <c r="EG37" i="3"/>
  <c r="EF37" i="3"/>
  <c r="EC37" i="3"/>
  <c r="EB37" i="3"/>
  <c r="ED37" i="3" s="1"/>
  <c r="DY37" i="3"/>
  <c r="DX37" i="3"/>
  <c r="DU37" i="3"/>
  <c r="DT37" i="3"/>
  <c r="DQ37" i="3"/>
  <c r="HN37" i="3" s="1"/>
  <c r="DP37" i="3"/>
  <c r="DM37" i="3"/>
  <c r="DL37" i="3"/>
  <c r="HE37" i="3" s="1"/>
  <c r="DI37" i="3"/>
  <c r="DJ37" i="3" s="1"/>
  <c r="DH37" i="3"/>
  <c r="DE37" i="3"/>
  <c r="DD37" i="3"/>
  <c r="DA37" i="3"/>
  <c r="CZ37" i="3"/>
  <c r="CX37" i="3"/>
  <c r="CW37" i="3"/>
  <c r="CV37" i="3"/>
  <c r="CS37" i="3"/>
  <c r="CT37" i="3" s="1"/>
  <c r="CO37" i="3"/>
  <c r="CN37" i="3"/>
  <c r="CK37" i="3"/>
  <c r="CJ37" i="3"/>
  <c r="CL37" i="3" s="1"/>
  <c r="CH37" i="3"/>
  <c r="CG37" i="3"/>
  <c r="CF37" i="3"/>
  <c r="CC37" i="3"/>
  <c r="CB37" i="3"/>
  <c r="BY37" i="3"/>
  <c r="BX37" i="3"/>
  <c r="BZ37" i="3" s="1"/>
  <c r="BV37" i="3"/>
  <c r="BU37" i="3"/>
  <c r="BT37" i="3"/>
  <c r="BQ37" i="3"/>
  <c r="BP37" i="3"/>
  <c r="BM37" i="3"/>
  <c r="BL37" i="3"/>
  <c r="BI37" i="3"/>
  <c r="BH37" i="3"/>
  <c r="BE37" i="3"/>
  <c r="BF37" i="3" s="1"/>
  <c r="BA37" i="3"/>
  <c r="BB37" i="3" s="1"/>
  <c r="AX37" i="3"/>
  <c r="AW37" i="3"/>
  <c r="AS37" i="3"/>
  <c r="AT37" i="3" s="1"/>
  <c r="AO37" i="3"/>
  <c r="AP37" i="3" s="1"/>
  <c r="AK37" i="3"/>
  <c r="AL37" i="3" s="1"/>
  <c r="AG37" i="3"/>
  <c r="AF37" i="3"/>
  <c r="AC37" i="3"/>
  <c r="AD37" i="3" s="1"/>
  <c r="Y37" i="3"/>
  <c r="Z37" i="3" s="1"/>
  <c r="U37" i="3"/>
  <c r="V37" i="3" s="1"/>
  <c r="R37" i="3"/>
  <c r="Q37" i="3"/>
  <c r="M37" i="3"/>
  <c r="N37" i="3" s="1"/>
  <c r="J37" i="3"/>
  <c r="I37" i="3"/>
  <c r="E37" i="3"/>
  <c r="F37" i="3" s="1"/>
  <c r="GR36" i="3"/>
  <c r="GH36" i="3"/>
  <c r="GG36" i="3"/>
  <c r="GI36" i="3" s="1"/>
  <c r="GD36" i="3"/>
  <c r="GC36" i="3"/>
  <c r="GA36" i="3"/>
  <c r="FZ36" i="3"/>
  <c r="FW36" i="3"/>
  <c r="FV36" i="3"/>
  <c r="FS36" i="3"/>
  <c r="FR36" i="3"/>
  <c r="FT36" i="3" s="1"/>
  <c r="FP36" i="3"/>
  <c r="FQ36" i="3" s="1"/>
  <c r="FO36" i="3"/>
  <c r="FL36" i="3"/>
  <c r="FK36" i="3"/>
  <c r="FH36" i="3"/>
  <c r="FG36" i="3"/>
  <c r="FE36" i="3"/>
  <c r="FD36" i="3"/>
  <c r="FC36" i="3"/>
  <c r="EZ36" i="3"/>
  <c r="EY36" i="3"/>
  <c r="EV36" i="3"/>
  <c r="EU36" i="3"/>
  <c r="ER36" i="3"/>
  <c r="EQ36" i="3"/>
  <c r="EO36" i="3"/>
  <c r="EN36" i="3"/>
  <c r="EL36" i="3"/>
  <c r="EK36" i="3"/>
  <c r="EJ36" i="3"/>
  <c r="EG36" i="3"/>
  <c r="HF36" i="3" s="1"/>
  <c r="EF36" i="3"/>
  <c r="EC36" i="3"/>
  <c r="EB36" i="3"/>
  <c r="DZ36" i="3"/>
  <c r="DY36" i="3"/>
  <c r="DX36" i="3"/>
  <c r="DU36" i="3"/>
  <c r="DT36" i="3"/>
  <c r="DV36" i="3" s="1"/>
  <c r="DQ36" i="3"/>
  <c r="HN36" i="3" s="1"/>
  <c r="DP36" i="3"/>
  <c r="HM36" i="3" s="1"/>
  <c r="DM36" i="3"/>
  <c r="DL36" i="3"/>
  <c r="DJ36" i="3"/>
  <c r="DI36" i="3"/>
  <c r="DH36" i="3"/>
  <c r="DF36" i="3"/>
  <c r="DE36" i="3"/>
  <c r="DD36" i="3"/>
  <c r="DA36" i="3"/>
  <c r="CZ36" i="3"/>
  <c r="DB36" i="3" s="1"/>
  <c r="CW36" i="3"/>
  <c r="CV36" i="3"/>
  <c r="CS36" i="3"/>
  <c r="CT36" i="3" s="1"/>
  <c r="CO36" i="3"/>
  <c r="CN36" i="3"/>
  <c r="CK36" i="3"/>
  <c r="CJ36" i="3"/>
  <c r="CL36" i="3" s="1"/>
  <c r="CH36" i="3"/>
  <c r="CG36" i="3"/>
  <c r="CF36" i="3"/>
  <c r="CD36" i="3"/>
  <c r="CC36" i="3"/>
  <c r="CB36" i="3"/>
  <c r="BY36" i="3"/>
  <c r="BX36" i="3"/>
  <c r="BZ36" i="3" s="1"/>
  <c r="BU36" i="3"/>
  <c r="BT36" i="3"/>
  <c r="BQ36" i="3"/>
  <c r="BP36" i="3"/>
  <c r="BR36" i="3" s="1"/>
  <c r="BM36" i="3"/>
  <c r="BL36" i="3"/>
  <c r="BI36" i="3"/>
  <c r="BH36" i="3"/>
  <c r="BE36" i="3"/>
  <c r="BB36" i="3"/>
  <c r="BA36" i="3"/>
  <c r="AW36" i="3"/>
  <c r="AX36" i="3" s="1"/>
  <c r="AS36" i="3"/>
  <c r="AT36" i="3" s="1"/>
  <c r="AO36" i="3"/>
  <c r="AP36" i="3" s="1"/>
  <c r="AK36" i="3"/>
  <c r="GS36" i="3" s="1"/>
  <c r="GT36" i="3" s="1"/>
  <c r="AG36" i="3"/>
  <c r="AF36" i="3"/>
  <c r="AC36" i="3"/>
  <c r="AD36" i="3" s="1"/>
  <c r="Y36" i="3"/>
  <c r="V36" i="3"/>
  <c r="U36" i="3"/>
  <c r="Q36" i="3"/>
  <c r="R36" i="3" s="1"/>
  <c r="N36" i="3"/>
  <c r="M36" i="3"/>
  <c r="I36" i="3"/>
  <c r="J36" i="3" s="1"/>
  <c r="E36" i="3"/>
  <c r="GR35" i="3"/>
  <c r="GH35" i="3"/>
  <c r="GG35" i="3"/>
  <c r="GD35" i="3"/>
  <c r="GC35" i="3"/>
  <c r="GA35" i="3"/>
  <c r="FZ35" i="3"/>
  <c r="GB35" i="3" s="1"/>
  <c r="FW35" i="3"/>
  <c r="FV35" i="3"/>
  <c r="FS35" i="3"/>
  <c r="FR35" i="3"/>
  <c r="FT35" i="3" s="1"/>
  <c r="FQ35" i="3"/>
  <c r="FP35" i="3"/>
  <c r="FO35" i="3"/>
  <c r="FM35" i="3"/>
  <c r="FL35" i="3"/>
  <c r="HR35" i="3" s="1"/>
  <c r="FK35" i="3"/>
  <c r="FH35" i="3"/>
  <c r="FG35" i="3"/>
  <c r="FI35" i="3" s="1"/>
  <c r="FD35" i="3"/>
  <c r="FC35" i="3"/>
  <c r="EZ35" i="3"/>
  <c r="EY35" i="3"/>
  <c r="EV35" i="3"/>
  <c r="EU35" i="3"/>
  <c r="EW35" i="3" s="1"/>
  <c r="ER35" i="3"/>
  <c r="EQ35" i="3"/>
  <c r="EO35" i="3"/>
  <c r="EN35" i="3"/>
  <c r="EL35" i="3"/>
  <c r="EK35" i="3"/>
  <c r="EJ35" i="3"/>
  <c r="EH35" i="3"/>
  <c r="EG35" i="3"/>
  <c r="EF35" i="3"/>
  <c r="EC35" i="3"/>
  <c r="EB35" i="3"/>
  <c r="ED35" i="3" s="1"/>
  <c r="DY35" i="3"/>
  <c r="DX35" i="3"/>
  <c r="DU35" i="3"/>
  <c r="DT35" i="3"/>
  <c r="DQ35" i="3"/>
  <c r="HN35" i="3" s="1"/>
  <c r="DP35" i="3"/>
  <c r="DM35" i="3"/>
  <c r="HF35" i="3" s="1"/>
  <c r="DL35" i="3"/>
  <c r="HE35" i="3" s="1"/>
  <c r="DI35" i="3"/>
  <c r="DH35" i="3"/>
  <c r="DJ35" i="3" s="1"/>
  <c r="DF35" i="3"/>
  <c r="DE35" i="3"/>
  <c r="DD35" i="3"/>
  <c r="DB35" i="3"/>
  <c r="DA35" i="3"/>
  <c r="CZ35" i="3"/>
  <c r="CW35" i="3"/>
  <c r="CV35" i="3"/>
  <c r="CX35" i="3" s="1"/>
  <c r="CS35" i="3"/>
  <c r="CT35" i="3" s="1"/>
  <c r="CO35" i="3"/>
  <c r="CN35" i="3"/>
  <c r="CP35" i="3" s="1"/>
  <c r="CK35" i="3"/>
  <c r="CJ35" i="3"/>
  <c r="CG35" i="3"/>
  <c r="CF35" i="3"/>
  <c r="CD35" i="3"/>
  <c r="CC35" i="3"/>
  <c r="CB35" i="3"/>
  <c r="BZ35" i="3"/>
  <c r="BY35" i="3"/>
  <c r="BX35" i="3"/>
  <c r="BU35" i="3"/>
  <c r="HB35" i="3" s="1"/>
  <c r="BT35" i="3"/>
  <c r="HA35" i="3" s="1"/>
  <c r="HC35" i="3" s="1"/>
  <c r="BQ35" i="3"/>
  <c r="BP35" i="3"/>
  <c r="BM35" i="3"/>
  <c r="BL35" i="3"/>
  <c r="BN35" i="3" s="1"/>
  <c r="BI35" i="3"/>
  <c r="BH35" i="3"/>
  <c r="BJ35" i="3" s="1"/>
  <c r="BE35" i="3"/>
  <c r="BD35" i="3"/>
  <c r="BD76" i="3" s="1"/>
  <c r="BA35" i="3"/>
  <c r="BB35" i="3" s="1"/>
  <c r="AX35" i="3"/>
  <c r="AW35" i="3"/>
  <c r="AS35" i="3"/>
  <c r="AT35" i="3" s="1"/>
  <c r="AO35" i="3"/>
  <c r="AP35" i="3" s="1"/>
  <c r="AK35" i="3"/>
  <c r="GS35" i="3" s="1"/>
  <c r="AG35" i="3"/>
  <c r="AF35" i="3"/>
  <c r="AC35" i="3"/>
  <c r="AD35" i="3" s="1"/>
  <c r="Y35" i="3"/>
  <c r="Z35" i="3" s="1"/>
  <c r="U35" i="3"/>
  <c r="V35" i="3" s="1"/>
  <c r="R35" i="3"/>
  <c r="Q35" i="3"/>
  <c r="M35" i="3"/>
  <c r="N35" i="3" s="1"/>
  <c r="J35" i="3"/>
  <c r="I35" i="3"/>
  <c r="E35" i="3"/>
  <c r="HJ34" i="3"/>
  <c r="GR34" i="3"/>
  <c r="GH34" i="3"/>
  <c r="GG34" i="3"/>
  <c r="GD34" i="3"/>
  <c r="GC34" i="3"/>
  <c r="GA34" i="3"/>
  <c r="FZ34" i="3"/>
  <c r="FW34" i="3"/>
  <c r="FV34" i="3"/>
  <c r="FX34" i="3" s="1"/>
  <c r="FT34" i="3"/>
  <c r="FS34" i="3"/>
  <c r="FR34" i="3"/>
  <c r="FP34" i="3"/>
  <c r="FO34" i="3"/>
  <c r="FL34" i="3"/>
  <c r="FK34" i="3"/>
  <c r="FM34" i="3" s="1"/>
  <c r="FI34" i="3"/>
  <c r="FH34" i="3"/>
  <c r="FG34" i="3"/>
  <c r="FD34" i="3"/>
  <c r="FC34" i="3"/>
  <c r="FE34" i="3" s="1"/>
  <c r="EZ34" i="3"/>
  <c r="EY34" i="3"/>
  <c r="EV34" i="3"/>
  <c r="EU34" i="3"/>
  <c r="ER34" i="3"/>
  <c r="EQ34" i="3"/>
  <c r="ES34" i="3" s="1"/>
  <c r="EP34" i="3"/>
  <c r="EO34" i="3"/>
  <c r="HR34" i="3" s="1"/>
  <c r="EN34" i="3"/>
  <c r="HQ34" i="3" s="1"/>
  <c r="HS34" i="3" s="1"/>
  <c r="EK34" i="3"/>
  <c r="EJ34" i="3"/>
  <c r="EG34" i="3"/>
  <c r="EF34" i="3"/>
  <c r="EH34" i="3" s="1"/>
  <c r="ED34" i="3"/>
  <c r="EC34" i="3"/>
  <c r="EB34" i="3"/>
  <c r="DY34" i="3"/>
  <c r="DX34" i="3"/>
  <c r="DU34" i="3"/>
  <c r="DT34" i="3"/>
  <c r="DV34" i="3" s="1"/>
  <c r="DQ34" i="3"/>
  <c r="HN34" i="3" s="1"/>
  <c r="DP34" i="3"/>
  <c r="DM34" i="3"/>
  <c r="DL34" i="3"/>
  <c r="DN34" i="3" s="1"/>
  <c r="DJ34" i="3"/>
  <c r="DI34" i="3"/>
  <c r="DH34" i="3"/>
  <c r="DE34" i="3"/>
  <c r="DD34" i="3"/>
  <c r="DA34" i="3"/>
  <c r="CZ34" i="3"/>
  <c r="DB34" i="3" s="1"/>
  <c r="CX34" i="3"/>
  <c r="CW34" i="3"/>
  <c r="CV34" i="3"/>
  <c r="CS34" i="3"/>
  <c r="CT34" i="3" s="1"/>
  <c r="CO34" i="3"/>
  <c r="CN34" i="3"/>
  <c r="CK34" i="3"/>
  <c r="CJ34" i="3"/>
  <c r="CG34" i="3"/>
  <c r="CF34" i="3"/>
  <c r="CH34" i="3" s="1"/>
  <c r="CC34" i="3"/>
  <c r="CB34" i="3"/>
  <c r="BY34" i="3"/>
  <c r="BX34" i="3"/>
  <c r="BZ34" i="3" s="1"/>
  <c r="BV34" i="3"/>
  <c r="BU34" i="3"/>
  <c r="BT34" i="3"/>
  <c r="BR34" i="3"/>
  <c r="BQ34" i="3"/>
  <c r="BP34" i="3"/>
  <c r="BM34" i="3"/>
  <c r="BL34" i="3"/>
  <c r="GW34" i="3" s="1"/>
  <c r="BI34" i="3"/>
  <c r="BH34" i="3"/>
  <c r="BE34" i="3"/>
  <c r="BF34" i="3" s="1"/>
  <c r="BA34" i="3"/>
  <c r="BB34" i="3" s="1"/>
  <c r="AW34" i="3"/>
  <c r="AX34" i="3" s="1"/>
  <c r="AS34" i="3"/>
  <c r="AT34" i="3" s="1"/>
  <c r="AP34" i="3"/>
  <c r="AO34" i="3"/>
  <c r="AK34" i="3"/>
  <c r="AL34" i="3" s="1"/>
  <c r="AH34" i="3"/>
  <c r="AG34" i="3"/>
  <c r="AF34" i="3"/>
  <c r="AC34" i="3"/>
  <c r="AD34" i="3" s="1"/>
  <c r="Y34" i="3"/>
  <c r="Z34" i="3" s="1"/>
  <c r="U34" i="3"/>
  <c r="V34" i="3" s="1"/>
  <c r="Q34" i="3"/>
  <c r="R34" i="3" s="1"/>
  <c r="N34" i="3"/>
  <c r="M34" i="3"/>
  <c r="I34" i="3"/>
  <c r="J34" i="3" s="1"/>
  <c r="F34" i="3"/>
  <c r="E34" i="3"/>
  <c r="GR33" i="3"/>
  <c r="GI33" i="3"/>
  <c r="GH33" i="3"/>
  <c r="GG33" i="3"/>
  <c r="GD33" i="3"/>
  <c r="GC33" i="3"/>
  <c r="GE33" i="3" s="1"/>
  <c r="GA33" i="3"/>
  <c r="FZ33" i="3"/>
  <c r="FW33" i="3"/>
  <c r="FV33" i="3"/>
  <c r="FS33" i="3"/>
  <c r="FR33" i="3"/>
  <c r="FT33" i="3" s="1"/>
  <c r="FP33" i="3"/>
  <c r="FQ33" i="3" s="1"/>
  <c r="FO33" i="3"/>
  <c r="FL33" i="3"/>
  <c r="FK33" i="3"/>
  <c r="FM33" i="3" s="1"/>
  <c r="FH33" i="3"/>
  <c r="FG33" i="3"/>
  <c r="FD33" i="3"/>
  <c r="FC33" i="3"/>
  <c r="EZ33" i="3"/>
  <c r="EY33" i="3"/>
  <c r="FA33" i="3" s="1"/>
  <c r="EV33" i="3"/>
  <c r="EU33" i="3"/>
  <c r="ER33" i="3"/>
  <c r="EQ33" i="3"/>
  <c r="EP33" i="3"/>
  <c r="EO33" i="3"/>
  <c r="EN33" i="3"/>
  <c r="EK33" i="3"/>
  <c r="EL33" i="3" s="1"/>
  <c r="EJ33" i="3"/>
  <c r="EG33" i="3"/>
  <c r="EF33" i="3"/>
  <c r="EH33" i="3" s="1"/>
  <c r="EC33" i="3"/>
  <c r="EB33" i="3"/>
  <c r="DY33" i="3"/>
  <c r="DX33" i="3"/>
  <c r="DZ33" i="3" s="1"/>
  <c r="DV33" i="3"/>
  <c r="DU33" i="3"/>
  <c r="DT33" i="3"/>
  <c r="DQ33" i="3"/>
  <c r="HN33" i="3" s="1"/>
  <c r="DP33" i="3"/>
  <c r="DM33" i="3"/>
  <c r="HF33" i="3" s="1"/>
  <c r="DL33" i="3"/>
  <c r="DJ33" i="3"/>
  <c r="DI33" i="3"/>
  <c r="DH33" i="3"/>
  <c r="DE33" i="3"/>
  <c r="DD33" i="3"/>
  <c r="DA33" i="3"/>
  <c r="CZ33" i="3"/>
  <c r="CW33" i="3"/>
  <c r="CV33" i="3"/>
  <c r="CX33" i="3" s="1"/>
  <c r="CT33" i="3"/>
  <c r="CS33" i="3"/>
  <c r="CO33" i="3"/>
  <c r="CN33" i="3"/>
  <c r="CK33" i="3"/>
  <c r="CJ33" i="3"/>
  <c r="CG33" i="3"/>
  <c r="CF33" i="3"/>
  <c r="CC33" i="3"/>
  <c r="CB33" i="3"/>
  <c r="BY33" i="3"/>
  <c r="BX33" i="3"/>
  <c r="BU33" i="3"/>
  <c r="BT33" i="3"/>
  <c r="BV33" i="3" s="1"/>
  <c r="BR33" i="3"/>
  <c r="BQ33" i="3"/>
  <c r="BP33" i="3"/>
  <c r="BM33" i="3"/>
  <c r="BL33" i="3"/>
  <c r="BI33" i="3"/>
  <c r="BH33" i="3"/>
  <c r="BE33" i="3"/>
  <c r="BA33" i="3"/>
  <c r="BB33" i="3" s="1"/>
  <c r="AW33" i="3"/>
  <c r="AX33" i="3" s="1"/>
  <c r="AS33" i="3"/>
  <c r="AT33" i="3" s="1"/>
  <c r="AO33" i="3"/>
  <c r="AP33" i="3" s="1"/>
  <c r="AL33" i="3"/>
  <c r="AK33" i="3"/>
  <c r="GS33" i="3" s="1"/>
  <c r="AG33" i="3"/>
  <c r="AF33" i="3"/>
  <c r="AD33" i="3"/>
  <c r="AC33" i="3"/>
  <c r="Y33" i="3"/>
  <c r="Z33" i="3" s="1"/>
  <c r="V33" i="3"/>
  <c r="U33" i="3"/>
  <c r="Q33" i="3"/>
  <c r="R33" i="3" s="1"/>
  <c r="M33" i="3"/>
  <c r="N33" i="3" s="1"/>
  <c r="I33" i="3"/>
  <c r="J33" i="3" s="1"/>
  <c r="E33" i="3"/>
  <c r="F33" i="3" s="1"/>
  <c r="HR32" i="3"/>
  <c r="GT32" i="3"/>
  <c r="GR32" i="3"/>
  <c r="GH32" i="3"/>
  <c r="GG32" i="3"/>
  <c r="GI32" i="3" s="1"/>
  <c r="GE32" i="3"/>
  <c r="GD32" i="3"/>
  <c r="GC32" i="3"/>
  <c r="GB32" i="3"/>
  <c r="GA32" i="3"/>
  <c r="FZ32" i="3"/>
  <c r="FW32" i="3"/>
  <c r="FV32" i="3"/>
  <c r="FX32" i="3" s="1"/>
  <c r="FS32" i="3"/>
  <c r="FR32" i="3"/>
  <c r="FP32" i="3"/>
  <c r="FO32" i="3"/>
  <c r="FQ32" i="3" s="1"/>
  <c r="FL32" i="3"/>
  <c r="FK32" i="3"/>
  <c r="FH32" i="3"/>
  <c r="FG32" i="3"/>
  <c r="FD32" i="3"/>
  <c r="FC32" i="3"/>
  <c r="FE32" i="3" s="1"/>
  <c r="EZ32" i="3"/>
  <c r="EY32" i="3"/>
  <c r="EV32" i="3"/>
  <c r="EU32" i="3"/>
  <c r="EW32" i="3" s="1"/>
  <c r="ES32" i="3"/>
  <c r="ER32" i="3"/>
  <c r="EQ32" i="3"/>
  <c r="EP32" i="3"/>
  <c r="EO32" i="3"/>
  <c r="EN32" i="3"/>
  <c r="EK32" i="3"/>
  <c r="EJ32" i="3"/>
  <c r="EL32" i="3" s="1"/>
  <c r="EG32" i="3"/>
  <c r="EF32" i="3"/>
  <c r="EC32" i="3"/>
  <c r="EB32" i="3"/>
  <c r="ED32" i="3" s="1"/>
  <c r="DY32" i="3"/>
  <c r="DX32" i="3"/>
  <c r="DZ32" i="3" s="1"/>
  <c r="DU32" i="3"/>
  <c r="DT32" i="3"/>
  <c r="DQ32" i="3"/>
  <c r="HN32" i="3" s="1"/>
  <c r="DP32" i="3"/>
  <c r="DN32" i="3"/>
  <c r="DM32" i="3"/>
  <c r="DL32" i="3"/>
  <c r="DJ32" i="3"/>
  <c r="DI32" i="3"/>
  <c r="DH32" i="3"/>
  <c r="DE32" i="3"/>
  <c r="DD32" i="3"/>
  <c r="DF32" i="3" s="1"/>
  <c r="DA32" i="3"/>
  <c r="CZ32" i="3"/>
  <c r="CW32" i="3"/>
  <c r="CV32" i="3"/>
  <c r="CS32" i="3"/>
  <c r="CT32" i="3" s="1"/>
  <c r="CO32" i="3"/>
  <c r="CN32" i="3"/>
  <c r="CK32" i="3"/>
  <c r="CJ32" i="3"/>
  <c r="CL32" i="3" s="1"/>
  <c r="CG32" i="3"/>
  <c r="CF32" i="3"/>
  <c r="CH32" i="3" s="1"/>
  <c r="CC32" i="3"/>
  <c r="CB32" i="3"/>
  <c r="BY32" i="3"/>
  <c r="BX32" i="3"/>
  <c r="BZ32" i="3" s="1"/>
  <c r="BV32" i="3"/>
  <c r="BU32" i="3"/>
  <c r="BT32" i="3"/>
  <c r="BQ32" i="3"/>
  <c r="BR32" i="3" s="1"/>
  <c r="BP32" i="3"/>
  <c r="BM32" i="3"/>
  <c r="BN32" i="3" s="1"/>
  <c r="BI32" i="3"/>
  <c r="BJ32" i="3" s="1"/>
  <c r="BH32" i="3"/>
  <c r="BE32" i="3"/>
  <c r="BF32" i="3" s="1"/>
  <c r="BA32" i="3"/>
  <c r="BB32" i="3" s="1"/>
  <c r="AX32" i="3"/>
  <c r="AW32" i="3"/>
  <c r="AS32" i="3"/>
  <c r="AT32" i="3" s="1"/>
  <c r="AP32" i="3"/>
  <c r="AO32" i="3"/>
  <c r="AK32" i="3"/>
  <c r="GS32" i="3" s="1"/>
  <c r="AG32" i="3"/>
  <c r="AH32" i="3" s="1"/>
  <c r="AF32" i="3"/>
  <c r="AC32" i="3"/>
  <c r="AD32" i="3" s="1"/>
  <c r="Y32" i="3"/>
  <c r="Z32" i="3" s="1"/>
  <c r="U32" i="3"/>
  <c r="V32" i="3" s="1"/>
  <c r="Q32" i="3"/>
  <c r="R32" i="3" s="1"/>
  <c r="M32" i="3"/>
  <c r="N32" i="3" s="1"/>
  <c r="J32" i="3"/>
  <c r="I32" i="3"/>
  <c r="E32" i="3"/>
  <c r="HN31" i="3"/>
  <c r="GR31" i="3"/>
  <c r="GH31" i="3"/>
  <c r="GG31" i="3"/>
  <c r="GI31" i="3" s="1"/>
  <c r="GD31" i="3"/>
  <c r="GC31" i="3"/>
  <c r="GA31" i="3"/>
  <c r="FZ31" i="3"/>
  <c r="GB31" i="3" s="1"/>
  <c r="FW31" i="3"/>
  <c r="FV31" i="3"/>
  <c r="FX31" i="3" s="1"/>
  <c r="FT31" i="3"/>
  <c r="FS31" i="3"/>
  <c r="FR31" i="3"/>
  <c r="FP31" i="3"/>
  <c r="FO31" i="3"/>
  <c r="FQ31" i="3" s="1"/>
  <c r="FL31" i="3"/>
  <c r="FK31" i="3"/>
  <c r="FH31" i="3"/>
  <c r="FI31" i="3" s="1"/>
  <c r="FG31" i="3"/>
  <c r="FD31" i="3"/>
  <c r="FC31" i="3"/>
  <c r="FE31" i="3" s="1"/>
  <c r="EZ31" i="3"/>
  <c r="HJ31" i="3" s="1"/>
  <c r="EY31" i="3"/>
  <c r="EV31" i="3"/>
  <c r="EU31" i="3"/>
  <c r="EW31" i="3" s="1"/>
  <c r="ER31" i="3"/>
  <c r="EQ31" i="3"/>
  <c r="ES31" i="3" s="1"/>
  <c r="EP31" i="3"/>
  <c r="EO31" i="3"/>
  <c r="HR31" i="3" s="1"/>
  <c r="EN31" i="3"/>
  <c r="HQ31" i="3" s="1"/>
  <c r="EK31" i="3"/>
  <c r="EJ31" i="3"/>
  <c r="EL31" i="3" s="1"/>
  <c r="EG31" i="3"/>
  <c r="EF31" i="3"/>
  <c r="EC31" i="3"/>
  <c r="ED31" i="3" s="1"/>
  <c r="EB31" i="3"/>
  <c r="DY31" i="3"/>
  <c r="DX31" i="3"/>
  <c r="DZ31" i="3" s="1"/>
  <c r="DU31" i="3"/>
  <c r="DT31" i="3"/>
  <c r="DQ31" i="3"/>
  <c r="DP31" i="3"/>
  <c r="DM31" i="3"/>
  <c r="DL31" i="3"/>
  <c r="DN31" i="3" s="1"/>
  <c r="DJ31" i="3"/>
  <c r="DI31" i="3"/>
  <c r="DH31" i="3"/>
  <c r="DE31" i="3"/>
  <c r="DD31" i="3"/>
  <c r="DF31" i="3" s="1"/>
  <c r="DA31" i="3"/>
  <c r="CZ31" i="3"/>
  <c r="CW31" i="3"/>
  <c r="CX31" i="3" s="1"/>
  <c r="CV31" i="3"/>
  <c r="CS31" i="3"/>
  <c r="CT31" i="3" s="1"/>
  <c r="CO31" i="3"/>
  <c r="CN31" i="3"/>
  <c r="CK31" i="3"/>
  <c r="CJ31" i="3"/>
  <c r="CL31" i="3" s="1"/>
  <c r="CG31" i="3"/>
  <c r="CF31" i="3"/>
  <c r="CH31" i="3" s="1"/>
  <c r="CC31" i="3"/>
  <c r="CB31" i="3"/>
  <c r="BY31" i="3"/>
  <c r="BX31" i="3"/>
  <c r="BZ31" i="3" s="1"/>
  <c r="BV31" i="3"/>
  <c r="BU31" i="3"/>
  <c r="BT31" i="3"/>
  <c r="BQ31" i="3"/>
  <c r="BR31" i="3" s="1"/>
  <c r="BP31" i="3"/>
  <c r="BM31" i="3"/>
  <c r="BL31" i="3"/>
  <c r="BI31" i="3"/>
  <c r="BH31" i="3"/>
  <c r="BE31" i="3"/>
  <c r="BF31" i="3" s="1"/>
  <c r="BA31" i="3"/>
  <c r="BB31" i="3" s="1"/>
  <c r="AX31" i="3"/>
  <c r="AW31" i="3"/>
  <c r="AS31" i="3"/>
  <c r="AT31" i="3" s="1"/>
  <c r="AP31" i="3"/>
  <c r="AO31" i="3"/>
  <c r="AK31" i="3"/>
  <c r="AL31" i="3" s="1"/>
  <c r="AG31" i="3"/>
  <c r="AH31" i="3" s="1"/>
  <c r="AF31" i="3"/>
  <c r="AC31" i="3"/>
  <c r="AD31" i="3" s="1"/>
  <c r="Y31" i="3"/>
  <c r="Z31" i="3" s="1"/>
  <c r="V31" i="3"/>
  <c r="U31" i="3"/>
  <c r="Q31" i="3"/>
  <c r="R31" i="3" s="1"/>
  <c r="N31" i="3"/>
  <c r="M31" i="3"/>
  <c r="I31" i="3"/>
  <c r="J31" i="3" s="1"/>
  <c r="E31" i="3"/>
  <c r="F31" i="3" s="1"/>
  <c r="GR30" i="3"/>
  <c r="GH30" i="3"/>
  <c r="GI30" i="3" s="1"/>
  <c r="GG30" i="3"/>
  <c r="GD30" i="3"/>
  <c r="GC30" i="3"/>
  <c r="GE30" i="3" s="1"/>
  <c r="GA30" i="3"/>
  <c r="FZ30" i="3"/>
  <c r="FW30" i="3"/>
  <c r="FV30" i="3"/>
  <c r="FX30" i="3" s="1"/>
  <c r="FS30" i="3"/>
  <c r="FR30" i="3"/>
  <c r="FT30" i="3" s="1"/>
  <c r="FQ30" i="3"/>
  <c r="FP30" i="3"/>
  <c r="FO30" i="3"/>
  <c r="FL30" i="3"/>
  <c r="FK30" i="3"/>
  <c r="FM30" i="3" s="1"/>
  <c r="FH30" i="3"/>
  <c r="FG30" i="3"/>
  <c r="FD30" i="3"/>
  <c r="FE30" i="3" s="1"/>
  <c r="FC30" i="3"/>
  <c r="EZ30" i="3"/>
  <c r="EY30" i="3"/>
  <c r="FA30" i="3" s="1"/>
  <c r="EV30" i="3"/>
  <c r="EU30" i="3"/>
  <c r="ER30" i="3"/>
  <c r="EQ30" i="3"/>
  <c r="EO30" i="3"/>
  <c r="EN30" i="3"/>
  <c r="EL30" i="3"/>
  <c r="EK30" i="3"/>
  <c r="EJ30" i="3"/>
  <c r="EG30" i="3"/>
  <c r="EF30" i="3"/>
  <c r="EH30" i="3" s="1"/>
  <c r="EC30" i="3"/>
  <c r="EB30" i="3"/>
  <c r="DY30" i="3"/>
  <c r="DZ30" i="3" s="1"/>
  <c r="DX30" i="3"/>
  <c r="DU30" i="3"/>
  <c r="DT30" i="3"/>
  <c r="DV30" i="3" s="1"/>
  <c r="DQ30" i="3"/>
  <c r="HN30" i="3" s="1"/>
  <c r="DP30" i="3"/>
  <c r="HM30" i="3" s="1"/>
  <c r="DM30" i="3"/>
  <c r="DL30" i="3"/>
  <c r="DI30" i="3"/>
  <c r="DH30" i="3"/>
  <c r="DJ30" i="3" s="1"/>
  <c r="DF30" i="3"/>
  <c r="DE30" i="3"/>
  <c r="DD30" i="3"/>
  <c r="DA30" i="3"/>
  <c r="CZ30" i="3"/>
  <c r="DB30" i="3" s="1"/>
  <c r="CW30" i="3"/>
  <c r="CV30" i="3"/>
  <c r="CS30" i="3"/>
  <c r="CT30" i="3" s="1"/>
  <c r="CO30" i="3"/>
  <c r="CN30" i="3"/>
  <c r="CK30" i="3"/>
  <c r="CJ30" i="3"/>
  <c r="CL30" i="3" s="1"/>
  <c r="CG30" i="3"/>
  <c r="CF30" i="3"/>
  <c r="CH30" i="3" s="1"/>
  <c r="CD30" i="3"/>
  <c r="CC30" i="3"/>
  <c r="CB30" i="3"/>
  <c r="BY30" i="3"/>
  <c r="BX30" i="3"/>
  <c r="BZ30" i="3" s="1"/>
  <c r="BU30" i="3"/>
  <c r="BT30" i="3"/>
  <c r="BQ30" i="3"/>
  <c r="BR30" i="3" s="1"/>
  <c r="BP30" i="3"/>
  <c r="BM30" i="3"/>
  <c r="BL30" i="3"/>
  <c r="BI30" i="3"/>
  <c r="BJ30" i="3" s="1"/>
  <c r="BE30" i="3"/>
  <c r="BA30" i="3"/>
  <c r="BB30" i="3" s="1"/>
  <c r="AX30" i="3"/>
  <c r="AW30" i="3"/>
  <c r="AS30" i="3"/>
  <c r="AT30" i="3" s="1"/>
  <c r="AP30" i="3"/>
  <c r="AO30" i="3"/>
  <c r="AK30" i="3"/>
  <c r="AG30" i="3"/>
  <c r="AH30" i="3" s="1"/>
  <c r="AF30" i="3"/>
  <c r="AC30" i="3"/>
  <c r="AD30" i="3" s="1"/>
  <c r="Y30" i="3"/>
  <c r="Z30" i="3" s="1"/>
  <c r="V30" i="3"/>
  <c r="U30" i="3"/>
  <c r="Q30" i="3"/>
  <c r="R30" i="3" s="1"/>
  <c r="N30" i="3"/>
  <c r="M30" i="3"/>
  <c r="I30" i="3"/>
  <c r="J30" i="3" s="1"/>
  <c r="E30" i="3"/>
  <c r="GR29" i="3"/>
  <c r="GI29" i="3"/>
  <c r="GH29" i="3"/>
  <c r="GG29" i="3"/>
  <c r="GD29" i="3"/>
  <c r="GE29" i="3" s="1"/>
  <c r="GC29" i="3"/>
  <c r="GA29" i="3"/>
  <c r="FZ29" i="3"/>
  <c r="GB29" i="3" s="1"/>
  <c r="FW29" i="3"/>
  <c r="FV29" i="3"/>
  <c r="FS29" i="3"/>
  <c r="FR29" i="3"/>
  <c r="FP29" i="3"/>
  <c r="FO29" i="3"/>
  <c r="FQ29" i="3" s="1"/>
  <c r="FL29" i="3"/>
  <c r="FK29" i="3"/>
  <c r="FH29" i="3"/>
  <c r="FG29" i="3"/>
  <c r="FI29" i="3" s="1"/>
  <c r="FE29" i="3"/>
  <c r="FD29" i="3"/>
  <c r="FC29" i="3"/>
  <c r="FA29" i="3"/>
  <c r="EZ29" i="3"/>
  <c r="EY29" i="3"/>
  <c r="EV29" i="3"/>
  <c r="EU29" i="3"/>
  <c r="EW29" i="3" s="1"/>
  <c r="ER29" i="3"/>
  <c r="EQ29" i="3"/>
  <c r="EO29" i="3"/>
  <c r="EN29" i="3"/>
  <c r="EK29" i="3"/>
  <c r="EJ29" i="3"/>
  <c r="EL29" i="3" s="1"/>
  <c r="EG29" i="3"/>
  <c r="EF29" i="3"/>
  <c r="EC29" i="3"/>
  <c r="EB29" i="3"/>
  <c r="ED29" i="3" s="1"/>
  <c r="DZ29" i="3"/>
  <c r="DY29" i="3"/>
  <c r="DX29" i="3"/>
  <c r="DU29" i="3"/>
  <c r="DV29" i="3" s="1"/>
  <c r="DT29" i="3"/>
  <c r="DQ29" i="3"/>
  <c r="HN29" i="3" s="1"/>
  <c r="DP29" i="3"/>
  <c r="HM29" i="3" s="1"/>
  <c r="HO29" i="3" s="1"/>
  <c r="DM29" i="3"/>
  <c r="HF29" i="3" s="1"/>
  <c r="DL29" i="3"/>
  <c r="DI29" i="3"/>
  <c r="DH29" i="3"/>
  <c r="DE29" i="3"/>
  <c r="DD29" i="3"/>
  <c r="DF29" i="3" s="1"/>
  <c r="DA29" i="3"/>
  <c r="CZ29" i="3"/>
  <c r="CW29" i="3"/>
  <c r="CV29" i="3"/>
  <c r="CX29" i="3" s="1"/>
  <c r="CT29" i="3"/>
  <c r="CS29" i="3"/>
  <c r="CO29" i="3"/>
  <c r="CN29" i="3"/>
  <c r="CP29" i="3" s="1"/>
  <c r="CK29" i="3"/>
  <c r="CJ29" i="3"/>
  <c r="CG29" i="3"/>
  <c r="CF29" i="3"/>
  <c r="CH29" i="3" s="1"/>
  <c r="CC29" i="3"/>
  <c r="CB29" i="3"/>
  <c r="CD29" i="3" s="1"/>
  <c r="BY29" i="3"/>
  <c r="BX29" i="3"/>
  <c r="BU29" i="3"/>
  <c r="BT29" i="3"/>
  <c r="BV29" i="3" s="1"/>
  <c r="BQ29" i="3"/>
  <c r="BR29" i="3" s="1"/>
  <c r="BP29" i="3"/>
  <c r="BM29" i="3"/>
  <c r="BL29" i="3"/>
  <c r="GW29" i="3" s="1"/>
  <c r="BI29" i="3"/>
  <c r="BH29" i="3"/>
  <c r="BJ29" i="3" s="1"/>
  <c r="BE29" i="3"/>
  <c r="BB29" i="3"/>
  <c r="BA29" i="3"/>
  <c r="AW29" i="3"/>
  <c r="AX29" i="3" s="1"/>
  <c r="AS29" i="3"/>
  <c r="AT29" i="3" s="1"/>
  <c r="AO29" i="3"/>
  <c r="AP29" i="3" s="1"/>
  <c r="AL29" i="3"/>
  <c r="AK29" i="3"/>
  <c r="GS29" i="3" s="1"/>
  <c r="GT29" i="3" s="1"/>
  <c r="AG29" i="3"/>
  <c r="AF29" i="3"/>
  <c r="AC29" i="3"/>
  <c r="AD29" i="3" s="1"/>
  <c r="Y29" i="3"/>
  <c r="Z29" i="3" s="1"/>
  <c r="U29" i="3"/>
  <c r="V29" i="3" s="1"/>
  <c r="Q29" i="3"/>
  <c r="R29" i="3" s="1"/>
  <c r="N29" i="3"/>
  <c r="M29" i="3"/>
  <c r="I29" i="3"/>
  <c r="J29" i="3" s="1"/>
  <c r="E29" i="3"/>
  <c r="F29" i="3" s="1"/>
  <c r="GR28" i="3"/>
  <c r="GH28" i="3"/>
  <c r="GG28" i="3"/>
  <c r="GI28" i="3" s="1"/>
  <c r="GD28" i="3"/>
  <c r="GE28" i="3" s="1"/>
  <c r="GC28" i="3"/>
  <c r="GB28" i="3"/>
  <c r="GA28" i="3"/>
  <c r="FZ28" i="3"/>
  <c r="FW28" i="3"/>
  <c r="FV28" i="3"/>
  <c r="FX28" i="3" s="1"/>
  <c r="FS28" i="3"/>
  <c r="FR28" i="3"/>
  <c r="FT28" i="3" s="1"/>
  <c r="FP28" i="3"/>
  <c r="FO28" i="3"/>
  <c r="FQ28" i="3" s="1"/>
  <c r="FM28" i="3"/>
  <c r="FL28" i="3"/>
  <c r="FK28" i="3"/>
  <c r="FH28" i="3"/>
  <c r="FG28" i="3"/>
  <c r="FD28" i="3"/>
  <c r="FC28" i="3"/>
  <c r="FE28" i="3" s="1"/>
  <c r="FA28" i="3"/>
  <c r="EZ28" i="3"/>
  <c r="EY28" i="3"/>
  <c r="EV28" i="3"/>
  <c r="EU28" i="3"/>
  <c r="EW28" i="3" s="1"/>
  <c r="ER28" i="3"/>
  <c r="EQ28" i="3"/>
  <c r="HI28" i="3" s="1"/>
  <c r="EO28" i="3"/>
  <c r="HR28" i="3" s="1"/>
  <c r="EN28" i="3"/>
  <c r="EK28" i="3"/>
  <c r="EJ28" i="3"/>
  <c r="EL28" i="3" s="1"/>
  <c r="EH28" i="3"/>
  <c r="EG28" i="3"/>
  <c r="EF28" i="3"/>
  <c r="EC28" i="3"/>
  <c r="EB28" i="3"/>
  <c r="ED28" i="3" s="1"/>
  <c r="DY28" i="3"/>
  <c r="DX28" i="3"/>
  <c r="DZ28" i="3" s="1"/>
  <c r="DU28" i="3"/>
  <c r="DV28" i="3" s="1"/>
  <c r="DT28" i="3"/>
  <c r="DQ28" i="3"/>
  <c r="HN28" i="3" s="1"/>
  <c r="DP28" i="3"/>
  <c r="DR28" i="3" s="1"/>
  <c r="DM28" i="3"/>
  <c r="HF28" i="3" s="1"/>
  <c r="DL28" i="3"/>
  <c r="DI28" i="3"/>
  <c r="DH28" i="3"/>
  <c r="DJ28" i="3" s="1"/>
  <c r="DE28" i="3"/>
  <c r="DD28" i="3"/>
  <c r="DF28" i="3" s="1"/>
  <c r="DB28" i="3"/>
  <c r="DA28" i="3"/>
  <c r="CZ28" i="3"/>
  <c r="CW28" i="3"/>
  <c r="CV28" i="3"/>
  <c r="CX28" i="3" s="1"/>
  <c r="CS28" i="3"/>
  <c r="CT28" i="3" s="1"/>
  <c r="CO28" i="3"/>
  <c r="CN28" i="3"/>
  <c r="CP28" i="3" s="1"/>
  <c r="CK28" i="3"/>
  <c r="CJ28" i="3"/>
  <c r="CL28" i="3" s="1"/>
  <c r="CG28" i="3"/>
  <c r="CF28" i="3"/>
  <c r="CH28" i="3" s="1"/>
  <c r="CC28" i="3"/>
  <c r="CB28" i="3"/>
  <c r="BY28" i="3"/>
  <c r="BX28" i="3"/>
  <c r="BZ28" i="3" s="1"/>
  <c r="BU28" i="3"/>
  <c r="HB28" i="3" s="1"/>
  <c r="BT28" i="3"/>
  <c r="HA28" i="3" s="1"/>
  <c r="BQ28" i="3"/>
  <c r="BP28" i="3"/>
  <c r="BR28" i="3" s="1"/>
  <c r="BM28" i="3"/>
  <c r="BN28" i="3" s="1"/>
  <c r="BL28" i="3"/>
  <c r="BJ28" i="3"/>
  <c r="BI28" i="3"/>
  <c r="BH28" i="3"/>
  <c r="BE28" i="3"/>
  <c r="BB28" i="3"/>
  <c r="BA28" i="3"/>
  <c r="AW28" i="3"/>
  <c r="AX28" i="3" s="1"/>
  <c r="AS28" i="3"/>
  <c r="AT28" i="3" s="1"/>
  <c r="AO28" i="3"/>
  <c r="AP28" i="3" s="1"/>
  <c r="AL28" i="3"/>
  <c r="AK28" i="3"/>
  <c r="GS28" i="3" s="1"/>
  <c r="AG28" i="3"/>
  <c r="AF28" i="3"/>
  <c r="AC28" i="3"/>
  <c r="AD28" i="3" s="1"/>
  <c r="Y28" i="3"/>
  <c r="Z28" i="3" s="1"/>
  <c r="U28" i="3"/>
  <c r="V28" i="3" s="1"/>
  <c r="R28" i="3"/>
  <c r="Q28" i="3"/>
  <c r="M28" i="3"/>
  <c r="N28" i="3" s="1"/>
  <c r="I28" i="3"/>
  <c r="J28" i="3" s="1"/>
  <c r="E28" i="3"/>
  <c r="F28" i="3" s="1"/>
  <c r="HM27" i="3"/>
  <c r="GR27" i="3"/>
  <c r="GH27" i="3"/>
  <c r="GG27" i="3"/>
  <c r="GD27" i="3"/>
  <c r="GC27" i="3"/>
  <c r="GA27" i="3"/>
  <c r="FZ27" i="3"/>
  <c r="GB27" i="3" s="1"/>
  <c r="FW27" i="3"/>
  <c r="FV27" i="3"/>
  <c r="FX27" i="3" s="1"/>
  <c r="FS27" i="3"/>
  <c r="FR27" i="3"/>
  <c r="FP27" i="3"/>
  <c r="FO27" i="3"/>
  <c r="FQ27" i="3" s="1"/>
  <c r="FM27" i="3"/>
  <c r="FL27" i="3"/>
  <c r="FK27" i="3"/>
  <c r="FI27" i="3"/>
  <c r="FH27" i="3"/>
  <c r="FG27" i="3"/>
  <c r="FD27" i="3"/>
  <c r="FC27" i="3"/>
  <c r="EZ27" i="3"/>
  <c r="EY27" i="3"/>
  <c r="EV27" i="3"/>
  <c r="EU27" i="3"/>
  <c r="EW27" i="3" s="1"/>
  <c r="ER27" i="3"/>
  <c r="HJ27" i="3" s="1"/>
  <c r="EQ27" i="3"/>
  <c r="EO27" i="3"/>
  <c r="EN27" i="3"/>
  <c r="EK27" i="3"/>
  <c r="EJ27" i="3"/>
  <c r="EG27" i="3"/>
  <c r="EF27" i="3"/>
  <c r="EH27" i="3" s="1"/>
  <c r="EC27" i="3"/>
  <c r="ED27" i="3" s="1"/>
  <c r="EB27" i="3"/>
  <c r="DY27" i="3"/>
  <c r="DX27" i="3"/>
  <c r="DU27" i="3"/>
  <c r="DT27" i="3"/>
  <c r="DR27" i="3"/>
  <c r="DQ27" i="3"/>
  <c r="HN27" i="3" s="1"/>
  <c r="DP27" i="3"/>
  <c r="DM27" i="3"/>
  <c r="HF27" i="3" s="1"/>
  <c r="DL27" i="3"/>
  <c r="DI27" i="3"/>
  <c r="DH27" i="3"/>
  <c r="DE27" i="3"/>
  <c r="DD27" i="3"/>
  <c r="DF27" i="3" s="1"/>
  <c r="DB27" i="3"/>
  <c r="DA27" i="3"/>
  <c r="CZ27" i="3"/>
  <c r="CX27" i="3"/>
  <c r="CW27" i="3"/>
  <c r="CV27" i="3"/>
  <c r="CS27" i="3"/>
  <c r="CT27" i="3" s="1"/>
  <c r="CP27" i="3"/>
  <c r="CO27" i="3"/>
  <c r="CN27" i="3"/>
  <c r="CK27" i="3"/>
  <c r="CJ27" i="3"/>
  <c r="CL27" i="3" s="1"/>
  <c r="CG27" i="3"/>
  <c r="CF27" i="3"/>
  <c r="CH27" i="3" s="1"/>
  <c r="CC27" i="3"/>
  <c r="CB27" i="3"/>
  <c r="BY27" i="3"/>
  <c r="BX27" i="3"/>
  <c r="BZ27" i="3" s="1"/>
  <c r="BV27" i="3"/>
  <c r="BU27" i="3"/>
  <c r="BT27" i="3"/>
  <c r="BQ27" i="3"/>
  <c r="BP27" i="3"/>
  <c r="BR27" i="3" s="1"/>
  <c r="BM27" i="3"/>
  <c r="BL27" i="3"/>
  <c r="BI27" i="3"/>
  <c r="BJ27" i="3" s="1"/>
  <c r="BH27" i="3"/>
  <c r="BE27" i="3"/>
  <c r="BF27" i="3" s="1"/>
  <c r="BA27" i="3"/>
  <c r="BB27" i="3" s="1"/>
  <c r="AW27" i="3"/>
  <c r="AX27" i="3" s="1"/>
  <c r="AS27" i="3"/>
  <c r="AT27" i="3" s="1"/>
  <c r="AO27" i="3"/>
  <c r="AP27" i="3" s="1"/>
  <c r="AL27" i="3"/>
  <c r="AK27" i="3"/>
  <c r="GS27" i="3" s="1"/>
  <c r="AG27" i="3"/>
  <c r="AF27" i="3"/>
  <c r="AH27" i="3" s="1"/>
  <c r="AC27" i="3"/>
  <c r="AD27" i="3" s="1"/>
  <c r="Y27" i="3"/>
  <c r="Z27" i="3" s="1"/>
  <c r="U27" i="3"/>
  <c r="V27" i="3" s="1"/>
  <c r="R27" i="3"/>
  <c r="Q27" i="3"/>
  <c r="M27" i="3"/>
  <c r="N27" i="3" s="1"/>
  <c r="I27" i="3"/>
  <c r="J27" i="3" s="1"/>
  <c r="E27" i="3"/>
  <c r="GR26" i="3"/>
  <c r="GH26" i="3"/>
  <c r="GG26" i="3"/>
  <c r="GI26" i="3" s="1"/>
  <c r="GD26" i="3"/>
  <c r="GC26" i="3"/>
  <c r="GA26" i="3"/>
  <c r="FZ26" i="3"/>
  <c r="GB26" i="3" s="1"/>
  <c r="FX26" i="3"/>
  <c r="FW26" i="3"/>
  <c r="FV26" i="3"/>
  <c r="FS26" i="3"/>
  <c r="FT26" i="3" s="1"/>
  <c r="FR26" i="3"/>
  <c r="FP26" i="3"/>
  <c r="FO26" i="3"/>
  <c r="FQ26" i="3" s="1"/>
  <c r="FL26" i="3"/>
  <c r="FK26" i="3"/>
  <c r="FH26" i="3"/>
  <c r="FG26" i="3"/>
  <c r="FI26" i="3" s="1"/>
  <c r="FD26" i="3"/>
  <c r="FC26" i="3"/>
  <c r="FE26" i="3" s="1"/>
  <c r="EZ26" i="3"/>
  <c r="HJ26" i="3" s="1"/>
  <c r="EY26" i="3"/>
  <c r="EV26" i="3"/>
  <c r="EU26" i="3"/>
  <c r="EW26" i="3" s="1"/>
  <c r="ES26" i="3"/>
  <c r="ER26" i="3"/>
  <c r="EQ26" i="3"/>
  <c r="EO26" i="3"/>
  <c r="HR26" i="3" s="1"/>
  <c r="EN26" i="3"/>
  <c r="HQ26" i="3" s="1"/>
  <c r="EK26" i="3"/>
  <c r="EJ26" i="3"/>
  <c r="EL26" i="3" s="1"/>
  <c r="EG26" i="3"/>
  <c r="EF26" i="3"/>
  <c r="EC26" i="3"/>
  <c r="EB26" i="3"/>
  <c r="ED26" i="3" s="1"/>
  <c r="DZ26" i="3"/>
  <c r="DY26" i="3"/>
  <c r="DX26" i="3"/>
  <c r="DU26" i="3"/>
  <c r="DT26" i="3"/>
  <c r="DQ26" i="3"/>
  <c r="HN26" i="3" s="1"/>
  <c r="DP26" i="3"/>
  <c r="DN26" i="3"/>
  <c r="DM26" i="3"/>
  <c r="DL26" i="3"/>
  <c r="DI26" i="3"/>
  <c r="DH26" i="3"/>
  <c r="DJ26" i="3" s="1"/>
  <c r="DE26" i="3"/>
  <c r="DD26" i="3"/>
  <c r="DF26" i="3" s="1"/>
  <c r="DA26" i="3"/>
  <c r="CZ26" i="3"/>
  <c r="CW26" i="3"/>
  <c r="CV26" i="3"/>
  <c r="CX26" i="3" s="1"/>
  <c r="CT26" i="3"/>
  <c r="CS26" i="3"/>
  <c r="CO26" i="3"/>
  <c r="CN26" i="3"/>
  <c r="CP26" i="3" s="1"/>
  <c r="CK26" i="3"/>
  <c r="CJ26" i="3"/>
  <c r="CL26" i="3" s="1"/>
  <c r="CH26" i="3"/>
  <c r="CG26" i="3"/>
  <c r="CF26" i="3"/>
  <c r="CC26" i="3"/>
  <c r="CB26" i="3"/>
  <c r="CD26" i="3" s="1"/>
  <c r="BY26" i="3"/>
  <c r="BX26" i="3"/>
  <c r="BU26" i="3"/>
  <c r="HB26" i="3" s="1"/>
  <c r="BT26" i="3"/>
  <c r="BV26" i="3" s="1"/>
  <c r="BQ26" i="3"/>
  <c r="BP26" i="3"/>
  <c r="BR26" i="3" s="1"/>
  <c r="BM26" i="3"/>
  <c r="BN26" i="3" s="1"/>
  <c r="BI26" i="3"/>
  <c r="BH26" i="3"/>
  <c r="BJ26" i="3" s="1"/>
  <c r="BF26" i="3"/>
  <c r="BE26" i="3"/>
  <c r="BA26" i="3"/>
  <c r="BB26" i="3" s="1"/>
  <c r="AX26" i="3"/>
  <c r="AW26" i="3"/>
  <c r="AS26" i="3"/>
  <c r="AT26" i="3" s="1"/>
  <c r="AO26" i="3"/>
  <c r="AP26" i="3" s="1"/>
  <c r="AK26" i="3"/>
  <c r="AL26" i="3" s="1"/>
  <c r="AG26" i="3"/>
  <c r="AF26" i="3"/>
  <c r="AH26" i="3" s="1"/>
  <c r="AC26" i="3"/>
  <c r="AD26" i="3" s="1"/>
  <c r="Y26" i="3"/>
  <c r="X26" i="3"/>
  <c r="X76" i="3" s="1"/>
  <c r="V26" i="3"/>
  <c r="U26" i="3"/>
  <c r="T26" i="3"/>
  <c r="T76" i="3" s="1"/>
  <c r="Q26" i="3"/>
  <c r="R26" i="3" s="1"/>
  <c r="N26" i="3"/>
  <c r="M26" i="3"/>
  <c r="I26" i="3"/>
  <c r="J26" i="3" s="1"/>
  <c r="F26" i="3"/>
  <c r="E26" i="3"/>
  <c r="HM25" i="3"/>
  <c r="GR25" i="3"/>
  <c r="GH25" i="3"/>
  <c r="GG25" i="3"/>
  <c r="GD25" i="3"/>
  <c r="GC25" i="3"/>
  <c r="GE25" i="3" s="1"/>
  <c r="GB25" i="3"/>
  <c r="GA25" i="3"/>
  <c r="FZ25" i="3"/>
  <c r="FW25" i="3"/>
  <c r="FV25" i="3"/>
  <c r="FS25" i="3"/>
  <c r="FR25" i="3"/>
  <c r="FQ25" i="3"/>
  <c r="FP25" i="3"/>
  <c r="FO25" i="3"/>
  <c r="FL25" i="3"/>
  <c r="FK25" i="3"/>
  <c r="FM25" i="3" s="1"/>
  <c r="FH25" i="3"/>
  <c r="FG25" i="3"/>
  <c r="FI25" i="3" s="1"/>
  <c r="FD25" i="3"/>
  <c r="FC25" i="3"/>
  <c r="EZ25" i="3"/>
  <c r="EY25" i="3"/>
  <c r="FA25" i="3" s="1"/>
  <c r="EW25" i="3"/>
  <c r="EV25" i="3"/>
  <c r="EU25" i="3"/>
  <c r="ER25" i="3"/>
  <c r="HJ25" i="3" s="1"/>
  <c r="EQ25" i="3"/>
  <c r="EO25" i="3"/>
  <c r="HR25" i="3" s="1"/>
  <c r="EN25" i="3"/>
  <c r="EL25" i="3"/>
  <c r="EK25" i="3"/>
  <c r="EJ25" i="3"/>
  <c r="EG25" i="3"/>
  <c r="EF25" i="3"/>
  <c r="EH25" i="3" s="1"/>
  <c r="EC25" i="3"/>
  <c r="EB25" i="3"/>
  <c r="ED25" i="3" s="1"/>
  <c r="DY25" i="3"/>
  <c r="DX25" i="3"/>
  <c r="DU25" i="3"/>
  <c r="DT25" i="3"/>
  <c r="DV25" i="3" s="1"/>
  <c r="DR25" i="3"/>
  <c r="DQ25" i="3"/>
  <c r="HN25" i="3" s="1"/>
  <c r="DP25" i="3"/>
  <c r="DM25" i="3"/>
  <c r="HF25" i="3" s="1"/>
  <c r="DL25" i="3"/>
  <c r="HE25" i="3" s="1"/>
  <c r="HG25" i="3" s="1"/>
  <c r="DI25" i="3"/>
  <c r="DH25" i="3"/>
  <c r="DJ25" i="3" s="1"/>
  <c r="DF25" i="3"/>
  <c r="DE25" i="3"/>
  <c r="DD25" i="3"/>
  <c r="DA25" i="3"/>
  <c r="CZ25" i="3"/>
  <c r="DB25" i="3" s="1"/>
  <c r="CW25" i="3"/>
  <c r="CV25" i="3"/>
  <c r="CX25" i="3" s="1"/>
  <c r="CS25" i="3"/>
  <c r="CT25" i="3" s="1"/>
  <c r="CP25" i="3"/>
  <c r="CO25" i="3"/>
  <c r="CN25" i="3"/>
  <c r="CK25" i="3"/>
  <c r="CJ25" i="3"/>
  <c r="CG25" i="3"/>
  <c r="CF25" i="3"/>
  <c r="CH25" i="3" s="1"/>
  <c r="CD25" i="3"/>
  <c r="CC25" i="3"/>
  <c r="CB25" i="3"/>
  <c r="BY25" i="3"/>
  <c r="BX25" i="3"/>
  <c r="BZ25" i="3" s="1"/>
  <c r="BU25" i="3"/>
  <c r="HB25" i="3" s="1"/>
  <c r="BT25" i="3"/>
  <c r="BQ25" i="3"/>
  <c r="BP25" i="3"/>
  <c r="BM25" i="3"/>
  <c r="BL25" i="3"/>
  <c r="BN25" i="3" s="1"/>
  <c r="BJ25" i="3"/>
  <c r="BI25" i="3"/>
  <c r="BH25" i="3"/>
  <c r="BE25" i="3"/>
  <c r="BB25" i="3"/>
  <c r="BA25" i="3"/>
  <c r="AW25" i="3"/>
  <c r="AX25" i="3" s="1"/>
  <c r="AT25" i="3"/>
  <c r="AS25" i="3"/>
  <c r="AO25" i="3"/>
  <c r="AP25" i="3" s="1"/>
  <c r="AK25" i="3"/>
  <c r="GS25" i="3" s="1"/>
  <c r="GT25" i="3" s="1"/>
  <c r="AG25" i="3"/>
  <c r="AF25" i="3"/>
  <c r="AC25" i="3"/>
  <c r="AD25" i="3" s="1"/>
  <c r="Z25" i="3"/>
  <c r="Y25" i="3"/>
  <c r="U25" i="3"/>
  <c r="V25" i="3" s="1"/>
  <c r="Q25" i="3"/>
  <c r="R25" i="3" s="1"/>
  <c r="M25" i="3"/>
  <c r="N25" i="3" s="1"/>
  <c r="I25" i="3"/>
  <c r="E25" i="3"/>
  <c r="F25" i="3" s="1"/>
  <c r="HN24" i="3"/>
  <c r="GR24" i="3"/>
  <c r="GH24" i="3"/>
  <c r="GG24" i="3"/>
  <c r="GD24" i="3"/>
  <c r="GC24" i="3"/>
  <c r="GE24" i="3" s="1"/>
  <c r="GB24" i="3"/>
  <c r="GA24" i="3"/>
  <c r="FZ24" i="3"/>
  <c r="FX24" i="3"/>
  <c r="FW24" i="3"/>
  <c r="FV24" i="3"/>
  <c r="FS24" i="3"/>
  <c r="FR24" i="3"/>
  <c r="FP24" i="3"/>
  <c r="FO24" i="3"/>
  <c r="FL24" i="3"/>
  <c r="FK24" i="3"/>
  <c r="FM24" i="3" s="1"/>
  <c r="FH24" i="3"/>
  <c r="FG24" i="3"/>
  <c r="FI24" i="3" s="1"/>
  <c r="FD24" i="3"/>
  <c r="FC24" i="3"/>
  <c r="EZ24" i="3"/>
  <c r="EY24" i="3"/>
  <c r="FA24" i="3" s="1"/>
  <c r="EW24" i="3"/>
  <c r="EV24" i="3"/>
  <c r="EU24" i="3"/>
  <c r="ES24" i="3"/>
  <c r="ER24" i="3"/>
  <c r="EQ24" i="3"/>
  <c r="EO24" i="3"/>
  <c r="EN24" i="3"/>
  <c r="HQ24" i="3" s="1"/>
  <c r="EK24" i="3"/>
  <c r="EJ24" i="3"/>
  <c r="EG24" i="3"/>
  <c r="EF24" i="3"/>
  <c r="EH24" i="3" s="1"/>
  <c r="EC24" i="3"/>
  <c r="EB24" i="3"/>
  <c r="ED24" i="3" s="1"/>
  <c r="DY24" i="3"/>
  <c r="DX24" i="3"/>
  <c r="DU24" i="3"/>
  <c r="DT24" i="3"/>
  <c r="DV24" i="3" s="1"/>
  <c r="DR24" i="3"/>
  <c r="DQ24" i="3"/>
  <c r="DP24" i="3"/>
  <c r="HM24" i="3" s="1"/>
  <c r="HO24" i="3" s="1"/>
  <c r="DN24" i="3"/>
  <c r="DM24" i="3"/>
  <c r="DL24" i="3"/>
  <c r="DI24" i="3"/>
  <c r="DH24" i="3"/>
  <c r="DE24" i="3"/>
  <c r="DD24" i="3"/>
  <c r="DA24" i="3"/>
  <c r="CZ24" i="3"/>
  <c r="DB24" i="3" s="1"/>
  <c r="CW24" i="3"/>
  <c r="CV24" i="3"/>
  <c r="CX24" i="3" s="1"/>
  <c r="CS24" i="3"/>
  <c r="CT24" i="3" s="1"/>
  <c r="CO24" i="3"/>
  <c r="CN24" i="3"/>
  <c r="CP24" i="3" s="1"/>
  <c r="CL24" i="3"/>
  <c r="CK24" i="3"/>
  <c r="CJ24" i="3"/>
  <c r="CG24" i="3"/>
  <c r="CF24" i="3"/>
  <c r="CC24" i="3"/>
  <c r="CB24" i="3"/>
  <c r="BZ24" i="3"/>
  <c r="BY24" i="3"/>
  <c r="BX24" i="3"/>
  <c r="BU24" i="3"/>
  <c r="BT24" i="3"/>
  <c r="BV24" i="3" s="1"/>
  <c r="BQ24" i="3"/>
  <c r="BP24" i="3"/>
  <c r="BR24" i="3" s="1"/>
  <c r="BM24" i="3"/>
  <c r="BL24" i="3"/>
  <c r="BI24" i="3"/>
  <c r="BH24" i="3"/>
  <c r="BJ24" i="3" s="1"/>
  <c r="BF24" i="3"/>
  <c r="BE24" i="3"/>
  <c r="GX24" i="3" s="1"/>
  <c r="BA24" i="3"/>
  <c r="BB24" i="3" s="1"/>
  <c r="AX24" i="3"/>
  <c r="AW24" i="3"/>
  <c r="AS24" i="3"/>
  <c r="AT24" i="3" s="1"/>
  <c r="AO24" i="3"/>
  <c r="AP24" i="3" s="1"/>
  <c r="AK24" i="3"/>
  <c r="AL24" i="3" s="1"/>
  <c r="AG24" i="3"/>
  <c r="AF24" i="3"/>
  <c r="AH24" i="3" s="1"/>
  <c r="AC24" i="3"/>
  <c r="AD24" i="3" s="1"/>
  <c r="Y24" i="3"/>
  <c r="Z24" i="3" s="1"/>
  <c r="U24" i="3"/>
  <c r="V24" i="3" s="1"/>
  <c r="R24" i="3"/>
  <c r="Q24" i="3"/>
  <c r="M24" i="3"/>
  <c r="N24" i="3" s="1"/>
  <c r="J24" i="3"/>
  <c r="I24" i="3"/>
  <c r="E24" i="3"/>
  <c r="GR23" i="3"/>
  <c r="GI23" i="3"/>
  <c r="GH23" i="3"/>
  <c r="GG23" i="3"/>
  <c r="GD23" i="3"/>
  <c r="GC23" i="3"/>
  <c r="GA23" i="3"/>
  <c r="FZ23" i="3"/>
  <c r="GB23" i="3" s="1"/>
  <c r="FX23" i="3"/>
  <c r="FW23" i="3"/>
  <c r="FV23" i="3"/>
  <c r="FS23" i="3"/>
  <c r="FR23" i="3"/>
  <c r="FT23" i="3" s="1"/>
  <c r="FP23" i="3"/>
  <c r="FO23" i="3"/>
  <c r="FQ23" i="3" s="1"/>
  <c r="FL23" i="3"/>
  <c r="FK23" i="3"/>
  <c r="FH23" i="3"/>
  <c r="FG23" i="3"/>
  <c r="FI23" i="3" s="1"/>
  <c r="FE23" i="3"/>
  <c r="FD23" i="3"/>
  <c r="FC23" i="3"/>
  <c r="EZ23" i="3"/>
  <c r="HJ23" i="3" s="1"/>
  <c r="EY23" i="3"/>
  <c r="HI23" i="3" s="1"/>
  <c r="EV23" i="3"/>
  <c r="EU23" i="3"/>
  <c r="EW23" i="3" s="1"/>
  <c r="ES23" i="3"/>
  <c r="ER23" i="3"/>
  <c r="EQ23" i="3"/>
  <c r="EO23" i="3"/>
  <c r="HR23" i="3" s="1"/>
  <c r="EN23" i="3"/>
  <c r="HQ23" i="3" s="1"/>
  <c r="EK23" i="3"/>
  <c r="EJ23" i="3"/>
  <c r="EL23" i="3" s="1"/>
  <c r="EG23" i="3"/>
  <c r="EF23" i="3"/>
  <c r="EC23" i="3"/>
  <c r="EB23" i="3"/>
  <c r="ED23" i="3" s="1"/>
  <c r="DZ23" i="3"/>
  <c r="DY23" i="3"/>
  <c r="DX23" i="3"/>
  <c r="DU23" i="3"/>
  <c r="DT23" i="3"/>
  <c r="DQ23" i="3"/>
  <c r="HN23" i="3" s="1"/>
  <c r="DP23" i="3"/>
  <c r="DN23" i="3"/>
  <c r="DM23" i="3"/>
  <c r="DL23" i="3"/>
  <c r="DI23" i="3"/>
  <c r="DH23" i="3"/>
  <c r="DJ23" i="3" s="1"/>
  <c r="DE23" i="3"/>
  <c r="DD23" i="3"/>
  <c r="DF23" i="3" s="1"/>
  <c r="DA23" i="3"/>
  <c r="CZ23" i="3"/>
  <c r="CW23" i="3"/>
  <c r="CV23" i="3"/>
  <c r="CX23" i="3" s="1"/>
  <c r="CT23" i="3"/>
  <c r="CS23" i="3"/>
  <c r="CO23" i="3"/>
  <c r="CN23" i="3"/>
  <c r="CP23" i="3" s="1"/>
  <c r="CL23" i="3"/>
  <c r="CK23" i="3"/>
  <c r="CJ23" i="3"/>
  <c r="CH23" i="3"/>
  <c r="CG23" i="3"/>
  <c r="CF23" i="3"/>
  <c r="CC23" i="3"/>
  <c r="CB23" i="3"/>
  <c r="CD23" i="3" s="1"/>
  <c r="BY23" i="3"/>
  <c r="BX23" i="3"/>
  <c r="BU23" i="3"/>
  <c r="HB23" i="3" s="1"/>
  <c r="BT23" i="3"/>
  <c r="BQ23" i="3"/>
  <c r="BP23" i="3"/>
  <c r="BR23" i="3" s="1"/>
  <c r="BM23" i="3"/>
  <c r="GX23" i="3" s="1"/>
  <c r="GY23" i="3" s="1"/>
  <c r="BL23" i="3"/>
  <c r="GW23" i="3" s="1"/>
  <c r="BI23" i="3"/>
  <c r="BH23" i="3"/>
  <c r="BJ23" i="3" s="1"/>
  <c r="BF23" i="3"/>
  <c r="BE23" i="3"/>
  <c r="BA23" i="3"/>
  <c r="BB23" i="3" s="1"/>
  <c r="AX23" i="3"/>
  <c r="AW23" i="3"/>
  <c r="AS23" i="3"/>
  <c r="AT23" i="3" s="1"/>
  <c r="AO23" i="3"/>
  <c r="AP23" i="3" s="1"/>
  <c r="AK23" i="3"/>
  <c r="AL23" i="3" s="1"/>
  <c r="AG23" i="3"/>
  <c r="AF23" i="3"/>
  <c r="AH23" i="3" s="1"/>
  <c r="AD23" i="3"/>
  <c r="AC23" i="3"/>
  <c r="Y23" i="3"/>
  <c r="Z23" i="3" s="1"/>
  <c r="V23" i="3"/>
  <c r="U23" i="3"/>
  <c r="Q23" i="3"/>
  <c r="R23" i="3" s="1"/>
  <c r="N23" i="3"/>
  <c r="M23" i="3"/>
  <c r="I23" i="3"/>
  <c r="J23" i="3" s="1"/>
  <c r="F23" i="3"/>
  <c r="E23" i="3"/>
  <c r="GR22" i="3"/>
  <c r="GI22" i="3"/>
  <c r="GH22" i="3"/>
  <c r="GG22" i="3"/>
  <c r="GE22" i="3"/>
  <c r="GD22" i="3"/>
  <c r="GC22" i="3"/>
  <c r="GA22" i="3"/>
  <c r="FZ22" i="3"/>
  <c r="GB22" i="3" s="1"/>
  <c r="FW22" i="3"/>
  <c r="FV22" i="3"/>
  <c r="FS22" i="3"/>
  <c r="FR22" i="3"/>
  <c r="FT22" i="3" s="1"/>
  <c r="FP22" i="3"/>
  <c r="FO22" i="3"/>
  <c r="FQ22" i="3" s="1"/>
  <c r="FL22" i="3"/>
  <c r="FK22" i="3"/>
  <c r="FH22" i="3"/>
  <c r="FG22" i="3"/>
  <c r="FI22" i="3" s="1"/>
  <c r="FE22" i="3"/>
  <c r="FD22" i="3"/>
  <c r="FC22" i="3"/>
  <c r="FA22" i="3"/>
  <c r="EZ22" i="3"/>
  <c r="EY22" i="3"/>
  <c r="EV22" i="3"/>
  <c r="EU22" i="3"/>
  <c r="EW22" i="3" s="1"/>
  <c r="ER22" i="3"/>
  <c r="EQ22" i="3"/>
  <c r="EO22" i="3"/>
  <c r="HR22" i="3" s="1"/>
  <c r="EN22" i="3"/>
  <c r="HQ22" i="3" s="1"/>
  <c r="EK22" i="3"/>
  <c r="EJ22" i="3"/>
  <c r="EL22" i="3" s="1"/>
  <c r="EG22" i="3"/>
  <c r="EF22" i="3"/>
  <c r="EC22" i="3"/>
  <c r="EB22" i="3"/>
  <c r="ED22" i="3" s="1"/>
  <c r="DZ22" i="3"/>
  <c r="DY22" i="3"/>
  <c r="DX22" i="3"/>
  <c r="DV22" i="3"/>
  <c r="DU22" i="3"/>
  <c r="DT22" i="3"/>
  <c r="DQ22" i="3"/>
  <c r="HN22" i="3" s="1"/>
  <c r="DP22" i="3"/>
  <c r="HM22" i="3" s="1"/>
  <c r="HO22" i="3" s="1"/>
  <c r="DM22" i="3"/>
  <c r="HF22" i="3" s="1"/>
  <c r="DL22" i="3"/>
  <c r="DI22" i="3"/>
  <c r="DH22" i="3"/>
  <c r="DJ22" i="3" s="1"/>
  <c r="DE22" i="3"/>
  <c r="DD22" i="3"/>
  <c r="DF22" i="3" s="1"/>
  <c r="DA22" i="3"/>
  <c r="CZ22" i="3"/>
  <c r="CW22" i="3"/>
  <c r="CV22" i="3"/>
  <c r="CX22" i="3" s="1"/>
  <c r="CT22" i="3"/>
  <c r="CS22" i="3"/>
  <c r="CO22" i="3"/>
  <c r="CN22" i="3"/>
  <c r="CP22" i="3" s="1"/>
  <c r="CK22" i="3"/>
  <c r="CJ22" i="3"/>
  <c r="CG22" i="3"/>
  <c r="CF22" i="3"/>
  <c r="CH22" i="3" s="1"/>
  <c r="CC22" i="3"/>
  <c r="CB22" i="3"/>
  <c r="CD22" i="3" s="1"/>
  <c r="BY22" i="3"/>
  <c r="BX22" i="3"/>
  <c r="BU22" i="3"/>
  <c r="HB22" i="3" s="1"/>
  <c r="BT22" i="3"/>
  <c r="BV22" i="3" s="1"/>
  <c r="BQ22" i="3"/>
  <c r="BP22" i="3"/>
  <c r="BR22" i="3" s="1"/>
  <c r="BM22" i="3"/>
  <c r="BL22" i="3"/>
  <c r="BI22" i="3"/>
  <c r="BH22" i="3"/>
  <c r="BF22" i="3"/>
  <c r="BE22" i="3"/>
  <c r="BA22" i="3"/>
  <c r="BB22" i="3" s="1"/>
  <c r="AX22" i="3"/>
  <c r="AW22" i="3"/>
  <c r="AS22" i="3"/>
  <c r="AT22" i="3" s="1"/>
  <c r="AO22" i="3"/>
  <c r="AP22" i="3" s="1"/>
  <c r="AK22" i="3"/>
  <c r="AG22" i="3"/>
  <c r="AF22" i="3"/>
  <c r="AH22" i="3" s="1"/>
  <c r="AD22" i="3"/>
  <c r="AC22" i="3"/>
  <c r="Y22" i="3"/>
  <c r="Z22" i="3" s="1"/>
  <c r="V22" i="3"/>
  <c r="U22" i="3"/>
  <c r="Q22" i="3"/>
  <c r="R22" i="3" s="1"/>
  <c r="M22" i="3"/>
  <c r="N22" i="3" s="1"/>
  <c r="I22" i="3"/>
  <c r="J22" i="3" s="1"/>
  <c r="E22" i="3"/>
  <c r="HQ21" i="3"/>
  <c r="GR21" i="3"/>
  <c r="GH21" i="3"/>
  <c r="GG21" i="3"/>
  <c r="GI21" i="3" s="1"/>
  <c r="GE21" i="3"/>
  <c r="GD21" i="3"/>
  <c r="GC21" i="3"/>
  <c r="GA21" i="3"/>
  <c r="FZ21" i="3"/>
  <c r="FW21" i="3"/>
  <c r="FV21" i="3"/>
  <c r="FX21" i="3" s="1"/>
  <c r="FT21" i="3"/>
  <c r="FS21" i="3"/>
  <c r="FR21" i="3"/>
  <c r="FP21" i="3"/>
  <c r="FO21" i="3"/>
  <c r="FQ21" i="3" s="1"/>
  <c r="FL21" i="3"/>
  <c r="FK21" i="3"/>
  <c r="FH21" i="3"/>
  <c r="FG21" i="3"/>
  <c r="FD21" i="3"/>
  <c r="FC21" i="3"/>
  <c r="FE21" i="3" s="1"/>
  <c r="FA21" i="3"/>
  <c r="EZ21" i="3"/>
  <c r="EY21" i="3"/>
  <c r="EV21" i="3"/>
  <c r="EU21" i="3"/>
  <c r="ER21" i="3"/>
  <c r="EQ21" i="3"/>
  <c r="EP21" i="3"/>
  <c r="EO21" i="3"/>
  <c r="EN21" i="3"/>
  <c r="EK21" i="3"/>
  <c r="EJ21" i="3"/>
  <c r="EL21" i="3" s="1"/>
  <c r="EG21" i="3"/>
  <c r="EF21" i="3"/>
  <c r="EC21" i="3"/>
  <c r="EB21" i="3"/>
  <c r="DY21" i="3"/>
  <c r="DX21" i="3"/>
  <c r="DZ21" i="3" s="1"/>
  <c r="DV21" i="3"/>
  <c r="DU21" i="3"/>
  <c r="DT21" i="3"/>
  <c r="DQ21" i="3"/>
  <c r="HN21" i="3" s="1"/>
  <c r="DP21" i="3"/>
  <c r="HM21" i="3" s="1"/>
  <c r="DM21" i="3"/>
  <c r="DL21" i="3"/>
  <c r="DJ21" i="3"/>
  <c r="DI21" i="3"/>
  <c r="DH21" i="3"/>
  <c r="DE21" i="3"/>
  <c r="DD21" i="3"/>
  <c r="DF21" i="3" s="1"/>
  <c r="DA21" i="3"/>
  <c r="CZ21" i="3"/>
  <c r="CW21" i="3"/>
  <c r="CV21" i="3"/>
  <c r="CS21" i="3"/>
  <c r="CT21" i="3" s="1"/>
  <c r="CO21" i="3"/>
  <c r="CN21" i="3"/>
  <c r="CK21" i="3"/>
  <c r="CJ21" i="3"/>
  <c r="CL21" i="3" s="1"/>
  <c r="CH21" i="3"/>
  <c r="CG21" i="3"/>
  <c r="CF21" i="3"/>
  <c r="CC21" i="3"/>
  <c r="CB21" i="3"/>
  <c r="CD21" i="3" s="1"/>
  <c r="BY21" i="3"/>
  <c r="BX21" i="3"/>
  <c r="BU21" i="3"/>
  <c r="BT21" i="3"/>
  <c r="BQ21" i="3"/>
  <c r="BP21" i="3"/>
  <c r="BR21" i="3" s="1"/>
  <c r="BN21" i="3"/>
  <c r="BM21" i="3"/>
  <c r="BL21" i="3"/>
  <c r="BI21" i="3"/>
  <c r="BH21" i="3"/>
  <c r="BE21" i="3"/>
  <c r="BA21" i="3"/>
  <c r="BB21" i="3" s="1"/>
  <c r="AW21" i="3"/>
  <c r="AX21" i="3" s="1"/>
  <c r="AS21" i="3"/>
  <c r="AT21" i="3" s="1"/>
  <c r="AO21" i="3"/>
  <c r="AP21" i="3" s="1"/>
  <c r="AL21" i="3"/>
  <c r="AK21" i="3"/>
  <c r="GS21" i="3" s="1"/>
  <c r="AG21" i="3"/>
  <c r="AF21" i="3"/>
  <c r="AD21" i="3"/>
  <c r="AC21" i="3"/>
  <c r="Y21" i="3"/>
  <c r="Z21" i="3" s="1"/>
  <c r="V21" i="3"/>
  <c r="U21" i="3"/>
  <c r="Q21" i="3"/>
  <c r="R21" i="3" s="1"/>
  <c r="M21" i="3"/>
  <c r="N21" i="3" s="1"/>
  <c r="I21" i="3"/>
  <c r="J21" i="3" s="1"/>
  <c r="E21" i="3"/>
  <c r="F21" i="3" s="1"/>
  <c r="HM20" i="3"/>
  <c r="GR20" i="3"/>
  <c r="GH20" i="3"/>
  <c r="GG20" i="3"/>
  <c r="GD20" i="3"/>
  <c r="GC20" i="3"/>
  <c r="GE20" i="3" s="1"/>
  <c r="GB20" i="3"/>
  <c r="GA20" i="3"/>
  <c r="FZ20" i="3"/>
  <c r="FW20" i="3"/>
  <c r="FV20" i="3"/>
  <c r="FS20" i="3"/>
  <c r="FR20" i="3"/>
  <c r="FT20" i="3" s="1"/>
  <c r="FQ20" i="3"/>
  <c r="FP20" i="3"/>
  <c r="FO20" i="3"/>
  <c r="FL20" i="3"/>
  <c r="HR20" i="3" s="1"/>
  <c r="FK20" i="3"/>
  <c r="FM20" i="3" s="1"/>
  <c r="FH20" i="3"/>
  <c r="FG20" i="3"/>
  <c r="FD20" i="3"/>
  <c r="FC20" i="3"/>
  <c r="EZ20" i="3"/>
  <c r="EY20" i="3"/>
  <c r="FA20" i="3" s="1"/>
  <c r="EW20" i="3"/>
  <c r="EV20" i="3"/>
  <c r="EU20" i="3"/>
  <c r="ER20" i="3"/>
  <c r="HJ20" i="3" s="1"/>
  <c r="EQ20" i="3"/>
  <c r="EO20" i="3"/>
  <c r="EN20" i="3"/>
  <c r="EL20" i="3"/>
  <c r="EK20" i="3"/>
  <c r="EJ20" i="3"/>
  <c r="EG20" i="3"/>
  <c r="EF20" i="3"/>
  <c r="EH20" i="3" s="1"/>
  <c r="EC20" i="3"/>
  <c r="EB20" i="3"/>
  <c r="DY20" i="3"/>
  <c r="DX20" i="3"/>
  <c r="DU20" i="3"/>
  <c r="DT20" i="3"/>
  <c r="DV20" i="3" s="1"/>
  <c r="DR20" i="3"/>
  <c r="DQ20" i="3"/>
  <c r="HN20" i="3" s="1"/>
  <c r="DP20" i="3"/>
  <c r="DM20" i="3"/>
  <c r="HF20" i="3" s="1"/>
  <c r="DL20" i="3"/>
  <c r="HE20" i="3" s="1"/>
  <c r="HG20" i="3" s="1"/>
  <c r="DI20" i="3"/>
  <c r="DH20" i="3"/>
  <c r="DJ20" i="3" s="1"/>
  <c r="DF20" i="3"/>
  <c r="DE20" i="3"/>
  <c r="DD20" i="3"/>
  <c r="DA20" i="3"/>
  <c r="CZ20" i="3"/>
  <c r="DB20" i="3" s="1"/>
  <c r="CW20" i="3"/>
  <c r="CV20" i="3"/>
  <c r="CS20" i="3"/>
  <c r="CT20" i="3" s="1"/>
  <c r="CP20" i="3"/>
  <c r="CO20" i="3"/>
  <c r="CN20" i="3"/>
  <c r="CK20" i="3"/>
  <c r="CJ20" i="3"/>
  <c r="CG20" i="3"/>
  <c r="CF20" i="3"/>
  <c r="CH20" i="3" s="1"/>
  <c r="CD20" i="3"/>
  <c r="CC20" i="3"/>
  <c r="CB20" i="3"/>
  <c r="BY20" i="3"/>
  <c r="BX20" i="3"/>
  <c r="BZ20" i="3" s="1"/>
  <c r="BU20" i="3"/>
  <c r="BT20" i="3"/>
  <c r="BQ20" i="3"/>
  <c r="BP20" i="3"/>
  <c r="BM20" i="3"/>
  <c r="BL20" i="3"/>
  <c r="BN20" i="3" s="1"/>
  <c r="BJ20" i="3"/>
  <c r="BI20" i="3"/>
  <c r="BH20" i="3"/>
  <c r="BE20" i="3"/>
  <c r="BB20" i="3"/>
  <c r="BA20" i="3"/>
  <c r="AW20" i="3"/>
  <c r="AX20" i="3" s="1"/>
  <c r="AT20" i="3"/>
  <c r="AS20" i="3"/>
  <c r="AO20" i="3"/>
  <c r="AP20" i="3" s="1"/>
  <c r="AK20" i="3"/>
  <c r="GS20" i="3" s="1"/>
  <c r="GT20" i="3" s="1"/>
  <c r="AG20" i="3"/>
  <c r="AF20" i="3"/>
  <c r="AC20" i="3"/>
  <c r="AD20" i="3" s="1"/>
  <c r="Y20" i="3"/>
  <c r="Z20" i="3" s="1"/>
  <c r="U20" i="3"/>
  <c r="V20" i="3" s="1"/>
  <c r="Q20" i="3"/>
  <c r="R20" i="3" s="1"/>
  <c r="M20" i="3"/>
  <c r="N20" i="3" s="1"/>
  <c r="J20" i="3"/>
  <c r="I20" i="3"/>
  <c r="E20" i="3"/>
  <c r="F20" i="3" s="1"/>
  <c r="GR19" i="3"/>
  <c r="GH19" i="3"/>
  <c r="GG19" i="3"/>
  <c r="GD19" i="3"/>
  <c r="GC19" i="3"/>
  <c r="GE19" i="3" s="1"/>
  <c r="GB19" i="3"/>
  <c r="GA19" i="3"/>
  <c r="FZ19" i="3"/>
  <c r="FX19" i="3"/>
  <c r="FW19" i="3"/>
  <c r="FV19" i="3"/>
  <c r="FS19" i="3"/>
  <c r="FR19" i="3"/>
  <c r="FT19" i="3" s="1"/>
  <c r="FP19" i="3"/>
  <c r="FO19" i="3"/>
  <c r="FL19" i="3"/>
  <c r="FK19" i="3"/>
  <c r="FM19" i="3" s="1"/>
  <c r="FH19" i="3"/>
  <c r="FG19" i="3"/>
  <c r="FD19" i="3"/>
  <c r="FC19" i="3"/>
  <c r="EZ19" i="3"/>
  <c r="EY19" i="3"/>
  <c r="EW19" i="3"/>
  <c r="EV19" i="3"/>
  <c r="EU19" i="3"/>
  <c r="ER19" i="3"/>
  <c r="EQ19" i="3"/>
  <c r="ES19" i="3" s="1"/>
  <c r="EO19" i="3"/>
  <c r="HR19" i="3" s="1"/>
  <c r="EN19" i="3"/>
  <c r="EK19" i="3"/>
  <c r="EJ19" i="3"/>
  <c r="EG19" i="3"/>
  <c r="EF19" i="3"/>
  <c r="EH19" i="3" s="1"/>
  <c r="EC19" i="3"/>
  <c r="ED19" i="3" s="1"/>
  <c r="EB19" i="3"/>
  <c r="DY19" i="3"/>
  <c r="DX19" i="3"/>
  <c r="DZ19" i="3" s="1"/>
  <c r="DU19" i="3"/>
  <c r="DT19" i="3"/>
  <c r="DQ19" i="3"/>
  <c r="HN19" i="3" s="1"/>
  <c r="DP19" i="3"/>
  <c r="DR19" i="3" s="1"/>
  <c r="DM19" i="3"/>
  <c r="DL19" i="3"/>
  <c r="HE19" i="3" s="1"/>
  <c r="DI19" i="3"/>
  <c r="DH19" i="3"/>
  <c r="DE19" i="3"/>
  <c r="DD19" i="3"/>
  <c r="DF19" i="3" s="1"/>
  <c r="DB19" i="3"/>
  <c r="DA19" i="3"/>
  <c r="CZ19" i="3"/>
  <c r="CW19" i="3"/>
  <c r="CX19" i="3" s="1"/>
  <c r="CV19" i="3"/>
  <c r="CS19" i="3"/>
  <c r="CT19" i="3" s="1"/>
  <c r="CO19" i="3"/>
  <c r="CN19" i="3"/>
  <c r="CP19" i="3" s="1"/>
  <c r="CK19" i="3"/>
  <c r="CL19" i="3" s="1"/>
  <c r="CJ19" i="3"/>
  <c r="CG19" i="3"/>
  <c r="CF19" i="3"/>
  <c r="CC19" i="3"/>
  <c r="CB19" i="3"/>
  <c r="BZ19" i="3"/>
  <c r="BY19" i="3"/>
  <c r="BX19" i="3"/>
  <c r="BU19" i="3"/>
  <c r="BT19" i="3"/>
  <c r="BQ19" i="3"/>
  <c r="BP19" i="3"/>
  <c r="BM19" i="3"/>
  <c r="BL19" i="3"/>
  <c r="BN19" i="3" s="1"/>
  <c r="BJ19" i="3"/>
  <c r="BI19" i="3"/>
  <c r="BE19" i="3"/>
  <c r="BF19" i="3" s="1"/>
  <c r="BB19" i="3"/>
  <c r="BA19" i="3"/>
  <c r="AW19" i="3"/>
  <c r="AX19" i="3" s="1"/>
  <c r="AS19" i="3"/>
  <c r="AT19" i="3" s="1"/>
  <c r="AO19" i="3"/>
  <c r="AP19" i="3" s="1"/>
  <c r="AK19" i="3"/>
  <c r="GS19" i="3" s="1"/>
  <c r="AG19" i="3"/>
  <c r="AF19" i="3"/>
  <c r="AC19" i="3"/>
  <c r="AD19" i="3" s="1"/>
  <c r="Y19" i="3"/>
  <c r="Z19" i="3" s="1"/>
  <c r="V19" i="3"/>
  <c r="U19" i="3"/>
  <c r="Q19" i="3"/>
  <c r="R19" i="3" s="1"/>
  <c r="N19" i="3"/>
  <c r="M19" i="3"/>
  <c r="I19" i="3"/>
  <c r="J19" i="3" s="1"/>
  <c r="E19" i="3"/>
  <c r="GP19" i="3" s="1"/>
  <c r="GR18" i="3"/>
  <c r="GH18" i="3"/>
  <c r="GG18" i="3"/>
  <c r="GI18" i="3" s="1"/>
  <c r="GD18" i="3"/>
  <c r="GC18" i="3"/>
  <c r="GA18" i="3"/>
  <c r="FZ18" i="3"/>
  <c r="GB18" i="3" s="1"/>
  <c r="FW18" i="3"/>
  <c r="FX18" i="3" s="1"/>
  <c r="FV18" i="3"/>
  <c r="FS18" i="3"/>
  <c r="FR18" i="3"/>
  <c r="FT18" i="3" s="1"/>
  <c r="FP18" i="3"/>
  <c r="FO18" i="3"/>
  <c r="FL18" i="3"/>
  <c r="HR18" i="3" s="1"/>
  <c r="FK18" i="3"/>
  <c r="FM18" i="3" s="1"/>
  <c r="FH18" i="3"/>
  <c r="FG18" i="3"/>
  <c r="FI18" i="3" s="1"/>
  <c r="FD18" i="3"/>
  <c r="FC18" i="3"/>
  <c r="EZ18" i="3"/>
  <c r="EY18" i="3"/>
  <c r="FA18" i="3" s="1"/>
  <c r="EW18" i="3"/>
  <c r="EV18" i="3"/>
  <c r="EU18" i="3"/>
  <c r="ER18" i="3"/>
  <c r="HJ18" i="3" s="1"/>
  <c r="EQ18" i="3"/>
  <c r="EO18" i="3"/>
  <c r="EN18" i="3"/>
  <c r="EK18" i="3"/>
  <c r="HB18" i="3" s="1"/>
  <c r="EJ18" i="3"/>
  <c r="EG18" i="3"/>
  <c r="EF18" i="3"/>
  <c r="EH18" i="3" s="1"/>
  <c r="ED18" i="3"/>
  <c r="EC18" i="3"/>
  <c r="EB18" i="3"/>
  <c r="DY18" i="3"/>
  <c r="DX18" i="3"/>
  <c r="DU18" i="3"/>
  <c r="DT18" i="3"/>
  <c r="DV18" i="3" s="1"/>
  <c r="DR18" i="3"/>
  <c r="DQ18" i="3"/>
  <c r="HN18" i="3" s="1"/>
  <c r="DP18" i="3"/>
  <c r="HM18" i="3" s="1"/>
  <c r="DM18" i="3"/>
  <c r="DL18" i="3"/>
  <c r="HE18" i="3" s="1"/>
  <c r="DI18" i="3"/>
  <c r="DH18" i="3"/>
  <c r="DE18" i="3"/>
  <c r="DD18" i="3"/>
  <c r="DF18" i="3" s="1"/>
  <c r="DB18" i="3"/>
  <c r="DA18" i="3"/>
  <c r="CZ18" i="3"/>
  <c r="CX18" i="3"/>
  <c r="CW18" i="3"/>
  <c r="CV18" i="3"/>
  <c r="CS18" i="3"/>
  <c r="CT18" i="3" s="1"/>
  <c r="CP18" i="3"/>
  <c r="CO18" i="3"/>
  <c r="CN18" i="3"/>
  <c r="CK18" i="3"/>
  <c r="CJ18" i="3"/>
  <c r="CG18" i="3"/>
  <c r="CF18" i="3"/>
  <c r="CC18" i="3"/>
  <c r="CB18" i="3"/>
  <c r="CD18" i="3" s="1"/>
  <c r="BY18" i="3"/>
  <c r="BX18" i="3"/>
  <c r="BU18" i="3"/>
  <c r="BT18" i="3"/>
  <c r="BR18" i="3"/>
  <c r="BQ18" i="3"/>
  <c r="BP18" i="3"/>
  <c r="BM18" i="3"/>
  <c r="BN18" i="3" s="1"/>
  <c r="BL18" i="3"/>
  <c r="BI18" i="3"/>
  <c r="BH18" i="3"/>
  <c r="BJ18" i="3" s="1"/>
  <c r="BE18" i="3"/>
  <c r="GX18" i="3" s="1"/>
  <c r="BA18" i="3"/>
  <c r="BB18" i="3" s="1"/>
  <c r="AW18" i="3"/>
  <c r="AX18" i="3" s="1"/>
  <c r="AS18" i="3"/>
  <c r="AT18" i="3" s="1"/>
  <c r="AO18" i="3"/>
  <c r="AP18" i="3" s="1"/>
  <c r="AK18" i="3"/>
  <c r="GS18" i="3" s="1"/>
  <c r="AG18" i="3"/>
  <c r="AF18" i="3"/>
  <c r="AD18" i="3"/>
  <c r="AC18" i="3"/>
  <c r="Y18" i="3"/>
  <c r="Z18" i="3" s="1"/>
  <c r="U18" i="3"/>
  <c r="V18" i="3" s="1"/>
  <c r="Q18" i="3"/>
  <c r="R18" i="3" s="1"/>
  <c r="M18" i="3"/>
  <c r="N18" i="3" s="1"/>
  <c r="I18" i="3"/>
  <c r="GL18" i="3" s="1"/>
  <c r="F18" i="3"/>
  <c r="E18" i="3"/>
  <c r="GR17" i="3"/>
  <c r="GH17" i="3"/>
  <c r="GG17" i="3"/>
  <c r="GI17" i="3" s="1"/>
  <c r="GE17" i="3"/>
  <c r="GD17" i="3"/>
  <c r="GC17" i="3"/>
  <c r="GA17" i="3"/>
  <c r="FZ17" i="3"/>
  <c r="FW17" i="3"/>
  <c r="FV17" i="3"/>
  <c r="FS17" i="3"/>
  <c r="FR17" i="3"/>
  <c r="FT17" i="3" s="1"/>
  <c r="FQ17" i="3"/>
  <c r="FP17" i="3"/>
  <c r="FO17" i="3"/>
  <c r="FL17" i="3"/>
  <c r="HR17" i="3" s="1"/>
  <c r="FK17" i="3"/>
  <c r="FH17" i="3"/>
  <c r="FG17" i="3"/>
  <c r="FI17" i="3" s="1"/>
  <c r="FD17" i="3"/>
  <c r="FC17" i="3"/>
  <c r="EZ17" i="3"/>
  <c r="EY17" i="3"/>
  <c r="FA17" i="3" s="1"/>
  <c r="EV17" i="3"/>
  <c r="EW17" i="3" s="1"/>
  <c r="EU17" i="3"/>
  <c r="ER17" i="3"/>
  <c r="HJ17" i="3" s="1"/>
  <c r="EQ17" i="3"/>
  <c r="HI17" i="3" s="1"/>
  <c r="HK17" i="3" s="1"/>
  <c r="EO17" i="3"/>
  <c r="EN17" i="3"/>
  <c r="HQ17" i="3" s="1"/>
  <c r="EK17" i="3"/>
  <c r="EJ17" i="3"/>
  <c r="EL17" i="3" s="1"/>
  <c r="EG17" i="3"/>
  <c r="EF17" i="3"/>
  <c r="EC17" i="3"/>
  <c r="EB17" i="3"/>
  <c r="DY17" i="3"/>
  <c r="DX17" i="3"/>
  <c r="DZ17" i="3" s="1"/>
  <c r="DV17" i="3"/>
  <c r="DU17" i="3"/>
  <c r="DT17" i="3"/>
  <c r="DQ17" i="3"/>
  <c r="HN17" i="3" s="1"/>
  <c r="DP17" i="3"/>
  <c r="HM17" i="3" s="1"/>
  <c r="HO17" i="3" s="1"/>
  <c r="DM17" i="3"/>
  <c r="DL17" i="3"/>
  <c r="DI17" i="3"/>
  <c r="DH17" i="3"/>
  <c r="DJ17" i="3" s="1"/>
  <c r="DF17" i="3"/>
  <c r="DE17" i="3"/>
  <c r="DD17" i="3"/>
  <c r="DA17" i="3"/>
  <c r="DB17" i="3" s="1"/>
  <c r="CZ17" i="3"/>
  <c r="CW17" i="3"/>
  <c r="CV17" i="3"/>
  <c r="CX17" i="3" s="1"/>
  <c r="CS17" i="3"/>
  <c r="CT17" i="3" s="1"/>
  <c r="CO17" i="3"/>
  <c r="CP17" i="3" s="1"/>
  <c r="CN17" i="3"/>
  <c r="CK17" i="3"/>
  <c r="CJ17" i="3"/>
  <c r="CL17" i="3" s="1"/>
  <c r="CG17" i="3"/>
  <c r="CF17" i="3"/>
  <c r="CC17" i="3"/>
  <c r="CB17" i="3"/>
  <c r="CD17" i="3" s="1"/>
  <c r="BY17" i="3"/>
  <c r="BX17" i="3"/>
  <c r="BU17" i="3"/>
  <c r="HB17" i="3" s="1"/>
  <c r="BT17" i="3"/>
  <c r="BQ17" i="3"/>
  <c r="BP17" i="3"/>
  <c r="BR17" i="3" s="1"/>
  <c r="BN17" i="3"/>
  <c r="BM17" i="3"/>
  <c r="BL17" i="3"/>
  <c r="BI17" i="3"/>
  <c r="BH17" i="3"/>
  <c r="BE17" i="3"/>
  <c r="BA17" i="3"/>
  <c r="BB17" i="3" s="1"/>
  <c r="AW17" i="3"/>
  <c r="AX17" i="3" s="1"/>
  <c r="AT17" i="3"/>
  <c r="AS17" i="3"/>
  <c r="AO17" i="3"/>
  <c r="AP17" i="3" s="1"/>
  <c r="AL17" i="3"/>
  <c r="AK17" i="3"/>
  <c r="GS17" i="3" s="1"/>
  <c r="GT17" i="3" s="1"/>
  <c r="AG17" i="3"/>
  <c r="AF17" i="3"/>
  <c r="AC17" i="3"/>
  <c r="AD17" i="3" s="1"/>
  <c r="Y17" i="3"/>
  <c r="Z17" i="3" s="1"/>
  <c r="U17" i="3"/>
  <c r="V17" i="3" s="1"/>
  <c r="Q17" i="3"/>
  <c r="R17" i="3" s="1"/>
  <c r="M17" i="3"/>
  <c r="N17" i="3" s="1"/>
  <c r="I17" i="3"/>
  <c r="E17" i="3"/>
  <c r="F17" i="3" s="1"/>
  <c r="GR16" i="3"/>
  <c r="GH16" i="3"/>
  <c r="GG16" i="3"/>
  <c r="GI16" i="3" s="1"/>
  <c r="GD16" i="3"/>
  <c r="GC16" i="3"/>
  <c r="GA16" i="3"/>
  <c r="FZ16" i="3"/>
  <c r="GB16" i="3" s="1"/>
  <c r="FW16" i="3"/>
  <c r="FX16" i="3" s="1"/>
  <c r="FV16" i="3"/>
  <c r="FS16" i="3"/>
  <c r="FR16" i="3"/>
  <c r="FP16" i="3"/>
  <c r="FO16" i="3"/>
  <c r="FM16" i="3"/>
  <c r="FL16" i="3"/>
  <c r="FK16" i="3"/>
  <c r="FH16" i="3"/>
  <c r="FG16" i="3"/>
  <c r="FD16" i="3"/>
  <c r="FC16" i="3"/>
  <c r="EZ16" i="3"/>
  <c r="EY16" i="3"/>
  <c r="FA16" i="3" s="1"/>
  <c r="EW16" i="3"/>
  <c r="EV16" i="3"/>
  <c r="EU16" i="3"/>
  <c r="ER16" i="3"/>
  <c r="HJ16" i="3" s="1"/>
  <c r="EQ16" i="3"/>
  <c r="EO16" i="3"/>
  <c r="HR16" i="3" s="1"/>
  <c r="EN16" i="3"/>
  <c r="HQ16" i="3" s="1"/>
  <c r="EK16" i="3"/>
  <c r="EJ16" i="3"/>
  <c r="EG16" i="3"/>
  <c r="EF16" i="3"/>
  <c r="EH16" i="3" s="1"/>
  <c r="EC16" i="3"/>
  <c r="ED16" i="3" s="1"/>
  <c r="EB16" i="3"/>
  <c r="DY16" i="3"/>
  <c r="DX16" i="3"/>
  <c r="DZ16" i="3" s="1"/>
  <c r="DU16" i="3"/>
  <c r="DT16" i="3"/>
  <c r="DQ16" i="3"/>
  <c r="HN16" i="3" s="1"/>
  <c r="DP16" i="3"/>
  <c r="DR16" i="3" s="1"/>
  <c r="DM16" i="3"/>
  <c r="DL16" i="3"/>
  <c r="DI16" i="3"/>
  <c r="DH16" i="3"/>
  <c r="DE16" i="3"/>
  <c r="DD16" i="3"/>
  <c r="DF16" i="3" s="1"/>
  <c r="DB16" i="3"/>
  <c r="DA16" i="3"/>
  <c r="CZ16" i="3"/>
  <c r="CW16" i="3"/>
  <c r="CV16" i="3"/>
  <c r="CS16" i="3"/>
  <c r="CT16" i="3" s="1"/>
  <c r="CO16" i="3"/>
  <c r="CN16" i="3"/>
  <c r="CP16" i="3" s="1"/>
  <c r="CK16" i="3"/>
  <c r="CL16" i="3" s="1"/>
  <c r="CJ16" i="3"/>
  <c r="CG16" i="3"/>
  <c r="CF16" i="3"/>
  <c r="CH16" i="3" s="1"/>
  <c r="CC16" i="3"/>
  <c r="CB16" i="3"/>
  <c r="BY16" i="3"/>
  <c r="BX16" i="3"/>
  <c r="BZ16" i="3" s="1"/>
  <c r="BU16" i="3"/>
  <c r="BV16" i="3" s="1"/>
  <c r="BT16" i="3"/>
  <c r="BQ16" i="3"/>
  <c r="BP16" i="3"/>
  <c r="BM16" i="3"/>
  <c r="BL16" i="3"/>
  <c r="BJ16" i="3"/>
  <c r="BI16" i="3"/>
  <c r="BH16" i="3"/>
  <c r="BE16" i="3"/>
  <c r="BA16" i="3"/>
  <c r="BB16" i="3" s="1"/>
  <c r="AW16" i="3"/>
  <c r="AX16" i="3" s="1"/>
  <c r="AS16" i="3"/>
  <c r="AT16" i="3" s="1"/>
  <c r="AO16" i="3"/>
  <c r="AP16" i="3" s="1"/>
  <c r="AK16" i="3"/>
  <c r="AL16" i="3" s="1"/>
  <c r="AG16" i="3"/>
  <c r="AH16" i="3" s="1"/>
  <c r="AF16" i="3"/>
  <c r="AC16" i="3"/>
  <c r="AD16" i="3" s="1"/>
  <c r="Z16" i="3"/>
  <c r="Y16" i="3"/>
  <c r="U16" i="3"/>
  <c r="V16" i="3" s="1"/>
  <c r="Q16" i="3"/>
  <c r="R16" i="3" s="1"/>
  <c r="M16" i="3"/>
  <c r="N16" i="3" s="1"/>
  <c r="J16" i="3"/>
  <c r="I16" i="3"/>
  <c r="E16" i="3"/>
  <c r="GP16" i="3" s="1"/>
  <c r="GR15" i="3"/>
  <c r="GH15" i="3"/>
  <c r="GI15" i="3" s="1"/>
  <c r="GG15" i="3"/>
  <c r="GD15" i="3"/>
  <c r="GC15" i="3"/>
  <c r="GA15" i="3"/>
  <c r="FZ15" i="3"/>
  <c r="FW15" i="3"/>
  <c r="FV15" i="3"/>
  <c r="FX15" i="3" s="1"/>
  <c r="FS15" i="3"/>
  <c r="FT15" i="3" s="1"/>
  <c r="FR15" i="3"/>
  <c r="FP15" i="3"/>
  <c r="FO15" i="3"/>
  <c r="FQ15" i="3" s="1"/>
  <c r="FL15" i="3"/>
  <c r="FK15" i="3"/>
  <c r="FH15" i="3"/>
  <c r="FG15" i="3"/>
  <c r="FI15" i="3" s="1"/>
  <c r="FD15" i="3"/>
  <c r="FE15" i="3" s="1"/>
  <c r="FC15" i="3"/>
  <c r="EZ15" i="3"/>
  <c r="HJ15" i="3" s="1"/>
  <c r="EY15" i="3"/>
  <c r="EV15" i="3"/>
  <c r="EU15" i="3"/>
  <c r="ES15" i="3"/>
  <c r="ER15" i="3"/>
  <c r="EQ15" i="3"/>
  <c r="EO15" i="3"/>
  <c r="EN15" i="3"/>
  <c r="HQ15" i="3" s="1"/>
  <c r="EK15" i="3"/>
  <c r="EJ15" i="3"/>
  <c r="EG15" i="3"/>
  <c r="EF15" i="3"/>
  <c r="EH15" i="3" s="1"/>
  <c r="ED15" i="3"/>
  <c r="EC15" i="3"/>
  <c r="EB15" i="3"/>
  <c r="DY15" i="3"/>
  <c r="DZ15" i="3" s="1"/>
  <c r="DX15" i="3"/>
  <c r="DU15" i="3"/>
  <c r="DT15" i="3"/>
  <c r="DV15" i="3" s="1"/>
  <c r="DQ15" i="3"/>
  <c r="HN15" i="3" s="1"/>
  <c r="DP15" i="3"/>
  <c r="HM15" i="3" s="1"/>
  <c r="DM15" i="3"/>
  <c r="HF15" i="3" s="1"/>
  <c r="DL15" i="3"/>
  <c r="DN15" i="3" s="1"/>
  <c r="DI15" i="3"/>
  <c r="DJ15" i="3" s="1"/>
  <c r="DH15" i="3"/>
  <c r="DE15" i="3"/>
  <c r="DD15" i="3"/>
  <c r="DF15" i="3" s="1"/>
  <c r="DA15" i="3"/>
  <c r="CZ15" i="3"/>
  <c r="CW15" i="3"/>
  <c r="CV15" i="3"/>
  <c r="CX15" i="3" s="1"/>
  <c r="CS15" i="3"/>
  <c r="CT15" i="3" s="1"/>
  <c r="CO15" i="3"/>
  <c r="CN15" i="3"/>
  <c r="CP15" i="3" s="1"/>
  <c r="CL15" i="3"/>
  <c r="CK15" i="3"/>
  <c r="CJ15" i="3"/>
  <c r="CG15" i="3"/>
  <c r="CH15" i="3" s="1"/>
  <c r="CF15" i="3"/>
  <c r="CC15" i="3"/>
  <c r="CB15" i="3"/>
  <c r="CD15" i="3" s="1"/>
  <c r="BY15" i="3"/>
  <c r="BX15" i="3"/>
  <c r="BU15" i="3"/>
  <c r="BT15" i="3"/>
  <c r="HA15" i="3" s="1"/>
  <c r="BQ15" i="3"/>
  <c r="BR15" i="3" s="1"/>
  <c r="BP15" i="3"/>
  <c r="BM15" i="3"/>
  <c r="BL15" i="3"/>
  <c r="GW15" i="3" s="1"/>
  <c r="BI15" i="3"/>
  <c r="BJ15" i="3" s="1"/>
  <c r="BE15" i="3"/>
  <c r="BF15" i="3" s="1"/>
  <c r="BA15" i="3"/>
  <c r="BB15" i="3" s="1"/>
  <c r="AW15" i="3"/>
  <c r="AX15" i="3" s="1"/>
  <c r="AS15" i="3"/>
  <c r="AT15" i="3" s="1"/>
  <c r="AO15" i="3"/>
  <c r="AP15" i="3" s="1"/>
  <c r="AK15" i="3"/>
  <c r="AL15" i="3" s="1"/>
  <c r="AG15" i="3"/>
  <c r="AH15" i="3" s="1"/>
  <c r="AF15" i="3"/>
  <c r="AC15" i="3"/>
  <c r="AD15" i="3" s="1"/>
  <c r="Y15" i="3"/>
  <c r="Z15" i="3" s="1"/>
  <c r="U15" i="3"/>
  <c r="V15" i="3" s="1"/>
  <c r="Q15" i="3"/>
  <c r="R15" i="3" s="1"/>
  <c r="M15" i="3"/>
  <c r="N15" i="3" s="1"/>
  <c r="J15" i="3"/>
  <c r="I15" i="3"/>
  <c r="E15" i="3"/>
  <c r="HN14" i="3"/>
  <c r="GR14" i="3"/>
  <c r="GH14" i="3"/>
  <c r="GG14" i="3"/>
  <c r="GD14" i="3"/>
  <c r="GC14" i="3"/>
  <c r="GA14" i="3"/>
  <c r="FZ14" i="3"/>
  <c r="GB14" i="3" s="1"/>
  <c r="FX14" i="3"/>
  <c r="FW14" i="3"/>
  <c r="FV14" i="3"/>
  <c r="FS14" i="3"/>
  <c r="FR14" i="3"/>
  <c r="FP14" i="3"/>
  <c r="FO14" i="3"/>
  <c r="FL14" i="3"/>
  <c r="FK14" i="3"/>
  <c r="FM14" i="3" s="1"/>
  <c r="FI14" i="3"/>
  <c r="FH14" i="3"/>
  <c r="FG14" i="3"/>
  <c r="FD14" i="3"/>
  <c r="FE14" i="3" s="1"/>
  <c r="FC14" i="3"/>
  <c r="EZ14" i="3"/>
  <c r="EY14" i="3"/>
  <c r="EV14" i="3"/>
  <c r="EU14" i="3"/>
  <c r="ER14" i="3"/>
  <c r="EQ14" i="3"/>
  <c r="ES14" i="3" s="1"/>
  <c r="EO14" i="3"/>
  <c r="EN14" i="3"/>
  <c r="EK14" i="3"/>
  <c r="EJ14" i="3"/>
  <c r="EL14" i="3" s="1"/>
  <c r="EG14" i="3"/>
  <c r="EF14" i="3"/>
  <c r="EC14" i="3"/>
  <c r="EB14" i="3"/>
  <c r="ED14" i="3" s="1"/>
  <c r="DY14" i="3"/>
  <c r="DX14" i="3"/>
  <c r="DU14" i="3"/>
  <c r="DT14" i="3"/>
  <c r="DQ14" i="3"/>
  <c r="DP14" i="3"/>
  <c r="HM14" i="3" s="1"/>
  <c r="DN14" i="3"/>
  <c r="DM14" i="3"/>
  <c r="DL14" i="3"/>
  <c r="DI14" i="3"/>
  <c r="DH14" i="3"/>
  <c r="DE14" i="3"/>
  <c r="DD14" i="3"/>
  <c r="DA14" i="3"/>
  <c r="CZ14" i="3"/>
  <c r="DB14" i="3" s="1"/>
  <c r="CX14" i="3"/>
  <c r="CW14" i="3"/>
  <c r="CV14" i="3"/>
  <c r="CS14" i="3"/>
  <c r="CT14" i="3" s="1"/>
  <c r="CO14" i="3"/>
  <c r="CN14" i="3"/>
  <c r="CK14" i="3"/>
  <c r="CJ14" i="3"/>
  <c r="CG14" i="3"/>
  <c r="CF14" i="3"/>
  <c r="CC14" i="3"/>
  <c r="CB14" i="3"/>
  <c r="BY14" i="3"/>
  <c r="BX14" i="3"/>
  <c r="BZ14" i="3" s="1"/>
  <c r="BV14" i="3"/>
  <c r="BU14" i="3"/>
  <c r="BT14" i="3"/>
  <c r="BQ14" i="3"/>
  <c r="BP14" i="3"/>
  <c r="BM14" i="3"/>
  <c r="BL14" i="3"/>
  <c r="BI14" i="3"/>
  <c r="BH14" i="3"/>
  <c r="BJ14" i="3" s="1"/>
  <c r="BF14" i="3"/>
  <c r="BE14" i="3"/>
  <c r="BA14" i="3"/>
  <c r="BB14" i="3" s="1"/>
  <c r="AX14" i="3"/>
  <c r="AW14" i="3"/>
  <c r="AS14" i="3"/>
  <c r="AT14" i="3" s="1"/>
  <c r="AP14" i="3"/>
  <c r="AO14" i="3"/>
  <c r="AK14" i="3"/>
  <c r="AH14" i="3"/>
  <c r="AG14" i="3"/>
  <c r="AF14" i="3"/>
  <c r="AC14" i="3"/>
  <c r="AD14" i="3" s="1"/>
  <c r="Y14" i="3"/>
  <c r="Z14" i="3" s="1"/>
  <c r="U14" i="3"/>
  <c r="V14" i="3" s="1"/>
  <c r="Q14" i="3"/>
  <c r="R14" i="3" s="1"/>
  <c r="M14" i="3"/>
  <c r="N14" i="3" s="1"/>
  <c r="I14" i="3"/>
  <c r="J14" i="3" s="1"/>
  <c r="E14" i="3"/>
  <c r="GR13" i="3"/>
  <c r="GI13" i="3"/>
  <c r="GH13" i="3"/>
  <c r="GG13" i="3"/>
  <c r="GD13" i="3"/>
  <c r="GC13" i="3"/>
  <c r="GA13" i="3"/>
  <c r="FZ13" i="3"/>
  <c r="FW13" i="3"/>
  <c r="FV13" i="3"/>
  <c r="FX13" i="3" s="1"/>
  <c r="FT13" i="3"/>
  <c r="FS13" i="3"/>
  <c r="FR13" i="3"/>
  <c r="FP13" i="3"/>
  <c r="FQ13" i="3" s="1"/>
  <c r="FO13" i="3"/>
  <c r="FL13" i="3"/>
  <c r="FK13" i="3"/>
  <c r="FM13" i="3" s="1"/>
  <c r="FH13" i="3"/>
  <c r="FG13" i="3"/>
  <c r="FD13" i="3"/>
  <c r="FC13" i="3"/>
  <c r="FE13" i="3" s="1"/>
  <c r="EZ13" i="3"/>
  <c r="FA13" i="3" s="1"/>
  <c r="EY13" i="3"/>
  <c r="EV13" i="3"/>
  <c r="EU13" i="3"/>
  <c r="EW13" i="3" s="1"/>
  <c r="ER13" i="3"/>
  <c r="EQ13" i="3"/>
  <c r="EO13" i="3"/>
  <c r="EN13" i="3"/>
  <c r="EK13" i="3"/>
  <c r="EJ13" i="3"/>
  <c r="EG13" i="3"/>
  <c r="EF13" i="3"/>
  <c r="EC13" i="3"/>
  <c r="EB13" i="3"/>
  <c r="ED13" i="3" s="1"/>
  <c r="DZ13" i="3"/>
  <c r="DY13" i="3"/>
  <c r="DX13" i="3"/>
  <c r="DU13" i="3"/>
  <c r="DT13" i="3"/>
  <c r="DQ13" i="3"/>
  <c r="HN13" i="3" s="1"/>
  <c r="DP13" i="3"/>
  <c r="HM13" i="3" s="1"/>
  <c r="DM13" i="3"/>
  <c r="DL13" i="3"/>
  <c r="DN13" i="3" s="1"/>
  <c r="DJ13" i="3"/>
  <c r="DI13" i="3"/>
  <c r="DH13" i="3"/>
  <c r="DE13" i="3"/>
  <c r="DF13" i="3" s="1"/>
  <c r="DD13" i="3"/>
  <c r="DA13" i="3"/>
  <c r="CZ13" i="3"/>
  <c r="DB13" i="3" s="1"/>
  <c r="CW13" i="3"/>
  <c r="CV13" i="3"/>
  <c r="CS13" i="3"/>
  <c r="CT13" i="3" s="1"/>
  <c r="CO13" i="3"/>
  <c r="CN13" i="3"/>
  <c r="CK13" i="3"/>
  <c r="CJ13" i="3"/>
  <c r="CL13" i="3" s="1"/>
  <c r="CH13" i="3"/>
  <c r="CG13" i="3"/>
  <c r="CF13" i="3"/>
  <c r="CC13" i="3"/>
  <c r="CB13" i="3"/>
  <c r="BY13" i="3"/>
  <c r="BX13" i="3"/>
  <c r="BU13" i="3"/>
  <c r="BT13" i="3"/>
  <c r="BV13" i="3" s="1"/>
  <c r="BR13" i="3"/>
  <c r="BQ13" i="3"/>
  <c r="BP13" i="3"/>
  <c r="BM13" i="3"/>
  <c r="BN13" i="3" s="1"/>
  <c r="BL13" i="3"/>
  <c r="BI13" i="3"/>
  <c r="BH13" i="3"/>
  <c r="BJ13" i="3" s="1"/>
  <c r="BE13" i="3"/>
  <c r="GX13" i="3" s="1"/>
  <c r="BA13" i="3"/>
  <c r="BB13" i="3" s="1"/>
  <c r="AW13" i="3"/>
  <c r="AX13" i="3" s="1"/>
  <c r="AS13" i="3"/>
  <c r="AT13" i="3" s="1"/>
  <c r="AO13" i="3"/>
  <c r="AP13" i="3" s="1"/>
  <c r="AK13" i="3"/>
  <c r="GS13" i="3" s="1"/>
  <c r="GT13" i="3" s="1"/>
  <c r="AG13" i="3"/>
  <c r="AF13" i="3"/>
  <c r="AH13" i="3" s="1"/>
  <c r="AD13" i="3"/>
  <c r="AC13" i="3"/>
  <c r="Y13" i="3"/>
  <c r="Z13" i="3" s="1"/>
  <c r="V13" i="3"/>
  <c r="U13" i="3"/>
  <c r="Q13" i="3"/>
  <c r="R13" i="3" s="1"/>
  <c r="N13" i="3"/>
  <c r="M13" i="3"/>
  <c r="I13" i="3"/>
  <c r="F13" i="3"/>
  <c r="E13" i="3"/>
  <c r="GR12" i="3"/>
  <c r="GH12" i="3"/>
  <c r="GG12" i="3"/>
  <c r="GD12" i="3"/>
  <c r="GC12" i="3"/>
  <c r="GA12" i="3"/>
  <c r="GB12" i="3" s="1"/>
  <c r="FZ12" i="3"/>
  <c r="FW12" i="3"/>
  <c r="FV12" i="3"/>
  <c r="FS12" i="3"/>
  <c r="FR12" i="3"/>
  <c r="FT12" i="3" s="1"/>
  <c r="FQ12" i="3"/>
  <c r="FP12" i="3"/>
  <c r="FO12" i="3"/>
  <c r="FL12" i="3"/>
  <c r="FK12" i="3"/>
  <c r="FH12" i="3"/>
  <c r="FG12" i="3"/>
  <c r="FD12" i="3"/>
  <c r="FC12" i="3"/>
  <c r="FE12" i="3" s="1"/>
  <c r="FA12" i="3"/>
  <c r="EZ12" i="3"/>
  <c r="EY12" i="3"/>
  <c r="EV12" i="3"/>
  <c r="EW12" i="3" s="1"/>
  <c r="EU12" i="3"/>
  <c r="ER12" i="3"/>
  <c r="HJ12" i="3" s="1"/>
  <c r="EQ12" i="3"/>
  <c r="HI12" i="3" s="1"/>
  <c r="EO12" i="3"/>
  <c r="HR12" i="3" s="1"/>
  <c r="EN12" i="3"/>
  <c r="EK12" i="3"/>
  <c r="EJ12" i="3"/>
  <c r="EL12" i="3" s="1"/>
  <c r="EG12" i="3"/>
  <c r="EH12" i="3" s="1"/>
  <c r="EF12" i="3"/>
  <c r="EC12" i="3"/>
  <c r="EB12" i="3"/>
  <c r="ED12" i="3" s="1"/>
  <c r="DY12" i="3"/>
  <c r="DX12" i="3"/>
  <c r="DU12" i="3"/>
  <c r="DT12" i="3"/>
  <c r="DQ12" i="3"/>
  <c r="HN12" i="3" s="1"/>
  <c r="DP12" i="3"/>
  <c r="HM12" i="3" s="1"/>
  <c r="DM12" i="3"/>
  <c r="DL12" i="3"/>
  <c r="DI12" i="3"/>
  <c r="DH12" i="3"/>
  <c r="DJ12" i="3" s="1"/>
  <c r="DF12" i="3"/>
  <c r="DE12" i="3"/>
  <c r="DD12" i="3"/>
  <c r="DA12" i="3"/>
  <c r="CZ12" i="3"/>
  <c r="CW12" i="3"/>
  <c r="CV12" i="3"/>
  <c r="CS12" i="3"/>
  <c r="CT12" i="3" s="1"/>
  <c r="CO12" i="3"/>
  <c r="CP12" i="3" s="1"/>
  <c r="CN12" i="3"/>
  <c r="CK12" i="3"/>
  <c r="CJ12" i="3"/>
  <c r="CL12" i="3" s="1"/>
  <c r="CG12" i="3"/>
  <c r="CF12" i="3"/>
  <c r="CC12" i="3"/>
  <c r="CB12" i="3"/>
  <c r="CD12" i="3" s="1"/>
  <c r="BY12" i="3"/>
  <c r="BX12" i="3"/>
  <c r="BU12" i="3"/>
  <c r="BT12" i="3"/>
  <c r="BV12" i="3" s="1"/>
  <c r="BQ12" i="3"/>
  <c r="BP12" i="3"/>
  <c r="BM12" i="3"/>
  <c r="BL12" i="3"/>
  <c r="GW12" i="3" s="1"/>
  <c r="BI12" i="3"/>
  <c r="BH12" i="3"/>
  <c r="BF12" i="3"/>
  <c r="BE12" i="3"/>
  <c r="BA12" i="3"/>
  <c r="BB12" i="3" s="1"/>
  <c r="AW12" i="3"/>
  <c r="AX12" i="3" s="1"/>
  <c r="AS12" i="3"/>
  <c r="AT12" i="3" s="1"/>
  <c r="AP12" i="3"/>
  <c r="AO12" i="3"/>
  <c r="AK12" i="3"/>
  <c r="GS12" i="3" s="1"/>
  <c r="AG12" i="3"/>
  <c r="AF12" i="3"/>
  <c r="GO12" i="3" s="1"/>
  <c r="AC12" i="3"/>
  <c r="AD12" i="3" s="1"/>
  <c r="Y12" i="3"/>
  <c r="Z12" i="3" s="1"/>
  <c r="U12" i="3"/>
  <c r="V12" i="3" s="1"/>
  <c r="Q12" i="3"/>
  <c r="R12" i="3" s="1"/>
  <c r="M12" i="3"/>
  <c r="N12" i="3" s="1"/>
  <c r="I12" i="3"/>
  <c r="J12" i="3" s="1"/>
  <c r="E12" i="3"/>
  <c r="F12" i="3" s="1"/>
  <c r="GR11" i="3"/>
  <c r="GH11" i="3"/>
  <c r="GG11" i="3"/>
  <c r="GI11" i="3" s="1"/>
  <c r="GD11" i="3"/>
  <c r="GC11" i="3"/>
  <c r="GE11" i="3" s="1"/>
  <c r="GA11" i="3"/>
  <c r="FZ11" i="3"/>
  <c r="GB11" i="3" s="1"/>
  <c r="FW11" i="3"/>
  <c r="FX11" i="3" s="1"/>
  <c r="FV11" i="3"/>
  <c r="FS11" i="3"/>
  <c r="FR11" i="3"/>
  <c r="FT11" i="3" s="1"/>
  <c r="FP11" i="3"/>
  <c r="FO11" i="3"/>
  <c r="FL11" i="3"/>
  <c r="FK11" i="3"/>
  <c r="FM11" i="3" s="1"/>
  <c r="FH11" i="3"/>
  <c r="FG11" i="3"/>
  <c r="FD11" i="3"/>
  <c r="FC11" i="3"/>
  <c r="FE11" i="3" s="1"/>
  <c r="EZ11" i="3"/>
  <c r="EY11" i="3"/>
  <c r="FA11" i="3" s="1"/>
  <c r="EV11" i="3"/>
  <c r="EW11" i="3" s="1"/>
  <c r="EU11" i="3"/>
  <c r="ER11" i="3"/>
  <c r="HJ11" i="3" s="1"/>
  <c r="EQ11" i="3"/>
  <c r="EO11" i="3"/>
  <c r="HR11" i="3" s="1"/>
  <c r="EN11" i="3"/>
  <c r="EK11" i="3"/>
  <c r="EJ11" i="3"/>
  <c r="EL11" i="3" s="1"/>
  <c r="EH11" i="3"/>
  <c r="EG11" i="3"/>
  <c r="EF11" i="3"/>
  <c r="EC11" i="3"/>
  <c r="EB11" i="3"/>
  <c r="DY11" i="3"/>
  <c r="DX11" i="3"/>
  <c r="DZ11" i="3" s="1"/>
  <c r="DU11" i="3"/>
  <c r="DT11" i="3"/>
  <c r="DV11" i="3" s="1"/>
  <c r="DQ11" i="3"/>
  <c r="HN11" i="3" s="1"/>
  <c r="DP11" i="3"/>
  <c r="DM11" i="3"/>
  <c r="HF11" i="3" s="1"/>
  <c r="DL11" i="3"/>
  <c r="DI11" i="3"/>
  <c r="DH11" i="3"/>
  <c r="DJ11" i="3" s="1"/>
  <c r="DE11" i="3"/>
  <c r="DD11" i="3"/>
  <c r="DA11" i="3"/>
  <c r="CZ11" i="3"/>
  <c r="DB11" i="3" s="1"/>
  <c r="CW11" i="3"/>
  <c r="CV11" i="3"/>
  <c r="CS11" i="3"/>
  <c r="CT11" i="3" s="1"/>
  <c r="CO11" i="3"/>
  <c r="CN11" i="3"/>
  <c r="CP11" i="3" s="1"/>
  <c r="CK11" i="3"/>
  <c r="CL11" i="3" s="1"/>
  <c r="CJ11" i="3"/>
  <c r="CG11" i="3"/>
  <c r="CF11" i="3"/>
  <c r="CC11" i="3"/>
  <c r="CB11" i="3"/>
  <c r="BY11" i="3"/>
  <c r="BX11" i="3"/>
  <c r="BZ11" i="3" s="1"/>
  <c r="BU11" i="3"/>
  <c r="BT11" i="3"/>
  <c r="BQ11" i="3"/>
  <c r="BP11" i="3"/>
  <c r="BR11" i="3" s="1"/>
  <c r="BM11" i="3"/>
  <c r="BN11" i="3" s="1"/>
  <c r="BI11" i="3"/>
  <c r="BH11" i="3"/>
  <c r="BF11" i="3"/>
  <c r="BE11" i="3"/>
  <c r="BA11" i="3"/>
  <c r="BB11" i="3" s="1"/>
  <c r="AX11" i="3"/>
  <c r="AW11" i="3"/>
  <c r="AS11" i="3"/>
  <c r="AT11" i="3" s="1"/>
  <c r="AP11" i="3"/>
  <c r="AO11" i="3"/>
  <c r="AK11" i="3"/>
  <c r="AL11" i="3" s="1"/>
  <c r="AG11" i="3"/>
  <c r="AF11" i="3"/>
  <c r="AC11" i="3"/>
  <c r="AD11" i="3" s="1"/>
  <c r="Y11" i="3"/>
  <c r="Z11" i="3" s="1"/>
  <c r="U11" i="3"/>
  <c r="V11" i="3" s="1"/>
  <c r="Q11" i="3"/>
  <c r="R11" i="3" s="1"/>
  <c r="M11" i="3"/>
  <c r="N11" i="3" s="1"/>
  <c r="I11" i="3"/>
  <c r="GL11" i="3" s="1"/>
  <c r="E11" i="3"/>
  <c r="GS10" i="3"/>
  <c r="GR10" i="3"/>
  <c r="GH10" i="3"/>
  <c r="GG10" i="3"/>
  <c r="GI10" i="3" s="1"/>
  <c r="GD10" i="3"/>
  <c r="GC10" i="3"/>
  <c r="GA10" i="3"/>
  <c r="FZ10" i="3"/>
  <c r="GB10" i="3" s="1"/>
  <c r="FW10" i="3"/>
  <c r="FV10" i="3"/>
  <c r="FS10" i="3"/>
  <c r="FR10" i="3"/>
  <c r="FT10" i="3" s="1"/>
  <c r="FP10" i="3"/>
  <c r="FO10" i="3"/>
  <c r="FQ10" i="3" s="1"/>
  <c r="FL10" i="3"/>
  <c r="FM10" i="3" s="1"/>
  <c r="FK10" i="3"/>
  <c r="FH10" i="3"/>
  <c r="FG10" i="3"/>
  <c r="FD10" i="3"/>
  <c r="FC10" i="3"/>
  <c r="EZ10" i="3"/>
  <c r="EY10" i="3"/>
  <c r="FA10" i="3" s="1"/>
  <c r="EW10" i="3"/>
  <c r="EV10" i="3"/>
  <c r="EU10" i="3"/>
  <c r="ER10" i="3"/>
  <c r="HJ10" i="3" s="1"/>
  <c r="EQ10" i="3"/>
  <c r="EO10" i="3"/>
  <c r="EN10" i="3"/>
  <c r="HQ10" i="3" s="1"/>
  <c r="EK10" i="3"/>
  <c r="EJ10" i="3"/>
  <c r="EL10" i="3" s="1"/>
  <c r="EG10" i="3"/>
  <c r="EF10" i="3"/>
  <c r="EC10" i="3"/>
  <c r="ED10" i="3" s="1"/>
  <c r="EB10" i="3"/>
  <c r="DY10" i="3"/>
  <c r="DX10" i="3"/>
  <c r="DZ10" i="3" s="1"/>
  <c r="DU10" i="3"/>
  <c r="DT10" i="3"/>
  <c r="DQ10" i="3"/>
  <c r="HN10" i="3" s="1"/>
  <c r="DP10" i="3"/>
  <c r="DR10" i="3" s="1"/>
  <c r="DM10" i="3"/>
  <c r="DL10" i="3"/>
  <c r="DI10" i="3"/>
  <c r="DH10" i="3"/>
  <c r="DJ10" i="3" s="1"/>
  <c r="DE10" i="3"/>
  <c r="DD10" i="3"/>
  <c r="DF10" i="3" s="1"/>
  <c r="DA10" i="3"/>
  <c r="DB10" i="3" s="1"/>
  <c r="CZ10" i="3"/>
  <c r="CW10" i="3"/>
  <c r="CV10" i="3"/>
  <c r="CT10" i="3"/>
  <c r="CS10" i="3"/>
  <c r="CO10" i="3"/>
  <c r="CN10" i="3"/>
  <c r="CK10" i="3"/>
  <c r="CJ10" i="3"/>
  <c r="CG10" i="3"/>
  <c r="CF10" i="3"/>
  <c r="CC10" i="3"/>
  <c r="CB10" i="3"/>
  <c r="CD10" i="3" s="1"/>
  <c r="BZ10" i="3"/>
  <c r="BY10" i="3"/>
  <c r="BX10" i="3"/>
  <c r="BU10" i="3"/>
  <c r="BT10" i="3"/>
  <c r="HA10" i="3" s="1"/>
  <c r="BQ10" i="3"/>
  <c r="BP10" i="3"/>
  <c r="BM10" i="3"/>
  <c r="BL10" i="3"/>
  <c r="BJ10" i="3"/>
  <c r="BI10" i="3"/>
  <c r="BE10" i="3"/>
  <c r="BB10" i="3"/>
  <c r="BA10" i="3"/>
  <c r="AW10" i="3"/>
  <c r="AX10" i="3" s="1"/>
  <c r="AT10" i="3"/>
  <c r="AS10" i="3"/>
  <c r="AO10" i="3"/>
  <c r="AP10" i="3" s="1"/>
  <c r="AL10" i="3"/>
  <c r="AK10" i="3"/>
  <c r="AG10" i="3"/>
  <c r="AF10" i="3"/>
  <c r="AC10" i="3"/>
  <c r="AD10" i="3" s="1"/>
  <c r="Y10" i="3"/>
  <c r="Z10" i="3" s="1"/>
  <c r="U10" i="3"/>
  <c r="V10" i="3" s="1"/>
  <c r="Q10" i="3"/>
  <c r="R10" i="3" s="1"/>
  <c r="M10" i="3"/>
  <c r="N10" i="3" s="1"/>
  <c r="I10" i="3"/>
  <c r="E10" i="3"/>
  <c r="HN9" i="3"/>
  <c r="GR9" i="3"/>
  <c r="GH9" i="3"/>
  <c r="GG9" i="3"/>
  <c r="GD9" i="3"/>
  <c r="GC9" i="3"/>
  <c r="GB9" i="3"/>
  <c r="GA9" i="3"/>
  <c r="FZ9" i="3"/>
  <c r="FW9" i="3"/>
  <c r="FV9" i="3"/>
  <c r="FS9" i="3"/>
  <c r="FR9" i="3"/>
  <c r="FP9" i="3"/>
  <c r="FO9" i="3"/>
  <c r="FL9" i="3"/>
  <c r="FK9" i="3"/>
  <c r="FM9" i="3" s="1"/>
  <c r="FH9" i="3"/>
  <c r="FH76" i="3" s="1"/>
  <c r="FG9" i="3"/>
  <c r="FD9" i="3"/>
  <c r="FC9" i="3"/>
  <c r="FC76" i="3" s="1"/>
  <c r="EZ9" i="3"/>
  <c r="EY9" i="3"/>
  <c r="EV9" i="3"/>
  <c r="EU9" i="3"/>
  <c r="EW9" i="3" s="1"/>
  <c r="ER9" i="3"/>
  <c r="EQ9" i="3"/>
  <c r="EO9" i="3"/>
  <c r="HR9" i="3" s="1"/>
  <c r="EN9" i="3"/>
  <c r="EN76" i="3" s="1"/>
  <c r="EK9" i="3"/>
  <c r="EJ9" i="3"/>
  <c r="EG9" i="3"/>
  <c r="EH9" i="3" s="1"/>
  <c r="EF9" i="3"/>
  <c r="EC9" i="3"/>
  <c r="EB9" i="3"/>
  <c r="DY9" i="3"/>
  <c r="DX9" i="3"/>
  <c r="DU9" i="3"/>
  <c r="DT9" i="3"/>
  <c r="DR9" i="3"/>
  <c r="DQ9" i="3"/>
  <c r="DP9" i="3"/>
  <c r="HM9" i="3" s="1"/>
  <c r="DM9" i="3"/>
  <c r="DL9" i="3"/>
  <c r="DI9" i="3"/>
  <c r="DH9" i="3"/>
  <c r="DE9" i="3"/>
  <c r="DD9" i="3"/>
  <c r="DA9" i="3"/>
  <c r="CZ9" i="3"/>
  <c r="DB9" i="3" s="1"/>
  <c r="CW9" i="3"/>
  <c r="CW76" i="3" s="1"/>
  <c r="CV9" i="3"/>
  <c r="CS9" i="3"/>
  <c r="CT9" i="3" s="1"/>
  <c r="CP9" i="3"/>
  <c r="CO9" i="3"/>
  <c r="CN9" i="3"/>
  <c r="CK9" i="3"/>
  <c r="CJ9" i="3"/>
  <c r="CG9" i="3"/>
  <c r="CF9" i="3"/>
  <c r="CC9" i="3"/>
  <c r="CB9" i="3"/>
  <c r="BY9" i="3"/>
  <c r="BX9" i="3"/>
  <c r="BZ9" i="3" s="1"/>
  <c r="BU9" i="3"/>
  <c r="BU76" i="3" s="1"/>
  <c r="BT9" i="3"/>
  <c r="BQ9" i="3"/>
  <c r="BP9" i="3"/>
  <c r="BP76" i="3" s="1"/>
  <c r="BM9" i="3"/>
  <c r="BI9" i="3"/>
  <c r="BH9" i="3"/>
  <c r="BF9" i="3"/>
  <c r="BE9" i="3"/>
  <c r="BA9" i="3"/>
  <c r="BB9" i="3" s="1"/>
  <c r="AW9" i="3"/>
  <c r="AX9" i="3" s="1"/>
  <c r="AS9" i="3"/>
  <c r="AT9" i="3" s="1"/>
  <c r="AP9" i="3"/>
  <c r="AO9" i="3"/>
  <c r="AK9" i="3"/>
  <c r="AL9" i="3" s="1"/>
  <c r="AG9" i="3"/>
  <c r="AF9" i="3"/>
  <c r="AC9" i="3"/>
  <c r="Y9" i="3"/>
  <c r="U9" i="3"/>
  <c r="Q9" i="3"/>
  <c r="M9" i="3"/>
  <c r="I9" i="3"/>
  <c r="E9" i="3"/>
  <c r="CZ3" i="3"/>
  <c r="BQ87" i="2"/>
  <c r="BP87" i="2"/>
  <c r="BK87" i="2"/>
  <c r="BH87" i="2"/>
  <c r="BG87" i="2"/>
  <c r="BD87" i="2"/>
  <c r="BC87" i="2"/>
  <c r="AY87" i="2"/>
  <c r="AU87" i="2"/>
  <c r="AQ87" i="2"/>
  <c r="AM87" i="2"/>
  <c r="AI87" i="2"/>
  <c r="AE87" i="2"/>
  <c r="AA87" i="2"/>
  <c r="W87" i="2"/>
  <c r="S87" i="2"/>
  <c r="O87" i="2"/>
  <c r="K87" i="2"/>
  <c r="G87" i="2"/>
  <c r="BX86" i="2"/>
  <c r="BU86" i="2"/>
  <c r="BY86" i="2" s="1"/>
  <c r="BU85" i="2"/>
  <c r="BT85" i="2"/>
  <c r="BV85" i="2" s="1"/>
  <c r="BQ85" i="2"/>
  <c r="BP85" i="2"/>
  <c r="BM85" i="2"/>
  <c r="BL85" i="2"/>
  <c r="BI85" i="2"/>
  <c r="BJ85" i="2" s="1"/>
  <c r="D85" i="2"/>
  <c r="BV84" i="2"/>
  <c r="BU84" i="2"/>
  <c r="BY84" i="2" s="1"/>
  <c r="BT84" i="2"/>
  <c r="BX84" i="2" s="1"/>
  <c r="BZ84" i="2" s="1"/>
  <c r="BR84" i="2"/>
  <c r="BN84" i="2"/>
  <c r="BU83" i="2"/>
  <c r="BT83" i="2"/>
  <c r="BV83" i="2" s="1"/>
  <c r="BQ83" i="2"/>
  <c r="BP83" i="2"/>
  <c r="BM83" i="2"/>
  <c r="BL83" i="2"/>
  <c r="BJ83" i="2"/>
  <c r="BI83" i="2"/>
  <c r="BE83" i="2"/>
  <c r="D83" i="2"/>
  <c r="BX83" i="2" s="1"/>
  <c r="BV82" i="2"/>
  <c r="BU82" i="2"/>
  <c r="BT82" i="2"/>
  <c r="BQ82" i="2"/>
  <c r="BR82" i="2" s="1"/>
  <c r="BP82" i="2"/>
  <c r="BM82" i="2"/>
  <c r="BL82" i="2"/>
  <c r="BJ82" i="2"/>
  <c r="BI82" i="2"/>
  <c r="BF82" i="2"/>
  <c r="BE82" i="2"/>
  <c r="BA82" i="2"/>
  <c r="AZ82" i="2"/>
  <c r="AV82" i="2"/>
  <c r="AS82" i="2"/>
  <c r="AR82" i="2"/>
  <c r="AT82" i="2" s="1"/>
  <c r="AP82" i="2"/>
  <c r="AO82" i="2"/>
  <c r="AN82" i="2"/>
  <c r="AL82" i="2"/>
  <c r="AK82" i="2"/>
  <c r="AJ82" i="2"/>
  <c r="AH82" i="2"/>
  <c r="AG82" i="2"/>
  <c r="AF82" i="2"/>
  <c r="AD82" i="2"/>
  <c r="AC82" i="2"/>
  <c r="AB82" i="2"/>
  <c r="Z82" i="2"/>
  <c r="Y82" i="2"/>
  <c r="X82" i="2"/>
  <c r="V82" i="2"/>
  <c r="U82" i="2"/>
  <c r="T82" i="2"/>
  <c r="R82" i="2"/>
  <c r="Q82" i="2"/>
  <c r="P82" i="2"/>
  <c r="N82" i="2"/>
  <c r="M82" i="2"/>
  <c r="L82" i="2"/>
  <c r="BX82" i="2" s="1"/>
  <c r="I82" i="2"/>
  <c r="H82" i="2"/>
  <c r="F82" i="2"/>
  <c r="E82" i="2"/>
  <c r="D82" i="2"/>
  <c r="BU81" i="2"/>
  <c r="BT81" i="2"/>
  <c r="BV81" i="2" s="1"/>
  <c r="BQ81" i="2"/>
  <c r="BP81" i="2"/>
  <c r="BR81" i="2" s="1"/>
  <c r="BM81" i="2"/>
  <c r="BL81" i="2"/>
  <c r="BJ81" i="2"/>
  <c r="BI81" i="2"/>
  <c r="BE81" i="2"/>
  <c r="BF81" i="2" s="1"/>
  <c r="AZ81" i="2"/>
  <c r="BB81" i="2" s="1"/>
  <c r="AV81" i="2"/>
  <c r="AT81" i="2"/>
  <c r="AS81" i="2"/>
  <c r="AR81" i="2"/>
  <c r="AP81" i="2"/>
  <c r="AO81" i="2"/>
  <c r="AN81" i="2"/>
  <c r="AL81" i="2"/>
  <c r="AK81" i="2"/>
  <c r="AJ81" i="2"/>
  <c r="AH81" i="2"/>
  <c r="AG81" i="2"/>
  <c r="AF81" i="2"/>
  <c r="AD81" i="2"/>
  <c r="AC81" i="2"/>
  <c r="AB81" i="2"/>
  <c r="Z81" i="2"/>
  <c r="Y81" i="2"/>
  <c r="X81" i="2"/>
  <c r="V81" i="2"/>
  <c r="U81" i="2"/>
  <c r="T81" i="2"/>
  <c r="R81" i="2"/>
  <c r="Q81" i="2"/>
  <c r="P81" i="2"/>
  <c r="N81" i="2"/>
  <c r="M81" i="2"/>
  <c r="L81" i="2"/>
  <c r="J81" i="2"/>
  <c r="I81" i="2"/>
  <c r="H81" i="2"/>
  <c r="F81" i="2"/>
  <c r="E81" i="2"/>
  <c r="D81" i="2"/>
  <c r="BX81" i="2" s="1"/>
  <c r="BU80" i="2"/>
  <c r="BV80" i="2" s="1"/>
  <c r="BT80" i="2"/>
  <c r="BR80" i="2"/>
  <c r="BQ80" i="2"/>
  <c r="BP80" i="2"/>
  <c r="BM80" i="2"/>
  <c r="BL80" i="2"/>
  <c r="BI80" i="2"/>
  <c r="BJ80" i="2" s="1"/>
  <c r="BE80" i="2"/>
  <c r="BF80" i="2" s="1"/>
  <c r="BA80" i="2"/>
  <c r="AZ80" i="2"/>
  <c r="BB80" i="2" s="1"/>
  <c r="AV80" i="2"/>
  <c r="AS80" i="2"/>
  <c r="AR80" i="2"/>
  <c r="AP80" i="2"/>
  <c r="AO80" i="2"/>
  <c r="AN80" i="2"/>
  <c r="AL80" i="2"/>
  <c r="AK80" i="2"/>
  <c r="AJ80" i="2"/>
  <c r="AH80" i="2"/>
  <c r="AG80" i="2"/>
  <c r="AF80" i="2"/>
  <c r="AD80" i="2"/>
  <c r="AC80" i="2"/>
  <c r="AB80" i="2"/>
  <c r="Z80" i="2"/>
  <c r="Y80" i="2"/>
  <c r="X80" i="2"/>
  <c r="V80" i="2"/>
  <c r="U80" i="2"/>
  <c r="T80" i="2"/>
  <c r="R80" i="2"/>
  <c r="Q80" i="2"/>
  <c r="P80" i="2"/>
  <c r="N80" i="2"/>
  <c r="M80" i="2"/>
  <c r="L80" i="2"/>
  <c r="J80" i="2"/>
  <c r="I80" i="2"/>
  <c r="H80" i="2"/>
  <c r="F80" i="2"/>
  <c r="E80" i="2"/>
  <c r="D80" i="2"/>
  <c r="BU79" i="2"/>
  <c r="BT79" i="2"/>
  <c r="BQ79" i="2"/>
  <c r="BP79" i="2"/>
  <c r="BR79" i="2" s="1"/>
  <c r="BM79" i="2"/>
  <c r="BN79" i="2" s="1"/>
  <c r="BL79" i="2"/>
  <c r="BI79" i="2"/>
  <c r="BJ79" i="2" s="1"/>
  <c r="BE79" i="2"/>
  <c r="BF79" i="2" s="1"/>
  <c r="BA79" i="2"/>
  <c r="AZ79" i="2"/>
  <c r="AW79" i="2"/>
  <c r="AV79" i="2"/>
  <c r="AS79" i="2"/>
  <c r="AR79" i="2"/>
  <c r="AP79" i="2"/>
  <c r="AO79" i="2"/>
  <c r="AN79" i="2"/>
  <c r="AL79" i="2"/>
  <c r="AK79" i="2"/>
  <c r="AJ79" i="2"/>
  <c r="AH79" i="2"/>
  <c r="AG79" i="2"/>
  <c r="AF79" i="2"/>
  <c r="AD79" i="2"/>
  <c r="AC79" i="2"/>
  <c r="AB79" i="2"/>
  <c r="Z79" i="2"/>
  <c r="Y79" i="2"/>
  <c r="X79" i="2"/>
  <c r="V79" i="2"/>
  <c r="U79" i="2"/>
  <c r="T79" i="2"/>
  <c r="R79" i="2"/>
  <c r="Q79" i="2"/>
  <c r="P79" i="2"/>
  <c r="N79" i="2"/>
  <c r="M79" i="2"/>
  <c r="L79" i="2"/>
  <c r="J79" i="2"/>
  <c r="I79" i="2"/>
  <c r="H79" i="2"/>
  <c r="F79" i="2"/>
  <c r="E79" i="2"/>
  <c r="D79" i="2"/>
  <c r="BV78" i="2"/>
  <c r="BU78" i="2"/>
  <c r="BT78" i="2"/>
  <c r="BQ78" i="2"/>
  <c r="BP78" i="2"/>
  <c r="BR78" i="2" s="1"/>
  <c r="BM78" i="2"/>
  <c r="BL78" i="2"/>
  <c r="BN78" i="2" s="1"/>
  <c r="BI78" i="2"/>
  <c r="BJ78" i="2" s="1"/>
  <c r="BE78" i="2"/>
  <c r="BF78" i="2" s="1"/>
  <c r="BA78" i="2"/>
  <c r="AZ78" i="2"/>
  <c r="BB78" i="2" s="1"/>
  <c r="AW78" i="2"/>
  <c r="AV78" i="2"/>
  <c r="AX78" i="2" s="1"/>
  <c r="AS78" i="2"/>
  <c r="AR78" i="2"/>
  <c r="AO78" i="2"/>
  <c r="AN78" i="2"/>
  <c r="AK78" i="2"/>
  <c r="AJ78" i="2"/>
  <c r="AG78" i="2"/>
  <c r="AF78" i="2"/>
  <c r="AC78" i="2"/>
  <c r="AB78" i="2"/>
  <c r="Y78" i="2"/>
  <c r="X78" i="2"/>
  <c r="V78" i="2"/>
  <c r="U78" i="2"/>
  <c r="T78" i="2"/>
  <c r="Q78" i="2"/>
  <c r="P78" i="2"/>
  <c r="M78" i="2"/>
  <c r="L78" i="2"/>
  <c r="I78" i="2"/>
  <c r="H78" i="2"/>
  <c r="J78" i="2" s="1"/>
  <c r="E78" i="2"/>
  <c r="D78" i="2"/>
  <c r="BU77" i="2"/>
  <c r="BT77" i="2"/>
  <c r="BQ77" i="2"/>
  <c r="BP77" i="2"/>
  <c r="BN77" i="2"/>
  <c r="BM77" i="2"/>
  <c r="BL77" i="2"/>
  <c r="BI77" i="2"/>
  <c r="BJ77" i="2" s="1"/>
  <c r="BF77" i="2"/>
  <c r="BE77" i="2"/>
  <c r="BA77" i="2"/>
  <c r="BB77" i="2" s="1"/>
  <c r="AZ77" i="2"/>
  <c r="AW77" i="2"/>
  <c r="AV77" i="2"/>
  <c r="AS77" i="2"/>
  <c r="AR77" i="2"/>
  <c r="AP77" i="2"/>
  <c r="AO77" i="2"/>
  <c r="AN77" i="2"/>
  <c r="AK77" i="2"/>
  <c r="AJ77" i="2"/>
  <c r="AG77" i="2"/>
  <c r="AF77" i="2"/>
  <c r="AC77" i="2"/>
  <c r="AB77" i="2"/>
  <c r="Y77" i="2"/>
  <c r="X77" i="2"/>
  <c r="U77" i="2"/>
  <c r="V77" i="2" s="1"/>
  <c r="T77" i="2"/>
  <c r="Q77" i="2"/>
  <c r="P77" i="2"/>
  <c r="M77" i="2"/>
  <c r="L77" i="2"/>
  <c r="I77" i="2"/>
  <c r="H77" i="2"/>
  <c r="J77" i="2" s="1"/>
  <c r="E77" i="2"/>
  <c r="D77" i="2"/>
  <c r="BU76" i="2"/>
  <c r="BT76" i="2"/>
  <c r="BQ76" i="2"/>
  <c r="BP76" i="2"/>
  <c r="BR76" i="2" s="1"/>
  <c r="BM76" i="2"/>
  <c r="BL76" i="2"/>
  <c r="BN76" i="2" s="1"/>
  <c r="BI76" i="2"/>
  <c r="BJ76" i="2" s="1"/>
  <c r="BE76" i="2"/>
  <c r="BF76" i="2" s="1"/>
  <c r="BA76" i="2"/>
  <c r="AZ76" i="2"/>
  <c r="AW76" i="2"/>
  <c r="AV76" i="2"/>
  <c r="AX76" i="2" s="1"/>
  <c r="AS76" i="2"/>
  <c r="AT76" i="2" s="1"/>
  <c r="AR76" i="2"/>
  <c r="AO76" i="2"/>
  <c r="AN76" i="2"/>
  <c r="AP76" i="2" s="1"/>
  <c r="AK76" i="2"/>
  <c r="AJ76" i="2"/>
  <c r="AG76" i="2"/>
  <c r="AF76" i="2"/>
  <c r="AC76" i="2"/>
  <c r="AB76" i="2"/>
  <c r="Y76" i="2"/>
  <c r="X76" i="2"/>
  <c r="U76" i="2"/>
  <c r="T76" i="2"/>
  <c r="Q76" i="2"/>
  <c r="P76" i="2"/>
  <c r="R76" i="2" s="1"/>
  <c r="M76" i="2"/>
  <c r="L76" i="2"/>
  <c r="N76" i="2" s="1"/>
  <c r="I76" i="2"/>
  <c r="J76" i="2" s="1"/>
  <c r="H76" i="2"/>
  <c r="E76" i="2"/>
  <c r="D76" i="2"/>
  <c r="BV75" i="2"/>
  <c r="BU75" i="2"/>
  <c r="BT75" i="2"/>
  <c r="BQ75" i="2"/>
  <c r="BP75" i="2"/>
  <c r="BM75" i="2"/>
  <c r="BL75" i="2"/>
  <c r="BJ75" i="2"/>
  <c r="BI75" i="2"/>
  <c r="BE75" i="2"/>
  <c r="BF75" i="2" s="1"/>
  <c r="BA75" i="2"/>
  <c r="AZ75" i="2"/>
  <c r="BB75" i="2" s="1"/>
  <c r="AW75" i="2"/>
  <c r="AV75" i="2"/>
  <c r="AX75" i="2" s="1"/>
  <c r="AS75" i="2"/>
  <c r="AT75" i="2" s="1"/>
  <c r="AR75" i="2"/>
  <c r="AO75" i="2"/>
  <c r="AN75" i="2"/>
  <c r="AK75" i="2"/>
  <c r="AJ75" i="2"/>
  <c r="AG75" i="2"/>
  <c r="AF75" i="2"/>
  <c r="AC75" i="2"/>
  <c r="AB75" i="2"/>
  <c r="Y75" i="2"/>
  <c r="X75" i="2"/>
  <c r="U75" i="2"/>
  <c r="T75" i="2"/>
  <c r="Q75" i="2"/>
  <c r="P75" i="2"/>
  <c r="R75" i="2" s="1"/>
  <c r="M75" i="2"/>
  <c r="L75" i="2"/>
  <c r="N75" i="2" s="1"/>
  <c r="I75" i="2"/>
  <c r="H75" i="2"/>
  <c r="E75" i="2"/>
  <c r="D75" i="2"/>
  <c r="BV74" i="2"/>
  <c r="BU74" i="2"/>
  <c r="BT74" i="2"/>
  <c r="BQ74" i="2"/>
  <c r="BP74" i="2"/>
  <c r="BR74" i="2" s="1"/>
  <c r="BM74" i="2"/>
  <c r="BL74" i="2"/>
  <c r="BN74" i="2" s="1"/>
  <c r="BI74" i="2"/>
  <c r="BJ74" i="2" s="1"/>
  <c r="BE74" i="2"/>
  <c r="BF74" i="2" s="1"/>
  <c r="BA74" i="2"/>
  <c r="AZ74" i="2"/>
  <c r="BB74" i="2" s="1"/>
  <c r="AW74" i="2"/>
  <c r="AV74" i="2"/>
  <c r="AX74" i="2" s="1"/>
  <c r="AS74" i="2"/>
  <c r="AR74" i="2"/>
  <c r="AO74" i="2"/>
  <c r="AN74" i="2"/>
  <c r="AK74" i="2"/>
  <c r="AJ74" i="2"/>
  <c r="AG74" i="2"/>
  <c r="AF74" i="2"/>
  <c r="AC74" i="2"/>
  <c r="AB74" i="2"/>
  <c r="Y74" i="2"/>
  <c r="X74" i="2"/>
  <c r="V74" i="2"/>
  <c r="U74" i="2"/>
  <c r="T74" i="2"/>
  <c r="Q74" i="2"/>
  <c r="P74" i="2"/>
  <c r="M74" i="2"/>
  <c r="L74" i="2"/>
  <c r="I74" i="2"/>
  <c r="H74" i="2"/>
  <c r="J74" i="2" s="1"/>
  <c r="E74" i="2"/>
  <c r="D74" i="2"/>
  <c r="BU73" i="2"/>
  <c r="BT73" i="2"/>
  <c r="BQ73" i="2"/>
  <c r="BP73" i="2"/>
  <c r="BN73" i="2"/>
  <c r="BM73" i="2"/>
  <c r="BL73" i="2"/>
  <c r="BI73" i="2"/>
  <c r="BJ73" i="2" s="1"/>
  <c r="BF73" i="2"/>
  <c r="BE73" i="2"/>
  <c r="BA73" i="2"/>
  <c r="BB73" i="2" s="1"/>
  <c r="AZ73" i="2"/>
  <c r="AW73" i="2"/>
  <c r="AV73" i="2"/>
  <c r="AS73" i="2"/>
  <c r="AR73" i="2"/>
  <c r="AP73" i="2"/>
  <c r="AO73" i="2"/>
  <c r="AN73" i="2"/>
  <c r="AK73" i="2"/>
  <c r="AJ73" i="2"/>
  <c r="AG73" i="2"/>
  <c r="AF73" i="2"/>
  <c r="AC73" i="2"/>
  <c r="AB73" i="2"/>
  <c r="Y73" i="2"/>
  <c r="X73" i="2"/>
  <c r="U73" i="2"/>
  <c r="V73" i="2" s="1"/>
  <c r="T73" i="2"/>
  <c r="Q73" i="2"/>
  <c r="P73" i="2"/>
  <c r="R73" i="2" s="1"/>
  <c r="M73" i="2"/>
  <c r="L73" i="2"/>
  <c r="I73" i="2"/>
  <c r="H73" i="2"/>
  <c r="J73" i="2" s="1"/>
  <c r="E73" i="2"/>
  <c r="D73" i="2"/>
  <c r="BU72" i="2"/>
  <c r="BT72" i="2"/>
  <c r="BQ72" i="2"/>
  <c r="BP72" i="2"/>
  <c r="BR72" i="2" s="1"/>
  <c r="BM72" i="2"/>
  <c r="BL72" i="2"/>
  <c r="BN72" i="2" s="1"/>
  <c r="BI72" i="2"/>
  <c r="BJ72" i="2" s="1"/>
  <c r="BE72" i="2"/>
  <c r="BF72" i="2" s="1"/>
  <c r="BA72" i="2"/>
  <c r="AZ72" i="2"/>
  <c r="AW72" i="2"/>
  <c r="AV72" i="2"/>
  <c r="AX72" i="2" s="1"/>
  <c r="AS72" i="2"/>
  <c r="AT72" i="2" s="1"/>
  <c r="AR72" i="2"/>
  <c r="AO72" i="2"/>
  <c r="AN72" i="2"/>
  <c r="AP72" i="2" s="1"/>
  <c r="AK72" i="2"/>
  <c r="AJ72" i="2"/>
  <c r="AG72" i="2"/>
  <c r="AF72" i="2"/>
  <c r="AC72" i="2"/>
  <c r="AB72" i="2"/>
  <c r="Y72" i="2"/>
  <c r="X72" i="2"/>
  <c r="U72" i="2"/>
  <c r="T72" i="2"/>
  <c r="Q72" i="2"/>
  <c r="P72" i="2"/>
  <c r="R72" i="2" s="1"/>
  <c r="M72" i="2"/>
  <c r="L72" i="2"/>
  <c r="N72" i="2" s="1"/>
  <c r="I72" i="2"/>
  <c r="E72" i="2"/>
  <c r="D72" i="2"/>
  <c r="F72" i="2" s="1"/>
  <c r="BU71" i="2"/>
  <c r="BV71" i="2" s="1"/>
  <c r="BT71" i="2"/>
  <c r="BQ71" i="2"/>
  <c r="BP71" i="2"/>
  <c r="BR71" i="2" s="1"/>
  <c r="BM71" i="2"/>
  <c r="BL71" i="2"/>
  <c r="BI71" i="2"/>
  <c r="BJ71" i="2" s="1"/>
  <c r="BE71" i="2"/>
  <c r="BF71" i="2" s="1"/>
  <c r="BA71" i="2"/>
  <c r="AZ71" i="2"/>
  <c r="BB71" i="2" s="1"/>
  <c r="AX71" i="2"/>
  <c r="AW71" i="2"/>
  <c r="AV71" i="2"/>
  <c r="AS71" i="2"/>
  <c r="AR71" i="2"/>
  <c r="AO71" i="2"/>
  <c r="AN71" i="2"/>
  <c r="AP71" i="2" s="1"/>
  <c r="AK71" i="2"/>
  <c r="AL71" i="2" s="1"/>
  <c r="AJ71" i="2"/>
  <c r="AG71" i="2"/>
  <c r="AF71" i="2"/>
  <c r="AC71" i="2"/>
  <c r="AB71" i="2"/>
  <c r="Y71" i="2"/>
  <c r="X71" i="2"/>
  <c r="Z71" i="2" s="1"/>
  <c r="V71" i="2"/>
  <c r="U71" i="2"/>
  <c r="T71" i="2"/>
  <c r="Q71" i="2"/>
  <c r="R71" i="2" s="1"/>
  <c r="P71" i="2"/>
  <c r="M71" i="2"/>
  <c r="L71" i="2"/>
  <c r="I71" i="2"/>
  <c r="H71" i="2"/>
  <c r="E71" i="2"/>
  <c r="D71" i="2"/>
  <c r="F71" i="2" s="1"/>
  <c r="BU70" i="2"/>
  <c r="BT70" i="2"/>
  <c r="BQ70" i="2"/>
  <c r="BP70" i="2"/>
  <c r="BR70" i="2" s="1"/>
  <c r="BM70" i="2"/>
  <c r="BL70" i="2"/>
  <c r="BN70" i="2" s="1"/>
  <c r="BJ70" i="2"/>
  <c r="BI70" i="2"/>
  <c r="BE70" i="2"/>
  <c r="BF70" i="2" s="1"/>
  <c r="BB70" i="2"/>
  <c r="BA70" i="2"/>
  <c r="AZ70" i="2"/>
  <c r="AW70" i="2"/>
  <c r="AV70" i="2"/>
  <c r="AX70" i="2" s="1"/>
  <c r="AS70" i="2"/>
  <c r="AR70" i="2"/>
  <c r="AT70" i="2" s="1"/>
  <c r="AP70" i="2"/>
  <c r="AO70" i="2"/>
  <c r="AN70" i="2"/>
  <c r="AK70" i="2"/>
  <c r="AJ70" i="2"/>
  <c r="AL70" i="2" s="1"/>
  <c r="AG70" i="2"/>
  <c r="AF70" i="2"/>
  <c r="AH70" i="2" s="1"/>
  <c r="AC70" i="2"/>
  <c r="AD70" i="2" s="1"/>
  <c r="AB70" i="2"/>
  <c r="Y70" i="2"/>
  <c r="X70" i="2"/>
  <c r="U70" i="2"/>
  <c r="T70" i="2"/>
  <c r="Q70" i="2"/>
  <c r="P70" i="2"/>
  <c r="M70" i="2"/>
  <c r="L70" i="2"/>
  <c r="I70" i="2"/>
  <c r="J70" i="2" s="1"/>
  <c r="H70" i="2"/>
  <c r="F70" i="2"/>
  <c r="E70" i="2"/>
  <c r="D70" i="2"/>
  <c r="BU69" i="2"/>
  <c r="BT69" i="2"/>
  <c r="BV69" i="2" s="1"/>
  <c r="BQ69" i="2"/>
  <c r="BP69" i="2"/>
  <c r="BR69" i="2" s="1"/>
  <c r="BN69" i="2"/>
  <c r="BM69" i="2"/>
  <c r="BL69" i="2"/>
  <c r="BI69" i="2"/>
  <c r="BJ69" i="2" s="1"/>
  <c r="BF69" i="2"/>
  <c r="BE69" i="2"/>
  <c r="BA69" i="2"/>
  <c r="AZ69" i="2"/>
  <c r="BB69" i="2" s="1"/>
  <c r="AX69" i="2"/>
  <c r="AW69" i="2"/>
  <c r="AV69" i="2"/>
  <c r="AS69" i="2"/>
  <c r="AR69" i="2"/>
  <c r="AO69" i="2"/>
  <c r="AN69" i="2"/>
  <c r="AP69" i="2" s="1"/>
  <c r="AK69" i="2"/>
  <c r="AJ69" i="2"/>
  <c r="AG69" i="2"/>
  <c r="AF69" i="2"/>
  <c r="AH69" i="2" s="1"/>
  <c r="AC69" i="2"/>
  <c r="AB69" i="2"/>
  <c r="Y69" i="2"/>
  <c r="X69" i="2"/>
  <c r="Z69" i="2" s="1"/>
  <c r="U69" i="2"/>
  <c r="BY69" i="2" s="1"/>
  <c r="T69" i="2"/>
  <c r="Q69" i="2"/>
  <c r="P69" i="2"/>
  <c r="N69" i="2"/>
  <c r="M69" i="2"/>
  <c r="L69" i="2"/>
  <c r="I69" i="2"/>
  <c r="J69" i="2" s="1"/>
  <c r="H69" i="2"/>
  <c r="E69" i="2"/>
  <c r="D69" i="2"/>
  <c r="BU68" i="2"/>
  <c r="BV68" i="2" s="1"/>
  <c r="BT68" i="2"/>
  <c r="BQ68" i="2"/>
  <c r="BP68" i="2"/>
  <c r="BR68" i="2" s="1"/>
  <c r="BM68" i="2"/>
  <c r="BL68" i="2"/>
  <c r="BI68" i="2"/>
  <c r="BJ68" i="2" s="1"/>
  <c r="BF68" i="2"/>
  <c r="BE68" i="2"/>
  <c r="BA68" i="2"/>
  <c r="AZ68" i="2"/>
  <c r="BB68" i="2" s="1"/>
  <c r="AX68" i="2"/>
  <c r="AW68" i="2"/>
  <c r="AV68" i="2"/>
  <c r="AS68" i="2"/>
  <c r="AT68" i="2" s="1"/>
  <c r="AR68" i="2"/>
  <c r="AO68" i="2"/>
  <c r="AN68" i="2"/>
  <c r="AK68" i="2"/>
  <c r="AJ68" i="2"/>
  <c r="AG68" i="2"/>
  <c r="AF68" i="2"/>
  <c r="AH68" i="2" s="1"/>
  <c r="AC68" i="2"/>
  <c r="AB68" i="2"/>
  <c r="AD68" i="2" s="1"/>
  <c r="Y68" i="2"/>
  <c r="X68" i="2"/>
  <c r="U68" i="2"/>
  <c r="T68" i="2"/>
  <c r="V68" i="2" s="1"/>
  <c r="Q68" i="2"/>
  <c r="P68" i="2"/>
  <c r="R68" i="2" s="1"/>
  <c r="M68" i="2"/>
  <c r="L68" i="2"/>
  <c r="I68" i="2"/>
  <c r="H68" i="2"/>
  <c r="F68" i="2"/>
  <c r="E68" i="2"/>
  <c r="D68" i="2"/>
  <c r="BU67" i="2"/>
  <c r="BV67" i="2" s="1"/>
  <c r="BT67" i="2"/>
  <c r="BQ67" i="2"/>
  <c r="BP67" i="2"/>
  <c r="BR67" i="2" s="1"/>
  <c r="BM67" i="2"/>
  <c r="BL67" i="2"/>
  <c r="BN67" i="2" s="1"/>
  <c r="BI67" i="2"/>
  <c r="BJ67" i="2" s="1"/>
  <c r="BE67" i="2"/>
  <c r="BF67" i="2" s="1"/>
  <c r="BA67" i="2"/>
  <c r="AZ67" i="2"/>
  <c r="BB67" i="2" s="1"/>
  <c r="AW67" i="2"/>
  <c r="AV67" i="2"/>
  <c r="AX67" i="2" s="1"/>
  <c r="AT67" i="2"/>
  <c r="AS67" i="2"/>
  <c r="AR67" i="2"/>
  <c r="AO67" i="2"/>
  <c r="AN67" i="2"/>
  <c r="AK67" i="2"/>
  <c r="AJ67" i="2"/>
  <c r="AG67" i="2"/>
  <c r="AF67" i="2"/>
  <c r="AC67" i="2"/>
  <c r="AB67" i="2"/>
  <c r="Y67" i="2"/>
  <c r="X67" i="2"/>
  <c r="U67" i="2"/>
  <c r="T67" i="2"/>
  <c r="V67" i="2" s="1"/>
  <c r="Q67" i="2"/>
  <c r="R67" i="2" s="1"/>
  <c r="P67" i="2"/>
  <c r="M67" i="2"/>
  <c r="L67" i="2"/>
  <c r="N67" i="2" s="1"/>
  <c r="I67" i="2"/>
  <c r="H67" i="2"/>
  <c r="J67" i="2" s="1"/>
  <c r="E67" i="2"/>
  <c r="D67" i="2"/>
  <c r="BU66" i="2"/>
  <c r="BT66" i="2"/>
  <c r="BV66" i="2" s="1"/>
  <c r="BQ66" i="2"/>
  <c r="BP66" i="2"/>
  <c r="BM66" i="2"/>
  <c r="BL66" i="2"/>
  <c r="BN66" i="2" s="1"/>
  <c r="BJ66" i="2"/>
  <c r="BI66" i="2"/>
  <c r="BE66" i="2"/>
  <c r="BF66" i="2" s="1"/>
  <c r="BA66" i="2"/>
  <c r="BB66" i="2" s="1"/>
  <c r="AZ66" i="2"/>
  <c r="AW66" i="2"/>
  <c r="AX66" i="2" s="1"/>
  <c r="AS66" i="2"/>
  <c r="AR66" i="2"/>
  <c r="AO66" i="2"/>
  <c r="AN66" i="2"/>
  <c r="AP66" i="2" s="1"/>
  <c r="AK66" i="2"/>
  <c r="AJ66" i="2"/>
  <c r="AG66" i="2"/>
  <c r="AF66" i="2"/>
  <c r="AC66" i="2"/>
  <c r="AB66" i="2"/>
  <c r="Y66" i="2"/>
  <c r="X66" i="2"/>
  <c r="U66" i="2"/>
  <c r="T66" i="2"/>
  <c r="V66" i="2" s="1"/>
  <c r="Q66" i="2"/>
  <c r="P66" i="2"/>
  <c r="M66" i="2"/>
  <c r="L66" i="2"/>
  <c r="J66" i="2"/>
  <c r="I66" i="2"/>
  <c r="H66" i="2"/>
  <c r="E66" i="2"/>
  <c r="D66" i="2"/>
  <c r="BU65" i="2"/>
  <c r="BT65" i="2"/>
  <c r="BV65" i="2" s="1"/>
  <c r="BR65" i="2"/>
  <c r="BQ65" i="2"/>
  <c r="BP65" i="2"/>
  <c r="BM65" i="2"/>
  <c r="BN65" i="2" s="1"/>
  <c r="BL65" i="2"/>
  <c r="BI65" i="2"/>
  <c r="BJ65" i="2" s="1"/>
  <c r="BE65" i="2"/>
  <c r="BF65" i="2" s="1"/>
  <c r="BA65" i="2"/>
  <c r="AZ65" i="2"/>
  <c r="BB65" i="2" s="1"/>
  <c r="AW65" i="2"/>
  <c r="AV65" i="2"/>
  <c r="AX65" i="2" s="1"/>
  <c r="AS65" i="2"/>
  <c r="AR65" i="2"/>
  <c r="AT65" i="2" s="1"/>
  <c r="AP65" i="2"/>
  <c r="AO65" i="2"/>
  <c r="AN65" i="2"/>
  <c r="AK65" i="2"/>
  <c r="AJ65" i="2"/>
  <c r="AG65" i="2"/>
  <c r="AF65" i="2"/>
  <c r="AC65" i="2"/>
  <c r="AB65" i="2"/>
  <c r="Y65" i="2"/>
  <c r="X65" i="2"/>
  <c r="U65" i="2"/>
  <c r="T65" i="2"/>
  <c r="Q65" i="2"/>
  <c r="P65" i="2"/>
  <c r="R65" i="2" s="1"/>
  <c r="M65" i="2"/>
  <c r="N65" i="2" s="1"/>
  <c r="L65" i="2"/>
  <c r="I65" i="2"/>
  <c r="H65" i="2"/>
  <c r="J65" i="2" s="1"/>
  <c r="E65" i="2"/>
  <c r="D65" i="2"/>
  <c r="BU64" i="2"/>
  <c r="BV64" i="2" s="1"/>
  <c r="BT64" i="2"/>
  <c r="BQ64" i="2"/>
  <c r="BP64" i="2"/>
  <c r="BR64" i="2" s="1"/>
  <c r="BM64" i="2"/>
  <c r="BL64" i="2"/>
  <c r="BI64" i="2"/>
  <c r="BJ64" i="2" s="1"/>
  <c r="BF64" i="2"/>
  <c r="BE64" i="2"/>
  <c r="BA64" i="2"/>
  <c r="AZ64" i="2"/>
  <c r="AX64" i="2"/>
  <c r="AW64" i="2"/>
  <c r="AV64" i="2"/>
  <c r="AS64" i="2"/>
  <c r="AT64" i="2" s="1"/>
  <c r="AR64" i="2"/>
  <c r="AO64" i="2"/>
  <c r="AN64" i="2"/>
  <c r="AK64" i="2"/>
  <c r="AJ64" i="2"/>
  <c r="AG64" i="2"/>
  <c r="AF64" i="2"/>
  <c r="AH64" i="2" s="1"/>
  <c r="AC64" i="2"/>
  <c r="AB64" i="2"/>
  <c r="AD64" i="2" s="1"/>
  <c r="Y64" i="2"/>
  <c r="X64" i="2"/>
  <c r="U64" i="2"/>
  <c r="T64" i="2"/>
  <c r="R64" i="2"/>
  <c r="Q64" i="2"/>
  <c r="P64" i="2"/>
  <c r="M64" i="2"/>
  <c r="N64" i="2" s="1"/>
  <c r="L64" i="2"/>
  <c r="I64" i="2"/>
  <c r="H64" i="2"/>
  <c r="E64" i="2"/>
  <c r="D64" i="2"/>
  <c r="BU63" i="2"/>
  <c r="BT63" i="2"/>
  <c r="BV63" i="2" s="1"/>
  <c r="BQ63" i="2"/>
  <c r="BP63" i="2"/>
  <c r="BM63" i="2"/>
  <c r="BL63" i="2"/>
  <c r="BN63" i="2" s="1"/>
  <c r="BI63" i="2"/>
  <c r="BJ63" i="2" s="1"/>
  <c r="BE63" i="2"/>
  <c r="BF63" i="2" s="1"/>
  <c r="BB63" i="2"/>
  <c r="BA63" i="2"/>
  <c r="AZ63" i="2"/>
  <c r="AW63" i="2"/>
  <c r="AX63" i="2" s="1"/>
  <c r="AV63" i="2"/>
  <c r="AS63" i="2"/>
  <c r="AR63" i="2"/>
  <c r="AO63" i="2"/>
  <c r="AN63" i="2"/>
  <c r="AK63" i="2"/>
  <c r="AJ63" i="2"/>
  <c r="AL63" i="2" s="1"/>
  <c r="AG63" i="2"/>
  <c r="AF63" i="2"/>
  <c r="AH63" i="2" s="1"/>
  <c r="AC63" i="2"/>
  <c r="AB63" i="2"/>
  <c r="Y63" i="2"/>
  <c r="X63" i="2"/>
  <c r="Z63" i="2" s="1"/>
  <c r="V63" i="2"/>
  <c r="U63" i="2"/>
  <c r="T63" i="2"/>
  <c r="Q63" i="2"/>
  <c r="R63" i="2" s="1"/>
  <c r="P63" i="2"/>
  <c r="M63" i="2"/>
  <c r="L63" i="2"/>
  <c r="I63" i="2"/>
  <c r="H63" i="2"/>
  <c r="E63" i="2"/>
  <c r="D63" i="2"/>
  <c r="F63" i="2" s="1"/>
  <c r="BU62" i="2"/>
  <c r="BT62" i="2"/>
  <c r="BQ62" i="2"/>
  <c r="BP62" i="2"/>
  <c r="BR62" i="2" s="1"/>
  <c r="BM62" i="2"/>
  <c r="BL62" i="2"/>
  <c r="BN62" i="2" s="1"/>
  <c r="BJ62" i="2"/>
  <c r="BI62" i="2"/>
  <c r="BE62" i="2"/>
  <c r="BF62" i="2" s="1"/>
  <c r="BA62" i="2"/>
  <c r="BB62" i="2" s="1"/>
  <c r="AZ62" i="2"/>
  <c r="AW62" i="2"/>
  <c r="AV62" i="2"/>
  <c r="AS62" i="2"/>
  <c r="AR62" i="2"/>
  <c r="AO62" i="2"/>
  <c r="AN62" i="2"/>
  <c r="AP62" i="2" s="1"/>
  <c r="AK62" i="2"/>
  <c r="AJ62" i="2"/>
  <c r="AL62" i="2" s="1"/>
  <c r="AG62" i="2"/>
  <c r="AF62" i="2"/>
  <c r="AC62" i="2"/>
  <c r="AB62" i="2"/>
  <c r="Z62" i="2"/>
  <c r="Y62" i="2"/>
  <c r="X62" i="2"/>
  <c r="U62" i="2"/>
  <c r="V62" i="2" s="1"/>
  <c r="T62" i="2"/>
  <c r="Q62" i="2"/>
  <c r="P62" i="2"/>
  <c r="M62" i="2"/>
  <c r="L62" i="2"/>
  <c r="I62" i="2"/>
  <c r="H62" i="2"/>
  <c r="J62" i="2" s="1"/>
  <c r="E62" i="2"/>
  <c r="D62" i="2"/>
  <c r="F62" i="2" s="1"/>
  <c r="BU61" i="2"/>
  <c r="BT61" i="2"/>
  <c r="BQ61" i="2"/>
  <c r="BP61" i="2"/>
  <c r="BR61" i="2" s="1"/>
  <c r="BM61" i="2"/>
  <c r="BL61" i="2"/>
  <c r="BN61" i="2" s="1"/>
  <c r="BI61" i="2"/>
  <c r="BJ61" i="2" s="1"/>
  <c r="BE61" i="2"/>
  <c r="BF61" i="2" s="1"/>
  <c r="BA61" i="2"/>
  <c r="AZ61" i="2"/>
  <c r="AW61" i="2"/>
  <c r="AV61" i="2"/>
  <c r="AX61" i="2" s="1"/>
  <c r="AS61" i="2"/>
  <c r="AR61" i="2"/>
  <c r="AT61" i="2" s="1"/>
  <c r="AO61" i="2"/>
  <c r="AN61" i="2"/>
  <c r="AP61" i="2" s="1"/>
  <c r="AK61" i="2"/>
  <c r="AJ61" i="2"/>
  <c r="AG61" i="2"/>
  <c r="AF61" i="2"/>
  <c r="AH61" i="2" s="1"/>
  <c r="AC61" i="2"/>
  <c r="AB61" i="2"/>
  <c r="AD61" i="2" s="1"/>
  <c r="Z61" i="2"/>
  <c r="Y61" i="2"/>
  <c r="X61" i="2"/>
  <c r="U61" i="2"/>
  <c r="T61" i="2"/>
  <c r="Q61" i="2"/>
  <c r="P61" i="2"/>
  <c r="R61" i="2" s="1"/>
  <c r="M61" i="2"/>
  <c r="L61" i="2"/>
  <c r="I61" i="2"/>
  <c r="H61" i="2"/>
  <c r="J61" i="2" s="1"/>
  <c r="E61" i="2"/>
  <c r="D61" i="2"/>
  <c r="BV60" i="2"/>
  <c r="BU60" i="2"/>
  <c r="BT60" i="2"/>
  <c r="BQ60" i="2"/>
  <c r="BP60" i="2"/>
  <c r="BM60" i="2"/>
  <c r="BL60" i="2"/>
  <c r="BI60" i="2"/>
  <c r="BJ60" i="2" s="1"/>
  <c r="BE60" i="2"/>
  <c r="BF60" i="2" s="1"/>
  <c r="BA60" i="2"/>
  <c r="AZ60" i="2"/>
  <c r="BB60" i="2" s="1"/>
  <c r="AW60" i="2"/>
  <c r="AV60" i="2"/>
  <c r="AX60" i="2" s="1"/>
  <c r="AT60" i="2"/>
  <c r="AS60" i="2"/>
  <c r="AR60" i="2"/>
  <c r="AO60" i="2"/>
  <c r="AN60" i="2"/>
  <c r="AK60" i="2"/>
  <c r="AJ60" i="2"/>
  <c r="AL60" i="2" s="1"/>
  <c r="AG60" i="2"/>
  <c r="AF60" i="2"/>
  <c r="AC60" i="2"/>
  <c r="AD60" i="2" s="1"/>
  <c r="AB60" i="2"/>
  <c r="Y60" i="2"/>
  <c r="X60" i="2"/>
  <c r="U60" i="2"/>
  <c r="T60" i="2"/>
  <c r="R60" i="2"/>
  <c r="Q60" i="2"/>
  <c r="P60" i="2"/>
  <c r="M60" i="2"/>
  <c r="L60" i="2"/>
  <c r="I60" i="2"/>
  <c r="H60" i="2"/>
  <c r="E60" i="2"/>
  <c r="D60" i="2"/>
  <c r="BU59" i="2"/>
  <c r="BT59" i="2"/>
  <c r="BV59" i="2" s="1"/>
  <c r="BQ59" i="2"/>
  <c r="BP59" i="2"/>
  <c r="BM59" i="2"/>
  <c r="BL59" i="2"/>
  <c r="BN59" i="2" s="1"/>
  <c r="BI59" i="2"/>
  <c r="BJ59" i="2" s="1"/>
  <c r="BE59" i="2"/>
  <c r="BF59" i="2" s="1"/>
  <c r="BB59" i="2"/>
  <c r="BA59" i="2"/>
  <c r="AZ59" i="2"/>
  <c r="AW59" i="2"/>
  <c r="AV59" i="2"/>
  <c r="AS59" i="2"/>
  <c r="AR59" i="2"/>
  <c r="AO59" i="2"/>
  <c r="AN59" i="2"/>
  <c r="AK59" i="2"/>
  <c r="AJ59" i="2"/>
  <c r="AL59" i="2" s="1"/>
  <c r="AG59" i="2"/>
  <c r="AF59" i="2"/>
  <c r="AH59" i="2" s="1"/>
  <c r="AC59" i="2"/>
  <c r="AB59" i="2"/>
  <c r="Y59" i="2"/>
  <c r="X59" i="2"/>
  <c r="V59" i="2"/>
  <c r="U59" i="2"/>
  <c r="T59" i="2"/>
  <c r="Q59" i="2"/>
  <c r="P59" i="2"/>
  <c r="R59" i="2" s="1"/>
  <c r="M59" i="2"/>
  <c r="L59" i="2"/>
  <c r="I59" i="2"/>
  <c r="H59" i="2"/>
  <c r="E59" i="2"/>
  <c r="D59" i="2"/>
  <c r="F59" i="2" s="1"/>
  <c r="BU58" i="2"/>
  <c r="BT58" i="2"/>
  <c r="BQ58" i="2"/>
  <c r="BP58" i="2"/>
  <c r="BR58" i="2" s="1"/>
  <c r="BM58" i="2"/>
  <c r="BL58" i="2"/>
  <c r="BN58" i="2" s="1"/>
  <c r="BJ58" i="2"/>
  <c r="BI58" i="2"/>
  <c r="BE58" i="2"/>
  <c r="BF58" i="2" s="1"/>
  <c r="BA58" i="2"/>
  <c r="AZ58" i="2"/>
  <c r="AW58" i="2"/>
  <c r="AV58" i="2"/>
  <c r="AS58" i="2"/>
  <c r="AR58" i="2"/>
  <c r="AO58" i="2"/>
  <c r="AN58" i="2"/>
  <c r="AP58" i="2" s="1"/>
  <c r="AK58" i="2"/>
  <c r="AJ58" i="2"/>
  <c r="AG58" i="2"/>
  <c r="AF58" i="2"/>
  <c r="AC58" i="2"/>
  <c r="AB58" i="2"/>
  <c r="Y58" i="2"/>
  <c r="X58" i="2"/>
  <c r="Z58" i="2" s="1"/>
  <c r="U58" i="2"/>
  <c r="V58" i="2" s="1"/>
  <c r="T58" i="2"/>
  <c r="Q58" i="2"/>
  <c r="P58" i="2"/>
  <c r="M58" i="2"/>
  <c r="L58" i="2"/>
  <c r="J58" i="2"/>
  <c r="I58" i="2"/>
  <c r="H58" i="2"/>
  <c r="E58" i="2"/>
  <c r="D58" i="2"/>
  <c r="F58" i="2" s="1"/>
  <c r="BU57" i="2"/>
  <c r="BT57" i="2"/>
  <c r="BR57" i="2"/>
  <c r="BQ57" i="2"/>
  <c r="BP57" i="2"/>
  <c r="BM57" i="2"/>
  <c r="BL57" i="2"/>
  <c r="BI57" i="2"/>
  <c r="BJ57" i="2" s="1"/>
  <c r="BE57" i="2"/>
  <c r="BF57" i="2" s="1"/>
  <c r="BA57" i="2"/>
  <c r="AZ57" i="2"/>
  <c r="AW57" i="2"/>
  <c r="AV57" i="2"/>
  <c r="AX57" i="2" s="1"/>
  <c r="AS57" i="2"/>
  <c r="AT57" i="2" s="1"/>
  <c r="AR57" i="2"/>
  <c r="AP57" i="2"/>
  <c r="AO57" i="2"/>
  <c r="AN57" i="2"/>
  <c r="AK57" i="2"/>
  <c r="AJ57" i="2"/>
  <c r="AL57" i="2" s="1"/>
  <c r="AG57" i="2"/>
  <c r="AF57" i="2"/>
  <c r="AH57" i="2" s="1"/>
  <c r="AC57" i="2"/>
  <c r="AB57" i="2"/>
  <c r="Y57" i="2"/>
  <c r="X57" i="2"/>
  <c r="Z57" i="2" s="1"/>
  <c r="U57" i="2"/>
  <c r="T57" i="2"/>
  <c r="Q57" i="2"/>
  <c r="P57" i="2"/>
  <c r="R57" i="2" s="1"/>
  <c r="M57" i="2"/>
  <c r="N57" i="2" s="1"/>
  <c r="L57" i="2"/>
  <c r="J57" i="2"/>
  <c r="I57" i="2"/>
  <c r="H57" i="2"/>
  <c r="E57" i="2"/>
  <c r="D57" i="2"/>
  <c r="BU56" i="2"/>
  <c r="BT56" i="2"/>
  <c r="BV56" i="2" s="1"/>
  <c r="BQ56" i="2"/>
  <c r="BR56" i="2" s="1"/>
  <c r="BP56" i="2"/>
  <c r="BM56" i="2"/>
  <c r="BL56" i="2"/>
  <c r="BI56" i="2"/>
  <c r="BJ56" i="2" s="1"/>
  <c r="BE56" i="2"/>
  <c r="BF56" i="2" s="1"/>
  <c r="BA56" i="2"/>
  <c r="AZ56" i="2"/>
  <c r="BB56" i="2" s="1"/>
  <c r="AW56" i="2"/>
  <c r="AV56" i="2"/>
  <c r="AX56" i="2" s="1"/>
  <c r="AS56" i="2"/>
  <c r="AR56" i="2"/>
  <c r="AT56" i="2" s="1"/>
  <c r="AO56" i="2"/>
  <c r="AN56" i="2"/>
  <c r="AK56" i="2"/>
  <c r="AJ56" i="2"/>
  <c r="AL56" i="2" s="1"/>
  <c r="AG56" i="2"/>
  <c r="AH56" i="2" s="1"/>
  <c r="AF56" i="2"/>
  <c r="AD56" i="2"/>
  <c r="AC56" i="2"/>
  <c r="AB56" i="2"/>
  <c r="Y56" i="2"/>
  <c r="X56" i="2"/>
  <c r="Z56" i="2" s="1"/>
  <c r="U56" i="2"/>
  <c r="T56" i="2"/>
  <c r="V56" i="2" s="1"/>
  <c r="Q56" i="2"/>
  <c r="P56" i="2"/>
  <c r="R56" i="2" s="1"/>
  <c r="M56" i="2"/>
  <c r="L56" i="2"/>
  <c r="N56" i="2" s="1"/>
  <c r="I56" i="2"/>
  <c r="H56" i="2"/>
  <c r="E56" i="2"/>
  <c r="D56" i="2"/>
  <c r="BU55" i="2"/>
  <c r="BV55" i="2" s="1"/>
  <c r="BT55" i="2"/>
  <c r="BQ55" i="2"/>
  <c r="BP55" i="2"/>
  <c r="BM55" i="2"/>
  <c r="BL55" i="2"/>
  <c r="BJ55" i="2"/>
  <c r="BI55" i="2"/>
  <c r="BE55" i="2"/>
  <c r="BF55" i="2" s="1"/>
  <c r="BA55" i="2"/>
  <c r="AZ55" i="2"/>
  <c r="AW55" i="2"/>
  <c r="AV55" i="2"/>
  <c r="AX55" i="2" s="1"/>
  <c r="AS55" i="2"/>
  <c r="AR55" i="2"/>
  <c r="AO55" i="2"/>
  <c r="AN55" i="2"/>
  <c r="AP55" i="2" s="1"/>
  <c r="AK55" i="2"/>
  <c r="AL55" i="2" s="1"/>
  <c r="AJ55" i="2"/>
  <c r="AH55" i="2"/>
  <c r="AG55" i="2"/>
  <c r="AF55" i="2"/>
  <c r="AC55" i="2"/>
  <c r="AB55" i="2"/>
  <c r="AD55" i="2" s="1"/>
  <c r="Y55" i="2"/>
  <c r="X55" i="2"/>
  <c r="Z55" i="2" s="1"/>
  <c r="U55" i="2"/>
  <c r="T55" i="2"/>
  <c r="Q55" i="2"/>
  <c r="P55" i="2"/>
  <c r="R55" i="2" s="1"/>
  <c r="M55" i="2"/>
  <c r="L55" i="2"/>
  <c r="I55" i="2"/>
  <c r="H55" i="2"/>
  <c r="J55" i="2" s="1"/>
  <c r="E55" i="2"/>
  <c r="F55" i="2" s="1"/>
  <c r="D55" i="2"/>
  <c r="BU54" i="2"/>
  <c r="BT54" i="2"/>
  <c r="BQ54" i="2"/>
  <c r="BP54" i="2"/>
  <c r="BN54" i="2"/>
  <c r="BM54" i="2"/>
  <c r="BL54" i="2"/>
  <c r="BI54" i="2"/>
  <c r="BJ54" i="2" s="1"/>
  <c r="BE54" i="2"/>
  <c r="BF54" i="2" s="1"/>
  <c r="BA54" i="2"/>
  <c r="AZ54" i="2"/>
  <c r="BB54" i="2" s="1"/>
  <c r="AW54" i="2"/>
  <c r="AV54" i="2"/>
  <c r="AS54" i="2"/>
  <c r="AR54" i="2"/>
  <c r="AT54" i="2" s="1"/>
  <c r="AO54" i="2"/>
  <c r="AP54" i="2" s="1"/>
  <c r="AN54" i="2"/>
  <c r="AL54" i="2"/>
  <c r="AK54" i="2"/>
  <c r="AJ54" i="2"/>
  <c r="AG54" i="2"/>
  <c r="AF54" i="2"/>
  <c r="AH54" i="2" s="1"/>
  <c r="AC54" i="2"/>
  <c r="AB54" i="2"/>
  <c r="AD54" i="2" s="1"/>
  <c r="Y54" i="2"/>
  <c r="X54" i="2"/>
  <c r="Z54" i="2" s="1"/>
  <c r="U54" i="2"/>
  <c r="T54" i="2"/>
  <c r="V54" i="2" s="1"/>
  <c r="Q54" i="2"/>
  <c r="P54" i="2"/>
  <c r="M54" i="2"/>
  <c r="L54" i="2"/>
  <c r="N54" i="2" s="1"/>
  <c r="I54" i="2"/>
  <c r="J54" i="2" s="1"/>
  <c r="H54" i="2"/>
  <c r="F54" i="2"/>
  <c r="E54" i="2"/>
  <c r="D54" i="2"/>
  <c r="BU53" i="2"/>
  <c r="BT53" i="2"/>
  <c r="BV53" i="2" s="1"/>
  <c r="BQ53" i="2"/>
  <c r="BR53" i="2" s="1"/>
  <c r="BP53" i="2"/>
  <c r="BN53" i="2"/>
  <c r="BM53" i="2"/>
  <c r="BL53" i="2"/>
  <c r="BI53" i="2"/>
  <c r="BJ53" i="2" s="1"/>
  <c r="BF53" i="2"/>
  <c r="BE53" i="2"/>
  <c r="BA53" i="2"/>
  <c r="AZ53" i="2"/>
  <c r="AW53" i="2"/>
  <c r="AV53" i="2"/>
  <c r="AS53" i="2"/>
  <c r="AR53" i="2"/>
  <c r="AT53" i="2" s="1"/>
  <c r="AO53" i="2"/>
  <c r="AP53" i="2" s="1"/>
  <c r="AN53" i="2"/>
  <c r="AK53" i="2"/>
  <c r="AJ53" i="2"/>
  <c r="AG53" i="2"/>
  <c r="AF53" i="2"/>
  <c r="AD53" i="2"/>
  <c r="AC53" i="2"/>
  <c r="AB53" i="2"/>
  <c r="Y53" i="2"/>
  <c r="X53" i="2"/>
  <c r="U53" i="2"/>
  <c r="T53" i="2"/>
  <c r="Q53" i="2"/>
  <c r="P53" i="2"/>
  <c r="M53" i="2"/>
  <c r="L53" i="2"/>
  <c r="N53" i="2" s="1"/>
  <c r="J53" i="2"/>
  <c r="I53" i="2"/>
  <c r="H53" i="2"/>
  <c r="E53" i="2"/>
  <c r="D53" i="2"/>
  <c r="BU52" i="2"/>
  <c r="BT52" i="2"/>
  <c r="BV52" i="2" s="1"/>
  <c r="BR52" i="2"/>
  <c r="BQ52" i="2"/>
  <c r="BP52" i="2"/>
  <c r="BM52" i="2"/>
  <c r="BL52" i="2"/>
  <c r="BI52" i="2"/>
  <c r="BJ52" i="2" s="1"/>
  <c r="BE52" i="2"/>
  <c r="BF52" i="2" s="1"/>
  <c r="BA52" i="2"/>
  <c r="AZ52" i="2"/>
  <c r="AW52" i="2"/>
  <c r="AV52" i="2"/>
  <c r="AS52" i="2"/>
  <c r="AR52" i="2"/>
  <c r="AT52" i="2" s="1"/>
  <c r="AO52" i="2"/>
  <c r="AN52" i="2"/>
  <c r="AK52" i="2"/>
  <c r="AJ52" i="2"/>
  <c r="AL52" i="2" s="1"/>
  <c r="AG52" i="2"/>
  <c r="AH52" i="2" s="1"/>
  <c r="AF52" i="2"/>
  <c r="AD52" i="2"/>
  <c r="AC52" i="2"/>
  <c r="AB52" i="2"/>
  <c r="Y52" i="2"/>
  <c r="X52" i="2"/>
  <c r="U52" i="2"/>
  <c r="T52" i="2"/>
  <c r="Q52" i="2"/>
  <c r="P52" i="2"/>
  <c r="M52" i="2"/>
  <c r="L52" i="2"/>
  <c r="N52" i="2" s="1"/>
  <c r="I52" i="2"/>
  <c r="H52" i="2"/>
  <c r="J52" i="2" s="1"/>
  <c r="E52" i="2"/>
  <c r="D52" i="2"/>
  <c r="F52" i="2" s="1"/>
  <c r="BU51" i="2"/>
  <c r="BV51" i="2" s="1"/>
  <c r="BT51" i="2"/>
  <c r="BQ51" i="2"/>
  <c r="BP51" i="2"/>
  <c r="BM51" i="2"/>
  <c r="BL51" i="2"/>
  <c r="BJ51" i="2"/>
  <c r="BI51" i="2"/>
  <c r="BE51" i="2"/>
  <c r="BF51" i="2" s="1"/>
  <c r="BA51" i="2"/>
  <c r="AZ51" i="2"/>
  <c r="BB51" i="2" s="1"/>
  <c r="AW51" i="2"/>
  <c r="AV51" i="2"/>
  <c r="AX51" i="2" s="1"/>
  <c r="AS51" i="2"/>
  <c r="AR51" i="2"/>
  <c r="AO51" i="2"/>
  <c r="AN51" i="2"/>
  <c r="AP51" i="2" s="1"/>
  <c r="AK51" i="2"/>
  <c r="AL51" i="2" s="1"/>
  <c r="AJ51" i="2"/>
  <c r="AH51" i="2"/>
  <c r="AG51" i="2"/>
  <c r="AF51" i="2"/>
  <c r="AC51" i="2"/>
  <c r="AB51" i="2"/>
  <c r="Y51" i="2"/>
  <c r="X51" i="2"/>
  <c r="U51" i="2"/>
  <c r="T51" i="2"/>
  <c r="Q51" i="2"/>
  <c r="P51" i="2"/>
  <c r="R51" i="2" s="1"/>
  <c r="M51" i="2"/>
  <c r="L51" i="2"/>
  <c r="N51" i="2" s="1"/>
  <c r="I51" i="2"/>
  <c r="H51" i="2"/>
  <c r="J51" i="2" s="1"/>
  <c r="E51" i="2"/>
  <c r="D51" i="2"/>
  <c r="BU50" i="2"/>
  <c r="BT50" i="2"/>
  <c r="BQ50" i="2"/>
  <c r="BP50" i="2"/>
  <c r="BN50" i="2"/>
  <c r="BM50" i="2"/>
  <c r="BL50" i="2"/>
  <c r="BI50" i="2"/>
  <c r="BJ50" i="2" s="1"/>
  <c r="BE50" i="2"/>
  <c r="BF50" i="2" s="1"/>
  <c r="BA50" i="2"/>
  <c r="AZ50" i="2"/>
  <c r="BB50" i="2" s="1"/>
  <c r="AW50" i="2"/>
  <c r="AV50" i="2"/>
  <c r="AS50" i="2"/>
  <c r="AR50" i="2"/>
  <c r="AT50" i="2" s="1"/>
  <c r="AO50" i="2"/>
  <c r="AP50" i="2" s="1"/>
  <c r="AN50" i="2"/>
  <c r="AL50" i="2"/>
  <c r="AK50" i="2"/>
  <c r="AJ50" i="2"/>
  <c r="AG50" i="2"/>
  <c r="AF50" i="2"/>
  <c r="AH50" i="2" s="1"/>
  <c r="AC50" i="2"/>
  <c r="AB50" i="2"/>
  <c r="AD50" i="2" s="1"/>
  <c r="Y50" i="2"/>
  <c r="X50" i="2"/>
  <c r="Z50" i="2" s="1"/>
  <c r="U50" i="2"/>
  <c r="T50" i="2"/>
  <c r="V50" i="2" s="1"/>
  <c r="Q50" i="2"/>
  <c r="P50" i="2"/>
  <c r="M50" i="2"/>
  <c r="L50" i="2"/>
  <c r="N50" i="2" s="1"/>
  <c r="I50" i="2"/>
  <c r="J50" i="2" s="1"/>
  <c r="H50" i="2"/>
  <c r="F50" i="2"/>
  <c r="E50" i="2"/>
  <c r="D50" i="2"/>
  <c r="BU49" i="2"/>
  <c r="BT49" i="2"/>
  <c r="BV49" i="2" s="1"/>
  <c r="BR49" i="2"/>
  <c r="BQ49" i="2"/>
  <c r="BP49" i="2"/>
  <c r="BN49" i="2"/>
  <c r="BM49" i="2"/>
  <c r="BL49" i="2"/>
  <c r="BI49" i="2"/>
  <c r="BJ49" i="2" s="1"/>
  <c r="BF49" i="2"/>
  <c r="BE49" i="2"/>
  <c r="BA49" i="2"/>
  <c r="AZ49" i="2"/>
  <c r="AW49" i="2"/>
  <c r="AV49" i="2"/>
  <c r="AS49" i="2"/>
  <c r="AR49" i="2"/>
  <c r="AT49" i="2" s="1"/>
  <c r="AP49" i="2"/>
  <c r="AO49" i="2"/>
  <c r="AN49" i="2"/>
  <c r="AK49" i="2"/>
  <c r="AJ49" i="2"/>
  <c r="AG49" i="2"/>
  <c r="AF49" i="2"/>
  <c r="AD49" i="2"/>
  <c r="AC49" i="2"/>
  <c r="AB49" i="2"/>
  <c r="Y49" i="2"/>
  <c r="X49" i="2"/>
  <c r="Z49" i="2" s="1"/>
  <c r="U49" i="2"/>
  <c r="T49" i="2"/>
  <c r="Q49" i="2"/>
  <c r="P49" i="2"/>
  <c r="M49" i="2"/>
  <c r="L49" i="2"/>
  <c r="N49" i="2" s="1"/>
  <c r="J49" i="2"/>
  <c r="I49" i="2"/>
  <c r="H49" i="2"/>
  <c r="E49" i="2"/>
  <c r="D49" i="2"/>
  <c r="BU48" i="2"/>
  <c r="BT48" i="2"/>
  <c r="BV48" i="2" s="1"/>
  <c r="BR48" i="2"/>
  <c r="BQ48" i="2"/>
  <c r="BP48" i="2"/>
  <c r="BM48" i="2"/>
  <c r="BL48" i="2"/>
  <c r="BI48" i="2"/>
  <c r="BJ48" i="2" s="1"/>
  <c r="BE48" i="2"/>
  <c r="BF48" i="2" s="1"/>
  <c r="BA48" i="2"/>
  <c r="AZ48" i="2"/>
  <c r="AW48" i="2"/>
  <c r="AV48" i="2"/>
  <c r="AX48" i="2" s="1"/>
  <c r="AS48" i="2"/>
  <c r="AR48" i="2"/>
  <c r="AT48" i="2" s="1"/>
  <c r="AO48" i="2"/>
  <c r="AN48" i="2"/>
  <c r="AK48" i="2"/>
  <c r="AJ48" i="2"/>
  <c r="AL48" i="2" s="1"/>
  <c r="AH48" i="2"/>
  <c r="AG48" i="2"/>
  <c r="AF48" i="2"/>
  <c r="AD48" i="2"/>
  <c r="AC48" i="2"/>
  <c r="AB48" i="2"/>
  <c r="Y48" i="2"/>
  <c r="X48" i="2"/>
  <c r="U48" i="2"/>
  <c r="T48" i="2"/>
  <c r="Q48" i="2"/>
  <c r="P48" i="2"/>
  <c r="M48" i="2"/>
  <c r="L48" i="2"/>
  <c r="N48" i="2" s="1"/>
  <c r="I48" i="2"/>
  <c r="H48" i="2"/>
  <c r="E48" i="2"/>
  <c r="D48" i="2"/>
  <c r="F48" i="2" s="1"/>
  <c r="BV47" i="2"/>
  <c r="BU47" i="2"/>
  <c r="BT47" i="2"/>
  <c r="BQ47" i="2"/>
  <c r="BP47" i="2"/>
  <c r="BM47" i="2"/>
  <c r="BL47" i="2"/>
  <c r="BJ47" i="2"/>
  <c r="BI47" i="2"/>
  <c r="BE47" i="2"/>
  <c r="BF47" i="2" s="1"/>
  <c r="BA47" i="2"/>
  <c r="AZ47" i="2"/>
  <c r="BB47" i="2" s="1"/>
  <c r="AW47" i="2"/>
  <c r="AV47" i="2"/>
  <c r="AX47" i="2" s="1"/>
  <c r="AS47" i="2"/>
  <c r="AR47" i="2"/>
  <c r="AO47" i="2"/>
  <c r="AN47" i="2"/>
  <c r="AP47" i="2" s="1"/>
  <c r="AL47" i="2"/>
  <c r="AK47" i="2"/>
  <c r="AJ47" i="2"/>
  <c r="AH47" i="2"/>
  <c r="AG47" i="2"/>
  <c r="AF47" i="2"/>
  <c r="AC47" i="2"/>
  <c r="AB47" i="2"/>
  <c r="Y47" i="2"/>
  <c r="X47" i="2"/>
  <c r="U47" i="2"/>
  <c r="T47" i="2"/>
  <c r="Q47" i="2"/>
  <c r="P47" i="2"/>
  <c r="R47" i="2" s="1"/>
  <c r="M47" i="2"/>
  <c r="L47" i="2"/>
  <c r="I47" i="2"/>
  <c r="H47" i="2"/>
  <c r="J47" i="2" s="1"/>
  <c r="F47" i="2"/>
  <c r="E47" i="2"/>
  <c r="D47" i="2"/>
  <c r="BU46" i="2"/>
  <c r="BT46" i="2"/>
  <c r="BQ46" i="2"/>
  <c r="BP46" i="2"/>
  <c r="BN46" i="2"/>
  <c r="BM46" i="2"/>
  <c r="BL46" i="2"/>
  <c r="BI46" i="2"/>
  <c r="BJ46" i="2" s="1"/>
  <c r="BE46" i="2"/>
  <c r="BF46" i="2" s="1"/>
  <c r="BA46" i="2"/>
  <c r="AZ46" i="2"/>
  <c r="BB46" i="2" s="1"/>
  <c r="AW46" i="2"/>
  <c r="AV46" i="2"/>
  <c r="AS46" i="2"/>
  <c r="AR46" i="2"/>
  <c r="AT46" i="2" s="1"/>
  <c r="AP46" i="2"/>
  <c r="AO46" i="2"/>
  <c r="AN46" i="2"/>
  <c r="AL46" i="2"/>
  <c r="AK46" i="2"/>
  <c r="AJ46" i="2"/>
  <c r="AG46" i="2"/>
  <c r="AF46" i="2"/>
  <c r="AC46" i="2"/>
  <c r="AB46" i="2"/>
  <c r="Y46" i="2"/>
  <c r="X46" i="2"/>
  <c r="U46" i="2"/>
  <c r="T46" i="2"/>
  <c r="V46" i="2" s="1"/>
  <c r="Q46" i="2"/>
  <c r="P46" i="2"/>
  <c r="M46" i="2"/>
  <c r="L46" i="2"/>
  <c r="N46" i="2" s="1"/>
  <c r="J46" i="2"/>
  <c r="I46" i="2"/>
  <c r="H46" i="2"/>
  <c r="F46" i="2"/>
  <c r="E46" i="2"/>
  <c r="D46" i="2"/>
  <c r="BU45" i="2"/>
  <c r="BT45" i="2"/>
  <c r="BV45" i="2" s="1"/>
  <c r="BR45" i="2"/>
  <c r="BQ45" i="2"/>
  <c r="BP45" i="2"/>
  <c r="BN45" i="2"/>
  <c r="BM45" i="2"/>
  <c r="BL45" i="2"/>
  <c r="BI45" i="2"/>
  <c r="BJ45" i="2" s="1"/>
  <c r="BF45" i="2"/>
  <c r="BE45" i="2"/>
  <c r="BA45" i="2"/>
  <c r="AZ45" i="2"/>
  <c r="AW45" i="2"/>
  <c r="AV45" i="2"/>
  <c r="AS45" i="2"/>
  <c r="AR45" i="2"/>
  <c r="AT45" i="2" s="1"/>
  <c r="AP45" i="2"/>
  <c r="AO45" i="2"/>
  <c r="AN45" i="2"/>
  <c r="AK45" i="2"/>
  <c r="AJ45" i="2"/>
  <c r="AG45" i="2"/>
  <c r="AF45" i="2"/>
  <c r="AH45" i="2" s="1"/>
  <c r="AD45" i="2"/>
  <c r="AC45" i="2"/>
  <c r="AB45" i="2"/>
  <c r="Y45" i="2"/>
  <c r="X45" i="2"/>
  <c r="U45" i="2"/>
  <c r="T45" i="2"/>
  <c r="Q45" i="2"/>
  <c r="P45" i="2"/>
  <c r="M45" i="2"/>
  <c r="L45" i="2"/>
  <c r="N45" i="2" s="1"/>
  <c r="J45" i="2"/>
  <c r="I45" i="2"/>
  <c r="H45" i="2"/>
  <c r="E45" i="2"/>
  <c r="BY45" i="2" s="1"/>
  <c r="D45" i="2"/>
  <c r="BU44" i="2"/>
  <c r="BT44" i="2"/>
  <c r="BV44" i="2" s="1"/>
  <c r="BR44" i="2"/>
  <c r="BQ44" i="2"/>
  <c r="BP44" i="2"/>
  <c r="BM44" i="2"/>
  <c r="BL44" i="2"/>
  <c r="BI44" i="2"/>
  <c r="BJ44" i="2" s="1"/>
  <c r="BE44" i="2"/>
  <c r="BF44" i="2" s="1"/>
  <c r="BA44" i="2"/>
  <c r="AZ44" i="2"/>
  <c r="AW44" i="2"/>
  <c r="AV44" i="2"/>
  <c r="AS44" i="2"/>
  <c r="AR44" i="2"/>
  <c r="AT44" i="2" s="1"/>
  <c r="AO44" i="2"/>
  <c r="AN44" i="2"/>
  <c r="AK44" i="2"/>
  <c r="AJ44" i="2"/>
  <c r="AL44" i="2" s="1"/>
  <c r="AH44" i="2"/>
  <c r="AG44" i="2"/>
  <c r="AF44" i="2"/>
  <c r="AD44" i="2"/>
  <c r="AC44" i="2"/>
  <c r="AB44" i="2"/>
  <c r="Y44" i="2"/>
  <c r="X44" i="2"/>
  <c r="Z44" i="2" s="1"/>
  <c r="U44" i="2"/>
  <c r="T44" i="2"/>
  <c r="Q44" i="2"/>
  <c r="P44" i="2"/>
  <c r="R44" i="2" s="1"/>
  <c r="M44" i="2"/>
  <c r="L44" i="2"/>
  <c r="N44" i="2" s="1"/>
  <c r="I44" i="2"/>
  <c r="H44" i="2"/>
  <c r="E44" i="2"/>
  <c r="D44" i="2"/>
  <c r="BV43" i="2"/>
  <c r="BU43" i="2"/>
  <c r="BT43" i="2"/>
  <c r="BQ43" i="2"/>
  <c r="BP43" i="2"/>
  <c r="BM43" i="2"/>
  <c r="BL43" i="2"/>
  <c r="BN43" i="2" s="1"/>
  <c r="BJ43" i="2"/>
  <c r="BI43" i="2"/>
  <c r="BE43" i="2"/>
  <c r="BF43" i="2" s="1"/>
  <c r="BA43" i="2"/>
  <c r="AZ43" i="2"/>
  <c r="AW43" i="2"/>
  <c r="AV43" i="2"/>
  <c r="AX43" i="2" s="1"/>
  <c r="AS43" i="2"/>
  <c r="AR43" i="2"/>
  <c r="AO43" i="2"/>
  <c r="AN43" i="2"/>
  <c r="AP43" i="2" s="1"/>
  <c r="AL43" i="2"/>
  <c r="AK43" i="2"/>
  <c r="AJ43" i="2"/>
  <c r="AH43" i="2"/>
  <c r="AG43" i="2"/>
  <c r="AF43" i="2"/>
  <c r="AC43" i="2"/>
  <c r="AB43" i="2"/>
  <c r="Y43" i="2"/>
  <c r="X43" i="2"/>
  <c r="U43" i="2"/>
  <c r="T43" i="2"/>
  <c r="V43" i="2" s="1"/>
  <c r="Q43" i="2"/>
  <c r="P43" i="2"/>
  <c r="R43" i="2" s="1"/>
  <c r="M43" i="2"/>
  <c r="L43" i="2"/>
  <c r="I43" i="2"/>
  <c r="H43" i="2"/>
  <c r="J43" i="2" s="1"/>
  <c r="F43" i="2"/>
  <c r="E43" i="2"/>
  <c r="D43" i="2"/>
  <c r="BU42" i="2"/>
  <c r="BT42" i="2"/>
  <c r="BQ42" i="2"/>
  <c r="BP42" i="2"/>
  <c r="BR42" i="2" s="1"/>
  <c r="BN42" i="2"/>
  <c r="BM42" i="2"/>
  <c r="BL42" i="2"/>
  <c r="BI42" i="2"/>
  <c r="BJ42" i="2" s="1"/>
  <c r="BE42" i="2"/>
  <c r="BF42" i="2" s="1"/>
  <c r="BA42" i="2"/>
  <c r="AZ42" i="2"/>
  <c r="BB42" i="2" s="1"/>
  <c r="AW42" i="2"/>
  <c r="AV42" i="2"/>
  <c r="AS42" i="2"/>
  <c r="AR42" i="2"/>
  <c r="AT42" i="2" s="1"/>
  <c r="AO42" i="2"/>
  <c r="AN42" i="2"/>
  <c r="AK42" i="2"/>
  <c r="AJ42" i="2"/>
  <c r="AL42" i="2" s="1"/>
  <c r="AG42" i="2"/>
  <c r="AF42" i="2"/>
  <c r="AC42" i="2"/>
  <c r="AB42" i="2"/>
  <c r="Y42" i="2"/>
  <c r="X42" i="2"/>
  <c r="Z42" i="2" s="1"/>
  <c r="V42" i="2"/>
  <c r="U42" i="2"/>
  <c r="T42" i="2"/>
  <c r="Q42" i="2"/>
  <c r="P42" i="2"/>
  <c r="M42" i="2"/>
  <c r="L42" i="2"/>
  <c r="N42" i="2" s="1"/>
  <c r="J42" i="2"/>
  <c r="I42" i="2"/>
  <c r="H42" i="2"/>
  <c r="E42" i="2"/>
  <c r="D42" i="2"/>
  <c r="BU41" i="2"/>
  <c r="BT41" i="2"/>
  <c r="BV41" i="2" s="1"/>
  <c r="BQ41" i="2"/>
  <c r="BP41" i="2"/>
  <c r="BM41" i="2"/>
  <c r="BL41" i="2"/>
  <c r="BN41" i="2" s="1"/>
  <c r="BI41" i="2"/>
  <c r="BJ41" i="2" s="1"/>
  <c r="BE41" i="2"/>
  <c r="BF41" i="2" s="1"/>
  <c r="BA41" i="2"/>
  <c r="AZ41" i="2"/>
  <c r="AW41" i="2"/>
  <c r="AV41" i="2"/>
  <c r="AX41" i="2" s="1"/>
  <c r="AT41" i="2"/>
  <c r="AS41" i="2"/>
  <c r="AR41" i="2"/>
  <c r="AO41" i="2"/>
  <c r="AN41" i="2"/>
  <c r="AP41" i="2" s="1"/>
  <c r="AK41" i="2"/>
  <c r="AJ41" i="2"/>
  <c r="AG41" i="2"/>
  <c r="AF41" i="2"/>
  <c r="AC41" i="2"/>
  <c r="AB41" i="2"/>
  <c r="AD41" i="2" s="1"/>
  <c r="Z41" i="2"/>
  <c r="Y41" i="2"/>
  <c r="X41" i="2"/>
  <c r="U41" i="2"/>
  <c r="T41" i="2"/>
  <c r="Q41" i="2"/>
  <c r="P41" i="2"/>
  <c r="R41" i="2" s="1"/>
  <c r="N41" i="2"/>
  <c r="M41" i="2"/>
  <c r="L41" i="2"/>
  <c r="I41" i="2"/>
  <c r="H41" i="2"/>
  <c r="E41" i="2"/>
  <c r="D41" i="2"/>
  <c r="BV40" i="2"/>
  <c r="BU40" i="2"/>
  <c r="BT40" i="2"/>
  <c r="BQ40" i="2"/>
  <c r="BP40" i="2"/>
  <c r="BR40" i="2" s="1"/>
  <c r="BM40" i="2"/>
  <c r="BL40" i="2"/>
  <c r="BI40" i="2"/>
  <c r="BJ40" i="2" s="1"/>
  <c r="BF40" i="2"/>
  <c r="BE40" i="2"/>
  <c r="BA40" i="2"/>
  <c r="AZ40" i="2"/>
  <c r="BB40" i="2" s="1"/>
  <c r="AX40" i="2"/>
  <c r="AW40" i="2"/>
  <c r="AV40" i="2"/>
  <c r="AT40" i="2"/>
  <c r="AS40" i="2"/>
  <c r="AR40" i="2"/>
  <c r="AO40" i="2"/>
  <c r="AN40" i="2"/>
  <c r="AP40" i="2" s="1"/>
  <c r="AK40" i="2"/>
  <c r="AJ40" i="2"/>
  <c r="AG40" i="2"/>
  <c r="AF40" i="2"/>
  <c r="AH40" i="2" s="1"/>
  <c r="AC40" i="2"/>
  <c r="AB40" i="2"/>
  <c r="AD40" i="2" s="1"/>
  <c r="Y40" i="2"/>
  <c r="X40" i="2"/>
  <c r="U40" i="2"/>
  <c r="T40" i="2"/>
  <c r="V40" i="2" s="1"/>
  <c r="R40" i="2"/>
  <c r="Q40" i="2"/>
  <c r="P40" i="2"/>
  <c r="N40" i="2"/>
  <c r="M40" i="2"/>
  <c r="L40" i="2"/>
  <c r="I40" i="2"/>
  <c r="H40" i="2"/>
  <c r="J40" i="2" s="1"/>
  <c r="E40" i="2"/>
  <c r="D40" i="2"/>
  <c r="BU39" i="2"/>
  <c r="BT39" i="2"/>
  <c r="BQ39" i="2"/>
  <c r="BP39" i="2"/>
  <c r="BM39" i="2"/>
  <c r="BL39" i="2"/>
  <c r="BI39" i="2"/>
  <c r="BJ39" i="2" s="1"/>
  <c r="BE39" i="2"/>
  <c r="BF39" i="2" s="1"/>
  <c r="BB39" i="2"/>
  <c r="BA39" i="2"/>
  <c r="AZ39" i="2"/>
  <c r="AX39" i="2"/>
  <c r="AW39" i="2"/>
  <c r="AV39" i="2"/>
  <c r="AS39" i="2"/>
  <c r="AR39" i="2"/>
  <c r="AT39" i="2" s="1"/>
  <c r="AO39" i="2"/>
  <c r="AN39" i="2"/>
  <c r="AK39" i="2"/>
  <c r="AJ39" i="2"/>
  <c r="AL39" i="2" s="1"/>
  <c r="AG39" i="2"/>
  <c r="AF39" i="2"/>
  <c r="AH39" i="2" s="1"/>
  <c r="AC39" i="2"/>
  <c r="AB39" i="2"/>
  <c r="Y39" i="2"/>
  <c r="X39" i="2"/>
  <c r="Z39" i="2" s="1"/>
  <c r="V39" i="2"/>
  <c r="U39" i="2"/>
  <c r="T39" i="2"/>
  <c r="R39" i="2"/>
  <c r="Q39" i="2"/>
  <c r="P39" i="2"/>
  <c r="M39" i="2"/>
  <c r="L39" i="2"/>
  <c r="N39" i="2" s="1"/>
  <c r="I39" i="2"/>
  <c r="H39" i="2"/>
  <c r="E39" i="2"/>
  <c r="D39" i="2"/>
  <c r="BU38" i="2"/>
  <c r="BT38" i="2"/>
  <c r="BV38" i="2" s="1"/>
  <c r="BQ38" i="2"/>
  <c r="BP38" i="2"/>
  <c r="BM38" i="2"/>
  <c r="BL38" i="2"/>
  <c r="BN38" i="2" s="1"/>
  <c r="BJ38" i="2"/>
  <c r="BI38" i="2"/>
  <c r="BE38" i="2"/>
  <c r="BF38" i="2" s="1"/>
  <c r="BB38" i="2"/>
  <c r="BA38" i="2"/>
  <c r="AZ38" i="2"/>
  <c r="AW38" i="2"/>
  <c r="AV38" i="2"/>
  <c r="AX38" i="2" s="1"/>
  <c r="AS38" i="2"/>
  <c r="AR38" i="2"/>
  <c r="AO38" i="2"/>
  <c r="AN38" i="2"/>
  <c r="AP38" i="2" s="1"/>
  <c r="AK38" i="2"/>
  <c r="AJ38" i="2"/>
  <c r="AL38" i="2" s="1"/>
  <c r="AG38" i="2"/>
  <c r="AF38" i="2"/>
  <c r="AC38" i="2"/>
  <c r="AB38" i="2"/>
  <c r="AD38" i="2" s="1"/>
  <c r="Z38" i="2"/>
  <c r="Y38" i="2"/>
  <c r="X38" i="2"/>
  <c r="V38" i="2"/>
  <c r="U38" i="2"/>
  <c r="T38" i="2"/>
  <c r="Q38" i="2"/>
  <c r="P38" i="2"/>
  <c r="R38" i="2" s="1"/>
  <c r="M38" i="2"/>
  <c r="L38" i="2"/>
  <c r="I38" i="2"/>
  <c r="H38" i="2"/>
  <c r="E38" i="2"/>
  <c r="D38" i="2"/>
  <c r="BU37" i="2"/>
  <c r="BT37" i="2"/>
  <c r="BQ37" i="2"/>
  <c r="BP37" i="2"/>
  <c r="BR37" i="2" s="1"/>
  <c r="BM37" i="2"/>
  <c r="BL37" i="2"/>
  <c r="BN37" i="2" s="1"/>
  <c r="BI37" i="2"/>
  <c r="BJ37" i="2" s="1"/>
  <c r="BE37" i="2"/>
  <c r="BF37" i="2" s="1"/>
  <c r="BA37" i="2"/>
  <c r="AZ37" i="2"/>
  <c r="AW37" i="2"/>
  <c r="AV37" i="2"/>
  <c r="AX37" i="2" s="1"/>
  <c r="AT37" i="2"/>
  <c r="AS37" i="2"/>
  <c r="AR37" i="2"/>
  <c r="AO37" i="2"/>
  <c r="AN37" i="2"/>
  <c r="AP37" i="2" s="1"/>
  <c r="AK37" i="2"/>
  <c r="AJ37" i="2"/>
  <c r="AG37" i="2"/>
  <c r="AF37" i="2"/>
  <c r="AC37" i="2"/>
  <c r="AB37" i="2"/>
  <c r="AD37" i="2" s="1"/>
  <c r="Z37" i="2"/>
  <c r="Y37" i="2"/>
  <c r="X37" i="2"/>
  <c r="U37" i="2"/>
  <c r="T37" i="2"/>
  <c r="Q37" i="2"/>
  <c r="P37" i="2"/>
  <c r="R37" i="2" s="1"/>
  <c r="N37" i="2"/>
  <c r="M37" i="2"/>
  <c r="L37" i="2"/>
  <c r="I37" i="2"/>
  <c r="H37" i="2"/>
  <c r="E37" i="2"/>
  <c r="D37" i="2"/>
  <c r="BV36" i="2"/>
  <c r="BU36" i="2"/>
  <c r="BT36" i="2"/>
  <c r="BQ36" i="2"/>
  <c r="BP36" i="2"/>
  <c r="BM36" i="2"/>
  <c r="BL36" i="2"/>
  <c r="BI36" i="2"/>
  <c r="BJ36" i="2" s="1"/>
  <c r="BF36" i="2"/>
  <c r="BE36" i="2"/>
  <c r="BA36" i="2"/>
  <c r="AZ36" i="2"/>
  <c r="BB36" i="2" s="1"/>
  <c r="AX36" i="2"/>
  <c r="AW36" i="2"/>
  <c r="AV36" i="2"/>
  <c r="AT36" i="2"/>
  <c r="AS36" i="2"/>
  <c r="AR36" i="2"/>
  <c r="AO36" i="2"/>
  <c r="AN36" i="2"/>
  <c r="AK36" i="2"/>
  <c r="AJ36" i="2"/>
  <c r="AG36" i="2"/>
  <c r="AF36" i="2"/>
  <c r="AH36" i="2" s="1"/>
  <c r="AC36" i="2"/>
  <c r="AB36" i="2"/>
  <c r="AD36" i="2" s="1"/>
  <c r="Y36" i="2"/>
  <c r="X36" i="2"/>
  <c r="U36" i="2"/>
  <c r="T36" i="2"/>
  <c r="V36" i="2" s="1"/>
  <c r="R36" i="2"/>
  <c r="Q36" i="2"/>
  <c r="P36" i="2"/>
  <c r="N36" i="2"/>
  <c r="M36" i="2"/>
  <c r="L36" i="2"/>
  <c r="I36" i="2"/>
  <c r="H36" i="2"/>
  <c r="E36" i="2"/>
  <c r="D36" i="2"/>
  <c r="BU35" i="2"/>
  <c r="BT35" i="2"/>
  <c r="BQ35" i="2"/>
  <c r="BP35" i="2"/>
  <c r="BM35" i="2"/>
  <c r="BL35" i="2"/>
  <c r="BI35" i="2"/>
  <c r="BJ35" i="2" s="1"/>
  <c r="BE35" i="2"/>
  <c r="BF35" i="2" s="1"/>
  <c r="BB35" i="2"/>
  <c r="BA35" i="2"/>
  <c r="AZ35" i="2"/>
  <c r="AX35" i="2"/>
  <c r="AW35" i="2"/>
  <c r="AV35" i="2"/>
  <c r="AS35" i="2"/>
  <c r="AR35" i="2"/>
  <c r="AO35" i="2"/>
  <c r="AN35" i="2"/>
  <c r="AK35" i="2"/>
  <c r="AJ35" i="2"/>
  <c r="AL35" i="2" s="1"/>
  <c r="AG35" i="2"/>
  <c r="AF35" i="2"/>
  <c r="AH35" i="2" s="1"/>
  <c r="AC35" i="2"/>
  <c r="AB35" i="2"/>
  <c r="Y35" i="2"/>
  <c r="X35" i="2"/>
  <c r="U35" i="2"/>
  <c r="T35" i="2"/>
  <c r="V35" i="2" s="1"/>
  <c r="Q35" i="2"/>
  <c r="P35" i="2"/>
  <c r="R35" i="2" s="1"/>
  <c r="M35" i="2"/>
  <c r="L35" i="2"/>
  <c r="I35" i="2"/>
  <c r="H35" i="2"/>
  <c r="J35" i="2" s="1"/>
  <c r="F35" i="2"/>
  <c r="E35" i="2"/>
  <c r="D35" i="2"/>
  <c r="BU34" i="2"/>
  <c r="BT34" i="2"/>
  <c r="BQ34" i="2"/>
  <c r="BP34" i="2"/>
  <c r="BR34" i="2" s="1"/>
  <c r="BN34" i="2"/>
  <c r="BM34" i="2"/>
  <c r="BL34" i="2"/>
  <c r="BI34" i="2"/>
  <c r="BJ34" i="2" s="1"/>
  <c r="BE34" i="2"/>
  <c r="BF34" i="2" s="1"/>
  <c r="BA34" i="2"/>
  <c r="AZ34" i="2"/>
  <c r="BB34" i="2" s="1"/>
  <c r="AW34" i="2"/>
  <c r="AV34" i="2"/>
  <c r="AS34" i="2"/>
  <c r="AR34" i="2"/>
  <c r="AT34" i="2" s="1"/>
  <c r="AP34" i="2"/>
  <c r="AO34" i="2"/>
  <c r="AN34" i="2"/>
  <c r="AL34" i="2"/>
  <c r="AK34" i="2"/>
  <c r="AJ34" i="2"/>
  <c r="AG34" i="2"/>
  <c r="AF34" i="2"/>
  <c r="AC34" i="2"/>
  <c r="AB34" i="2"/>
  <c r="Y34" i="2"/>
  <c r="X34" i="2"/>
  <c r="Z34" i="2" s="1"/>
  <c r="U34" i="2"/>
  <c r="T34" i="2"/>
  <c r="V34" i="2" s="1"/>
  <c r="Q34" i="2"/>
  <c r="P34" i="2"/>
  <c r="M34" i="2"/>
  <c r="L34" i="2"/>
  <c r="N34" i="2" s="1"/>
  <c r="J34" i="2"/>
  <c r="I34" i="2"/>
  <c r="H34" i="2"/>
  <c r="F34" i="2"/>
  <c r="E34" i="2"/>
  <c r="D34" i="2"/>
  <c r="BU33" i="2"/>
  <c r="BT33" i="2"/>
  <c r="BV33" i="2" s="1"/>
  <c r="BR33" i="2"/>
  <c r="BQ33" i="2"/>
  <c r="BP33" i="2"/>
  <c r="BN33" i="2"/>
  <c r="BM33" i="2"/>
  <c r="BL33" i="2"/>
  <c r="BI33" i="2"/>
  <c r="BJ33" i="2" s="1"/>
  <c r="BF33" i="2"/>
  <c r="BE33" i="2"/>
  <c r="BA33" i="2"/>
  <c r="AZ33" i="2"/>
  <c r="AW33" i="2"/>
  <c r="AV33" i="2"/>
  <c r="AS33" i="2"/>
  <c r="AR33" i="2"/>
  <c r="AT33" i="2" s="1"/>
  <c r="AP33" i="2"/>
  <c r="AO33" i="2"/>
  <c r="AN33" i="2"/>
  <c r="AK33" i="2"/>
  <c r="AJ33" i="2"/>
  <c r="AG33" i="2"/>
  <c r="AF33" i="2"/>
  <c r="AH33" i="2" s="1"/>
  <c r="AD33" i="2"/>
  <c r="AC33" i="2"/>
  <c r="AB33" i="2"/>
  <c r="Y33" i="2"/>
  <c r="X33" i="2"/>
  <c r="Z33" i="2" s="1"/>
  <c r="U33" i="2"/>
  <c r="T33" i="2"/>
  <c r="Q33" i="2"/>
  <c r="P33" i="2"/>
  <c r="M33" i="2"/>
  <c r="L33" i="2"/>
  <c r="N33" i="2" s="1"/>
  <c r="J33" i="2"/>
  <c r="I33" i="2"/>
  <c r="H33" i="2"/>
  <c r="E33" i="2"/>
  <c r="D33" i="2"/>
  <c r="BU32" i="2"/>
  <c r="BT32" i="2"/>
  <c r="BV32" i="2" s="1"/>
  <c r="BR32" i="2"/>
  <c r="BQ32" i="2"/>
  <c r="BP32" i="2"/>
  <c r="BM32" i="2"/>
  <c r="BL32" i="2"/>
  <c r="BI32" i="2"/>
  <c r="BJ32" i="2" s="1"/>
  <c r="BE32" i="2"/>
  <c r="BF32" i="2" s="1"/>
  <c r="BA32" i="2"/>
  <c r="AZ32" i="2"/>
  <c r="AW32" i="2"/>
  <c r="AV32" i="2"/>
  <c r="AX32" i="2" s="1"/>
  <c r="AS32" i="2"/>
  <c r="AR32" i="2"/>
  <c r="AT32" i="2" s="1"/>
  <c r="AO32" i="2"/>
  <c r="AN32" i="2"/>
  <c r="AK32" i="2"/>
  <c r="AJ32" i="2"/>
  <c r="AL32" i="2" s="1"/>
  <c r="AH32" i="2"/>
  <c r="AG32" i="2"/>
  <c r="AF32" i="2"/>
  <c r="AD32" i="2"/>
  <c r="AC32" i="2"/>
  <c r="AB32" i="2"/>
  <c r="Y32" i="2"/>
  <c r="X32" i="2"/>
  <c r="Z32" i="2" s="1"/>
  <c r="U32" i="2"/>
  <c r="T32" i="2"/>
  <c r="Q32" i="2"/>
  <c r="P32" i="2"/>
  <c r="R32" i="2" s="1"/>
  <c r="M32" i="2"/>
  <c r="L32" i="2"/>
  <c r="N32" i="2" s="1"/>
  <c r="I32" i="2"/>
  <c r="H32" i="2"/>
  <c r="E32" i="2"/>
  <c r="D32" i="2"/>
  <c r="BV31" i="2"/>
  <c r="BU31" i="2"/>
  <c r="BT31" i="2"/>
  <c r="BQ31" i="2"/>
  <c r="BP31" i="2"/>
  <c r="BM31" i="2"/>
  <c r="BL31" i="2"/>
  <c r="BN31" i="2" s="1"/>
  <c r="BJ31" i="2"/>
  <c r="BI31" i="2"/>
  <c r="BE31" i="2"/>
  <c r="BF31" i="2" s="1"/>
  <c r="BA31" i="2"/>
  <c r="AZ31" i="2"/>
  <c r="BB31" i="2" s="1"/>
  <c r="AW31" i="2"/>
  <c r="AV31" i="2"/>
  <c r="AX31" i="2" s="1"/>
  <c r="AS31" i="2"/>
  <c r="AR31" i="2"/>
  <c r="AO31" i="2"/>
  <c r="AN31" i="2"/>
  <c r="AP31" i="2" s="1"/>
  <c r="AL31" i="2"/>
  <c r="AK31" i="2"/>
  <c r="AJ31" i="2"/>
  <c r="AH31" i="2"/>
  <c r="AG31" i="2"/>
  <c r="AF31" i="2"/>
  <c r="AC31" i="2"/>
  <c r="AB31" i="2"/>
  <c r="AD31" i="2" s="1"/>
  <c r="Y31" i="2"/>
  <c r="X31" i="2"/>
  <c r="U31" i="2"/>
  <c r="T31" i="2"/>
  <c r="V31" i="2" s="1"/>
  <c r="Q31" i="2"/>
  <c r="P31" i="2"/>
  <c r="R31" i="2" s="1"/>
  <c r="M31" i="2"/>
  <c r="L31" i="2"/>
  <c r="I31" i="2"/>
  <c r="H31" i="2"/>
  <c r="J31" i="2" s="1"/>
  <c r="F31" i="2"/>
  <c r="E31" i="2"/>
  <c r="D31" i="2"/>
  <c r="BU30" i="2"/>
  <c r="BT30" i="2"/>
  <c r="BQ30" i="2"/>
  <c r="BP30" i="2"/>
  <c r="BN30" i="2"/>
  <c r="BM30" i="2"/>
  <c r="BL30" i="2"/>
  <c r="BI30" i="2"/>
  <c r="BJ30" i="2" s="1"/>
  <c r="BF30" i="2"/>
  <c r="BE30" i="2"/>
  <c r="BA30" i="2"/>
  <c r="AZ30" i="2"/>
  <c r="BB30" i="2" s="1"/>
  <c r="AW30" i="2"/>
  <c r="AV30" i="2"/>
  <c r="AS30" i="2"/>
  <c r="AR30" i="2"/>
  <c r="AO30" i="2"/>
  <c r="AN30" i="2"/>
  <c r="AP30" i="2" s="1"/>
  <c r="AK30" i="2"/>
  <c r="AL30" i="2" s="1"/>
  <c r="AJ30" i="2"/>
  <c r="AG30" i="2"/>
  <c r="AF30" i="2"/>
  <c r="AH30" i="2" s="1"/>
  <c r="AC30" i="2"/>
  <c r="AB30" i="2"/>
  <c r="Y30" i="2"/>
  <c r="X30" i="2"/>
  <c r="Z30" i="2" s="1"/>
  <c r="U30" i="2"/>
  <c r="T30" i="2"/>
  <c r="V30" i="2" s="1"/>
  <c r="Q30" i="2"/>
  <c r="P30" i="2"/>
  <c r="M30" i="2"/>
  <c r="L30" i="2"/>
  <c r="N30" i="2" s="1"/>
  <c r="J30" i="2"/>
  <c r="I30" i="2"/>
  <c r="H30" i="2"/>
  <c r="E30" i="2"/>
  <c r="D30" i="2"/>
  <c r="BU29" i="2"/>
  <c r="BT29" i="2"/>
  <c r="BR29" i="2"/>
  <c r="BQ29" i="2"/>
  <c r="BP29" i="2"/>
  <c r="BM29" i="2"/>
  <c r="BL29" i="2"/>
  <c r="BN29" i="2" s="1"/>
  <c r="BI29" i="2"/>
  <c r="BJ29" i="2" s="1"/>
  <c r="BE29" i="2"/>
  <c r="BF29" i="2" s="1"/>
  <c r="BA29" i="2"/>
  <c r="AZ29" i="2"/>
  <c r="AW29" i="2"/>
  <c r="AV29" i="2"/>
  <c r="AX29" i="2" s="1"/>
  <c r="AT29" i="2"/>
  <c r="AS29" i="2"/>
  <c r="AR29" i="2"/>
  <c r="AO29" i="2"/>
  <c r="AP29" i="2" s="1"/>
  <c r="AN29" i="2"/>
  <c r="AK29" i="2"/>
  <c r="AJ29" i="2"/>
  <c r="AG29" i="2"/>
  <c r="AF29" i="2"/>
  <c r="AC29" i="2"/>
  <c r="AB29" i="2"/>
  <c r="AD29" i="2" s="1"/>
  <c r="Z29" i="2"/>
  <c r="Y29" i="2"/>
  <c r="X29" i="2"/>
  <c r="U29" i="2"/>
  <c r="T29" i="2"/>
  <c r="Q29" i="2"/>
  <c r="P29" i="2"/>
  <c r="N29" i="2"/>
  <c r="M29" i="2"/>
  <c r="L29" i="2"/>
  <c r="I29" i="2"/>
  <c r="H29" i="2"/>
  <c r="E29" i="2"/>
  <c r="D29" i="2"/>
  <c r="BU28" i="2"/>
  <c r="BT28" i="2"/>
  <c r="BV28" i="2" s="1"/>
  <c r="BQ28" i="2"/>
  <c r="BP28" i="2"/>
  <c r="BR28" i="2" s="1"/>
  <c r="BM28" i="2"/>
  <c r="BL28" i="2"/>
  <c r="BI28" i="2"/>
  <c r="BJ28" i="2" s="1"/>
  <c r="BE28" i="2"/>
  <c r="BF28" i="2" s="1"/>
  <c r="BA28" i="2"/>
  <c r="AZ28" i="2"/>
  <c r="BB28" i="2" s="1"/>
  <c r="AX28" i="2"/>
  <c r="AW28" i="2"/>
  <c r="AV28" i="2"/>
  <c r="AS28" i="2"/>
  <c r="AR28" i="2"/>
  <c r="AT28" i="2" s="1"/>
  <c r="AO28" i="2"/>
  <c r="AN28" i="2"/>
  <c r="AK28" i="2"/>
  <c r="AJ28" i="2"/>
  <c r="AG28" i="2"/>
  <c r="AF28" i="2"/>
  <c r="AH28" i="2" s="1"/>
  <c r="AC28" i="2"/>
  <c r="AD28" i="2" s="1"/>
  <c r="AB28" i="2"/>
  <c r="Y28" i="2"/>
  <c r="X28" i="2"/>
  <c r="Z28" i="2" s="1"/>
  <c r="U28" i="2"/>
  <c r="T28" i="2"/>
  <c r="Q28" i="2"/>
  <c r="P28" i="2"/>
  <c r="R28" i="2" s="1"/>
  <c r="M28" i="2"/>
  <c r="L28" i="2"/>
  <c r="N28" i="2" s="1"/>
  <c r="I28" i="2"/>
  <c r="H28" i="2"/>
  <c r="E28" i="2"/>
  <c r="D28" i="2"/>
  <c r="F28" i="2" s="1"/>
  <c r="BV27" i="2"/>
  <c r="BU27" i="2"/>
  <c r="BT27" i="2"/>
  <c r="BQ27" i="2"/>
  <c r="BP27" i="2"/>
  <c r="BM27" i="2"/>
  <c r="BL27" i="2"/>
  <c r="BN27" i="2" s="1"/>
  <c r="BJ27" i="2"/>
  <c r="BI27" i="2"/>
  <c r="BE27" i="2"/>
  <c r="BF27" i="2" s="1"/>
  <c r="BA27" i="2"/>
  <c r="AZ27" i="2"/>
  <c r="BB27" i="2" s="1"/>
  <c r="AW27" i="2"/>
  <c r="AV27" i="2"/>
  <c r="AS27" i="2"/>
  <c r="AR27" i="2"/>
  <c r="AO27" i="2"/>
  <c r="AN27" i="2"/>
  <c r="AL27" i="2"/>
  <c r="AK27" i="2"/>
  <c r="AJ27" i="2"/>
  <c r="AG27" i="2"/>
  <c r="AF27" i="2"/>
  <c r="AH27" i="2" s="1"/>
  <c r="AC27" i="2"/>
  <c r="AB27" i="2"/>
  <c r="AD27" i="2" s="1"/>
  <c r="Y27" i="2"/>
  <c r="X27" i="2"/>
  <c r="U27" i="2"/>
  <c r="T27" i="2"/>
  <c r="V27" i="2" s="1"/>
  <c r="Q27" i="2"/>
  <c r="R27" i="2" s="1"/>
  <c r="P27" i="2"/>
  <c r="M27" i="2"/>
  <c r="L27" i="2"/>
  <c r="I27" i="2"/>
  <c r="H27" i="2"/>
  <c r="E27" i="2"/>
  <c r="F27" i="2" s="1"/>
  <c r="D27" i="2"/>
  <c r="BU26" i="2"/>
  <c r="BT26" i="2"/>
  <c r="BV26" i="2" s="1"/>
  <c r="BQ26" i="2"/>
  <c r="BP26" i="2"/>
  <c r="BM26" i="2"/>
  <c r="BL26" i="2"/>
  <c r="BN26" i="2" s="1"/>
  <c r="BJ26" i="2"/>
  <c r="BI26" i="2"/>
  <c r="BE26" i="2"/>
  <c r="BF26" i="2" s="1"/>
  <c r="BA26" i="2"/>
  <c r="AZ26" i="2"/>
  <c r="BB26" i="2" s="1"/>
  <c r="AW26" i="2"/>
  <c r="AV26" i="2"/>
  <c r="AS26" i="2"/>
  <c r="AR26" i="2"/>
  <c r="AT26" i="2" s="1"/>
  <c r="AP26" i="2"/>
  <c r="AO26" i="2"/>
  <c r="AN26" i="2"/>
  <c r="AK26" i="2"/>
  <c r="AL26" i="2" s="1"/>
  <c r="AJ26" i="2"/>
  <c r="AG26" i="2"/>
  <c r="AF26" i="2"/>
  <c r="AH26" i="2" s="1"/>
  <c r="AC26" i="2"/>
  <c r="AB26" i="2"/>
  <c r="Y26" i="2"/>
  <c r="X26" i="2"/>
  <c r="Z26" i="2" s="1"/>
  <c r="U26" i="2"/>
  <c r="T26" i="2"/>
  <c r="V26" i="2" s="1"/>
  <c r="Q26" i="2"/>
  <c r="P26" i="2"/>
  <c r="M26" i="2"/>
  <c r="L26" i="2"/>
  <c r="N26" i="2" s="1"/>
  <c r="J26" i="2"/>
  <c r="I26" i="2"/>
  <c r="H26" i="2"/>
  <c r="E26" i="2"/>
  <c r="D26" i="2"/>
  <c r="BU25" i="2"/>
  <c r="BT25" i="2"/>
  <c r="BV25" i="2" s="1"/>
  <c r="BR25" i="2"/>
  <c r="BQ25" i="2"/>
  <c r="BP25" i="2"/>
  <c r="BM25" i="2"/>
  <c r="BN25" i="2" s="1"/>
  <c r="BL25" i="2"/>
  <c r="BI25" i="2"/>
  <c r="BJ25" i="2" s="1"/>
  <c r="BE25" i="2"/>
  <c r="BF25" i="2" s="1"/>
  <c r="BA25" i="2"/>
  <c r="AZ25" i="2"/>
  <c r="AW25" i="2"/>
  <c r="AV25" i="2"/>
  <c r="AX25" i="2" s="1"/>
  <c r="AS25" i="2"/>
  <c r="AR25" i="2"/>
  <c r="AT25" i="2" s="1"/>
  <c r="AO25" i="2"/>
  <c r="AP25" i="2" s="1"/>
  <c r="AN25" i="2"/>
  <c r="AK25" i="2"/>
  <c r="AJ25" i="2"/>
  <c r="AG25" i="2"/>
  <c r="AF25" i="2"/>
  <c r="AC25" i="2"/>
  <c r="AB25" i="2"/>
  <c r="AD25" i="2" s="1"/>
  <c r="Y25" i="2"/>
  <c r="X25" i="2"/>
  <c r="Z25" i="2" s="1"/>
  <c r="U25" i="2"/>
  <c r="T25" i="2"/>
  <c r="Q25" i="2"/>
  <c r="P25" i="2"/>
  <c r="R25" i="2" s="1"/>
  <c r="N25" i="2"/>
  <c r="M25" i="2"/>
  <c r="L25" i="2"/>
  <c r="I25" i="2"/>
  <c r="H25" i="2"/>
  <c r="E25" i="2"/>
  <c r="D25" i="2"/>
  <c r="BU24" i="2"/>
  <c r="BV24" i="2" s="1"/>
  <c r="BT24" i="2"/>
  <c r="BQ24" i="2"/>
  <c r="BP24" i="2"/>
  <c r="BR24" i="2" s="1"/>
  <c r="BM24" i="2"/>
  <c r="BL24" i="2"/>
  <c r="BI24" i="2"/>
  <c r="BJ24" i="2" s="1"/>
  <c r="BE24" i="2"/>
  <c r="BF24" i="2" s="1"/>
  <c r="BA24" i="2"/>
  <c r="AZ24" i="2"/>
  <c r="BB24" i="2" s="1"/>
  <c r="AX24" i="2"/>
  <c r="AW24" i="2"/>
  <c r="AV24" i="2"/>
  <c r="AS24" i="2"/>
  <c r="AT24" i="2" s="1"/>
  <c r="AR24" i="2"/>
  <c r="AO24" i="2"/>
  <c r="AN24" i="2"/>
  <c r="AK24" i="2"/>
  <c r="AJ24" i="2"/>
  <c r="AG24" i="2"/>
  <c r="AF24" i="2"/>
  <c r="AH24" i="2" s="1"/>
  <c r="AC24" i="2"/>
  <c r="AB24" i="2"/>
  <c r="AD24" i="2" s="1"/>
  <c r="Y24" i="2"/>
  <c r="X24" i="2"/>
  <c r="U24" i="2"/>
  <c r="T24" i="2"/>
  <c r="V24" i="2" s="1"/>
  <c r="R24" i="2"/>
  <c r="Q24" i="2"/>
  <c r="P24" i="2"/>
  <c r="M24" i="2"/>
  <c r="N24" i="2" s="1"/>
  <c r="L24" i="2"/>
  <c r="I24" i="2"/>
  <c r="H24" i="2"/>
  <c r="E24" i="2"/>
  <c r="D24" i="2"/>
  <c r="BU21" i="2"/>
  <c r="BT21" i="2"/>
  <c r="BV21" i="2" s="1"/>
  <c r="BQ21" i="2"/>
  <c r="BP21" i="2"/>
  <c r="BM21" i="2"/>
  <c r="BL21" i="2"/>
  <c r="BN21" i="2" s="1"/>
  <c r="BJ21" i="2"/>
  <c r="BI21" i="2"/>
  <c r="BE21" i="2"/>
  <c r="BF21" i="2" s="1"/>
  <c r="BB21" i="2"/>
  <c r="BA21" i="2"/>
  <c r="AZ21" i="2"/>
  <c r="AW21" i="2"/>
  <c r="AV21" i="2"/>
  <c r="AS21" i="2"/>
  <c r="AR21" i="2"/>
  <c r="AO21" i="2"/>
  <c r="AN21" i="2"/>
  <c r="AP21" i="2" s="1"/>
  <c r="AK21" i="2"/>
  <c r="AJ21" i="2"/>
  <c r="AL21" i="2" s="1"/>
  <c r="AH21" i="2"/>
  <c r="AG21" i="2"/>
  <c r="AF21" i="2"/>
  <c r="AC21" i="2"/>
  <c r="AB21" i="2"/>
  <c r="AD21" i="2" s="1"/>
  <c r="Y21" i="2"/>
  <c r="X21" i="2"/>
  <c r="U21" i="2"/>
  <c r="V21" i="2" s="1"/>
  <c r="T21" i="2"/>
  <c r="Q21" i="2"/>
  <c r="P21" i="2"/>
  <c r="M21" i="2"/>
  <c r="L21" i="2"/>
  <c r="I21" i="2"/>
  <c r="H21" i="2"/>
  <c r="J21" i="2" s="1"/>
  <c r="F21" i="2"/>
  <c r="E21" i="2"/>
  <c r="D21" i="2"/>
  <c r="BU20" i="2"/>
  <c r="BT20" i="2"/>
  <c r="BV20" i="2" s="1"/>
  <c r="BQ20" i="2"/>
  <c r="BP20" i="2"/>
  <c r="BR20" i="2" s="1"/>
  <c r="BN20" i="2"/>
  <c r="BM20" i="2"/>
  <c r="BL20" i="2"/>
  <c r="BI20" i="2"/>
  <c r="BJ20" i="2" s="1"/>
  <c r="BF20" i="2"/>
  <c r="BE20" i="2"/>
  <c r="BA20" i="2"/>
  <c r="AZ20" i="2"/>
  <c r="BB20" i="2" s="1"/>
  <c r="AW20" i="2"/>
  <c r="AV20" i="2"/>
  <c r="AS20" i="2"/>
  <c r="AR20" i="2"/>
  <c r="AT20" i="2" s="1"/>
  <c r="AO20" i="2"/>
  <c r="AP20" i="2" s="1"/>
  <c r="AN20" i="2"/>
  <c r="AK20" i="2"/>
  <c r="AJ20" i="2"/>
  <c r="AG20" i="2"/>
  <c r="AF20" i="2"/>
  <c r="AC20" i="2"/>
  <c r="AD20" i="2" s="1"/>
  <c r="AB20" i="2"/>
  <c r="Y20" i="2"/>
  <c r="X20" i="2"/>
  <c r="Z20" i="2" s="1"/>
  <c r="U20" i="2"/>
  <c r="T20" i="2"/>
  <c r="Q20" i="2"/>
  <c r="P20" i="2"/>
  <c r="R20" i="2" s="1"/>
  <c r="M20" i="2"/>
  <c r="L20" i="2"/>
  <c r="N20" i="2" s="1"/>
  <c r="I20" i="2"/>
  <c r="J20" i="2" s="1"/>
  <c r="H20" i="2"/>
  <c r="E20" i="2"/>
  <c r="D20" i="2"/>
  <c r="BV19" i="2"/>
  <c r="BU19" i="2"/>
  <c r="BT19" i="2"/>
  <c r="BQ19" i="2"/>
  <c r="BP19" i="2"/>
  <c r="BM19" i="2"/>
  <c r="BL19" i="2"/>
  <c r="BI19" i="2"/>
  <c r="BJ19" i="2" s="1"/>
  <c r="BE19" i="2"/>
  <c r="BF19" i="2" s="1"/>
  <c r="BA19" i="2"/>
  <c r="AZ19" i="2"/>
  <c r="BB19" i="2" s="1"/>
  <c r="AX19" i="2"/>
  <c r="AW19" i="2"/>
  <c r="AV19" i="2"/>
  <c r="AS19" i="2"/>
  <c r="AT19" i="2" s="1"/>
  <c r="AR19" i="2"/>
  <c r="AO19" i="2"/>
  <c r="AN19" i="2"/>
  <c r="AK19" i="2"/>
  <c r="AJ19" i="2"/>
  <c r="AG19" i="2"/>
  <c r="AF19" i="2"/>
  <c r="AH19" i="2" s="1"/>
  <c r="AC19" i="2"/>
  <c r="AD19" i="2" s="1"/>
  <c r="AB19" i="2"/>
  <c r="Y19" i="2"/>
  <c r="X19" i="2"/>
  <c r="Z19" i="2" s="1"/>
  <c r="U19" i="2"/>
  <c r="T19" i="2"/>
  <c r="Q19" i="2"/>
  <c r="R19" i="2" s="1"/>
  <c r="P19" i="2"/>
  <c r="M19" i="2"/>
  <c r="L19" i="2"/>
  <c r="N19" i="2" s="1"/>
  <c r="I19" i="2"/>
  <c r="H19" i="2"/>
  <c r="E19" i="2"/>
  <c r="D19" i="2"/>
  <c r="F19" i="2" s="1"/>
  <c r="BU18" i="2"/>
  <c r="BT18" i="2"/>
  <c r="BV18" i="2" s="1"/>
  <c r="BQ18" i="2"/>
  <c r="BP18" i="2"/>
  <c r="BM18" i="2"/>
  <c r="BL18" i="2"/>
  <c r="BN18" i="2" s="1"/>
  <c r="BJ18" i="2"/>
  <c r="BI18" i="2"/>
  <c r="BE18" i="2"/>
  <c r="BF18" i="2" s="1"/>
  <c r="BA18" i="2"/>
  <c r="BB18" i="2" s="1"/>
  <c r="AZ18" i="2"/>
  <c r="AW18" i="2"/>
  <c r="AV18" i="2"/>
  <c r="AS18" i="2"/>
  <c r="AR18" i="2"/>
  <c r="AO18" i="2"/>
  <c r="AN18" i="2"/>
  <c r="AP18" i="2" s="1"/>
  <c r="AL18" i="2"/>
  <c r="AK18" i="2"/>
  <c r="AJ18" i="2"/>
  <c r="AG18" i="2"/>
  <c r="AH18" i="2" s="1"/>
  <c r="AF18" i="2"/>
  <c r="AC18" i="2"/>
  <c r="AB18" i="2"/>
  <c r="AD18" i="2" s="1"/>
  <c r="Y18" i="2"/>
  <c r="X18" i="2"/>
  <c r="U18" i="2"/>
  <c r="T18" i="2"/>
  <c r="V18" i="2" s="1"/>
  <c r="Q18" i="2"/>
  <c r="R18" i="2" s="1"/>
  <c r="P18" i="2"/>
  <c r="M18" i="2"/>
  <c r="L18" i="2"/>
  <c r="I18" i="2"/>
  <c r="H18" i="2"/>
  <c r="E18" i="2"/>
  <c r="F18" i="2" s="1"/>
  <c r="D18" i="2"/>
  <c r="BU17" i="2"/>
  <c r="BT17" i="2"/>
  <c r="BV17" i="2" s="1"/>
  <c r="BQ17" i="2"/>
  <c r="BP17" i="2"/>
  <c r="BM17" i="2"/>
  <c r="BL17" i="2"/>
  <c r="BN17" i="2" s="1"/>
  <c r="BJ17" i="2"/>
  <c r="BI17" i="2"/>
  <c r="BE17" i="2"/>
  <c r="BF17" i="2" s="1"/>
  <c r="BA17" i="2"/>
  <c r="AZ17" i="2"/>
  <c r="BB17" i="2" s="1"/>
  <c r="AW17" i="2"/>
  <c r="AV17" i="2"/>
  <c r="AS17" i="2"/>
  <c r="AR17" i="2"/>
  <c r="AT17" i="2" s="1"/>
  <c r="AP17" i="2"/>
  <c r="AO17" i="2"/>
  <c r="AN17" i="2"/>
  <c r="AK17" i="2"/>
  <c r="AJ17" i="2"/>
  <c r="AG17" i="2"/>
  <c r="AF17" i="2"/>
  <c r="AC17" i="2"/>
  <c r="AB17" i="2"/>
  <c r="AD17" i="2" s="1"/>
  <c r="Y17" i="2"/>
  <c r="X17" i="2"/>
  <c r="Z17" i="2" s="1"/>
  <c r="V17" i="2"/>
  <c r="U17" i="2"/>
  <c r="T17" i="2"/>
  <c r="Q17" i="2"/>
  <c r="P17" i="2"/>
  <c r="M17" i="2"/>
  <c r="L17" i="2"/>
  <c r="I17" i="2"/>
  <c r="J17" i="2" s="1"/>
  <c r="H17" i="2"/>
  <c r="E17" i="2"/>
  <c r="D17" i="2"/>
  <c r="BU16" i="2"/>
  <c r="BT16" i="2"/>
  <c r="BQ16" i="2"/>
  <c r="BP16" i="2"/>
  <c r="BR16" i="2" s="1"/>
  <c r="BM16" i="2"/>
  <c r="BL16" i="2"/>
  <c r="BN16" i="2" s="1"/>
  <c r="BI16" i="2"/>
  <c r="BJ16" i="2" s="1"/>
  <c r="BF16" i="2"/>
  <c r="BE16" i="2"/>
  <c r="BA16" i="2"/>
  <c r="AZ16" i="2"/>
  <c r="BB16" i="2" s="1"/>
  <c r="AW16" i="2"/>
  <c r="AV16" i="2"/>
  <c r="AS16" i="2"/>
  <c r="AT16" i="2" s="1"/>
  <c r="AR16" i="2"/>
  <c r="AO16" i="2"/>
  <c r="AN16" i="2"/>
  <c r="AK16" i="2"/>
  <c r="AJ16" i="2"/>
  <c r="AG16" i="2"/>
  <c r="AF16" i="2"/>
  <c r="AH16" i="2" s="1"/>
  <c r="AD16" i="2"/>
  <c r="AC16" i="2"/>
  <c r="AB16" i="2"/>
  <c r="Y16" i="2"/>
  <c r="Z16" i="2" s="1"/>
  <c r="X16" i="2"/>
  <c r="U16" i="2"/>
  <c r="T16" i="2"/>
  <c r="Q16" i="2"/>
  <c r="P16" i="2"/>
  <c r="M16" i="2"/>
  <c r="L16" i="2"/>
  <c r="N16" i="2" s="1"/>
  <c r="I16" i="2"/>
  <c r="H16" i="2"/>
  <c r="E16" i="2"/>
  <c r="D16" i="2"/>
  <c r="BU15" i="2"/>
  <c r="BT15" i="2"/>
  <c r="BV15" i="2" s="1"/>
  <c r="BQ15" i="2"/>
  <c r="BR15" i="2" s="1"/>
  <c r="BP15" i="2"/>
  <c r="BM15" i="2"/>
  <c r="BL15" i="2"/>
  <c r="BN15" i="2" s="1"/>
  <c r="BJ15" i="2"/>
  <c r="BI15" i="2"/>
  <c r="BE15" i="2"/>
  <c r="BF15" i="2" s="1"/>
  <c r="BA15" i="2"/>
  <c r="AZ15" i="2"/>
  <c r="BB15" i="2" s="1"/>
  <c r="AW15" i="2"/>
  <c r="AV15" i="2"/>
  <c r="AX15" i="2" s="1"/>
  <c r="AT15" i="2"/>
  <c r="AS15" i="2"/>
  <c r="AR15" i="2"/>
  <c r="AO15" i="2"/>
  <c r="AN15" i="2"/>
  <c r="AK15" i="2"/>
  <c r="AJ15" i="2"/>
  <c r="AL15" i="2" s="1"/>
  <c r="AG15" i="2"/>
  <c r="AH15" i="2" s="1"/>
  <c r="AF15" i="2"/>
  <c r="AC15" i="2"/>
  <c r="AB15" i="2"/>
  <c r="Y15" i="2"/>
  <c r="X15" i="2"/>
  <c r="U15" i="2"/>
  <c r="T15" i="2"/>
  <c r="V15" i="2" s="1"/>
  <c r="R15" i="2"/>
  <c r="Q15" i="2"/>
  <c r="P15" i="2"/>
  <c r="M15" i="2"/>
  <c r="N15" i="2" s="1"/>
  <c r="L15" i="2"/>
  <c r="I15" i="2"/>
  <c r="H15" i="2"/>
  <c r="E15" i="2"/>
  <c r="D15" i="2"/>
  <c r="BU14" i="2"/>
  <c r="BT14" i="2"/>
  <c r="BV14" i="2" s="1"/>
  <c r="BQ14" i="2"/>
  <c r="BP14" i="2"/>
  <c r="BM14" i="2"/>
  <c r="BL14" i="2"/>
  <c r="BN14" i="2" s="1"/>
  <c r="BI14" i="2"/>
  <c r="BJ14" i="2" s="1"/>
  <c r="BE14" i="2"/>
  <c r="BF14" i="2" s="1"/>
  <c r="BB14" i="2"/>
  <c r="BA14" i="2"/>
  <c r="AZ14" i="2"/>
  <c r="AW14" i="2"/>
  <c r="AV14" i="2"/>
  <c r="AS14" i="2"/>
  <c r="AR14" i="2"/>
  <c r="AO14" i="2"/>
  <c r="AN14" i="2"/>
  <c r="AP14" i="2" s="1"/>
  <c r="AK14" i="2"/>
  <c r="AJ14" i="2"/>
  <c r="AL14" i="2" s="1"/>
  <c r="AH14" i="2"/>
  <c r="AG14" i="2"/>
  <c r="AF14" i="2"/>
  <c r="AC14" i="2"/>
  <c r="AB14" i="2"/>
  <c r="AD14" i="2" s="1"/>
  <c r="Y14" i="2"/>
  <c r="X14" i="2"/>
  <c r="Z14" i="2" s="1"/>
  <c r="U14" i="2"/>
  <c r="V14" i="2" s="1"/>
  <c r="T14" i="2"/>
  <c r="Q14" i="2"/>
  <c r="P14" i="2"/>
  <c r="M14" i="2"/>
  <c r="L14" i="2"/>
  <c r="I14" i="2"/>
  <c r="H14" i="2"/>
  <c r="J14" i="2" s="1"/>
  <c r="F14" i="2"/>
  <c r="E14" i="2"/>
  <c r="D14" i="2"/>
  <c r="BU13" i="2"/>
  <c r="BT13" i="2"/>
  <c r="BV13" i="2" s="1"/>
  <c r="BQ13" i="2"/>
  <c r="BP13" i="2"/>
  <c r="BR13" i="2" s="1"/>
  <c r="BM13" i="2"/>
  <c r="BN13" i="2" s="1"/>
  <c r="BL13" i="2"/>
  <c r="BI13" i="2"/>
  <c r="BJ13" i="2" s="1"/>
  <c r="BF13" i="2"/>
  <c r="BE13" i="2"/>
  <c r="BA13" i="2"/>
  <c r="AZ13" i="2"/>
  <c r="BB13" i="2" s="1"/>
  <c r="AW13" i="2"/>
  <c r="AV13" i="2"/>
  <c r="AS13" i="2"/>
  <c r="AR13" i="2"/>
  <c r="AT13" i="2" s="1"/>
  <c r="AO13" i="2"/>
  <c r="AN13" i="2"/>
  <c r="AP13" i="2" s="1"/>
  <c r="AK13" i="2"/>
  <c r="AL13" i="2" s="1"/>
  <c r="AJ13" i="2"/>
  <c r="AG13" i="2"/>
  <c r="AF13" i="2"/>
  <c r="AH13" i="2" s="1"/>
  <c r="AC13" i="2"/>
  <c r="AB13" i="2"/>
  <c r="Y13" i="2"/>
  <c r="X13" i="2"/>
  <c r="Z13" i="2" s="1"/>
  <c r="U13" i="2"/>
  <c r="T13" i="2"/>
  <c r="V13" i="2" s="1"/>
  <c r="Q13" i="2"/>
  <c r="P13" i="2"/>
  <c r="M13" i="2"/>
  <c r="L13" i="2"/>
  <c r="N13" i="2" s="1"/>
  <c r="J13" i="2"/>
  <c r="I13" i="2"/>
  <c r="H13" i="2"/>
  <c r="E13" i="2"/>
  <c r="D13" i="2"/>
  <c r="BX13" i="2" s="1"/>
  <c r="BU12" i="2"/>
  <c r="BT12" i="2"/>
  <c r="BV12" i="2" s="1"/>
  <c r="BQ12" i="2"/>
  <c r="BR12" i="2" s="1"/>
  <c r="BP12" i="2"/>
  <c r="BM12" i="2"/>
  <c r="BL12" i="2"/>
  <c r="BN12" i="2" s="1"/>
  <c r="BI12" i="2"/>
  <c r="BJ12" i="2" s="1"/>
  <c r="BE12" i="2"/>
  <c r="BF12" i="2" s="1"/>
  <c r="BA12" i="2"/>
  <c r="AZ12" i="2"/>
  <c r="AW12" i="2"/>
  <c r="AV12" i="2"/>
  <c r="AX12" i="2" s="1"/>
  <c r="AT12" i="2"/>
  <c r="AS12" i="2"/>
  <c r="AR12" i="2"/>
  <c r="AO12" i="2"/>
  <c r="AN12" i="2"/>
  <c r="AK12" i="2"/>
  <c r="AJ12" i="2"/>
  <c r="AG12" i="2"/>
  <c r="AF12" i="2"/>
  <c r="AH12" i="2" s="1"/>
  <c r="AC12" i="2"/>
  <c r="AB12" i="2"/>
  <c r="AD12" i="2" s="1"/>
  <c r="Z12" i="2"/>
  <c r="Y12" i="2"/>
  <c r="X12" i="2"/>
  <c r="U12" i="2"/>
  <c r="T12" i="2"/>
  <c r="Q12" i="2"/>
  <c r="P12" i="2"/>
  <c r="R12" i="2" s="1"/>
  <c r="M12" i="2"/>
  <c r="N12" i="2" s="1"/>
  <c r="L12" i="2"/>
  <c r="I12" i="2"/>
  <c r="H12" i="2"/>
  <c r="E12" i="2"/>
  <c r="D12" i="2"/>
  <c r="BU11" i="2"/>
  <c r="BT11" i="2"/>
  <c r="BV11" i="2" s="1"/>
  <c r="BQ11" i="2"/>
  <c r="BP11" i="2"/>
  <c r="BM11" i="2"/>
  <c r="BL11" i="2"/>
  <c r="BN11" i="2" s="1"/>
  <c r="BI11" i="2"/>
  <c r="BJ11" i="2" s="1"/>
  <c r="BE11" i="2"/>
  <c r="BF11" i="2" s="1"/>
  <c r="BA11" i="2"/>
  <c r="AZ11" i="2"/>
  <c r="AW11" i="2"/>
  <c r="AV11" i="2"/>
  <c r="AX11" i="2" s="1"/>
  <c r="AS11" i="2"/>
  <c r="AR11" i="2"/>
  <c r="AT11" i="2" s="1"/>
  <c r="AO11" i="2"/>
  <c r="AN11" i="2"/>
  <c r="AK11" i="2"/>
  <c r="AJ11" i="2"/>
  <c r="AL11" i="2" s="1"/>
  <c r="AH11" i="2"/>
  <c r="AG11" i="2"/>
  <c r="AF11" i="2"/>
  <c r="AC11" i="2"/>
  <c r="AB11" i="2"/>
  <c r="Y11" i="2"/>
  <c r="X11" i="2"/>
  <c r="U11" i="2"/>
  <c r="T11" i="2"/>
  <c r="V11" i="2" s="1"/>
  <c r="Q11" i="2"/>
  <c r="P11" i="2"/>
  <c r="R11" i="2" s="1"/>
  <c r="N11" i="2"/>
  <c r="M11" i="2"/>
  <c r="L11" i="2"/>
  <c r="I11" i="2"/>
  <c r="H11" i="2"/>
  <c r="E11" i="2"/>
  <c r="D11" i="2"/>
  <c r="F11" i="2" s="1"/>
  <c r="BU10" i="2"/>
  <c r="BV10" i="2" s="1"/>
  <c r="BT10" i="2"/>
  <c r="BQ10" i="2"/>
  <c r="BP10" i="2"/>
  <c r="BR10" i="2" s="1"/>
  <c r="BM10" i="2"/>
  <c r="BL10" i="2"/>
  <c r="BI10" i="2"/>
  <c r="BJ10" i="2" s="1"/>
  <c r="BE10" i="2"/>
  <c r="BF10" i="2" s="1"/>
  <c r="BA10" i="2"/>
  <c r="AZ10" i="2"/>
  <c r="BB10" i="2" s="1"/>
  <c r="AX10" i="2"/>
  <c r="AW10" i="2"/>
  <c r="AV10" i="2"/>
  <c r="AS10" i="2"/>
  <c r="AR10" i="2"/>
  <c r="AO10" i="2"/>
  <c r="AN10" i="2"/>
  <c r="AP10" i="2" s="1"/>
  <c r="AK10" i="2"/>
  <c r="AL10" i="2" s="1"/>
  <c r="AJ10" i="2"/>
  <c r="AG10" i="2"/>
  <c r="AF10" i="2"/>
  <c r="AC10" i="2"/>
  <c r="AB10" i="2"/>
  <c r="Y10" i="2"/>
  <c r="X10" i="2"/>
  <c r="Z10" i="2" s="1"/>
  <c r="V10" i="2"/>
  <c r="U10" i="2"/>
  <c r="T10" i="2"/>
  <c r="Q10" i="2"/>
  <c r="R10" i="2" s="1"/>
  <c r="P10" i="2"/>
  <c r="M10" i="2"/>
  <c r="L10" i="2"/>
  <c r="I10" i="2"/>
  <c r="H10" i="2"/>
  <c r="E10" i="2"/>
  <c r="D10" i="2"/>
  <c r="F10" i="2" s="1"/>
  <c r="BU9" i="2"/>
  <c r="BT9" i="2"/>
  <c r="BQ9" i="2"/>
  <c r="BP9" i="2"/>
  <c r="BM9" i="2"/>
  <c r="BL9" i="2"/>
  <c r="BN9" i="2" s="1"/>
  <c r="BJ9" i="2"/>
  <c r="BI9" i="2"/>
  <c r="BE9" i="2"/>
  <c r="BF9" i="2" s="1"/>
  <c r="BA9" i="2"/>
  <c r="BB9" i="2" s="1"/>
  <c r="AZ9" i="2"/>
  <c r="AW9" i="2"/>
  <c r="AV9" i="2"/>
  <c r="AX9" i="2" s="1"/>
  <c r="AS9" i="2"/>
  <c r="AR9" i="2"/>
  <c r="AO9" i="2"/>
  <c r="AN9" i="2"/>
  <c r="AP9" i="2" s="1"/>
  <c r="AK9" i="2"/>
  <c r="AJ9" i="2"/>
  <c r="AL9" i="2" s="1"/>
  <c r="AG9" i="2"/>
  <c r="AF9" i="2"/>
  <c r="AC9" i="2"/>
  <c r="AB9" i="2"/>
  <c r="AD9" i="2" s="1"/>
  <c r="Z9" i="2"/>
  <c r="Y9" i="2"/>
  <c r="X9" i="2"/>
  <c r="U9" i="2"/>
  <c r="T9" i="2"/>
  <c r="Q9" i="2"/>
  <c r="P9" i="2"/>
  <c r="M9" i="2"/>
  <c r="L9" i="2"/>
  <c r="N9" i="2" s="1"/>
  <c r="I9" i="2"/>
  <c r="H9" i="2"/>
  <c r="J9" i="2" s="1"/>
  <c r="F9" i="2"/>
  <c r="E9" i="2"/>
  <c r="BY9" i="2" s="1"/>
  <c r="D9" i="2"/>
  <c r="BU8" i="2"/>
  <c r="BT8" i="2"/>
  <c r="BV8" i="2" s="1"/>
  <c r="BQ8" i="2"/>
  <c r="BP8" i="2"/>
  <c r="BR8" i="2" s="1"/>
  <c r="BM8" i="2"/>
  <c r="BL8" i="2"/>
  <c r="BI8" i="2"/>
  <c r="BJ8" i="2" s="1"/>
  <c r="BE8" i="2"/>
  <c r="BF8" i="2" s="1"/>
  <c r="BA8" i="2"/>
  <c r="AZ8" i="2"/>
  <c r="AW8" i="2"/>
  <c r="AV8" i="2"/>
  <c r="AX8" i="2" s="1"/>
  <c r="AS8" i="2"/>
  <c r="AR8" i="2"/>
  <c r="AT8" i="2" s="1"/>
  <c r="AP8" i="2"/>
  <c r="AO8" i="2"/>
  <c r="AN8" i="2"/>
  <c r="AK8" i="2"/>
  <c r="AJ8" i="2"/>
  <c r="AL8" i="2" s="1"/>
  <c r="AG8" i="2"/>
  <c r="AF8" i="2"/>
  <c r="AH8" i="2" s="1"/>
  <c r="AC8" i="2"/>
  <c r="AD8" i="2" s="1"/>
  <c r="AB8" i="2"/>
  <c r="Y8" i="2"/>
  <c r="X8" i="2"/>
  <c r="U8" i="2"/>
  <c r="T8" i="2"/>
  <c r="Q8" i="2"/>
  <c r="P8" i="2"/>
  <c r="R8" i="2" s="1"/>
  <c r="N8" i="2"/>
  <c r="M8" i="2"/>
  <c r="L8" i="2"/>
  <c r="I8" i="2"/>
  <c r="J8" i="2" s="1"/>
  <c r="H8" i="2"/>
  <c r="E8" i="2"/>
  <c r="D8" i="2"/>
  <c r="BV7" i="2"/>
  <c r="BU7" i="2"/>
  <c r="BT7" i="2"/>
  <c r="BQ7" i="2"/>
  <c r="BR7" i="2" s="1"/>
  <c r="BP7" i="2"/>
  <c r="BM7" i="2"/>
  <c r="BL7" i="2"/>
  <c r="BI7" i="2"/>
  <c r="BJ7" i="2" s="1"/>
  <c r="BE7" i="2"/>
  <c r="BF7" i="2" s="1"/>
  <c r="BA7" i="2"/>
  <c r="AZ7" i="2"/>
  <c r="BB7" i="2" s="1"/>
  <c r="AX7" i="2"/>
  <c r="AW7" i="2"/>
  <c r="AV7" i="2"/>
  <c r="AS7" i="2"/>
  <c r="AR7" i="2"/>
  <c r="AO7" i="2"/>
  <c r="AN7" i="2"/>
  <c r="AK7" i="2"/>
  <c r="AJ7" i="2"/>
  <c r="AL7" i="2" s="1"/>
  <c r="AG7" i="2"/>
  <c r="AF7" i="2"/>
  <c r="AH7" i="2" s="1"/>
  <c r="AD7" i="2"/>
  <c r="AC7" i="2"/>
  <c r="AB7" i="2"/>
  <c r="Y7" i="2"/>
  <c r="X7" i="2"/>
  <c r="Z7" i="2" s="1"/>
  <c r="U7" i="2"/>
  <c r="T7" i="2"/>
  <c r="V7" i="2" s="1"/>
  <c r="Q7" i="2"/>
  <c r="R7" i="2" s="1"/>
  <c r="P7" i="2"/>
  <c r="M7" i="2"/>
  <c r="L7" i="2"/>
  <c r="I7" i="2"/>
  <c r="H7" i="2"/>
  <c r="E7" i="2"/>
  <c r="D7" i="2"/>
  <c r="BU6" i="2"/>
  <c r="BV6" i="2" s="1"/>
  <c r="BT6" i="2"/>
  <c r="BQ6" i="2"/>
  <c r="BP6" i="2"/>
  <c r="BM6" i="2"/>
  <c r="BL6" i="2"/>
  <c r="BI6" i="2"/>
  <c r="BJ6" i="2" s="1"/>
  <c r="BE6" i="2"/>
  <c r="BF6" i="2" s="1"/>
  <c r="BA6" i="2"/>
  <c r="AZ6" i="2"/>
  <c r="BB6" i="2" s="1"/>
  <c r="AW6" i="2"/>
  <c r="AX6" i="2" s="1"/>
  <c r="AV6" i="2"/>
  <c r="AS6" i="2"/>
  <c r="AR6" i="2"/>
  <c r="AT6" i="2" s="1"/>
  <c r="AO6" i="2"/>
  <c r="AN6" i="2"/>
  <c r="AK6" i="2"/>
  <c r="AJ6" i="2"/>
  <c r="AL6" i="2" s="1"/>
  <c r="AG6" i="2"/>
  <c r="AF6" i="2"/>
  <c r="AH6" i="2" s="1"/>
  <c r="AC6" i="2"/>
  <c r="AB6" i="2"/>
  <c r="Y6" i="2"/>
  <c r="X6" i="2"/>
  <c r="Z6" i="2" s="1"/>
  <c r="V6" i="2"/>
  <c r="U6" i="2"/>
  <c r="T6" i="2"/>
  <c r="Q6" i="2"/>
  <c r="P6" i="2"/>
  <c r="M6" i="2"/>
  <c r="L6" i="2"/>
  <c r="N6" i="2" s="1"/>
  <c r="I6" i="2"/>
  <c r="H6" i="2"/>
  <c r="J6" i="2" s="1"/>
  <c r="E6" i="2"/>
  <c r="D6" i="2"/>
  <c r="BU5" i="2"/>
  <c r="BT5" i="2"/>
  <c r="BQ5" i="2"/>
  <c r="BP5" i="2"/>
  <c r="BR5" i="2" s="1"/>
  <c r="BN5" i="2"/>
  <c r="BM5" i="2"/>
  <c r="BL5" i="2"/>
  <c r="BI5" i="2"/>
  <c r="BE5" i="2"/>
  <c r="BA5" i="2"/>
  <c r="AZ5" i="2"/>
  <c r="BB5" i="2" s="1"/>
  <c r="AW5" i="2"/>
  <c r="AV5" i="2"/>
  <c r="AS5" i="2"/>
  <c r="AR5" i="2"/>
  <c r="AP5" i="2"/>
  <c r="AO5" i="2"/>
  <c r="AN5" i="2"/>
  <c r="AK5" i="2"/>
  <c r="AJ5" i="2"/>
  <c r="AG5" i="2"/>
  <c r="AF5" i="2"/>
  <c r="AC5" i="2"/>
  <c r="AB5" i="2"/>
  <c r="Y5" i="2"/>
  <c r="X5" i="2"/>
  <c r="Z5" i="2" s="1"/>
  <c r="V5" i="2"/>
  <c r="U5" i="2"/>
  <c r="T5" i="2"/>
  <c r="Q5" i="2"/>
  <c r="P5" i="2"/>
  <c r="M5" i="2"/>
  <c r="L5" i="2"/>
  <c r="I5" i="2"/>
  <c r="J5" i="2" s="1"/>
  <c r="H5" i="2"/>
  <c r="E5" i="2"/>
  <c r="D5" i="2"/>
  <c r="HG86" i="1"/>
  <c r="HE86" i="1"/>
  <c r="HA86" i="1"/>
  <c r="GZ86" i="1"/>
  <c r="GW86" i="1"/>
  <c r="GV86" i="1"/>
  <c r="GS86" i="1"/>
  <c r="GR86" i="1"/>
  <c r="GO86" i="1"/>
  <c r="GM86" i="1"/>
  <c r="GI86" i="1"/>
  <c r="GE86" i="1"/>
  <c r="GA86" i="1"/>
  <c r="FW86" i="1"/>
  <c r="FS86" i="1"/>
  <c r="FO86" i="1"/>
  <c r="FK86" i="1"/>
  <c r="FG86" i="1"/>
  <c r="FC86" i="1"/>
  <c r="EY86" i="1"/>
  <c r="EU86" i="1"/>
  <c r="EQ86" i="1"/>
  <c r="EM86" i="1"/>
  <c r="EI86" i="1"/>
  <c r="EE86" i="1"/>
  <c r="EA86" i="1"/>
  <c r="DW86" i="1"/>
  <c r="DS86" i="1"/>
  <c r="DO86" i="1"/>
  <c r="DK86" i="1"/>
  <c r="DG86" i="1"/>
  <c r="DC86" i="1"/>
  <c r="CY86" i="1"/>
  <c r="CU86" i="1"/>
  <c r="CQ86" i="1"/>
  <c r="CM86" i="1"/>
  <c r="CI86" i="1"/>
  <c r="CF86" i="1"/>
  <c r="CE86" i="1"/>
  <c r="CA86" i="1"/>
  <c r="BW86" i="1"/>
  <c r="BS86" i="1"/>
  <c r="BO86" i="1"/>
  <c r="BK86" i="1"/>
  <c r="BG86" i="1"/>
  <c r="BC86" i="1"/>
  <c r="AY86" i="1"/>
  <c r="AU86" i="1"/>
  <c r="AQ86" i="1"/>
  <c r="AM86" i="1"/>
  <c r="AI86" i="1"/>
  <c r="AE86" i="1"/>
  <c r="AA86" i="1"/>
  <c r="W86" i="1"/>
  <c r="S86" i="1"/>
  <c r="O86" i="1"/>
  <c r="K86" i="1"/>
  <c r="G86" i="1"/>
  <c r="HX85" i="1"/>
  <c r="HP85" i="1"/>
  <c r="HR85" i="1" s="1"/>
  <c r="HE85" i="1"/>
  <c r="HQ85" i="1" s="1"/>
  <c r="HD85" i="1"/>
  <c r="HF85" i="1" s="1"/>
  <c r="HC85" i="1"/>
  <c r="HC86" i="1" s="1"/>
  <c r="HA85" i="1"/>
  <c r="IC85" i="1" s="1"/>
  <c r="GZ85" i="1"/>
  <c r="IB85" i="1" s="1"/>
  <c r="GY85" i="1"/>
  <c r="GY86" i="1" s="1"/>
  <c r="GW85" i="1"/>
  <c r="HU85" i="1" s="1"/>
  <c r="GV85" i="1"/>
  <c r="HT85" i="1" s="1"/>
  <c r="GU85" i="1"/>
  <c r="GU86" i="1" s="1"/>
  <c r="GS85" i="1"/>
  <c r="HY85" i="1" s="1"/>
  <c r="GR85" i="1"/>
  <c r="GQ85" i="1"/>
  <c r="GQ86" i="1" s="1"/>
  <c r="GO85" i="1"/>
  <c r="GN85" i="1"/>
  <c r="HH85" i="1" s="1"/>
  <c r="GK85" i="1"/>
  <c r="GJ85" i="1"/>
  <c r="HL85" i="1" s="1"/>
  <c r="HE84" i="1"/>
  <c r="HF84" i="1" s="1"/>
  <c r="HD84" i="1"/>
  <c r="HA84" i="1"/>
  <c r="GZ84" i="1"/>
  <c r="GW84" i="1"/>
  <c r="GV84" i="1"/>
  <c r="GS84" i="1"/>
  <c r="GR84" i="1"/>
  <c r="GO84" i="1"/>
  <c r="GP84" i="1" s="1"/>
  <c r="GN84" i="1"/>
  <c r="GL84" i="1"/>
  <c r="GK84" i="1"/>
  <c r="GJ84" i="1"/>
  <c r="GG84" i="1"/>
  <c r="GF84" i="1"/>
  <c r="GH84" i="1" s="1"/>
  <c r="GC84" i="1"/>
  <c r="GD84" i="1" s="1"/>
  <c r="GB84" i="1"/>
  <c r="FY84" i="1"/>
  <c r="FZ84" i="1" s="1"/>
  <c r="FX84" i="1"/>
  <c r="FU84" i="1"/>
  <c r="FT84" i="1"/>
  <c r="FQ84" i="1"/>
  <c r="FP84" i="1"/>
  <c r="FM84" i="1"/>
  <c r="FL84" i="1"/>
  <c r="FI84" i="1"/>
  <c r="FH84" i="1"/>
  <c r="FF84" i="1"/>
  <c r="FE84" i="1"/>
  <c r="FD84" i="1"/>
  <c r="FA84" i="1"/>
  <c r="EZ84" i="1"/>
  <c r="FB84" i="1" s="1"/>
  <c r="EW84" i="1"/>
  <c r="EV84" i="1"/>
  <c r="ES84" i="1"/>
  <c r="ET84" i="1" s="1"/>
  <c r="ER84" i="1"/>
  <c r="EO84" i="1"/>
  <c r="EN84" i="1"/>
  <c r="EK84" i="1"/>
  <c r="EL84" i="1" s="1"/>
  <c r="EG84" i="1"/>
  <c r="EF84" i="1"/>
  <c r="HT84" i="1" s="1"/>
  <c r="EC84" i="1"/>
  <c r="IG84" i="1" s="1"/>
  <c r="EB84" i="1"/>
  <c r="IF84" i="1" s="1"/>
  <c r="DY84" i="1"/>
  <c r="DX84" i="1"/>
  <c r="DV84" i="1"/>
  <c r="DU84" i="1"/>
  <c r="HM84" i="1" s="1"/>
  <c r="DT84" i="1"/>
  <c r="CS84" i="1"/>
  <c r="BX84" i="1"/>
  <c r="HE83" i="1"/>
  <c r="HD83" i="1"/>
  <c r="HF83" i="1" s="1"/>
  <c r="HA83" i="1"/>
  <c r="GZ83" i="1"/>
  <c r="HB83" i="1" s="1"/>
  <c r="GW83" i="1"/>
  <c r="GV83" i="1"/>
  <c r="GX83" i="1" s="1"/>
  <c r="GS83" i="1"/>
  <c r="GR83" i="1"/>
  <c r="GO83" i="1"/>
  <c r="GN83" i="1"/>
  <c r="GP83" i="1" s="1"/>
  <c r="GK83" i="1"/>
  <c r="GJ83" i="1"/>
  <c r="GG83" i="1"/>
  <c r="GF83" i="1"/>
  <c r="GH83" i="1" s="1"/>
  <c r="GC83" i="1"/>
  <c r="GB83" i="1"/>
  <c r="FY83" i="1"/>
  <c r="FX83" i="1"/>
  <c r="FZ83" i="1" s="1"/>
  <c r="FU83" i="1"/>
  <c r="FT83" i="1"/>
  <c r="FV83" i="1" s="1"/>
  <c r="FQ83" i="1"/>
  <c r="FP83" i="1"/>
  <c r="FR83" i="1" s="1"/>
  <c r="FM83" i="1"/>
  <c r="FL83" i="1"/>
  <c r="FI83" i="1"/>
  <c r="IK83" i="1" s="1"/>
  <c r="FH83" i="1"/>
  <c r="FE83" i="1"/>
  <c r="FD83" i="1"/>
  <c r="FA83" i="1"/>
  <c r="EZ83" i="1"/>
  <c r="FB83" i="1" s="1"/>
  <c r="EW83" i="1"/>
  <c r="EV83" i="1"/>
  <c r="ES83" i="1"/>
  <c r="ER83" i="1"/>
  <c r="ET83" i="1" s="1"/>
  <c r="EO83" i="1"/>
  <c r="EN83" i="1"/>
  <c r="EP83" i="1" s="1"/>
  <c r="EK83" i="1"/>
  <c r="EJ83" i="1"/>
  <c r="EL83" i="1" s="1"/>
  <c r="EG83" i="1"/>
  <c r="EF83" i="1"/>
  <c r="EC83" i="1"/>
  <c r="EB83" i="1"/>
  <c r="IF83" i="1" s="1"/>
  <c r="DY83" i="1"/>
  <c r="HY83" i="1" s="1"/>
  <c r="DX83" i="1"/>
  <c r="DU83" i="1"/>
  <c r="DT83" i="1"/>
  <c r="DV83" i="1" s="1"/>
  <c r="DQ83" i="1"/>
  <c r="DP83" i="1"/>
  <c r="DM83" i="1"/>
  <c r="DL83" i="1"/>
  <c r="DN83" i="1" s="1"/>
  <c r="DI83" i="1"/>
  <c r="DH83" i="1"/>
  <c r="DJ83" i="1" s="1"/>
  <c r="DE83" i="1"/>
  <c r="DD83" i="1"/>
  <c r="DA83" i="1"/>
  <c r="CZ83" i="1"/>
  <c r="CW83" i="1"/>
  <c r="CV83" i="1"/>
  <c r="CS83" i="1"/>
  <c r="CR83" i="1"/>
  <c r="CO83" i="1"/>
  <c r="CN83" i="1"/>
  <c r="CK83" i="1"/>
  <c r="CJ83" i="1"/>
  <c r="CG83" i="1"/>
  <c r="CC83" i="1"/>
  <c r="CB83" i="1"/>
  <c r="CD83" i="1" s="1"/>
  <c r="BY83" i="1"/>
  <c r="BZ83" i="1" s="1"/>
  <c r="BX83" i="1"/>
  <c r="BU83" i="1"/>
  <c r="BT83" i="1"/>
  <c r="BQ83" i="1"/>
  <c r="BP83" i="1"/>
  <c r="BM83" i="1"/>
  <c r="BN83" i="1" s="1"/>
  <c r="BL83" i="1"/>
  <c r="BI83" i="1"/>
  <c r="BH83" i="1"/>
  <c r="BE83" i="1"/>
  <c r="BD83" i="1"/>
  <c r="BA83" i="1"/>
  <c r="AZ83" i="1"/>
  <c r="BB83" i="1" s="1"/>
  <c r="AW83" i="1"/>
  <c r="AV83" i="1"/>
  <c r="AS83" i="1"/>
  <c r="AR83" i="1"/>
  <c r="AO83" i="1"/>
  <c r="AN83" i="1"/>
  <c r="AK83" i="1"/>
  <c r="AJ83" i="1"/>
  <c r="AG83" i="1"/>
  <c r="AF83" i="1"/>
  <c r="AC83" i="1"/>
  <c r="AB83" i="1"/>
  <c r="Y83" i="1"/>
  <c r="X83" i="1"/>
  <c r="V83" i="1"/>
  <c r="U83" i="1"/>
  <c r="T83" i="1"/>
  <c r="Q83" i="1"/>
  <c r="P83" i="1"/>
  <c r="R83" i="1" s="1"/>
  <c r="M83" i="1"/>
  <c r="N83" i="1" s="1"/>
  <c r="L83" i="1"/>
  <c r="I83" i="1"/>
  <c r="H83" i="1"/>
  <c r="E83" i="1"/>
  <c r="D83" i="1"/>
  <c r="HE82" i="1"/>
  <c r="HD82" i="1"/>
  <c r="HA82" i="1"/>
  <c r="GZ82" i="1"/>
  <c r="GW82" i="1"/>
  <c r="GV82" i="1"/>
  <c r="GT82" i="1"/>
  <c r="GS82" i="1"/>
  <c r="GR82" i="1"/>
  <c r="GO82" i="1"/>
  <c r="GN82" i="1"/>
  <c r="GP82" i="1" s="1"/>
  <c r="GK82" i="1"/>
  <c r="GJ82" i="1"/>
  <c r="GG82" i="1"/>
  <c r="GF82" i="1"/>
  <c r="GC82" i="1"/>
  <c r="GB82" i="1"/>
  <c r="FY82" i="1"/>
  <c r="FX82" i="1"/>
  <c r="FU82" i="1"/>
  <c r="FT82" i="1"/>
  <c r="FQ82" i="1"/>
  <c r="IK82" i="1" s="1"/>
  <c r="FP82" i="1"/>
  <c r="FM82" i="1"/>
  <c r="FL82" i="1"/>
  <c r="FN82" i="1" s="1"/>
  <c r="FI82" i="1"/>
  <c r="FH82" i="1"/>
  <c r="FJ82" i="1" s="1"/>
  <c r="FE82" i="1"/>
  <c r="FD82" i="1"/>
  <c r="FA82" i="1"/>
  <c r="EZ82" i="1"/>
  <c r="FB82" i="1" s="1"/>
  <c r="EW82" i="1"/>
  <c r="EV82" i="1"/>
  <c r="ES82" i="1"/>
  <c r="ER82" i="1"/>
  <c r="EO82" i="1"/>
  <c r="EP82" i="1" s="1"/>
  <c r="EN82" i="1"/>
  <c r="EK82" i="1"/>
  <c r="EJ82" i="1"/>
  <c r="EL82" i="1" s="1"/>
  <c r="EG82" i="1"/>
  <c r="EF82" i="1"/>
  <c r="EH82" i="1" s="1"/>
  <c r="EC82" i="1"/>
  <c r="IG82" i="1" s="1"/>
  <c r="EB82" i="1"/>
  <c r="DY82" i="1"/>
  <c r="DX82" i="1"/>
  <c r="DU82" i="1"/>
  <c r="DT82" i="1"/>
  <c r="DQ82" i="1"/>
  <c r="DP82" i="1"/>
  <c r="DM82" i="1"/>
  <c r="DL82" i="1"/>
  <c r="DI82" i="1"/>
  <c r="DJ82" i="1" s="1"/>
  <c r="DH82" i="1"/>
  <c r="DE82" i="1"/>
  <c r="DA82" i="1"/>
  <c r="CW82" i="1"/>
  <c r="CV82" i="1"/>
  <c r="CS82" i="1"/>
  <c r="CT82" i="1" s="1"/>
  <c r="CO82" i="1"/>
  <c r="CK82" i="1"/>
  <c r="CG82" i="1"/>
  <c r="CC82" i="1"/>
  <c r="BY82" i="1"/>
  <c r="BX82" i="1"/>
  <c r="BU82" i="1"/>
  <c r="BT82" i="1"/>
  <c r="HL82" i="1" s="1"/>
  <c r="BQ82" i="1"/>
  <c r="BM82" i="1"/>
  <c r="BI82" i="1"/>
  <c r="BE82" i="1"/>
  <c r="BA82" i="1"/>
  <c r="AW82" i="1"/>
  <c r="AS82" i="1"/>
  <c r="AO82" i="1"/>
  <c r="AK82" i="1"/>
  <c r="AG82" i="1"/>
  <c r="AC82" i="1"/>
  <c r="Y82" i="1"/>
  <c r="U82" i="1"/>
  <c r="Q82" i="1"/>
  <c r="M82" i="1"/>
  <c r="I82" i="1"/>
  <c r="E82" i="1"/>
  <c r="IG81" i="1"/>
  <c r="HE81" i="1"/>
  <c r="HD81" i="1"/>
  <c r="HA81" i="1"/>
  <c r="GZ81" i="1"/>
  <c r="GW81" i="1"/>
  <c r="GV81" i="1"/>
  <c r="GS81" i="1"/>
  <c r="GT81" i="1" s="1"/>
  <c r="GR81" i="1"/>
  <c r="GO81" i="1"/>
  <c r="GN81" i="1"/>
  <c r="GP81" i="1" s="1"/>
  <c r="GK81" i="1"/>
  <c r="GJ81" i="1"/>
  <c r="GG81" i="1"/>
  <c r="GF81" i="1"/>
  <c r="GH81" i="1" s="1"/>
  <c r="GC81" i="1"/>
  <c r="GB81" i="1"/>
  <c r="FY81" i="1"/>
  <c r="FZ81" i="1" s="1"/>
  <c r="FX81" i="1"/>
  <c r="FU81" i="1"/>
  <c r="FT81" i="1"/>
  <c r="FQ81" i="1"/>
  <c r="FP81" i="1"/>
  <c r="FM81" i="1"/>
  <c r="FN81" i="1" s="1"/>
  <c r="FL81" i="1"/>
  <c r="FI81" i="1"/>
  <c r="FH81" i="1"/>
  <c r="FJ81" i="1" s="1"/>
  <c r="FE81" i="1"/>
  <c r="FD81" i="1"/>
  <c r="FA81" i="1"/>
  <c r="EZ81" i="1"/>
  <c r="FB81" i="1" s="1"/>
  <c r="EW81" i="1"/>
  <c r="EV81" i="1"/>
  <c r="ES81" i="1"/>
  <c r="ER81" i="1"/>
  <c r="EO81" i="1"/>
  <c r="EN81" i="1"/>
  <c r="EK81" i="1"/>
  <c r="EJ81" i="1"/>
  <c r="EG81" i="1"/>
  <c r="EH81" i="1" s="1"/>
  <c r="EF81" i="1"/>
  <c r="EC81" i="1"/>
  <c r="EB81" i="1"/>
  <c r="DY81" i="1"/>
  <c r="DX81" i="1"/>
  <c r="HX81" i="1" s="1"/>
  <c r="DU81" i="1"/>
  <c r="DT81" i="1"/>
  <c r="DV81" i="1" s="1"/>
  <c r="DQ81" i="1"/>
  <c r="DP81" i="1"/>
  <c r="DM81" i="1"/>
  <c r="DN81" i="1" s="1"/>
  <c r="DL81" i="1"/>
  <c r="DI81" i="1"/>
  <c r="DH81" i="1"/>
  <c r="DE81" i="1"/>
  <c r="DD81" i="1"/>
  <c r="DA81" i="1"/>
  <c r="DB81" i="1" s="1"/>
  <c r="CZ81" i="1"/>
  <c r="CW81" i="1"/>
  <c r="CV81" i="1"/>
  <c r="CX81" i="1" s="1"/>
  <c r="CS81" i="1"/>
  <c r="CR81" i="1"/>
  <c r="CO81" i="1"/>
  <c r="CN81" i="1"/>
  <c r="CP81" i="1" s="1"/>
  <c r="CK81" i="1"/>
  <c r="CJ81" i="1"/>
  <c r="CG81" i="1"/>
  <c r="CC81" i="1"/>
  <c r="CB81" i="1"/>
  <c r="CD81" i="1" s="1"/>
  <c r="BY81" i="1"/>
  <c r="BX81" i="1"/>
  <c r="BU81" i="1"/>
  <c r="BV81" i="1" s="1"/>
  <c r="BT81" i="1"/>
  <c r="BQ81" i="1"/>
  <c r="HQ81" i="1" s="1"/>
  <c r="BP81" i="1"/>
  <c r="BM81" i="1"/>
  <c r="BL81" i="1"/>
  <c r="BI81" i="1"/>
  <c r="BJ81" i="1" s="1"/>
  <c r="BH81" i="1"/>
  <c r="BE81" i="1"/>
  <c r="BD81" i="1"/>
  <c r="BF81" i="1" s="1"/>
  <c r="BA81" i="1"/>
  <c r="AZ81" i="1"/>
  <c r="AW81" i="1"/>
  <c r="AV81" i="1"/>
  <c r="AX81" i="1" s="1"/>
  <c r="AS81" i="1"/>
  <c r="AR81" i="1"/>
  <c r="AO81" i="1"/>
  <c r="AN81" i="1"/>
  <c r="AK81" i="1"/>
  <c r="AJ81" i="1"/>
  <c r="AG81" i="1"/>
  <c r="AF81" i="1"/>
  <c r="AC81" i="1"/>
  <c r="AD81" i="1" s="1"/>
  <c r="AB81" i="1"/>
  <c r="Z81" i="1"/>
  <c r="Y81" i="1"/>
  <c r="X81" i="1"/>
  <c r="U81" i="1"/>
  <c r="T81" i="1"/>
  <c r="Q81" i="1"/>
  <c r="P81" i="1"/>
  <c r="R81" i="1" s="1"/>
  <c r="M81" i="1"/>
  <c r="L81" i="1"/>
  <c r="I81" i="1"/>
  <c r="J81" i="1" s="1"/>
  <c r="H81" i="1"/>
  <c r="E81" i="1"/>
  <c r="D81" i="1"/>
  <c r="IG80" i="1"/>
  <c r="HE80" i="1"/>
  <c r="HD80" i="1"/>
  <c r="HA80" i="1"/>
  <c r="HB80" i="1" s="1"/>
  <c r="GZ80" i="1"/>
  <c r="GW80" i="1"/>
  <c r="GV80" i="1"/>
  <c r="GX80" i="1" s="1"/>
  <c r="GS80" i="1"/>
  <c r="GR80" i="1"/>
  <c r="GO80" i="1"/>
  <c r="GN80" i="1"/>
  <c r="GP80" i="1" s="1"/>
  <c r="GK80" i="1"/>
  <c r="GJ80" i="1"/>
  <c r="GG80" i="1"/>
  <c r="GH80" i="1" s="1"/>
  <c r="GF80" i="1"/>
  <c r="GC80" i="1"/>
  <c r="GB80" i="1"/>
  <c r="FY80" i="1"/>
  <c r="FX80" i="1"/>
  <c r="FU80" i="1"/>
  <c r="FV80" i="1" s="1"/>
  <c r="FT80" i="1"/>
  <c r="FQ80" i="1"/>
  <c r="FP80" i="1"/>
  <c r="FR80" i="1" s="1"/>
  <c r="FM80" i="1"/>
  <c r="FL80" i="1"/>
  <c r="FI80" i="1"/>
  <c r="IK80" i="1" s="1"/>
  <c r="FH80" i="1"/>
  <c r="FJ80" i="1" s="1"/>
  <c r="FE80" i="1"/>
  <c r="FD80" i="1"/>
  <c r="FA80" i="1"/>
  <c r="EZ80" i="1"/>
  <c r="EW80" i="1"/>
  <c r="EV80" i="1"/>
  <c r="ES80" i="1"/>
  <c r="ER80" i="1"/>
  <c r="EO80" i="1"/>
  <c r="EP80" i="1" s="1"/>
  <c r="EN80" i="1"/>
  <c r="EK80" i="1"/>
  <c r="EJ80" i="1"/>
  <c r="EL80" i="1" s="1"/>
  <c r="EG80" i="1"/>
  <c r="EF80" i="1"/>
  <c r="EC80" i="1"/>
  <c r="EB80" i="1"/>
  <c r="DY80" i="1"/>
  <c r="DX80" i="1"/>
  <c r="DU80" i="1"/>
  <c r="DT80" i="1"/>
  <c r="DV80" i="1" s="1"/>
  <c r="DQ80" i="1"/>
  <c r="DP80" i="1"/>
  <c r="DM80" i="1"/>
  <c r="DL80" i="1"/>
  <c r="DI80" i="1"/>
  <c r="DJ80" i="1" s="1"/>
  <c r="DH80" i="1"/>
  <c r="DE80" i="1"/>
  <c r="DD80" i="1"/>
  <c r="DF80" i="1" s="1"/>
  <c r="DA80" i="1"/>
  <c r="CZ80" i="1"/>
  <c r="CW80" i="1"/>
  <c r="CV80" i="1"/>
  <c r="CX80" i="1" s="1"/>
  <c r="CS80" i="1"/>
  <c r="CR80" i="1"/>
  <c r="CO80" i="1"/>
  <c r="CN80" i="1"/>
  <c r="CK80" i="1"/>
  <c r="CJ80" i="1"/>
  <c r="CH80" i="1"/>
  <c r="CG80" i="1"/>
  <c r="CC80" i="1"/>
  <c r="CB80" i="1"/>
  <c r="CD80" i="1" s="1"/>
  <c r="BY80" i="1"/>
  <c r="BX80" i="1"/>
  <c r="BU80" i="1"/>
  <c r="BT80" i="1"/>
  <c r="BV80" i="1" s="1"/>
  <c r="BQ80" i="1"/>
  <c r="BP80" i="1"/>
  <c r="BM80" i="1"/>
  <c r="BL80" i="1"/>
  <c r="BN80" i="1" s="1"/>
  <c r="BI80" i="1"/>
  <c r="BH80" i="1"/>
  <c r="BE80" i="1"/>
  <c r="BD80" i="1"/>
  <c r="BA80" i="1"/>
  <c r="BB80" i="1" s="1"/>
  <c r="AZ80" i="1"/>
  <c r="AW80" i="1"/>
  <c r="AV80" i="1"/>
  <c r="AX80" i="1" s="1"/>
  <c r="AS80" i="1"/>
  <c r="AR80" i="1"/>
  <c r="AO80" i="1"/>
  <c r="AN80" i="1"/>
  <c r="AP80" i="1" s="1"/>
  <c r="AK80" i="1"/>
  <c r="AJ80" i="1"/>
  <c r="AG80" i="1"/>
  <c r="AF80" i="1"/>
  <c r="AC80" i="1"/>
  <c r="AB80" i="1"/>
  <c r="Y80" i="1"/>
  <c r="X80" i="1"/>
  <c r="U80" i="1"/>
  <c r="V80" i="1" s="1"/>
  <c r="T80" i="1"/>
  <c r="Q80" i="1"/>
  <c r="P80" i="1"/>
  <c r="R80" i="1" s="1"/>
  <c r="M80" i="1"/>
  <c r="L80" i="1"/>
  <c r="I80" i="1"/>
  <c r="H80" i="1"/>
  <c r="E80" i="1"/>
  <c r="D80" i="1"/>
  <c r="HE79" i="1"/>
  <c r="HD79" i="1"/>
  <c r="HA79" i="1"/>
  <c r="GZ79" i="1"/>
  <c r="GW79" i="1"/>
  <c r="GV79" i="1"/>
  <c r="GS79" i="1"/>
  <c r="GT79" i="1" s="1"/>
  <c r="GR79" i="1"/>
  <c r="GP79" i="1"/>
  <c r="GO79" i="1"/>
  <c r="GN79" i="1"/>
  <c r="GK79" i="1"/>
  <c r="GJ79" i="1"/>
  <c r="GG79" i="1"/>
  <c r="GF79" i="1"/>
  <c r="GH79" i="1" s="1"/>
  <c r="GC79" i="1"/>
  <c r="GB79" i="1"/>
  <c r="FY79" i="1"/>
  <c r="FX79" i="1"/>
  <c r="FZ79" i="1" s="1"/>
  <c r="FU79" i="1"/>
  <c r="FT79" i="1"/>
  <c r="FQ79" i="1"/>
  <c r="FP79" i="1"/>
  <c r="FM79" i="1"/>
  <c r="FN79" i="1" s="1"/>
  <c r="FL79" i="1"/>
  <c r="FI79" i="1"/>
  <c r="FH79" i="1"/>
  <c r="FJ79" i="1" s="1"/>
  <c r="FE79" i="1"/>
  <c r="FD79" i="1"/>
  <c r="FA79" i="1"/>
  <c r="EZ79" i="1"/>
  <c r="FB79" i="1" s="1"/>
  <c r="EW79" i="1"/>
  <c r="EV79" i="1"/>
  <c r="IB79" i="1" s="1"/>
  <c r="ES79" i="1"/>
  <c r="ET79" i="1" s="1"/>
  <c r="ER79" i="1"/>
  <c r="EO79" i="1"/>
  <c r="EN79" i="1"/>
  <c r="EK79" i="1"/>
  <c r="EJ79" i="1"/>
  <c r="EG79" i="1"/>
  <c r="EH79" i="1" s="1"/>
  <c r="EF79" i="1"/>
  <c r="EC79" i="1"/>
  <c r="IG79" i="1" s="1"/>
  <c r="EB79" i="1"/>
  <c r="IF79" i="1" s="1"/>
  <c r="IH79" i="1" s="1"/>
  <c r="DY79" i="1"/>
  <c r="DX79" i="1"/>
  <c r="HX79" i="1" s="1"/>
  <c r="DU79" i="1"/>
  <c r="DT79" i="1"/>
  <c r="DV79" i="1" s="1"/>
  <c r="DQ79" i="1"/>
  <c r="DP79" i="1"/>
  <c r="DM79" i="1"/>
  <c r="DL79" i="1"/>
  <c r="DN79" i="1" s="1"/>
  <c r="DI79" i="1"/>
  <c r="DH79" i="1"/>
  <c r="DE79" i="1"/>
  <c r="DD79" i="1"/>
  <c r="DA79" i="1"/>
  <c r="DB79" i="1" s="1"/>
  <c r="CZ79" i="1"/>
  <c r="CW79" i="1"/>
  <c r="CV79" i="1"/>
  <c r="CX79" i="1" s="1"/>
  <c r="CS79" i="1"/>
  <c r="CR79" i="1"/>
  <c r="CO79" i="1"/>
  <c r="CN79" i="1"/>
  <c r="CP79" i="1" s="1"/>
  <c r="CK79" i="1"/>
  <c r="CJ79" i="1"/>
  <c r="CG79" i="1"/>
  <c r="CC79" i="1"/>
  <c r="CB79" i="1"/>
  <c r="CD79" i="1" s="1"/>
  <c r="BY79" i="1"/>
  <c r="BX79" i="1"/>
  <c r="BU79" i="1"/>
  <c r="BT79" i="1"/>
  <c r="BV79" i="1" s="1"/>
  <c r="BQ79" i="1"/>
  <c r="BP79" i="1"/>
  <c r="BM79" i="1"/>
  <c r="BL79" i="1"/>
  <c r="BI79" i="1"/>
  <c r="BJ79" i="1" s="1"/>
  <c r="BH79" i="1"/>
  <c r="BE79" i="1"/>
  <c r="BD79" i="1"/>
  <c r="BF79" i="1" s="1"/>
  <c r="BA79" i="1"/>
  <c r="AZ79" i="1"/>
  <c r="AW79" i="1"/>
  <c r="AV79" i="1"/>
  <c r="AX79" i="1" s="1"/>
  <c r="AS79" i="1"/>
  <c r="AR79" i="1"/>
  <c r="AO79" i="1"/>
  <c r="AP79" i="1" s="1"/>
  <c r="AN79" i="1"/>
  <c r="AK79" i="1"/>
  <c r="AJ79" i="1"/>
  <c r="AG79" i="1"/>
  <c r="AF79" i="1"/>
  <c r="AC79" i="1"/>
  <c r="AD79" i="1" s="1"/>
  <c r="AB79" i="1"/>
  <c r="Z79" i="1"/>
  <c r="Y79" i="1"/>
  <c r="X79" i="1"/>
  <c r="U79" i="1"/>
  <c r="T79" i="1"/>
  <c r="Q79" i="1"/>
  <c r="P79" i="1"/>
  <c r="R79" i="1" s="1"/>
  <c r="M79" i="1"/>
  <c r="L79" i="1"/>
  <c r="I79" i="1"/>
  <c r="H79" i="1"/>
  <c r="J79" i="1" s="1"/>
  <c r="E79" i="1"/>
  <c r="D79" i="1"/>
  <c r="IG78" i="1"/>
  <c r="HE78" i="1"/>
  <c r="HD78" i="1"/>
  <c r="HA78" i="1"/>
  <c r="HB78" i="1" s="1"/>
  <c r="GZ78" i="1"/>
  <c r="GW78" i="1"/>
  <c r="GV78" i="1"/>
  <c r="GX78" i="1" s="1"/>
  <c r="GS78" i="1"/>
  <c r="GR78" i="1"/>
  <c r="GO78" i="1"/>
  <c r="GN78" i="1"/>
  <c r="GP78" i="1" s="1"/>
  <c r="GK78" i="1"/>
  <c r="GJ78" i="1"/>
  <c r="GG78" i="1"/>
  <c r="GF78" i="1"/>
  <c r="GH78" i="1" s="1"/>
  <c r="GC78" i="1"/>
  <c r="GB78" i="1"/>
  <c r="FY78" i="1"/>
  <c r="FX78" i="1"/>
  <c r="FU78" i="1"/>
  <c r="FV78" i="1" s="1"/>
  <c r="FT78" i="1"/>
  <c r="FQ78" i="1"/>
  <c r="FP78" i="1"/>
  <c r="FR78" i="1" s="1"/>
  <c r="FM78" i="1"/>
  <c r="FL78" i="1"/>
  <c r="FI78" i="1"/>
  <c r="IK78" i="1" s="1"/>
  <c r="FH78" i="1"/>
  <c r="FJ78" i="1" s="1"/>
  <c r="FE78" i="1"/>
  <c r="FD78" i="1"/>
  <c r="FA78" i="1"/>
  <c r="FB78" i="1" s="1"/>
  <c r="EZ78" i="1"/>
  <c r="EW78" i="1"/>
  <c r="IC78" i="1" s="1"/>
  <c r="EV78" i="1"/>
  <c r="ES78" i="1"/>
  <c r="ER78" i="1"/>
  <c r="EO78" i="1"/>
  <c r="EP78" i="1" s="1"/>
  <c r="EN78" i="1"/>
  <c r="EK78" i="1"/>
  <c r="EJ78" i="1"/>
  <c r="EL78" i="1" s="1"/>
  <c r="EG78" i="1"/>
  <c r="EF78" i="1"/>
  <c r="EC78" i="1"/>
  <c r="EB78" i="1"/>
  <c r="DY78" i="1"/>
  <c r="DX78" i="1"/>
  <c r="DU78" i="1"/>
  <c r="DT78" i="1"/>
  <c r="DV78" i="1" s="1"/>
  <c r="DQ78" i="1"/>
  <c r="DP78" i="1"/>
  <c r="DM78" i="1"/>
  <c r="DL78" i="1"/>
  <c r="DI78" i="1"/>
  <c r="DJ78" i="1" s="1"/>
  <c r="DH78" i="1"/>
  <c r="DE78" i="1"/>
  <c r="DD78" i="1"/>
  <c r="DF78" i="1" s="1"/>
  <c r="DA78" i="1"/>
  <c r="CZ78" i="1"/>
  <c r="CW78" i="1"/>
  <c r="CV78" i="1"/>
  <c r="CX78" i="1" s="1"/>
  <c r="CS78" i="1"/>
  <c r="CR78" i="1"/>
  <c r="CO78" i="1"/>
  <c r="CN78" i="1"/>
  <c r="CK78" i="1"/>
  <c r="CJ78" i="1"/>
  <c r="CH78" i="1"/>
  <c r="CG78" i="1"/>
  <c r="CC78" i="1"/>
  <c r="CB78" i="1"/>
  <c r="CD78" i="1" s="1"/>
  <c r="BY78" i="1"/>
  <c r="BX78" i="1"/>
  <c r="BU78" i="1"/>
  <c r="BT78" i="1"/>
  <c r="BV78" i="1" s="1"/>
  <c r="BQ78" i="1"/>
  <c r="BP78" i="1"/>
  <c r="BM78" i="1"/>
  <c r="BN78" i="1" s="1"/>
  <c r="BL78" i="1"/>
  <c r="BI78" i="1"/>
  <c r="BH78" i="1"/>
  <c r="BE78" i="1"/>
  <c r="BD78" i="1"/>
  <c r="BA78" i="1"/>
  <c r="BB78" i="1" s="1"/>
  <c r="AZ78" i="1"/>
  <c r="AW78" i="1"/>
  <c r="AV78" i="1"/>
  <c r="AX78" i="1" s="1"/>
  <c r="AS78" i="1"/>
  <c r="AR78" i="1"/>
  <c r="AO78" i="1"/>
  <c r="AN78" i="1"/>
  <c r="AP78" i="1" s="1"/>
  <c r="AK78" i="1"/>
  <c r="AJ78" i="1"/>
  <c r="AG78" i="1"/>
  <c r="AF78" i="1"/>
  <c r="AC78" i="1"/>
  <c r="AB78" i="1"/>
  <c r="Y78" i="1"/>
  <c r="X78" i="1"/>
  <c r="U78" i="1"/>
  <c r="V78" i="1" s="1"/>
  <c r="T78" i="1"/>
  <c r="Q78" i="1"/>
  <c r="P78" i="1"/>
  <c r="R78" i="1" s="1"/>
  <c r="M78" i="1"/>
  <c r="L78" i="1"/>
  <c r="I78" i="1"/>
  <c r="H78" i="1"/>
  <c r="E78" i="1"/>
  <c r="D78" i="1"/>
  <c r="HE77" i="1"/>
  <c r="HD77" i="1"/>
  <c r="HF77" i="1" s="1"/>
  <c r="HA77" i="1"/>
  <c r="GZ77" i="1"/>
  <c r="HB77" i="1" s="1"/>
  <c r="GW77" i="1"/>
  <c r="GV77" i="1"/>
  <c r="GX77" i="1" s="1"/>
  <c r="GS77" i="1"/>
  <c r="GR77" i="1"/>
  <c r="GO77" i="1"/>
  <c r="GN77" i="1"/>
  <c r="GP77" i="1" s="1"/>
  <c r="GK77" i="1"/>
  <c r="GJ77" i="1"/>
  <c r="GG77" i="1"/>
  <c r="GF77" i="1"/>
  <c r="GC77" i="1"/>
  <c r="GD77" i="1" s="1"/>
  <c r="GB77" i="1"/>
  <c r="FY77" i="1"/>
  <c r="FX77" i="1"/>
  <c r="FU77" i="1"/>
  <c r="FT77" i="1"/>
  <c r="FV77" i="1" s="1"/>
  <c r="FQ77" i="1"/>
  <c r="FP77" i="1"/>
  <c r="FM77" i="1"/>
  <c r="FL77" i="1"/>
  <c r="FJ77" i="1"/>
  <c r="FI77" i="1"/>
  <c r="FH77" i="1"/>
  <c r="FE77" i="1"/>
  <c r="FD77" i="1"/>
  <c r="FA77" i="1"/>
  <c r="EZ77" i="1"/>
  <c r="FB77" i="1" s="1"/>
  <c r="EW77" i="1"/>
  <c r="EV77" i="1"/>
  <c r="IB77" i="1" s="1"/>
  <c r="ES77" i="1"/>
  <c r="ER77" i="1"/>
  <c r="ET77" i="1" s="1"/>
  <c r="EO77" i="1"/>
  <c r="EN77" i="1"/>
  <c r="EK77" i="1"/>
  <c r="EJ77" i="1"/>
  <c r="EG77" i="1"/>
  <c r="EH77" i="1" s="1"/>
  <c r="EF77" i="1"/>
  <c r="EC77" i="1"/>
  <c r="IG77" i="1" s="1"/>
  <c r="EB77" i="1"/>
  <c r="IF77" i="1" s="1"/>
  <c r="IH77" i="1" s="1"/>
  <c r="DY77" i="1"/>
  <c r="DX77" i="1"/>
  <c r="HX77" i="1" s="1"/>
  <c r="DU77" i="1"/>
  <c r="DT77" i="1"/>
  <c r="DV77" i="1" s="1"/>
  <c r="DQ77" i="1"/>
  <c r="DP77" i="1"/>
  <c r="DM77" i="1"/>
  <c r="DL77" i="1"/>
  <c r="DI77" i="1"/>
  <c r="DH77" i="1"/>
  <c r="DE77" i="1"/>
  <c r="DD77" i="1"/>
  <c r="DA77" i="1"/>
  <c r="DB77" i="1" s="1"/>
  <c r="CZ77" i="1"/>
  <c r="CW77" i="1"/>
  <c r="CV77" i="1"/>
  <c r="CX77" i="1" s="1"/>
  <c r="CS77" i="1"/>
  <c r="CR77" i="1"/>
  <c r="CO77" i="1"/>
  <c r="CN77" i="1"/>
  <c r="CP77" i="1" s="1"/>
  <c r="CK77" i="1"/>
  <c r="CJ77" i="1"/>
  <c r="CG77" i="1"/>
  <c r="CC77" i="1"/>
  <c r="CB77" i="1"/>
  <c r="CD77" i="1" s="1"/>
  <c r="BY77" i="1"/>
  <c r="BX77" i="1"/>
  <c r="BU77" i="1"/>
  <c r="BT77" i="1"/>
  <c r="BQ77" i="1"/>
  <c r="BP77" i="1"/>
  <c r="BM77" i="1"/>
  <c r="BL77" i="1"/>
  <c r="BI77" i="1"/>
  <c r="BJ77" i="1" s="1"/>
  <c r="BH77" i="1"/>
  <c r="BF77" i="1"/>
  <c r="BE77" i="1"/>
  <c r="BD77" i="1"/>
  <c r="BA77" i="1"/>
  <c r="AZ77" i="1"/>
  <c r="AW77" i="1"/>
  <c r="AV77" i="1"/>
  <c r="AX77" i="1" s="1"/>
  <c r="AS77" i="1"/>
  <c r="AR77" i="1"/>
  <c r="AO77" i="1"/>
  <c r="AN77" i="1"/>
  <c r="AP77" i="1" s="1"/>
  <c r="AK77" i="1"/>
  <c r="AJ77" i="1"/>
  <c r="AG77" i="1"/>
  <c r="AF77" i="1"/>
  <c r="AC77" i="1"/>
  <c r="AD77" i="1" s="1"/>
  <c r="AB77" i="1"/>
  <c r="Y77" i="1"/>
  <c r="X77" i="1"/>
  <c r="Z77" i="1" s="1"/>
  <c r="U77" i="1"/>
  <c r="T77" i="1"/>
  <c r="Q77" i="1"/>
  <c r="P77" i="1"/>
  <c r="R77" i="1" s="1"/>
  <c r="M77" i="1"/>
  <c r="L77" i="1"/>
  <c r="I77" i="1"/>
  <c r="H77" i="1"/>
  <c r="E77" i="1"/>
  <c r="D77" i="1"/>
  <c r="IG76" i="1"/>
  <c r="HE76" i="1"/>
  <c r="HD76" i="1"/>
  <c r="HA76" i="1"/>
  <c r="HB76" i="1" s="1"/>
  <c r="GZ76" i="1"/>
  <c r="GW76" i="1"/>
  <c r="GV76" i="1"/>
  <c r="GX76" i="1" s="1"/>
  <c r="GS76" i="1"/>
  <c r="GR76" i="1"/>
  <c r="GO76" i="1"/>
  <c r="GN76" i="1"/>
  <c r="GP76" i="1" s="1"/>
  <c r="GK76" i="1"/>
  <c r="GJ76" i="1"/>
  <c r="GG76" i="1"/>
  <c r="GF76" i="1"/>
  <c r="GC76" i="1"/>
  <c r="GB76" i="1"/>
  <c r="FY76" i="1"/>
  <c r="FX76" i="1"/>
  <c r="FU76" i="1"/>
  <c r="FV76" i="1" s="1"/>
  <c r="FT76" i="1"/>
  <c r="FR76" i="1"/>
  <c r="FQ76" i="1"/>
  <c r="FP76" i="1"/>
  <c r="FM76" i="1"/>
  <c r="FL76" i="1"/>
  <c r="FI76" i="1"/>
  <c r="IK76" i="1" s="1"/>
  <c r="FH76" i="1"/>
  <c r="FJ76" i="1" s="1"/>
  <c r="FE76" i="1"/>
  <c r="FD76" i="1"/>
  <c r="FA76" i="1"/>
  <c r="FB76" i="1" s="1"/>
  <c r="EZ76" i="1"/>
  <c r="EW76" i="1"/>
  <c r="EV76" i="1"/>
  <c r="ES76" i="1"/>
  <c r="ER76" i="1"/>
  <c r="EO76" i="1"/>
  <c r="EP76" i="1" s="1"/>
  <c r="EN76" i="1"/>
  <c r="EK76" i="1"/>
  <c r="EJ76" i="1"/>
  <c r="EL76" i="1" s="1"/>
  <c r="EG76" i="1"/>
  <c r="EF76" i="1"/>
  <c r="EC76" i="1"/>
  <c r="EB76" i="1"/>
  <c r="DY76" i="1"/>
  <c r="DX76" i="1"/>
  <c r="DU76" i="1"/>
  <c r="DT76" i="1"/>
  <c r="DQ76" i="1"/>
  <c r="DP76" i="1"/>
  <c r="DM76" i="1"/>
  <c r="DL76" i="1"/>
  <c r="DI76" i="1"/>
  <c r="DJ76" i="1" s="1"/>
  <c r="DH76" i="1"/>
  <c r="DE76" i="1"/>
  <c r="DD76" i="1"/>
  <c r="DF76" i="1" s="1"/>
  <c r="DA76" i="1"/>
  <c r="CZ76" i="1"/>
  <c r="CW76" i="1"/>
  <c r="CV76" i="1"/>
  <c r="CX76" i="1" s="1"/>
  <c r="CS76" i="1"/>
  <c r="CR76" i="1"/>
  <c r="CO76" i="1"/>
  <c r="CN76" i="1"/>
  <c r="CP76" i="1" s="1"/>
  <c r="CK76" i="1"/>
  <c r="CJ76" i="1"/>
  <c r="CH76" i="1"/>
  <c r="CG76" i="1"/>
  <c r="CC76" i="1"/>
  <c r="CB76" i="1"/>
  <c r="CD76" i="1" s="1"/>
  <c r="BY76" i="1"/>
  <c r="BX76" i="1"/>
  <c r="BU76" i="1"/>
  <c r="BT76" i="1"/>
  <c r="BV76" i="1" s="1"/>
  <c r="BQ76" i="1"/>
  <c r="BP76" i="1"/>
  <c r="BM76" i="1"/>
  <c r="BL76" i="1"/>
  <c r="BI76" i="1"/>
  <c r="BH76" i="1"/>
  <c r="BE76" i="1"/>
  <c r="BD76" i="1"/>
  <c r="BA76" i="1"/>
  <c r="BB76" i="1" s="1"/>
  <c r="AZ76" i="1"/>
  <c r="AW76" i="1"/>
  <c r="AV76" i="1"/>
  <c r="AX76" i="1" s="1"/>
  <c r="AS76" i="1"/>
  <c r="AR76" i="1"/>
  <c r="AO76" i="1"/>
  <c r="AN76" i="1"/>
  <c r="AP76" i="1" s="1"/>
  <c r="AK76" i="1"/>
  <c r="AJ76" i="1"/>
  <c r="AG76" i="1"/>
  <c r="AF76" i="1"/>
  <c r="AH76" i="1" s="1"/>
  <c r="AC76" i="1"/>
  <c r="AB76" i="1"/>
  <c r="Y76" i="1"/>
  <c r="X76" i="1"/>
  <c r="U76" i="1"/>
  <c r="V76" i="1" s="1"/>
  <c r="T76" i="1"/>
  <c r="R76" i="1"/>
  <c r="Q76" i="1"/>
  <c r="P76" i="1"/>
  <c r="M76" i="1"/>
  <c r="L76" i="1"/>
  <c r="I76" i="1"/>
  <c r="H76" i="1"/>
  <c r="E76" i="1"/>
  <c r="D76" i="1"/>
  <c r="IB75" i="1"/>
  <c r="HE75" i="1"/>
  <c r="HD75" i="1"/>
  <c r="HF75" i="1" s="1"/>
  <c r="HA75" i="1"/>
  <c r="GZ75" i="1"/>
  <c r="GW75" i="1"/>
  <c r="GV75" i="1"/>
  <c r="GS75" i="1"/>
  <c r="GT75" i="1" s="1"/>
  <c r="GR75" i="1"/>
  <c r="GO75" i="1"/>
  <c r="GN75" i="1"/>
  <c r="GP75" i="1" s="1"/>
  <c r="GK75" i="1"/>
  <c r="GJ75" i="1"/>
  <c r="GG75" i="1"/>
  <c r="GF75" i="1"/>
  <c r="GH75" i="1" s="1"/>
  <c r="GC75" i="1"/>
  <c r="GB75" i="1"/>
  <c r="FY75" i="1"/>
  <c r="FX75" i="1"/>
  <c r="FU75" i="1"/>
  <c r="FT75" i="1"/>
  <c r="FQ75" i="1"/>
  <c r="FP75" i="1"/>
  <c r="FM75" i="1"/>
  <c r="FN75" i="1" s="1"/>
  <c r="FL75" i="1"/>
  <c r="FI75" i="1"/>
  <c r="IK75" i="1" s="1"/>
  <c r="FH75" i="1"/>
  <c r="FE75" i="1"/>
  <c r="FD75" i="1"/>
  <c r="FA75" i="1"/>
  <c r="EZ75" i="1"/>
  <c r="EW75" i="1"/>
  <c r="EV75" i="1"/>
  <c r="ES75" i="1"/>
  <c r="ER75" i="1"/>
  <c r="EO75" i="1"/>
  <c r="EN75" i="1"/>
  <c r="EK75" i="1"/>
  <c r="EJ75" i="1"/>
  <c r="EL75" i="1" s="1"/>
  <c r="EG75" i="1"/>
  <c r="EF75" i="1"/>
  <c r="EH75" i="1" s="1"/>
  <c r="EC75" i="1"/>
  <c r="IG75" i="1" s="1"/>
  <c r="EB75" i="1"/>
  <c r="IF75" i="1" s="1"/>
  <c r="IH75" i="1" s="1"/>
  <c r="DY75" i="1"/>
  <c r="DX75" i="1"/>
  <c r="HX75" i="1" s="1"/>
  <c r="DU75" i="1"/>
  <c r="DT75" i="1"/>
  <c r="DV75" i="1" s="1"/>
  <c r="DQ75" i="1"/>
  <c r="DP75" i="1"/>
  <c r="DR75" i="1" s="1"/>
  <c r="DM75" i="1"/>
  <c r="DL75" i="1"/>
  <c r="DN75" i="1" s="1"/>
  <c r="DI75" i="1"/>
  <c r="DH75" i="1"/>
  <c r="DE75" i="1"/>
  <c r="DD75" i="1"/>
  <c r="DF75" i="1" s="1"/>
  <c r="DA75" i="1"/>
  <c r="CZ75" i="1"/>
  <c r="CW75" i="1"/>
  <c r="CV75" i="1"/>
  <c r="CS75" i="1"/>
  <c r="CR75" i="1"/>
  <c r="CO75" i="1"/>
  <c r="CN75" i="1"/>
  <c r="CK75" i="1"/>
  <c r="CJ75" i="1"/>
  <c r="CH75" i="1"/>
  <c r="CG75" i="1"/>
  <c r="CC75" i="1"/>
  <c r="CB75" i="1"/>
  <c r="BY75" i="1"/>
  <c r="BX75" i="1"/>
  <c r="BU75" i="1"/>
  <c r="BT75" i="1"/>
  <c r="BQ75" i="1"/>
  <c r="BR75" i="1" s="1"/>
  <c r="BP75" i="1"/>
  <c r="BM75" i="1"/>
  <c r="BL75" i="1"/>
  <c r="BI75" i="1"/>
  <c r="BH75" i="1"/>
  <c r="BE75" i="1"/>
  <c r="BD75" i="1"/>
  <c r="BF75" i="1" s="1"/>
  <c r="BA75" i="1"/>
  <c r="AZ75" i="1"/>
  <c r="AW75" i="1"/>
  <c r="AV75" i="1"/>
  <c r="AX75" i="1" s="1"/>
  <c r="AS75" i="1"/>
  <c r="AR75" i="1"/>
  <c r="AO75" i="1"/>
  <c r="AN75" i="1"/>
  <c r="AP75" i="1" s="1"/>
  <c r="AL75" i="1"/>
  <c r="AK75" i="1"/>
  <c r="AJ75" i="1"/>
  <c r="AH75" i="1"/>
  <c r="AG75" i="1"/>
  <c r="AF75" i="1"/>
  <c r="AC75" i="1"/>
  <c r="AB75" i="1"/>
  <c r="AD75" i="1" s="1"/>
  <c r="Y75" i="1"/>
  <c r="X75" i="1"/>
  <c r="Z75" i="1" s="1"/>
  <c r="U75" i="1"/>
  <c r="T75" i="1"/>
  <c r="Q75" i="1"/>
  <c r="P75" i="1"/>
  <c r="R75" i="1" s="1"/>
  <c r="M75" i="1"/>
  <c r="L75" i="1"/>
  <c r="N75" i="1" s="1"/>
  <c r="I75" i="1"/>
  <c r="H75" i="1"/>
  <c r="E75" i="1"/>
  <c r="D75" i="1"/>
  <c r="HF74" i="1"/>
  <c r="HE74" i="1"/>
  <c r="HD74" i="1"/>
  <c r="HA74" i="1"/>
  <c r="GZ74" i="1"/>
  <c r="HB74" i="1" s="1"/>
  <c r="GW74" i="1"/>
  <c r="GV74" i="1"/>
  <c r="GX74" i="1" s="1"/>
  <c r="GS74" i="1"/>
  <c r="GR74" i="1"/>
  <c r="GO74" i="1"/>
  <c r="GN74" i="1"/>
  <c r="GP74" i="1" s="1"/>
  <c r="GK74" i="1"/>
  <c r="GJ74" i="1"/>
  <c r="GL74" i="1" s="1"/>
  <c r="GG74" i="1"/>
  <c r="GF74" i="1"/>
  <c r="GH74" i="1" s="1"/>
  <c r="GC74" i="1"/>
  <c r="GD74" i="1" s="1"/>
  <c r="GB74" i="1"/>
  <c r="FY74" i="1"/>
  <c r="FX74" i="1"/>
  <c r="FZ74" i="1" s="1"/>
  <c r="FU74" i="1"/>
  <c r="FT74" i="1"/>
  <c r="FV74" i="1" s="1"/>
  <c r="FQ74" i="1"/>
  <c r="FP74" i="1"/>
  <c r="FR74" i="1" s="1"/>
  <c r="FM74" i="1"/>
  <c r="FL74" i="1"/>
  <c r="FI74" i="1"/>
  <c r="IK74" i="1" s="1"/>
  <c r="FH74" i="1"/>
  <c r="FE74" i="1"/>
  <c r="FD74" i="1"/>
  <c r="FF74" i="1" s="1"/>
  <c r="FA74" i="1"/>
  <c r="EZ74" i="1"/>
  <c r="EW74" i="1"/>
  <c r="EV74" i="1"/>
  <c r="ES74" i="1"/>
  <c r="ER74" i="1"/>
  <c r="EP74" i="1"/>
  <c r="EO74" i="1"/>
  <c r="EN74" i="1"/>
  <c r="EK74" i="1"/>
  <c r="EJ74" i="1"/>
  <c r="EG74" i="1"/>
  <c r="EF74" i="1"/>
  <c r="EH74" i="1" s="1"/>
  <c r="EC74" i="1"/>
  <c r="IG74" i="1" s="1"/>
  <c r="EB74" i="1"/>
  <c r="IF74" i="1" s="1"/>
  <c r="DY74" i="1"/>
  <c r="DX74" i="1"/>
  <c r="DU74" i="1"/>
  <c r="DV74" i="1" s="1"/>
  <c r="DT74" i="1"/>
  <c r="DQ74" i="1"/>
  <c r="DP74" i="1"/>
  <c r="DM74" i="1"/>
  <c r="DL74" i="1"/>
  <c r="DI74" i="1"/>
  <c r="DH74" i="1"/>
  <c r="DJ74" i="1" s="1"/>
  <c r="DE74" i="1"/>
  <c r="DD74" i="1"/>
  <c r="DA74" i="1"/>
  <c r="CZ74" i="1"/>
  <c r="DB74" i="1" s="1"/>
  <c r="CW74" i="1"/>
  <c r="CV74" i="1"/>
  <c r="CX74" i="1" s="1"/>
  <c r="CS74" i="1"/>
  <c r="CR74" i="1"/>
  <c r="CO74" i="1"/>
  <c r="CP74" i="1" s="1"/>
  <c r="CN74" i="1"/>
  <c r="CK74" i="1"/>
  <c r="CJ74" i="1"/>
  <c r="CG74" i="1"/>
  <c r="CC74" i="1"/>
  <c r="CB74" i="1"/>
  <c r="BY74" i="1"/>
  <c r="BX74" i="1"/>
  <c r="BZ74" i="1" s="1"/>
  <c r="BU74" i="1"/>
  <c r="BT74" i="1"/>
  <c r="BV74" i="1" s="1"/>
  <c r="BQ74" i="1"/>
  <c r="BP74" i="1"/>
  <c r="BR74" i="1" s="1"/>
  <c r="BM74" i="1"/>
  <c r="BN74" i="1" s="1"/>
  <c r="BL74" i="1"/>
  <c r="BI74" i="1"/>
  <c r="BH74" i="1"/>
  <c r="BE74" i="1"/>
  <c r="BD74" i="1"/>
  <c r="BA74" i="1"/>
  <c r="HQ74" i="1" s="1"/>
  <c r="AZ74" i="1"/>
  <c r="BB74" i="1" s="1"/>
  <c r="AW74" i="1"/>
  <c r="AV74" i="1"/>
  <c r="AS74" i="1"/>
  <c r="AR74" i="1"/>
  <c r="AT74" i="1" s="1"/>
  <c r="AO74" i="1"/>
  <c r="AN74" i="1"/>
  <c r="AP74" i="1" s="1"/>
  <c r="AK74" i="1"/>
  <c r="AJ74" i="1"/>
  <c r="AG74" i="1"/>
  <c r="AH74" i="1" s="1"/>
  <c r="AF74" i="1"/>
  <c r="AC74" i="1"/>
  <c r="AB74" i="1"/>
  <c r="Y74" i="1"/>
  <c r="X74" i="1"/>
  <c r="V74" i="1"/>
  <c r="U74" i="1"/>
  <c r="T74" i="1"/>
  <c r="Q74" i="1"/>
  <c r="P74" i="1"/>
  <c r="M74" i="1"/>
  <c r="L74" i="1"/>
  <c r="N74" i="1" s="1"/>
  <c r="I74" i="1"/>
  <c r="H74" i="1"/>
  <c r="J74" i="1" s="1"/>
  <c r="E74" i="1"/>
  <c r="D74" i="1"/>
  <c r="F74" i="1" s="1"/>
  <c r="HE73" i="1"/>
  <c r="HD73" i="1"/>
  <c r="HA73" i="1"/>
  <c r="GZ73" i="1"/>
  <c r="GW73" i="1"/>
  <c r="GV73" i="1"/>
  <c r="GS73" i="1"/>
  <c r="GR73" i="1"/>
  <c r="GT73" i="1" s="1"/>
  <c r="GO73" i="1"/>
  <c r="GN73" i="1"/>
  <c r="GP73" i="1" s="1"/>
  <c r="GK73" i="1"/>
  <c r="GJ73" i="1"/>
  <c r="GL73" i="1" s="1"/>
  <c r="GG73" i="1"/>
  <c r="GF73" i="1"/>
  <c r="GH73" i="1" s="1"/>
  <c r="GC73" i="1"/>
  <c r="GB73" i="1"/>
  <c r="GD73" i="1" s="1"/>
  <c r="FY73" i="1"/>
  <c r="FX73" i="1"/>
  <c r="FU73" i="1"/>
  <c r="FT73" i="1"/>
  <c r="FQ73" i="1"/>
  <c r="FP73" i="1"/>
  <c r="FM73" i="1"/>
  <c r="FL73" i="1"/>
  <c r="FN73" i="1" s="1"/>
  <c r="FI73" i="1"/>
  <c r="FH73" i="1"/>
  <c r="FE73" i="1"/>
  <c r="FD73" i="1"/>
  <c r="FF73" i="1" s="1"/>
  <c r="FA73" i="1"/>
  <c r="EZ73" i="1"/>
  <c r="FB73" i="1" s="1"/>
  <c r="EW73" i="1"/>
  <c r="IC73" i="1" s="1"/>
  <c r="EV73" i="1"/>
  <c r="IB73" i="1" s="1"/>
  <c r="ES73" i="1"/>
  <c r="ER73" i="1"/>
  <c r="EO73" i="1"/>
  <c r="EN73" i="1"/>
  <c r="EK73" i="1"/>
  <c r="EJ73" i="1"/>
  <c r="EH73" i="1"/>
  <c r="EG73" i="1"/>
  <c r="EF73" i="1"/>
  <c r="EC73" i="1"/>
  <c r="IG73" i="1" s="1"/>
  <c r="EB73" i="1"/>
  <c r="DY73" i="1"/>
  <c r="DX73" i="1"/>
  <c r="DU73" i="1"/>
  <c r="DT73" i="1"/>
  <c r="DQ73" i="1"/>
  <c r="DR73" i="1" s="1"/>
  <c r="DP73" i="1"/>
  <c r="DM73" i="1"/>
  <c r="DL73" i="1"/>
  <c r="DI73" i="1"/>
  <c r="DH73" i="1"/>
  <c r="DE73" i="1"/>
  <c r="DF73" i="1" s="1"/>
  <c r="DD73" i="1"/>
  <c r="DB73" i="1"/>
  <c r="DA73" i="1"/>
  <c r="CZ73" i="1"/>
  <c r="CW73" i="1"/>
  <c r="CV73" i="1"/>
  <c r="CS73" i="1"/>
  <c r="CR73" i="1"/>
  <c r="CT73" i="1" s="1"/>
  <c r="CO73" i="1"/>
  <c r="CN73" i="1"/>
  <c r="CK73" i="1"/>
  <c r="CJ73" i="1"/>
  <c r="CG73" i="1"/>
  <c r="CH73" i="1" s="1"/>
  <c r="CC73" i="1"/>
  <c r="CB73" i="1"/>
  <c r="BY73" i="1"/>
  <c r="BX73" i="1"/>
  <c r="BZ73" i="1" s="1"/>
  <c r="BU73" i="1"/>
  <c r="BT73" i="1"/>
  <c r="BQ73" i="1"/>
  <c r="BP73" i="1"/>
  <c r="BM73" i="1"/>
  <c r="BN73" i="1" s="1"/>
  <c r="BL73" i="1"/>
  <c r="BI73" i="1"/>
  <c r="BH73" i="1"/>
  <c r="BJ73" i="1" s="1"/>
  <c r="BE73" i="1"/>
  <c r="BD73" i="1"/>
  <c r="BA73" i="1"/>
  <c r="AZ73" i="1"/>
  <c r="BB73" i="1" s="1"/>
  <c r="AW73" i="1"/>
  <c r="AV73" i="1"/>
  <c r="AS73" i="1"/>
  <c r="AR73" i="1"/>
  <c r="AO73" i="1"/>
  <c r="AN73" i="1"/>
  <c r="AK73" i="1"/>
  <c r="AJ73" i="1"/>
  <c r="AG73" i="1"/>
  <c r="AH73" i="1" s="1"/>
  <c r="AF73" i="1"/>
  <c r="AD73" i="1"/>
  <c r="AC73" i="1"/>
  <c r="AB73" i="1"/>
  <c r="Y73" i="1"/>
  <c r="X73" i="1"/>
  <c r="Z73" i="1" s="1"/>
  <c r="U73" i="1"/>
  <c r="T73" i="1"/>
  <c r="V73" i="1" s="1"/>
  <c r="Q73" i="1"/>
  <c r="P73" i="1"/>
  <c r="M73" i="1"/>
  <c r="L73" i="1"/>
  <c r="N73" i="1" s="1"/>
  <c r="I73" i="1"/>
  <c r="H73" i="1"/>
  <c r="E73" i="1"/>
  <c r="D73" i="1"/>
  <c r="HE72" i="1"/>
  <c r="HD72" i="1"/>
  <c r="HA72" i="1"/>
  <c r="GZ72" i="1"/>
  <c r="HB72" i="1" s="1"/>
  <c r="GW72" i="1"/>
  <c r="GV72" i="1"/>
  <c r="GS72" i="1"/>
  <c r="GR72" i="1"/>
  <c r="GT72" i="1" s="1"/>
  <c r="GO72" i="1"/>
  <c r="GN72" i="1"/>
  <c r="GK72" i="1"/>
  <c r="GJ72" i="1"/>
  <c r="GL72" i="1" s="1"/>
  <c r="GG72" i="1"/>
  <c r="GF72" i="1"/>
  <c r="GC72" i="1"/>
  <c r="GB72" i="1"/>
  <c r="FY72" i="1"/>
  <c r="FX72" i="1"/>
  <c r="FU72" i="1"/>
  <c r="FT72" i="1"/>
  <c r="FV72" i="1" s="1"/>
  <c r="FQ72" i="1"/>
  <c r="FP72" i="1"/>
  <c r="FM72" i="1"/>
  <c r="FL72" i="1"/>
  <c r="FN72" i="1" s="1"/>
  <c r="FI72" i="1"/>
  <c r="FH72" i="1"/>
  <c r="FE72" i="1"/>
  <c r="FD72" i="1"/>
  <c r="FA72" i="1"/>
  <c r="EZ72" i="1"/>
  <c r="EW72" i="1"/>
  <c r="IC72" i="1" s="1"/>
  <c r="EV72" i="1"/>
  <c r="ES72" i="1"/>
  <c r="ET72" i="1" s="1"/>
  <c r="ER72" i="1"/>
  <c r="EP72" i="1"/>
  <c r="EO72" i="1"/>
  <c r="EN72" i="1"/>
  <c r="EK72" i="1"/>
  <c r="EJ72" i="1"/>
  <c r="EG72" i="1"/>
  <c r="EF72" i="1"/>
  <c r="EH72" i="1" s="1"/>
  <c r="EC72" i="1"/>
  <c r="IG72" i="1" s="1"/>
  <c r="EB72" i="1"/>
  <c r="IF72" i="1" s="1"/>
  <c r="DY72" i="1"/>
  <c r="DX72" i="1"/>
  <c r="DZ72" i="1" s="1"/>
  <c r="DU72" i="1"/>
  <c r="DT72" i="1"/>
  <c r="DQ72" i="1"/>
  <c r="DP72" i="1"/>
  <c r="DM72" i="1"/>
  <c r="DN72" i="1" s="1"/>
  <c r="DL72" i="1"/>
  <c r="DI72" i="1"/>
  <c r="DH72" i="1"/>
  <c r="DJ72" i="1" s="1"/>
  <c r="DE72" i="1"/>
  <c r="DD72" i="1"/>
  <c r="DA72" i="1"/>
  <c r="CZ72" i="1"/>
  <c r="CW72" i="1"/>
  <c r="CX72" i="1" s="1"/>
  <c r="CV72" i="1"/>
  <c r="CS72" i="1"/>
  <c r="CR72" i="1"/>
  <c r="CT72" i="1" s="1"/>
  <c r="CO72" i="1"/>
  <c r="CN72" i="1"/>
  <c r="CP72" i="1" s="1"/>
  <c r="CK72" i="1"/>
  <c r="CJ72" i="1"/>
  <c r="CL72" i="1" s="1"/>
  <c r="CG72" i="1"/>
  <c r="CH72" i="1" s="1"/>
  <c r="CC72" i="1"/>
  <c r="CB72" i="1"/>
  <c r="BY72" i="1"/>
  <c r="BX72" i="1"/>
  <c r="BU72" i="1"/>
  <c r="BV72" i="1" s="1"/>
  <c r="BT72" i="1"/>
  <c r="BR72" i="1"/>
  <c r="BQ72" i="1"/>
  <c r="BP72" i="1"/>
  <c r="BM72" i="1"/>
  <c r="BL72" i="1"/>
  <c r="BI72" i="1"/>
  <c r="BH72" i="1"/>
  <c r="BJ72" i="1" s="1"/>
  <c r="BE72" i="1"/>
  <c r="BD72" i="1"/>
  <c r="BA72" i="1"/>
  <c r="AZ72" i="1"/>
  <c r="AW72" i="1"/>
  <c r="AV72" i="1"/>
  <c r="AS72" i="1"/>
  <c r="AR72" i="1"/>
  <c r="AO72" i="1"/>
  <c r="AP72" i="1" s="1"/>
  <c r="AN72" i="1"/>
  <c r="AK72" i="1"/>
  <c r="AJ72" i="1"/>
  <c r="AL72" i="1" s="1"/>
  <c r="AG72" i="1"/>
  <c r="AF72" i="1"/>
  <c r="AH72" i="1" s="1"/>
  <c r="AC72" i="1"/>
  <c r="AB72" i="1"/>
  <c r="AD72" i="1" s="1"/>
  <c r="Y72" i="1"/>
  <c r="X72" i="1"/>
  <c r="U72" i="1"/>
  <c r="T72" i="1"/>
  <c r="Q72" i="1"/>
  <c r="P72" i="1"/>
  <c r="M72" i="1"/>
  <c r="L72" i="1"/>
  <c r="I72" i="1"/>
  <c r="H72" i="1"/>
  <c r="F72" i="1"/>
  <c r="E72" i="1"/>
  <c r="D72" i="1"/>
  <c r="IC71" i="1"/>
  <c r="HE71" i="1"/>
  <c r="HD71" i="1"/>
  <c r="HA71" i="1"/>
  <c r="GZ71" i="1"/>
  <c r="HB71" i="1" s="1"/>
  <c r="GW71" i="1"/>
  <c r="GV71" i="1"/>
  <c r="GX71" i="1" s="1"/>
  <c r="GS71" i="1"/>
  <c r="GR71" i="1"/>
  <c r="GT71" i="1" s="1"/>
  <c r="GO71" i="1"/>
  <c r="GN71" i="1"/>
  <c r="GK71" i="1"/>
  <c r="GJ71" i="1"/>
  <c r="GG71" i="1"/>
  <c r="GF71" i="1"/>
  <c r="GD71" i="1"/>
  <c r="GC71" i="1"/>
  <c r="GB71" i="1"/>
  <c r="FY71" i="1"/>
  <c r="FX71" i="1"/>
  <c r="FU71" i="1"/>
  <c r="FT71" i="1"/>
  <c r="FV71" i="1" s="1"/>
  <c r="FQ71" i="1"/>
  <c r="FP71" i="1"/>
  <c r="FR71" i="1" s="1"/>
  <c r="FM71" i="1"/>
  <c r="FL71" i="1"/>
  <c r="FN71" i="1" s="1"/>
  <c r="FI71" i="1"/>
  <c r="FH71" i="1"/>
  <c r="FE71" i="1"/>
  <c r="FD71" i="1"/>
  <c r="FA71" i="1"/>
  <c r="EZ71" i="1"/>
  <c r="EW71" i="1"/>
  <c r="EV71" i="1"/>
  <c r="ES71" i="1"/>
  <c r="ER71" i="1"/>
  <c r="EO71" i="1"/>
  <c r="EN71" i="1"/>
  <c r="EP71" i="1" s="1"/>
  <c r="EK71" i="1"/>
  <c r="EJ71" i="1"/>
  <c r="EL71" i="1" s="1"/>
  <c r="EG71" i="1"/>
  <c r="EF71" i="1"/>
  <c r="EH71" i="1" s="1"/>
  <c r="EC71" i="1"/>
  <c r="EB71" i="1"/>
  <c r="IF71" i="1" s="1"/>
  <c r="DY71" i="1"/>
  <c r="DX71" i="1"/>
  <c r="DU71" i="1"/>
  <c r="DT71" i="1"/>
  <c r="DR71" i="1"/>
  <c r="DQ71" i="1"/>
  <c r="DP71" i="1"/>
  <c r="DM71" i="1"/>
  <c r="DL71" i="1"/>
  <c r="DI71" i="1"/>
  <c r="DH71" i="1"/>
  <c r="DJ71" i="1" s="1"/>
  <c r="DE71" i="1"/>
  <c r="DD71" i="1"/>
  <c r="HT71" i="1" s="1"/>
  <c r="DA71" i="1"/>
  <c r="CZ71" i="1"/>
  <c r="DB71" i="1" s="1"/>
  <c r="CW71" i="1"/>
  <c r="CX71" i="1" s="1"/>
  <c r="CV71" i="1"/>
  <c r="CS71" i="1"/>
  <c r="CR71" i="1"/>
  <c r="CO71" i="1"/>
  <c r="CN71" i="1"/>
  <c r="CK71" i="1"/>
  <c r="CJ71" i="1"/>
  <c r="CL71" i="1" s="1"/>
  <c r="CG71" i="1"/>
  <c r="CC71" i="1"/>
  <c r="CB71" i="1"/>
  <c r="BZ71" i="1"/>
  <c r="BY71" i="1"/>
  <c r="BX71" i="1"/>
  <c r="BU71" i="1"/>
  <c r="BT71" i="1"/>
  <c r="BQ71" i="1"/>
  <c r="BP71" i="1"/>
  <c r="BR71" i="1" s="1"/>
  <c r="BM71" i="1"/>
  <c r="BL71" i="1"/>
  <c r="BN71" i="1" s="1"/>
  <c r="BI71" i="1"/>
  <c r="BH71" i="1"/>
  <c r="BJ71" i="1" s="1"/>
  <c r="BE71" i="1"/>
  <c r="BD71" i="1"/>
  <c r="BA71" i="1"/>
  <c r="AZ71" i="1"/>
  <c r="AW71" i="1"/>
  <c r="AV71" i="1"/>
  <c r="AS71" i="1"/>
  <c r="AR71" i="1"/>
  <c r="AT71" i="1" s="1"/>
  <c r="AO71" i="1"/>
  <c r="AN71" i="1"/>
  <c r="AK71" i="1"/>
  <c r="AJ71" i="1"/>
  <c r="AL71" i="1" s="1"/>
  <c r="AG71" i="1"/>
  <c r="AF71" i="1"/>
  <c r="AH71" i="1" s="1"/>
  <c r="AC71" i="1"/>
  <c r="AB71" i="1"/>
  <c r="AD71" i="1" s="1"/>
  <c r="Y71" i="1"/>
  <c r="X71" i="1"/>
  <c r="U71" i="1"/>
  <c r="T71" i="1"/>
  <c r="Q71" i="1"/>
  <c r="P71" i="1"/>
  <c r="N71" i="1"/>
  <c r="M71" i="1"/>
  <c r="L71" i="1"/>
  <c r="I71" i="1"/>
  <c r="H71" i="1"/>
  <c r="E71" i="1"/>
  <c r="D71" i="1"/>
  <c r="HE70" i="1"/>
  <c r="HD70" i="1"/>
  <c r="HF70" i="1" s="1"/>
  <c r="HA70" i="1"/>
  <c r="GZ70" i="1"/>
  <c r="GW70" i="1"/>
  <c r="GX70" i="1" s="1"/>
  <c r="GV70" i="1"/>
  <c r="GS70" i="1"/>
  <c r="GR70" i="1"/>
  <c r="GO70" i="1"/>
  <c r="GN70" i="1"/>
  <c r="GL70" i="1"/>
  <c r="GK70" i="1"/>
  <c r="GJ70" i="1"/>
  <c r="GG70" i="1"/>
  <c r="GF70" i="1"/>
  <c r="GC70" i="1"/>
  <c r="GB70" i="1"/>
  <c r="GD70" i="1" s="1"/>
  <c r="FY70" i="1"/>
  <c r="FX70" i="1"/>
  <c r="FZ70" i="1" s="1"/>
  <c r="FU70" i="1"/>
  <c r="FT70" i="1"/>
  <c r="FV70" i="1" s="1"/>
  <c r="FQ70" i="1"/>
  <c r="FR70" i="1" s="1"/>
  <c r="FP70" i="1"/>
  <c r="FM70" i="1"/>
  <c r="FL70" i="1"/>
  <c r="FI70" i="1"/>
  <c r="IK70" i="1" s="1"/>
  <c r="FH70" i="1"/>
  <c r="FE70" i="1"/>
  <c r="FD70" i="1"/>
  <c r="FF70" i="1" s="1"/>
  <c r="FA70" i="1"/>
  <c r="EZ70" i="1"/>
  <c r="EW70" i="1"/>
  <c r="EV70" i="1"/>
  <c r="ES70" i="1"/>
  <c r="ER70" i="1"/>
  <c r="ET70" i="1" s="1"/>
  <c r="EO70" i="1"/>
  <c r="EN70" i="1"/>
  <c r="EK70" i="1"/>
  <c r="EL70" i="1" s="1"/>
  <c r="EJ70" i="1"/>
  <c r="EG70" i="1"/>
  <c r="EF70" i="1"/>
  <c r="EC70" i="1"/>
  <c r="IG70" i="1" s="1"/>
  <c r="EB70" i="1"/>
  <c r="DZ70" i="1"/>
  <c r="DY70" i="1"/>
  <c r="DX70" i="1"/>
  <c r="DU70" i="1"/>
  <c r="DT70" i="1"/>
  <c r="DQ70" i="1"/>
  <c r="DP70" i="1"/>
  <c r="DR70" i="1" s="1"/>
  <c r="DM70" i="1"/>
  <c r="DL70" i="1"/>
  <c r="DN70" i="1" s="1"/>
  <c r="DI70" i="1"/>
  <c r="DH70" i="1"/>
  <c r="DJ70" i="1" s="1"/>
  <c r="DE70" i="1"/>
  <c r="DF70" i="1" s="1"/>
  <c r="DD70" i="1"/>
  <c r="DA70" i="1"/>
  <c r="CZ70" i="1"/>
  <c r="CW70" i="1"/>
  <c r="CV70" i="1"/>
  <c r="CS70" i="1"/>
  <c r="CR70" i="1"/>
  <c r="CT70" i="1" s="1"/>
  <c r="CO70" i="1"/>
  <c r="CN70" i="1"/>
  <c r="CK70" i="1"/>
  <c r="CJ70" i="1"/>
  <c r="CL70" i="1" s="1"/>
  <c r="CG70" i="1"/>
  <c r="CH70" i="1" s="1"/>
  <c r="CC70" i="1"/>
  <c r="CD70" i="1" s="1"/>
  <c r="CB70" i="1"/>
  <c r="BY70" i="1"/>
  <c r="BX70" i="1"/>
  <c r="BU70" i="1"/>
  <c r="BT70" i="1"/>
  <c r="BR70" i="1"/>
  <c r="BQ70" i="1"/>
  <c r="BP70" i="1"/>
  <c r="BM70" i="1"/>
  <c r="BL70" i="1"/>
  <c r="BI70" i="1"/>
  <c r="BH70" i="1"/>
  <c r="BJ70" i="1" s="1"/>
  <c r="BE70" i="1"/>
  <c r="BD70" i="1"/>
  <c r="BF70" i="1" s="1"/>
  <c r="BA70" i="1"/>
  <c r="AZ70" i="1"/>
  <c r="AW70" i="1"/>
  <c r="AX70" i="1" s="1"/>
  <c r="AV70" i="1"/>
  <c r="AS70" i="1"/>
  <c r="AR70" i="1"/>
  <c r="AO70" i="1"/>
  <c r="AN70" i="1"/>
  <c r="AL70" i="1"/>
  <c r="AK70" i="1"/>
  <c r="AJ70" i="1"/>
  <c r="AG70" i="1"/>
  <c r="AF70" i="1"/>
  <c r="AC70" i="1"/>
  <c r="AB70" i="1"/>
  <c r="AD70" i="1" s="1"/>
  <c r="Y70" i="1"/>
  <c r="X70" i="1"/>
  <c r="Z70" i="1" s="1"/>
  <c r="U70" i="1"/>
  <c r="T70" i="1"/>
  <c r="Q70" i="1"/>
  <c r="R70" i="1" s="1"/>
  <c r="P70" i="1"/>
  <c r="M70" i="1"/>
  <c r="L70" i="1"/>
  <c r="I70" i="1"/>
  <c r="H70" i="1"/>
  <c r="F70" i="1"/>
  <c r="E70" i="1"/>
  <c r="D70" i="1"/>
  <c r="HE69" i="1"/>
  <c r="HF69" i="1" s="1"/>
  <c r="HD69" i="1"/>
  <c r="HA69" i="1"/>
  <c r="GZ69" i="1"/>
  <c r="GW69" i="1"/>
  <c r="GV69" i="1"/>
  <c r="GT69" i="1"/>
  <c r="GS69" i="1"/>
  <c r="GR69" i="1"/>
  <c r="GO69" i="1"/>
  <c r="GN69" i="1"/>
  <c r="GK69" i="1"/>
  <c r="GJ69" i="1"/>
  <c r="GL69" i="1" s="1"/>
  <c r="GG69" i="1"/>
  <c r="GF69" i="1"/>
  <c r="GH69" i="1" s="1"/>
  <c r="GC69" i="1"/>
  <c r="GB69" i="1"/>
  <c r="GD69" i="1" s="1"/>
  <c r="FY69" i="1"/>
  <c r="FZ69" i="1" s="1"/>
  <c r="FX69" i="1"/>
  <c r="FU69" i="1"/>
  <c r="FT69" i="1"/>
  <c r="FQ69" i="1"/>
  <c r="FP69" i="1"/>
  <c r="FM69" i="1"/>
  <c r="FL69" i="1"/>
  <c r="FN69" i="1" s="1"/>
  <c r="FI69" i="1"/>
  <c r="FH69" i="1"/>
  <c r="FE69" i="1"/>
  <c r="FD69" i="1"/>
  <c r="FF69" i="1" s="1"/>
  <c r="FA69" i="1"/>
  <c r="EZ69" i="1"/>
  <c r="FB69" i="1" s="1"/>
  <c r="EW69" i="1"/>
  <c r="IC69" i="1" s="1"/>
  <c r="EV69" i="1"/>
  <c r="IB69" i="1" s="1"/>
  <c r="ES69" i="1"/>
  <c r="ER69" i="1"/>
  <c r="EO69" i="1"/>
  <c r="EN69" i="1"/>
  <c r="EK69" i="1"/>
  <c r="EJ69" i="1"/>
  <c r="EH69" i="1"/>
  <c r="EG69" i="1"/>
  <c r="EF69" i="1"/>
  <c r="EC69" i="1"/>
  <c r="IG69" i="1" s="1"/>
  <c r="EB69" i="1"/>
  <c r="DY69" i="1"/>
  <c r="DX69" i="1"/>
  <c r="DU69" i="1"/>
  <c r="DT69" i="1"/>
  <c r="DV69" i="1" s="1"/>
  <c r="DQ69" i="1"/>
  <c r="DP69" i="1"/>
  <c r="DR69" i="1" s="1"/>
  <c r="DM69" i="1"/>
  <c r="DL69" i="1"/>
  <c r="DI69" i="1"/>
  <c r="DH69" i="1"/>
  <c r="DE69" i="1"/>
  <c r="DD69" i="1"/>
  <c r="DA69" i="1"/>
  <c r="CZ69" i="1"/>
  <c r="DB69" i="1" s="1"/>
  <c r="CW69" i="1"/>
  <c r="CV69" i="1"/>
  <c r="CS69" i="1"/>
  <c r="CR69" i="1"/>
  <c r="CT69" i="1" s="1"/>
  <c r="CO69" i="1"/>
  <c r="CN69" i="1"/>
  <c r="CP69" i="1" s="1"/>
  <c r="CK69" i="1"/>
  <c r="CJ69" i="1"/>
  <c r="CG69" i="1"/>
  <c r="CH69" i="1" s="1"/>
  <c r="CC69" i="1"/>
  <c r="CB69" i="1"/>
  <c r="CD69" i="1" s="1"/>
  <c r="BY69" i="1"/>
  <c r="BX69" i="1"/>
  <c r="BZ69" i="1" s="1"/>
  <c r="BU69" i="1"/>
  <c r="BT69" i="1"/>
  <c r="BQ69" i="1"/>
  <c r="BP69" i="1"/>
  <c r="BM69" i="1"/>
  <c r="BL69" i="1"/>
  <c r="BI69" i="1"/>
  <c r="BH69" i="1"/>
  <c r="BJ69" i="1" s="1"/>
  <c r="BE69" i="1"/>
  <c r="BD69" i="1"/>
  <c r="BA69" i="1"/>
  <c r="AZ69" i="1"/>
  <c r="AW69" i="1"/>
  <c r="AV69" i="1"/>
  <c r="AX69" i="1" s="1"/>
  <c r="AS69" i="1"/>
  <c r="AR69" i="1"/>
  <c r="AT69" i="1" s="1"/>
  <c r="AO69" i="1"/>
  <c r="AN69" i="1"/>
  <c r="AK69" i="1"/>
  <c r="AJ69" i="1"/>
  <c r="AG69" i="1"/>
  <c r="AF69" i="1"/>
  <c r="AD69" i="1"/>
  <c r="AC69" i="1"/>
  <c r="AB69" i="1"/>
  <c r="Y69" i="1"/>
  <c r="X69" i="1"/>
  <c r="Z69" i="1" s="1"/>
  <c r="U69" i="1"/>
  <c r="T69" i="1"/>
  <c r="V69" i="1" s="1"/>
  <c r="Q69" i="1"/>
  <c r="P69" i="1"/>
  <c r="R69" i="1" s="1"/>
  <c r="M69" i="1"/>
  <c r="L69" i="1"/>
  <c r="N69" i="1" s="1"/>
  <c r="I69" i="1"/>
  <c r="H69" i="1"/>
  <c r="E69" i="1"/>
  <c r="D69" i="1"/>
  <c r="HE68" i="1"/>
  <c r="HD68" i="1"/>
  <c r="HB68" i="1"/>
  <c r="HA68" i="1"/>
  <c r="GZ68" i="1"/>
  <c r="GW68" i="1"/>
  <c r="GV68" i="1"/>
  <c r="GS68" i="1"/>
  <c r="GR68" i="1"/>
  <c r="GT68" i="1" s="1"/>
  <c r="GO68" i="1"/>
  <c r="GN68" i="1"/>
  <c r="GK68" i="1"/>
  <c r="GJ68" i="1"/>
  <c r="GL68" i="1" s="1"/>
  <c r="GG68" i="1"/>
  <c r="GF68" i="1"/>
  <c r="GC68" i="1"/>
  <c r="GB68" i="1"/>
  <c r="FY68" i="1"/>
  <c r="FX68" i="1"/>
  <c r="FU68" i="1"/>
  <c r="FT68" i="1"/>
  <c r="FV68" i="1" s="1"/>
  <c r="FQ68" i="1"/>
  <c r="FP68" i="1"/>
  <c r="FM68" i="1"/>
  <c r="FL68" i="1"/>
  <c r="FN68" i="1" s="1"/>
  <c r="FI68" i="1"/>
  <c r="IK68" i="1" s="1"/>
  <c r="FH68" i="1"/>
  <c r="FJ68" i="1" s="1"/>
  <c r="FE68" i="1"/>
  <c r="FD68" i="1"/>
  <c r="FA68" i="1"/>
  <c r="EZ68" i="1"/>
  <c r="EW68" i="1"/>
  <c r="IC68" i="1" s="1"/>
  <c r="EV68" i="1"/>
  <c r="ES68" i="1"/>
  <c r="ER68" i="1"/>
  <c r="EP68" i="1"/>
  <c r="EO68" i="1"/>
  <c r="EN68" i="1"/>
  <c r="EK68" i="1"/>
  <c r="EJ68" i="1"/>
  <c r="EG68" i="1"/>
  <c r="EF68" i="1"/>
  <c r="EH68" i="1" s="1"/>
  <c r="EC68" i="1"/>
  <c r="IG68" i="1" s="1"/>
  <c r="EB68" i="1"/>
  <c r="ED68" i="1" s="1"/>
  <c r="DY68" i="1"/>
  <c r="HY68" i="1" s="1"/>
  <c r="DX68" i="1"/>
  <c r="DZ68" i="1" s="1"/>
  <c r="DU68" i="1"/>
  <c r="DV68" i="1" s="1"/>
  <c r="DT68" i="1"/>
  <c r="DQ68" i="1"/>
  <c r="DP68" i="1"/>
  <c r="DM68" i="1"/>
  <c r="DL68" i="1"/>
  <c r="DI68" i="1"/>
  <c r="DH68" i="1"/>
  <c r="DJ68" i="1" s="1"/>
  <c r="DE68" i="1"/>
  <c r="DD68" i="1"/>
  <c r="DA68" i="1"/>
  <c r="CZ68" i="1"/>
  <c r="DB68" i="1" s="1"/>
  <c r="CW68" i="1"/>
  <c r="CV68" i="1"/>
  <c r="CX68" i="1" s="1"/>
  <c r="CS68" i="1"/>
  <c r="CT68" i="1" s="1"/>
  <c r="CR68" i="1"/>
  <c r="CO68" i="1"/>
  <c r="CP68" i="1" s="1"/>
  <c r="CN68" i="1"/>
  <c r="CK68" i="1"/>
  <c r="CJ68" i="1"/>
  <c r="CG68" i="1"/>
  <c r="CH68" i="1" s="1"/>
  <c r="CC68" i="1"/>
  <c r="CB68" i="1"/>
  <c r="BY68" i="1"/>
  <c r="BX68" i="1"/>
  <c r="BZ68" i="1" s="1"/>
  <c r="BU68" i="1"/>
  <c r="BT68" i="1"/>
  <c r="BV68" i="1" s="1"/>
  <c r="BQ68" i="1"/>
  <c r="BP68" i="1"/>
  <c r="BR68" i="1" s="1"/>
  <c r="BM68" i="1"/>
  <c r="BN68" i="1" s="1"/>
  <c r="BL68" i="1"/>
  <c r="BI68" i="1"/>
  <c r="BH68" i="1"/>
  <c r="BE68" i="1"/>
  <c r="BD68" i="1"/>
  <c r="BA68" i="1"/>
  <c r="AZ68" i="1"/>
  <c r="BB68" i="1" s="1"/>
  <c r="AW68" i="1"/>
  <c r="AV68" i="1"/>
  <c r="AS68" i="1"/>
  <c r="AR68" i="1"/>
  <c r="AT68" i="1" s="1"/>
  <c r="AO68" i="1"/>
  <c r="AN68" i="1"/>
  <c r="AP68" i="1" s="1"/>
  <c r="AK68" i="1"/>
  <c r="AJ68" i="1"/>
  <c r="AL68" i="1" s="1"/>
  <c r="AG68" i="1"/>
  <c r="AF68" i="1"/>
  <c r="AC68" i="1"/>
  <c r="AB68" i="1"/>
  <c r="Y68" i="1"/>
  <c r="X68" i="1"/>
  <c r="V68" i="1"/>
  <c r="U68" i="1"/>
  <c r="T68" i="1"/>
  <c r="Q68" i="1"/>
  <c r="P68" i="1"/>
  <c r="M68" i="1"/>
  <c r="L68" i="1"/>
  <c r="N68" i="1" s="1"/>
  <c r="I68" i="1"/>
  <c r="H68" i="1"/>
  <c r="J68" i="1" s="1"/>
  <c r="E68" i="1"/>
  <c r="D68" i="1"/>
  <c r="HE67" i="1"/>
  <c r="HD67" i="1"/>
  <c r="HA67" i="1"/>
  <c r="GZ67" i="1"/>
  <c r="GW67" i="1"/>
  <c r="GV67" i="1"/>
  <c r="GT67" i="1"/>
  <c r="GS67" i="1"/>
  <c r="GR67" i="1"/>
  <c r="GO67" i="1"/>
  <c r="GN67" i="1"/>
  <c r="GK67" i="1"/>
  <c r="GJ67" i="1"/>
  <c r="GL67" i="1" s="1"/>
  <c r="GG67" i="1"/>
  <c r="GF67" i="1"/>
  <c r="GH67" i="1" s="1"/>
  <c r="GC67" i="1"/>
  <c r="GD67" i="1" s="1"/>
  <c r="GB67" i="1"/>
  <c r="FY67" i="1"/>
  <c r="FX67" i="1"/>
  <c r="FU67" i="1"/>
  <c r="FT67" i="1"/>
  <c r="FQ67" i="1"/>
  <c r="FP67" i="1"/>
  <c r="FM67" i="1"/>
  <c r="FL67" i="1"/>
  <c r="FN67" i="1" s="1"/>
  <c r="FI67" i="1"/>
  <c r="FH67" i="1"/>
  <c r="FE67" i="1"/>
  <c r="FD67" i="1"/>
  <c r="FF67" i="1" s="1"/>
  <c r="FA67" i="1"/>
  <c r="EZ67" i="1"/>
  <c r="FB67" i="1" s="1"/>
  <c r="EW67" i="1"/>
  <c r="EV67" i="1"/>
  <c r="IB67" i="1" s="1"/>
  <c r="ES67" i="1"/>
  <c r="ET67" i="1" s="1"/>
  <c r="ER67" i="1"/>
  <c r="EO67" i="1"/>
  <c r="EN67" i="1"/>
  <c r="EK67" i="1"/>
  <c r="EJ67" i="1"/>
  <c r="EG67" i="1"/>
  <c r="EF67" i="1"/>
  <c r="EH67" i="1" s="1"/>
  <c r="EC67" i="1"/>
  <c r="EB67" i="1"/>
  <c r="IF67" i="1" s="1"/>
  <c r="DY67" i="1"/>
  <c r="DX67" i="1"/>
  <c r="DU67" i="1"/>
  <c r="DT67" i="1"/>
  <c r="DV67" i="1" s="1"/>
  <c r="DQ67" i="1"/>
  <c r="DR67" i="1" s="1"/>
  <c r="DP67" i="1"/>
  <c r="DM67" i="1"/>
  <c r="DN67" i="1" s="1"/>
  <c r="DL67" i="1"/>
  <c r="DI67" i="1"/>
  <c r="DH67" i="1"/>
  <c r="DE67" i="1"/>
  <c r="DD67" i="1"/>
  <c r="DB67" i="1"/>
  <c r="DA67" i="1"/>
  <c r="CZ67" i="1"/>
  <c r="CW67" i="1"/>
  <c r="CV67" i="1"/>
  <c r="CS67" i="1"/>
  <c r="CR67" i="1"/>
  <c r="CT67" i="1" s="1"/>
  <c r="CO67" i="1"/>
  <c r="CN67" i="1"/>
  <c r="CP67" i="1" s="1"/>
  <c r="CK67" i="1"/>
  <c r="CJ67" i="1"/>
  <c r="CG67" i="1"/>
  <c r="CC67" i="1"/>
  <c r="CB67" i="1"/>
  <c r="CD67" i="1" s="1"/>
  <c r="BY67" i="1"/>
  <c r="BZ67" i="1" s="1"/>
  <c r="BX67" i="1"/>
  <c r="BU67" i="1"/>
  <c r="BT67" i="1"/>
  <c r="BQ67" i="1"/>
  <c r="BP67" i="1"/>
  <c r="BM67" i="1"/>
  <c r="BL67" i="1"/>
  <c r="BI67" i="1"/>
  <c r="BH67" i="1"/>
  <c r="BJ67" i="1" s="1"/>
  <c r="BE67" i="1"/>
  <c r="BD67" i="1"/>
  <c r="BF67" i="1" s="1"/>
  <c r="BA67" i="1"/>
  <c r="AZ67" i="1"/>
  <c r="BB67" i="1" s="1"/>
  <c r="AW67" i="1"/>
  <c r="AV67" i="1"/>
  <c r="AX67" i="1" s="1"/>
  <c r="AS67" i="1"/>
  <c r="AR67" i="1"/>
  <c r="AT67" i="1" s="1"/>
  <c r="AO67" i="1"/>
  <c r="AN67" i="1"/>
  <c r="AK67" i="1"/>
  <c r="AJ67" i="1"/>
  <c r="AG67" i="1"/>
  <c r="AF67" i="1"/>
  <c r="AC67" i="1"/>
  <c r="AB67" i="1"/>
  <c r="AD67" i="1" s="1"/>
  <c r="Y67" i="1"/>
  <c r="X67" i="1"/>
  <c r="U67" i="1"/>
  <c r="T67" i="1"/>
  <c r="V67" i="1" s="1"/>
  <c r="Q67" i="1"/>
  <c r="P67" i="1"/>
  <c r="R67" i="1" s="1"/>
  <c r="M67" i="1"/>
  <c r="L67" i="1"/>
  <c r="I67" i="1"/>
  <c r="H67" i="1"/>
  <c r="E67" i="1"/>
  <c r="D67" i="1"/>
  <c r="HE66" i="1"/>
  <c r="HD66" i="1"/>
  <c r="HB66" i="1"/>
  <c r="HA66" i="1"/>
  <c r="GZ66" i="1"/>
  <c r="GW66" i="1"/>
  <c r="GV66" i="1"/>
  <c r="GS66" i="1"/>
  <c r="GR66" i="1"/>
  <c r="GT66" i="1" s="1"/>
  <c r="GO66" i="1"/>
  <c r="GN66" i="1"/>
  <c r="GP66" i="1" s="1"/>
  <c r="GK66" i="1"/>
  <c r="GJ66" i="1"/>
  <c r="GG66" i="1"/>
  <c r="GF66" i="1"/>
  <c r="GC66" i="1"/>
  <c r="GB66" i="1"/>
  <c r="FY66" i="1"/>
  <c r="FX66" i="1"/>
  <c r="FU66" i="1"/>
  <c r="FT66" i="1"/>
  <c r="FV66" i="1" s="1"/>
  <c r="FQ66" i="1"/>
  <c r="FP66" i="1"/>
  <c r="FM66" i="1"/>
  <c r="FL66" i="1"/>
  <c r="FN66" i="1" s="1"/>
  <c r="FI66" i="1"/>
  <c r="IK66" i="1" s="1"/>
  <c r="FH66" i="1"/>
  <c r="FJ66" i="1" s="1"/>
  <c r="FE66" i="1"/>
  <c r="FD66" i="1"/>
  <c r="FF66" i="1" s="1"/>
  <c r="FA66" i="1"/>
  <c r="EZ66" i="1"/>
  <c r="EW66" i="1"/>
  <c r="IC66" i="1" s="1"/>
  <c r="EV66" i="1"/>
  <c r="ES66" i="1"/>
  <c r="ER66" i="1"/>
  <c r="EO66" i="1"/>
  <c r="EN66" i="1"/>
  <c r="EP66" i="1" s="1"/>
  <c r="EK66" i="1"/>
  <c r="EJ66" i="1"/>
  <c r="EG66" i="1"/>
  <c r="EF66" i="1"/>
  <c r="EH66" i="1" s="1"/>
  <c r="EC66" i="1"/>
  <c r="IG66" i="1" s="1"/>
  <c r="EB66" i="1"/>
  <c r="ED66" i="1" s="1"/>
  <c r="DY66" i="1"/>
  <c r="HY66" i="1" s="1"/>
  <c r="DX66" i="1"/>
  <c r="DU66" i="1"/>
  <c r="DT66" i="1"/>
  <c r="DQ66" i="1"/>
  <c r="DP66" i="1"/>
  <c r="DM66" i="1"/>
  <c r="DL66" i="1"/>
  <c r="DJ66" i="1"/>
  <c r="DI66" i="1"/>
  <c r="DH66" i="1"/>
  <c r="DE66" i="1"/>
  <c r="DD66" i="1"/>
  <c r="HT66" i="1" s="1"/>
  <c r="DA66" i="1"/>
  <c r="CZ66" i="1"/>
  <c r="DB66" i="1" s="1"/>
  <c r="CW66" i="1"/>
  <c r="CV66" i="1"/>
  <c r="CX66" i="1" s="1"/>
  <c r="CS66" i="1"/>
  <c r="CR66" i="1"/>
  <c r="CO66" i="1"/>
  <c r="CN66" i="1"/>
  <c r="CK66" i="1"/>
  <c r="CJ66" i="1"/>
  <c r="CG66" i="1"/>
  <c r="CH66" i="1" s="1"/>
  <c r="CC66" i="1"/>
  <c r="CB66" i="1"/>
  <c r="BY66" i="1"/>
  <c r="BX66" i="1"/>
  <c r="BZ66" i="1" s="1"/>
  <c r="BU66" i="1"/>
  <c r="BT66" i="1"/>
  <c r="BV66" i="1" s="1"/>
  <c r="BQ66" i="1"/>
  <c r="BR66" i="1" s="1"/>
  <c r="BP66" i="1"/>
  <c r="BM66" i="1"/>
  <c r="BL66" i="1"/>
  <c r="BI66" i="1"/>
  <c r="BH66" i="1"/>
  <c r="BE66" i="1"/>
  <c r="BD66" i="1"/>
  <c r="BA66" i="1"/>
  <c r="AZ66" i="1"/>
  <c r="BB66" i="1" s="1"/>
  <c r="AW66" i="1"/>
  <c r="AV66" i="1"/>
  <c r="AS66" i="1"/>
  <c r="AR66" i="1"/>
  <c r="AT66" i="1" s="1"/>
  <c r="AO66" i="1"/>
  <c r="AN66" i="1"/>
  <c r="AP66" i="1" s="1"/>
  <c r="AK66" i="1"/>
  <c r="AJ66" i="1"/>
  <c r="AL66" i="1" s="1"/>
  <c r="AG66" i="1"/>
  <c r="AF66" i="1"/>
  <c r="AC66" i="1"/>
  <c r="AB66" i="1"/>
  <c r="Y66" i="1"/>
  <c r="X66" i="1"/>
  <c r="U66" i="1"/>
  <c r="T66" i="1"/>
  <c r="V66" i="1" s="1"/>
  <c r="Q66" i="1"/>
  <c r="P66" i="1"/>
  <c r="M66" i="1"/>
  <c r="L66" i="1"/>
  <c r="N66" i="1" s="1"/>
  <c r="I66" i="1"/>
  <c r="H66" i="1"/>
  <c r="J66" i="1" s="1"/>
  <c r="E66" i="1"/>
  <c r="D66" i="1"/>
  <c r="HE65" i="1"/>
  <c r="HD65" i="1"/>
  <c r="HA65" i="1"/>
  <c r="GZ65" i="1"/>
  <c r="GW65" i="1"/>
  <c r="GV65" i="1"/>
  <c r="GT65" i="1"/>
  <c r="GS65" i="1"/>
  <c r="GR65" i="1"/>
  <c r="GO65" i="1"/>
  <c r="GN65" i="1"/>
  <c r="GP65" i="1" s="1"/>
  <c r="GK65" i="1"/>
  <c r="GJ65" i="1"/>
  <c r="GL65" i="1" s="1"/>
  <c r="GG65" i="1"/>
  <c r="GF65" i="1"/>
  <c r="GH65" i="1" s="1"/>
  <c r="GC65" i="1"/>
  <c r="GB65" i="1"/>
  <c r="GD65" i="1" s="1"/>
  <c r="FY65" i="1"/>
  <c r="FX65" i="1"/>
  <c r="FU65" i="1"/>
  <c r="FT65" i="1"/>
  <c r="FQ65" i="1"/>
  <c r="FP65" i="1"/>
  <c r="FM65" i="1"/>
  <c r="FL65" i="1"/>
  <c r="FN65" i="1" s="1"/>
  <c r="FI65" i="1"/>
  <c r="FH65" i="1"/>
  <c r="FE65" i="1"/>
  <c r="FD65" i="1"/>
  <c r="FF65" i="1" s="1"/>
  <c r="FA65" i="1"/>
  <c r="EZ65" i="1"/>
  <c r="FB65" i="1" s="1"/>
  <c r="EW65" i="1"/>
  <c r="EV65" i="1"/>
  <c r="IB65" i="1" s="1"/>
  <c r="ES65" i="1"/>
  <c r="ER65" i="1"/>
  <c r="EO65" i="1"/>
  <c r="EN65" i="1"/>
  <c r="EK65" i="1"/>
  <c r="EJ65" i="1"/>
  <c r="EG65" i="1"/>
  <c r="EF65" i="1"/>
  <c r="EH65" i="1" s="1"/>
  <c r="EC65" i="1"/>
  <c r="IG65" i="1" s="1"/>
  <c r="EB65" i="1"/>
  <c r="ED65" i="1" s="1"/>
  <c r="DY65" i="1"/>
  <c r="DX65" i="1"/>
  <c r="DU65" i="1"/>
  <c r="DT65" i="1"/>
  <c r="DV65" i="1" s="1"/>
  <c r="DQ65" i="1"/>
  <c r="DR65" i="1" s="1"/>
  <c r="DP65" i="1"/>
  <c r="DM65" i="1"/>
  <c r="DL65" i="1"/>
  <c r="DI65" i="1"/>
  <c r="DH65" i="1"/>
  <c r="DE65" i="1"/>
  <c r="DD65" i="1"/>
  <c r="DB65" i="1"/>
  <c r="DA65" i="1"/>
  <c r="CZ65" i="1"/>
  <c r="CW65" i="1"/>
  <c r="CV65" i="1"/>
  <c r="CS65" i="1"/>
  <c r="CR65" i="1"/>
  <c r="CT65" i="1" s="1"/>
  <c r="CO65" i="1"/>
  <c r="CN65" i="1"/>
  <c r="CP65" i="1" s="1"/>
  <c r="CK65" i="1"/>
  <c r="CL65" i="1" s="1"/>
  <c r="CJ65" i="1"/>
  <c r="CG65" i="1"/>
  <c r="CH65" i="1" s="1"/>
  <c r="CC65" i="1"/>
  <c r="CB65" i="1"/>
  <c r="CD65" i="1" s="1"/>
  <c r="BY65" i="1"/>
  <c r="BX65" i="1"/>
  <c r="BU65" i="1"/>
  <c r="BT65" i="1"/>
  <c r="BQ65" i="1"/>
  <c r="BP65" i="1"/>
  <c r="BM65" i="1"/>
  <c r="BL65" i="1"/>
  <c r="BI65" i="1"/>
  <c r="BH65" i="1"/>
  <c r="BJ65" i="1" s="1"/>
  <c r="BE65" i="1"/>
  <c r="BD65" i="1"/>
  <c r="BA65" i="1"/>
  <c r="AZ65" i="1"/>
  <c r="AW65" i="1"/>
  <c r="AV65" i="1"/>
  <c r="AX65" i="1" s="1"/>
  <c r="AS65" i="1"/>
  <c r="AT65" i="1" s="1"/>
  <c r="AR65" i="1"/>
  <c r="AO65" i="1"/>
  <c r="AN65" i="1"/>
  <c r="AK65" i="1"/>
  <c r="AJ65" i="1"/>
  <c r="AG65" i="1"/>
  <c r="AF65" i="1"/>
  <c r="AC65" i="1"/>
  <c r="AB65" i="1"/>
  <c r="AD65" i="1" s="1"/>
  <c r="Y65" i="1"/>
  <c r="X65" i="1"/>
  <c r="U65" i="1"/>
  <c r="T65" i="1"/>
  <c r="V65" i="1" s="1"/>
  <c r="Q65" i="1"/>
  <c r="P65" i="1"/>
  <c r="R65" i="1" s="1"/>
  <c r="M65" i="1"/>
  <c r="L65" i="1"/>
  <c r="I65" i="1"/>
  <c r="H65" i="1"/>
  <c r="E65" i="1"/>
  <c r="D65" i="1"/>
  <c r="HE64" i="1"/>
  <c r="HD64" i="1"/>
  <c r="HF64" i="1" s="1"/>
  <c r="HA64" i="1"/>
  <c r="IC64" i="1" s="1"/>
  <c r="GZ64" i="1"/>
  <c r="HB64" i="1" s="1"/>
  <c r="GW64" i="1"/>
  <c r="GX64" i="1" s="1"/>
  <c r="GV64" i="1"/>
  <c r="GS64" i="1"/>
  <c r="GR64" i="1"/>
  <c r="GO64" i="1"/>
  <c r="GN64" i="1"/>
  <c r="GK64" i="1"/>
  <c r="GJ64" i="1"/>
  <c r="GL64" i="1" s="1"/>
  <c r="GG64" i="1"/>
  <c r="GF64" i="1"/>
  <c r="GC64" i="1"/>
  <c r="GB64" i="1"/>
  <c r="GD64" i="1" s="1"/>
  <c r="FY64" i="1"/>
  <c r="FX64" i="1"/>
  <c r="FZ64" i="1" s="1"/>
  <c r="FU64" i="1"/>
  <c r="FT64" i="1"/>
  <c r="FV64" i="1" s="1"/>
  <c r="FQ64" i="1"/>
  <c r="FP64" i="1"/>
  <c r="FM64" i="1"/>
  <c r="FL64" i="1"/>
  <c r="FI64" i="1"/>
  <c r="FH64" i="1"/>
  <c r="FE64" i="1"/>
  <c r="FD64" i="1"/>
  <c r="FF64" i="1" s="1"/>
  <c r="FA64" i="1"/>
  <c r="EZ64" i="1"/>
  <c r="FB64" i="1" s="1"/>
  <c r="EW64" i="1"/>
  <c r="EV64" i="1"/>
  <c r="ES64" i="1"/>
  <c r="ER64" i="1"/>
  <c r="ET64" i="1" s="1"/>
  <c r="EO64" i="1"/>
  <c r="EN64" i="1"/>
  <c r="EK64" i="1"/>
  <c r="EJ64" i="1"/>
  <c r="EG64" i="1"/>
  <c r="EF64" i="1"/>
  <c r="EC64" i="1"/>
  <c r="IG64" i="1" s="1"/>
  <c r="EB64" i="1"/>
  <c r="IF64" i="1" s="1"/>
  <c r="IH64" i="1" s="1"/>
  <c r="DZ64" i="1"/>
  <c r="DY64" i="1"/>
  <c r="DX64" i="1"/>
  <c r="DU64" i="1"/>
  <c r="DT64" i="1"/>
  <c r="DQ64" i="1"/>
  <c r="DP64" i="1"/>
  <c r="DR64" i="1" s="1"/>
  <c r="DM64" i="1"/>
  <c r="DL64" i="1"/>
  <c r="DN64" i="1" s="1"/>
  <c r="DI64" i="1"/>
  <c r="DH64" i="1"/>
  <c r="DE64" i="1"/>
  <c r="DD64" i="1"/>
  <c r="DA64" i="1"/>
  <c r="CZ64" i="1"/>
  <c r="CW64" i="1"/>
  <c r="CV64" i="1"/>
  <c r="CT64" i="1"/>
  <c r="CS64" i="1"/>
  <c r="CR64" i="1"/>
  <c r="CO64" i="1"/>
  <c r="CN64" i="1"/>
  <c r="CP64" i="1" s="1"/>
  <c r="CK64" i="1"/>
  <c r="CJ64" i="1"/>
  <c r="CL64" i="1" s="1"/>
  <c r="CG64" i="1"/>
  <c r="CH64" i="1" s="1"/>
  <c r="CC64" i="1"/>
  <c r="CB64" i="1"/>
  <c r="BY64" i="1"/>
  <c r="BX64" i="1"/>
  <c r="BU64" i="1"/>
  <c r="BT64" i="1"/>
  <c r="BQ64" i="1"/>
  <c r="BP64" i="1"/>
  <c r="BR64" i="1" s="1"/>
  <c r="BM64" i="1"/>
  <c r="BL64" i="1"/>
  <c r="BI64" i="1"/>
  <c r="BH64" i="1"/>
  <c r="BJ64" i="1" s="1"/>
  <c r="BE64" i="1"/>
  <c r="BD64" i="1"/>
  <c r="BF64" i="1" s="1"/>
  <c r="BA64" i="1"/>
  <c r="AZ64" i="1"/>
  <c r="AW64" i="1"/>
  <c r="AV64" i="1"/>
  <c r="AS64" i="1"/>
  <c r="AR64" i="1"/>
  <c r="AO64" i="1"/>
  <c r="AN64" i="1"/>
  <c r="AL64" i="1"/>
  <c r="AK64" i="1"/>
  <c r="AJ64" i="1"/>
  <c r="AG64" i="1"/>
  <c r="AF64" i="1"/>
  <c r="AH64" i="1" s="1"/>
  <c r="AC64" i="1"/>
  <c r="AB64" i="1"/>
  <c r="AD64" i="1" s="1"/>
  <c r="Y64" i="1"/>
  <c r="X64" i="1"/>
  <c r="Z64" i="1" s="1"/>
  <c r="U64" i="1"/>
  <c r="T64" i="1"/>
  <c r="Q64" i="1"/>
  <c r="P64" i="1"/>
  <c r="M64" i="1"/>
  <c r="L64" i="1"/>
  <c r="I64" i="1"/>
  <c r="H64" i="1"/>
  <c r="F64" i="1"/>
  <c r="E64" i="1"/>
  <c r="D64" i="1"/>
  <c r="IC63" i="1"/>
  <c r="HE63" i="1"/>
  <c r="HD63" i="1"/>
  <c r="HA63" i="1"/>
  <c r="GZ63" i="1"/>
  <c r="HB63" i="1" s="1"/>
  <c r="GW63" i="1"/>
  <c r="GV63" i="1"/>
  <c r="GS63" i="1"/>
  <c r="GR63" i="1"/>
  <c r="GT63" i="1" s="1"/>
  <c r="GO63" i="1"/>
  <c r="IK63" i="1" s="1"/>
  <c r="GN63" i="1"/>
  <c r="GK63" i="1"/>
  <c r="GJ63" i="1"/>
  <c r="GG63" i="1"/>
  <c r="GH63" i="1" s="1"/>
  <c r="GF63" i="1"/>
  <c r="GC63" i="1"/>
  <c r="GB63" i="1"/>
  <c r="GD63" i="1" s="1"/>
  <c r="FY63" i="1"/>
  <c r="FX63" i="1"/>
  <c r="FU63" i="1"/>
  <c r="FT63" i="1"/>
  <c r="FV63" i="1" s="1"/>
  <c r="FQ63" i="1"/>
  <c r="FP63" i="1"/>
  <c r="FM63" i="1"/>
  <c r="FL63" i="1"/>
  <c r="FI63" i="1"/>
  <c r="FH63" i="1"/>
  <c r="FE63" i="1"/>
  <c r="FD63" i="1"/>
  <c r="FA63" i="1"/>
  <c r="FB63" i="1" s="1"/>
  <c r="EZ63" i="1"/>
  <c r="EX63" i="1"/>
  <c r="EW63" i="1"/>
  <c r="EV63" i="1"/>
  <c r="ES63" i="1"/>
  <c r="ER63" i="1"/>
  <c r="EO63" i="1"/>
  <c r="EN63" i="1"/>
  <c r="EP63" i="1" s="1"/>
  <c r="EK63" i="1"/>
  <c r="EJ63" i="1"/>
  <c r="EG63" i="1"/>
  <c r="EF63" i="1"/>
  <c r="EC63" i="1"/>
  <c r="IG63" i="1" s="1"/>
  <c r="EB63" i="1"/>
  <c r="IF63" i="1" s="1"/>
  <c r="DY63" i="1"/>
  <c r="DX63" i="1"/>
  <c r="DU63" i="1"/>
  <c r="DT63" i="1"/>
  <c r="DR63" i="1"/>
  <c r="DQ63" i="1"/>
  <c r="DP63" i="1"/>
  <c r="DM63" i="1"/>
  <c r="DL63" i="1"/>
  <c r="DI63" i="1"/>
  <c r="DH63" i="1"/>
  <c r="DJ63" i="1" s="1"/>
  <c r="DE63" i="1"/>
  <c r="DD63" i="1"/>
  <c r="HT63" i="1" s="1"/>
  <c r="DA63" i="1"/>
  <c r="CZ63" i="1"/>
  <c r="DB63" i="1" s="1"/>
  <c r="CW63" i="1"/>
  <c r="CV63" i="1"/>
  <c r="CS63" i="1"/>
  <c r="CR63" i="1"/>
  <c r="CO63" i="1"/>
  <c r="CN63" i="1"/>
  <c r="CK63" i="1"/>
  <c r="CJ63" i="1"/>
  <c r="CL63" i="1" s="1"/>
  <c r="CG63" i="1"/>
  <c r="CC63" i="1"/>
  <c r="CB63" i="1"/>
  <c r="BZ63" i="1"/>
  <c r="BY63" i="1"/>
  <c r="BX63" i="1"/>
  <c r="BU63" i="1"/>
  <c r="BT63" i="1"/>
  <c r="BQ63" i="1"/>
  <c r="BP63" i="1"/>
  <c r="BR63" i="1" s="1"/>
  <c r="BM63" i="1"/>
  <c r="BL63" i="1"/>
  <c r="BN63" i="1" s="1"/>
  <c r="BI63" i="1"/>
  <c r="BH63" i="1"/>
  <c r="BE63" i="1"/>
  <c r="BD63" i="1"/>
  <c r="BA63" i="1"/>
  <c r="AZ63" i="1"/>
  <c r="AW63" i="1"/>
  <c r="AV63" i="1"/>
  <c r="AT63" i="1"/>
  <c r="AS63" i="1"/>
  <c r="AR63" i="1"/>
  <c r="AO63" i="1"/>
  <c r="AN63" i="1"/>
  <c r="AK63" i="1"/>
  <c r="AJ63" i="1"/>
  <c r="AL63" i="1" s="1"/>
  <c r="AG63" i="1"/>
  <c r="AF63" i="1"/>
  <c r="AH63" i="1" s="1"/>
  <c r="AC63" i="1"/>
  <c r="AB63" i="1"/>
  <c r="AD63" i="1" s="1"/>
  <c r="Y63" i="1"/>
  <c r="X63" i="1"/>
  <c r="U63" i="1"/>
  <c r="T63" i="1"/>
  <c r="Q63" i="1"/>
  <c r="P63" i="1"/>
  <c r="M63" i="1"/>
  <c r="L63" i="1"/>
  <c r="N63" i="1" s="1"/>
  <c r="I63" i="1"/>
  <c r="H63" i="1"/>
  <c r="E63" i="1"/>
  <c r="D63" i="1"/>
  <c r="HE62" i="1"/>
  <c r="HD62" i="1"/>
  <c r="HF62" i="1" s="1"/>
  <c r="HA62" i="1"/>
  <c r="IC62" i="1" s="1"/>
  <c r="GZ62" i="1"/>
  <c r="GW62" i="1"/>
  <c r="GV62" i="1"/>
  <c r="GS62" i="1"/>
  <c r="GR62" i="1"/>
  <c r="GO62" i="1"/>
  <c r="GN62" i="1"/>
  <c r="GL62" i="1"/>
  <c r="GK62" i="1"/>
  <c r="GJ62" i="1"/>
  <c r="GG62" i="1"/>
  <c r="GF62" i="1"/>
  <c r="GH62" i="1" s="1"/>
  <c r="GC62" i="1"/>
  <c r="GB62" i="1"/>
  <c r="GD62" i="1" s="1"/>
  <c r="FY62" i="1"/>
  <c r="FX62" i="1"/>
  <c r="FU62" i="1"/>
  <c r="FT62" i="1"/>
  <c r="FQ62" i="1"/>
  <c r="FP62" i="1"/>
  <c r="FM62" i="1"/>
  <c r="FL62" i="1"/>
  <c r="FI62" i="1"/>
  <c r="FJ62" i="1" s="1"/>
  <c r="FH62" i="1"/>
  <c r="IJ62" i="1" s="1"/>
  <c r="FF62" i="1"/>
  <c r="FE62" i="1"/>
  <c r="FD62" i="1"/>
  <c r="FA62" i="1"/>
  <c r="EZ62" i="1"/>
  <c r="EW62" i="1"/>
  <c r="EV62" i="1"/>
  <c r="ES62" i="1"/>
  <c r="ER62" i="1"/>
  <c r="ET62" i="1" s="1"/>
  <c r="EO62" i="1"/>
  <c r="EN62" i="1"/>
  <c r="EP62" i="1" s="1"/>
  <c r="EK62" i="1"/>
  <c r="EJ62" i="1"/>
  <c r="EG62" i="1"/>
  <c r="EF62" i="1"/>
  <c r="EC62" i="1"/>
  <c r="IG62" i="1" s="1"/>
  <c r="IH62" i="1" s="1"/>
  <c r="EB62" i="1"/>
  <c r="IF62" i="1" s="1"/>
  <c r="DY62" i="1"/>
  <c r="DX62" i="1"/>
  <c r="DZ62" i="1" s="1"/>
  <c r="DU62" i="1"/>
  <c r="DT62" i="1"/>
  <c r="DV62" i="1" s="1"/>
  <c r="DQ62" i="1"/>
  <c r="DP62" i="1"/>
  <c r="DR62" i="1" s="1"/>
  <c r="DM62" i="1"/>
  <c r="DL62" i="1"/>
  <c r="DI62" i="1"/>
  <c r="DH62" i="1"/>
  <c r="DJ62" i="1" s="1"/>
  <c r="DE62" i="1"/>
  <c r="DD62" i="1"/>
  <c r="DA62" i="1"/>
  <c r="CZ62" i="1"/>
  <c r="CW62" i="1"/>
  <c r="CV62" i="1"/>
  <c r="CS62" i="1"/>
  <c r="CR62" i="1"/>
  <c r="CT62" i="1" s="1"/>
  <c r="CO62" i="1"/>
  <c r="CN62" i="1"/>
  <c r="CK62" i="1"/>
  <c r="CJ62" i="1"/>
  <c r="CL62" i="1" s="1"/>
  <c r="CG62" i="1"/>
  <c r="CH62" i="1" s="1"/>
  <c r="CC62" i="1"/>
  <c r="CB62" i="1"/>
  <c r="BY62" i="1"/>
  <c r="BX62" i="1"/>
  <c r="BU62" i="1"/>
  <c r="BT62" i="1"/>
  <c r="BR62" i="1"/>
  <c r="BQ62" i="1"/>
  <c r="BP62" i="1"/>
  <c r="BM62" i="1"/>
  <c r="BL62" i="1"/>
  <c r="BN62" i="1" s="1"/>
  <c r="BI62" i="1"/>
  <c r="BH62" i="1"/>
  <c r="BJ62" i="1" s="1"/>
  <c r="BE62" i="1"/>
  <c r="BD62" i="1"/>
  <c r="BF62" i="1" s="1"/>
  <c r="BA62" i="1"/>
  <c r="AZ62" i="1"/>
  <c r="BB62" i="1" s="1"/>
  <c r="AW62" i="1"/>
  <c r="AV62" i="1"/>
  <c r="AS62" i="1"/>
  <c r="AR62" i="1"/>
  <c r="AO62" i="1"/>
  <c r="AN62" i="1"/>
  <c r="AK62" i="1"/>
  <c r="AJ62" i="1"/>
  <c r="AL62" i="1" s="1"/>
  <c r="AG62" i="1"/>
  <c r="AF62" i="1"/>
  <c r="AC62" i="1"/>
  <c r="AB62" i="1"/>
  <c r="AD62" i="1" s="1"/>
  <c r="Y62" i="1"/>
  <c r="X62" i="1"/>
  <c r="Z62" i="1" s="1"/>
  <c r="U62" i="1"/>
  <c r="T62" i="1"/>
  <c r="V62" i="1" s="1"/>
  <c r="Q62" i="1"/>
  <c r="P62" i="1"/>
  <c r="M62" i="1"/>
  <c r="L62" i="1"/>
  <c r="I62" i="1"/>
  <c r="H62" i="1"/>
  <c r="E62" i="1"/>
  <c r="D62" i="1"/>
  <c r="F62" i="1" s="1"/>
  <c r="HE61" i="1"/>
  <c r="HD61" i="1"/>
  <c r="HF61" i="1" s="1"/>
  <c r="HA61" i="1"/>
  <c r="IC61" i="1" s="1"/>
  <c r="GZ61" i="1"/>
  <c r="GW61" i="1"/>
  <c r="GV61" i="1"/>
  <c r="GS61" i="1"/>
  <c r="GR61" i="1"/>
  <c r="GO61" i="1"/>
  <c r="GN61" i="1"/>
  <c r="GK61" i="1"/>
  <c r="GJ61" i="1"/>
  <c r="GG61" i="1"/>
  <c r="GF61" i="1"/>
  <c r="GD61" i="1"/>
  <c r="GC61" i="1"/>
  <c r="GB61" i="1"/>
  <c r="FY61" i="1"/>
  <c r="FX61" i="1"/>
  <c r="FZ61" i="1" s="1"/>
  <c r="FU61" i="1"/>
  <c r="FT61" i="1"/>
  <c r="FV61" i="1" s="1"/>
  <c r="FQ61" i="1"/>
  <c r="FP61" i="1"/>
  <c r="FM61" i="1"/>
  <c r="FL61" i="1"/>
  <c r="FI61" i="1"/>
  <c r="IK61" i="1" s="1"/>
  <c r="FH61" i="1"/>
  <c r="IJ61" i="1" s="1"/>
  <c r="FE61" i="1"/>
  <c r="FD61" i="1"/>
  <c r="FA61" i="1"/>
  <c r="EZ61" i="1"/>
  <c r="EW61" i="1"/>
  <c r="EV61" i="1"/>
  <c r="ES61" i="1"/>
  <c r="ER61" i="1"/>
  <c r="ET61" i="1" s="1"/>
  <c r="EO61" i="1"/>
  <c r="EN61" i="1"/>
  <c r="EP61" i="1" s="1"/>
  <c r="EK61" i="1"/>
  <c r="EJ61" i="1"/>
  <c r="EG61" i="1"/>
  <c r="EF61" i="1"/>
  <c r="EC61" i="1"/>
  <c r="IG61" i="1" s="1"/>
  <c r="EB61" i="1"/>
  <c r="DY61" i="1"/>
  <c r="DX61" i="1"/>
  <c r="DU61" i="1"/>
  <c r="DT61" i="1"/>
  <c r="DQ61" i="1"/>
  <c r="DP61" i="1"/>
  <c r="DR61" i="1" s="1"/>
  <c r="DM61" i="1"/>
  <c r="DL61" i="1"/>
  <c r="DN61" i="1" s="1"/>
  <c r="DI61" i="1"/>
  <c r="DH61" i="1"/>
  <c r="DE61" i="1"/>
  <c r="DD61" i="1"/>
  <c r="DA61" i="1"/>
  <c r="CZ61" i="1"/>
  <c r="CW61" i="1"/>
  <c r="CV61" i="1"/>
  <c r="CS61" i="1"/>
  <c r="CR61" i="1"/>
  <c r="CO61" i="1"/>
  <c r="CN61" i="1"/>
  <c r="CL61" i="1"/>
  <c r="CK61" i="1"/>
  <c r="CJ61" i="1"/>
  <c r="CG61" i="1"/>
  <c r="CH61" i="1" s="1"/>
  <c r="CC61" i="1"/>
  <c r="CB61" i="1"/>
  <c r="BY61" i="1"/>
  <c r="BX61" i="1"/>
  <c r="BU61" i="1"/>
  <c r="BT61" i="1"/>
  <c r="BQ61" i="1"/>
  <c r="BP61" i="1"/>
  <c r="BM61" i="1"/>
  <c r="BL61" i="1"/>
  <c r="BI61" i="1"/>
  <c r="BH61" i="1"/>
  <c r="BJ61" i="1" s="1"/>
  <c r="BE61" i="1"/>
  <c r="BD61" i="1"/>
  <c r="BF61" i="1" s="1"/>
  <c r="BA61" i="1"/>
  <c r="BB61" i="1" s="1"/>
  <c r="AZ61" i="1"/>
  <c r="AW61" i="1"/>
  <c r="AX61" i="1" s="1"/>
  <c r="AV61" i="1"/>
  <c r="AS61" i="1"/>
  <c r="AR61" i="1"/>
  <c r="AO61" i="1"/>
  <c r="AN61" i="1"/>
  <c r="AK61" i="1"/>
  <c r="AJ61" i="1"/>
  <c r="AG61" i="1"/>
  <c r="AF61" i="1"/>
  <c r="AC61" i="1"/>
  <c r="AB61" i="1"/>
  <c r="AD61" i="1" s="1"/>
  <c r="Y61" i="1"/>
  <c r="X61" i="1"/>
  <c r="Z61" i="1" s="1"/>
  <c r="U61" i="1"/>
  <c r="V61" i="1" s="1"/>
  <c r="T61" i="1"/>
  <c r="Q61" i="1"/>
  <c r="P61" i="1"/>
  <c r="M61" i="1"/>
  <c r="L61" i="1"/>
  <c r="I61" i="1"/>
  <c r="H61" i="1"/>
  <c r="E61" i="1"/>
  <c r="D61" i="1"/>
  <c r="HE60" i="1"/>
  <c r="HD60" i="1"/>
  <c r="HA60" i="1"/>
  <c r="GZ60" i="1"/>
  <c r="HB60" i="1" s="1"/>
  <c r="GW60" i="1"/>
  <c r="GV60" i="1"/>
  <c r="GS60" i="1"/>
  <c r="GR60" i="1"/>
  <c r="GO60" i="1"/>
  <c r="GN60" i="1"/>
  <c r="GK60" i="1"/>
  <c r="GJ60" i="1"/>
  <c r="GG60" i="1"/>
  <c r="GF60" i="1"/>
  <c r="GC60" i="1"/>
  <c r="GB60" i="1"/>
  <c r="FY60" i="1"/>
  <c r="FX60" i="1"/>
  <c r="FV60" i="1"/>
  <c r="FU60" i="1"/>
  <c r="FT60" i="1"/>
  <c r="FQ60" i="1"/>
  <c r="FP60" i="1"/>
  <c r="FR60" i="1" s="1"/>
  <c r="FN60" i="1"/>
  <c r="FM60" i="1"/>
  <c r="FL60" i="1"/>
  <c r="FI60" i="1"/>
  <c r="IK60" i="1" s="1"/>
  <c r="FH60" i="1"/>
  <c r="FE60" i="1"/>
  <c r="FD60" i="1"/>
  <c r="FF60" i="1" s="1"/>
  <c r="FA60" i="1"/>
  <c r="EZ60" i="1"/>
  <c r="EW60" i="1"/>
  <c r="EV60" i="1"/>
  <c r="ES60" i="1"/>
  <c r="ER60" i="1"/>
  <c r="EO60" i="1"/>
  <c r="EN60" i="1"/>
  <c r="EP60" i="1" s="1"/>
  <c r="EK60" i="1"/>
  <c r="EJ60" i="1"/>
  <c r="EG60" i="1"/>
  <c r="EF60" i="1"/>
  <c r="EC60" i="1"/>
  <c r="IG60" i="1" s="1"/>
  <c r="EB60" i="1"/>
  <c r="IF60" i="1" s="1"/>
  <c r="IH60" i="1" s="1"/>
  <c r="DY60" i="1"/>
  <c r="DX60" i="1"/>
  <c r="DU60" i="1"/>
  <c r="DT60" i="1"/>
  <c r="DQ60" i="1"/>
  <c r="DP60" i="1"/>
  <c r="DM60" i="1"/>
  <c r="DL60" i="1"/>
  <c r="DJ60" i="1"/>
  <c r="DI60" i="1"/>
  <c r="DH60" i="1"/>
  <c r="DE60" i="1"/>
  <c r="DD60" i="1"/>
  <c r="HT60" i="1" s="1"/>
  <c r="DB60" i="1"/>
  <c r="DA60" i="1"/>
  <c r="CZ60" i="1"/>
  <c r="CW60" i="1"/>
  <c r="CV60" i="1"/>
  <c r="CS60" i="1"/>
  <c r="CR60" i="1"/>
  <c r="CO60" i="1"/>
  <c r="CN60" i="1"/>
  <c r="CK60" i="1"/>
  <c r="CJ60" i="1"/>
  <c r="CL60" i="1" s="1"/>
  <c r="CG60" i="1"/>
  <c r="CC60" i="1"/>
  <c r="CB60" i="1"/>
  <c r="BY60" i="1"/>
  <c r="BX60" i="1"/>
  <c r="BZ60" i="1" s="1"/>
  <c r="BU60" i="1"/>
  <c r="BT60" i="1"/>
  <c r="BV60" i="1" s="1"/>
  <c r="BQ60" i="1"/>
  <c r="BP60" i="1"/>
  <c r="BM60" i="1"/>
  <c r="BL60" i="1"/>
  <c r="BN60" i="1" s="1"/>
  <c r="BJ60" i="1"/>
  <c r="BI60" i="1"/>
  <c r="BH60" i="1"/>
  <c r="BF60" i="1"/>
  <c r="BE60" i="1"/>
  <c r="BD60" i="1"/>
  <c r="BA60" i="1"/>
  <c r="AZ60" i="1"/>
  <c r="HP60" i="1" s="1"/>
  <c r="AW60" i="1"/>
  <c r="AV60" i="1"/>
  <c r="AS60" i="1"/>
  <c r="AR60" i="1"/>
  <c r="AT60" i="1" s="1"/>
  <c r="AO60" i="1"/>
  <c r="AN60" i="1"/>
  <c r="AP60" i="1" s="1"/>
  <c r="AK60" i="1"/>
  <c r="AJ60" i="1"/>
  <c r="AG60" i="1"/>
  <c r="AF60" i="1"/>
  <c r="AH60" i="1" s="1"/>
  <c r="AD60" i="1"/>
  <c r="AC60" i="1"/>
  <c r="AB60" i="1"/>
  <c r="Z60" i="1"/>
  <c r="Y60" i="1"/>
  <c r="X60" i="1"/>
  <c r="U60" i="1"/>
  <c r="T60" i="1"/>
  <c r="V60" i="1" s="1"/>
  <c r="Q60" i="1"/>
  <c r="P60" i="1"/>
  <c r="M60" i="1"/>
  <c r="L60" i="1"/>
  <c r="N60" i="1" s="1"/>
  <c r="I60" i="1"/>
  <c r="H60" i="1"/>
  <c r="J60" i="1" s="1"/>
  <c r="E60" i="1"/>
  <c r="D60" i="1"/>
  <c r="IG59" i="1"/>
  <c r="HE59" i="1"/>
  <c r="HD59" i="1"/>
  <c r="HA59" i="1"/>
  <c r="GZ59" i="1"/>
  <c r="GW59" i="1"/>
  <c r="GV59" i="1"/>
  <c r="GX59" i="1" s="1"/>
  <c r="GS59" i="1"/>
  <c r="GR59" i="1"/>
  <c r="GO59" i="1"/>
  <c r="GN59" i="1"/>
  <c r="GP59" i="1" s="1"/>
  <c r="GL59" i="1"/>
  <c r="GK59" i="1"/>
  <c r="GJ59" i="1"/>
  <c r="GH59" i="1"/>
  <c r="GG59" i="1"/>
  <c r="GF59" i="1"/>
  <c r="GC59" i="1"/>
  <c r="GB59" i="1"/>
  <c r="FY59" i="1"/>
  <c r="FX59" i="1"/>
  <c r="FU59" i="1"/>
  <c r="FT59" i="1"/>
  <c r="FQ59" i="1"/>
  <c r="FP59" i="1"/>
  <c r="FR59" i="1" s="1"/>
  <c r="FM59" i="1"/>
  <c r="FL59" i="1"/>
  <c r="FI59" i="1"/>
  <c r="IK59" i="1" s="1"/>
  <c r="FH59" i="1"/>
  <c r="FF59" i="1"/>
  <c r="FE59" i="1"/>
  <c r="FD59" i="1"/>
  <c r="FB59" i="1"/>
  <c r="FA59" i="1"/>
  <c r="EZ59" i="1"/>
  <c r="EW59" i="1"/>
  <c r="EV59" i="1"/>
  <c r="IB59" i="1" s="1"/>
  <c r="ES59" i="1"/>
  <c r="ER59" i="1"/>
  <c r="EO59" i="1"/>
  <c r="EN59" i="1"/>
  <c r="EK59" i="1"/>
  <c r="EJ59" i="1"/>
  <c r="EL59" i="1" s="1"/>
  <c r="EG59" i="1"/>
  <c r="EF59" i="1"/>
  <c r="EC59" i="1"/>
  <c r="EB59" i="1"/>
  <c r="DZ59" i="1"/>
  <c r="DY59" i="1"/>
  <c r="DX59" i="1"/>
  <c r="DV59" i="1"/>
  <c r="DU59" i="1"/>
  <c r="DT59" i="1"/>
  <c r="DQ59" i="1"/>
  <c r="DP59" i="1"/>
  <c r="DM59" i="1"/>
  <c r="DL59" i="1"/>
  <c r="DI59" i="1"/>
  <c r="DH59" i="1"/>
  <c r="DE59" i="1"/>
  <c r="DD59" i="1"/>
  <c r="DF59" i="1" s="1"/>
  <c r="DA59" i="1"/>
  <c r="CZ59" i="1"/>
  <c r="CW59" i="1"/>
  <c r="CV59" i="1"/>
  <c r="CX59" i="1" s="1"/>
  <c r="CT59" i="1"/>
  <c r="CS59" i="1"/>
  <c r="CR59" i="1"/>
  <c r="CP59" i="1"/>
  <c r="CO59" i="1"/>
  <c r="CN59" i="1"/>
  <c r="CK59" i="1"/>
  <c r="CJ59" i="1"/>
  <c r="CH59" i="1"/>
  <c r="CG59" i="1"/>
  <c r="CC59" i="1"/>
  <c r="CB59" i="1"/>
  <c r="BY59" i="1"/>
  <c r="BX59" i="1"/>
  <c r="BU59" i="1"/>
  <c r="BT59" i="1"/>
  <c r="BQ59" i="1"/>
  <c r="BP59" i="1"/>
  <c r="BR59" i="1" s="1"/>
  <c r="BN59" i="1"/>
  <c r="BM59" i="1"/>
  <c r="BL59" i="1"/>
  <c r="BI59" i="1"/>
  <c r="BH59" i="1"/>
  <c r="BE59" i="1"/>
  <c r="BD59" i="1"/>
  <c r="BB59" i="1"/>
  <c r="BA59" i="1"/>
  <c r="AZ59" i="1"/>
  <c r="AW59" i="1"/>
  <c r="AV59" i="1"/>
  <c r="AS59" i="1"/>
  <c r="AR59" i="1"/>
  <c r="AO59" i="1"/>
  <c r="AN59" i="1"/>
  <c r="AK59" i="1"/>
  <c r="AJ59" i="1"/>
  <c r="AL59" i="1" s="1"/>
  <c r="AH59" i="1"/>
  <c r="AG59" i="1"/>
  <c r="AF59" i="1"/>
  <c r="AC59" i="1"/>
  <c r="AB59" i="1"/>
  <c r="Y59" i="1"/>
  <c r="X59" i="1"/>
  <c r="V59" i="1"/>
  <c r="U59" i="1"/>
  <c r="T59" i="1"/>
  <c r="Q59" i="1"/>
  <c r="P59" i="1"/>
  <c r="M59" i="1"/>
  <c r="L59" i="1"/>
  <c r="I59" i="1"/>
  <c r="H59" i="1"/>
  <c r="E59" i="1"/>
  <c r="D59" i="1"/>
  <c r="F59" i="1" s="1"/>
  <c r="IG58" i="1"/>
  <c r="HE58" i="1"/>
  <c r="HD58" i="1"/>
  <c r="HF58" i="1" s="1"/>
  <c r="HA58" i="1"/>
  <c r="GZ58" i="1"/>
  <c r="GW58" i="1"/>
  <c r="GV58" i="1"/>
  <c r="GS58" i="1"/>
  <c r="GR58" i="1"/>
  <c r="GT58" i="1" s="1"/>
  <c r="GP58" i="1"/>
  <c r="GO58" i="1"/>
  <c r="GN58" i="1"/>
  <c r="GK58" i="1"/>
  <c r="GJ58" i="1"/>
  <c r="GG58" i="1"/>
  <c r="GF58" i="1"/>
  <c r="GH58" i="1" s="1"/>
  <c r="GD58" i="1"/>
  <c r="GC58" i="1"/>
  <c r="GB58" i="1"/>
  <c r="FY58" i="1"/>
  <c r="FX58" i="1"/>
  <c r="FZ58" i="1" s="1"/>
  <c r="FU58" i="1"/>
  <c r="FT58" i="1"/>
  <c r="FV58" i="1" s="1"/>
  <c r="FQ58" i="1"/>
  <c r="FP58" i="1"/>
  <c r="FM58" i="1"/>
  <c r="FL58" i="1"/>
  <c r="FN58" i="1" s="1"/>
  <c r="FJ58" i="1"/>
  <c r="FI58" i="1"/>
  <c r="FH58" i="1"/>
  <c r="FE58" i="1"/>
  <c r="FD58" i="1"/>
  <c r="FA58" i="1"/>
  <c r="EZ58" i="1"/>
  <c r="FB58" i="1" s="1"/>
  <c r="EX58" i="1"/>
  <c r="EW58" i="1"/>
  <c r="EV58" i="1"/>
  <c r="IB58" i="1" s="1"/>
  <c r="ES58" i="1"/>
  <c r="ER58" i="1"/>
  <c r="ET58" i="1" s="1"/>
  <c r="EO58" i="1"/>
  <c r="EN58" i="1"/>
  <c r="EP58" i="1" s="1"/>
  <c r="EK58" i="1"/>
  <c r="EJ58" i="1"/>
  <c r="EG58" i="1"/>
  <c r="EF58" i="1"/>
  <c r="EH58" i="1" s="1"/>
  <c r="ED58" i="1"/>
  <c r="EC58" i="1"/>
  <c r="EB58" i="1"/>
  <c r="IF58" i="1" s="1"/>
  <c r="DY58" i="1"/>
  <c r="DX58" i="1"/>
  <c r="DU58" i="1"/>
  <c r="DT58" i="1"/>
  <c r="DV58" i="1" s="1"/>
  <c r="DR58" i="1"/>
  <c r="DQ58" i="1"/>
  <c r="DP58" i="1"/>
  <c r="DM58" i="1"/>
  <c r="DL58" i="1"/>
  <c r="DN58" i="1" s="1"/>
  <c r="DI58" i="1"/>
  <c r="DH58" i="1"/>
  <c r="DJ58" i="1" s="1"/>
  <c r="DE58" i="1"/>
  <c r="DD58" i="1"/>
  <c r="DA58" i="1"/>
  <c r="CZ58" i="1"/>
  <c r="DB58" i="1" s="1"/>
  <c r="CX58" i="1"/>
  <c r="CW58" i="1"/>
  <c r="CV58" i="1"/>
  <c r="CS58" i="1"/>
  <c r="CR58" i="1"/>
  <c r="CO58" i="1"/>
  <c r="CN58" i="1"/>
  <c r="CP58" i="1" s="1"/>
  <c r="CL58" i="1"/>
  <c r="CK58" i="1"/>
  <c r="CJ58" i="1"/>
  <c r="CG58" i="1"/>
  <c r="CC58" i="1"/>
  <c r="CB58" i="1"/>
  <c r="BY58" i="1"/>
  <c r="BX58" i="1"/>
  <c r="BU58" i="1"/>
  <c r="BT58" i="1"/>
  <c r="BV58" i="1" s="1"/>
  <c r="BQ58" i="1"/>
  <c r="BP58" i="1"/>
  <c r="BM58" i="1"/>
  <c r="BL58" i="1"/>
  <c r="BN58" i="1" s="1"/>
  <c r="BJ58" i="1"/>
  <c r="BI58" i="1"/>
  <c r="BH58" i="1"/>
  <c r="BF58" i="1"/>
  <c r="BE58" i="1"/>
  <c r="BD58" i="1"/>
  <c r="BA58" i="1"/>
  <c r="AZ58" i="1"/>
  <c r="AW58" i="1"/>
  <c r="AV58" i="1"/>
  <c r="AS58" i="1"/>
  <c r="AR58" i="1"/>
  <c r="AO58" i="1"/>
  <c r="AN58" i="1"/>
  <c r="AP58" i="1" s="1"/>
  <c r="AK58" i="1"/>
  <c r="AJ58" i="1"/>
  <c r="AG58" i="1"/>
  <c r="AF58" i="1"/>
  <c r="AH58" i="1" s="1"/>
  <c r="AD58" i="1"/>
  <c r="AC58" i="1"/>
  <c r="AB58" i="1"/>
  <c r="Z58" i="1"/>
  <c r="Y58" i="1"/>
  <c r="X58" i="1"/>
  <c r="U58" i="1"/>
  <c r="T58" i="1"/>
  <c r="Q58" i="1"/>
  <c r="P58" i="1"/>
  <c r="M58" i="1"/>
  <c r="L58" i="1"/>
  <c r="I58" i="1"/>
  <c r="H58" i="1"/>
  <c r="J58" i="1" s="1"/>
  <c r="E58" i="1"/>
  <c r="D58" i="1"/>
  <c r="HY57" i="1"/>
  <c r="HE57" i="1"/>
  <c r="HD57" i="1"/>
  <c r="HF57" i="1" s="1"/>
  <c r="HA57" i="1"/>
  <c r="HB57" i="1" s="1"/>
  <c r="GZ57" i="1"/>
  <c r="GW57" i="1"/>
  <c r="GV57" i="1"/>
  <c r="GS57" i="1"/>
  <c r="GR57" i="1"/>
  <c r="GT57" i="1" s="1"/>
  <c r="GO57" i="1"/>
  <c r="GN57" i="1"/>
  <c r="GK57" i="1"/>
  <c r="GJ57" i="1"/>
  <c r="GH57" i="1"/>
  <c r="GG57" i="1"/>
  <c r="GF57" i="1"/>
  <c r="GC57" i="1"/>
  <c r="GB57" i="1"/>
  <c r="GD57" i="1" s="1"/>
  <c r="FY57" i="1"/>
  <c r="FX57" i="1"/>
  <c r="FU57" i="1"/>
  <c r="FT57" i="1"/>
  <c r="FR57" i="1"/>
  <c r="FQ57" i="1"/>
  <c r="FP57" i="1"/>
  <c r="FM57" i="1"/>
  <c r="FL57" i="1"/>
  <c r="FI57" i="1"/>
  <c r="FH57" i="1"/>
  <c r="FJ57" i="1" s="1"/>
  <c r="FE57" i="1"/>
  <c r="FF57" i="1" s="1"/>
  <c r="FD57" i="1"/>
  <c r="FA57" i="1"/>
  <c r="EZ57" i="1"/>
  <c r="FB57" i="1" s="1"/>
  <c r="EW57" i="1"/>
  <c r="EV57" i="1"/>
  <c r="ES57" i="1"/>
  <c r="ER57" i="1"/>
  <c r="EO57" i="1"/>
  <c r="EP57" i="1" s="1"/>
  <c r="EN57" i="1"/>
  <c r="EK57" i="1"/>
  <c r="EJ57" i="1"/>
  <c r="EG57" i="1"/>
  <c r="EF57" i="1"/>
  <c r="EH57" i="1" s="1"/>
  <c r="EC57" i="1"/>
  <c r="IG57" i="1" s="1"/>
  <c r="EB57" i="1"/>
  <c r="DY57" i="1"/>
  <c r="DZ57" i="1" s="1"/>
  <c r="DX57" i="1"/>
  <c r="DV57" i="1"/>
  <c r="DU57" i="1"/>
  <c r="DT57" i="1"/>
  <c r="DQ57" i="1"/>
  <c r="DP57" i="1"/>
  <c r="DR57" i="1" s="1"/>
  <c r="DM57" i="1"/>
  <c r="DL57" i="1"/>
  <c r="DI57" i="1"/>
  <c r="DH57" i="1"/>
  <c r="DF57" i="1"/>
  <c r="DE57" i="1"/>
  <c r="DD57" i="1"/>
  <c r="HT57" i="1" s="1"/>
  <c r="DA57" i="1"/>
  <c r="CZ57" i="1"/>
  <c r="CW57" i="1"/>
  <c r="CV57" i="1"/>
  <c r="CX57" i="1" s="1"/>
  <c r="CS57" i="1"/>
  <c r="CT57" i="1" s="1"/>
  <c r="CR57" i="1"/>
  <c r="CO57" i="1"/>
  <c r="CN57" i="1"/>
  <c r="CP57" i="1" s="1"/>
  <c r="CK57" i="1"/>
  <c r="CJ57" i="1"/>
  <c r="CG57" i="1"/>
  <c r="CD57" i="1"/>
  <c r="CC57" i="1"/>
  <c r="CB57" i="1"/>
  <c r="BY57" i="1"/>
  <c r="BX57" i="1"/>
  <c r="BU57" i="1"/>
  <c r="BT57" i="1"/>
  <c r="BV57" i="1" s="1"/>
  <c r="BQ57" i="1"/>
  <c r="BR57" i="1" s="1"/>
  <c r="BP57" i="1"/>
  <c r="BM57" i="1"/>
  <c r="BL57" i="1"/>
  <c r="BN57" i="1" s="1"/>
  <c r="BI57" i="1"/>
  <c r="BH57" i="1"/>
  <c r="BE57" i="1"/>
  <c r="BD57" i="1"/>
  <c r="BF57" i="1" s="1"/>
  <c r="BA57" i="1"/>
  <c r="BB57" i="1" s="1"/>
  <c r="AZ57" i="1"/>
  <c r="AW57" i="1"/>
  <c r="AV57" i="1"/>
  <c r="AS57" i="1"/>
  <c r="AR57" i="1"/>
  <c r="AT57" i="1" s="1"/>
  <c r="AO57" i="1"/>
  <c r="AN57" i="1"/>
  <c r="AK57" i="1"/>
  <c r="AJ57" i="1"/>
  <c r="AH57" i="1"/>
  <c r="AG57" i="1"/>
  <c r="AF57" i="1"/>
  <c r="AC57" i="1"/>
  <c r="AB57" i="1"/>
  <c r="AD57" i="1" s="1"/>
  <c r="Y57" i="1"/>
  <c r="X57" i="1"/>
  <c r="U57" i="1"/>
  <c r="T57" i="1"/>
  <c r="R57" i="1"/>
  <c r="Q57" i="1"/>
  <c r="P57" i="1"/>
  <c r="M57" i="1"/>
  <c r="L57" i="1"/>
  <c r="I57" i="1"/>
  <c r="H57" i="1"/>
  <c r="J57" i="1" s="1"/>
  <c r="E57" i="1"/>
  <c r="D57" i="1"/>
  <c r="HF56" i="1"/>
  <c r="HE56" i="1"/>
  <c r="HD56" i="1"/>
  <c r="HA56" i="1"/>
  <c r="GZ56" i="1"/>
  <c r="HB56" i="1" s="1"/>
  <c r="GW56" i="1"/>
  <c r="GV56" i="1"/>
  <c r="GS56" i="1"/>
  <c r="GR56" i="1"/>
  <c r="GP56" i="1"/>
  <c r="GO56" i="1"/>
  <c r="GN56" i="1"/>
  <c r="GK56" i="1"/>
  <c r="GJ56" i="1"/>
  <c r="GG56" i="1"/>
  <c r="GF56" i="1"/>
  <c r="GC56" i="1"/>
  <c r="GD56" i="1" s="1"/>
  <c r="GB56" i="1"/>
  <c r="FY56" i="1"/>
  <c r="FX56" i="1"/>
  <c r="FZ56" i="1" s="1"/>
  <c r="FU56" i="1"/>
  <c r="FT56" i="1"/>
  <c r="FQ56" i="1"/>
  <c r="FP56" i="1"/>
  <c r="FR56" i="1" s="1"/>
  <c r="FN56" i="1"/>
  <c r="FM56" i="1"/>
  <c r="FL56" i="1"/>
  <c r="FJ56" i="1"/>
  <c r="FI56" i="1"/>
  <c r="IK56" i="1" s="1"/>
  <c r="FH56" i="1"/>
  <c r="FE56" i="1"/>
  <c r="FD56" i="1"/>
  <c r="FF56" i="1" s="1"/>
  <c r="FA56" i="1"/>
  <c r="EZ56" i="1"/>
  <c r="EW56" i="1"/>
  <c r="EV56" i="1"/>
  <c r="ES56" i="1"/>
  <c r="ER56" i="1"/>
  <c r="ET56" i="1" s="1"/>
  <c r="EO56" i="1"/>
  <c r="EN56" i="1"/>
  <c r="EK56" i="1"/>
  <c r="EJ56" i="1"/>
  <c r="EL56" i="1" s="1"/>
  <c r="EH56" i="1"/>
  <c r="EG56" i="1"/>
  <c r="EF56" i="1"/>
  <c r="ED56" i="1"/>
  <c r="EC56" i="1"/>
  <c r="IG56" i="1" s="1"/>
  <c r="EB56" i="1"/>
  <c r="IF56" i="1" s="1"/>
  <c r="DY56" i="1"/>
  <c r="DX56" i="1"/>
  <c r="DU56" i="1"/>
  <c r="DT56" i="1"/>
  <c r="DQ56" i="1"/>
  <c r="DP56" i="1"/>
  <c r="DM56" i="1"/>
  <c r="DL56" i="1"/>
  <c r="DN56" i="1" s="1"/>
  <c r="DI56" i="1"/>
  <c r="DH56" i="1"/>
  <c r="DE56" i="1"/>
  <c r="DD56" i="1"/>
  <c r="DB56" i="1"/>
  <c r="DA56" i="1"/>
  <c r="CZ56" i="1"/>
  <c r="CW56" i="1"/>
  <c r="CX56" i="1" s="1"/>
  <c r="CV56" i="1"/>
  <c r="CS56" i="1"/>
  <c r="CR56" i="1"/>
  <c r="CT56" i="1" s="1"/>
  <c r="CO56" i="1"/>
  <c r="CN56" i="1"/>
  <c r="CK56" i="1"/>
  <c r="CJ56" i="1"/>
  <c r="CG56" i="1"/>
  <c r="CC56" i="1"/>
  <c r="CB56" i="1"/>
  <c r="CD56" i="1" s="1"/>
  <c r="BY56" i="1"/>
  <c r="BX56" i="1"/>
  <c r="BZ56" i="1" s="1"/>
  <c r="BV56" i="1"/>
  <c r="BU56" i="1"/>
  <c r="BT56" i="1"/>
  <c r="BQ56" i="1"/>
  <c r="BP56" i="1"/>
  <c r="BM56" i="1"/>
  <c r="BL56" i="1"/>
  <c r="BN56" i="1" s="1"/>
  <c r="BJ56" i="1"/>
  <c r="BI56" i="1"/>
  <c r="BH56" i="1"/>
  <c r="BE56" i="1"/>
  <c r="BD56" i="1"/>
  <c r="BF56" i="1" s="1"/>
  <c r="BA56" i="1"/>
  <c r="AZ56" i="1"/>
  <c r="AW56" i="1"/>
  <c r="AV56" i="1"/>
  <c r="AX56" i="1" s="1"/>
  <c r="AS56" i="1"/>
  <c r="AR56" i="1"/>
  <c r="AT56" i="1" s="1"/>
  <c r="AP56" i="1"/>
  <c r="AO56" i="1"/>
  <c r="AN56" i="1"/>
  <c r="AK56" i="1"/>
  <c r="AJ56" i="1"/>
  <c r="AG56" i="1"/>
  <c r="AF56" i="1"/>
  <c r="AH56" i="1" s="1"/>
  <c r="AD56" i="1"/>
  <c r="AC56" i="1"/>
  <c r="AB56" i="1"/>
  <c r="Y56" i="1"/>
  <c r="X56" i="1"/>
  <c r="Z56" i="1" s="1"/>
  <c r="U56" i="1"/>
  <c r="T56" i="1"/>
  <c r="V56" i="1" s="1"/>
  <c r="Q56" i="1"/>
  <c r="P56" i="1"/>
  <c r="R56" i="1" s="1"/>
  <c r="M56" i="1"/>
  <c r="L56" i="1"/>
  <c r="N56" i="1" s="1"/>
  <c r="J56" i="1"/>
  <c r="I56" i="1"/>
  <c r="H56" i="1"/>
  <c r="E56" i="1"/>
  <c r="D56" i="1"/>
  <c r="HE55" i="1"/>
  <c r="HD55" i="1"/>
  <c r="HF55" i="1" s="1"/>
  <c r="HB55" i="1"/>
  <c r="HA55" i="1"/>
  <c r="GZ55" i="1"/>
  <c r="GW55" i="1"/>
  <c r="GX55" i="1" s="1"/>
  <c r="GV55" i="1"/>
  <c r="GS55" i="1"/>
  <c r="GR55" i="1"/>
  <c r="GO55" i="1"/>
  <c r="GN55" i="1"/>
  <c r="GK55" i="1"/>
  <c r="GJ55" i="1"/>
  <c r="GG55" i="1"/>
  <c r="GF55" i="1"/>
  <c r="GH55" i="1" s="1"/>
  <c r="GC55" i="1"/>
  <c r="GB55" i="1"/>
  <c r="FY55" i="1"/>
  <c r="FX55" i="1"/>
  <c r="FZ55" i="1" s="1"/>
  <c r="FV55" i="1"/>
  <c r="FU55" i="1"/>
  <c r="FT55" i="1"/>
  <c r="FQ55" i="1"/>
  <c r="FR55" i="1" s="1"/>
  <c r="FP55" i="1"/>
  <c r="FM55" i="1"/>
  <c r="FL55" i="1"/>
  <c r="FI55" i="1"/>
  <c r="FH55" i="1"/>
  <c r="FE55" i="1"/>
  <c r="FD55" i="1"/>
  <c r="FA55" i="1"/>
  <c r="EZ55" i="1"/>
  <c r="FB55" i="1" s="1"/>
  <c r="EW55" i="1"/>
  <c r="IC55" i="1" s="1"/>
  <c r="EV55" i="1"/>
  <c r="IB55" i="1" s="1"/>
  <c r="ES55" i="1"/>
  <c r="ER55" i="1"/>
  <c r="ET55" i="1" s="1"/>
  <c r="EP55" i="1"/>
  <c r="EO55" i="1"/>
  <c r="EN55" i="1"/>
  <c r="EK55" i="1"/>
  <c r="EL55" i="1" s="1"/>
  <c r="EJ55" i="1"/>
  <c r="EG55" i="1"/>
  <c r="EF55" i="1"/>
  <c r="EC55" i="1"/>
  <c r="IG55" i="1" s="1"/>
  <c r="EB55" i="1"/>
  <c r="DY55" i="1"/>
  <c r="HY55" i="1" s="1"/>
  <c r="DX55" i="1"/>
  <c r="DU55" i="1"/>
  <c r="DT55" i="1"/>
  <c r="DV55" i="1" s="1"/>
  <c r="DQ55" i="1"/>
  <c r="DP55" i="1"/>
  <c r="DM55" i="1"/>
  <c r="DL55" i="1"/>
  <c r="DN55" i="1" s="1"/>
  <c r="DJ55" i="1"/>
  <c r="DI55" i="1"/>
  <c r="DH55" i="1"/>
  <c r="DE55" i="1"/>
  <c r="DF55" i="1" s="1"/>
  <c r="DD55" i="1"/>
  <c r="DA55" i="1"/>
  <c r="CZ55" i="1"/>
  <c r="CW55" i="1"/>
  <c r="CV55" i="1"/>
  <c r="CS55" i="1"/>
  <c r="CR55" i="1"/>
  <c r="CO55" i="1"/>
  <c r="CN55" i="1"/>
  <c r="CP55" i="1" s="1"/>
  <c r="CK55" i="1"/>
  <c r="CJ55" i="1"/>
  <c r="CG55" i="1"/>
  <c r="CH55" i="1" s="1"/>
  <c r="CC55" i="1"/>
  <c r="CD55" i="1" s="1"/>
  <c r="CB55" i="1"/>
  <c r="BY55" i="1"/>
  <c r="BX55" i="1"/>
  <c r="BU55" i="1"/>
  <c r="BT55" i="1"/>
  <c r="BQ55" i="1"/>
  <c r="BP55" i="1"/>
  <c r="BM55" i="1"/>
  <c r="BL55" i="1"/>
  <c r="BN55" i="1" s="1"/>
  <c r="BI55" i="1"/>
  <c r="BH55" i="1"/>
  <c r="BE55" i="1"/>
  <c r="BD55" i="1"/>
  <c r="BF55" i="1" s="1"/>
  <c r="BB55" i="1"/>
  <c r="BA55" i="1"/>
  <c r="AZ55" i="1"/>
  <c r="AW55" i="1"/>
  <c r="AX55" i="1" s="1"/>
  <c r="AV55" i="1"/>
  <c r="AS55" i="1"/>
  <c r="AR55" i="1"/>
  <c r="AO55" i="1"/>
  <c r="AN55" i="1"/>
  <c r="AK55" i="1"/>
  <c r="AJ55" i="1"/>
  <c r="AG55" i="1"/>
  <c r="AF55" i="1"/>
  <c r="AH55" i="1" s="1"/>
  <c r="AC55" i="1"/>
  <c r="AB55" i="1"/>
  <c r="Y55" i="1"/>
  <c r="X55" i="1"/>
  <c r="Z55" i="1" s="1"/>
  <c r="V55" i="1"/>
  <c r="U55" i="1"/>
  <c r="T55" i="1"/>
  <c r="Q55" i="1"/>
  <c r="R55" i="1" s="1"/>
  <c r="P55" i="1"/>
  <c r="M55" i="1"/>
  <c r="L55" i="1"/>
  <c r="I55" i="1"/>
  <c r="H55" i="1"/>
  <c r="E55" i="1"/>
  <c r="D55" i="1"/>
  <c r="HF54" i="1"/>
  <c r="HE54" i="1"/>
  <c r="HD54" i="1"/>
  <c r="HA54" i="1"/>
  <c r="GZ54" i="1"/>
  <c r="GW54" i="1"/>
  <c r="GV54" i="1"/>
  <c r="GS54" i="1"/>
  <c r="GR54" i="1"/>
  <c r="GT54" i="1" s="1"/>
  <c r="GP54" i="1"/>
  <c r="GO54" i="1"/>
  <c r="GN54" i="1"/>
  <c r="GK54" i="1"/>
  <c r="GL54" i="1" s="1"/>
  <c r="GJ54" i="1"/>
  <c r="GG54" i="1"/>
  <c r="GF54" i="1"/>
  <c r="GH54" i="1" s="1"/>
  <c r="GC54" i="1"/>
  <c r="GB54" i="1"/>
  <c r="FY54" i="1"/>
  <c r="FX54" i="1"/>
  <c r="FZ54" i="1" s="1"/>
  <c r="FU54" i="1"/>
  <c r="FT54" i="1"/>
  <c r="FQ54" i="1"/>
  <c r="FP54" i="1"/>
  <c r="FR54" i="1" s="1"/>
  <c r="FM54" i="1"/>
  <c r="FL54" i="1"/>
  <c r="FI54" i="1"/>
  <c r="IK54" i="1" s="1"/>
  <c r="FH54" i="1"/>
  <c r="FE54" i="1"/>
  <c r="FD54" i="1"/>
  <c r="FF54" i="1" s="1"/>
  <c r="FA54" i="1"/>
  <c r="EZ54" i="1"/>
  <c r="EW54" i="1"/>
  <c r="EV54" i="1"/>
  <c r="EX54" i="1" s="1"/>
  <c r="ET54" i="1"/>
  <c r="ES54" i="1"/>
  <c r="ER54" i="1"/>
  <c r="EO54" i="1"/>
  <c r="EN54" i="1"/>
  <c r="EK54" i="1"/>
  <c r="EJ54" i="1"/>
  <c r="EG54" i="1"/>
  <c r="EF54" i="1"/>
  <c r="EH54" i="1" s="1"/>
  <c r="EC54" i="1"/>
  <c r="EB54" i="1"/>
  <c r="IF54" i="1" s="1"/>
  <c r="DY54" i="1"/>
  <c r="DX54" i="1"/>
  <c r="DU54" i="1"/>
  <c r="DT54" i="1"/>
  <c r="DQ54" i="1"/>
  <c r="DP54" i="1"/>
  <c r="DN54" i="1"/>
  <c r="DM54" i="1"/>
  <c r="DL54" i="1"/>
  <c r="DI54" i="1"/>
  <c r="DH54" i="1"/>
  <c r="DE54" i="1"/>
  <c r="DD54" i="1"/>
  <c r="DA54" i="1"/>
  <c r="CZ54" i="1"/>
  <c r="DB54" i="1" s="1"/>
  <c r="CW54" i="1"/>
  <c r="CV54" i="1"/>
  <c r="CX54" i="1" s="1"/>
  <c r="CS54" i="1"/>
  <c r="CT54" i="1" s="1"/>
  <c r="CR54" i="1"/>
  <c r="CO54" i="1"/>
  <c r="CN54" i="1"/>
  <c r="CP54" i="1" s="1"/>
  <c r="CK54" i="1"/>
  <c r="CJ54" i="1"/>
  <c r="CG54" i="1"/>
  <c r="HU54" i="1" s="1"/>
  <c r="CC54" i="1"/>
  <c r="CB54" i="1"/>
  <c r="BY54" i="1"/>
  <c r="BX54" i="1"/>
  <c r="BZ54" i="1" s="1"/>
  <c r="BV54" i="1"/>
  <c r="BU54" i="1"/>
  <c r="BT54" i="1"/>
  <c r="BQ54" i="1"/>
  <c r="BP54" i="1"/>
  <c r="BM54" i="1"/>
  <c r="BL54" i="1"/>
  <c r="BN54" i="1" s="1"/>
  <c r="BI54" i="1"/>
  <c r="BH54" i="1"/>
  <c r="BJ54" i="1" s="1"/>
  <c r="BE54" i="1"/>
  <c r="BD54" i="1"/>
  <c r="BF54" i="1" s="1"/>
  <c r="BA54" i="1"/>
  <c r="BB54" i="1" s="1"/>
  <c r="AZ54" i="1"/>
  <c r="AW54" i="1"/>
  <c r="AV54" i="1"/>
  <c r="AX54" i="1" s="1"/>
  <c r="AS54" i="1"/>
  <c r="AR54" i="1"/>
  <c r="AO54" i="1"/>
  <c r="AN54" i="1"/>
  <c r="AP54" i="1" s="1"/>
  <c r="AK54" i="1"/>
  <c r="AL54" i="1" s="1"/>
  <c r="AJ54" i="1"/>
  <c r="AG54" i="1"/>
  <c r="AF54" i="1"/>
  <c r="AH54" i="1" s="1"/>
  <c r="AC54" i="1"/>
  <c r="AB54" i="1"/>
  <c r="AD54" i="1" s="1"/>
  <c r="Y54" i="1"/>
  <c r="X54" i="1"/>
  <c r="U54" i="1"/>
  <c r="T54" i="1"/>
  <c r="Q54" i="1"/>
  <c r="P54" i="1"/>
  <c r="M54" i="1"/>
  <c r="L54" i="1"/>
  <c r="J54" i="1"/>
  <c r="I54" i="1"/>
  <c r="H54" i="1"/>
  <c r="E54" i="1"/>
  <c r="D54" i="1"/>
  <c r="HE53" i="1"/>
  <c r="HD53" i="1"/>
  <c r="HF53" i="1" s="1"/>
  <c r="HA53" i="1"/>
  <c r="GZ53" i="1"/>
  <c r="HB53" i="1" s="1"/>
  <c r="GW53" i="1"/>
  <c r="GV53" i="1"/>
  <c r="GX53" i="1" s="1"/>
  <c r="GS53" i="1"/>
  <c r="GT53" i="1" s="1"/>
  <c r="GR53" i="1"/>
  <c r="GO53" i="1"/>
  <c r="GN53" i="1"/>
  <c r="GK53" i="1"/>
  <c r="GJ53" i="1"/>
  <c r="GH53" i="1"/>
  <c r="GG53" i="1"/>
  <c r="GF53" i="1"/>
  <c r="GC53" i="1"/>
  <c r="GB53" i="1"/>
  <c r="FY53" i="1"/>
  <c r="FX53" i="1"/>
  <c r="FZ53" i="1" s="1"/>
  <c r="FU53" i="1"/>
  <c r="FT53" i="1"/>
  <c r="FV53" i="1" s="1"/>
  <c r="FQ53" i="1"/>
  <c r="FP53" i="1"/>
  <c r="FR53" i="1" s="1"/>
  <c r="FM53" i="1"/>
  <c r="FN53" i="1" s="1"/>
  <c r="FL53" i="1"/>
  <c r="FI53" i="1"/>
  <c r="FH53" i="1"/>
  <c r="FE53" i="1"/>
  <c r="FD53" i="1"/>
  <c r="FA53" i="1"/>
  <c r="EZ53" i="1"/>
  <c r="FB53" i="1" s="1"/>
  <c r="EW53" i="1"/>
  <c r="EV53" i="1"/>
  <c r="ES53" i="1"/>
  <c r="ER53" i="1"/>
  <c r="ET53" i="1" s="1"/>
  <c r="EO53" i="1"/>
  <c r="EN53" i="1"/>
  <c r="EP53" i="1" s="1"/>
  <c r="EK53" i="1"/>
  <c r="EJ53" i="1"/>
  <c r="EL53" i="1" s="1"/>
  <c r="EG53" i="1"/>
  <c r="EH53" i="1" s="1"/>
  <c r="EF53" i="1"/>
  <c r="EC53" i="1"/>
  <c r="IG53" i="1" s="1"/>
  <c r="EB53" i="1"/>
  <c r="DY53" i="1"/>
  <c r="DX53" i="1"/>
  <c r="DV53" i="1"/>
  <c r="DU53" i="1"/>
  <c r="DT53" i="1"/>
  <c r="DQ53" i="1"/>
  <c r="DP53" i="1"/>
  <c r="DM53" i="1"/>
  <c r="DL53" i="1"/>
  <c r="DN53" i="1" s="1"/>
  <c r="DI53" i="1"/>
  <c r="DH53" i="1"/>
  <c r="DJ53" i="1" s="1"/>
  <c r="DE53" i="1"/>
  <c r="DD53" i="1"/>
  <c r="DF53" i="1" s="1"/>
  <c r="DA53" i="1"/>
  <c r="DB53" i="1" s="1"/>
  <c r="CZ53" i="1"/>
  <c r="CW53" i="1"/>
  <c r="CV53" i="1"/>
  <c r="CS53" i="1"/>
  <c r="CR53" i="1"/>
  <c r="CO53" i="1"/>
  <c r="CN53" i="1"/>
  <c r="CP53" i="1" s="1"/>
  <c r="CK53" i="1"/>
  <c r="CJ53" i="1"/>
  <c r="CG53" i="1"/>
  <c r="CH53" i="1" s="1"/>
  <c r="CD53" i="1"/>
  <c r="CC53" i="1"/>
  <c r="CB53" i="1"/>
  <c r="BY53" i="1"/>
  <c r="BX53" i="1"/>
  <c r="BU53" i="1"/>
  <c r="BT53" i="1"/>
  <c r="BV53" i="1" s="1"/>
  <c r="BQ53" i="1"/>
  <c r="BP53" i="1"/>
  <c r="BR53" i="1" s="1"/>
  <c r="BM53" i="1"/>
  <c r="BL53" i="1"/>
  <c r="BN53" i="1" s="1"/>
  <c r="BI53" i="1"/>
  <c r="BJ53" i="1" s="1"/>
  <c r="BH53" i="1"/>
  <c r="BE53" i="1"/>
  <c r="BD53" i="1"/>
  <c r="BF53" i="1" s="1"/>
  <c r="BA53" i="1"/>
  <c r="AZ53" i="1"/>
  <c r="AW53" i="1"/>
  <c r="AV53" i="1"/>
  <c r="AX53" i="1" s="1"/>
  <c r="AS53" i="1"/>
  <c r="AR53" i="1"/>
  <c r="AO53" i="1"/>
  <c r="AN53" i="1"/>
  <c r="AP53" i="1" s="1"/>
  <c r="AK53" i="1"/>
  <c r="AJ53" i="1"/>
  <c r="AL53" i="1" s="1"/>
  <c r="AG53" i="1"/>
  <c r="AF53" i="1"/>
  <c r="AH53" i="1" s="1"/>
  <c r="AC53" i="1"/>
  <c r="AD53" i="1" s="1"/>
  <c r="AB53" i="1"/>
  <c r="Y53" i="1"/>
  <c r="X53" i="1"/>
  <c r="U53" i="1"/>
  <c r="T53" i="1"/>
  <c r="R53" i="1"/>
  <c r="Q53" i="1"/>
  <c r="P53" i="1"/>
  <c r="M53" i="1"/>
  <c r="L53" i="1"/>
  <c r="I53" i="1"/>
  <c r="H53" i="1"/>
  <c r="E53" i="1"/>
  <c r="D53" i="1"/>
  <c r="HF52" i="1"/>
  <c r="HE52" i="1"/>
  <c r="HD52" i="1"/>
  <c r="HA52" i="1"/>
  <c r="GZ52" i="1"/>
  <c r="GW52" i="1"/>
  <c r="GV52" i="1"/>
  <c r="GX52" i="1" s="1"/>
  <c r="GS52" i="1"/>
  <c r="GR52" i="1"/>
  <c r="GT52" i="1" s="1"/>
  <c r="GO52" i="1"/>
  <c r="GN52" i="1"/>
  <c r="GP52" i="1" s="1"/>
  <c r="GK52" i="1"/>
  <c r="GL52" i="1" s="1"/>
  <c r="GJ52" i="1"/>
  <c r="GG52" i="1"/>
  <c r="GF52" i="1"/>
  <c r="GH52" i="1" s="1"/>
  <c r="GC52" i="1"/>
  <c r="GB52" i="1"/>
  <c r="FY52" i="1"/>
  <c r="FX52" i="1"/>
  <c r="FZ52" i="1" s="1"/>
  <c r="FU52" i="1"/>
  <c r="FT52" i="1"/>
  <c r="FQ52" i="1"/>
  <c r="FP52" i="1"/>
  <c r="FR52" i="1" s="1"/>
  <c r="FM52" i="1"/>
  <c r="FL52" i="1"/>
  <c r="FN52" i="1" s="1"/>
  <c r="FI52" i="1"/>
  <c r="IK52" i="1" s="1"/>
  <c r="FH52" i="1"/>
  <c r="FJ52" i="1" s="1"/>
  <c r="FE52" i="1"/>
  <c r="FF52" i="1" s="1"/>
  <c r="FD52" i="1"/>
  <c r="FA52" i="1"/>
  <c r="EZ52" i="1"/>
  <c r="EW52" i="1"/>
  <c r="EV52" i="1"/>
  <c r="ET52" i="1"/>
  <c r="ES52" i="1"/>
  <c r="ER52" i="1"/>
  <c r="EO52" i="1"/>
  <c r="EN52" i="1"/>
  <c r="EK52" i="1"/>
  <c r="EJ52" i="1"/>
  <c r="EL52" i="1" s="1"/>
  <c r="EG52" i="1"/>
  <c r="EF52" i="1"/>
  <c r="EH52" i="1" s="1"/>
  <c r="EC52" i="1"/>
  <c r="IG52" i="1" s="1"/>
  <c r="EB52" i="1"/>
  <c r="IF52" i="1" s="1"/>
  <c r="DY52" i="1"/>
  <c r="DX52" i="1"/>
  <c r="DU52" i="1"/>
  <c r="DT52" i="1"/>
  <c r="DV52" i="1" s="1"/>
  <c r="DQ52" i="1"/>
  <c r="DP52" i="1"/>
  <c r="DM52" i="1"/>
  <c r="DL52" i="1"/>
  <c r="DN52" i="1" s="1"/>
  <c r="DI52" i="1"/>
  <c r="DJ52" i="1" s="1"/>
  <c r="DH52" i="1"/>
  <c r="DE52" i="1"/>
  <c r="DD52" i="1"/>
  <c r="DA52" i="1"/>
  <c r="CZ52" i="1"/>
  <c r="CW52" i="1"/>
  <c r="CV52" i="1"/>
  <c r="CS52" i="1"/>
  <c r="CT52" i="1" s="1"/>
  <c r="CR52" i="1"/>
  <c r="CO52" i="1"/>
  <c r="CN52" i="1"/>
  <c r="CK52" i="1"/>
  <c r="CJ52" i="1"/>
  <c r="CH52" i="1"/>
  <c r="CG52" i="1"/>
  <c r="CC52" i="1"/>
  <c r="CB52" i="1"/>
  <c r="BY52" i="1"/>
  <c r="BX52" i="1"/>
  <c r="BU52" i="1"/>
  <c r="BT52" i="1"/>
  <c r="BV52" i="1" s="1"/>
  <c r="BQ52" i="1"/>
  <c r="BR52" i="1" s="1"/>
  <c r="BP52" i="1"/>
  <c r="BM52" i="1"/>
  <c r="BL52" i="1"/>
  <c r="BN52" i="1" s="1"/>
  <c r="BI52" i="1"/>
  <c r="BH52" i="1"/>
  <c r="BE52" i="1"/>
  <c r="BD52" i="1"/>
  <c r="BF52" i="1" s="1"/>
  <c r="BA52" i="1"/>
  <c r="BB52" i="1" s="1"/>
  <c r="AZ52" i="1"/>
  <c r="AW52" i="1"/>
  <c r="AV52" i="1"/>
  <c r="AS52" i="1"/>
  <c r="AR52" i="1"/>
  <c r="AP52" i="1"/>
  <c r="AO52" i="1"/>
  <c r="AN52" i="1"/>
  <c r="AK52" i="1"/>
  <c r="AJ52" i="1"/>
  <c r="AG52" i="1"/>
  <c r="AF52" i="1"/>
  <c r="AC52" i="1"/>
  <c r="AB52" i="1"/>
  <c r="AD52" i="1" s="1"/>
  <c r="Y52" i="1"/>
  <c r="X52" i="1"/>
  <c r="Z52" i="1" s="1"/>
  <c r="U52" i="1"/>
  <c r="V52" i="1" s="1"/>
  <c r="T52" i="1"/>
  <c r="Q52" i="1"/>
  <c r="P52" i="1"/>
  <c r="R52" i="1" s="1"/>
  <c r="M52" i="1"/>
  <c r="L52" i="1"/>
  <c r="I52" i="1"/>
  <c r="H52" i="1"/>
  <c r="J52" i="1" s="1"/>
  <c r="E52" i="1"/>
  <c r="D52" i="1"/>
  <c r="HT51" i="1"/>
  <c r="HE51" i="1"/>
  <c r="HD51" i="1"/>
  <c r="HF51" i="1" s="1"/>
  <c r="HA51" i="1"/>
  <c r="GZ51" i="1"/>
  <c r="HB51" i="1" s="1"/>
  <c r="GW51" i="1"/>
  <c r="GV51" i="1"/>
  <c r="GX51" i="1" s="1"/>
  <c r="GS51" i="1"/>
  <c r="GT51" i="1" s="1"/>
  <c r="GR51" i="1"/>
  <c r="GO51" i="1"/>
  <c r="GN51" i="1"/>
  <c r="GK51" i="1"/>
  <c r="GJ51" i="1"/>
  <c r="GG51" i="1"/>
  <c r="GF51" i="1"/>
  <c r="GH51" i="1" s="1"/>
  <c r="GC51" i="1"/>
  <c r="GB51" i="1"/>
  <c r="FY51" i="1"/>
  <c r="FX51" i="1"/>
  <c r="FZ51" i="1" s="1"/>
  <c r="FU51" i="1"/>
  <c r="FT51" i="1"/>
  <c r="FV51" i="1" s="1"/>
  <c r="FQ51" i="1"/>
  <c r="FP51" i="1"/>
  <c r="FM51" i="1"/>
  <c r="FN51" i="1" s="1"/>
  <c r="FL51" i="1"/>
  <c r="FI51" i="1"/>
  <c r="IK51" i="1" s="1"/>
  <c r="FH51" i="1"/>
  <c r="FE51" i="1"/>
  <c r="FD51" i="1"/>
  <c r="FB51" i="1"/>
  <c r="FA51" i="1"/>
  <c r="EZ51" i="1"/>
  <c r="EW51" i="1"/>
  <c r="EV51" i="1"/>
  <c r="IB51" i="1" s="1"/>
  <c r="ES51" i="1"/>
  <c r="ER51" i="1"/>
  <c r="ET51" i="1" s="1"/>
  <c r="EO51" i="1"/>
  <c r="EN51" i="1"/>
  <c r="EP51" i="1" s="1"/>
  <c r="EK51" i="1"/>
  <c r="EJ51" i="1"/>
  <c r="EL51" i="1" s="1"/>
  <c r="EG51" i="1"/>
  <c r="EH51" i="1" s="1"/>
  <c r="EF51" i="1"/>
  <c r="EC51" i="1"/>
  <c r="IG51" i="1" s="1"/>
  <c r="EB51" i="1"/>
  <c r="DY51" i="1"/>
  <c r="HY51" i="1" s="1"/>
  <c r="DX51" i="1"/>
  <c r="DU51" i="1"/>
  <c r="DT51" i="1"/>
  <c r="DV51" i="1" s="1"/>
  <c r="DQ51" i="1"/>
  <c r="DP51" i="1"/>
  <c r="DM51" i="1"/>
  <c r="DL51" i="1"/>
  <c r="DN51" i="1" s="1"/>
  <c r="DI51" i="1"/>
  <c r="DH51" i="1"/>
  <c r="DJ51" i="1" s="1"/>
  <c r="DE51" i="1"/>
  <c r="DD51" i="1"/>
  <c r="DF51" i="1" s="1"/>
  <c r="DA51" i="1"/>
  <c r="DB51" i="1" s="1"/>
  <c r="CZ51" i="1"/>
  <c r="CW51" i="1"/>
  <c r="CV51" i="1"/>
  <c r="CS51" i="1"/>
  <c r="CR51" i="1"/>
  <c r="CP51" i="1"/>
  <c r="CO51" i="1"/>
  <c r="CN51" i="1"/>
  <c r="CK51" i="1"/>
  <c r="CJ51" i="1"/>
  <c r="CG51" i="1"/>
  <c r="CH51" i="1" s="1"/>
  <c r="CC51" i="1"/>
  <c r="CB51" i="1"/>
  <c r="CD51" i="1" s="1"/>
  <c r="BY51" i="1"/>
  <c r="BX51" i="1"/>
  <c r="BU51" i="1"/>
  <c r="BT51" i="1"/>
  <c r="BV51" i="1" s="1"/>
  <c r="BQ51" i="1"/>
  <c r="BP51" i="1"/>
  <c r="BR51" i="1" s="1"/>
  <c r="BM51" i="1"/>
  <c r="BL51" i="1"/>
  <c r="BN51" i="1" s="1"/>
  <c r="BI51" i="1"/>
  <c r="BJ51" i="1" s="1"/>
  <c r="BH51" i="1"/>
  <c r="BE51" i="1"/>
  <c r="BD51" i="1"/>
  <c r="BA51" i="1"/>
  <c r="AZ51" i="1"/>
  <c r="AX51" i="1"/>
  <c r="AW51" i="1"/>
  <c r="AV51" i="1"/>
  <c r="AS51" i="1"/>
  <c r="AR51" i="1"/>
  <c r="AO51" i="1"/>
  <c r="AN51" i="1"/>
  <c r="AP51" i="1" s="1"/>
  <c r="AK51" i="1"/>
  <c r="AJ51" i="1"/>
  <c r="AL51" i="1" s="1"/>
  <c r="AG51" i="1"/>
  <c r="AF51" i="1"/>
  <c r="AH51" i="1" s="1"/>
  <c r="AC51" i="1"/>
  <c r="AD51" i="1" s="1"/>
  <c r="AB51" i="1"/>
  <c r="Y51" i="1"/>
  <c r="X51" i="1"/>
  <c r="U51" i="1"/>
  <c r="T51" i="1"/>
  <c r="Q51" i="1"/>
  <c r="P51" i="1"/>
  <c r="R51" i="1" s="1"/>
  <c r="M51" i="1"/>
  <c r="L51" i="1"/>
  <c r="I51" i="1"/>
  <c r="H51" i="1"/>
  <c r="J51" i="1" s="1"/>
  <c r="E51" i="1"/>
  <c r="D51" i="1"/>
  <c r="IB50" i="1"/>
  <c r="HE50" i="1"/>
  <c r="HD50" i="1"/>
  <c r="HF50" i="1" s="1"/>
  <c r="HA50" i="1"/>
  <c r="HB50" i="1" s="1"/>
  <c r="GZ50" i="1"/>
  <c r="GW50" i="1"/>
  <c r="GV50" i="1"/>
  <c r="GS50" i="1"/>
  <c r="GR50" i="1"/>
  <c r="GO50" i="1"/>
  <c r="GN50" i="1"/>
  <c r="GP50" i="1" s="1"/>
  <c r="GK50" i="1"/>
  <c r="GJ50" i="1"/>
  <c r="GG50" i="1"/>
  <c r="GF50" i="1"/>
  <c r="GH50" i="1" s="1"/>
  <c r="GC50" i="1"/>
  <c r="GB50" i="1"/>
  <c r="GD50" i="1" s="1"/>
  <c r="FY50" i="1"/>
  <c r="FX50" i="1"/>
  <c r="FZ50" i="1" s="1"/>
  <c r="FU50" i="1"/>
  <c r="FV50" i="1" s="1"/>
  <c r="FT50" i="1"/>
  <c r="FQ50" i="1"/>
  <c r="FP50" i="1"/>
  <c r="FM50" i="1"/>
  <c r="FL50" i="1"/>
  <c r="FJ50" i="1"/>
  <c r="FI50" i="1"/>
  <c r="FH50" i="1"/>
  <c r="FE50" i="1"/>
  <c r="FD50" i="1"/>
  <c r="FA50" i="1"/>
  <c r="EZ50" i="1"/>
  <c r="FB50" i="1" s="1"/>
  <c r="EW50" i="1"/>
  <c r="EV50" i="1"/>
  <c r="EX50" i="1" s="1"/>
  <c r="ES50" i="1"/>
  <c r="ER50" i="1"/>
  <c r="ET50" i="1" s="1"/>
  <c r="EO50" i="1"/>
  <c r="EP50" i="1" s="1"/>
  <c r="EN50" i="1"/>
  <c r="EK50" i="1"/>
  <c r="EJ50" i="1"/>
  <c r="EG50" i="1"/>
  <c r="EF50" i="1"/>
  <c r="EC50" i="1"/>
  <c r="IG50" i="1" s="1"/>
  <c r="EB50" i="1"/>
  <c r="DY50" i="1"/>
  <c r="DX50" i="1"/>
  <c r="HX50" i="1" s="1"/>
  <c r="DU50" i="1"/>
  <c r="DT50" i="1"/>
  <c r="DV50" i="1" s="1"/>
  <c r="DQ50" i="1"/>
  <c r="DP50" i="1"/>
  <c r="DR50" i="1" s="1"/>
  <c r="DM50" i="1"/>
  <c r="DL50" i="1"/>
  <c r="DN50" i="1" s="1"/>
  <c r="DI50" i="1"/>
  <c r="DJ50" i="1" s="1"/>
  <c r="DH50" i="1"/>
  <c r="DE50" i="1"/>
  <c r="DD50" i="1"/>
  <c r="DA50" i="1"/>
  <c r="CZ50" i="1"/>
  <c r="CX50" i="1"/>
  <c r="CW50" i="1"/>
  <c r="CV50" i="1"/>
  <c r="CS50" i="1"/>
  <c r="CR50" i="1"/>
  <c r="CO50" i="1"/>
  <c r="CN50" i="1"/>
  <c r="CP50" i="1" s="1"/>
  <c r="CK50" i="1"/>
  <c r="CJ50" i="1"/>
  <c r="CL50" i="1" s="1"/>
  <c r="CG50" i="1"/>
  <c r="CC50" i="1"/>
  <c r="CB50" i="1"/>
  <c r="CD50" i="1" s="1"/>
  <c r="BY50" i="1"/>
  <c r="BX50" i="1"/>
  <c r="BZ50" i="1" s="1"/>
  <c r="BU50" i="1"/>
  <c r="BV50" i="1" s="1"/>
  <c r="BT50" i="1"/>
  <c r="BQ50" i="1"/>
  <c r="BR50" i="1" s="1"/>
  <c r="BP50" i="1"/>
  <c r="BM50" i="1"/>
  <c r="BL50" i="1"/>
  <c r="BI50" i="1"/>
  <c r="BH50" i="1"/>
  <c r="BF50" i="1"/>
  <c r="BE50" i="1"/>
  <c r="BD50" i="1"/>
  <c r="BA50" i="1"/>
  <c r="AZ50" i="1"/>
  <c r="AW50" i="1"/>
  <c r="AV50" i="1"/>
  <c r="AX50" i="1" s="1"/>
  <c r="AS50" i="1"/>
  <c r="AR50" i="1"/>
  <c r="AT50" i="1" s="1"/>
  <c r="AO50" i="1"/>
  <c r="AN50" i="1"/>
  <c r="AP50" i="1" s="1"/>
  <c r="AK50" i="1"/>
  <c r="AL50" i="1" s="1"/>
  <c r="AJ50" i="1"/>
  <c r="AG50" i="1"/>
  <c r="AF50" i="1"/>
  <c r="AC50" i="1"/>
  <c r="AB50" i="1"/>
  <c r="Y50" i="1"/>
  <c r="X50" i="1"/>
  <c r="Z50" i="1" s="1"/>
  <c r="U50" i="1"/>
  <c r="T50" i="1"/>
  <c r="Q50" i="1"/>
  <c r="P50" i="1"/>
  <c r="R50" i="1" s="1"/>
  <c r="M50" i="1"/>
  <c r="L50" i="1"/>
  <c r="N50" i="1" s="1"/>
  <c r="I50" i="1"/>
  <c r="H50" i="1"/>
  <c r="J50" i="1" s="1"/>
  <c r="E50" i="1"/>
  <c r="D50" i="1"/>
  <c r="HE49" i="1"/>
  <c r="HD49" i="1"/>
  <c r="HF49" i="1" s="1"/>
  <c r="HA49" i="1"/>
  <c r="GZ49" i="1"/>
  <c r="HB49" i="1" s="1"/>
  <c r="GW49" i="1"/>
  <c r="GX49" i="1" s="1"/>
  <c r="GV49" i="1"/>
  <c r="GS49" i="1"/>
  <c r="GT49" i="1" s="1"/>
  <c r="GR49" i="1"/>
  <c r="GO49" i="1"/>
  <c r="GN49" i="1"/>
  <c r="GK49" i="1"/>
  <c r="GJ49" i="1"/>
  <c r="GG49" i="1"/>
  <c r="GF49" i="1"/>
  <c r="GH49" i="1" s="1"/>
  <c r="GC49" i="1"/>
  <c r="GB49" i="1"/>
  <c r="FY49" i="1"/>
  <c r="FX49" i="1"/>
  <c r="FZ49" i="1" s="1"/>
  <c r="FU49" i="1"/>
  <c r="FT49" i="1"/>
  <c r="FV49" i="1" s="1"/>
  <c r="FQ49" i="1"/>
  <c r="FP49" i="1"/>
  <c r="FR49" i="1" s="1"/>
  <c r="FM49" i="1"/>
  <c r="FN49" i="1" s="1"/>
  <c r="FL49" i="1"/>
  <c r="FI49" i="1"/>
  <c r="IK49" i="1" s="1"/>
  <c r="FH49" i="1"/>
  <c r="FE49" i="1"/>
  <c r="FD49" i="1"/>
  <c r="FB49" i="1"/>
  <c r="FA49" i="1"/>
  <c r="EZ49" i="1"/>
  <c r="EW49" i="1"/>
  <c r="EV49" i="1"/>
  <c r="IB49" i="1" s="1"/>
  <c r="ES49" i="1"/>
  <c r="ER49" i="1"/>
  <c r="ET49" i="1" s="1"/>
  <c r="EO49" i="1"/>
  <c r="EN49" i="1"/>
  <c r="EP49" i="1" s="1"/>
  <c r="EK49" i="1"/>
  <c r="EJ49" i="1"/>
  <c r="EL49" i="1" s="1"/>
  <c r="EG49" i="1"/>
  <c r="EH49" i="1" s="1"/>
  <c r="EF49" i="1"/>
  <c r="EC49" i="1"/>
  <c r="IG49" i="1" s="1"/>
  <c r="EB49" i="1"/>
  <c r="DY49" i="1"/>
  <c r="HY49" i="1" s="1"/>
  <c r="DX49" i="1"/>
  <c r="DU49" i="1"/>
  <c r="DT49" i="1"/>
  <c r="DV49" i="1" s="1"/>
  <c r="DQ49" i="1"/>
  <c r="DP49" i="1"/>
  <c r="DM49" i="1"/>
  <c r="DL49" i="1"/>
  <c r="DN49" i="1" s="1"/>
  <c r="DI49" i="1"/>
  <c r="DH49" i="1"/>
  <c r="DJ49" i="1" s="1"/>
  <c r="DE49" i="1"/>
  <c r="DD49" i="1"/>
  <c r="DF49" i="1" s="1"/>
  <c r="DA49" i="1"/>
  <c r="DB49" i="1" s="1"/>
  <c r="CZ49" i="1"/>
  <c r="CW49" i="1"/>
  <c r="CV49" i="1"/>
  <c r="CS49" i="1"/>
  <c r="CR49" i="1"/>
  <c r="CP49" i="1"/>
  <c r="CO49" i="1"/>
  <c r="CN49" i="1"/>
  <c r="CK49" i="1"/>
  <c r="CJ49" i="1"/>
  <c r="CG49" i="1"/>
  <c r="CH49" i="1" s="1"/>
  <c r="CC49" i="1"/>
  <c r="CB49" i="1"/>
  <c r="CD49" i="1" s="1"/>
  <c r="BY49" i="1"/>
  <c r="BX49" i="1"/>
  <c r="BU49" i="1"/>
  <c r="BT49" i="1"/>
  <c r="BV49" i="1" s="1"/>
  <c r="BQ49" i="1"/>
  <c r="BP49" i="1"/>
  <c r="BR49" i="1" s="1"/>
  <c r="BM49" i="1"/>
  <c r="BL49" i="1"/>
  <c r="BN49" i="1" s="1"/>
  <c r="BI49" i="1"/>
  <c r="BJ49" i="1" s="1"/>
  <c r="BH49" i="1"/>
  <c r="BE49" i="1"/>
  <c r="BD49" i="1"/>
  <c r="BA49" i="1"/>
  <c r="AZ49" i="1"/>
  <c r="AX49" i="1"/>
  <c r="AW49" i="1"/>
  <c r="AV49" i="1"/>
  <c r="AS49" i="1"/>
  <c r="AR49" i="1"/>
  <c r="AO49" i="1"/>
  <c r="AN49" i="1"/>
  <c r="AP49" i="1" s="1"/>
  <c r="AK49" i="1"/>
  <c r="AJ49" i="1"/>
  <c r="AL49" i="1" s="1"/>
  <c r="AG49" i="1"/>
  <c r="AF49" i="1"/>
  <c r="AH49" i="1" s="1"/>
  <c r="AC49" i="1"/>
  <c r="AD49" i="1" s="1"/>
  <c r="AB49" i="1"/>
  <c r="Y49" i="1"/>
  <c r="X49" i="1"/>
  <c r="U49" i="1"/>
  <c r="T49" i="1"/>
  <c r="Q49" i="1"/>
  <c r="P49" i="1"/>
  <c r="R49" i="1" s="1"/>
  <c r="M49" i="1"/>
  <c r="L49" i="1"/>
  <c r="I49" i="1"/>
  <c r="H49" i="1"/>
  <c r="J49" i="1" s="1"/>
  <c r="E49" i="1"/>
  <c r="D49" i="1"/>
  <c r="HE48" i="1"/>
  <c r="HD48" i="1"/>
  <c r="HF48" i="1" s="1"/>
  <c r="HA48" i="1"/>
  <c r="GZ48" i="1"/>
  <c r="GW48" i="1"/>
  <c r="GV48" i="1"/>
  <c r="GS48" i="1"/>
  <c r="GR48" i="1"/>
  <c r="GO48" i="1"/>
  <c r="GN48" i="1"/>
  <c r="GP48" i="1" s="1"/>
  <c r="GK48" i="1"/>
  <c r="GJ48" i="1"/>
  <c r="GG48" i="1"/>
  <c r="GF48" i="1"/>
  <c r="GH48" i="1" s="1"/>
  <c r="GC48" i="1"/>
  <c r="GB48" i="1"/>
  <c r="GD48" i="1" s="1"/>
  <c r="FY48" i="1"/>
  <c r="FX48" i="1"/>
  <c r="FZ48" i="1" s="1"/>
  <c r="FU48" i="1"/>
  <c r="FV48" i="1" s="1"/>
  <c r="FT48" i="1"/>
  <c r="FQ48" i="1"/>
  <c r="FP48" i="1"/>
  <c r="FM48" i="1"/>
  <c r="FL48" i="1"/>
  <c r="FJ48" i="1"/>
  <c r="FI48" i="1"/>
  <c r="FH48" i="1"/>
  <c r="FE48" i="1"/>
  <c r="FD48" i="1"/>
  <c r="FA48" i="1"/>
  <c r="EZ48" i="1"/>
  <c r="FB48" i="1" s="1"/>
  <c r="EW48" i="1"/>
  <c r="EV48" i="1"/>
  <c r="EX48" i="1" s="1"/>
  <c r="ES48" i="1"/>
  <c r="ER48" i="1"/>
  <c r="ET48" i="1" s="1"/>
  <c r="EO48" i="1"/>
  <c r="EP48" i="1" s="1"/>
  <c r="EN48" i="1"/>
  <c r="EK48" i="1"/>
  <c r="EJ48" i="1"/>
  <c r="EG48" i="1"/>
  <c r="EF48" i="1"/>
  <c r="EC48" i="1"/>
  <c r="IG48" i="1" s="1"/>
  <c r="EB48" i="1"/>
  <c r="DY48" i="1"/>
  <c r="DX48" i="1"/>
  <c r="HX48" i="1" s="1"/>
  <c r="DU48" i="1"/>
  <c r="DT48" i="1"/>
  <c r="DV48" i="1" s="1"/>
  <c r="DQ48" i="1"/>
  <c r="DP48" i="1"/>
  <c r="DR48" i="1" s="1"/>
  <c r="DM48" i="1"/>
  <c r="DL48" i="1"/>
  <c r="DI48" i="1"/>
  <c r="DH48" i="1"/>
  <c r="DE48" i="1"/>
  <c r="DD48" i="1"/>
  <c r="DA48" i="1"/>
  <c r="CZ48" i="1"/>
  <c r="CX48" i="1"/>
  <c r="CW48" i="1"/>
  <c r="CV48" i="1"/>
  <c r="CS48" i="1"/>
  <c r="CR48" i="1"/>
  <c r="CT48" i="1" s="1"/>
  <c r="CO48" i="1"/>
  <c r="CN48" i="1"/>
  <c r="CP48" i="1" s="1"/>
  <c r="CK48" i="1"/>
  <c r="CJ48" i="1"/>
  <c r="CL48" i="1" s="1"/>
  <c r="CG48" i="1"/>
  <c r="CC48" i="1"/>
  <c r="CB48" i="1"/>
  <c r="CD48" i="1" s="1"/>
  <c r="BY48" i="1"/>
  <c r="BX48" i="1"/>
  <c r="BZ48" i="1" s="1"/>
  <c r="BU48" i="1"/>
  <c r="BT48" i="1"/>
  <c r="BV48" i="1" s="1"/>
  <c r="BQ48" i="1"/>
  <c r="BP48" i="1"/>
  <c r="BM48" i="1"/>
  <c r="BL48" i="1"/>
  <c r="BI48" i="1"/>
  <c r="BH48" i="1"/>
  <c r="BF48" i="1"/>
  <c r="BE48" i="1"/>
  <c r="BD48" i="1"/>
  <c r="BA48" i="1"/>
  <c r="AZ48" i="1"/>
  <c r="AW48" i="1"/>
  <c r="AV48" i="1"/>
  <c r="AX48" i="1" s="1"/>
  <c r="AS48" i="1"/>
  <c r="AR48" i="1"/>
  <c r="AT48" i="1" s="1"/>
  <c r="AO48" i="1"/>
  <c r="AN48" i="1"/>
  <c r="AP48" i="1" s="1"/>
  <c r="AK48" i="1"/>
  <c r="AJ48" i="1"/>
  <c r="AG48" i="1"/>
  <c r="AF48" i="1"/>
  <c r="AC48" i="1"/>
  <c r="AB48" i="1"/>
  <c r="Y48" i="1"/>
  <c r="X48" i="1"/>
  <c r="Z48" i="1" s="1"/>
  <c r="U48" i="1"/>
  <c r="T48" i="1"/>
  <c r="Q48" i="1"/>
  <c r="P48" i="1"/>
  <c r="R48" i="1" s="1"/>
  <c r="M48" i="1"/>
  <c r="L48" i="1"/>
  <c r="N48" i="1" s="1"/>
  <c r="I48" i="1"/>
  <c r="H48" i="1"/>
  <c r="J48" i="1" s="1"/>
  <c r="E48" i="1"/>
  <c r="D48" i="1"/>
  <c r="HE47" i="1"/>
  <c r="HD47" i="1"/>
  <c r="HA47" i="1"/>
  <c r="GZ47" i="1"/>
  <c r="GX47" i="1"/>
  <c r="GW47" i="1"/>
  <c r="GV47" i="1"/>
  <c r="GS47" i="1"/>
  <c r="GR47" i="1"/>
  <c r="GO47" i="1"/>
  <c r="GN47" i="1"/>
  <c r="GP47" i="1" s="1"/>
  <c r="GK47" i="1"/>
  <c r="GJ47" i="1"/>
  <c r="GL47" i="1" s="1"/>
  <c r="GG47" i="1"/>
  <c r="GF47" i="1"/>
  <c r="GH47" i="1" s="1"/>
  <c r="GC47" i="1"/>
  <c r="GD47" i="1" s="1"/>
  <c r="GB47" i="1"/>
  <c r="FY47" i="1"/>
  <c r="FX47" i="1"/>
  <c r="FU47" i="1"/>
  <c r="FT47" i="1"/>
  <c r="FQ47" i="1"/>
  <c r="FP47" i="1"/>
  <c r="FR47" i="1" s="1"/>
  <c r="FM47" i="1"/>
  <c r="FL47" i="1"/>
  <c r="FI47" i="1"/>
  <c r="IK47" i="1" s="1"/>
  <c r="FH47" i="1"/>
  <c r="FJ47" i="1" s="1"/>
  <c r="FE47" i="1"/>
  <c r="FD47" i="1"/>
  <c r="FF47" i="1" s="1"/>
  <c r="FA47" i="1"/>
  <c r="EZ47" i="1"/>
  <c r="EW47" i="1"/>
  <c r="EV47" i="1"/>
  <c r="IB47" i="1" s="1"/>
  <c r="ES47" i="1"/>
  <c r="ER47" i="1"/>
  <c r="EO47" i="1"/>
  <c r="EN47" i="1"/>
  <c r="EL47" i="1"/>
  <c r="EK47" i="1"/>
  <c r="EJ47" i="1"/>
  <c r="EG47" i="1"/>
  <c r="EF47" i="1"/>
  <c r="EC47" i="1"/>
  <c r="IG47" i="1" s="1"/>
  <c r="EB47" i="1"/>
  <c r="DY47" i="1"/>
  <c r="DX47" i="1"/>
  <c r="HX47" i="1" s="1"/>
  <c r="DU47" i="1"/>
  <c r="DT47" i="1"/>
  <c r="DV47" i="1" s="1"/>
  <c r="DQ47" i="1"/>
  <c r="DR47" i="1" s="1"/>
  <c r="DP47" i="1"/>
  <c r="DM47" i="1"/>
  <c r="DL47" i="1"/>
  <c r="DI47" i="1"/>
  <c r="DH47" i="1"/>
  <c r="DE47" i="1"/>
  <c r="DD47" i="1"/>
  <c r="DF47" i="1" s="1"/>
  <c r="DA47" i="1"/>
  <c r="CZ47" i="1"/>
  <c r="CW47" i="1"/>
  <c r="CV47" i="1"/>
  <c r="CX47" i="1" s="1"/>
  <c r="CS47" i="1"/>
  <c r="CR47" i="1"/>
  <c r="CT47" i="1" s="1"/>
  <c r="CO47" i="1"/>
  <c r="CN47" i="1"/>
  <c r="CP47" i="1" s="1"/>
  <c r="CK47" i="1"/>
  <c r="CL47" i="1" s="1"/>
  <c r="CJ47" i="1"/>
  <c r="CG47" i="1"/>
  <c r="CH47" i="1" s="1"/>
  <c r="CC47" i="1"/>
  <c r="CD47" i="1" s="1"/>
  <c r="CB47" i="1"/>
  <c r="BY47" i="1"/>
  <c r="BZ47" i="1" s="1"/>
  <c r="BX47" i="1"/>
  <c r="BU47" i="1"/>
  <c r="BT47" i="1"/>
  <c r="BQ47" i="1"/>
  <c r="BP47" i="1"/>
  <c r="BM47" i="1"/>
  <c r="BL47" i="1"/>
  <c r="BN47" i="1" s="1"/>
  <c r="BI47" i="1"/>
  <c r="BH47" i="1"/>
  <c r="BJ47" i="1" s="1"/>
  <c r="BE47" i="1"/>
  <c r="BD47" i="1"/>
  <c r="BF47" i="1" s="1"/>
  <c r="BA47" i="1"/>
  <c r="AZ47" i="1"/>
  <c r="BB47" i="1" s="1"/>
  <c r="AW47" i="1"/>
  <c r="AV47" i="1"/>
  <c r="AS47" i="1"/>
  <c r="AR47" i="1"/>
  <c r="AO47" i="1"/>
  <c r="AN47" i="1"/>
  <c r="AP47" i="1" s="1"/>
  <c r="AK47" i="1"/>
  <c r="AJ47" i="1"/>
  <c r="AL47" i="1" s="1"/>
  <c r="AG47" i="1"/>
  <c r="AF47" i="1"/>
  <c r="AC47" i="1"/>
  <c r="AB47" i="1"/>
  <c r="Z47" i="1"/>
  <c r="Y47" i="1"/>
  <c r="X47" i="1"/>
  <c r="U47" i="1"/>
  <c r="T47" i="1"/>
  <c r="V47" i="1" s="1"/>
  <c r="Q47" i="1"/>
  <c r="P47" i="1"/>
  <c r="M47" i="1"/>
  <c r="L47" i="1"/>
  <c r="J47" i="1"/>
  <c r="I47" i="1"/>
  <c r="H47" i="1"/>
  <c r="E47" i="1"/>
  <c r="D47" i="1"/>
  <c r="F47" i="1" s="1"/>
  <c r="HE46" i="1"/>
  <c r="HD46" i="1"/>
  <c r="HA46" i="1"/>
  <c r="GZ46" i="1"/>
  <c r="GW46" i="1"/>
  <c r="GV46" i="1"/>
  <c r="GX46" i="1" s="1"/>
  <c r="GT46" i="1"/>
  <c r="GS46" i="1"/>
  <c r="GR46" i="1"/>
  <c r="GO46" i="1"/>
  <c r="GN46" i="1"/>
  <c r="GK46" i="1"/>
  <c r="GJ46" i="1"/>
  <c r="GL46" i="1" s="1"/>
  <c r="GG46" i="1"/>
  <c r="GF46" i="1"/>
  <c r="GH46" i="1" s="1"/>
  <c r="GC46" i="1"/>
  <c r="GB46" i="1"/>
  <c r="GD46" i="1" s="1"/>
  <c r="FY46" i="1"/>
  <c r="FX46" i="1"/>
  <c r="FU46" i="1"/>
  <c r="FT46" i="1"/>
  <c r="FV46" i="1" s="1"/>
  <c r="FQ46" i="1"/>
  <c r="FR46" i="1" s="1"/>
  <c r="FP46" i="1"/>
  <c r="FM46" i="1"/>
  <c r="FL46" i="1"/>
  <c r="FN46" i="1" s="1"/>
  <c r="FI46" i="1"/>
  <c r="FH46" i="1"/>
  <c r="FE46" i="1"/>
  <c r="FD46" i="1"/>
  <c r="FF46" i="1" s="1"/>
  <c r="FA46" i="1"/>
  <c r="EZ46" i="1"/>
  <c r="FB46" i="1" s="1"/>
  <c r="EX46" i="1"/>
  <c r="EW46" i="1"/>
  <c r="IC46" i="1" s="1"/>
  <c r="EV46" i="1"/>
  <c r="ES46" i="1"/>
  <c r="ER46" i="1"/>
  <c r="EO46" i="1"/>
  <c r="EN46" i="1"/>
  <c r="EP46" i="1" s="1"/>
  <c r="EK46" i="1"/>
  <c r="EJ46" i="1"/>
  <c r="EL46" i="1" s="1"/>
  <c r="EH46" i="1"/>
  <c r="EG46" i="1"/>
  <c r="EF46" i="1"/>
  <c r="EC46" i="1"/>
  <c r="IG46" i="1" s="1"/>
  <c r="EB46" i="1"/>
  <c r="IF46" i="1" s="1"/>
  <c r="DY46" i="1"/>
  <c r="HY46" i="1" s="1"/>
  <c r="DX46" i="1"/>
  <c r="DU46" i="1"/>
  <c r="DT46" i="1"/>
  <c r="DV46" i="1" s="1"/>
  <c r="DQ46" i="1"/>
  <c r="DP46" i="1"/>
  <c r="DR46" i="1" s="1"/>
  <c r="DM46" i="1"/>
  <c r="DL46" i="1"/>
  <c r="DI46" i="1"/>
  <c r="DH46" i="1"/>
  <c r="DJ46" i="1" s="1"/>
  <c r="DE46" i="1"/>
  <c r="DD46" i="1"/>
  <c r="DA46" i="1"/>
  <c r="CZ46" i="1"/>
  <c r="DB46" i="1" s="1"/>
  <c r="CW46" i="1"/>
  <c r="CV46" i="1"/>
  <c r="CS46" i="1"/>
  <c r="CR46" i="1"/>
  <c r="CT46" i="1" s="1"/>
  <c r="CO46" i="1"/>
  <c r="CN46" i="1"/>
  <c r="CP46" i="1" s="1"/>
  <c r="CL46" i="1"/>
  <c r="CK46" i="1"/>
  <c r="CJ46" i="1"/>
  <c r="CG46" i="1"/>
  <c r="CH46" i="1" s="1"/>
  <c r="CD46" i="1"/>
  <c r="CC46" i="1"/>
  <c r="CB46" i="1"/>
  <c r="BY46" i="1"/>
  <c r="BX46" i="1"/>
  <c r="BZ46" i="1" s="1"/>
  <c r="BU46" i="1"/>
  <c r="BT46" i="1"/>
  <c r="BQ46" i="1"/>
  <c r="BP46" i="1"/>
  <c r="BN46" i="1"/>
  <c r="BM46" i="1"/>
  <c r="BL46" i="1"/>
  <c r="BI46" i="1"/>
  <c r="BJ46" i="1" s="1"/>
  <c r="BH46" i="1"/>
  <c r="BE46" i="1"/>
  <c r="BD46" i="1"/>
  <c r="BA46" i="1"/>
  <c r="AZ46" i="1"/>
  <c r="AW46" i="1"/>
  <c r="AV46" i="1"/>
  <c r="AX46" i="1" s="1"/>
  <c r="AS46" i="1"/>
  <c r="AR46" i="1"/>
  <c r="AO46" i="1"/>
  <c r="AN46" i="1"/>
  <c r="AK46" i="1"/>
  <c r="AJ46" i="1"/>
  <c r="AG46" i="1"/>
  <c r="AF46" i="1"/>
  <c r="AH46" i="1" s="1"/>
  <c r="AC46" i="1"/>
  <c r="AB46" i="1"/>
  <c r="AD46" i="1" s="1"/>
  <c r="Y46" i="1"/>
  <c r="X46" i="1"/>
  <c r="U46" i="1"/>
  <c r="T46" i="1"/>
  <c r="R46" i="1"/>
  <c r="Q46" i="1"/>
  <c r="P46" i="1"/>
  <c r="M46" i="1"/>
  <c r="L46" i="1"/>
  <c r="N46" i="1" s="1"/>
  <c r="I46" i="1"/>
  <c r="H46" i="1"/>
  <c r="E46" i="1"/>
  <c r="D46" i="1"/>
  <c r="IH45" i="1"/>
  <c r="HE45" i="1"/>
  <c r="HD45" i="1"/>
  <c r="HF45" i="1" s="1"/>
  <c r="HA45" i="1"/>
  <c r="GZ45" i="1"/>
  <c r="GW45" i="1"/>
  <c r="GV45" i="1"/>
  <c r="GS45" i="1"/>
  <c r="GR45" i="1"/>
  <c r="GP45" i="1"/>
  <c r="GO45" i="1"/>
  <c r="GN45" i="1"/>
  <c r="GK45" i="1"/>
  <c r="GL45" i="1" s="1"/>
  <c r="GJ45" i="1"/>
  <c r="GG45" i="1"/>
  <c r="GF45" i="1"/>
  <c r="GC45" i="1"/>
  <c r="IC45" i="1" s="1"/>
  <c r="GB45" i="1"/>
  <c r="FZ45" i="1"/>
  <c r="FY45" i="1"/>
  <c r="FX45" i="1"/>
  <c r="FU45" i="1"/>
  <c r="FT45" i="1"/>
  <c r="FV45" i="1" s="1"/>
  <c r="FQ45" i="1"/>
  <c r="FP45" i="1"/>
  <c r="FM45" i="1"/>
  <c r="FL45" i="1"/>
  <c r="FI45" i="1"/>
  <c r="IK45" i="1" s="1"/>
  <c r="FH45" i="1"/>
  <c r="FF45" i="1"/>
  <c r="FE45" i="1"/>
  <c r="FD45" i="1"/>
  <c r="FA45" i="1"/>
  <c r="EZ45" i="1"/>
  <c r="FB45" i="1" s="1"/>
  <c r="EW45" i="1"/>
  <c r="EV45" i="1"/>
  <c r="ES45" i="1"/>
  <c r="ER45" i="1"/>
  <c r="ET45" i="1" s="1"/>
  <c r="EP45" i="1"/>
  <c r="EO45" i="1"/>
  <c r="EN45" i="1"/>
  <c r="EK45" i="1"/>
  <c r="EJ45" i="1"/>
  <c r="EG45" i="1"/>
  <c r="EF45" i="1"/>
  <c r="EH45" i="1" s="1"/>
  <c r="EC45" i="1"/>
  <c r="IG45" i="1" s="1"/>
  <c r="EB45" i="1"/>
  <c r="IF45" i="1" s="1"/>
  <c r="DY45" i="1"/>
  <c r="DX45" i="1"/>
  <c r="HX45" i="1" s="1"/>
  <c r="DU45" i="1"/>
  <c r="DT45" i="1"/>
  <c r="DV45" i="1" s="1"/>
  <c r="DQ45" i="1"/>
  <c r="DP45" i="1"/>
  <c r="DR45" i="1" s="1"/>
  <c r="DM45" i="1"/>
  <c r="DL45" i="1"/>
  <c r="DI45" i="1"/>
  <c r="DH45" i="1"/>
  <c r="DJ45" i="1" s="1"/>
  <c r="DE45" i="1"/>
  <c r="DD45" i="1"/>
  <c r="DA45" i="1"/>
  <c r="CZ45" i="1"/>
  <c r="DB45" i="1" s="1"/>
  <c r="CW45" i="1"/>
  <c r="CV45" i="1"/>
  <c r="CT45" i="1"/>
  <c r="CS45" i="1"/>
  <c r="CR45" i="1"/>
  <c r="CO45" i="1"/>
  <c r="CN45" i="1"/>
  <c r="CP45" i="1" s="1"/>
  <c r="CK45" i="1"/>
  <c r="CJ45" i="1"/>
  <c r="CL45" i="1" s="1"/>
  <c r="CG45" i="1"/>
  <c r="CC45" i="1"/>
  <c r="CB45" i="1"/>
  <c r="BY45" i="1"/>
  <c r="BX45" i="1"/>
  <c r="BZ45" i="1" s="1"/>
  <c r="BU45" i="1"/>
  <c r="BT45" i="1"/>
  <c r="BV45" i="1" s="1"/>
  <c r="BQ45" i="1"/>
  <c r="BP45" i="1"/>
  <c r="BR45" i="1" s="1"/>
  <c r="BM45" i="1"/>
  <c r="BL45" i="1"/>
  <c r="BN45" i="1" s="1"/>
  <c r="BI45" i="1"/>
  <c r="BH45" i="1"/>
  <c r="BJ45" i="1" s="1"/>
  <c r="BE45" i="1"/>
  <c r="BD45" i="1"/>
  <c r="BA45" i="1"/>
  <c r="AZ45" i="1"/>
  <c r="AW45" i="1"/>
  <c r="AV45" i="1"/>
  <c r="AS45" i="1"/>
  <c r="AR45" i="1"/>
  <c r="AT45" i="1" s="1"/>
  <c r="AO45" i="1"/>
  <c r="AN45" i="1"/>
  <c r="AL45" i="1"/>
  <c r="AK45" i="1"/>
  <c r="AJ45" i="1"/>
  <c r="AG45" i="1"/>
  <c r="AF45" i="1"/>
  <c r="AH45" i="1" s="1"/>
  <c r="AC45" i="1"/>
  <c r="AB45" i="1"/>
  <c r="AD45" i="1" s="1"/>
  <c r="Y45" i="1"/>
  <c r="X45" i="1"/>
  <c r="Z45" i="1" s="1"/>
  <c r="V45" i="1"/>
  <c r="U45" i="1"/>
  <c r="T45" i="1"/>
  <c r="Q45" i="1"/>
  <c r="P45" i="1"/>
  <c r="M45" i="1"/>
  <c r="L45" i="1"/>
  <c r="I45" i="1"/>
  <c r="J45" i="1" s="1"/>
  <c r="H45" i="1"/>
  <c r="E45" i="1"/>
  <c r="D45" i="1"/>
  <c r="F45" i="1" s="1"/>
  <c r="HE44" i="1"/>
  <c r="HD44" i="1"/>
  <c r="HA44" i="1"/>
  <c r="GZ44" i="1"/>
  <c r="GX44" i="1"/>
  <c r="GW44" i="1"/>
  <c r="GV44" i="1"/>
  <c r="GS44" i="1"/>
  <c r="GR44" i="1"/>
  <c r="GT44" i="1" s="1"/>
  <c r="GO44" i="1"/>
  <c r="GN44" i="1"/>
  <c r="GK44" i="1"/>
  <c r="GJ44" i="1"/>
  <c r="GG44" i="1"/>
  <c r="GF44" i="1"/>
  <c r="GH44" i="1" s="1"/>
  <c r="GC44" i="1"/>
  <c r="GB44" i="1"/>
  <c r="FY44" i="1"/>
  <c r="FX44" i="1"/>
  <c r="FU44" i="1"/>
  <c r="FT44" i="1"/>
  <c r="FQ44" i="1"/>
  <c r="FP44" i="1"/>
  <c r="FR44" i="1" s="1"/>
  <c r="FM44" i="1"/>
  <c r="FN44" i="1" s="1"/>
  <c r="FL44" i="1"/>
  <c r="FI44" i="1"/>
  <c r="IK44" i="1" s="1"/>
  <c r="FH44" i="1"/>
  <c r="FE44" i="1"/>
  <c r="FD44" i="1"/>
  <c r="FB44" i="1"/>
  <c r="FA44" i="1"/>
  <c r="EZ44" i="1"/>
  <c r="EW44" i="1"/>
  <c r="EV44" i="1"/>
  <c r="EX44" i="1" s="1"/>
  <c r="ES44" i="1"/>
  <c r="ER44" i="1"/>
  <c r="EO44" i="1"/>
  <c r="EN44" i="1"/>
  <c r="EL44" i="1"/>
  <c r="EK44" i="1"/>
  <c r="EJ44" i="1"/>
  <c r="EG44" i="1"/>
  <c r="EF44" i="1"/>
  <c r="EH44" i="1" s="1"/>
  <c r="EC44" i="1"/>
  <c r="IG44" i="1" s="1"/>
  <c r="EB44" i="1"/>
  <c r="DY44" i="1"/>
  <c r="DX44" i="1"/>
  <c r="DU44" i="1"/>
  <c r="DT44" i="1"/>
  <c r="DV44" i="1" s="1"/>
  <c r="DQ44" i="1"/>
  <c r="DP44" i="1"/>
  <c r="DM44" i="1"/>
  <c r="DL44" i="1"/>
  <c r="DI44" i="1"/>
  <c r="DH44" i="1"/>
  <c r="DE44" i="1"/>
  <c r="DD44" i="1"/>
  <c r="DA44" i="1"/>
  <c r="DB44" i="1" s="1"/>
  <c r="CZ44" i="1"/>
  <c r="CW44" i="1"/>
  <c r="CV44" i="1"/>
  <c r="CS44" i="1"/>
  <c r="CR44" i="1"/>
  <c r="CP44" i="1"/>
  <c r="CO44" i="1"/>
  <c r="CN44" i="1"/>
  <c r="CK44" i="1"/>
  <c r="CJ44" i="1"/>
  <c r="CL44" i="1" s="1"/>
  <c r="CG44" i="1"/>
  <c r="CH44" i="1" s="1"/>
  <c r="CC44" i="1"/>
  <c r="CB44" i="1"/>
  <c r="BZ44" i="1"/>
  <c r="BY44" i="1"/>
  <c r="BX44" i="1"/>
  <c r="BU44" i="1"/>
  <c r="BT44" i="1"/>
  <c r="BQ44" i="1"/>
  <c r="BP44" i="1"/>
  <c r="BR44" i="1" s="1"/>
  <c r="BM44" i="1"/>
  <c r="BN44" i="1" s="1"/>
  <c r="BL44" i="1"/>
  <c r="BJ44" i="1"/>
  <c r="BI44" i="1"/>
  <c r="BH44" i="1"/>
  <c r="BE44" i="1"/>
  <c r="BD44" i="1"/>
  <c r="BF44" i="1" s="1"/>
  <c r="BA44" i="1"/>
  <c r="AZ44" i="1"/>
  <c r="BB44" i="1" s="1"/>
  <c r="AW44" i="1"/>
  <c r="AV44" i="1"/>
  <c r="AX44" i="1" s="1"/>
  <c r="AS44" i="1"/>
  <c r="AR44" i="1"/>
  <c r="AT44" i="1" s="1"/>
  <c r="AO44" i="1"/>
  <c r="AN44" i="1"/>
  <c r="AK44" i="1"/>
  <c r="AJ44" i="1"/>
  <c r="AL44" i="1" s="1"/>
  <c r="AG44" i="1"/>
  <c r="AH44" i="1" s="1"/>
  <c r="AF44" i="1"/>
  <c r="AC44" i="1"/>
  <c r="AB44" i="1"/>
  <c r="AD44" i="1" s="1"/>
  <c r="Y44" i="1"/>
  <c r="X44" i="1"/>
  <c r="Z44" i="1" s="1"/>
  <c r="U44" i="1"/>
  <c r="T44" i="1"/>
  <c r="V44" i="1" s="1"/>
  <c r="Q44" i="1"/>
  <c r="P44" i="1"/>
  <c r="R44" i="1" s="1"/>
  <c r="N44" i="1"/>
  <c r="M44" i="1"/>
  <c r="L44" i="1"/>
  <c r="I44" i="1"/>
  <c r="H44" i="1"/>
  <c r="E44" i="1"/>
  <c r="D44" i="1"/>
  <c r="HE43" i="1"/>
  <c r="HF43" i="1" s="1"/>
  <c r="HD43" i="1"/>
  <c r="HA43" i="1"/>
  <c r="GZ43" i="1"/>
  <c r="HB43" i="1" s="1"/>
  <c r="GW43" i="1"/>
  <c r="GV43" i="1"/>
  <c r="GS43" i="1"/>
  <c r="GR43" i="1"/>
  <c r="GO43" i="1"/>
  <c r="GN43" i="1"/>
  <c r="GP43" i="1" s="1"/>
  <c r="GL43" i="1"/>
  <c r="GK43" i="1"/>
  <c r="GJ43" i="1"/>
  <c r="GG43" i="1"/>
  <c r="GF43" i="1"/>
  <c r="GH43" i="1" s="1"/>
  <c r="GC43" i="1"/>
  <c r="GB43" i="1"/>
  <c r="GD43" i="1" s="1"/>
  <c r="FY43" i="1"/>
  <c r="FZ43" i="1" s="1"/>
  <c r="FX43" i="1"/>
  <c r="FV43" i="1"/>
  <c r="FU43" i="1"/>
  <c r="FT43" i="1"/>
  <c r="FQ43" i="1"/>
  <c r="FP43" i="1"/>
  <c r="FM43" i="1"/>
  <c r="FL43" i="1"/>
  <c r="FN43" i="1" s="1"/>
  <c r="FI43" i="1"/>
  <c r="FH43" i="1"/>
  <c r="FJ43" i="1" s="1"/>
  <c r="FE43" i="1"/>
  <c r="FD43" i="1"/>
  <c r="FF43" i="1" s="1"/>
  <c r="FA43" i="1"/>
  <c r="EZ43" i="1"/>
  <c r="FB43" i="1" s="1"/>
  <c r="EW43" i="1"/>
  <c r="IC43" i="1" s="1"/>
  <c r="EV43" i="1"/>
  <c r="ES43" i="1"/>
  <c r="ER43" i="1"/>
  <c r="EO43" i="1"/>
  <c r="EN43" i="1"/>
  <c r="EP43" i="1" s="1"/>
  <c r="EK43" i="1"/>
  <c r="EJ43" i="1"/>
  <c r="EG43" i="1"/>
  <c r="EF43" i="1"/>
  <c r="EH43" i="1" s="1"/>
  <c r="EC43" i="1"/>
  <c r="IG43" i="1" s="1"/>
  <c r="EB43" i="1"/>
  <c r="IF43" i="1" s="1"/>
  <c r="DZ43" i="1"/>
  <c r="DY43" i="1"/>
  <c r="DX43" i="1"/>
  <c r="DU43" i="1"/>
  <c r="DT43" i="1"/>
  <c r="DV43" i="1" s="1"/>
  <c r="DQ43" i="1"/>
  <c r="DP43" i="1"/>
  <c r="DR43" i="1" s="1"/>
  <c r="DM43" i="1"/>
  <c r="DL43" i="1"/>
  <c r="DN43" i="1" s="1"/>
  <c r="DJ43" i="1"/>
  <c r="DI43" i="1"/>
  <c r="DH43" i="1"/>
  <c r="DE43" i="1"/>
  <c r="DD43" i="1"/>
  <c r="DA43" i="1"/>
  <c r="CZ43" i="1"/>
  <c r="DB43" i="1" s="1"/>
  <c r="CW43" i="1"/>
  <c r="CV43" i="1"/>
  <c r="CX43" i="1" s="1"/>
  <c r="CS43" i="1"/>
  <c r="CR43" i="1"/>
  <c r="CT43" i="1" s="1"/>
  <c r="CO43" i="1"/>
  <c r="CN43" i="1"/>
  <c r="CP43" i="1" s="1"/>
  <c r="CK43" i="1"/>
  <c r="CJ43" i="1"/>
  <c r="CL43" i="1" s="1"/>
  <c r="CG43" i="1"/>
  <c r="CC43" i="1"/>
  <c r="CB43" i="1"/>
  <c r="BY43" i="1"/>
  <c r="BX43" i="1"/>
  <c r="BZ43" i="1" s="1"/>
  <c r="BU43" i="1"/>
  <c r="BT43" i="1"/>
  <c r="BR43" i="1"/>
  <c r="BQ43" i="1"/>
  <c r="BP43" i="1"/>
  <c r="BM43" i="1"/>
  <c r="BL43" i="1"/>
  <c r="BN43" i="1" s="1"/>
  <c r="BI43" i="1"/>
  <c r="BH43" i="1"/>
  <c r="BJ43" i="1" s="1"/>
  <c r="BE43" i="1"/>
  <c r="BF43" i="1" s="1"/>
  <c r="BD43" i="1"/>
  <c r="BB43" i="1"/>
  <c r="BA43" i="1"/>
  <c r="AZ43" i="1"/>
  <c r="AW43" i="1"/>
  <c r="AV43" i="1"/>
  <c r="AS43" i="1"/>
  <c r="AR43" i="1"/>
  <c r="AT43" i="1" s="1"/>
  <c r="AO43" i="1"/>
  <c r="AN43" i="1"/>
  <c r="AP43" i="1" s="1"/>
  <c r="AK43" i="1"/>
  <c r="AJ43" i="1"/>
  <c r="AL43" i="1" s="1"/>
  <c r="AG43" i="1"/>
  <c r="AF43" i="1"/>
  <c r="AH43" i="1" s="1"/>
  <c r="AC43" i="1"/>
  <c r="AB43" i="1"/>
  <c r="AD43" i="1" s="1"/>
  <c r="Y43" i="1"/>
  <c r="Z43" i="1" s="1"/>
  <c r="X43" i="1"/>
  <c r="U43" i="1"/>
  <c r="T43" i="1"/>
  <c r="V43" i="1" s="1"/>
  <c r="Q43" i="1"/>
  <c r="P43" i="1"/>
  <c r="M43" i="1"/>
  <c r="L43" i="1"/>
  <c r="I43" i="1"/>
  <c r="H43" i="1"/>
  <c r="F43" i="1"/>
  <c r="E43" i="1"/>
  <c r="D43" i="1"/>
  <c r="HE42" i="1"/>
  <c r="HD42" i="1"/>
  <c r="HA42" i="1"/>
  <c r="GZ42" i="1"/>
  <c r="GW42" i="1"/>
  <c r="GV42" i="1"/>
  <c r="GT42" i="1"/>
  <c r="GS42" i="1"/>
  <c r="GR42" i="1"/>
  <c r="GO42" i="1"/>
  <c r="GN42" i="1"/>
  <c r="GP42" i="1" s="1"/>
  <c r="GK42" i="1"/>
  <c r="GJ42" i="1"/>
  <c r="GL42" i="1" s="1"/>
  <c r="GG42" i="1"/>
  <c r="GF42" i="1"/>
  <c r="GH42" i="1" s="1"/>
  <c r="GC42" i="1"/>
  <c r="GB42" i="1"/>
  <c r="GD42" i="1" s="1"/>
  <c r="FY42" i="1"/>
  <c r="FX42" i="1"/>
  <c r="FU42" i="1"/>
  <c r="FT42" i="1"/>
  <c r="FQ42" i="1"/>
  <c r="FP42" i="1"/>
  <c r="FM42" i="1"/>
  <c r="FL42" i="1"/>
  <c r="FN42" i="1" s="1"/>
  <c r="FI42" i="1"/>
  <c r="FH42" i="1"/>
  <c r="FE42" i="1"/>
  <c r="FD42" i="1"/>
  <c r="FF42" i="1" s="1"/>
  <c r="FA42" i="1"/>
  <c r="EZ42" i="1"/>
  <c r="EW42" i="1"/>
  <c r="EV42" i="1"/>
  <c r="EX42" i="1" s="1"/>
  <c r="ES42" i="1"/>
  <c r="ER42" i="1"/>
  <c r="EO42" i="1"/>
  <c r="EN42" i="1"/>
  <c r="EP42" i="1" s="1"/>
  <c r="EK42" i="1"/>
  <c r="EJ42" i="1"/>
  <c r="EG42" i="1"/>
  <c r="EH42" i="1" s="1"/>
  <c r="EF42" i="1"/>
  <c r="EC42" i="1"/>
  <c r="IG42" i="1" s="1"/>
  <c r="EB42" i="1"/>
  <c r="DY42" i="1"/>
  <c r="HY42" i="1" s="1"/>
  <c r="DX42" i="1"/>
  <c r="DU42" i="1"/>
  <c r="DT42" i="1"/>
  <c r="DV42" i="1" s="1"/>
  <c r="DR42" i="1"/>
  <c r="DQ42" i="1"/>
  <c r="DP42" i="1"/>
  <c r="DM42" i="1"/>
  <c r="DL42" i="1"/>
  <c r="DN42" i="1" s="1"/>
  <c r="DI42" i="1"/>
  <c r="DH42" i="1"/>
  <c r="DE42" i="1"/>
  <c r="DD42" i="1"/>
  <c r="HT42" i="1" s="1"/>
  <c r="DA42" i="1"/>
  <c r="CZ42" i="1"/>
  <c r="DB42" i="1" s="1"/>
  <c r="CW42" i="1"/>
  <c r="CV42" i="1"/>
  <c r="CS42" i="1"/>
  <c r="CR42" i="1"/>
  <c r="CT42" i="1" s="1"/>
  <c r="CO42" i="1"/>
  <c r="CN42" i="1"/>
  <c r="CK42" i="1"/>
  <c r="CJ42" i="1"/>
  <c r="CL42" i="1" s="1"/>
  <c r="CG42" i="1"/>
  <c r="CH42" i="1" s="1"/>
  <c r="CC42" i="1"/>
  <c r="CB42" i="1"/>
  <c r="CD42" i="1" s="1"/>
  <c r="BZ42" i="1"/>
  <c r="BY42" i="1"/>
  <c r="BX42" i="1"/>
  <c r="BU42" i="1"/>
  <c r="BT42" i="1"/>
  <c r="BV42" i="1" s="1"/>
  <c r="BQ42" i="1"/>
  <c r="BP42" i="1"/>
  <c r="BM42" i="1"/>
  <c r="BL42" i="1"/>
  <c r="BN42" i="1" s="1"/>
  <c r="BI42" i="1"/>
  <c r="BH42" i="1"/>
  <c r="BJ42" i="1" s="1"/>
  <c r="BE42" i="1"/>
  <c r="BD42" i="1"/>
  <c r="BA42" i="1"/>
  <c r="AZ42" i="1"/>
  <c r="BB42" i="1" s="1"/>
  <c r="AW42" i="1"/>
  <c r="AV42" i="1"/>
  <c r="AS42" i="1"/>
  <c r="AR42" i="1"/>
  <c r="AT42" i="1" s="1"/>
  <c r="AO42" i="1"/>
  <c r="AN42" i="1"/>
  <c r="AK42" i="1"/>
  <c r="AJ42" i="1"/>
  <c r="AL42" i="1" s="1"/>
  <c r="AG42" i="1"/>
  <c r="AF42" i="1"/>
  <c r="AH42" i="1" s="1"/>
  <c r="AD42" i="1"/>
  <c r="AC42" i="1"/>
  <c r="AB42" i="1"/>
  <c r="Y42" i="1"/>
  <c r="X42" i="1"/>
  <c r="Z42" i="1" s="1"/>
  <c r="U42" i="1"/>
  <c r="T42" i="1"/>
  <c r="V42" i="1" s="1"/>
  <c r="Q42" i="1"/>
  <c r="R42" i="1" s="1"/>
  <c r="P42" i="1"/>
  <c r="M42" i="1"/>
  <c r="L42" i="1"/>
  <c r="N42" i="1" s="1"/>
  <c r="I42" i="1"/>
  <c r="H42" i="1"/>
  <c r="E42" i="1"/>
  <c r="D42" i="1"/>
  <c r="HE41" i="1"/>
  <c r="HD41" i="1"/>
  <c r="HF41" i="1" s="1"/>
  <c r="HA41" i="1"/>
  <c r="GZ41" i="1"/>
  <c r="HB41" i="1" s="1"/>
  <c r="GW41" i="1"/>
  <c r="GV41" i="1"/>
  <c r="GS41" i="1"/>
  <c r="GR41" i="1"/>
  <c r="GT41" i="1" s="1"/>
  <c r="GO41" i="1"/>
  <c r="GN41" i="1"/>
  <c r="GK41" i="1"/>
  <c r="GJ41" i="1"/>
  <c r="GL41" i="1" s="1"/>
  <c r="GG41" i="1"/>
  <c r="GF41" i="1"/>
  <c r="GC41" i="1"/>
  <c r="GB41" i="1"/>
  <c r="GD41" i="1" s="1"/>
  <c r="FY41" i="1"/>
  <c r="FX41" i="1"/>
  <c r="FZ41" i="1" s="1"/>
  <c r="FU41" i="1"/>
  <c r="FV41" i="1" s="1"/>
  <c r="FT41" i="1"/>
  <c r="FQ41" i="1"/>
  <c r="FP41" i="1"/>
  <c r="FR41" i="1" s="1"/>
  <c r="FM41" i="1"/>
  <c r="FL41" i="1"/>
  <c r="FI41" i="1"/>
  <c r="FH41" i="1"/>
  <c r="FJ41" i="1" s="1"/>
  <c r="FF41" i="1"/>
  <c r="FE41" i="1"/>
  <c r="FD41" i="1"/>
  <c r="FA41" i="1"/>
  <c r="EZ41" i="1"/>
  <c r="EW41" i="1"/>
  <c r="IC41" i="1" s="1"/>
  <c r="EV41" i="1"/>
  <c r="ES41" i="1"/>
  <c r="ER41" i="1"/>
  <c r="ET41" i="1" s="1"/>
  <c r="EO41" i="1"/>
  <c r="EN41" i="1"/>
  <c r="EP41" i="1" s="1"/>
  <c r="EK41" i="1"/>
  <c r="EJ41" i="1"/>
  <c r="EG41" i="1"/>
  <c r="EF41" i="1"/>
  <c r="EH41" i="1" s="1"/>
  <c r="ED41" i="1"/>
  <c r="EC41" i="1"/>
  <c r="IG41" i="1" s="1"/>
  <c r="EB41" i="1"/>
  <c r="IF41" i="1" s="1"/>
  <c r="DY41" i="1"/>
  <c r="DX41" i="1"/>
  <c r="DU41" i="1"/>
  <c r="DT41" i="1"/>
  <c r="DV41" i="1" s="1"/>
  <c r="DQ41" i="1"/>
  <c r="DP41" i="1"/>
  <c r="DM41" i="1"/>
  <c r="DL41" i="1"/>
  <c r="DN41" i="1" s="1"/>
  <c r="DI41" i="1"/>
  <c r="DH41" i="1"/>
  <c r="DJ41" i="1" s="1"/>
  <c r="DE41" i="1"/>
  <c r="DD41" i="1"/>
  <c r="DA41" i="1"/>
  <c r="CZ41" i="1"/>
  <c r="DB41" i="1" s="1"/>
  <c r="CX41" i="1"/>
  <c r="CW41" i="1"/>
  <c r="CV41" i="1"/>
  <c r="CS41" i="1"/>
  <c r="CT41" i="1" s="1"/>
  <c r="CR41" i="1"/>
  <c r="CO41" i="1"/>
  <c r="CN41" i="1"/>
  <c r="CP41" i="1" s="1"/>
  <c r="CK41" i="1"/>
  <c r="CJ41" i="1"/>
  <c r="CG41" i="1"/>
  <c r="CC41" i="1"/>
  <c r="CB41" i="1"/>
  <c r="BY41" i="1"/>
  <c r="BX41" i="1"/>
  <c r="BZ41" i="1" s="1"/>
  <c r="BV41" i="1"/>
  <c r="BU41" i="1"/>
  <c r="BT41" i="1"/>
  <c r="BQ41" i="1"/>
  <c r="BR41" i="1" s="1"/>
  <c r="BP41" i="1"/>
  <c r="BM41" i="1"/>
  <c r="BL41" i="1"/>
  <c r="BN41" i="1" s="1"/>
  <c r="BI41" i="1"/>
  <c r="BH41" i="1"/>
  <c r="BE41" i="1"/>
  <c r="BD41" i="1"/>
  <c r="BF41" i="1" s="1"/>
  <c r="BA41" i="1"/>
  <c r="AZ41" i="1"/>
  <c r="AW41" i="1"/>
  <c r="AV41" i="1"/>
  <c r="AS41" i="1"/>
  <c r="AR41" i="1"/>
  <c r="AT41" i="1" s="1"/>
  <c r="AP41" i="1"/>
  <c r="AO41" i="1"/>
  <c r="AN41" i="1"/>
  <c r="AK41" i="1"/>
  <c r="AL41" i="1" s="1"/>
  <c r="AJ41" i="1"/>
  <c r="AG41" i="1"/>
  <c r="AF41" i="1"/>
  <c r="AH41" i="1" s="1"/>
  <c r="AC41" i="1"/>
  <c r="AB41" i="1"/>
  <c r="Y41" i="1"/>
  <c r="X41" i="1"/>
  <c r="Z41" i="1" s="1"/>
  <c r="U41" i="1"/>
  <c r="T41" i="1"/>
  <c r="V41" i="1" s="1"/>
  <c r="Q41" i="1"/>
  <c r="P41" i="1"/>
  <c r="M41" i="1"/>
  <c r="L41" i="1"/>
  <c r="J41" i="1"/>
  <c r="I41" i="1"/>
  <c r="H41" i="1"/>
  <c r="E41" i="1"/>
  <c r="F41" i="1" s="1"/>
  <c r="D41" i="1"/>
  <c r="HE40" i="1"/>
  <c r="HD40" i="1"/>
  <c r="HA40" i="1"/>
  <c r="GZ40" i="1"/>
  <c r="HB40" i="1" s="1"/>
  <c r="GW40" i="1"/>
  <c r="GX40" i="1" s="1"/>
  <c r="GV40" i="1"/>
  <c r="GS40" i="1"/>
  <c r="GR40" i="1"/>
  <c r="GT40" i="1" s="1"/>
  <c r="GO40" i="1"/>
  <c r="GN40" i="1"/>
  <c r="GP40" i="1" s="1"/>
  <c r="GK40" i="1"/>
  <c r="GJ40" i="1"/>
  <c r="GL40" i="1" s="1"/>
  <c r="GG40" i="1"/>
  <c r="GF40" i="1"/>
  <c r="GH40" i="1" s="1"/>
  <c r="GD40" i="1"/>
  <c r="GC40" i="1"/>
  <c r="GB40" i="1"/>
  <c r="FY40" i="1"/>
  <c r="FX40" i="1"/>
  <c r="FU40" i="1"/>
  <c r="FT40" i="1"/>
  <c r="FV40" i="1" s="1"/>
  <c r="FQ40" i="1"/>
  <c r="FR40" i="1" s="1"/>
  <c r="FP40" i="1"/>
  <c r="FM40" i="1"/>
  <c r="FL40" i="1"/>
  <c r="FN40" i="1" s="1"/>
  <c r="FI40" i="1"/>
  <c r="FH40" i="1"/>
  <c r="IJ40" i="1" s="1"/>
  <c r="FE40" i="1"/>
  <c r="FD40" i="1"/>
  <c r="FF40" i="1" s="1"/>
  <c r="FA40" i="1"/>
  <c r="EZ40" i="1"/>
  <c r="FB40" i="1" s="1"/>
  <c r="EX40" i="1"/>
  <c r="EW40" i="1"/>
  <c r="IC40" i="1" s="1"/>
  <c r="EV40" i="1"/>
  <c r="IB40" i="1" s="1"/>
  <c r="ID40" i="1" s="1"/>
  <c r="ES40" i="1"/>
  <c r="ER40" i="1"/>
  <c r="EO40" i="1"/>
  <c r="EN40" i="1"/>
  <c r="EP40" i="1" s="1"/>
  <c r="EK40" i="1"/>
  <c r="EL40" i="1" s="1"/>
  <c r="EJ40" i="1"/>
  <c r="EG40" i="1"/>
  <c r="EF40" i="1"/>
  <c r="EH40" i="1" s="1"/>
  <c r="EC40" i="1"/>
  <c r="IG40" i="1" s="1"/>
  <c r="EB40" i="1"/>
  <c r="ED40" i="1" s="1"/>
  <c r="DY40" i="1"/>
  <c r="HY40" i="1" s="1"/>
  <c r="DX40" i="1"/>
  <c r="DU40" i="1"/>
  <c r="DT40" i="1"/>
  <c r="DV40" i="1" s="1"/>
  <c r="DR40" i="1"/>
  <c r="DQ40" i="1"/>
  <c r="DP40" i="1"/>
  <c r="DM40" i="1"/>
  <c r="DL40" i="1"/>
  <c r="DI40" i="1"/>
  <c r="DH40" i="1"/>
  <c r="DJ40" i="1" s="1"/>
  <c r="DE40" i="1"/>
  <c r="DF40" i="1" s="1"/>
  <c r="DD40" i="1"/>
  <c r="DA40" i="1"/>
  <c r="CZ40" i="1"/>
  <c r="DB40" i="1" s="1"/>
  <c r="CW40" i="1"/>
  <c r="CV40" i="1"/>
  <c r="CS40" i="1"/>
  <c r="CR40" i="1"/>
  <c r="CT40" i="1" s="1"/>
  <c r="CO40" i="1"/>
  <c r="CN40" i="1"/>
  <c r="CP40" i="1" s="1"/>
  <c r="CL40" i="1"/>
  <c r="CK40" i="1"/>
  <c r="CJ40" i="1"/>
  <c r="CG40" i="1"/>
  <c r="CH40" i="1" s="1"/>
  <c r="CD40" i="1"/>
  <c r="CC40" i="1"/>
  <c r="CB40" i="1"/>
  <c r="BY40" i="1"/>
  <c r="BZ40" i="1" s="1"/>
  <c r="BX40" i="1"/>
  <c r="BU40" i="1"/>
  <c r="BT40" i="1"/>
  <c r="BQ40" i="1"/>
  <c r="BP40" i="1"/>
  <c r="BM40" i="1"/>
  <c r="BL40" i="1"/>
  <c r="BN40" i="1" s="1"/>
  <c r="BI40" i="1"/>
  <c r="BH40" i="1"/>
  <c r="BJ40" i="1" s="1"/>
  <c r="BE40" i="1"/>
  <c r="BD40" i="1"/>
  <c r="BA40" i="1"/>
  <c r="AZ40" i="1"/>
  <c r="BB40" i="1" s="1"/>
  <c r="AX40" i="1"/>
  <c r="AW40" i="1"/>
  <c r="AV40" i="1"/>
  <c r="AS40" i="1"/>
  <c r="AT40" i="1" s="1"/>
  <c r="AR40" i="1"/>
  <c r="AO40" i="1"/>
  <c r="AN40" i="1"/>
  <c r="AK40" i="1"/>
  <c r="AJ40" i="1"/>
  <c r="AG40" i="1"/>
  <c r="AF40" i="1"/>
  <c r="AH40" i="1" s="1"/>
  <c r="AC40" i="1"/>
  <c r="AB40" i="1"/>
  <c r="AD40" i="1" s="1"/>
  <c r="Y40" i="1"/>
  <c r="X40" i="1"/>
  <c r="U40" i="1"/>
  <c r="T40" i="1"/>
  <c r="V40" i="1" s="1"/>
  <c r="R40" i="1"/>
  <c r="Q40" i="1"/>
  <c r="P40" i="1"/>
  <c r="M40" i="1"/>
  <c r="N40" i="1" s="1"/>
  <c r="L40" i="1"/>
  <c r="I40" i="1"/>
  <c r="H40" i="1"/>
  <c r="E40" i="1"/>
  <c r="D40" i="1"/>
  <c r="HE39" i="1"/>
  <c r="HD39" i="1"/>
  <c r="HF39" i="1" s="1"/>
  <c r="HA39" i="1"/>
  <c r="GZ39" i="1"/>
  <c r="GW39" i="1"/>
  <c r="GV39" i="1"/>
  <c r="GX39" i="1" s="1"/>
  <c r="GS39" i="1"/>
  <c r="GR39" i="1"/>
  <c r="GO39" i="1"/>
  <c r="GN39" i="1"/>
  <c r="GP39" i="1" s="1"/>
  <c r="GK39" i="1"/>
  <c r="GJ39" i="1"/>
  <c r="GL39" i="1" s="1"/>
  <c r="GG39" i="1"/>
  <c r="GF39" i="1"/>
  <c r="GC39" i="1"/>
  <c r="GB39" i="1"/>
  <c r="GD39" i="1" s="1"/>
  <c r="FZ39" i="1"/>
  <c r="FY39" i="1"/>
  <c r="FX39" i="1"/>
  <c r="FU39" i="1"/>
  <c r="FV39" i="1" s="1"/>
  <c r="FT39" i="1"/>
  <c r="FQ39" i="1"/>
  <c r="FP39" i="1"/>
  <c r="FR39" i="1" s="1"/>
  <c r="FM39" i="1"/>
  <c r="FL39" i="1"/>
  <c r="FI39" i="1"/>
  <c r="IK39" i="1" s="1"/>
  <c r="FH39" i="1"/>
  <c r="FE39" i="1"/>
  <c r="FD39" i="1"/>
  <c r="FF39" i="1" s="1"/>
  <c r="FA39" i="1"/>
  <c r="EZ39" i="1"/>
  <c r="EW39" i="1"/>
  <c r="EV39" i="1"/>
  <c r="ET39" i="1"/>
  <c r="ES39" i="1"/>
  <c r="ER39" i="1"/>
  <c r="EO39" i="1"/>
  <c r="EP39" i="1" s="1"/>
  <c r="EN39" i="1"/>
  <c r="EK39" i="1"/>
  <c r="EJ39" i="1"/>
  <c r="EL39" i="1" s="1"/>
  <c r="EG39" i="1"/>
  <c r="EF39" i="1"/>
  <c r="EC39" i="1"/>
  <c r="IG39" i="1" s="1"/>
  <c r="EB39" i="1"/>
  <c r="DY39" i="1"/>
  <c r="DX39" i="1"/>
  <c r="DZ39" i="1" s="1"/>
  <c r="DU39" i="1"/>
  <c r="DT39" i="1"/>
  <c r="DQ39" i="1"/>
  <c r="DP39" i="1"/>
  <c r="DR39" i="1" s="1"/>
  <c r="DN39" i="1"/>
  <c r="DM39" i="1"/>
  <c r="DL39" i="1"/>
  <c r="DI39" i="1"/>
  <c r="DJ39" i="1" s="1"/>
  <c r="DH39" i="1"/>
  <c r="DE39" i="1"/>
  <c r="DD39" i="1"/>
  <c r="HT39" i="1" s="1"/>
  <c r="DA39" i="1"/>
  <c r="CZ39" i="1"/>
  <c r="CW39" i="1"/>
  <c r="CV39" i="1"/>
  <c r="CX39" i="1" s="1"/>
  <c r="CS39" i="1"/>
  <c r="CR39" i="1"/>
  <c r="CT39" i="1" s="1"/>
  <c r="CO39" i="1"/>
  <c r="CN39" i="1"/>
  <c r="CK39" i="1"/>
  <c r="CJ39" i="1"/>
  <c r="CL39" i="1" s="1"/>
  <c r="CH39" i="1"/>
  <c r="CG39" i="1"/>
  <c r="CC39" i="1"/>
  <c r="CB39" i="1"/>
  <c r="CD39" i="1" s="1"/>
  <c r="BY39" i="1"/>
  <c r="BX39" i="1"/>
  <c r="BU39" i="1"/>
  <c r="BT39" i="1"/>
  <c r="BV39" i="1" s="1"/>
  <c r="BQ39" i="1"/>
  <c r="BP39" i="1"/>
  <c r="BR39" i="1" s="1"/>
  <c r="BM39" i="1"/>
  <c r="BL39" i="1"/>
  <c r="BI39" i="1"/>
  <c r="BH39" i="1"/>
  <c r="BJ39" i="1" s="1"/>
  <c r="BE39" i="1"/>
  <c r="BD39" i="1"/>
  <c r="BA39" i="1"/>
  <c r="AZ39" i="1"/>
  <c r="BB39" i="1" s="1"/>
  <c r="AW39" i="1"/>
  <c r="AV39" i="1"/>
  <c r="AS39" i="1"/>
  <c r="AR39" i="1"/>
  <c r="AT39" i="1" s="1"/>
  <c r="AO39" i="1"/>
  <c r="AN39" i="1"/>
  <c r="AP39" i="1" s="1"/>
  <c r="AK39" i="1"/>
  <c r="AL39" i="1" s="1"/>
  <c r="AJ39" i="1"/>
  <c r="AG39" i="1"/>
  <c r="AF39" i="1"/>
  <c r="AH39" i="1" s="1"/>
  <c r="AC39" i="1"/>
  <c r="HM39" i="1" s="1"/>
  <c r="AB39" i="1"/>
  <c r="Y39" i="1"/>
  <c r="X39" i="1"/>
  <c r="Z39" i="1" s="1"/>
  <c r="V39" i="1"/>
  <c r="U39" i="1"/>
  <c r="T39" i="1"/>
  <c r="Q39" i="1"/>
  <c r="P39" i="1"/>
  <c r="M39" i="1"/>
  <c r="L39" i="1"/>
  <c r="N39" i="1" s="1"/>
  <c r="I39" i="1"/>
  <c r="H39" i="1"/>
  <c r="J39" i="1" s="1"/>
  <c r="E39" i="1"/>
  <c r="D39" i="1"/>
  <c r="HE38" i="1"/>
  <c r="HD38" i="1"/>
  <c r="HF38" i="1" s="1"/>
  <c r="HA38" i="1"/>
  <c r="GZ38" i="1"/>
  <c r="GW38" i="1"/>
  <c r="GV38" i="1"/>
  <c r="GX38" i="1" s="1"/>
  <c r="GT38" i="1"/>
  <c r="GS38" i="1"/>
  <c r="GR38" i="1"/>
  <c r="GO38" i="1"/>
  <c r="GN38" i="1"/>
  <c r="GK38" i="1"/>
  <c r="GJ38" i="1"/>
  <c r="GL38" i="1" s="1"/>
  <c r="GG38" i="1"/>
  <c r="GF38" i="1"/>
  <c r="GH38" i="1" s="1"/>
  <c r="GC38" i="1"/>
  <c r="GB38" i="1"/>
  <c r="GD38" i="1" s="1"/>
  <c r="FY38" i="1"/>
  <c r="FX38" i="1"/>
  <c r="FU38" i="1"/>
  <c r="FT38" i="1"/>
  <c r="FV38" i="1" s="1"/>
  <c r="FQ38" i="1"/>
  <c r="FP38" i="1"/>
  <c r="FM38" i="1"/>
  <c r="FL38" i="1"/>
  <c r="FN38" i="1" s="1"/>
  <c r="FI38" i="1"/>
  <c r="FH38" i="1"/>
  <c r="FE38" i="1"/>
  <c r="FD38" i="1"/>
  <c r="FF38" i="1" s="1"/>
  <c r="FA38" i="1"/>
  <c r="EZ38" i="1"/>
  <c r="FB38" i="1" s="1"/>
  <c r="EW38" i="1"/>
  <c r="EV38" i="1"/>
  <c r="ES38" i="1"/>
  <c r="ER38" i="1"/>
  <c r="ET38" i="1" s="1"/>
  <c r="EO38" i="1"/>
  <c r="EN38" i="1"/>
  <c r="EK38" i="1"/>
  <c r="EJ38" i="1"/>
  <c r="EL38" i="1" s="1"/>
  <c r="EH38" i="1"/>
  <c r="EG38" i="1"/>
  <c r="EF38" i="1"/>
  <c r="EC38" i="1"/>
  <c r="IG38" i="1" s="1"/>
  <c r="EB38" i="1"/>
  <c r="IF38" i="1" s="1"/>
  <c r="DY38" i="1"/>
  <c r="DX38" i="1"/>
  <c r="DU38" i="1"/>
  <c r="DT38" i="1"/>
  <c r="DV38" i="1" s="1"/>
  <c r="DQ38" i="1"/>
  <c r="DP38" i="1"/>
  <c r="DR38" i="1" s="1"/>
  <c r="DM38" i="1"/>
  <c r="DL38" i="1"/>
  <c r="DI38" i="1"/>
  <c r="DH38" i="1"/>
  <c r="DJ38" i="1" s="1"/>
  <c r="DE38" i="1"/>
  <c r="DD38" i="1"/>
  <c r="DA38" i="1"/>
  <c r="CZ38" i="1"/>
  <c r="DB38" i="1" s="1"/>
  <c r="CW38" i="1"/>
  <c r="CV38" i="1"/>
  <c r="CS38" i="1"/>
  <c r="CR38" i="1"/>
  <c r="CT38" i="1" s="1"/>
  <c r="CO38" i="1"/>
  <c r="CN38" i="1"/>
  <c r="CK38" i="1"/>
  <c r="CL38" i="1" s="1"/>
  <c r="CJ38" i="1"/>
  <c r="CG38" i="1"/>
  <c r="CH38" i="1" s="1"/>
  <c r="CC38" i="1"/>
  <c r="CB38" i="1"/>
  <c r="BY38" i="1"/>
  <c r="BX38" i="1"/>
  <c r="BZ38" i="1" s="1"/>
  <c r="BU38" i="1"/>
  <c r="BT38" i="1"/>
  <c r="BQ38" i="1"/>
  <c r="BP38" i="1"/>
  <c r="BR38" i="1" s="1"/>
  <c r="BM38" i="1"/>
  <c r="BL38" i="1"/>
  <c r="BI38" i="1"/>
  <c r="BH38" i="1"/>
  <c r="BJ38" i="1" s="1"/>
  <c r="BE38" i="1"/>
  <c r="BD38" i="1"/>
  <c r="BF38" i="1" s="1"/>
  <c r="BA38" i="1"/>
  <c r="AZ38" i="1"/>
  <c r="BB38" i="1" s="1"/>
  <c r="AW38" i="1"/>
  <c r="AV38" i="1"/>
  <c r="AS38" i="1"/>
  <c r="AT38" i="1" s="1"/>
  <c r="AR38" i="1"/>
  <c r="AO38" i="1"/>
  <c r="AN38" i="1"/>
  <c r="AP38" i="1" s="1"/>
  <c r="AK38" i="1"/>
  <c r="AJ38" i="1"/>
  <c r="AG38" i="1"/>
  <c r="AF38" i="1"/>
  <c r="AD38" i="1"/>
  <c r="AC38" i="1"/>
  <c r="AB38" i="1"/>
  <c r="Y38" i="1"/>
  <c r="X38" i="1"/>
  <c r="U38" i="1"/>
  <c r="T38" i="1"/>
  <c r="V38" i="1" s="1"/>
  <c r="Q38" i="1"/>
  <c r="P38" i="1"/>
  <c r="R38" i="1" s="1"/>
  <c r="M38" i="1"/>
  <c r="L38" i="1"/>
  <c r="N38" i="1" s="1"/>
  <c r="I38" i="1"/>
  <c r="H38" i="1"/>
  <c r="E38" i="1"/>
  <c r="D38" i="1"/>
  <c r="HE37" i="1"/>
  <c r="HF37" i="1" s="1"/>
  <c r="HD37" i="1"/>
  <c r="HA37" i="1"/>
  <c r="HB37" i="1" s="1"/>
  <c r="GZ37" i="1"/>
  <c r="GW37" i="1"/>
  <c r="GV37" i="1"/>
  <c r="GS37" i="1"/>
  <c r="GR37" i="1"/>
  <c r="GO37" i="1"/>
  <c r="GN37" i="1"/>
  <c r="GL37" i="1"/>
  <c r="GK37" i="1"/>
  <c r="GJ37" i="1"/>
  <c r="GG37" i="1"/>
  <c r="GF37" i="1"/>
  <c r="GC37" i="1"/>
  <c r="GB37" i="1"/>
  <c r="FY37" i="1"/>
  <c r="FZ37" i="1" s="1"/>
  <c r="FX37" i="1"/>
  <c r="FU37" i="1"/>
  <c r="FT37" i="1"/>
  <c r="FV37" i="1" s="1"/>
  <c r="FQ37" i="1"/>
  <c r="FP37" i="1"/>
  <c r="FM37" i="1"/>
  <c r="FL37" i="1"/>
  <c r="FN37" i="1" s="1"/>
  <c r="FI37" i="1"/>
  <c r="FJ37" i="1" s="1"/>
  <c r="FH37" i="1"/>
  <c r="FE37" i="1"/>
  <c r="FD37" i="1"/>
  <c r="FF37" i="1" s="1"/>
  <c r="FA37" i="1"/>
  <c r="EZ37" i="1"/>
  <c r="EW37" i="1"/>
  <c r="IC37" i="1" s="1"/>
  <c r="EV37" i="1"/>
  <c r="ES37" i="1"/>
  <c r="ET37" i="1" s="1"/>
  <c r="ER37" i="1"/>
  <c r="EO37" i="1"/>
  <c r="EP37" i="1" s="1"/>
  <c r="EN37" i="1"/>
  <c r="EK37" i="1"/>
  <c r="EJ37" i="1"/>
  <c r="EG37" i="1"/>
  <c r="EF37" i="1"/>
  <c r="EC37" i="1"/>
  <c r="IG37" i="1" s="1"/>
  <c r="EB37" i="1"/>
  <c r="IF37" i="1" s="1"/>
  <c r="IH37" i="1" s="1"/>
  <c r="DZ37" i="1"/>
  <c r="DY37" i="1"/>
  <c r="DX37" i="1"/>
  <c r="DU37" i="1"/>
  <c r="DT37" i="1"/>
  <c r="DQ37" i="1"/>
  <c r="DP37" i="1"/>
  <c r="DM37" i="1"/>
  <c r="DL37" i="1"/>
  <c r="DI37" i="1"/>
  <c r="DH37" i="1"/>
  <c r="DJ37" i="1" s="1"/>
  <c r="DE37" i="1"/>
  <c r="DD37" i="1"/>
  <c r="DA37" i="1"/>
  <c r="CZ37" i="1"/>
  <c r="DB37" i="1" s="1"/>
  <c r="CW37" i="1"/>
  <c r="CV37" i="1"/>
  <c r="CS37" i="1"/>
  <c r="CR37" i="1"/>
  <c r="CT37" i="1" s="1"/>
  <c r="CO37" i="1"/>
  <c r="CN37" i="1"/>
  <c r="CK37" i="1"/>
  <c r="CJ37" i="1"/>
  <c r="CL37" i="1" s="1"/>
  <c r="CG37" i="1"/>
  <c r="CH37" i="1" s="1"/>
  <c r="CC37" i="1"/>
  <c r="CB37" i="1"/>
  <c r="BY37" i="1"/>
  <c r="BX37" i="1"/>
  <c r="BU37" i="1"/>
  <c r="BT37" i="1"/>
  <c r="BV37" i="1" s="1"/>
  <c r="BR37" i="1"/>
  <c r="BQ37" i="1"/>
  <c r="BP37" i="1"/>
  <c r="BM37" i="1"/>
  <c r="BL37" i="1"/>
  <c r="BI37" i="1"/>
  <c r="BH37" i="1"/>
  <c r="BE37" i="1"/>
  <c r="BD37" i="1"/>
  <c r="BF37" i="1" s="1"/>
  <c r="BA37" i="1"/>
  <c r="AZ37" i="1"/>
  <c r="BB37" i="1" s="1"/>
  <c r="AW37" i="1"/>
  <c r="AV37" i="1"/>
  <c r="AS37" i="1"/>
  <c r="AR37" i="1"/>
  <c r="AT37" i="1" s="1"/>
  <c r="AO37" i="1"/>
  <c r="AN37" i="1"/>
  <c r="AK37" i="1"/>
  <c r="AJ37" i="1"/>
  <c r="AL37" i="1" s="1"/>
  <c r="AG37" i="1"/>
  <c r="AF37" i="1"/>
  <c r="AC37" i="1"/>
  <c r="AB37" i="1"/>
  <c r="AD37" i="1" s="1"/>
  <c r="Y37" i="1"/>
  <c r="X37" i="1"/>
  <c r="U37" i="1"/>
  <c r="V37" i="1" s="1"/>
  <c r="T37" i="1"/>
  <c r="Q37" i="1"/>
  <c r="P37" i="1"/>
  <c r="M37" i="1"/>
  <c r="L37" i="1"/>
  <c r="I37" i="1"/>
  <c r="H37" i="1"/>
  <c r="J37" i="1" s="1"/>
  <c r="F37" i="1"/>
  <c r="E37" i="1"/>
  <c r="D37" i="1"/>
  <c r="IF36" i="1"/>
  <c r="HU36" i="1"/>
  <c r="HE36" i="1"/>
  <c r="HD36" i="1"/>
  <c r="HF36" i="1" s="1"/>
  <c r="HA36" i="1"/>
  <c r="GZ36" i="1"/>
  <c r="HB36" i="1" s="1"/>
  <c r="GW36" i="1"/>
  <c r="GV36" i="1"/>
  <c r="GX36" i="1" s="1"/>
  <c r="GS36" i="1"/>
  <c r="GT36" i="1" s="1"/>
  <c r="GR36" i="1"/>
  <c r="GO36" i="1"/>
  <c r="GN36" i="1"/>
  <c r="GK36" i="1"/>
  <c r="GJ36" i="1"/>
  <c r="GG36" i="1"/>
  <c r="GF36" i="1"/>
  <c r="GH36" i="1" s="1"/>
  <c r="GD36" i="1"/>
  <c r="GC36" i="1"/>
  <c r="GB36" i="1"/>
  <c r="FY36" i="1"/>
  <c r="FX36" i="1"/>
  <c r="FU36" i="1"/>
  <c r="FT36" i="1"/>
  <c r="FV36" i="1" s="1"/>
  <c r="FQ36" i="1"/>
  <c r="FP36" i="1"/>
  <c r="FR36" i="1" s="1"/>
  <c r="FM36" i="1"/>
  <c r="FL36" i="1"/>
  <c r="FN36" i="1" s="1"/>
  <c r="FI36" i="1"/>
  <c r="IK36" i="1" s="1"/>
  <c r="FH36" i="1"/>
  <c r="FE36" i="1"/>
  <c r="FD36" i="1"/>
  <c r="FF36" i="1" s="1"/>
  <c r="FA36" i="1"/>
  <c r="EZ36" i="1"/>
  <c r="FB36" i="1" s="1"/>
  <c r="EW36" i="1"/>
  <c r="EV36" i="1"/>
  <c r="ES36" i="1"/>
  <c r="ER36" i="1"/>
  <c r="ET36" i="1" s="1"/>
  <c r="EO36" i="1"/>
  <c r="EN36" i="1"/>
  <c r="EP36" i="1" s="1"/>
  <c r="EK36" i="1"/>
  <c r="EJ36" i="1"/>
  <c r="EL36" i="1" s="1"/>
  <c r="EG36" i="1"/>
  <c r="EF36" i="1"/>
  <c r="EH36" i="1" s="1"/>
  <c r="EC36" i="1"/>
  <c r="IG36" i="1" s="1"/>
  <c r="EB36" i="1"/>
  <c r="DY36" i="1"/>
  <c r="DX36" i="1"/>
  <c r="DU36" i="1"/>
  <c r="DT36" i="1"/>
  <c r="DQ36" i="1"/>
  <c r="DP36" i="1"/>
  <c r="DR36" i="1" s="1"/>
  <c r="DM36" i="1"/>
  <c r="DL36" i="1"/>
  <c r="DN36" i="1" s="1"/>
  <c r="DI36" i="1"/>
  <c r="DH36" i="1"/>
  <c r="DJ36" i="1" s="1"/>
  <c r="DE36" i="1"/>
  <c r="DD36" i="1"/>
  <c r="DA36" i="1"/>
  <c r="DB36" i="1" s="1"/>
  <c r="CZ36" i="1"/>
  <c r="CW36" i="1"/>
  <c r="CV36" i="1"/>
  <c r="CS36" i="1"/>
  <c r="CR36" i="1"/>
  <c r="CO36" i="1"/>
  <c r="CN36" i="1"/>
  <c r="CP36" i="1" s="1"/>
  <c r="CL36" i="1"/>
  <c r="CK36" i="1"/>
  <c r="CJ36" i="1"/>
  <c r="CG36" i="1"/>
  <c r="CH36" i="1" s="1"/>
  <c r="CC36" i="1"/>
  <c r="CB36" i="1"/>
  <c r="BY36" i="1"/>
  <c r="BX36" i="1"/>
  <c r="BZ36" i="1" s="1"/>
  <c r="BU36" i="1"/>
  <c r="BT36" i="1"/>
  <c r="BV36" i="1" s="1"/>
  <c r="BQ36" i="1"/>
  <c r="BP36" i="1"/>
  <c r="BR36" i="1" s="1"/>
  <c r="BM36" i="1"/>
  <c r="BL36" i="1"/>
  <c r="BN36" i="1" s="1"/>
  <c r="BI36" i="1"/>
  <c r="BJ36" i="1" s="1"/>
  <c r="BH36" i="1"/>
  <c r="BE36" i="1"/>
  <c r="BD36" i="1"/>
  <c r="BF36" i="1" s="1"/>
  <c r="BA36" i="1"/>
  <c r="HQ36" i="1" s="1"/>
  <c r="AZ36" i="1"/>
  <c r="AW36" i="1"/>
  <c r="AV36" i="1"/>
  <c r="AX36" i="1" s="1"/>
  <c r="AT36" i="1"/>
  <c r="AS36" i="1"/>
  <c r="AR36" i="1"/>
  <c r="AO36" i="1"/>
  <c r="AN36" i="1"/>
  <c r="AP36" i="1" s="1"/>
  <c r="AK36" i="1"/>
  <c r="AJ36" i="1"/>
  <c r="AL36" i="1" s="1"/>
  <c r="AG36" i="1"/>
  <c r="AF36" i="1"/>
  <c r="AH36" i="1" s="1"/>
  <c r="AC36" i="1"/>
  <c r="AB36" i="1"/>
  <c r="AD36" i="1" s="1"/>
  <c r="Y36" i="1"/>
  <c r="X36" i="1"/>
  <c r="U36" i="1"/>
  <c r="T36" i="1"/>
  <c r="V36" i="1" s="1"/>
  <c r="Q36" i="1"/>
  <c r="P36" i="1"/>
  <c r="M36" i="1"/>
  <c r="L36" i="1"/>
  <c r="N36" i="1" s="1"/>
  <c r="I36" i="1"/>
  <c r="H36" i="1"/>
  <c r="J36" i="1" s="1"/>
  <c r="E36" i="1"/>
  <c r="D36" i="1"/>
  <c r="HE35" i="1"/>
  <c r="HD35" i="1"/>
  <c r="HF35" i="1" s="1"/>
  <c r="HB35" i="1"/>
  <c r="HA35" i="1"/>
  <c r="GZ35" i="1"/>
  <c r="GW35" i="1"/>
  <c r="GV35" i="1"/>
  <c r="GS35" i="1"/>
  <c r="GR35" i="1"/>
  <c r="GT35" i="1" s="1"/>
  <c r="GO35" i="1"/>
  <c r="GN35" i="1"/>
  <c r="GP35" i="1" s="1"/>
  <c r="GK35" i="1"/>
  <c r="GJ35" i="1"/>
  <c r="GL35" i="1" s="1"/>
  <c r="GG35" i="1"/>
  <c r="GF35" i="1"/>
  <c r="GC35" i="1"/>
  <c r="GB35" i="1"/>
  <c r="GD35" i="1" s="1"/>
  <c r="FY35" i="1"/>
  <c r="FX35" i="1"/>
  <c r="FU35" i="1"/>
  <c r="FT35" i="1"/>
  <c r="FV35" i="1" s="1"/>
  <c r="FQ35" i="1"/>
  <c r="FP35" i="1"/>
  <c r="FR35" i="1" s="1"/>
  <c r="FM35" i="1"/>
  <c r="FL35" i="1"/>
  <c r="FN35" i="1" s="1"/>
  <c r="FI35" i="1"/>
  <c r="FH35" i="1"/>
  <c r="FJ35" i="1" s="1"/>
  <c r="FE35" i="1"/>
  <c r="FF35" i="1" s="1"/>
  <c r="FD35" i="1"/>
  <c r="FA35" i="1"/>
  <c r="EZ35" i="1"/>
  <c r="FB35" i="1" s="1"/>
  <c r="EW35" i="1"/>
  <c r="IC35" i="1" s="1"/>
  <c r="EV35" i="1"/>
  <c r="ES35" i="1"/>
  <c r="ER35" i="1"/>
  <c r="ET35" i="1" s="1"/>
  <c r="EP35" i="1"/>
  <c r="EO35" i="1"/>
  <c r="EN35" i="1"/>
  <c r="EK35" i="1"/>
  <c r="EJ35" i="1"/>
  <c r="EG35" i="1"/>
  <c r="EF35" i="1"/>
  <c r="EH35" i="1" s="1"/>
  <c r="EC35" i="1"/>
  <c r="IG35" i="1" s="1"/>
  <c r="EB35" i="1"/>
  <c r="IF35" i="1" s="1"/>
  <c r="IH35" i="1" s="1"/>
  <c r="DY35" i="1"/>
  <c r="DX35" i="1"/>
  <c r="DZ35" i="1" s="1"/>
  <c r="DU35" i="1"/>
  <c r="DT35" i="1"/>
  <c r="DQ35" i="1"/>
  <c r="DP35" i="1"/>
  <c r="DR35" i="1" s="1"/>
  <c r="DM35" i="1"/>
  <c r="DN35" i="1" s="1"/>
  <c r="DL35" i="1"/>
  <c r="DI35" i="1"/>
  <c r="DH35" i="1"/>
  <c r="DJ35" i="1" s="1"/>
  <c r="DE35" i="1"/>
  <c r="DD35" i="1"/>
  <c r="DA35" i="1"/>
  <c r="CZ35" i="1"/>
  <c r="DB35" i="1" s="1"/>
  <c r="CW35" i="1"/>
  <c r="CV35" i="1"/>
  <c r="CX35" i="1" s="1"/>
  <c r="CS35" i="1"/>
  <c r="CT35" i="1" s="1"/>
  <c r="CR35" i="1"/>
  <c r="CO35" i="1"/>
  <c r="CN35" i="1"/>
  <c r="CP35" i="1" s="1"/>
  <c r="CK35" i="1"/>
  <c r="CJ35" i="1"/>
  <c r="CG35" i="1"/>
  <c r="CH35" i="1" s="1"/>
  <c r="CC35" i="1"/>
  <c r="CB35" i="1"/>
  <c r="BY35" i="1"/>
  <c r="BX35" i="1"/>
  <c r="BZ35" i="1" s="1"/>
  <c r="BU35" i="1"/>
  <c r="BT35" i="1"/>
  <c r="BV35" i="1" s="1"/>
  <c r="BQ35" i="1"/>
  <c r="BP35" i="1"/>
  <c r="BR35" i="1" s="1"/>
  <c r="BM35" i="1"/>
  <c r="BL35" i="1"/>
  <c r="BI35" i="1"/>
  <c r="BH35" i="1"/>
  <c r="BJ35" i="1" s="1"/>
  <c r="BE35" i="1"/>
  <c r="BD35" i="1"/>
  <c r="BA35" i="1"/>
  <c r="AZ35" i="1"/>
  <c r="BB35" i="1" s="1"/>
  <c r="AW35" i="1"/>
  <c r="AV35" i="1"/>
  <c r="AX35" i="1" s="1"/>
  <c r="AS35" i="1"/>
  <c r="AR35" i="1"/>
  <c r="AT35" i="1" s="1"/>
  <c r="AO35" i="1"/>
  <c r="AN35" i="1"/>
  <c r="AP35" i="1" s="1"/>
  <c r="AK35" i="1"/>
  <c r="AL35" i="1" s="1"/>
  <c r="AJ35" i="1"/>
  <c r="AG35" i="1"/>
  <c r="AF35" i="1"/>
  <c r="AH35" i="1" s="1"/>
  <c r="AC35" i="1"/>
  <c r="AB35" i="1"/>
  <c r="Y35" i="1"/>
  <c r="X35" i="1"/>
  <c r="Z35" i="1" s="1"/>
  <c r="V35" i="1"/>
  <c r="U35" i="1"/>
  <c r="T35" i="1"/>
  <c r="Q35" i="1"/>
  <c r="P35" i="1"/>
  <c r="M35" i="1"/>
  <c r="L35" i="1"/>
  <c r="N35" i="1" s="1"/>
  <c r="I35" i="1"/>
  <c r="H35" i="1"/>
  <c r="J35" i="1" s="1"/>
  <c r="E35" i="1"/>
  <c r="D35" i="1"/>
  <c r="HE34" i="1"/>
  <c r="HD34" i="1"/>
  <c r="HF34" i="1" s="1"/>
  <c r="HA34" i="1"/>
  <c r="GZ34" i="1"/>
  <c r="GW34" i="1"/>
  <c r="GV34" i="1"/>
  <c r="GX34" i="1" s="1"/>
  <c r="GT34" i="1"/>
  <c r="GS34" i="1"/>
  <c r="GR34" i="1"/>
  <c r="GO34" i="1"/>
  <c r="GN34" i="1"/>
  <c r="GK34" i="1"/>
  <c r="GJ34" i="1"/>
  <c r="GL34" i="1" s="1"/>
  <c r="GG34" i="1"/>
  <c r="GF34" i="1"/>
  <c r="GH34" i="1" s="1"/>
  <c r="GC34" i="1"/>
  <c r="GB34" i="1"/>
  <c r="GD34" i="1" s="1"/>
  <c r="FY34" i="1"/>
  <c r="FZ34" i="1" s="1"/>
  <c r="FX34" i="1"/>
  <c r="FU34" i="1"/>
  <c r="FT34" i="1"/>
  <c r="FV34" i="1" s="1"/>
  <c r="FQ34" i="1"/>
  <c r="FP34" i="1"/>
  <c r="FM34" i="1"/>
  <c r="FL34" i="1"/>
  <c r="FN34" i="1" s="1"/>
  <c r="FI34" i="1"/>
  <c r="FJ34" i="1" s="1"/>
  <c r="FH34" i="1"/>
  <c r="FE34" i="1"/>
  <c r="FD34" i="1"/>
  <c r="FF34" i="1" s="1"/>
  <c r="FA34" i="1"/>
  <c r="EZ34" i="1"/>
  <c r="FB34" i="1" s="1"/>
  <c r="EW34" i="1"/>
  <c r="IC34" i="1" s="1"/>
  <c r="EV34" i="1"/>
  <c r="ES34" i="1"/>
  <c r="ER34" i="1"/>
  <c r="ET34" i="1" s="1"/>
  <c r="EO34" i="1"/>
  <c r="EN34" i="1"/>
  <c r="EK34" i="1"/>
  <c r="EJ34" i="1"/>
  <c r="EL34" i="1" s="1"/>
  <c r="EH34" i="1"/>
  <c r="EG34" i="1"/>
  <c r="EF34" i="1"/>
  <c r="EC34" i="1"/>
  <c r="IG34" i="1" s="1"/>
  <c r="EB34" i="1"/>
  <c r="IF34" i="1" s="1"/>
  <c r="DY34" i="1"/>
  <c r="DX34" i="1"/>
  <c r="DU34" i="1"/>
  <c r="DT34" i="1"/>
  <c r="DV34" i="1" s="1"/>
  <c r="DQ34" i="1"/>
  <c r="DP34" i="1"/>
  <c r="DR34" i="1" s="1"/>
  <c r="DM34" i="1"/>
  <c r="DL34" i="1"/>
  <c r="DI34" i="1"/>
  <c r="DH34" i="1"/>
  <c r="DJ34" i="1" s="1"/>
  <c r="DE34" i="1"/>
  <c r="DD34" i="1"/>
  <c r="DA34" i="1"/>
  <c r="CZ34" i="1"/>
  <c r="DB34" i="1" s="1"/>
  <c r="CW34" i="1"/>
  <c r="CX34" i="1" s="1"/>
  <c r="CV34" i="1"/>
  <c r="CS34" i="1"/>
  <c r="CR34" i="1"/>
  <c r="CT34" i="1" s="1"/>
  <c r="CO34" i="1"/>
  <c r="CN34" i="1"/>
  <c r="CK34" i="1"/>
  <c r="CL34" i="1" s="1"/>
  <c r="CJ34" i="1"/>
  <c r="CG34" i="1"/>
  <c r="CH34" i="1" s="1"/>
  <c r="CC34" i="1"/>
  <c r="CB34" i="1"/>
  <c r="CD34" i="1" s="1"/>
  <c r="BY34" i="1"/>
  <c r="BX34" i="1"/>
  <c r="BZ34" i="1" s="1"/>
  <c r="BU34" i="1"/>
  <c r="BV34" i="1" s="1"/>
  <c r="BT34" i="1"/>
  <c r="BQ34" i="1"/>
  <c r="BP34" i="1"/>
  <c r="BR34" i="1" s="1"/>
  <c r="BM34" i="1"/>
  <c r="BL34" i="1"/>
  <c r="BI34" i="1"/>
  <c r="BH34" i="1"/>
  <c r="BJ34" i="1" s="1"/>
  <c r="BE34" i="1"/>
  <c r="BF34" i="1" s="1"/>
  <c r="BD34" i="1"/>
  <c r="BA34" i="1"/>
  <c r="AZ34" i="1"/>
  <c r="BB34" i="1" s="1"/>
  <c r="AW34" i="1"/>
  <c r="AV34" i="1"/>
  <c r="AX34" i="1" s="1"/>
  <c r="AS34" i="1"/>
  <c r="AT34" i="1" s="1"/>
  <c r="AR34" i="1"/>
  <c r="AO34" i="1"/>
  <c r="AN34" i="1"/>
  <c r="AP34" i="1" s="1"/>
  <c r="AK34" i="1"/>
  <c r="AJ34" i="1"/>
  <c r="AG34" i="1"/>
  <c r="AF34" i="1"/>
  <c r="AH34" i="1" s="1"/>
  <c r="AD34" i="1"/>
  <c r="AC34" i="1"/>
  <c r="AB34" i="1"/>
  <c r="Y34" i="1"/>
  <c r="X34" i="1"/>
  <c r="U34" i="1"/>
  <c r="T34" i="1"/>
  <c r="Q34" i="1"/>
  <c r="P34" i="1"/>
  <c r="R34" i="1" s="1"/>
  <c r="M34" i="1"/>
  <c r="L34" i="1"/>
  <c r="N34" i="1" s="1"/>
  <c r="I34" i="1"/>
  <c r="H34" i="1"/>
  <c r="E34" i="1"/>
  <c r="D34" i="1"/>
  <c r="HE33" i="1"/>
  <c r="HD33" i="1"/>
  <c r="HF33" i="1" s="1"/>
  <c r="HA33" i="1"/>
  <c r="HB33" i="1" s="1"/>
  <c r="GZ33" i="1"/>
  <c r="GW33" i="1"/>
  <c r="GV33" i="1"/>
  <c r="GS33" i="1"/>
  <c r="GR33" i="1"/>
  <c r="GO33" i="1"/>
  <c r="GN33" i="1"/>
  <c r="GP33" i="1" s="1"/>
  <c r="GL33" i="1"/>
  <c r="GK33" i="1"/>
  <c r="GJ33" i="1"/>
  <c r="GG33" i="1"/>
  <c r="GF33" i="1"/>
  <c r="GC33" i="1"/>
  <c r="GB33" i="1"/>
  <c r="GD33" i="1" s="1"/>
  <c r="FY33" i="1"/>
  <c r="FX33" i="1"/>
  <c r="FZ33" i="1" s="1"/>
  <c r="FU33" i="1"/>
  <c r="FT33" i="1"/>
  <c r="FV33" i="1" s="1"/>
  <c r="FQ33" i="1"/>
  <c r="FP33" i="1"/>
  <c r="FM33" i="1"/>
  <c r="FL33" i="1"/>
  <c r="FN33" i="1" s="1"/>
  <c r="FI33" i="1"/>
  <c r="IK33" i="1" s="1"/>
  <c r="FH33" i="1"/>
  <c r="FE33" i="1"/>
  <c r="FD33" i="1"/>
  <c r="FF33" i="1" s="1"/>
  <c r="FA33" i="1"/>
  <c r="EZ33" i="1"/>
  <c r="FB33" i="1" s="1"/>
  <c r="EW33" i="1"/>
  <c r="EV33" i="1"/>
  <c r="ES33" i="1"/>
  <c r="ER33" i="1"/>
  <c r="ET33" i="1" s="1"/>
  <c r="EO33" i="1"/>
  <c r="EP33" i="1" s="1"/>
  <c r="EN33" i="1"/>
  <c r="EK33" i="1"/>
  <c r="EJ33" i="1"/>
  <c r="EG33" i="1"/>
  <c r="EF33" i="1"/>
  <c r="EC33" i="1"/>
  <c r="IG33" i="1" s="1"/>
  <c r="EB33" i="1"/>
  <c r="ED33" i="1" s="1"/>
  <c r="DZ33" i="1"/>
  <c r="DY33" i="1"/>
  <c r="DX33" i="1"/>
  <c r="DU33" i="1"/>
  <c r="DT33" i="1"/>
  <c r="DQ33" i="1"/>
  <c r="DP33" i="1"/>
  <c r="DM33" i="1"/>
  <c r="DL33" i="1"/>
  <c r="DN33" i="1" s="1"/>
  <c r="DI33" i="1"/>
  <c r="DH33" i="1"/>
  <c r="DJ33" i="1" s="1"/>
  <c r="DE33" i="1"/>
  <c r="DD33" i="1"/>
  <c r="DA33" i="1"/>
  <c r="CZ33" i="1"/>
  <c r="DB33" i="1" s="1"/>
  <c r="CX33" i="1"/>
  <c r="CW33" i="1"/>
  <c r="CV33" i="1"/>
  <c r="CS33" i="1"/>
  <c r="CT33" i="1" s="1"/>
  <c r="CR33" i="1"/>
  <c r="CO33" i="1"/>
  <c r="CN33" i="1"/>
  <c r="CK33" i="1"/>
  <c r="CJ33" i="1"/>
  <c r="CG33" i="1"/>
  <c r="CH33" i="1" s="1"/>
  <c r="CC33" i="1"/>
  <c r="CB33" i="1"/>
  <c r="BY33" i="1"/>
  <c r="BX33" i="1"/>
  <c r="BZ33" i="1" s="1"/>
  <c r="BU33" i="1"/>
  <c r="BT33" i="1"/>
  <c r="BQ33" i="1"/>
  <c r="BP33" i="1"/>
  <c r="BR33" i="1" s="1"/>
  <c r="BM33" i="1"/>
  <c r="BL33" i="1"/>
  <c r="BI33" i="1"/>
  <c r="BH33" i="1"/>
  <c r="BJ33" i="1" s="1"/>
  <c r="BE33" i="1"/>
  <c r="BD33" i="1"/>
  <c r="BA33" i="1"/>
  <c r="BB33" i="1" s="1"/>
  <c r="AZ33" i="1"/>
  <c r="AW33" i="1"/>
  <c r="AV33" i="1"/>
  <c r="AS33" i="1"/>
  <c r="AR33" i="1"/>
  <c r="AO33" i="1"/>
  <c r="AN33" i="1"/>
  <c r="AP33" i="1" s="1"/>
  <c r="AL33" i="1"/>
  <c r="AK33" i="1"/>
  <c r="AJ33" i="1"/>
  <c r="AG33" i="1"/>
  <c r="AF33" i="1"/>
  <c r="AH33" i="1" s="1"/>
  <c r="AC33" i="1"/>
  <c r="AB33" i="1"/>
  <c r="Y33" i="1"/>
  <c r="X33" i="1"/>
  <c r="Z33" i="1" s="1"/>
  <c r="U33" i="1"/>
  <c r="T33" i="1"/>
  <c r="V33" i="1" s="1"/>
  <c r="Q33" i="1"/>
  <c r="P33" i="1"/>
  <c r="M33" i="1"/>
  <c r="L33" i="1"/>
  <c r="N33" i="1" s="1"/>
  <c r="I33" i="1"/>
  <c r="H33" i="1"/>
  <c r="E33" i="1"/>
  <c r="D33" i="1"/>
  <c r="F33" i="1" s="1"/>
  <c r="HE32" i="1"/>
  <c r="HD32" i="1"/>
  <c r="HA32" i="1"/>
  <c r="GZ32" i="1"/>
  <c r="HB32" i="1" s="1"/>
  <c r="GW32" i="1"/>
  <c r="GX32" i="1" s="1"/>
  <c r="GV32" i="1"/>
  <c r="GS32" i="1"/>
  <c r="GR32" i="1"/>
  <c r="GT32" i="1" s="1"/>
  <c r="GO32" i="1"/>
  <c r="GN32" i="1"/>
  <c r="GK32" i="1"/>
  <c r="GJ32" i="1"/>
  <c r="GL32" i="1" s="1"/>
  <c r="GG32" i="1"/>
  <c r="GH32" i="1" s="1"/>
  <c r="GF32" i="1"/>
  <c r="GC32" i="1"/>
  <c r="GD32" i="1" s="1"/>
  <c r="GB32" i="1"/>
  <c r="FY32" i="1"/>
  <c r="FX32" i="1"/>
  <c r="FU32" i="1"/>
  <c r="FT32" i="1"/>
  <c r="FQ32" i="1"/>
  <c r="FP32" i="1"/>
  <c r="FR32" i="1" s="1"/>
  <c r="FN32" i="1"/>
  <c r="FM32" i="1"/>
  <c r="FL32" i="1"/>
  <c r="FI32" i="1"/>
  <c r="FH32" i="1"/>
  <c r="IJ32" i="1" s="1"/>
  <c r="FE32" i="1"/>
  <c r="FD32" i="1"/>
  <c r="FA32" i="1"/>
  <c r="EZ32" i="1"/>
  <c r="EW32" i="1"/>
  <c r="IC32" i="1" s="1"/>
  <c r="EV32" i="1"/>
  <c r="IB32" i="1" s="1"/>
  <c r="ES32" i="1"/>
  <c r="ER32" i="1"/>
  <c r="EO32" i="1"/>
  <c r="EN32" i="1"/>
  <c r="EP32" i="1" s="1"/>
  <c r="EK32" i="1"/>
  <c r="EL32" i="1" s="1"/>
  <c r="EJ32" i="1"/>
  <c r="EG32" i="1"/>
  <c r="EF32" i="1"/>
  <c r="EH32" i="1" s="1"/>
  <c r="EC32" i="1"/>
  <c r="IG32" i="1" s="1"/>
  <c r="EB32" i="1"/>
  <c r="ED32" i="1" s="1"/>
  <c r="DY32" i="1"/>
  <c r="DX32" i="1"/>
  <c r="DU32" i="1"/>
  <c r="DV32" i="1" s="1"/>
  <c r="DT32" i="1"/>
  <c r="DQ32" i="1"/>
  <c r="DR32" i="1" s="1"/>
  <c r="DP32" i="1"/>
  <c r="DM32" i="1"/>
  <c r="DL32" i="1"/>
  <c r="DI32" i="1"/>
  <c r="DH32" i="1"/>
  <c r="DE32" i="1"/>
  <c r="DD32" i="1"/>
  <c r="DB32" i="1"/>
  <c r="DA32" i="1"/>
  <c r="CZ32" i="1"/>
  <c r="CW32" i="1"/>
  <c r="CV32" i="1"/>
  <c r="CX32" i="1" s="1"/>
  <c r="CS32" i="1"/>
  <c r="CR32" i="1"/>
  <c r="CT32" i="1" s="1"/>
  <c r="CO32" i="1"/>
  <c r="CN32" i="1"/>
  <c r="CK32" i="1"/>
  <c r="CJ32" i="1"/>
  <c r="CL32" i="1" s="1"/>
  <c r="CG32" i="1"/>
  <c r="CH32" i="1" s="1"/>
  <c r="CC32" i="1"/>
  <c r="CB32" i="1"/>
  <c r="CD32" i="1" s="1"/>
  <c r="BY32" i="1"/>
  <c r="BZ32" i="1" s="1"/>
  <c r="BX32" i="1"/>
  <c r="BU32" i="1"/>
  <c r="BT32" i="1"/>
  <c r="BQ32" i="1"/>
  <c r="BP32" i="1"/>
  <c r="BM32" i="1"/>
  <c r="BL32" i="1"/>
  <c r="BN32" i="1" s="1"/>
  <c r="BJ32" i="1"/>
  <c r="BI32" i="1"/>
  <c r="BH32" i="1"/>
  <c r="BE32" i="1"/>
  <c r="BD32" i="1"/>
  <c r="BF32" i="1" s="1"/>
  <c r="BA32" i="1"/>
  <c r="AZ32" i="1"/>
  <c r="BB32" i="1" s="1"/>
  <c r="AW32" i="1"/>
  <c r="AV32" i="1"/>
  <c r="AX32" i="1" s="1"/>
  <c r="AS32" i="1"/>
  <c r="AR32" i="1"/>
  <c r="AT32" i="1" s="1"/>
  <c r="AO32" i="1"/>
  <c r="AN32" i="1"/>
  <c r="AK32" i="1"/>
  <c r="AJ32" i="1"/>
  <c r="AL32" i="1" s="1"/>
  <c r="AG32" i="1"/>
  <c r="AF32" i="1"/>
  <c r="AC32" i="1"/>
  <c r="AB32" i="1"/>
  <c r="AD32" i="1" s="1"/>
  <c r="Y32" i="1"/>
  <c r="X32" i="1"/>
  <c r="U32" i="1"/>
  <c r="T32" i="1"/>
  <c r="V32" i="1" s="1"/>
  <c r="Q32" i="1"/>
  <c r="P32" i="1"/>
  <c r="R32" i="1" s="1"/>
  <c r="M32" i="1"/>
  <c r="N32" i="1" s="1"/>
  <c r="L32" i="1"/>
  <c r="I32" i="1"/>
  <c r="H32" i="1"/>
  <c r="E32" i="1"/>
  <c r="D32" i="1"/>
  <c r="HE31" i="1"/>
  <c r="HD31" i="1"/>
  <c r="HA31" i="1"/>
  <c r="GZ31" i="1"/>
  <c r="HB31" i="1" s="1"/>
  <c r="GW31" i="1"/>
  <c r="GV31" i="1"/>
  <c r="GS31" i="1"/>
  <c r="GR31" i="1"/>
  <c r="GT31" i="1" s="1"/>
  <c r="GO31" i="1"/>
  <c r="GN31" i="1"/>
  <c r="GP31" i="1" s="1"/>
  <c r="GK31" i="1"/>
  <c r="GL31" i="1" s="1"/>
  <c r="GJ31" i="1"/>
  <c r="GG31" i="1"/>
  <c r="GF31" i="1"/>
  <c r="GH31" i="1" s="1"/>
  <c r="GC31" i="1"/>
  <c r="IC31" i="1" s="1"/>
  <c r="GB31" i="1"/>
  <c r="FY31" i="1"/>
  <c r="FX31" i="1"/>
  <c r="FZ31" i="1" s="1"/>
  <c r="FV31" i="1"/>
  <c r="FU31" i="1"/>
  <c r="FT31" i="1"/>
  <c r="FQ31" i="1"/>
  <c r="FP31" i="1"/>
  <c r="FR31" i="1" s="1"/>
  <c r="FM31" i="1"/>
  <c r="FL31" i="1"/>
  <c r="FN31" i="1" s="1"/>
  <c r="FI31" i="1"/>
  <c r="IK31" i="1" s="1"/>
  <c r="FH31" i="1"/>
  <c r="FJ31" i="1" s="1"/>
  <c r="FE31" i="1"/>
  <c r="FD31" i="1"/>
  <c r="FF31" i="1" s="1"/>
  <c r="FA31" i="1"/>
  <c r="EZ31" i="1"/>
  <c r="EW31" i="1"/>
  <c r="EV31" i="1"/>
  <c r="ES31" i="1"/>
  <c r="ER31" i="1"/>
  <c r="EO31" i="1"/>
  <c r="EN31" i="1"/>
  <c r="EP31" i="1" s="1"/>
  <c r="EK31" i="1"/>
  <c r="EJ31" i="1"/>
  <c r="EG31" i="1"/>
  <c r="EF31" i="1"/>
  <c r="EH31" i="1" s="1"/>
  <c r="EC31" i="1"/>
  <c r="IG31" i="1" s="1"/>
  <c r="EB31" i="1"/>
  <c r="IF31" i="1" s="1"/>
  <c r="DY31" i="1"/>
  <c r="HY31" i="1" s="1"/>
  <c r="DX31" i="1"/>
  <c r="DU31" i="1"/>
  <c r="DT31" i="1"/>
  <c r="DV31" i="1" s="1"/>
  <c r="DQ31" i="1"/>
  <c r="DP31" i="1"/>
  <c r="DM31" i="1"/>
  <c r="DL31" i="1"/>
  <c r="DN31" i="1" s="1"/>
  <c r="DJ31" i="1"/>
  <c r="DI31" i="1"/>
  <c r="DH31" i="1"/>
  <c r="DE31" i="1"/>
  <c r="DD31" i="1"/>
  <c r="HT31" i="1" s="1"/>
  <c r="DA31" i="1"/>
  <c r="CZ31" i="1"/>
  <c r="CW31" i="1"/>
  <c r="CV31" i="1"/>
  <c r="CX31" i="1" s="1"/>
  <c r="CS31" i="1"/>
  <c r="CR31" i="1"/>
  <c r="CT31" i="1" s="1"/>
  <c r="CO31" i="1"/>
  <c r="CN31" i="1"/>
  <c r="CK31" i="1"/>
  <c r="CJ31" i="1"/>
  <c r="CL31" i="1" s="1"/>
  <c r="CG31" i="1"/>
  <c r="CH31" i="1" s="1"/>
  <c r="CC31" i="1"/>
  <c r="CB31" i="1"/>
  <c r="BY31" i="1"/>
  <c r="BX31" i="1"/>
  <c r="BZ31" i="1" s="1"/>
  <c r="BU31" i="1"/>
  <c r="BT31" i="1"/>
  <c r="BQ31" i="1"/>
  <c r="BR31" i="1" s="1"/>
  <c r="BP31" i="1"/>
  <c r="BM31" i="1"/>
  <c r="BL31" i="1"/>
  <c r="BN31" i="1" s="1"/>
  <c r="BI31" i="1"/>
  <c r="BH31" i="1"/>
  <c r="BE31" i="1"/>
  <c r="BD31" i="1"/>
  <c r="BF31" i="1" s="1"/>
  <c r="BB31" i="1"/>
  <c r="BA31" i="1"/>
  <c r="AZ31" i="1"/>
  <c r="AW31" i="1"/>
  <c r="AV31" i="1"/>
  <c r="AX31" i="1" s="1"/>
  <c r="AS31" i="1"/>
  <c r="AR31" i="1"/>
  <c r="AT31" i="1" s="1"/>
  <c r="AO31" i="1"/>
  <c r="AN31" i="1"/>
  <c r="AK31" i="1"/>
  <c r="AJ31" i="1"/>
  <c r="AL31" i="1" s="1"/>
  <c r="AG31" i="1"/>
  <c r="AF31" i="1"/>
  <c r="AC31" i="1"/>
  <c r="AB31" i="1"/>
  <c r="AD31" i="1" s="1"/>
  <c r="Y31" i="1"/>
  <c r="X31" i="1"/>
  <c r="U31" i="1"/>
  <c r="T31" i="1"/>
  <c r="V31" i="1" s="1"/>
  <c r="Q31" i="1"/>
  <c r="P31" i="1"/>
  <c r="M31" i="1"/>
  <c r="L31" i="1"/>
  <c r="N31" i="1" s="1"/>
  <c r="I31" i="1"/>
  <c r="H31" i="1"/>
  <c r="E31" i="1"/>
  <c r="F31" i="1" s="1"/>
  <c r="D31" i="1"/>
  <c r="HE30" i="1"/>
  <c r="HF30" i="1" s="1"/>
  <c r="HD30" i="1"/>
  <c r="HA30" i="1"/>
  <c r="GZ30" i="1"/>
  <c r="HB30" i="1" s="1"/>
  <c r="GW30" i="1"/>
  <c r="GV30" i="1"/>
  <c r="GS30" i="1"/>
  <c r="GR30" i="1"/>
  <c r="GT30" i="1" s="1"/>
  <c r="GO30" i="1"/>
  <c r="GN30" i="1"/>
  <c r="GP30" i="1" s="1"/>
  <c r="GK30" i="1"/>
  <c r="GJ30" i="1"/>
  <c r="GL30" i="1" s="1"/>
  <c r="GG30" i="1"/>
  <c r="GF30" i="1"/>
  <c r="GH30" i="1" s="1"/>
  <c r="GC30" i="1"/>
  <c r="GB30" i="1"/>
  <c r="FY30" i="1"/>
  <c r="FX30" i="1"/>
  <c r="FZ30" i="1" s="1"/>
  <c r="FU30" i="1"/>
  <c r="FT30" i="1"/>
  <c r="FQ30" i="1"/>
  <c r="FP30" i="1"/>
  <c r="FR30" i="1" s="1"/>
  <c r="FN30" i="1"/>
  <c r="FM30" i="1"/>
  <c r="FL30" i="1"/>
  <c r="FI30" i="1"/>
  <c r="IK30" i="1" s="1"/>
  <c r="FH30" i="1"/>
  <c r="IJ30" i="1" s="1"/>
  <c r="IL30" i="1" s="1"/>
  <c r="FE30" i="1"/>
  <c r="FD30" i="1"/>
  <c r="FF30" i="1" s="1"/>
  <c r="FA30" i="1"/>
  <c r="EZ30" i="1"/>
  <c r="FB30" i="1" s="1"/>
  <c r="EW30" i="1"/>
  <c r="EV30" i="1"/>
  <c r="IB30" i="1" s="1"/>
  <c r="ES30" i="1"/>
  <c r="ER30" i="1"/>
  <c r="EO30" i="1"/>
  <c r="EN30" i="1"/>
  <c r="EP30" i="1" s="1"/>
  <c r="EK30" i="1"/>
  <c r="EJ30" i="1"/>
  <c r="EG30" i="1"/>
  <c r="EF30" i="1"/>
  <c r="EH30" i="1" s="1"/>
  <c r="EC30" i="1"/>
  <c r="IG30" i="1" s="1"/>
  <c r="EB30" i="1"/>
  <c r="DY30" i="1"/>
  <c r="DX30" i="1"/>
  <c r="DU30" i="1"/>
  <c r="DT30" i="1"/>
  <c r="DQ30" i="1"/>
  <c r="DR30" i="1" s="1"/>
  <c r="DP30" i="1"/>
  <c r="DM30" i="1"/>
  <c r="DL30" i="1"/>
  <c r="DN30" i="1" s="1"/>
  <c r="DI30" i="1"/>
  <c r="DH30" i="1"/>
  <c r="DE30" i="1"/>
  <c r="DD30" i="1"/>
  <c r="DB30" i="1"/>
  <c r="DA30" i="1"/>
  <c r="CZ30" i="1"/>
  <c r="CW30" i="1"/>
  <c r="CV30" i="1"/>
  <c r="CX30" i="1" s="1"/>
  <c r="CS30" i="1"/>
  <c r="CR30" i="1"/>
  <c r="CT30" i="1" s="1"/>
  <c r="CO30" i="1"/>
  <c r="CN30" i="1"/>
  <c r="CP30" i="1" s="1"/>
  <c r="CK30" i="1"/>
  <c r="CJ30" i="1"/>
  <c r="CL30" i="1" s="1"/>
  <c r="CG30" i="1"/>
  <c r="CC30" i="1"/>
  <c r="CB30" i="1"/>
  <c r="CD30" i="1" s="1"/>
  <c r="BY30" i="1"/>
  <c r="BZ30" i="1" s="1"/>
  <c r="BX30" i="1"/>
  <c r="BU30" i="1"/>
  <c r="BT30" i="1"/>
  <c r="BV30" i="1" s="1"/>
  <c r="BQ30" i="1"/>
  <c r="BP30" i="1"/>
  <c r="BM30" i="1"/>
  <c r="BL30" i="1"/>
  <c r="BN30" i="1" s="1"/>
  <c r="BJ30" i="1"/>
  <c r="BI30" i="1"/>
  <c r="BH30" i="1"/>
  <c r="BE30" i="1"/>
  <c r="BD30" i="1"/>
  <c r="BF30" i="1" s="1"/>
  <c r="BA30" i="1"/>
  <c r="AZ30" i="1"/>
  <c r="BB30" i="1" s="1"/>
  <c r="AW30" i="1"/>
  <c r="AV30" i="1"/>
  <c r="AX30" i="1" s="1"/>
  <c r="AS30" i="1"/>
  <c r="AR30" i="1"/>
  <c r="AT30" i="1" s="1"/>
  <c r="AO30" i="1"/>
  <c r="AN30" i="1"/>
  <c r="AK30" i="1"/>
  <c r="AJ30" i="1"/>
  <c r="AL30" i="1" s="1"/>
  <c r="AG30" i="1"/>
  <c r="AF30" i="1"/>
  <c r="AC30" i="1"/>
  <c r="AB30" i="1"/>
  <c r="AD30" i="1" s="1"/>
  <c r="Y30" i="1"/>
  <c r="X30" i="1"/>
  <c r="Z30" i="1" s="1"/>
  <c r="U30" i="1"/>
  <c r="T30" i="1"/>
  <c r="V30" i="1" s="1"/>
  <c r="Q30" i="1"/>
  <c r="P30" i="1"/>
  <c r="R30" i="1" s="1"/>
  <c r="M30" i="1"/>
  <c r="N30" i="1" s="1"/>
  <c r="L30" i="1"/>
  <c r="I30" i="1"/>
  <c r="H30" i="1"/>
  <c r="J30" i="1" s="1"/>
  <c r="E30" i="1"/>
  <c r="HI30" i="1" s="1"/>
  <c r="D30" i="1"/>
  <c r="HE29" i="1"/>
  <c r="HD29" i="1"/>
  <c r="HA29" i="1"/>
  <c r="GZ29" i="1"/>
  <c r="HB29" i="1" s="1"/>
  <c r="GW29" i="1"/>
  <c r="GV29" i="1"/>
  <c r="GX29" i="1" s="1"/>
  <c r="GS29" i="1"/>
  <c r="GR29" i="1"/>
  <c r="GT29" i="1" s="1"/>
  <c r="GO29" i="1"/>
  <c r="GN29" i="1"/>
  <c r="GP29" i="1" s="1"/>
  <c r="GK29" i="1"/>
  <c r="GL29" i="1" s="1"/>
  <c r="GJ29" i="1"/>
  <c r="GG29" i="1"/>
  <c r="GF29" i="1"/>
  <c r="GH29" i="1" s="1"/>
  <c r="GC29" i="1"/>
  <c r="IC29" i="1" s="1"/>
  <c r="GB29" i="1"/>
  <c r="FY29" i="1"/>
  <c r="FX29" i="1"/>
  <c r="FZ29" i="1" s="1"/>
  <c r="FV29" i="1"/>
  <c r="FU29" i="1"/>
  <c r="FT29" i="1"/>
  <c r="FQ29" i="1"/>
  <c r="FP29" i="1"/>
  <c r="FM29" i="1"/>
  <c r="FL29" i="1"/>
  <c r="FN29" i="1" s="1"/>
  <c r="FI29" i="1"/>
  <c r="FH29" i="1"/>
  <c r="FJ29" i="1" s="1"/>
  <c r="FE29" i="1"/>
  <c r="FD29" i="1"/>
  <c r="FF29" i="1" s="1"/>
  <c r="FA29" i="1"/>
  <c r="EZ29" i="1"/>
  <c r="EW29" i="1"/>
  <c r="EV29" i="1"/>
  <c r="ES29" i="1"/>
  <c r="ER29" i="1"/>
  <c r="EO29" i="1"/>
  <c r="EN29" i="1"/>
  <c r="EP29" i="1" s="1"/>
  <c r="EK29" i="1"/>
  <c r="EJ29" i="1"/>
  <c r="EG29" i="1"/>
  <c r="EF29" i="1"/>
  <c r="EH29" i="1" s="1"/>
  <c r="EC29" i="1"/>
  <c r="IG29" i="1" s="1"/>
  <c r="EB29" i="1"/>
  <c r="ED29" i="1" s="1"/>
  <c r="DY29" i="1"/>
  <c r="DX29" i="1"/>
  <c r="DU29" i="1"/>
  <c r="DT29" i="1"/>
  <c r="DV29" i="1" s="1"/>
  <c r="DQ29" i="1"/>
  <c r="DP29" i="1"/>
  <c r="DM29" i="1"/>
  <c r="DL29" i="1"/>
  <c r="DN29" i="1" s="1"/>
  <c r="DJ29" i="1"/>
  <c r="DI29" i="1"/>
  <c r="DH29" i="1"/>
  <c r="DE29" i="1"/>
  <c r="DD29" i="1"/>
  <c r="HT29" i="1" s="1"/>
  <c r="DA29" i="1"/>
  <c r="CZ29" i="1"/>
  <c r="DB29" i="1" s="1"/>
  <c r="CW29" i="1"/>
  <c r="CV29" i="1"/>
  <c r="CX29" i="1" s="1"/>
  <c r="CS29" i="1"/>
  <c r="CR29" i="1"/>
  <c r="CT29" i="1" s="1"/>
  <c r="CO29" i="1"/>
  <c r="CN29" i="1"/>
  <c r="CK29" i="1"/>
  <c r="CJ29" i="1"/>
  <c r="CL29" i="1" s="1"/>
  <c r="CG29" i="1"/>
  <c r="CH29" i="1" s="1"/>
  <c r="CC29" i="1"/>
  <c r="CB29" i="1"/>
  <c r="BY29" i="1"/>
  <c r="BX29" i="1"/>
  <c r="BZ29" i="1" s="1"/>
  <c r="BU29" i="1"/>
  <c r="BT29" i="1"/>
  <c r="BV29" i="1" s="1"/>
  <c r="BQ29" i="1"/>
  <c r="BR29" i="1" s="1"/>
  <c r="BP29" i="1"/>
  <c r="BM29" i="1"/>
  <c r="BL29" i="1"/>
  <c r="BN29" i="1" s="1"/>
  <c r="BI29" i="1"/>
  <c r="BH29" i="1"/>
  <c r="BE29" i="1"/>
  <c r="BD29" i="1"/>
  <c r="BF29" i="1" s="1"/>
  <c r="BB29" i="1"/>
  <c r="BA29" i="1"/>
  <c r="AZ29" i="1"/>
  <c r="AW29" i="1"/>
  <c r="AV29" i="1"/>
  <c r="AS29" i="1"/>
  <c r="AR29" i="1"/>
  <c r="AO29" i="1"/>
  <c r="AN29" i="1"/>
  <c r="AP29" i="1" s="1"/>
  <c r="AK29" i="1"/>
  <c r="AJ29" i="1"/>
  <c r="AL29" i="1" s="1"/>
  <c r="AG29" i="1"/>
  <c r="AF29" i="1"/>
  <c r="AC29" i="1"/>
  <c r="AB29" i="1"/>
  <c r="AD29" i="1" s="1"/>
  <c r="Y29" i="1"/>
  <c r="X29" i="1"/>
  <c r="U29" i="1"/>
  <c r="T29" i="1"/>
  <c r="V29" i="1" s="1"/>
  <c r="Q29" i="1"/>
  <c r="P29" i="1"/>
  <c r="M29" i="1"/>
  <c r="L29" i="1"/>
  <c r="N29" i="1" s="1"/>
  <c r="I29" i="1"/>
  <c r="H29" i="1"/>
  <c r="J29" i="1" s="1"/>
  <c r="E29" i="1"/>
  <c r="F29" i="1" s="1"/>
  <c r="D29" i="1"/>
  <c r="HE28" i="1"/>
  <c r="HD28" i="1"/>
  <c r="HA28" i="1"/>
  <c r="GZ28" i="1"/>
  <c r="HB28" i="1" s="1"/>
  <c r="GW28" i="1"/>
  <c r="GX28" i="1" s="1"/>
  <c r="GV28" i="1"/>
  <c r="GS28" i="1"/>
  <c r="GR28" i="1"/>
  <c r="GT28" i="1" s="1"/>
  <c r="GO28" i="1"/>
  <c r="GN28" i="1"/>
  <c r="GK28" i="1"/>
  <c r="GJ28" i="1"/>
  <c r="GL28" i="1" s="1"/>
  <c r="GG28" i="1"/>
  <c r="GH28" i="1" s="1"/>
  <c r="GF28" i="1"/>
  <c r="GC28" i="1"/>
  <c r="GB28" i="1"/>
  <c r="FY28" i="1"/>
  <c r="FX28" i="1"/>
  <c r="FZ28" i="1" s="1"/>
  <c r="FU28" i="1"/>
  <c r="FT28" i="1"/>
  <c r="FQ28" i="1"/>
  <c r="FP28" i="1"/>
  <c r="FM28" i="1"/>
  <c r="FL28" i="1"/>
  <c r="FI28" i="1"/>
  <c r="FH28" i="1"/>
  <c r="IJ28" i="1" s="1"/>
  <c r="FF28" i="1"/>
  <c r="FE28" i="1"/>
  <c r="FD28" i="1"/>
  <c r="FA28" i="1"/>
  <c r="EZ28" i="1"/>
  <c r="EW28" i="1"/>
  <c r="EV28" i="1"/>
  <c r="EX28" i="1" s="1"/>
  <c r="ES28" i="1"/>
  <c r="ER28" i="1"/>
  <c r="EO28" i="1"/>
  <c r="EN28" i="1"/>
  <c r="EP28" i="1" s="1"/>
  <c r="EK28" i="1"/>
  <c r="EL28" i="1" s="1"/>
  <c r="EJ28" i="1"/>
  <c r="EG28" i="1"/>
  <c r="EF28" i="1"/>
  <c r="EH28" i="1" s="1"/>
  <c r="EC28" i="1"/>
  <c r="IG28" i="1" s="1"/>
  <c r="EB28" i="1"/>
  <c r="IF28" i="1" s="1"/>
  <c r="IH28" i="1" s="1"/>
  <c r="DY28" i="1"/>
  <c r="DX28" i="1"/>
  <c r="DZ28" i="1" s="1"/>
  <c r="DU28" i="1"/>
  <c r="DV28" i="1" s="1"/>
  <c r="DT28" i="1"/>
  <c r="DQ28" i="1"/>
  <c r="DR28" i="1" s="1"/>
  <c r="DP28" i="1"/>
  <c r="DM28" i="1"/>
  <c r="DL28" i="1"/>
  <c r="DN28" i="1" s="1"/>
  <c r="DI28" i="1"/>
  <c r="DH28" i="1"/>
  <c r="DE28" i="1"/>
  <c r="DD28" i="1"/>
  <c r="DA28" i="1"/>
  <c r="CZ28" i="1"/>
  <c r="CW28" i="1"/>
  <c r="CV28" i="1"/>
  <c r="CX28" i="1" s="1"/>
  <c r="CT28" i="1"/>
  <c r="CS28" i="1"/>
  <c r="CR28" i="1"/>
  <c r="CO28" i="1"/>
  <c r="CN28" i="1"/>
  <c r="CK28" i="1"/>
  <c r="CJ28" i="1"/>
  <c r="CL28" i="1" s="1"/>
  <c r="CG28" i="1"/>
  <c r="CH28" i="1" s="1"/>
  <c r="CC28" i="1"/>
  <c r="CD28" i="1" s="1"/>
  <c r="CB28" i="1"/>
  <c r="BY28" i="1"/>
  <c r="BX28" i="1"/>
  <c r="BZ28" i="1" s="1"/>
  <c r="BU28" i="1"/>
  <c r="BT28" i="1"/>
  <c r="BQ28" i="1"/>
  <c r="BR28" i="1" s="1"/>
  <c r="BP28" i="1"/>
  <c r="BM28" i="1"/>
  <c r="BL28" i="1"/>
  <c r="BJ28" i="1"/>
  <c r="BI28" i="1"/>
  <c r="BH28" i="1"/>
  <c r="BE28" i="1"/>
  <c r="BD28" i="1"/>
  <c r="BF28" i="1" s="1"/>
  <c r="BA28" i="1"/>
  <c r="AZ28" i="1"/>
  <c r="BB28" i="1" s="1"/>
  <c r="AW28" i="1"/>
  <c r="AX28" i="1" s="1"/>
  <c r="AV28" i="1"/>
  <c r="AS28" i="1"/>
  <c r="AR28" i="1"/>
  <c r="AO28" i="1"/>
  <c r="AN28" i="1"/>
  <c r="AK28" i="1"/>
  <c r="AJ28" i="1"/>
  <c r="AL28" i="1" s="1"/>
  <c r="AH28" i="1"/>
  <c r="AG28" i="1"/>
  <c r="AF28" i="1"/>
  <c r="AC28" i="1"/>
  <c r="AB28" i="1"/>
  <c r="Y28" i="1"/>
  <c r="X28" i="1"/>
  <c r="Z28" i="1" s="1"/>
  <c r="U28" i="1"/>
  <c r="T28" i="1"/>
  <c r="V28" i="1" s="1"/>
  <c r="Q28" i="1"/>
  <c r="P28" i="1"/>
  <c r="R28" i="1" s="1"/>
  <c r="M28" i="1"/>
  <c r="N28" i="1" s="1"/>
  <c r="L28" i="1"/>
  <c r="I28" i="1"/>
  <c r="H28" i="1"/>
  <c r="J28" i="1" s="1"/>
  <c r="E28" i="1"/>
  <c r="D28" i="1"/>
  <c r="HE27" i="1"/>
  <c r="HD27" i="1"/>
  <c r="HF27" i="1" s="1"/>
  <c r="HA27" i="1"/>
  <c r="GZ27" i="1"/>
  <c r="GW27" i="1"/>
  <c r="GV27" i="1"/>
  <c r="GX27" i="1" s="1"/>
  <c r="GS27" i="1"/>
  <c r="GR27" i="1"/>
  <c r="GO27" i="1"/>
  <c r="GN27" i="1"/>
  <c r="GP27" i="1" s="1"/>
  <c r="GK27" i="1"/>
  <c r="GL27" i="1" s="1"/>
  <c r="GJ27" i="1"/>
  <c r="GG27" i="1"/>
  <c r="GF27" i="1"/>
  <c r="GH27" i="1" s="1"/>
  <c r="GC27" i="1"/>
  <c r="GB27" i="1"/>
  <c r="FY27" i="1"/>
  <c r="FZ27" i="1" s="1"/>
  <c r="FX27" i="1"/>
  <c r="FU27" i="1"/>
  <c r="FT27" i="1"/>
  <c r="FQ27" i="1"/>
  <c r="FP27" i="1"/>
  <c r="FM27" i="1"/>
  <c r="FL27" i="1"/>
  <c r="FN27" i="1" s="1"/>
  <c r="FJ27" i="1"/>
  <c r="FI27" i="1"/>
  <c r="FH27" i="1"/>
  <c r="FE27" i="1"/>
  <c r="FD27" i="1"/>
  <c r="FA27" i="1"/>
  <c r="EZ27" i="1"/>
  <c r="FB27" i="1" s="1"/>
  <c r="EW27" i="1"/>
  <c r="EV27" i="1"/>
  <c r="EX27" i="1" s="1"/>
  <c r="ES27" i="1"/>
  <c r="ER27" i="1"/>
  <c r="ET27" i="1" s="1"/>
  <c r="EO27" i="1"/>
  <c r="EP27" i="1" s="1"/>
  <c r="EN27" i="1"/>
  <c r="EK27" i="1"/>
  <c r="EJ27" i="1"/>
  <c r="EL27" i="1" s="1"/>
  <c r="EG27" i="1"/>
  <c r="EF27" i="1"/>
  <c r="EC27" i="1"/>
  <c r="IG27" i="1" s="1"/>
  <c r="EB27" i="1"/>
  <c r="DY27" i="1"/>
  <c r="DX27" i="1"/>
  <c r="DU27" i="1"/>
  <c r="DT27" i="1"/>
  <c r="DV27" i="1" s="1"/>
  <c r="DQ27" i="1"/>
  <c r="DP27" i="1"/>
  <c r="DR27" i="1" s="1"/>
  <c r="DM27" i="1"/>
  <c r="DN27" i="1" s="1"/>
  <c r="DL27" i="1"/>
  <c r="DI27" i="1"/>
  <c r="DH27" i="1"/>
  <c r="DE27" i="1"/>
  <c r="DD27" i="1"/>
  <c r="DA27" i="1"/>
  <c r="CZ27" i="1"/>
  <c r="DB27" i="1" s="1"/>
  <c r="CX27" i="1"/>
  <c r="CW27" i="1"/>
  <c r="CV27" i="1"/>
  <c r="CS27" i="1"/>
  <c r="CR27" i="1"/>
  <c r="CO27" i="1"/>
  <c r="CN27" i="1"/>
  <c r="CP27" i="1" s="1"/>
  <c r="CK27" i="1"/>
  <c r="CJ27" i="1"/>
  <c r="CL27" i="1" s="1"/>
  <c r="CG27" i="1"/>
  <c r="CC27" i="1"/>
  <c r="CB27" i="1"/>
  <c r="CD27" i="1" s="1"/>
  <c r="BY27" i="1"/>
  <c r="BX27" i="1"/>
  <c r="BZ27" i="1" s="1"/>
  <c r="BU27" i="1"/>
  <c r="BV27" i="1" s="1"/>
  <c r="BT27" i="1"/>
  <c r="BQ27" i="1"/>
  <c r="BP27" i="1"/>
  <c r="BM27" i="1"/>
  <c r="BL27" i="1"/>
  <c r="BI27" i="1"/>
  <c r="BH27" i="1"/>
  <c r="BJ27" i="1" s="1"/>
  <c r="BF27" i="1"/>
  <c r="BE27" i="1"/>
  <c r="BD27" i="1"/>
  <c r="BA27" i="1"/>
  <c r="AZ27" i="1"/>
  <c r="AW27" i="1"/>
  <c r="AV27" i="1"/>
  <c r="AX27" i="1" s="1"/>
  <c r="AS27" i="1"/>
  <c r="AR27" i="1"/>
  <c r="AT27" i="1" s="1"/>
  <c r="AO27" i="1"/>
  <c r="AN27" i="1"/>
  <c r="AP27" i="1" s="1"/>
  <c r="AK27" i="1"/>
  <c r="AL27" i="1" s="1"/>
  <c r="AJ27" i="1"/>
  <c r="AG27" i="1"/>
  <c r="AF27" i="1"/>
  <c r="AH27" i="1" s="1"/>
  <c r="AC27" i="1"/>
  <c r="AB27" i="1"/>
  <c r="Y27" i="1"/>
  <c r="X27" i="1"/>
  <c r="Z27" i="1" s="1"/>
  <c r="U27" i="1"/>
  <c r="T27" i="1"/>
  <c r="Q27" i="1"/>
  <c r="P27" i="1"/>
  <c r="R27" i="1" s="1"/>
  <c r="M27" i="1"/>
  <c r="L27" i="1"/>
  <c r="N27" i="1" s="1"/>
  <c r="I27" i="1"/>
  <c r="J27" i="1" s="1"/>
  <c r="H27" i="1"/>
  <c r="E27" i="1"/>
  <c r="D27" i="1"/>
  <c r="HY26" i="1"/>
  <c r="HE26" i="1"/>
  <c r="HD26" i="1"/>
  <c r="HF26" i="1" s="1"/>
  <c r="HA26" i="1"/>
  <c r="GZ26" i="1"/>
  <c r="GW26" i="1"/>
  <c r="GV26" i="1"/>
  <c r="GX26" i="1" s="1"/>
  <c r="GS26" i="1"/>
  <c r="GT26" i="1" s="1"/>
  <c r="GR26" i="1"/>
  <c r="GO26" i="1"/>
  <c r="GN26" i="1"/>
  <c r="GP26" i="1" s="1"/>
  <c r="GK26" i="1"/>
  <c r="GJ26" i="1"/>
  <c r="GG26" i="1"/>
  <c r="GH26" i="1" s="1"/>
  <c r="GF26" i="1"/>
  <c r="GC26" i="1"/>
  <c r="GB26" i="1"/>
  <c r="FY26" i="1"/>
  <c r="FX26" i="1"/>
  <c r="FU26" i="1"/>
  <c r="FT26" i="1"/>
  <c r="FV26" i="1" s="1"/>
  <c r="FR26" i="1"/>
  <c r="FQ26" i="1"/>
  <c r="FP26" i="1"/>
  <c r="FM26" i="1"/>
  <c r="FL26" i="1"/>
  <c r="FI26" i="1"/>
  <c r="FH26" i="1"/>
  <c r="FJ26" i="1" s="1"/>
  <c r="FE26" i="1"/>
  <c r="FD26" i="1"/>
  <c r="FF26" i="1" s="1"/>
  <c r="FA26" i="1"/>
  <c r="EZ26" i="1"/>
  <c r="FB26" i="1" s="1"/>
  <c r="EW26" i="1"/>
  <c r="EV26" i="1"/>
  <c r="ES26" i="1"/>
  <c r="ER26" i="1"/>
  <c r="ET26" i="1" s="1"/>
  <c r="EO26" i="1"/>
  <c r="EN26" i="1"/>
  <c r="EK26" i="1"/>
  <c r="EJ26" i="1"/>
  <c r="EL26" i="1" s="1"/>
  <c r="EG26" i="1"/>
  <c r="EH26" i="1" s="1"/>
  <c r="EF26" i="1"/>
  <c r="EC26" i="1"/>
  <c r="IG26" i="1" s="1"/>
  <c r="EB26" i="1"/>
  <c r="DY26" i="1"/>
  <c r="DX26" i="1"/>
  <c r="DU26" i="1"/>
  <c r="DV26" i="1" s="1"/>
  <c r="DT26" i="1"/>
  <c r="DQ26" i="1"/>
  <c r="DP26" i="1"/>
  <c r="DM26" i="1"/>
  <c r="DL26" i="1"/>
  <c r="DI26" i="1"/>
  <c r="DH26" i="1"/>
  <c r="DJ26" i="1" s="1"/>
  <c r="DF26" i="1"/>
  <c r="DE26" i="1"/>
  <c r="DD26" i="1"/>
  <c r="HT26" i="1" s="1"/>
  <c r="DA26" i="1"/>
  <c r="CZ26" i="1"/>
  <c r="CW26" i="1"/>
  <c r="CV26" i="1"/>
  <c r="CS26" i="1"/>
  <c r="CR26" i="1"/>
  <c r="CT26" i="1" s="1"/>
  <c r="CO26" i="1"/>
  <c r="CN26" i="1"/>
  <c r="CP26" i="1" s="1"/>
  <c r="CK26" i="1"/>
  <c r="CL26" i="1" s="1"/>
  <c r="CJ26" i="1"/>
  <c r="CG26" i="1"/>
  <c r="CH26" i="1" s="1"/>
  <c r="CC26" i="1"/>
  <c r="CD26" i="1" s="1"/>
  <c r="CB26" i="1"/>
  <c r="BY26" i="1"/>
  <c r="BX26" i="1"/>
  <c r="BU26" i="1"/>
  <c r="BT26" i="1"/>
  <c r="BQ26" i="1"/>
  <c r="BP26" i="1"/>
  <c r="BR26" i="1" s="1"/>
  <c r="BN26" i="1"/>
  <c r="BM26" i="1"/>
  <c r="BL26" i="1"/>
  <c r="BI26" i="1"/>
  <c r="BH26" i="1"/>
  <c r="BE26" i="1"/>
  <c r="BD26" i="1"/>
  <c r="BF26" i="1" s="1"/>
  <c r="BA26" i="1"/>
  <c r="AZ26" i="1"/>
  <c r="BB26" i="1" s="1"/>
  <c r="AW26" i="1"/>
  <c r="AV26" i="1"/>
  <c r="AX26" i="1" s="1"/>
  <c r="AS26" i="1"/>
  <c r="AT26" i="1" s="1"/>
  <c r="AR26" i="1"/>
  <c r="AO26" i="1"/>
  <c r="AN26" i="1"/>
  <c r="AP26" i="1" s="1"/>
  <c r="AK26" i="1"/>
  <c r="AJ26" i="1"/>
  <c r="AG26" i="1"/>
  <c r="AF26" i="1"/>
  <c r="AH26" i="1" s="1"/>
  <c r="AC26" i="1"/>
  <c r="AD26" i="1" s="1"/>
  <c r="AB26" i="1"/>
  <c r="Y26" i="1"/>
  <c r="X26" i="1"/>
  <c r="Z26" i="1" s="1"/>
  <c r="U26" i="1"/>
  <c r="T26" i="1"/>
  <c r="Q26" i="1"/>
  <c r="R26" i="1" s="1"/>
  <c r="P26" i="1"/>
  <c r="M26" i="1"/>
  <c r="L26" i="1"/>
  <c r="I26" i="1"/>
  <c r="H26" i="1"/>
  <c r="E26" i="1"/>
  <c r="D26" i="1"/>
  <c r="IG25" i="1"/>
  <c r="HE25" i="1"/>
  <c r="HD25" i="1"/>
  <c r="HF25" i="1" s="1"/>
  <c r="HA25" i="1"/>
  <c r="GZ25" i="1"/>
  <c r="GW25" i="1"/>
  <c r="GV25" i="1"/>
  <c r="GX25" i="1" s="1"/>
  <c r="GS25" i="1"/>
  <c r="GR25" i="1"/>
  <c r="GT25" i="1" s="1"/>
  <c r="GO25" i="1"/>
  <c r="GP25" i="1" s="1"/>
  <c r="GN25" i="1"/>
  <c r="GK25" i="1"/>
  <c r="GJ25" i="1"/>
  <c r="GG25" i="1"/>
  <c r="GF25" i="1"/>
  <c r="GC25" i="1"/>
  <c r="GB25" i="1"/>
  <c r="GD25" i="1" s="1"/>
  <c r="FZ25" i="1"/>
  <c r="FY25" i="1"/>
  <c r="FX25" i="1"/>
  <c r="FU25" i="1"/>
  <c r="FT25" i="1"/>
  <c r="FQ25" i="1"/>
  <c r="FP25" i="1"/>
  <c r="FR25" i="1" s="1"/>
  <c r="FM25" i="1"/>
  <c r="FL25" i="1"/>
  <c r="FN25" i="1" s="1"/>
  <c r="FI25" i="1"/>
  <c r="FH25" i="1"/>
  <c r="IJ25" i="1" s="1"/>
  <c r="FE25" i="1"/>
  <c r="FF25" i="1" s="1"/>
  <c r="FD25" i="1"/>
  <c r="FA25" i="1"/>
  <c r="EZ25" i="1"/>
  <c r="FB25" i="1" s="1"/>
  <c r="EW25" i="1"/>
  <c r="EV25" i="1"/>
  <c r="ES25" i="1"/>
  <c r="ER25" i="1"/>
  <c r="ET25" i="1" s="1"/>
  <c r="EO25" i="1"/>
  <c r="EN25" i="1"/>
  <c r="EK25" i="1"/>
  <c r="EJ25" i="1"/>
  <c r="EL25" i="1" s="1"/>
  <c r="EG25" i="1"/>
  <c r="EF25" i="1"/>
  <c r="EH25" i="1" s="1"/>
  <c r="EC25" i="1"/>
  <c r="ED25" i="1" s="1"/>
  <c r="EB25" i="1"/>
  <c r="IF25" i="1" s="1"/>
  <c r="DY25" i="1"/>
  <c r="DX25" i="1"/>
  <c r="DU25" i="1"/>
  <c r="DT25" i="1"/>
  <c r="DQ25" i="1"/>
  <c r="DP25" i="1"/>
  <c r="DR25" i="1" s="1"/>
  <c r="DN25" i="1"/>
  <c r="DM25" i="1"/>
  <c r="DL25" i="1"/>
  <c r="DI25" i="1"/>
  <c r="DH25" i="1"/>
  <c r="DE25" i="1"/>
  <c r="DD25" i="1"/>
  <c r="DA25" i="1"/>
  <c r="CZ25" i="1"/>
  <c r="DB25" i="1" s="1"/>
  <c r="CW25" i="1"/>
  <c r="CV25" i="1"/>
  <c r="CX25" i="1" s="1"/>
  <c r="CS25" i="1"/>
  <c r="CT25" i="1" s="1"/>
  <c r="CR25" i="1"/>
  <c r="CO25" i="1"/>
  <c r="CN25" i="1"/>
  <c r="CP25" i="1" s="1"/>
  <c r="CK25" i="1"/>
  <c r="CJ25" i="1"/>
  <c r="CG25" i="1"/>
  <c r="HU25" i="1" s="1"/>
  <c r="CC25" i="1"/>
  <c r="CB25" i="1"/>
  <c r="BY25" i="1"/>
  <c r="BX25" i="1"/>
  <c r="BZ25" i="1" s="1"/>
  <c r="BV25" i="1"/>
  <c r="BU25" i="1"/>
  <c r="BT25" i="1"/>
  <c r="BQ25" i="1"/>
  <c r="BP25" i="1"/>
  <c r="BM25" i="1"/>
  <c r="BL25" i="1"/>
  <c r="BI25" i="1"/>
  <c r="BH25" i="1"/>
  <c r="BJ25" i="1" s="1"/>
  <c r="BE25" i="1"/>
  <c r="BD25" i="1"/>
  <c r="BF25" i="1" s="1"/>
  <c r="BA25" i="1"/>
  <c r="BB25" i="1" s="1"/>
  <c r="AZ25" i="1"/>
  <c r="AW25" i="1"/>
  <c r="AV25" i="1"/>
  <c r="AX25" i="1" s="1"/>
  <c r="AS25" i="1"/>
  <c r="AR25" i="1"/>
  <c r="AO25" i="1"/>
  <c r="AN25" i="1"/>
  <c r="AP25" i="1" s="1"/>
  <c r="AK25" i="1"/>
  <c r="AL25" i="1" s="1"/>
  <c r="AJ25" i="1"/>
  <c r="AG25" i="1"/>
  <c r="AF25" i="1"/>
  <c r="AH25" i="1" s="1"/>
  <c r="AC25" i="1"/>
  <c r="AB25" i="1"/>
  <c r="Y25" i="1"/>
  <c r="Z25" i="1" s="1"/>
  <c r="X25" i="1"/>
  <c r="U25" i="1"/>
  <c r="T25" i="1"/>
  <c r="Q25" i="1"/>
  <c r="P25" i="1"/>
  <c r="M25" i="1"/>
  <c r="L25" i="1"/>
  <c r="N25" i="1" s="1"/>
  <c r="J25" i="1"/>
  <c r="I25" i="1"/>
  <c r="H25" i="1"/>
  <c r="E25" i="1"/>
  <c r="D25" i="1"/>
  <c r="HE24" i="1"/>
  <c r="HD24" i="1"/>
  <c r="HF24" i="1" s="1"/>
  <c r="HA24" i="1"/>
  <c r="GZ24" i="1"/>
  <c r="GW24" i="1"/>
  <c r="GV24" i="1"/>
  <c r="GX24" i="1" s="1"/>
  <c r="GS24" i="1"/>
  <c r="GT24" i="1" s="1"/>
  <c r="GR24" i="1"/>
  <c r="GO24" i="1"/>
  <c r="GN24" i="1"/>
  <c r="GP24" i="1" s="1"/>
  <c r="GK24" i="1"/>
  <c r="GJ24" i="1"/>
  <c r="GG24" i="1"/>
  <c r="GH24" i="1" s="1"/>
  <c r="GF24" i="1"/>
  <c r="GC24" i="1"/>
  <c r="GB24" i="1"/>
  <c r="FY24" i="1"/>
  <c r="FX24" i="1"/>
  <c r="FU24" i="1"/>
  <c r="FT24" i="1"/>
  <c r="FV24" i="1" s="1"/>
  <c r="FR24" i="1"/>
  <c r="FQ24" i="1"/>
  <c r="FP24" i="1"/>
  <c r="FM24" i="1"/>
  <c r="FL24" i="1"/>
  <c r="FI24" i="1"/>
  <c r="FH24" i="1"/>
  <c r="FJ24" i="1" s="1"/>
  <c r="FE24" i="1"/>
  <c r="FD24" i="1"/>
  <c r="FF24" i="1" s="1"/>
  <c r="FA24" i="1"/>
  <c r="EZ24" i="1"/>
  <c r="FB24" i="1" s="1"/>
  <c r="EW24" i="1"/>
  <c r="EV24" i="1"/>
  <c r="ES24" i="1"/>
  <c r="ER24" i="1"/>
  <c r="ET24" i="1" s="1"/>
  <c r="EO24" i="1"/>
  <c r="EN24" i="1"/>
  <c r="EK24" i="1"/>
  <c r="EJ24" i="1"/>
  <c r="EL24" i="1" s="1"/>
  <c r="EG24" i="1"/>
  <c r="EH24" i="1" s="1"/>
  <c r="EF24" i="1"/>
  <c r="EC24" i="1"/>
  <c r="IG24" i="1" s="1"/>
  <c r="EB24" i="1"/>
  <c r="DY24" i="1"/>
  <c r="HY24" i="1" s="1"/>
  <c r="DX24" i="1"/>
  <c r="DU24" i="1"/>
  <c r="DV24" i="1" s="1"/>
  <c r="DT24" i="1"/>
  <c r="DQ24" i="1"/>
  <c r="DP24" i="1"/>
  <c r="DM24" i="1"/>
  <c r="DL24" i="1"/>
  <c r="DI24" i="1"/>
  <c r="DH24" i="1"/>
  <c r="DJ24" i="1" s="1"/>
  <c r="DF24" i="1"/>
  <c r="DE24" i="1"/>
  <c r="DD24" i="1"/>
  <c r="DA24" i="1"/>
  <c r="CZ24" i="1"/>
  <c r="CW24" i="1"/>
  <c r="CV24" i="1"/>
  <c r="CX24" i="1" s="1"/>
  <c r="CS24" i="1"/>
  <c r="CR24" i="1"/>
  <c r="CT24" i="1" s="1"/>
  <c r="CO24" i="1"/>
  <c r="CN24" i="1"/>
  <c r="CP24" i="1" s="1"/>
  <c r="CK24" i="1"/>
  <c r="CL24" i="1" s="1"/>
  <c r="CJ24" i="1"/>
  <c r="CG24" i="1"/>
  <c r="CH24" i="1" s="1"/>
  <c r="CC24" i="1"/>
  <c r="CD24" i="1" s="1"/>
  <c r="CB24" i="1"/>
  <c r="BY24" i="1"/>
  <c r="BX24" i="1"/>
  <c r="BU24" i="1"/>
  <c r="BT24" i="1"/>
  <c r="BQ24" i="1"/>
  <c r="BP24" i="1"/>
  <c r="BR24" i="1" s="1"/>
  <c r="BN24" i="1"/>
  <c r="BM24" i="1"/>
  <c r="BL24" i="1"/>
  <c r="BI24" i="1"/>
  <c r="BH24" i="1"/>
  <c r="BE24" i="1"/>
  <c r="BD24" i="1"/>
  <c r="BF24" i="1" s="1"/>
  <c r="BA24" i="1"/>
  <c r="AZ24" i="1"/>
  <c r="BB24" i="1" s="1"/>
  <c r="AW24" i="1"/>
  <c r="AV24" i="1"/>
  <c r="AX24" i="1" s="1"/>
  <c r="AS24" i="1"/>
  <c r="AT24" i="1" s="1"/>
  <c r="AR24" i="1"/>
  <c r="AO24" i="1"/>
  <c r="AN24" i="1"/>
  <c r="AP24" i="1" s="1"/>
  <c r="AK24" i="1"/>
  <c r="AJ24" i="1"/>
  <c r="AG24" i="1"/>
  <c r="AF24" i="1"/>
  <c r="AH24" i="1" s="1"/>
  <c r="AC24" i="1"/>
  <c r="AB24" i="1"/>
  <c r="Y24" i="1"/>
  <c r="X24" i="1"/>
  <c r="Z24" i="1" s="1"/>
  <c r="U24" i="1"/>
  <c r="T24" i="1"/>
  <c r="V24" i="1" s="1"/>
  <c r="Q24" i="1"/>
  <c r="R24" i="1" s="1"/>
  <c r="P24" i="1"/>
  <c r="M24" i="1"/>
  <c r="L24" i="1"/>
  <c r="I24" i="1"/>
  <c r="H24" i="1"/>
  <c r="E24" i="1"/>
  <c r="D24" i="1"/>
  <c r="HE23" i="1"/>
  <c r="HD23" i="1"/>
  <c r="HF23" i="1" s="1"/>
  <c r="HA23" i="1"/>
  <c r="GZ23" i="1"/>
  <c r="GW23" i="1"/>
  <c r="GV23" i="1"/>
  <c r="GX23" i="1" s="1"/>
  <c r="GS23" i="1"/>
  <c r="GR23" i="1"/>
  <c r="GT23" i="1" s="1"/>
  <c r="GO23" i="1"/>
  <c r="GP23" i="1" s="1"/>
  <c r="GN23" i="1"/>
  <c r="GK23" i="1"/>
  <c r="GJ23" i="1"/>
  <c r="GG23" i="1"/>
  <c r="GF23" i="1"/>
  <c r="GC23" i="1"/>
  <c r="GB23" i="1"/>
  <c r="GD23" i="1" s="1"/>
  <c r="FZ23" i="1"/>
  <c r="FY23" i="1"/>
  <c r="FX23" i="1"/>
  <c r="FU23" i="1"/>
  <c r="FT23" i="1"/>
  <c r="FQ23" i="1"/>
  <c r="FP23" i="1"/>
  <c r="FR23" i="1" s="1"/>
  <c r="FM23" i="1"/>
  <c r="FL23" i="1"/>
  <c r="FN23" i="1" s="1"/>
  <c r="FI23" i="1"/>
  <c r="FH23" i="1"/>
  <c r="FJ23" i="1" s="1"/>
  <c r="FE23" i="1"/>
  <c r="FF23" i="1" s="1"/>
  <c r="FD23" i="1"/>
  <c r="FA23" i="1"/>
  <c r="EZ23" i="1"/>
  <c r="FB23" i="1" s="1"/>
  <c r="EW23" i="1"/>
  <c r="EV23" i="1"/>
  <c r="ES23" i="1"/>
  <c r="ER23" i="1"/>
  <c r="ET23" i="1" s="1"/>
  <c r="EO23" i="1"/>
  <c r="EP23" i="1" s="1"/>
  <c r="EN23" i="1"/>
  <c r="EK23" i="1"/>
  <c r="EJ23" i="1"/>
  <c r="EL23" i="1" s="1"/>
  <c r="EG23" i="1"/>
  <c r="EF23" i="1"/>
  <c r="EH23" i="1" s="1"/>
  <c r="EC23" i="1"/>
  <c r="ED23" i="1" s="1"/>
  <c r="EB23" i="1"/>
  <c r="IF23" i="1" s="1"/>
  <c r="DY23" i="1"/>
  <c r="DX23" i="1"/>
  <c r="DU23" i="1"/>
  <c r="DT23" i="1"/>
  <c r="DQ23" i="1"/>
  <c r="DP23" i="1"/>
  <c r="DR23" i="1" s="1"/>
  <c r="DN23" i="1"/>
  <c r="DM23" i="1"/>
  <c r="DL23" i="1"/>
  <c r="DI23" i="1"/>
  <c r="DH23" i="1"/>
  <c r="DE23" i="1"/>
  <c r="DD23" i="1"/>
  <c r="DA23" i="1"/>
  <c r="CZ23" i="1"/>
  <c r="DB23" i="1" s="1"/>
  <c r="CW23" i="1"/>
  <c r="CV23" i="1"/>
  <c r="CX23" i="1" s="1"/>
  <c r="CS23" i="1"/>
  <c r="CT23" i="1" s="1"/>
  <c r="CR23" i="1"/>
  <c r="CO23" i="1"/>
  <c r="CN23" i="1"/>
  <c r="CP23" i="1" s="1"/>
  <c r="CK23" i="1"/>
  <c r="CJ23" i="1"/>
  <c r="CG23" i="1"/>
  <c r="HU23" i="1" s="1"/>
  <c r="CC23" i="1"/>
  <c r="CB23" i="1"/>
  <c r="BY23" i="1"/>
  <c r="BX23" i="1"/>
  <c r="BZ23" i="1" s="1"/>
  <c r="BV23" i="1"/>
  <c r="BU23" i="1"/>
  <c r="BT23" i="1"/>
  <c r="BQ23" i="1"/>
  <c r="BP23" i="1"/>
  <c r="BM23" i="1"/>
  <c r="BL23" i="1"/>
  <c r="BN23" i="1" s="1"/>
  <c r="BI23" i="1"/>
  <c r="BH23" i="1"/>
  <c r="BJ23" i="1" s="1"/>
  <c r="BE23" i="1"/>
  <c r="BD23" i="1"/>
  <c r="BF23" i="1" s="1"/>
  <c r="BA23" i="1"/>
  <c r="BB23" i="1" s="1"/>
  <c r="AZ23" i="1"/>
  <c r="AW23" i="1"/>
  <c r="AV23" i="1"/>
  <c r="AX23" i="1" s="1"/>
  <c r="AS23" i="1"/>
  <c r="AR23" i="1"/>
  <c r="AO23" i="1"/>
  <c r="AN23" i="1"/>
  <c r="AP23" i="1" s="1"/>
  <c r="AK23" i="1"/>
  <c r="AL23" i="1" s="1"/>
  <c r="AJ23" i="1"/>
  <c r="AG23" i="1"/>
  <c r="AF23" i="1"/>
  <c r="AH23" i="1" s="1"/>
  <c r="AC23" i="1"/>
  <c r="AB23" i="1"/>
  <c r="Y23" i="1"/>
  <c r="Z23" i="1" s="1"/>
  <c r="X23" i="1"/>
  <c r="U23" i="1"/>
  <c r="T23" i="1"/>
  <c r="Q23" i="1"/>
  <c r="P23" i="1"/>
  <c r="M23" i="1"/>
  <c r="L23" i="1"/>
  <c r="N23" i="1" s="1"/>
  <c r="J23" i="1"/>
  <c r="I23" i="1"/>
  <c r="H23" i="1"/>
  <c r="E23" i="1"/>
  <c r="D23" i="1"/>
  <c r="HE22" i="1"/>
  <c r="HD22" i="1"/>
  <c r="HF22" i="1" s="1"/>
  <c r="HA22" i="1"/>
  <c r="GZ22" i="1"/>
  <c r="HB22" i="1" s="1"/>
  <c r="GW22" i="1"/>
  <c r="GV22" i="1"/>
  <c r="GX22" i="1" s="1"/>
  <c r="GS22" i="1"/>
  <c r="GT22" i="1" s="1"/>
  <c r="GR22" i="1"/>
  <c r="GO22" i="1"/>
  <c r="GN22" i="1"/>
  <c r="GP22" i="1" s="1"/>
  <c r="GK22" i="1"/>
  <c r="GJ22" i="1"/>
  <c r="GG22" i="1"/>
  <c r="GF22" i="1"/>
  <c r="GH22" i="1" s="1"/>
  <c r="GC22" i="1"/>
  <c r="GB22" i="1"/>
  <c r="FY22" i="1"/>
  <c r="FX22" i="1"/>
  <c r="FZ22" i="1" s="1"/>
  <c r="FU22" i="1"/>
  <c r="FT22" i="1"/>
  <c r="FV22" i="1" s="1"/>
  <c r="FQ22" i="1"/>
  <c r="FR22" i="1" s="1"/>
  <c r="FP22" i="1"/>
  <c r="FM22" i="1"/>
  <c r="FL22" i="1"/>
  <c r="FI22" i="1"/>
  <c r="IK22" i="1" s="1"/>
  <c r="FH22" i="1"/>
  <c r="FE22" i="1"/>
  <c r="FD22" i="1"/>
  <c r="FF22" i="1" s="1"/>
  <c r="FB22" i="1"/>
  <c r="FA22" i="1"/>
  <c r="EZ22" i="1"/>
  <c r="EW22" i="1"/>
  <c r="EV22" i="1"/>
  <c r="ES22" i="1"/>
  <c r="ER22" i="1"/>
  <c r="ET22" i="1" s="1"/>
  <c r="EO22" i="1"/>
  <c r="EN22" i="1"/>
  <c r="EP22" i="1" s="1"/>
  <c r="EK22" i="1"/>
  <c r="EJ22" i="1"/>
  <c r="EL22" i="1" s="1"/>
  <c r="EG22" i="1"/>
  <c r="EH22" i="1" s="1"/>
  <c r="EF22" i="1"/>
  <c r="EC22" i="1"/>
  <c r="IG22" i="1" s="1"/>
  <c r="EB22" i="1"/>
  <c r="DY22" i="1"/>
  <c r="DX22" i="1"/>
  <c r="HX22" i="1" s="1"/>
  <c r="DU22" i="1"/>
  <c r="DT22" i="1"/>
  <c r="DV22" i="1" s="1"/>
  <c r="DQ22" i="1"/>
  <c r="DR22" i="1" s="1"/>
  <c r="DP22" i="1"/>
  <c r="DM22" i="1"/>
  <c r="DL22" i="1"/>
  <c r="DN22" i="1" s="1"/>
  <c r="DI22" i="1"/>
  <c r="DH22" i="1"/>
  <c r="DE22" i="1"/>
  <c r="DF22" i="1" s="1"/>
  <c r="DD22" i="1"/>
  <c r="DA22" i="1"/>
  <c r="CZ22" i="1"/>
  <c r="CW22" i="1"/>
  <c r="CV22" i="1"/>
  <c r="CS22" i="1"/>
  <c r="CR22" i="1"/>
  <c r="CT22" i="1" s="1"/>
  <c r="CP22" i="1"/>
  <c r="CO22" i="1"/>
  <c r="CN22" i="1"/>
  <c r="CK22" i="1"/>
  <c r="CJ22" i="1"/>
  <c r="CG22" i="1"/>
  <c r="CH22" i="1" s="1"/>
  <c r="CC22" i="1"/>
  <c r="CB22" i="1"/>
  <c r="CD22" i="1" s="1"/>
  <c r="BY22" i="1"/>
  <c r="BZ22" i="1" s="1"/>
  <c r="BX22" i="1"/>
  <c r="BU22" i="1"/>
  <c r="BT22" i="1"/>
  <c r="BV22" i="1" s="1"/>
  <c r="BQ22" i="1"/>
  <c r="BP22" i="1"/>
  <c r="BM22" i="1"/>
  <c r="BN22" i="1" s="1"/>
  <c r="BL22" i="1"/>
  <c r="BI22" i="1"/>
  <c r="BH22" i="1"/>
  <c r="BE22" i="1"/>
  <c r="BD22" i="1"/>
  <c r="BA22" i="1"/>
  <c r="AZ22" i="1"/>
  <c r="BB22" i="1" s="1"/>
  <c r="AX22" i="1"/>
  <c r="AW22" i="1"/>
  <c r="AV22" i="1"/>
  <c r="AS22" i="1"/>
  <c r="AR22" i="1"/>
  <c r="AO22" i="1"/>
  <c r="AN22" i="1"/>
  <c r="AP22" i="1" s="1"/>
  <c r="AK22" i="1"/>
  <c r="AJ22" i="1"/>
  <c r="AL22" i="1" s="1"/>
  <c r="AG22" i="1"/>
  <c r="AF22" i="1"/>
  <c r="AH22" i="1" s="1"/>
  <c r="AC22" i="1"/>
  <c r="AD22" i="1" s="1"/>
  <c r="AB22" i="1"/>
  <c r="Y22" i="1"/>
  <c r="X22" i="1"/>
  <c r="Z22" i="1" s="1"/>
  <c r="U22" i="1"/>
  <c r="T22" i="1"/>
  <c r="Q22" i="1"/>
  <c r="P22" i="1"/>
  <c r="R22" i="1" s="1"/>
  <c r="M22" i="1"/>
  <c r="N22" i="1" s="1"/>
  <c r="L22" i="1"/>
  <c r="I22" i="1"/>
  <c r="H22" i="1"/>
  <c r="J22" i="1" s="1"/>
  <c r="E22" i="1"/>
  <c r="D22" i="1"/>
  <c r="IB21" i="1"/>
  <c r="HE21" i="1"/>
  <c r="HD21" i="1"/>
  <c r="HF21" i="1" s="1"/>
  <c r="HA21" i="1"/>
  <c r="GZ21" i="1"/>
  <c r="GW21" i="1"/>
  <c r="GV21" i="1"/>
  <c r="GX21" i="1" s="1"/>
  <c r="GS21" i="1"/>
  <c r="GR21" i="1"/>
  <c r="GO21" i="1"/>
  <c r="GN21" i="1"/>
  <c r="GP21" i="1" s="1"/>
  <c r="GK21" i="1"/>
  <c r="GL21" i="1" s="1"/>
  <c r="GJ21" i="1"/>
  <c r="GG21" i="1"/>
  <c r="GF21" i="1"/>
  <c r="GH21" i="1" s="1"/>
  <c r="GC21" i="1"/>
  <c r="GB21" i="1"/>
  <c r="FY21" i="1"/>
  <c r="FZ21" i="1" s="1"/>
  <c r="FX21" i="1"/>
  <c r="FU21" i="1"/>
  <c r="FT21" i="1"/>
  <c r="FQ21" i="1"/>
  <c r="FP21" i="1"/>
  <c r="FM21" i="1"/>
  <c r="FL21" i="1"/>
  <c r="FN21" i="1" s="1"/>
  <c r="FJ21" i="1"/>
  <c r="FI21" i="1"/>
  <c r="FH21" i="1"/>
  <c r="FE21" i="1"/>
  <c r="FD21" i="1"/>
  <c r="FA21" i="1"/>
  <c r="EZ21" i="1"/>
  <c r="EW21" i="1"/>
  <c r="EV21" i="1"/>
  <c r="EX21" i="1" s="1"/>
  <c r="ES21" i="1"/>
  <c r="ER21" i="1"/>
  <c r="ET21" i="1" s="1"/>
  <c r="EO21" i="1"/>
  <c r="EP21" i="1" s="1"/>
  <c r="EN21" i="1"/>
  <c r="EK21" i="1"/>
  <c r="EJ21" i="1"/>
  <c r="EL21" i="1" s="1"/>
  <c r="EG21" i="1"/>
  <c r="EF21" i="1"/>
  <c r="EC21" i="1"/>
  <c r="IG21" i="1" s="1"/>
  <c r="EB21" i="1"/>
  <c r="DY21" i="1"/>
  <c r="DX21" i="1"/>
  <c r="DU21" i="1"/>
  <c r="DT21" i="1"/>
  <c r="DV21" i="1" s="1"/>
  <c r="DQ21" i="1"/>
  <c r="DP21" i="1"/>
  <c r="DM21" i="1"/>
  <c r="DN21" i="1" s="1"/>
  <c r="DL21" i="1"/>
  <c r="DI21" i="1"/>
  <c r="DH21" i="1"/>
  <c r="DE21" i="1"/>
  <c r="DD21" i="1"/>
  <c r="DA21" i="1"/>
  <c r="CZ21" i="1"/>
  <c r="DB21" i="1" s="1"/>
  <c r="CX21" i="1"/>
  <c r="CW21" i="1"/>
  <c r="CV21" i="1"/>
  <c r="CS21" i="1"/>
  <c r="CR21" i="1"/>
  <c r="CO21" i="1"/>
  <c r="CN21" i="1"/>
  <c r="CP21" i="1" s="1"/>
  <c r="CK21" i="1"/>
  <c r="CJ21" i="1"/>
  <c r="CL21" i="1" s="1"/>
  <c r="CG21" i="1"/>
  <c r="CC21" i="1"/>
  <c r="CB21" i="1"/>
  <c r="CD21" i="1" s="1"/>
  <c r="BY21" i="1"/>
  <c r="BX21" i="1"/>
  <c r="BZ21" i="1" s="1"/>
  <c r="BU21" i="1"/>
  <c r="BV21" i="1" s="1"/>
  <c r="BT21" i="1"/>
  <c r="BQ21" i="1"/>
  <c r="BP21" i="1"/>
  <c r="BM21" i="1"/>
  <c r="BL21" i="1"/>
  <c r="BI21" i="1"/>
  <c r="BH21" i="1"/>
  <c r="BJ21" i="1" s="1"/>
  <c r="BF21" i="1"/>
  <c r="BE21" i="1"/>
  <c r="BD21" i="1"/>
  <c r="BA21" i="1"/>
  <c r="AZ21" i="1"/>
  <c r="HP21" i="1" s="1"/>
  <c r="AW21" i="1"/>
  <c r="AV21" i="1"/>
  <c r="AX21" i="1" s="1"/>
  <c r="AS21" i="1"/>
  <c r="AR21" i="1"/>
  <c r="AT21" i="1" s="1"/>
  <c r="AO21" i="1"/>
  <c r="AN21" i="1"/>
  <c r="AP21" i="1" s="1"/>
  <c r="AK21" i="1"/>
  <c r="AL21" i="1" s="1"/>
  <c r="AJ21" i="1"/>
  <c r="AG21" i="1"/>
  <c r="AF21" i="1"/>
  <c r="AH21" i="1" s="1"/>
  <c r="AC21" i="1"/>
  <c r="AB21" i="1"/>
  <c r="Y21" i="1"/>
  <c r="X21" i="1"/>
  <c r="Z21" i="1" s="1"/>
  <c r="U21" i="1"/>
  <c r="T21" i="1"/>
  <c r="Q21" i="1"/>
  <c r="P21" i="1"/>
  <c r="R21" i="1" s="1"/>
  <c r="M21" i="1"/>
  <c r="L21" i="1"/>
  <c r="N21" i="1" s="1"/>
  <c r="I21" i="1"/>
  <c r="J21" i="1" s="1"/>
  <c r="H21" i="1"/>
  <c r="E21" i="1"/>
  <c r="D21" i="1"/>
  <c r="HE20" i="1"/>
  <c r="HD20" i="1"/>
  <c r="HF20" i="1" s="1"/>
  <c r="HA20" i="1"/>
  <c r="GZ20" i="1"/>
  <c r="HB20" i="1" s="1"/>
  <c r="GW20" i="1"/>
  <c r="GV20" i="1"/>
  <c r="GX20" i="1" s="1"/>
  <c r="GS20" i="1"/>
  <c r="GT20" i="1" s="1"/>
  <c r="GR20" i="1"/>
  <c r="GO20" i="1"/>
  <c r="GN20" i="1"/>
  <c r="GP20" i="1" s="1"/>
  <c r="GK20" i="1"/>
  <c r="GJ20" i="1"/>
  <c r="GG20" i="1"/>
  <c r="GF20" i="1"/>
  <c r="GH20" i="1" s="1"/>
  <c r="GC20" i="1"/>
  <c r="GD20" i="1" s="1"/>
  <c r="GB20" i="1"/>
  <c r="FY20" i="1"/>
  <c r="FX20" i="1"/>
  <c r="FZ20" i="1" s="1"/>
  <c r="FU20" i="1"/>
  <c r="FT20" i="1"/>
  <c r="FV20" i="1" s="1"/>
  <c r="FQ20" i="1"/>
  <c r="FR20" i="1" s="1"/>
  <c r="FP20" i="1"/>
  <c r="FM20" i="1"/>
  <c r="FL20" i="1"/>
  <c r="FI20" i="1"/>
  <c r="IK20" i="1" s="1"/>
  <c r="FH20" i="1"/>
  <c r="FE20" i="1"/>
  <c r="FD20" i="1"/>
  <c r="FF20" i="1" s="1"/>
  <c r="FB20" i="1"/>
  <c r="FA20" i="1"/>
  <c r="EZ20" i="1"/>
  <c r="EW20" i="1"/>
  <c r="EV20" i="1"/>
  <c r="IB20" i="1" s="1"/>
  <c r="ES20" i="1"/>
  <c r="ER20" i="1"/>
  <c r="ET20" i="1" s="1"/>
  <c r="EO20" i="1"/>
  <c r="EN20" i="1"/>
  <c r="EP20" i="1" s="1"/>
  <c r="EK20" i="1"/>
  <c r="EJ20" i="1"/>
  <c r="EL20" i="1" s="1"/>
  <c r="EG20" i="1"/>
  <c r="EH20" i="1" s="1"/>
  <c r="EF20" i="1"/>
  <c r="EC20" i="1"/>
  <c r="IG20" i="1" s="1"/>
  <c r="EB20" i="1"/>
  <c r="DY20" i="1"/>
  <c r="DX20" i="1"/>
  <c r="DU20" i="1"/>
  <c r="DT20" i="1"/>
  <c r="DV20" i="1" s="1"/>
  <c r="DQ20" i="1"/>
  <c r="DP20" i="1"/>
  <c r="DM20" i="1"/>
  <c r="DL20" i="1"/>
  <c r="DN20" i="1" s="1"/>
  <c r="DI20" i="1"/>
  <c r="DH20" i="1"/>
  <c r="DJ20" i="1" s="1"/>
  <c r="DE20" i="1"/>
  <c r="DF20" i="1" s="1"/>
  <c r="DD20" i="1"/>
  <c r="DA20" i="1"/>
  <c r="CZ20" i="1"/>
  <c r="CW20" i="1"/>
  <c r="CV20" i="1"/>
  <c r="CS20" i="1"/>
  <c r="CR20" i="1"/>
  <c r="CT20" i="1" s="1"/>
  <c r="CP20" i="1"/>
  <c r="CO20" i="1"/>
  <c r="CN20" i="1"/>
  <c r="CK20" i="1"/>
  <c r="CJ20" i="1"/>
  <c r="CG20" i="1"/>
  <c r="CH20" i="1" s="1"/>
  <c r="CC20" i="1"/>
  <c r="CB20" i="1"/>
  <c r="CD20" i="1" s="1"/>
  <c r="BY20" i="1"/>
  <c r="BZ20" i="1" s="1"/>
  <c r="BX20" i="1"/>
  <c r="BU20" i="1"/>
  <c r="BT20" i="1"/>
  <c r="BV20" i="1" s="1"/>
  <c r="BQ20" i="1"/>
  <c r="BP20" i="1"/>
  <c r="BR20" i="1" s="1"/>
  <c r="BM20" i="1"/>
  <c r="BN20" i="1" s="1"/>
  <c r="BL20" i="1"/>
  <c r="BI20" i="1"/>
  <c r="BH20" i="1"/>
  <c r="BE20" i="1"/>
  <c r="BD20" i="1"/>
  <c r="BA20" i="1"/>
  <c r="AZ20" i="1"/>
  <c r="BB20" i="1" s="1"/>
  <c r="AX20" i="1"/>
  <c r="AW20" i="1"/>
  <c r="AV20" i="1"/>
  <c r="AS20" i="1"/>
  <c r="AR20" i="1"/>
  <c r="AO20" i="1"/>
  <c r="AN20" i="1"/>
  <c r="AP20" i="1" s="1"/>
  <c r="AK20" i="1"/>
  <c r="AJ20" i="1"/>
  <c r="AG20" i="1"/>
  <c r="AF20" i="1"/>
  <c r="AH20" i="1" s="1"/>
  <c r="AC20" i="1"/>
  <c r="AD20" i="1" s="1"/>
  <c r="AB20" i="1"/>
  <c r="Y20" i="1"/>
  <c r="X20" i="1"/>
  <c r="Z20" i="1" s="1"/>
  <c r="U20" i="1"/>
  <c r="T20" i="1"/>
  <c r="Q20" i="1"/>
  <c r="P20" i="1"/>
  <c r="R20" i="1" s="1"/>
  <c r="M20" i="1"/>
  <c r="N20" i="1" s="1"/>
  <c r="L20" i="1"/>
  <c r="I20" i="1"/>
  <c r="H20" i="1"/>
  <c r="J20" i="1" s="1"/>
  <c r="E20" i="1"/>
  <c r="D20" i="1"/>
  <c r="HE19" i="1"/>
  <c r="HD19" i="1"/>
  <c r="HA19" i="1"/>
  <c r="GZ19" i="1"/>
  <c r="GW19" i="1"/>
  <c r="GV19" i="1"/>
  <c r="GS19" i="1"/>
  <c r="GR19" i="1"/>
  <c r="GT19" i="1" s="1"/>
  <c r="GP19" i="1"/>
  <c r="GO19" i="1"/>
  <c r="GN19" i="1"/>
  <c r="GK19" i="1"/>
  <c r="GJ19" i="1"/>
  <c r="GG19" i="1"/>
  <c r="GF19" i="1"/>
  <c r="GC19" i="1"/>
  <c r="GB19" i="1"/>
  <c r="GD19" i="1" s="1"/>
  <c r="FZ19" i="1"/>
  <c r="FY19" i="1"/>
  <c r="FX19" i="1"/>
  <c r="FU19" i="1"/>
  <c r="FV19" i="1" s="1"/>
  <c r="FT19" i="1"/>
  <c r="FQ19" i="1"/>
  <c r="FP19" i="1"/>
  <c r="FR19" i="1" s="1"/>
  <c r="FM19" i="1"/>
  <c r="FL19" i="1"/>
  <c r="FI19" i="1"/>
  <c r="FH19" i="1"/>
  <c r="FE19" i="1"/>
  <c r="FF19" i="1" s="1"/>
  <c r="FD19" i="1"/>
  <c r="FA19" i="1"/>
  <c r="EZ19" i="1"/>
  <c r="FB19" i="1" s="1"/>
  <c r="EW19" i="1"/>
  <c r="EV19" i="1"/>
  <c r="ES19" i="1"/>
  <c r="ER19" i="1"/>
  <c r="ET19" i="1" s="1"/>
  <c r="EO19" i="1"/>
  <c r="EP19" i="1" s="1"/>
  <c r="EN19" i="1"/>
  <c r="EK19" i="1"/>
  <c r="EJ19" i="1"/>
  <c r="EL19" i="1" s="1"/>
  <c r="EG19" i="1"/>
  <c r="EF19" i="1"/>
  <c r="EC19" i="1"/>
  <c r="ED19" i="1" s="1"/>
  <c r="EB19" i="1"/>
  <c r="IF19" i="1" s="1"/>
  <c r="DY19" i="1"/>
  <c r="DX19" i="1"/>
  <c r="DU19" i="1"/>
  <c r="DT19" i="1"/>
  <c r="DQ19" i="1"/>
  <c r="DP19" i="1"/>
  <c r="DR19" i="1" s="1"/>
  <c r="DN19" i="1"/>
  <c r="DM19" i="1"/>
  <c r="DL19" i="1"/>
  <c r="DI19" i="1"/>
  <c r="DH19" i="1"/>
  <c r="DE19" i="1"/>
  <c r="DD19" i="1"/>
  <c r="DA19" i="1"/>
  <c r="CZ19" i="1"/>
  <c r="DB19" i="1" s="1"/>
  <c r="CW19" i="1"/>
  <c r="CV19" i="1"/>
  <c r="CX19" i="1" s="1"/>
  <c r="CS19" i="1"/>
  <c r="CT19" i="1" s="1"/>
  <c r="CR19" i="1"/>
  <c r="CO19" i="1"/>
  <c r="CN19" i="1"/>
  <c r="CP19" i="1" s="1"/>
  <c r="CK19" i="1"/>
  <c r="CJ19" i="1"/>
  <c r="CG19" i="1"/>
  <c r="CC19" i="1"/>
  <c r="CB19" i="1"/>
  <c r="BY19" i="1"/>
  <c r="BX19" i="1"/>
  <c r="BZ19" i="1" s="1"/>
  <c r="BV19" i="1"/>
  <c r="BU19" i="1"/>
  <c r="BT19" i="1"/>
  <c r="BQ19" i="1"/>
  <c r="BR19" i="1" s="1"/>
  <c r="BP19" i="1"/>
  <c r="BM19" i="1"/>
  <c r="BL19" i="1"/>
  <c r="BI19" i="1"/>
  <c r="BH19" i="1"/>
  <c r="BE19" i="1"/>
  <c r="BD19" i="1"/>
  <c r="BF19" i="1" s="1"/>
  <c r="BA19" i="1"/>
  <c r="BB19" i="1" s="1"/>
  <c r="AZ19" i="1"/>
  <c r="AW19" i="1"/>
  <c r="AV19" i="1"/>
  <c r="AX19" i="1" s="1"/>
  <c r="AS19" i="1"/>
  <c r="AR19" i="1"/>
  <c r="AO19" i="1"/>
  <c r="AN19" i="1"/>
  <c r="AP19" i="1" s="1"/>
  <c r="AK19" i="1"/>
  <c r="AL19" i="1" s="1"/>
  <c r="AJ19" i="1"/>
  <c r="AG19" i="1"/>
  <c r="AF19" i="1"/>
  <c r="AH19" i="1" s="1"/>
  <c r="AC19" i="1"/>
  <c r="AB19" i="1"/>
  <c r="Y19" i="1"/>
  <c r="Z19" i="1" s="1"/>
  <c r="X19" i="1"/>
  <c r="U19" i="1"/>
  <c r="T19" i="1"/>
  <c r="Q19" i="1"/>
  <c r="P19" i="1"/>
  <c r="M19" i="1"/>
  <c r="L19" i="1"/>
  <c r="N19" i="1" s="1"/>
  <c r="J19" i="1"/>
  <c r="I19" i="1"/>
  <c r="H19" i="1"/>
  <c r="E19" i="1"/>
  <c r="D19" i="1"/>
  <c r="HE18" i="1"/>
  <c r="HD18" i="1"/>
  <c r="HA18" i="1"/>
  <c r="GZ18" i="1"/>
  <c r="HB18" i="1" s="1"/>
  <c r="GX18" i="1"/>
  <c r="GW18" i="1"/>
  <c r="GV18" i="1"/>
  <c r="GS18" i="1"/>
  <c r="GR18" i="1"/>
  <c r="GO18" i="1"/>
  <c r="GN18" i="1"/>
  <c r="GK18" i="1"/>
  <c r="GJ18" i="1"/>
  <c r="GL18" i="1" s="1"/>
  <c r="GH18" i="1"/>
  <c r="GG18" i="1"/>
  <c r="GF18" i="1"/>
  <c r="GC18" i="1"/>
  <c r="GD18" i="1" s="1"/>
  <c r="GB18" i="1"/>
  <c r="FY18" i="1"/>
  <c r="FX18" i="1"/>
  <c r="FZ18" i="1" s="1"/>
  <c r="FU18" i="1"/>
  <c r="FT18" i="1"/>
  <c r="FQ18" i="1"/>
  <c r="FP18" i="1"/>
  <c r="FR18" i="1" s="1"/>
  <c r="FM18" i="1"/>
  <c r="FN18" i="1" s="1"/>
  <c r="FL18" i="1"/>
  <c r="FI18" i="1"/>
  <c r="FH18" i="1"/>
  <c r="FJ18" i="1" s="1"/>
  <c r="FE18" i="1"/>
  <c r="FD18" i="1"/>
  <c r="FA18" i="1"/>
  <c r="EZ18" i="1"/>
  <c r="FB18" i="1" s="1"/>
  <c r="EW18" i="1"/>
  <c r="EV18" i="1"/>
  <c r="ES18" i="1"/>
  <c r="ER18" i="1"/>
  <c r="ET18" i="1" s="1"/>
  <c r="EO18" i="1"/>
  <c r="EN18" i="1"/>
  <c r="EP18" i="1" s="1"/>
  <c r="EK18" i="1"/>
  <c r="EL18" i="1" s="1"/>
  <c r="EJ18" i="1"/>
  <c r="EG18" i="1"/>
  <c r="EF18" i="1"/>
  <c r="EC18" i="1"/>
  <c r="IG18" i="1" s="1"/>
  <c r="EB18" i="1"/>
  <c r="DY18" i="1"/>
  <c r="DX18" i="1"/>
  <c r="DV18" i="1"/>
  <c r="DU18" i="1"/>
  <c r="DT18" i="1"/>
  <c r="DQ18" i="1"/>
  <c r="DP18" i="1"/>
  <c r="DM18" i="1"/>
  <c r="DL18" i="1"/>
  <c r="DN18" i="1" s="1"/>
  <c r="DI18" i="1"/>
  <c r="DH18" i="1"/>
  <c r="DJ18" i="1" s="1"/>
  <c r="DE18" i="1"/>
  <c r="DD18" i="1"/>
  <c r="DA18" i="1"/>
  <c r="DB18" i="1" s="1"/>
  <c r="CZ18" i="1"/>
  <c r="CW18" i="1"/>
  <c r="CV18" i="1"/>
  <c r="CX18" i="1" s="1"/>
  <c r="CS18" i="1"/>
  <c r="CR18" i="1"/>
  <c r="CO18" i="1"/>
  <c r="CN18" i="1"/>
  <c r="CK18" i="1"/>
  <c r="CL18" i="1" s="1"/>
  <c r="CJ18" i="1"/>
  <c r="CG18" i="1"/>
  <c r="HU18" i="1" s="1"/>
  <c r="CD18" i="1"/>
  <c r="CC18" i="1"/>
  <c r="CB18" i="1"/>
  <c r="BY18" i="1"/>
  <c r="BZ18" i="1" s="1"/>
  <c r="BX18" i="1"/>
  <c r="BU18" i="1"/>
  <c r="BT18" i="1"/>
  <c r="BV18" i="1" s="1"/>
  <c r="BQ18" i="1"/>
  <c r="BP18" i="1"/>
  <c r="BM18" i="1"/>
  <c r="BL18" i="1"/>
  <c r="BN18" i="1" s="1"/>
  <c r="BI18" i="1"/>
  <c r="BJ18" i="1" s="1"/>
  <c r="BH18" i="1"/>
  <c r="BE18" i="1"/>
  <c r="BD18" i="1"/>
  <c r="BF18" i="1" s="1"/>
  <c r="BA18" i="1"/>
  <c r="AZ18" i="1"/>
  <c r="AW18" i="1"/>
  <c r="AV18" i="1"/>
  <c r="AX18" i="1" s="1"/>
  <c r="AS18" i="1"/>
  <c r="AT18" i="1" s="1"/>
  <c r="AR18" i="1"/>
  <c r="AO18" i="1"/>
  <c r="AN18" i="1"/>
  <c r="AP18" i="1" s="1"/>
  <c r="AK18" i="1"/>
  <c r="AJ18" i="1"/>
  <c r="AG18" i="1"/>
  <c r="AH18" i="1" s="1"/>
  <c r="AF18" i="1"/>
  <c r="AC18" i="1"/>
  <c r="AB18" i="1"/>
  <c r="Y18" i="1"/>
  <c r="X18" i="1"/>
  <c r="U18" i="1"/>
  <c r="T18" i="1"/>
  <c r="V18" i="1" s="1"/>
  <c r="R18" i="1"/>
  <c r="Q18" i="1"/>
  <c r="P18" i="1"/>
  <c r="M18" i="1"/>
  <c r="L18" i="1"/>
  <c r="I18" i="1"/>
  <c r="H18" i="1"/>
  <c r="J18" i="1" s="1"/>
  <c r="E18" i="1"/>
  <c r="D18" i="1"/>
  <c r="HH18" i="1" s="1"/>
  <c r="HF17" i="1"/>
  <c r="HE17" i="1"/>
  <c r="HD17" i="1"/>
  <c r="HA17" i="1"/>
  <c r="GZ17" i="1"/>
  <c r="GW17" i="1"/>
  <c r="GV17" i="1"/>
  <c r="GS17" i="1"/>
  <c r="GR17" i="1"/>
  <c r="GT17" i="1" s="1"/>
  <c r="GP17" i="1"/>
  <c r="GO17" i="1"/>
  <c r="GN17" i="1"/>
  <c r="GK17" i="1"/>
  <c r="GL17" i="1" s="1"/>
  <c r="GJ17" i="1"/>
  <c r="GG17" i="1"/>
  <c r="GF17" i="1"/>
  <c r="GH17" i="1" s="1"/>
  <c r="GC17" i="1"/>
  <c r="GB17" i="1"/>
  <c r="FY17" i="1"/>
  <c r="FX17" i="1"/>
  <c r="FZ17" i="1" s="1"/>
  <c r="FU17" i="1"/>
  <c r="FV17" i="1" s="1"/>
  <c r="FT17" i="1"/>
  <c r="FQ17" i="1"/>
  <c r="FP17" i="1"/>
  <c r="FR17" i="1" s="1"/>
  <c r="FM17" i="1"/>
  <c r="FL17" i="1"/>
  <c r="FI17" i="1"/>
  <c r="IK17" i="1" s="1"/>
  <c r="FH17" i="1"/>
  <c r="FE17" i="1"/>
  <c r="FF17" i="1" s="1"/>
  <c r="FD17" i="1"/>
  <c r="FA17" i="1"/>
  <c r="EZ17" i="1"/>
  <c r="FB17" i="1" s="1"/>
  <c r="EW17" i="1"/>
  <c r="EV17" i="1"/>
  <c r="EX17" i="1" s="1"/>
  <c r="ES17" i="1"/>
  <c r="ET17" i="1" s="1"/>
  <c r="ER17" i="1"/>
  <c r="EO17" i="1"/>
  <c r="EN17" i="1"/>
  <c r="EK17" i="1"/>
  <c r="EJ17" i="1"/>
  <c r="EG17" i="1"/>
  <c r="EF17" i="1"/>
  <c r="EH17" i="1" s="1"/>
  <c r="ED17" i="1"/>
  <c r="EC17" i="1"/>
  <c r="IG17" i="1" s="1"/>
  <c r="EB17" i="1"/>
  <c r="IF17" i="1" s="1"/>
  <c r="DY17" i="1"/>
  <c r="DX17" i="1"/>
  <c r="DU17" i="1"/>
  <c r="DT17" i="1"/>
  <c r="DV17" i="1" s="1"/>
  <c r="DQ17" i="1"/>
  <c r="DP17" i="1"/>
  <c r="DR17" i="1" s="1"/>
  <c r="DM17" i="1"/>
  <c r="DL17" i="1"/>
  <c r="DN17" i="1" s="1"/>
  <c r="DI17" i="1"/>
  <c r="DJ17" i="1" s="1"/>
  <c r="DH17" i="1"/>
  <c r="DE17" i="1"/>
  <c r="DD17" i="1"/>
  <c r="DA17" i="1"/>
  <c r="CZ17" i="1"/>
  <c r="CW17" i="1"/>
  <c r="CV17" i="1"/>
  <c r="CS17" i="1"/>
  <c r="CT17" i="1" s="1"/>
  <c r="CR17" i="1"/>
  <c r="CO17" i="1"/>
  <c r="CN17" i="1"/>
  <c r="CK17" i="1"/>
  <c r="CJ17" i="1"/>
  <c r="CL17" i="1" s="1"/>
  <c r="CH17" i="1"/>
  <c r="CG17" i="1"/>
  <c r="HU17" i="1" s="1"/>
  <c r="CC17" i="1"/>
  <c r="CB17" i="1"/>
  <c r="CD17" i="1" s="1"/>
  <c r="BY17" i="1"/>
  <c r="BX17" i="1"/>
  <c r="BU17" i="1"/>
  <c r="BT17" i="1"/>
  <c r="BV17" i="1" s="1"/>
  <c r="BQ17" i="1"/>
  <c r="BR17" i="1" s="1"/>
  <c r="BP17" i="1"/>
  <c r="BM17" i="1"/>
  <c r="BL17" i="1"/>
  <c r="BN17" i="1" s="1"/>
  <c r="BI17" i="1"/>
  <c r="BH17" i="1"/>
  <c r="BE17" i="1"/>
  <c r="BD17" i="1"/>
  <c r="BF17" i="1" s="1"/>
  <c r="BA17" i="1"/>
  <c r="AZ17" i="1"/>
  <c r="AW17" i="1"/>
  <c r="AV17" i="1"/>
  <c r="AX17" i="1" s="1"/>
  <c r="AS17" i="1"/>
  <c r="AR17" i="1"/>
  <c r="AT17" i="1" s="1"/>
  <c r="AO17" i="1"/>
  <c r="AP17" i="1" s="1"/>
  <c r="AN17" i="1"/>
  <c r="AK17" i="1"/>
  <c r="AJ17" i="1"/>
  <c r="AG17" i="1"/>
  <c r="AF17" i="1"/>
  <c r="AC17" i="1"/>
  <c r="AB17" i="1"/>
  <c r="AD17" i="1" s="1"/>
  <c r="Z17" i="1"/>
  <c r="Y17" i="1"/>
  <c r="X17" i="1"/>
  <c r="U17" i="1"/>
  <c r="T17" i="1"/>
  <c r="Q17" i="1"/>
  <c r="P17" i="1"/>
  <c r="M17" i="1"/>
  <c r="L17" i="1"/>
  <c r="N17" i="1" s="1"/>
  <c r="I17" i="1"/>
  <c r="H17" i="1"/>
  <c r="J17" i="1" s="1"/>
  <c r="E17" i="1"/>
  <c r="D17" i="1"/>
  <c r="HE16" i="1"/>
  <c r="HD16" i="1"/>
  <c r="HA16" i="1"/>
  <c r="GZ16" i="1"/>
  <c r="HB16" i="1" s="1"/>
  <c r="GX16" i="1"/>
  <c r="GW16" i="1"/>
  <c r="GV16" i="1"/>
  <c r="GS16" i="1"/>
  <c r="GR16" i="1"/>
  <c r="GO16" i="1"/>
  <c r="GN16" i="1"/>
  <c r="GK16" i="1"/>
  <c r="GJ16" i="1"/>
  <c r="GL16" i="1" s="1"/>
  <c r="GH16" i="1"/>
  <c r="GG16" i="1"/>
  <c r="GF16" i="1"/>
  <c r="GC16" i="1"/>
  <c r="GD16" i="1" s="1"/>
  <c r="GB16" i="1"/>
  <c r="FY16" i="1"/>
  <c r="FX16" i="1"/>
  <c r="FZ16" i="1" s="1"/>
  <c r="FU16" i="1"/>
  <c r="FT16" i="1"/>
  <c r="FQ16" i="1"/>
  <c r="FP16" i="1"/>
  <c r="FR16" i="1" s="1"/>
  <c r="FM16" i="1"/>
  <c r="FN16" i="1" s="1"/>
  <c r="FL16" i="1"/>
  <c r="FI16" i="1"/>
  <c r="FH16" i="1"/>
  <c r="FJ16" i="1" s="1"/>
  <c r="FE16" i="1"/>
  <c r="FD16" i="1"/>
  <c r="FA16" i="1"/>
  <c r="EZ16" i="1"/>
  <c r="FB16" i="1" s="1"/>
  <c r="EW16" i="1"/>
  <c r="EV16" i="1"/>
  <c r="IB16" i="1" s="1"/>
  <c r="ES16" i="1"/>
  <c r="ER16" i="1"/>
  <c r="ET16" i="1" s="1"/>
  <c r="EO16" i="1"/>
  <c r="EN16" i="1"/>
  <c r="EP16" i="1" s="1"/>
  <c r="EK16" i="1"/>
  <c r="EJ16" i="1"/>
  <c r="EL16" i="1" s="1"/>
  <c r="EG16" i="1"/>
  <c r="EH16" i="1" s="1"/>
  <c r="EF16" i="1"/>
  <c r="EC16" i="1"/>
  <c r="IG16" i="1" s="1"/>
  <c r="EB16" i="1"/>
  <c r="DY16" i="1"/>
  <c r="DX16" i="1"/>
  <c r="DV16" i="1"/>
  <c r="DU16" i="1"/>
  <c r="DT16" i="1"/>
  <c r="DQ16" i="1"/>
  <c r="DP16" i="1"/>
  <c r="DM16" i="1"/>
  <c r="DL16" i="1"/>
  <c r="DI16" i="1"/>
  <c r="DH16" i="1"/>
  <c r="DJ16" i="1" s="1"/>
  <c r="DF16" i="1"/>
  <c r="DE16" i="1"/>
  <c r="DD16" i="1"/>
  <c r="DA16" i="1"/>
  <c r="DB16" i="1" s="1"/>
  <c r="CZ16" i="1"/>
  <c r="CW16" i="1"/>
  <c r="CV16" i="1"/>
  <c r="CX16" i="1" s="1"/>
  <c r="CS16" i="1"/>
  <c r="CR16" i="1"/>
  <c r="CO16" i="1"/>
  <c r="CN16" i="1"/>
  <c r="CP16" i="1" s="1"/>
  <c r="CK16" i="1"/>
  <c r="CL16" i="1" s="1"/>
  <c r="CJ16" i="1"/>
  <c r="CG16" i="1"/>
  <c r="CD16" i="1"/>
  <c r="CC16" i="1"/>
  <c r="CB16" i="1"/>
  <c r="BY16" i="1"/>
  <c r="BX16" i="1"/>
  <c r="BU16" i="1"/>
  <c r="BT16" i="1"/>
  <c r="BQ16" i="1"/>
  <c r="BP16" i="1"/>
  <c r="BR16" i="1" s="1"/>
  <c r="BN16" i="1"/>
  <c r="BM16" i="1"/>
  <c r="BL16" i="1"/>
  <c r="BI16" i="1"/>
  <c r="BJ16" i="1" s="1"/>
  <c r="BH16" i="1"/>
  <c r="BE16" i="1"/>
  <c r="BD16" i="1"/>
  <c r="BF16" i="1" s="1"/>
  <c r="BA16" i="1"/>
  <c r="AZ16" i="1"/>
  <c r="AW16" i="1"/>
  <c r="AV16" i="1"/>
  <c r="AX16" i="1" s="1"/>
  <c r="AS16" i="1"/>
  <c r="AT16" i="1" s="1"/>
  <c r="AR16" i="1"/>
  <c r="AO16" i="1"/>
  <c r="AN16" i="1"/>
  <c r="AP16" i="1" s="1"/>
  <c r="AK16" i="1"/>
  <c r="AJ16" i="1"/>
  <c r="AG16" i="1"/>
  <c r="AF16" i="1"/>
  <c r="AH16" i="1" s="1"/>
  <c r="AC16" i="1"/>
  <c r="AD16" i="1" s="1"/>
  <c r="AB16" i="1"/>
  <c r="Y16" i="1"/>
  <c r="X16" i="1"/>
  <c r="U16" i="1"/>
  <c r="T16" i="1"/>
  <c r="R16" i="1"/>
  <c r="Q16" i="1"/>
  <c r="P16" i="1"/>
  <c r="M16" i="1"/>
  <c r="L16" i="1"/>
  <c r="I16" i="1"/>
  <c r="H16" i="1"/>
  <c r="E16" i="1"/>
  <c r="D16" i="1"/>
  <c r="HE15" i="1"/>
  <c r="HD15" i="1"/>
  <c r="HF15" i="1" s="1"/>
  <c r="HA15" i="1"/>
  <c r="GZ15" i="1"/>
  <c r="GW15" i="1"/>
  <c r="GV15" i="1"/>
  <c r="GS15" i="1"/>
  <c r="GR15" i="1"/>
  <c r="GT15" i="1" s="1"/>
  <c r="GP15" i="1"/>
  <c r="GO15" i="1"/>
  <c r="GN15" i="1"/>
  <c r="GK15" i="1"/>
  <c r="GJ15" i="1"/>
  <c r="GG15" i="1"/>
  <c r="GF15" i="1"/>
  <c r="GC15" i="1"/>
  <c r="GB15" i="1"/>
  <c r="GD15" i="1" s="1"/>
  <c r="FZ15" i="1"/>
  <c r="FY15" i="1"/>
  <c r="FX15" i="1"/>
  <c r="FU15" i="1"/>
  <c r="FV15" i="1" s="1"/>
  <c r="FT15" i="1"/>
  <c r="FQ15" i="1"/>
  <c r="FP15" i="1"/>
  <c r="FR15" i="1" s="1"/>
  <c r="FM15" i="1"/>
  <c r="FL15" i="1"/>
  <c r="FI15" i="1"/>
  <c r="FH15" i="1"/>
  <c r="FJ15" i="1" s="1"/>
  <c r="FE15" i="1"/>
  <c r="FF15" i="1" s="1"/>
  <c r="FD15" i="1"/>
  <c r="FA15" i="1"/>
  <c r="EZ15" i="1"/>
  <c r="FB15" i="1" s="1"/>
  <c r="EW15" i="1"/>
  <c r="EV15" i="1"/>
  <c r="ES15" i="1"/>
  <c r="ER15" i="1"/>
  <c r="ET15" i="1" s="1"/>
  <c r="EO15" i="1"/>
  <c r="EP15" i="1" s="1"/>
  <c r="EN15" i="1"/>
  <c r="EK15" i="1"/>
  <c r="EJ15" i="1"/>
  <c r="EG15" i="1"/>
  <c r="EF15" i="1"/>
  <c r="EH15" i="1" s="1"/>
  <c r="ED15" i="1"/>
  <c r="EC15" i="1"/>
  <c r="IG15" i="1" s="1"/>
  <c r="EB15" i="1"/>
  <c r="IF15" i="1" s="1"/>
  <c r="DY15" i="1"/>
  <c r="DX15" i="1"/>
  <c r="DU15" i="1"/>
  <c r="DT15" i="1"/>
  <c r="DQ15" i="1"/>
  <c r="DP15" i="1"/>
  <c r="DR15" i="1" s="1"/>
  <c r="DN15" i="1"/>
  <c r="DM15" i="1"/>
  <c r="DL15" i="1"/>
  <c r="DI15" i="1"/>
  <c r="DJ15" i="1" s="1"/>
  <c r="DH15" i="1"/>
  <c r="DE15" i="1"/>
  <c r="DD15" i="1"/>
  <c r="DA15" i="1"/>
  <c r="CZ15" i="1"/>
  <c r="CW15" i="1"/>
  <c r="CV15" i="1"/>
  <c r="CX15" i="1" s="1"/>
  <c r="CS15" i="1"/>
  <c r="CT15" i="1" s="1"/>
  <c r="CR15" i="1"/>
  <c r="CO15" i="1"/>
  <c r="CN15" i="1"/>
  <c r="CP15" i="1" s="1"/>
  <c r="CK15" i="1"/>
  <c r="CJ15" i="1"/>
  <c r="CG15" i="1"/>
  <c r="HU15" i="1" s="1"/>
  <c r="CC15" i="1"/>
  <c r="CB15" i="1"/>
  <c r="BY15" i="1"/>
  <c r="BX15" i="1"/>
  <c r="BZ15" i="1" s="1"/>
  <c r="BV15" i="1"/>
  <c r="BU15" i="1"/>
  <c r="BT15" i="1"/>
  <c r="BQ15" i="1"/>
  <c r="BR15" i="1" s="1"/>
  <c r="BP15" i="1"/>
  <c r="BM15" i="1"/>
  <c r="BL15" i="1"/>
  <c r="BI15" i="1"/>
  <c r="BH15" i="1"/>
  <c r="BE15" i="1"/>
  <c r="BD15" i="1"/>
  <c r="BF15" i="1" s="1"/>
  <c r="BA15" i="1"/>
  <c r="BB15" i="1" s="1"/>
  <c r="AZ15" i="1"/>
  <c r="AW15" i="1"/>
  <c r="AV15" i="1"/>
  <c r="AX15" i="1" s="1"/>
  <c r="AS15" i="1"/>
  <c r="AR15" i="1"/>
  <c r="AO15" i="1"/>
  <c r="AN15" i="1"/>
  <c r="AP15" i="1" s="1"/>
  <c r="AK15" i="1"/>
  <c r="AL15" i="1" s="1"/>
  <c r="AJ15" i="1"/>
  <c r="AG15" i="1"/>
  <c r="AF15" i="1"/>
  <c r="AC15" i="1"/>
  <c r="AB15" i="1"/>
  <c r="Z15" i="1"/>
  <c r="Y15" i="1"/>
  <c r="X15" i="1"/>
  <c r="U15" i="1"/>
  <c r="T15" i="1"/>
  <c r="Q15" i="1"/>
  <c r="P15" i="1"/>
  <c r="M15" i="1"/>
  <c r="L15" i="1"/>
  <c r="N15" i="1" s="1"/>
  <c r="J15" i="1"/>
  <c r="I15" i="1"/>
  <c r="H15" i="1"/>
  <c r="E15" i="1"/>
  <c r="D15" i="1"/>
  <c r="HE14" i="1"/>
  <c r="HD14" i="1"/>
  <c r="HF14" i="1" s="1"/>
  <c r="HA14" i="1"/>
  <c r="GZ14" i="1"/>
  <c r="GW14" i="1"/>
  <c r="GV14" i="1"/>
  <c r="GX14" i="1" s="1"/>
  <c r="GS14" i="1"/>
  <c r="GT14" i="1" s="1"/>
  <c r="GR14" i="1"/>
  <c r="GO14" i="1"/>
  <c r="GN14" i="1"/>
  <c r="GP14" i="1" s="1"/>
  <c r="GK14" i="1"/>
  <c r="GJ14" i="1"/>
  <c r="GG14" i="1"/>
  <c r="GF14" i="1"/>
  <c r="GH14" i="1" s="1"/>
  <c r="GC14" i="1"/>
  <c r="GB14" i="1"/>
  <c r="FY14" i="1"/>
  <c r="FX14" i="1"/>
  <c r="FU14" i="1"/>
  <c r="FT14" i="1"/>
  <c r="FV14" i="1" s="1"/>
  <c r="FR14" i="1"/>
  <c r="FQ14" i="1"/>
  <c r="FP14" i="1"/>
  <c r="FM14" i="1"/>
  <c r="FL14" i="1"/>
  <c r="FI14" i="1"/>
  <c r="IK14" i="1" s="1"/>
  <c r="FH14" i="1"/>
  <c r="FE14" i="1"/>
  <c r="FD14" i="1"/>
  <c r="FF14" i="1" s="1"/>
  <c r="FB14" i="1"/>
  <c r="FA14" i="1"/>
  <c r="EZ14" i="1"/>
  <c r="EW14" i="1"/>
  <c r="EV14" i="1"/>
  <c r="IB14" i="1" s="1"/>
  <c r="ES14" i="1"/>
  <c r="ER14" i="1"/>
  <c r="EO14" i="1"/>
  <c r="EN14" i="1"/>
  <c r="EK14" i="1"/>
  <c r="EJ14" i="1"/>
  <c r="EL14" i="1" s="1"/>
  <c r="EG14" i="1"/>
  <c r="EH14" i="1" s="1"/>
  <c r="EF14" i="1"/>
  <c r="EC14" i="1"/>
  <c r="IG14" i="1" s="1"/>
  <c r="EB14" i="1"/>
  <c r="DY14" i="1"/>
  <c r="DX14" i="1"/>
  <c r="HX14" i="1" s="1"/>
  <c r="DU14" i="1"/>
  <c r="DT14" i="1"/>
  <c r="DV14" i="1" s="1"/>
  <c r="DQ14" i="1"/>
  <c r="DR14" i="1" s="1"/>
  <c r="DP14" i="1"/>
  <c r="DM14" i="1"/>
  <c r="DL14" i="1"/>
  <c r="DI14" i="1"/>
  <c r="DH14" i="1"/>
  <c r="DF14" i="1"/>
  <c r="DE14" i="1"/>
  <c r="DD14" i="1"/>
  <c r="DA14" i="1"/>
  <c r="CZ14" i="1"/>
  <c r="CW14" i="1"/>
  <c r="CV14" i="1"/>
  <c r="CS14" i="1"/>
  <c r="CR14" i="1"/>
  <c r="CT14" i="1" s="1"/>
  <c r="CP14" i="1"/>
  <c r="CO14" i="1"/>
  <c r="CN14" i="1"/>
  <c r="CK14" i="1"/>
  <c r="CL14" i="1" s="1"/>
  <c r="CJ14" i="1"/>
  <c r="CG14" i="1"/>
  <c r="CH14" i="1" s="1"/>
  <c r="CC14" i="1"/>
  <c r="CB14" i="1"/>
  <c r="CD14" i="1" s="1"/>
  <c r="BY14" i="1"/>
  <c r="BZ14" i="1" s="1"/>
  <c r="BX14" i="1"/>
  <c r="BU14" i="1"/>
  <c r="BT14" i="1"/>
  <c r="BQ14" i="1"/>
  <c r="BP14" i="1"/>
  <c r="BN14" i="1"/>
  <c r="BM14" i="1"/>
  <c r="BL14" i="1"/>
  <c r="BI14" i="1"/>
  <c r="BH14" i="1"/>
  <c r="BE14" i="1"/>
  <c r="BD14" i="1"/>
  <c r="BA14" i="1"/>
  <c r="AZ14" i="1"/>
  <c r="BB14" i="1" s="1"/>
  <c r="AX14" i="1"/>
  <c r="AW14" i="1"/>
  <c r="AV14" i="1"/>
  <c r="AS14" i="1"/>
  <c r="AT14" i="1" s="1"/>
  <c r="AR14" i="1"/>
  <c r="AO14" i="1"/>
  <c r="AN14" i="1"/>
  <c r="AK14" i="1"/>
  <c r="AJ14" i="1"/>
  <c r="AG14" i="1"/>
  <c r="AF14" i="1"/>
  <c r="AH14" i="1" s="1"/>
  <c r="AC14" i="1"/>
  <c r="AD14" i="1" s="1"/>
  <c r="AB14" i="1"/>
  <c r="Y14" i="1"/>
  <c r="X14" i="1"/>
  <c r="Z14" i="1" s="1"/>
  <c r="U14" i="1"/>
  <c r="T14" i="1"/>
  <c r="Q14" i="1"/>
  <c r="P14" i="1"/>
  <c r="R14" i="1" s="1"/>
  <c r="M14" i="1"/>
  <c r="N14" i="1" s="1"/>
  <c r="L14" i="1"/>
  <c r="I14" i="1"/>
  <c r="H14" i="1"/>
  <c r="E14" i="1"/>
  <c r="D14" i="1"/>
  <c r="HE13" i="1"/>
  <c r="HD13" i="1"/>
  <c r="HF13" i="1" s="1"/>
  <c r="HA13" i="1"/>
  <c r="GZ13" i="1"/>
  <c r="GW13" i="1"/>
  <c r="GV13" i="1"/>
  <c r="GX13" i="1" s="1"/>
  <c r="GS13" i="1"/>
  <c r="GR13" i="1"/>
  <c r="GO13" i="1"/>
  <c r="GN13" i="1"/>
  <c r="GP13" i="1" s="1"/>
  <c r="GK13" i="1"/>
  <c r="GL13" i="1" s="1"/>
  <c r="GJ13" i="1"/>
  <c r="GG13" i="1"/>
  <c r="GF13" i="1"/>
  <c r="GC13" i="1"/>
  <c r="GB13" i="1"/>
  <c r="FZ13" i="1"/>
  <c r="FY13" i="1"/>
  <c r="FX13" i="1"/>
  <c r="FU13" i="1"/>
  <c r="FT13" i="1"/>
  <c r="FQ13" i="1"/>
  <c r="FP13" i="1"/>
  <c r="FM13" i="1"/>
  <c r="FL13" i="1"/>
  <c r="FN13" i="1" s="1"/>
  <c r="FJ13" i="1"/>
  <c r="FI13" i="1"/>
  <c r="FH13" i="1"/>
  <c r="FE13" i="1"/>
  <c r="FF13" i="1" s="1"/>
  <c r="FD13" i="1"/>
  <c r="FA13" i="1"/>
  <c r="EZ13" i="1"/>
  <c r="EW13" i="1"/>
  <c r="EV13" i="1"/>
  <c r="ES13" i="1"/>
  <c r="ER13" i="1"/>
  <c r="ET13" i="1" s="1"/>
  <c r="EO13" i="1"/>
  <c r="EP13" i="1" s="1"/>
  <c r="EN13" i="1"/>
  <c r="EK13" i="1"/>
  <c r="EJ13" i="1"/>
  <c r="EL13" i="1" s="1"/>
  <c r="EG13" i="1"/>
  <c r="EF13" i="1"/>
  <c r="EC13" i="1"/>
  <c r="IG13" i="1" s="1"/>
  <c r="EB13" i="1"/>
  <c r="IF13" i="1" s="1"/>
  <c r="DY13" i="1"/>
  <c r="DX13" i="1"/>
  <c r="DU13" i="1"/>
  <c r="DT13" i="1"/>
  <c r="DQ13" i="1"/>
  <c r="DP13" i="1"/>
  <c r="DR13" i="1" s="1"/>
  <c r="DN13" i="1"/>
  <c r="DM13" i="1"/>
  <c r="DL13" i="1"/>
  <c r="DI13" i="1"/>
  <c r="DH13" i="1"/>
  <c r="DE13" i="1"/>
  <c r="DD13" i="1"/>
  <c r="DA13" i="1"/>
  <c r="CZ13" i="1"/>
  <c r="DB13" i="1" s="1"/>
  <c r="CX13" i="1"/>
  <c r="CW13" i="1"/>
  <c r="CV13" i="1"/>
  <c r="CS13" i="1"/>
  <c r="CT13" i="1" s="1"/>
  <c r="CR13" i="1"/>
  <c r="CO13" i="1"/>
  <c r="CN13" i="1"/>
  <c r="CP13" i="1" s="1"/>
  <c r="CK13" i="1"/>
  <c r="CJ13" i="1"/>
  <c r="CG13" i="1"/>
  <c r="CH13" i="1" s="1"/>
  <c r="CC13" i="1"/>
  <c r="CB13" i="1"/>
  <c r="BY13" i="1"/>
  <c r="BX13" i="1"/>
  <c r="BZ13" i="1" s="1"/>
  <c r="BV13" i="1"/>
  <c r="BU13" i="1"/>
  <c r="BT13" i="1"/>
  <c r="BQ13" i="1"/>
  <c r="BP13" i="1"/>
  <c r="BM13" i="1"/>
  <c r="BL13" i="1"/>
  <c r="BI13" i="1"/>
  <c r="BH13" i="1"/>
  <c r="BJ13" i="1" s="1"/>
  <c r="BF13" i="1"/>
  <c r="BE13" i="1"/>
  <c r="BD13" i="1"/>
  <c r="BA13" i="1"/>
  <c r="BB13" i="1" s="1"/>
  <c r="AZ13" i="1"/>
  <c r="AW13" i="1"/>
  <c r="AV13" i="1"/>
  <c r="AX13" i="1" s="1"/>
  <c r="AS13" i="1"/>
  <c r="AR13" i="1"/>
  <c r="AO13" i="1"/>
  <c r="AN13" i="1"/>
  <c r="AP13" i="1" s="1"/>
  <c r="AK13" i="1"/>
  <c r="AL13" i="1" s="1"/>
  <c r="AJ13" i="1"/>
  <c r="AG13" i="1"/>
  <c r="AF13" i="1"/>
  <c r="AH13" i="1" s="1"/>
  <c r="AC13" i="1"/>
  <c r="AB13" i="1"/>
  <c r="Y13" i="1"/>
  <c r="X13" i="1"/>
  <c r="Z13" i="1" s="1"/>
  <c r="U13" i="1"/>
  <c r="T13" i="1"/>
  <c r="Q13" i="1"/>
  <c r="P13" i="1"/>
  <c r="M13" i="1"/>
  <c r="L13" i="1"/>
  <c r="N13" i="1" s="1"/>
  <c r="J13" i="1"/>
  <c r="I13" i="1"/>
  <c r="H13" i="1"/>
  <c r="E13" i="1"/>
  <c r="D13" i="1"/>
  <c r="HE12" i="1"/>
  <c r="HD12" i="1"/>
  <c r="HF12" i="1" s="1"/>
  <c r="HA12" i="1"/>
  <c r="GZ12" i="1"/>
  <c r="GW12" i="1"/>
  <c r="GV12" i="1"/>
  <c r="GX12" i="1" s="1"/>
  <c r="GS12" i="1"/>
  <c r="GT12" i="1" s="1"/>
  <c r="GR12" i="1"/>
  <c r="GO12" i="1"/>
  <c r="GN12" i="1"/>
  <c r="GP12" i="1" s="1"/>
  <c r="GK12" i="1"/>
  <c r="GJ12" i="1"/>
  <c r="GG12" i="1"/>
  <c r="GF12" i="1"/>
  <c r="GH12" i="1" s="1"/>
  <c r="GC12" i="1"/>
  <c r="GD12" i="1" s="1"/>
  <c r="GB12" i="1"/>
  <c r="FY12" i="1"/>
  <c r="FX12" i="1"/>
  <c r="FU12" i="1"/>
  <c r="FT12" i="1"/>
  <c r="FR12" i="1"/>
  <c r="FQ12" i="1"/>
  <c r="FP12" i="1"/>
  <c r="FM12" i="1"/>
  <c r="FL12" i="1"/>
  <c r="FI12" i="1"/>
  <c r="IK12" i="1" s="1"/>
  <c r="FH12" i="1"/>
  <c r="FE12" i="1"/>
  <c r="FD12" i="1"/>
  <c r="FF12" i="1" s="1"/>
  <c r="FB12" i="1"/>
  <c r="FA12" i="1"/>
  <c r="EZ12" i="1"/>
  <c r="EW12" i="1"/>
  <c r="EV12" i="1"/>
  <c r="IB12" i="1" s="1"/>
  <c r="ES12" i="1"/>
  <c r="ER12" i="1"/>
  <c r="ET12" i="1" s="1"/>
  <c r="EO12" i="1"/>
  <c r="EN12" i="1"/>
  <c r="EK12" i="1"/>
  <c r="EJ12" i="1"/>
  <c r="EL12" i="1" s="1"/>
  <c r="EG12" i="1"/>
  <c r="EH12" i="1" s="1"/>
  <c r="EF12" i="1"/>
  <c r="EC12" i="1"/>
  <c r="IG12" i="1" s="1"/>
  <c r="EB12" i="1"/>
  <c r="DY12" i="1"/>
  <c r="DX12" i="1"/>
  <c r="DU12" i="1"/>
  <c r="DT12" i="1"/>
  <c r="DV12" i="1" s="1"/>
  <c r="DQ12" i="1"/>
  <c r="DP12" i="1"/>
  <c r="DM12" i="1"/>
  <c r="DL12" i="1"/>
  <c r="DI12" i="1"/>
  <c r="DH12" i="1"/>
  <c r="DJ12" i="1" s="1"/>
  <c r="DF12" i="1"/>
  <c r="DE12" i="1"/>
  <c r="DD12" i="1"/>
  <c r="DA12" i="1"/>
  <c r="CZ12" i="1"/>
  <c r="CW12" i="1"/>
  <c r="CV12" i="1"/>
  <c r="CS12" i="1"/>
  <c r="CR12" i="1"/>
  <c r="CT12" i="1" s="1"/>
  <c r="CP12" i="1"/>
  <c r="CO12" i="1"/>
  <c r="CN12" i="1"/>
  <c r="CK12" i="1"/>
  <c r="CL12" i="1" s="1"/>
  <c r="CJ12" i="1"/>
  <c r="CG12" i="1"/>
  <c r="CH12" i="1" s="1"/>
  <c r="CC12" i="1"/>
  <c r="CB12" i="1"/>
  <c r="CD12" i="1" s="1"/>
  <c r="BY12" i="1"/>
  <c r="BZ12" i="1" s="1"/>
  <c r="BX12" i="1"/>
  <c r="BU12" i="1"/>
  <c r="BT12" i="1"/>
  <c r="BQ12" i="1"/>
  <c r="BP12" i="1"/>
  <c r="BN12" i="1"/>
  <c r="BM12" i="1"/>
  <c r="BL12" i="1"/>
  <c r="BI12" i="1"/>
  <c r="BH12" i="1"/>
  <c r="BE12" i="1"/>
  <c r="BD12" i="1"/>
  <c r="BA12" i="1"/>
  <c r="AZ12" i="1"/>
  <c r="BB12" i="1" s="1"/>
  <c r="AX12" i="1"/>
  <c r="AW12" i="1"/>
  <c r="AV12" i="1"/>
  <c r="AS12" i="1"/>
  <c r="AT12" i="1" s="1"/>
  <c r="AR12" i="1"/>
  <c r="AO12" i="1"/>
  <c r="AN12" i="1"/>
  <c r="AP12" i="1" s="1"/>
  <c r="AK12" i="1"/>
  <c r="AJ12" i="1"/>
  <c r="AG12" i="1"/>
  <c r="AF12" i="1"/>
  <c r="AH12" i="1" s="1"/>
  <c r="AC12" i="1"/>
  <c r="AD12" i="1" s="1"/>
  <c r="AB12" i="1"/>
  <c r="Y12" i="1"/>
  <c r="X12" i="1"/>
  <c r="Z12" i="1" s="1"/>
  <c r="U12" i="1"/>
  <c r="T12" i="1"/>
  <c r="Q12" i="1"/>
  <c r="P12" i="1"/>
  <c r="R12" i="1" s="1"/>
  <c r="M12" i="1"/>
  <c r="N12" i="1" s="1"/>
  <c r="L12" i="1"/>
  <c r="I12" i="1"/>
  <c r="H12" i="1"/>
  <c r="E12" i="1"/>
  <c r="D12" i="1"/>
  <c r="HE11" i="1"/>
  <c r="HD11" i="1"/>
  <c r="HF11" i="1" s="1"/>
  <c r="HA11" i="1"/>
  <c r="GZ11" i="1"/>
  <c r="GW11" i="1"/>
  <c r="GV11" i="1"/>
  <c r="GS11" i="1"/>
  <c r="GR11" i="1"/>
  <c r="GT11" i="1" s="1"/>
  <c r="GP11" i="1"/>
  <c r="GO11" i="1"/>
  <c r="GN11" i="1"/>
  <c r="GK11" i="1"/>
  <c r="GJ11" i="1"/>
  <c r="GG11" i="1"/>
  <c r="GF11" i="1"/>
  <c r="GC11" i="1"/>
  <c r="GB11" i="1"/>
  <c r="GD11" i="1" s="1"/>
  <c r="FZ11" i="1"/>
  <c r="FY11" i="1"/>
  <c r="FX11" i="1"/>
  <c r="FU11" i="1"/>
  <c r="FV11" i="1" s="1"/>
  <c r="FT11" i="1"/>
  <c r="FQ11" i="1"/>
  <c r="FP11" i="1"/>
  <c r="FR11" i="1" s="1"/>
  <c r="FM11" i="1"/>
  <c r="FL11" i="1"/>
  <c r="FI11" i="1"/>
  <c r="FH11" i="1"/>
  <c r="IJ11" i="1" s="1"/>
  <c r="FE11" i="1"/>
  <c r="FF11" i="1" s="1"/>
  <c r="FD11" i="1"/>
  <c r="FA11" i="1"/>
  <c r="EZ11" i="1"/>
  <c r="FB11" i="1" s="1"/>
  <c r="EW11" i="1"/>
  <c r="EV11" i="1"/>
  <c r="ES11" i="1"/>
  <c r="ER11" i="1"/>
  <c r="ET11" i="1" s="1"/>
  <c r="EO11" i="1"/>
  <c r="EP11" i="1" s="1"/>
  <c r="EN11" i="1"/>
  <c r="EK11" i="1"/>
  <c r="EJ11" i="1"/>
  <c r="EG11" i="1"/>
  <c r="EF11" i="1"/>
  <c r="ED11" i="1"/>
  <c r="EC11" i="1"/>
  <c r="IG11" i="1" s="1"/>
  <c r="EB11" i="1"/>
  <c r="IF11" i="1" s="1"/>
  <c r="DY11" i="1"/>
  <c r="DX11" i="1"/>
  <c r="DU11" i="1"/>
  <c r="DT11" i="1"/>
  <c r="DQ11" i="1"/>
  <c r="DP11" i="1"/>
  <c r="DR11" i="1" s="1"/>
  <c r="DN11" i="1"/>
  <c r="DM11" i="1"/>
  <c r="DL11" i="1"/>
  <c r="DI11" i="1"/>
  <c r="DJ11" i="1" s="1"/>
  <c r="DH11" i="1"/>
  <c r="DE11" i="1"/>
  <c r="DD11" i="1"/>
  <c r="DA11" i="1"/>
  <c r="CZ11" i="1"/>
  <c r="CW11" i="1"/>
  <c r="CV11" i="1"/>
  <c r="CX11" i="1" s="1"/>
  <c r="CS11" i="1"/>
  <c r="CT11" i="1" s="1"/>
  <c r="CR11" i="1"/>
  <c r="CO11" i="1"/>
  <c r="CN11" i="1"/>
  <c r="CP11" i="1" s="1"/>
  <c r="CK11" i="1"/>
  <c r="CJ11" i="1"/>
  <c r="CG11" i="1"/>
  <c r="HU11" i="1" s="1"/>
  <c r="CC11" i="1"/>
  <c r="CB11" i="1"/>
  <c r="BY11" i="1"/>
  <c r="BX11" i="1"/>
  <c r="BZ11" i="1" s="1"/>
  <c r="BV11" i="1"/>
  <c r="BU11" i="1"/>
  <c r="BT11" i="1"/>
  <c r="BQ11" i="1"/>
  <c r="BR11" i="1" s="1"/>
  <c r="BP11" i="1"/>
  <c r="BM11" i="1"/>
  <c r="BL11" i="1"/>
  <c r="BI11" i="1"/>
  <c r="BH11" i="1"/>
  <c r="BE11" i="1"/>
  <c r="BD11" i="1"/>
  <c r="BF11" i="1" s="1"/>
  <c r="BA11" i="1"/>
  <c r="BB11" i="1" s="1"/>
  <c r="AZ11" i="1"/>
  <c r="AW11" i="1"/>
  <c r="AV11" i="1"/>
  <c r="AX11" i="1" s="1"/>
  <c r="AS11" i="1"/>
  <c r="AR11" i="1"/>
  <c r="AO11" i="1"/>
  <c r="AN11" i="1"/>
  <c r="AP11" i="1" s="1"/>
  <c r="AK11" i="1"/>
  <c r="AL11" i="1" s="1"/>
  <c r="AJ11" i="1"/>
  <c r="AG11" i="1"/>
  <c r="AF11" i="1"/>
  <c r="AC11" i="1"/>
  <c r="AB11" i="1"/>
  <c r="Z11" i="1"/>
  <c r="Y11" i="1"/>
  <c r="X11" i="1"/>
  <c r="U11" i="1"/>
  <c r="T11" i="1"/>
  <c r="Q11" i="1"/>
  <c r="P11" i="1"/>
  <c r="M11" i="1"/>
  <c r="L11" i="1"/>
  <c r="N11" i="1" s="1"/>
  <c r="J11" i="1"/>
  <c r="I11" i="1"/>
  <c r="H11" i="1"/>
  <c r="E11" i="1"/>
  <c r="D11" i="1"/>
  <c r="HE10" i="1"/>
  <c r="HD10" i="1"/>
  <c r="HA10" i="1"/>
  <c r="GZ10" i="1"/>
  <c r="HB10" i="1" s="1"/>
  <c r="GX10" i="1"/>
  <c r="GW10" i="1"/>
  <c r="GV10" i="1"/>
  <c r="GS10" i="1"/>
  <c r="GR10" i="1"/>
  <c r="GO10" i="1"/>
  <c r="GN10" i="1"/>
  <c r="GK10" i="1"/>
  <c r="GJ10" i="1"/>
  <c r="GL10" i="1" s="1"/>
  <c r="GH10" i="1"/>
  <c r="GG10" i="1"/>
  <c r="GF10" i="1"/>
  <c r="GC10" i="1"/>
  <c r="GD10" i="1" s="1"/>
  <c r="GB10" i="1"/>
  <c r="FY10" i="1"/>
  <c r="FX10" i="1"/>
  <c r="FZ10" i="1" s="1"/>
  <c r="FU10" i="1"/>
  <c r="FT10" i="1"/>
  <c r="FQ10" i="1"/>
  <c r="FP10" i="1"/>
  <c r="FR10" i="1" s="1"/>
  <c r="FM10" i="1"/>
  <c r="FN10" i="1" s="1"/>
  <c r="FL10" i="1"/>
  <c r="FI10" i="1"/>
  <c r="FH10" i="1"/>
  <c r="FJ10" i="1" s="1"/>
  <c r="FE10" i="1"/>
  <c r="FD10" i="1"/>
  <c r="FA10" i="1"/>
  <c r="EZ10" i="1"/>
  <c r="FB10" i="1" s="1"/>
  <c r="EW10" i="1"/>
  <c r="EV10" i="1"/>
  <c r="ES10" i="1"/>
  <c r="ER10" i="1"/>
  <c r="EO10" i="1"/>
  <c r="EN10" i="1"/>
  <c r="EP10" i="1" s="1"/>
  <c r="EL10" i="1"/>
  <c r="EK10" i="1"/>
  <c r="EJ10" i="1"/>
  <c r="EG10" i="1"/>
  <c r="EF10" i="1"/>
  <c r="EC10" i="1"/>
  <c r="IG10" i="1" s="1"/>
  <c r="EB10" i="1"/>
  <c r="DY10" i="1"/>
  <c r="HY10" i="1" s="1"/>
  <c r="DX10" i="1"/>
  <c r="DV10" i="1"/>
  <c r="DU10" i="1"/>
  <c r="DT10" i="1"/>
  <c r="DQ10" i="1"/>
  <c r="DR10" i="1" s="1"/>
  <c r="DP10" i="1"/>
  <c r="DM10" i="1"/>
  <c r="DL10" i="1"/>
  <c r="DN10" i="1" s="1"/>
  <c r="DI10" i="1"/>
  <c r="DH10" i="1"/>
  <c r="DE10" i="1"/>
  <c r="DD10" i="1"/>
  <c r="HT10" i="1" s="1"/>
  <c r="DA10" i="1"/>
  <c r="DB10" i="1" s="1"/>
  <c r="CZ10" i="1"/>
  <c r="CW10" i="1"/>
  <c r="CV10" i="1"/>
  <c r="CX10" i="1" s="1"/>
  <c r="CS10" i="1"/>
  <c r="CR10" i="1"/>
  <c r="CO10" i="1"/>
  <c r="CN10" i="1"/>
  <c r="CP10" i="1" s="1"/>
  <c r="CK10" i="1"/>
  <c r="CL10" i="1" s="1"/>
  <c r="CJ10" i="1"/>
  <c r="CG10" i="1"/>
  <c r="CH10" i="1" s="1"/>
  <c r="CD10" i="1"/>
  <c r="CC10" i="1"/>
  <c r="CB10" i="1"/>
  <c r="BY10" i="1"/>
  <c r="BZ10" i="1" s="1"/>
  <c r="BX10" i="1"/>
  <c r="BU10" i="1"/>
  <c r="BT10" i="1"/>
  <c r="BQ10" i="1"/>
  <c r="BP10" i="1"/>
  <c r="BM10" i="1"/>
  <c r="BL10" i="1"/>
  <c r="BN10" i="1" s="1"/>
  <c r="BI10" i="1"/>
  <c r="BJ10" i="1" s="1"/>
  <c r="BH10" i="1"/>
  <c r="BE10" i="1"/>
  <c r="BD10" i="1"/>
  <c r="BF10" i="1" s="1"/>
  <c r="BA10" i="1"/>
  <c r="AZ10" i="1"/>
  <c r="AW10" i="1"/>
  <c r="AV10" i="1"/>
  <c r="AX10" i="1" s="1"/>
  <c r="AS10" i="1"/>
  <c r="AT10" i="1" s="1"/>
  <c r="AR10" i="1"/>
  <c r="AO10" i="1"/>
  <c r="AN10" i="1"/>
  <c r="AK10" i="1"/>
  <c r="AJ10" i="1"/>
  <c r="AH10" i="1"/>
  <c r="AG10" i="1"/>
  <c r="AF10" i="1"/>
  <c r="AC10" i="1"/>
  <c r="AB10" i="1"/>
  <c r="Y10" i="1"/>
  <c r="X10" i="1"/>
  <c r="U10" i="1"/>
  <c r="T10" i="1"/>
  <c r="V10" i="1" s="1"/>
  <c r="R10" i="1"/>
  <c r="Q10" i="1"/>
  <c r="P10" i="1"/>
  <c r="M10" i="1"/>
  <c r="N10" i="1" s="1"/>
  <c r="L10" i="1"/>
  <c r="I10" i="1"/>
  <c r="H10" i="1"/>
  <c r="J10" i="1" s="1"/>
  <c r="E10" i="1"/>
  <c r="D10" i="1"/>
  <c r="HF9" i="1"/>
  <c r="HE9" i="1"/>
  <c r="HD9" i="1"/>
  <c r="HA9" i="1"/>
  <c r="GZ9" i="1"/>
  <c r="GW9" i="1"/>
  <c r="GV9" i="1"/>
  <c r="GS9" i="1"/>
  <c r="GR9" i="1"/>
  <c r="GT9" i="1" s="1"/>
  <c r="GP9" i="1"/>
  <c r="GO9" i="1"/>
  <c r="GN9" i="1"/>
  <c r="GK9" i="1"/>
  <c r="GL9" i="1" s="1"/>
  <c r="GJ9" i="1"/>
  <c r="GG9" i="1"/>
  <c r="GF9" i="1"/>
  <c r="GC9" i="1"/>
  <c r="GB9" i="1"/>
  <c r="FY9" i="1"/>
  <c r="FX9" i="1"/>
  <c r="FZ9" i="1" s="1"/>
  <c r="FU9" i="1"/>
  <c r="FV9" i="1" s="1"/>
  <c r="FT9" i="1"/>
  <c r="FQ9" i="1"/>
  <c r="FP9" i="1"/>
  <c r="FR9" i="1" s="1"/>
  <c r="FM9" i="1"/>
  <c r="FL9" i="1"/>
  <c r="FI9" i="1"/>
  <c r="IK9" i="1" s="1"/>
  <c r="FH9" i="1"/>
  <c r="FE9" i="1"/>
  <c r="FF9" i="1" s="1"/>
  <c r="FD9" i="1"/>
  <c r="FA9" i="1"/>
  <c r="EZ9" i="1"/>
  <c r="EW9" i="1"/>
  <c r="EV9" i="1"/>
  <c r="ET9" i="1"/>
  <c r="ES9" i="1"/>
  <c r="ER9" i="1"/>
  <c r="EO9" i="1"/>
  <c r="EN9" i="1"/>
  <c r="EK9" i="1"/>
  <c r="EJ9" i="1"/>
  <c r="EG9" i="1"/>
  <c r="EF9" i="1"/>
  <c r="EH9" i="1" s="1"/>
  <c r="ED9" i="1"/>
  <c r="EC9" i="1"/>
  <c r="IG9" i="1" s="1"/>
  <c r="EB9" i="1"/>
  <c r="IF9" i="1" s="1"/>
  <c r="DY9" i="1"/>
  <c r="DX9" i="1"/>
  <c r="DU9" i="1"/>
  <c r="DT9" i="1"/>
  <c r="DV9" i="1" s="1"/>
  <c r="DQ9" i="1"/>
  <c r="DP9" i="1"/>
  <c r="DM9" i="1"/>
  <c r="DL9" i="1"/>
  <c r="DN9" i="1" s="1"/>
  <c r="DI9" i="1"/>
  <c r="DJ9" i="1" s="1"/>
  <c r="DH9" i="1"/>
  <c r="DE9" i="1"/>
  <c r="DD9" i="1"/>
  <c r="DA9" i="1"/>
  <c r="CZ9" i="1"/>
  <c r="CW9" i="1"/>
  <c r="CV9" i="1"/>
  <c r="CX9" i="1" s="1"/>
  <c r="CS9" i="1"/>
  <c r="CT9" i="1" s="1"/>
  <c r="CR9" i="1"/>
  <c r="CO9" i="1"/>
  <c r="CN9" i="1"/>
  <c r="CK9" i="1"/>
  <c r="CJ9" i="1"/>
  <c r="CL9" i="1" s="1"/>
  <c r="CH9" i="1"/>
  <c r="CG9" i="1"/>
  <c r="CC9" i="1"/>
  <c r="CB9" i="1"/>
  <c r="CD9" i="1" s="1"/>
  <c r="BY9" i="1"/>
  <c r="BX9" i="1"/>
  <c r="BU9" i="1"/>
  <c r="BT9" i="1"/>
  <c r="BV9" i="1" s="1"/>
  <c r="BQ9" i="1"/>
  <c r="BR9" i="1" s="1"/>
  <c r="BP9" i="1"/>
  <c r="BM9" i="1"/>
  <c r="BL9" i="1"/>
  <c r="BN9" i="1" s="1"/>
  <c r="BI9" i="1"/>
  <c r="BH9" i="1"/>
  <c r="BE9" i="1"/>
  <c r="BD9" i="1"/>
  <c r="BF9" i="1" s="1"/>
  <c r="BA9" i="1"/>
  <c r="BB9" i="1" s="1"/>
  <c r="AZ9" i="1"/>
  <c r="AW9" i="1"/>
  <c r="AV9" i="1"/>
  <c r="AS9" i="1"/>
  <c r="AR9" i="1"/>
  <c r="AT9" i="1" s="1"/>
  <c r="AP9" i="1"/>
  <c r="AO9" i="1"/>
  <c r="AN9" i="1"/>
  <c r="AK9" i="1"/>
  <c r="AJ9" i="1"/>
  <c r="AG9" i="1"/>
  <c r="AF9" i="1"/>
  <c r="AC9" i="1"/>
  <c r="AB9" i="1"/>
  <c r="AD9" i="1" s="1"/>
  <c r="Z9" i="1"/>
  <c r="Y9" i="1"/>
  <c r="X9" i="1"/>
  <c r="U9" i="1"/>
  <c r="V9" i="1" s="1"/>
  <c r="T9" i="1"/>
  <c r="Q9" i="1"/>
  <c r="P9" i="1"/>
  <c r="R9" i="1" s="1"/>
  <c r="M9" i="1"/>
  <c r="L9" i="1"/>
  <c r="I9" i="1"/>
  <c r="H9" i="1"/>
  <c r="J9" i="1" s="1"/>
  <c r="E9" i="1"/>
  <c r="D9" i="1"/>
  <c r="HE8" i="1"/>
  <c r="HD8" i="1"/>
  <c r="HA8" i="1"/>
  <c r="GZ8" i="1"/>
  <c r="HB8" i="1" s="1"/>
  <c r="GX8" i="1"/>
  <c r="GW8" i="1"/>
  <c r="GV8" i="1"/>
  <c r="GS8" i="1"/>
  <c r="GR8" i="1"/>
  <c r="GO8" i="1"/>
  <c r="GN8" i="1"/>
  <c r="GK8" i="1"/>
  <c r="GJ8" i="1"/>
  <c r="GL8" i="1" s="1"/>
  <c r="GH8" i="1"/>
  <c r="GG8" i="1"/>
  <c r="GF8" i="1"/>
  <c r="GC8" i="1"/>
  <c r="GD8" i="1" s="1"/>
  <c r="GB8" i="1"/>
  <c r="FY8" i="1"/>
  <c r="FX8" i="1"/>
  <c r="FZ8" i="1" s="1"/>
  <c r="FU8" i="1"/>
  <c r="FT8" i="1"/>
  <c r="FQ8" i="1"/>
  <c r="FP8" i="1"/>
  <c r="FR8" i="1" s="1"/>
  <c r="FM8" i="1"/>
  <c r="FN8" i="1" s="1"/>
  <c r="FL8" i="1"/>
  <c r="FI8" i="1"/>
  <c r="FH8" i="1"/>
  <c r="FJ8" i="1" s="1"/>
  <c r="FE8" i="1"/>
  <c r="FD8" i="1"/>
  <c r="FA8" i="1"/>
  <c r="EZ8" i="1"/>
  <c r="FB8" i="1" s="1"/>
  <c r="EW8" i="1"/>
  <c r="EV8" i="1"/>
  <c r="ES8" i="1"/>
  <c r="ER8" i="1"/>
  <c r="EO8" i="1"/>
  <c r="EN8" i="1"/>
  <c r="EP8" i="1" s="1"/>
  <c r="EL8" i="1"/>
  <c r="EK8" i="1"/>
  <c r="EJ8" i="1"/>
  <c r="EG8" i="1"/>
  <c r="EF8" i="1"/>
  <c r="EC8" i="1"/>
  <c r="IG8" i="1" s="1"/>
  <c r="EB8" i="1"/>
  <c r="DY8" i="1"/>
  <c r="HY8" i="1" s="1"/>
  <c r="DX8" i="1"/>
  <c r="HX8" i="1" s="1"/>
  <c r="DV8" i="1"/>
  <c r="DU8" i="1"/>
  <c r="DT8" i="1"/>
  <c r="DQ8" i="1"/>
  <c r="DR8" i="1" s="1"/>
  <c r="DP8" i="1"/>
  <c r="DM8" i="1"/>
  <c r="DL8" i="1"/>
  <c r="DN8" i="1" s="1"/>
  <c r="DI8" i="1"/>
  <c r="DH8" i="1"/>
  <c r="DE8" i="1"/>
  <c r="DD8" i="1"/>
  <c r="DF8" i="1" s="1"/>
  <c r="DA8" i="1"/>
  <c r="DB8" i="1" s="1"/>
  <c r="CZ8" i="1"/>
  <c r="CW8" i="1"/>
  <c r="CV8" i="1"/>
  <c r="CX8" i="1" s="1"/>
  <c r="CS8" i="1"/>
  <c r="CR8" i="1"/>
  <c r="CO8" i="1"/>
  <c r="CN8" i="1"/>
  <c r="CP8" i="1" s="1"/>
  <c r="CK8" i="1"/>
  <c r="CL8" i="1" s="1"/>
  <c r="CJ8" i="1"/>
  <c r="CG8" i="1"/>
  <c r="HU8" i="1" s="1"/>
  <c r="CD8" i="1"/>
  <c r="CC8" i="1"/>
  <c r="CB8" i="1"/>
  <c r="BY8" i="1"/>
  <c r="BZ8" i="1" s="1"/>
  <c r="BX8" i="1"/>
  <c r="BU8" i="1"/>
  <c r="BT8" i="1"/>
  <c r="BV8" i="1" s="1"/>
  <c r="BQ8" i="1"/>
  <c r="BP8" i="1"/>
  <c r="BM8" i="1"/>
  <c r="BL8" i="1"/>
  <c r="BN8" i="1" s="1"/>
  <c r="BI8" i="1"/>
  <c r="BJ8" i="1" s="1"/>
  <c r="BH8" i="1"/>
  <c r="BE8" i="1"/>
  <c r="BD8" i="1"/>
  <c r="BF8" i="1" s="1"/>
  <c r="BA8" i="1"/>
  <c r="AZ8" i="1"/>
  <c r="AW8" i="1"/>
  <c r="AV8" i="1"/>
  <c r="AX8" i="1" s="1"/>
  <c r="AS8" i="1"/>
  <c r="AT8" i="1" s="1"/>
  <c r="AR8" i="1"/>
  <c r="AO8" i="1"/>
  <c r="AN8" i="1"/>
  <c r="AK8" i="1"/>
  <c r="AJ8" i="1"/>
  <c r="AH8" i="1"/>
  <c r="AG8" i="1"/>
  <c r="AF8" i="1"/>
  <c r="AC8" i="1"/>
  <c r="AB8" i="1"/>
  <c r="Y8" i="1"/>
  <c r="X8" i="1"/>
  <c r="U8" i="1"/>
  <c r="T8" i="1"/>
  <c r="V8" i="1" s="1"/>
  <c r="R8" i="1"/>
  <c r="Q8" i="1"/>
  <c r="P8" i="1"/>
  <c r="M8" i="1"/>
  <c r="N8" i="1" s="1"/>
  <c r="L8" i="1"/>
  <c r="I8" i="1"/>
  <c r="H8" i="1"/>
  <c r="J8" i="1" s="1"/>
  <c r="E8" i="1"/>
  <c r="D8" i="1"/>
  <c r="HF7" i="1"/>
  <c r="HE7" i="1"/>
  <c r="HD7" i="1"/>
  <c r="HA7" i="1"/>
  <c r="GZ7" i="1"/>
  <c r="GW7" i="1"/>
  <c r="GV7" i="1"/>
  <c r="GS7" i="1"/>
  <c r="GR7" i="1"/>
  <c r="GT7" i="1" s="1"/>
  <c r="GP7" i="1"/>
  <c r="GO7" i="1"/>
  <c r="GN7" i="1"/>
  <c r="GK7" i="1"/>
  <c r="GL7" i="1" s="1"/>
  <c r="GJ7" i="1"/>
  <c r="GG7" i="1"/>
  <c r="GF7" i="1"/>
  <c r="GH7" i="1" s="1"/>
  <c r="GC7" i="1"/>
  <c r="GB7" i="1"/>
  <c r="FY7" i="1"/>
  <c r="FX7" i="1"/>
  <c r="FZ7" i="1" s="1"/>
  <c r="FU7" i="1"/>
  <c r="FV7" i="1" s="1"/>
  <c r="FT7" i="1"/>
  <c r="FQ7" i="1"/>
  <c r="FP7" i="1"/>
  <c r="FR7" i="1" s="1"/>
  <c r="FM7" i="1"/>
  <c r="FL7" i="1"/>
  <c r="FI7" i="1"/>
  <c r="IK7" i="1" s="1"/>
  <c r="FH7" i="1"/>
  <c r="FJ7" i="1" s="1"/>
  <c r="FE7" i="1"/>
  <c r="FF7" i="1" s="1"/>
  <c r="FD7" i="1"/>
  <c r="FA7" i="1"/>
  <c r="EZ7" i="1"/>
  <c r="EW7" i="1"/>
  <c r="EV7" i="1"/>
  <c r="ET7" i="1"/>
  <c r="ES7" i="1"/>
  <c r="ER7" i="1"/>
  <c r="EO7" i="1"/>
  <c r="EN7" i="1"/>
  <c r="EK7" i="1"/>
  <c r="EJ7" i="1"/>
  <c r="EG7" i="1"/>
  <c r="EF7" i="1"/>
  <c r="EH7" i="1" s="1"/>
  <c r="ED7" i="1"/>
  <c r="EC7" i="1"/>
  <c r="IG7" i="1" s="1"/>
  <c r="EB7" i="1"/>
  <c r="IF7" i="1" s="1"/>
  <c r="DY7" i="1"/>
  <c r="DX7" i="1"/>
  <c r="DU7" i="1"/>
  <c r="DT7" i="1"/>
  <c r="DV7" i="1" s="1"/>
  <c r="DQ7" i="1"/>
  <c r="DP7" i="1"/>
  <c r="DM7" i="1"/>
  <c r="DL7" i="1"/>
  <c r="DN7" i="1" s="1"/>
  <c r="DI7" i="1"/>
  <c r="DJ7" i="1" s="1"/>
  <c r="DH7" i="1"/>
  <c r="DE7" i="1"/>
  <c r="DD7" i="1"/>
  <c r="DA7" i="1"/>
  <c r="CZ7" i="1"/>
  <c r="CW7" i="1"/>
  <c r="CV7" i="1"/>
  <c r="CX7" i="1" s="1"/>
  <c r="CS7" i="1"/>
  <c r="CR7" i="1"/>
  <c r="CO7" i="1"/>
  <c r="CN7" i="1"/>
  <c r="CK7" i="1"/>
  <c r="CJ7" i="1"/>
  <c r="CL7" i="1" s="1"/>
  <c r="CH7" i="1"/>
  <c r="CG7" i="1"/>
  <c r="CC7" i="1"/>
  <c r="CB7" i="1"/>
  <c r="CD7" i="1" s="1"/>
  <c r="BY7" i="1"/>
  <c r="BX7" i="1"/>
  <c r="BU7" i="1"/>
  <c r="BT7" i="1"/>
  <c r="BV7" i="1" s="1"/>
  <c r="BQ7" i="1"/>
  <c r="BR7" i="1" s="1"/>
  <c r="BP7" i="1"/>
  <c r="BM7" i="1"/>
  <c r="BL7" i="1"/>
  <c r="BN7" i="1" s="1"/>
  <c r="BI7" i="1"/>
  <c r="BH7" i="1"/>
  <c r="BE7" i="1"/>
  <c r="BD7" i="1"/>
  <c r="BF7" i="1" s="1"/>
  <c r="BA7" i="1"/>
  <c r="AZ7" i="1"/>
  <c r="AW7" i="1"/>
  <c r="AV7" i="1"/>
  <c r="AS7" i="1"/>
  <c r="AR7" i="1"/>
  <c r="AT7" i="1" s="1"/>
  <c r="AP7" i="1"/>
  <c r="AO7" i="1"/>
  <c r="AN7" i="1"/>
  <c r="AK7" i="1"/>
  <c r="AJ7" i="1"/>
  <c r="AG7" i="1"/>
  <c r="AF7" i="1"/>
  <c r="AC7" i="1"/>
  <c r="AB7" i="1"/>
  <c r="AD7" i="1" s="1"/>
  <c r="Z7" i="1"/>
  <c r="Y7" i="1"/>
  <c r="X7" i="1"/>
  <c r="V7" i="1"/>
  <c r="U7" i="1"/>
  <c r="T7" i="1"/>
  <c r="Q7" i="1"/>
  <c r="P7" i="1"/>
  <c r="R7" i="1" s="1"/>
  <c r="M7" i="1"/>
  <c r="L7" i="1"/>
  <c r="I7" i="1"/>
  <c r="H7" i="1"/>
  <c r="J7" i="1" s="1"/>
  <c r="E7" i="1"/>
  <c r="D7" i="1"/>
  <c r="HE6" i="1"/>
  <c r="HD6" i="1"/>
  <c r="HA6" i="1"/>
  <c r="GZ6" i="1"/>
  <c r="GW6" i="1"/>
  <c r="GV6" i="1"/>
  <c r="GX6" i="1" s="1"/>
  <c r="GT6" i="1"/>
  <c r="GS6" i="1"/>
  <c r="GR6" i="1"/>
  <c r="GO6" i="1"/>
  <c r="GN6" i="1"/>
  <c r="GK6" i="1"/>
  <c r="GJ6" i="1"/>
  <c r="GH6" i="1"/>
  <c r="GG6" i="1"/>
  <c r="GF6" i="1"/>
  <c r="GC6" i="1"/>
  <c r="GB6" i="1"/>
  <c r="FY6" i="1"/>
  <c r="FX6" i="1"/>
  <c r="FU6" i="1"/>
  <c r="FT6" i="1"/>
  <c r="FR6" i="1"/>
  <c r="FQ6" i="1"/>
  <c r="FP6" i="1"/>
  <c r="FN6" i="1"/>
  <c r="FM6" i="1"/>
  <c r="FL6" i="1"/>
  <c r="FI6" i="1"/>
  <c r="FH6" i="1"/>
  <c r="FE6" i="1"/>
  <c r="FD6" i="1"/>
  <c r="FA6" i="1"/>
  <c r="EZ6" i="1"/>
  <c r="FB6" i="1" s="1"/>
  <c r="EW6" i="1"/>
  <c r="EV6" i="1"/>
  <c r="ES6" i="1"/>
  <c r="ER6" i="1"/>
  <c r="EO6" i="1"/>
  <c r="EN6" i="1"/>
  <c r="EL6" i="1"/>
  <c r="EK6" i="1"/>
  <c r="EJ6" i="1"/>
  <c r="EG6" i="1"/>
  <c r="EF6" i="1"/>
  <c r="EH6" i="1" s="1"/>
  <c r="EC6" i="1"/>
  <c r="EB6" i="1"/>
  <c r="IF6" i="1" s="1"/>
  <c r="DY6" i="1"/>
  <c r="DX6" i="1"/>
  <c r="DU6" i="1"/>
  <c r="DT6" i="1"/>
  <c r="DV6" i="1" s="1"/>
  <c r="DQ6" i="1"/>
  <c r="DP6" i="1"/>
  <c r="DM6" i="1"/>
  <c r="DL6" i="1"/>
  <c r="DI6" i="1"/>
  <c r="DH6" i="1"/>
  <c r="DE6" i="1"/>
  <c r="HU6" i="1" s="1"/>
  <c r="DD6" i="1"/>
  <c r="DF6" i="1" s="1"/>
  <c r="DA6" i="1"/>
  <c r="CZ6" i="1"/>
  <c r="DB6" i="1" s="1"/>
  <c r="CW6" i="1"/>
  <c r="CV6" i="1"/>
  <c r="CS6" i="1"/>
  <c r="CR6" i="1"/>
  <c r="CP6" i="1"/>
  <c r="CO6" i="1"/>
  <c r="CN6" i="1"/>
  <c r="CK6" i="1"/>
  <c r="CJ6" i="1"/>
  <c r="CG6" i="1"/>
  <c r="CC6" i="1"/>
  <c r="CB6" i="1"/>
  <c r="CD6" i="1" s="1"/>
  <c r="BY6" i="1"/>
  <c r="BX6" i="1"/>
  <c r="BZ6" i="1" s="1"/>
  <c r="BU6" i="1"/>
  <c r="BT6" i="1"/>
  <c r="BQ6" i="1"/>
  <c r="BP6" i="1"/>
  <c r="BN6" i="1"/>
  <c r="BM6" i="1"/>
  <c r="BL6" i="1"/>
  <c r="BI6" i="1"/>
  <c r="BI86" i="1" s="1"/>
  <c r="BH6" i="1"/>
  <c r="BE6" i="1"/>
  <c r="BD6" i="1"/>
  <c r="BA6" i="1"/>
  <c r="AZ6" i="1"/>
  <c r="AW6" i="1"/>
  <c r="AV6" i="1"/>
  <c r="AX6" i="1" s="1"/>
  <c r="AT6" i="1"/>
  <c r="AS6" i="1"/>
  <c r="AR6" i="1"/>
  <c r="AO6" i="1"/>
  <c r="AO86" i="1" s="1"/>
  <c r="AN6" i="1"/>
  <c r="AK6" i="1"/>
  <c r="AJ6" i="1"/>
  <c r="AH6" i="1"/>
  <c r="AG6" i="1"/>
  <c r="AF6" i="1"/>
  <c r="AC6" i="1"/>
  <c r="AB6" i="1"/>
  <c r="Y6" i="1"/>
  <c r="X6" i="1"/>
  <c r="U6" i="1"/>
  <c r="T6" i="1"/>
  <c r="R6" i="1"/>
  <c r="Q6" i="1"/>
  <c r="P6" i="1"/>
  <c r="N6" i="1"/>
  <c r="M6" i="1"/>
  <c r="L6" i="1"/>
  <c r="I6" i="1"/>
  <c r="H6" i="1"/>
  <c r="E6" i="1"/>
  <c r="D6" i="1"/>
  <c r="CK3" i="1"/>
  <c r="CD2" i="1"/>
  <c r="FY85" i="7" l="1"/>
  <c r="HF64" i="7"/>
  <c r="HG64" i="7" s="1"/>
  <c r="DB72" i="7"/>
  <c r="HK81" i="7"/>
  <c r="HC61" i="7"/>
  <c r="DP85" i="7"/>
  <c r="HS8" i="7"/>
  <c r="CH8" i="7"/>
  <c r="HK8" i="7"/>
  <c r="HG55" i="7"/>
  <c r="HK65" i="7"/>
  <c r="HI23" i="7"/>
  <c r="HK23" i="7" s="1"/>
  <c r="HJ48" i="7"/>
  <c r="HK48" i="7" s="1"/>
  <c r="HS14" i="7"/>
  <c r="HF46" i="7"/>
  <c r="HG46" i="7" s="1"/>
  <c r="HJ52" i="7"/>
  <c r="HK76" i="7"/>
  <c r="CH29" i="7"/>
  <c r="V23" i="7"/>
  <c r="HI25" i="7"/>
  <c r="HK62" i="7"/>
  <c r="CH26" i="7"/>
  <c r="HE45" i="7"/>
  <c r="HI51" i="7"/>
  <c r="HK51" i="7" s="1"/>
  <c r="BF62" i="7"/>
  <c r="HK13" i="7"/>
  <c r="HF26" i="7"/>
  <c r="HJ30" i="7"/>
  <c r="HK30" i="7" s="1"/>
  <c r="CH42" i="7"/>
  <c r="HT55" i="7"/>
  <c r="CP71" i="7"/>
  <c r="HS73" i="7"/>
  <c r="HT73" i="7" s="1"/>
  <c r="HG80" i="7"/>
  <c r="HT31" i="7"/>
  <c r="HG51" i="7"/>
  <c r="HK68" i="7"/>
  <c r="DQ85" i="7"/>
  <c r="HI9" i="7"/>
  <c r="HK9" i="7" s="1"/>
  <c r="HG16" i="7"/>
  <c r="HI35" i="7"/>
  <c r="HK35" i="7" s="1"/>
  <c r="CH49" i="7"/>
  <c r="AD51" i="7"/>
  <c r="CH56" i="7"/>
  <c r="HB69" i="7"/>
  <c r="HK69" i="7"/>
  <c r="DF82" i="7"/>
  <c r="HB4" i="7"/>
  <c r="HF11" i="7"/>
  <c r="HG11" i="7" s="1"/>
  <c r="Y85" i="7"/>
  <c r="HA30" i="7"/>
  <c r="CH33" i="7"/>
  <c r="GV34" i="7"/>
  <c r="HB51" i="7"/>
  <c r="AH56" i="7"/>
  <c r="HG66" i="7"/>
  <c r="HK67" i="7"/>
  <c r="HS20" i="7"/>
  <c r="HS25" i="7"/>
  <c r="HT25" i="7" s="1"/>
  <c r="HF76" i="7"/>
  <c r="HC84" i="7"/>
  <c r="HK84" i="7"/>
  <c r="HT84" i="7"/>
  <c r="HS10" i="7"/>
  <c r="CH10" i="7"/>
  <c r="HJ14" i="7"/>
  <c r="BF14" i="7"/>
  <c r="HF17" i="7"/>
  <c r="HB19" i="7"/>
  <c r="HC19" i="7" s="1"/>
  <c r="HN19" i="7"/>
  <c r="R20" i="7"/>
  <c r="HJ20" i="7"/>
  <c r="HS32" i="7"/>
  <c r="HF33" i="7"/>
  <c r="CH38" i="7"/>
  <c r="CH44" i="7"/>
  <c r="HN45" i="7"/>
  <c r="HO45" i="7" s="1"/>
  <c r="CH48" i="7"/>
  <c r="HN51" i="7"/>
  <c r="BF70" i="7"/>
  <c r="CH72" i="7"/>
  <c r="HK72" i="7"/>
  <c r="CH75" i="7"/>
  <c r="DB76" i="7"/>
  <c r="HB82" i="7"/>
  <c r="HC82" i="7" s="1"/>
  <c r="HK83" i="7"/>
  <c r="HJ10" i="7"/>
  <c r="I85" i="7"/>
  <c r="HK16" i="7"/>
  <c r="HT16" i="7"/>
  <c r="CH17" i="7"/>
  <c r="BB19" i="7"/>
  <c r="HB24" i="7"/>
  <c r="HI31" i="7"/>
  <c r="HK31" i="7" s="1"/>
  <c r="HK38" i="7"/>
  <c r="CH47" i="7"/>
  <c r="DR49" i="7"/>
  <c r="CH52" i="7"/>
  <c r="R55" i="7"/>
  <c r="BF55" i="7"/>
  <c r="HF62" i="7"/>
  <c r="HG62" i="7" s="1"/>
  <c r="HJ64" i="7"/>
  <c r="HB65" i="7"/>
  <c r="GV71" i="7"/>
  <c r="HB77" i="7"/>
  <c r="HS77" i="7"/>
  <c r="CH81" i="7"/>
  <c r="GV19" i="7"/>
  <c r="HN4" i="7"/>
  <c r="CH4" i="7"/>
  <c r="HK7" i="7"/>
  <c r="HB11" i="7"/>
  <c r="CH13" i="7"/>
  <c r="HN14" i="7"/>
  <c r="CH23" i="7"/>
  <c r="HK24" i="7"/>
  <c r="GV36" i="7"/>
  <c r="CH39" i="7"/>
  <c r="HK53" i="7"/>
  <c r="GV55" i="7"/>
  <c r="HS58" i="7"/>
  <c r="HT58" i="7" s="1"/>
  <c r="HB60" i="7"/>
  <c r="HT61" i="7"/>
  <c r="HN65" i="7"/>
  <c r="HA66" i="7"/>
  <c r="HK66" i="7"/>
  <c r="HN69" i="7"/>
  <c r="HO69" i="7" s="1"/>
  <c r="HB76" i="7"/>
  <c r="HC76" i="7" s="1"/>
  <c r="HK79" i="7"/>
  <c r="CH80" i="7"/>
  <c r="HG83" i="7"/>
  <c r="HI20" i="8"/>
  <c r="HG60" i="8"/>
  <c r="HS48" i="8"/>
  <c r="HG50" i="8"/>
  <c r="CP51" i="8"/>
  <c r="HE52" i="8"/>
  <c r="V20" i="8"/>
  <c r="HI8" i="8"/>
  <c r="CP18" i="8"/>
  <c r="HJ23" i="8"/>
  <c r="AH52" i="8"/>
  <c r="I62" i="8"/>
  <c r="HK20" i="8"/>
  <c r="DZ41" i="8"/>
  <c r="HS20" i="8"/>
  <c r="HN33" i="8"/>
  <c r="AG62" i="8"/>
  <c r="HI12" i="8"/>
  <c r="HI17" i="8"/>
  <c r="HK17" i="8" s="1"/>
  <c r="HS50" i="8"/>
  <c r="R52" i="8"/>
  <c r="AD54" i="8"/>
  <c r="AD55" i="8"/>
  <c r="GW61" i="8"/>
  <c r="GX61" i="8" s="1"/>
  <c r="GO62" i="8"/>
  <c r="HS17" i="8"/>
  <c r="HE20" i="8"/>
  <c r="HE23" i="8"/>
  <c r="GV24" i="8"/>
  <c r="HN43" i="8"/>
  <c r="HN49" i="8"/>
  <c r="HS56" i="8"/>
  <c r="HS61" i="8"/>
  <c r="HK24" i="8"/>
  <c r="HS27" i="8"/>
  <c r="HF40" i="8"/>
  <c r="HG59" i="8"/>
  <c r="HK42" i="9"/>
  <c r="HK59" i="9"/>
  <c r="CK71" i="9"/>
  <c r="HF54" i="9"/>
  <c r="HO59" i="9"/>
  <c r="HF67" i="9"/>
  <c r="HG69" i="9"/>
  <c r="HK10" i="9"/>
  <c r="HK48" i="9"/>
  <c r="HV49" i="9"/>
  <c r="HV52" i="9"/>
  <c r="HK54" i="9"/>
  <c r="HV55" i="9"/>
  <c r="GV63" i="9"/>
  <c r="HO41" i="9"/>
  <c r="HK20" i="9"/>
  <c r="HK23" i="9"/>
  <c r="HG24" i="9"/>
  <c r="HV25" i="9"/>
  <c r="HP57" i="9"/>
  <c r="HK69" i="9"/>
  <c r="HF40" i="9"/>
  <c r="HG40" i="9" s="1"/>
  <c r="HF16" i="9"/>
  <c r="HO23" i="9"/>
  <c r="HV24" i="9"/>
  <c r="HG35" i="9"/>
  <c r="HK37" i="9"/>
  <c r="HK47" i="9"/>
  <c r="HK52" i="9"/>
  <c r="HK55" i="9"/>
  <c r="HV59" i="9"/>
  <c r="HK8" i="9"/>
  <c r="HJ15" i="9"/>
  <c r="HU26" i="9"/>
  <c r="HX26" i="9" s="1"/>
  <c r="HG31" i="9"/>
  <c r="HK33" i="9"/>
  <c r="DJ40" i="9"/>
  <c r="HG44" i="9"/>
  <c r="HK56" i="9"/>
  <c r="BR15" i="9"/>
  <c r="HO35" i="9"/>
  <c r="DB40" i="9"/>
  <c r="DJ41" i="9"/>
  <c r="DB42" i="9"/>
  <c r="HJ61" i="9"/>
  <c r="HO6" i="9"/>
  <c r="HP6" i="9" s="1"/>
  <c r="BM71" i="9"/>
  <c r="HK27" i="9"/>
  <c r="HJ40" i="9"/>
  <c r="HP69" i="9"/>
  <c r="HK6" i="9"/>
  <c r="HU9" i="9"/>
  <c r="HV9" i="9" s="1"/>
  <c r="HK19" i="9"/>
  <c r="HU38" i="9"/>
  <c r="HV38" i="9" s="1"/>
  <c r="HK39" i="9"/>
  <c r="HK41" i="9"/>
  <c r="HB48" i="9"/>
  <c r="GW49" i="9"/>
  <c r="CH54" i="9"/>
  <c r="HV56" i="9"/>
  <c r="HP59" i="9"/>
  <c r="HK66" i="9"/>
  <c r="HK67" i="9"/>
  <c r="HK68" i="9"/>
  <c r="HK70" i="9"/>
  <c r="HT30" i="9"/>
  <c r="GV30" i="9"/>
  <c r="HO7" i="9"/>
  <c r="HO9" i="9"/>
  <c r="DN18" i="9"/>
  <c r="HB22" i="9"/>
  <c r="CH32" i="9"/>
  <c r="FB32" i="9"/>
  <c r="DB33" i="9"/>
  <c r="DJ35" i="9"/>
  <c r="Y71" i="9"/>
  <c r="HV68" i="9"/>
  <c r="HO4" i="9"/>
  <c r="HP4" i="9" s="1"/>
  <c r="DF5" i="9"/>
  <c r="HU13" i="9"/>
  <c r="HV13" i="9" s="1"/>
  <c r="HB13" i="9"/>
  <c r="HO13" i="9"/>
  <c r="HP13" i="9" s="1"/>
  <c r="HU15" i="9"/>
  <c r="HO20" i="9"/>
  <c r="HB27" i="9"/>
  <c r="HC27" i="9" s="1"/>
  <c r="HO27" i="9"/>
  <c r="HP27" i="9" s="1"/>
  <c r="HB29" i="9"/>
  <c r="HK36" i="9"/>
  <c r="CT38" i="9"/>
  <c r="DF40" i="9"/>
  <c r="DF42" i="9"/>
  <c r="DJ43" i="9"/>
  <c r="BV46" i="9"/>
  <c r="HU47" i="9"/>
  <c r="HV47" i="9" s="1"/>
  <c r="DV48" i="9"/>
  <c r="EH50" i="9"/>
  <c r="HP50" i="9"/>
  <c r="HF53" i="9"/>
  <c r="HG53" i="9" s="1"/>
  <c r="HU62" i="9"/>
  <c r="HX62" i="9" s="1"/>
  <c r="HT63" i="9"/>
  <c r="HU64" i="9"/>
  <c r="HB64" i="9"/>
  <c r="ID64" i="9" s="1"/>
  <c r="HO64" i="9"/>
  <c r="HJ65" i="9"/>
  <c r="HX68" i="9"/>
  <c r="CP69" i="9"/>
  <c r="HB5" i="9"/>
  <c r="HC5" i="9" s="1"/>
  <c r="FU71" i="9"/>
  <c r="HB7" i="9"/>
  <c r="HU12" i="9"/>
  <c r="HX12" i="9" s="1"/>
  <c r="HB14" i="9"/>
  <c r="HC14" i="9" s="1"/>
  <c r="HB20" i="9"/>
  <c r="HC20" i="9" s="1"/>
  <c r="HG20" i="9"/>
  <c r="HU22" i="9"/>
  <c r="HX22" i="9" s="1"/>
  <c r="HC24" i="9"/>
  <c r="HK24" i="9"/>
  <c r="HK25" i="9"/>
  <c r="DZ30" i="9"/>
  <c r="HG30" i="9"/>
  <c r="HG34" i="9"/>
  <c r="HV34" i="9"/>
  <c r="ET37" i="9"/>
  <c r="ET71" i="9" s="1"/>
  <c r="HP40" i="9"/>
  <c r="HV43" i="9"/>
  <c r="V44" i="9"/>
  <c r="HG49" i="9"/>
  <c r="HG54" i="9"/>
  <c r="FF57" i="9"/>
  <c r="DJ59" i="9"/>
  <c r="HB60" i="9"/>
  <c r="HC60" i="9" s="1"/>
  <c r="CT64" i="9"/>
  <c r="DV64" i="9"/>
  <c r="EH64" i="9"/>
  <c r="GW64" i="9"/>
  <c r="AX65" i="9"/>
  <c r="HU65" i="9"/>
  <c r="HX65" i="9" s="1"/>
  <c r="HO65" i="9"/>
  <c r="HV69" i="9"/>
  <c r="HF5" i="9"/>
  <c r="HU11" i="9"/>
  <c r="HV11" i="9" s="1"/>
  <c r="HO25" i="9"/>
  <c r="HP25" i="9" s="1"/>
  <c r="HO28" i="9"/>
  <c r="HF29" i="9"/>
  <c r="HG29" i="9" s="1"/>
  <c r="ET29" i="9"/>
  <c r="HO34" i="9"/>
  <c r="HP34" i="9" s="1"/>
  <c r="FB34" i="9"/>
  <c r="HU41" i="9"/>
  <c r="HV41" i="9" s="1"/>
  <c r="CT41" i="9"/>
  <c r="GV44" i="9"/>
  <c r="FF44" i="9"/>
  <c r="HF56" i="9"/>
  <c r="DB56" i="9"/>
  <c r="HA67" i="9"/>
  <c r="N67" i="9"/>
  <c r="HO70" i="9"/>
  <c r="EH70" i="9"/>
  <c r="GW4" i="9"/>
  <c r="CX5" i="9"/>
  <c r="BV6" i="9"/>
  <c r="CX7" i="9"/>
  <c r="HK7" i="9"/>
  <c r="HB9" i="9"/>
  <c r="HB12" i="9"/>
  <c r="CL12" i="9"/>
  <c r="EL12" i="9"/>
  <c r="CS71" i="9"/>
  <c r="HG19" i="9"/>
  <c r="CO71" i="9"/>
  <c r="HV29" i="9"/>
  <c r="HB34" i="9"/>
  <c r="EP34" i="9"/>
  <c r="I71" i="9"/>
  <c r="J44" i="9"/>
  <c r="J71" i="9" s="1"/>
  <c r="AP51" i="9"/>
  <c r="HB51" i="9"/>
  <c r="HK5" i="9"/>
  <c r="DJ9" i="9"/>
  <c r="HF10" i="9"/>
  <c r="HG10" i="9" s="1"/>
  <c r="CT13" i="9"/>
  <c r="HO14" i="9"/>
  <c r="HU19" i="9"/>
  <c r="HX19" i="9" s="1"/>
  <c r="DV20" i="9"/>
  <c r="EH20" i="9"/>
  <c r="CP22" i="9"/>
  <c r="CX22" i="9"/>
  <c r="DB27" i="9"/>
  <c r="HX29" i="9"/>
  <c r="HF39" i="9"/>
  <c r="DB39" i="9"/>
  <c r="GW41" i="9"/>
  <c r="HF47" i="9"/>
  <c r="HB50" i="9"/>
  <c r="AP50" i="9"/>
  <c r="HO56" i="9"/>
  <c r="HF66" i="9"/>
  <c r="BN66" i="9"/>
  <c r="L71" i="9"/>
  <c r="DZ10" i="9"/>
  <c r="HO12" i="9"/>
  <c r="EH14" i="9"/>
  <c r="AT16" i="9"/>
  <c r="HB16" i="9"/>
  <c r="HC16" i="9" s="1"/>
  <c r="HO17" i="9"/>
  <c r="HK18" i="9"/>
  <c r="CT19" i="9"/>
  <c r="HP20" i="9"/>
  <c r="BR22" i="9"/>
  <c r="HK22" i="9"/>
  <c r="HO24" i="9"/>
  <c r="HP24" i="9" s="1"/>
  <c r="IE24" i="9" s="1"/>
  <c r="HG25" i="9"/>
  <c r="HK26" i="9"/>
  <c r="HV26" i="9"/>
  <c r="BR27" i="9"/>
  <c r="CD27" i="9"/>
  <c r="CX29" i="9"/>
  <c r="FF33" i="9"/>
  <c r="GV33" i="9"/>
  <c r="HT33" i="9"/>
  <c r="HV33" i="9" s="1"/>
  <c r="HB39" i="9"/>
  <c r="CD39" i="9"/>
  <c r="HK43" i="9"/>
  <c r="X71" i="9"/>
  <c r="HA57" i="9"/>
  <c r="GV57" i="9"/>
  <c r="HO61" i="9"/>
  <c r="EH61" i="9"/>
  <c r="HF62" i="9"/>
  <c r="HG62" i="9" s="1"/>
  <c r="HF63" i="9"/>
  <c r="HG63" i="9" s="1"/>
  <c r="DZ63" i="9"/>
  <c r="HV70" i="9"/>
  <c r="HB32" i="9"/>
  <c r="HC32" i="9" s="1"/>
  <c r="HK32" i="9"/>
  <c r="HV32" i="9"/>
  <c r="HC35" i="9"/>
  <c r="HU37" i="9"/>
  <c r="HV37" i="9" s="1"/>
  <c r="HB38" i="9"/>
  <c r="HC38" i="9" s="1"/>
  <c r="HO38" i="9"/>
  <c r="HV40" i="9"/>
  <c r="HG47" i="9"/>
  <c r="HF48" i="9"/>
  <c r="HG48" i="9" s="1"/>
  <c r="HO54" i="9"/>
  <c r="HP54" i="9" s="1"/>
  <c r="HG59" i="9"/>
  <c r="HK65" i="9"/>
  <c r="HV65" i="9"/>
  <c r="HO66" i="9"/>
  <c r="HB70" i="9"/>
  <c r="HU36" i="9"/>
  <c r="HX36" i="9" s="1"/>
  <c r="HB36" i="9"/>
  <c r="DB38" i="9"/>
  <c r="DV38" i="9"/>
  <c r="EH38" i="9"/>
  <c r="HP41" i="9"/>
  <c r="HK46" i="9"/>
  <c r="HC48" i="9"/>
  <c r="GW50" i="9"/>
  <c r="GO71" i="9"/>
  <c r="EH54" i="9"/>
  <c r="HB56" i="9"/>
  <c r="HG56" i="9"/>
  <c r="HB57" i="9"/>
  <c r="HK57" i="9"/>
  <c r="HK60" i="9"/>
  <c r="HF61" i="9"/>
  <c r="HG61" i="9" s="1"/>
  <c r="HK64" i="9"/>
  <c r="DN65" i="9"/>
  <c r="HB66" i="9"/>
  <c r="EH66" i="9"/>
  <c r="HO68" i="9"/>
  <c r="R138" i="9"/>
  <c r="HK30" i="9"/>
  <c r="HK31" i="9"/>
  <c r="HK35" i="9"/>
  <c r="CT36" i="9"/>
  <c r="GX41" i="9"/>
  <c r="HF41" i="9"/>
  <c r="HG42" i="9"/>
  <c r="HB43" i="9"/>
  <c r="GW43" i="9"/>
  <c r="HJ44" i="9"/>
  <c r="HO49" i="9"/>
  <c r="HV57" i="9"/>
  <c r="HK63" i="9"/>
  <c r="HG64" i="9"/>
  <c r="R67" i="9"/>
  <c r="R71" i="9" s="1"/>
  <c r="IK71" i="9"/>
  <c r="F138" i="9"/>
  <c r="HR8" i="8"/>
  <c r="HS8" i="8" s="1"/>
  <c r="HN4" i="8"/>
  <c r="FR62" i="8"/>
  <c r="GH62" i="8"/>
  <c r="AB62" i="8"/>
  <c r="HE13" i="8"/>
  <c r="HS13" i="8"/>
  <c r="HF14" i="8"/>
  <c r="V17" i="8"/>
  <c r="J19" i="8"/>
  <c r="R42" i="8"/>
  <c r="HE42" i="8"/>
  <c r="V8" i="8"/>
  <c r="HS11" i="8"/>
  <c r="GD19" i="8"/>
  <c r="HJ51" i="8"/>
  <c r="HK51" i="8" s="1"/>
  <c r="AX51" i="8"/>
  <c r="V54" i="8"/>
  <c r="HF4" i="8"/>
  <c r="HN5" i="8"/>
  <c r="HB14" i="8"/>
  <c r="BJ20" i="8"/>
  <c r="HF49" i="8"/>
  <c r="CX49" i="8"/>
  <c r="HF23" i="8"/>
  <c r="HF25" i="8"/>
  <c r="HE29" i="8"/>
  <c r="HJ40" i="8"/>
  <c r="HE44" i="8"/>
  <c r="HI48" i="8"/>
  <c r="HK48" i="8" s="1"/>
  <c r="HS51" i="8"/>
  <c r="GV55" i="8"/>
  <c r="HO57" i="8"/>
  <c r="HC58" i="8"/>
  <c r="HK58" i="8"/>
  <c r="HS58" i="8"/>
  <c r="GV23" i="8"/>
  <c r="HN50" i="8"/>
  <c r="AH24" i="8"/>
  <c r="HR26" i="8"/>
  <c r="J29" i="8"/>
  <c r="CP29" i="8"/>
  <c r="AH32" i="8"/>
  <c r="HB35" i="8"/>
  <c r="HC35" i="8" s="1"/>
  <c r="HS35" i="8"/>
  <c r="BN36" i="8"/>
  <c r="HI40" i="8"/>
  <c r="HS41" i="8"/>
  <c r="BB49" i="8"/>
  <c r="DB49" i="8"/>
  <c r="DJ49" i="8"/>
  <c r="HG54" i="8"/>
  <c r="AL54" i="8"/>
  <c r="GX57" i="8"/>
  <c r="HR5" i="8"/>
  <c r="HB8" i="8"/>
  <c r="HS16" i="8"/>
  <c r="HJ19" i="8"/>
  <c r="HK19" i="8" s="1"/>
  <c r="AH19" i="8"/>
  <c r="HB21" i="8"/>
  <c r="BZ21" i="8"/>
  <c r="HF28" i="8"/>
  <c r="HG28" i="8" s="1"/>
  <c r="BJ28" i="8"/>
  <c r="HJ30" i="8"/>
  <c r="AH30" i="8"/>
  <c r="AD40" i="8"/>
  <c r="HE40" i="8"/>
  <c r="HG40" i="8" s="1"/>
  <c r="HR43" i="8"/>
  <c r="CP43" i="8"/>
  <c r="HB47" i="8"/>
  <c r="BZ47" i="8"/>
  <c r="HJ4" i="8"/>
  <c r="BB4" i="8"/>
  <c r="ED62" i="8"/>
  <c r="AD5" i="8"/>
  <c r="BR5" i="8"/>
  <c r="AT9" i="8"/>
  <c r="V12" i="8"/>
  <c r="AH13" i="8"/>
  <c r="HN14" i="8"/>
  <c r="HN20" i="8"/>
  <c r="BB20" i="8"/>
  <c r="HE25" i="8"/>
  <c r="AD25" i="8"/>
  <c r="HJ28" i="8"/>
  <c r="HK28" i="8" s="1"/>
  <c r="AX28" i="8"/>
  <c r="HB29" i="8"/>
  <c r="HR32" i="8"/>
  <c r="HS32" i="8" s="1"/>
  <c r="CP32" i="8"/>
  <c r="HJ34" i="8"/>
  <c r="CH34" i="8"/>
  <c r="HI50" i="8"/>
  <c r="V50" i="8"/>
  <c r="V4" i="8"/>
  <c r="AH4" i="8"/>
  <c r="AT4" i="8"/>
  <c r="HB4" i="8"/>
  <c r="DN62" i="8"/>
  <c r="HB5" i="8"/>
  <c r="HC5" i="8" s="1"/>
  <c r="HR7" i="8"/>
  <c r="HB11" i="8"/>
  <c r="HC11" i="8" s="1"/>
  <c r="HK11" i="8"/>
  <c r="R14" i="8"/>
  <c r="BF14" i="8"/>
  <c r="CL14" i="8"/>
  <c r="EK62" i="8"/>
  <c r="EL14" i="8"/>
  <c r="HJ18" i="8"/>
  <c r="V18" i="8"/>
  <c r="HR30" i="8"/>
  <c r="HS30" i="8" s="1"/>
  <c r="EL30" i="8"/>
  <c r="HR31" i="8"/>
  <c r="HS31" i="8" s="1"/>
  <c r="GW32" i="8"/>
  <c r="HF35" i="8"/>
  <c r="AT35" i="8"/>
  <c r="HR40" i="8"/>
  <c r="FF40" i="8"/>
  <c r="HF43" i="8"/>
  <c r="HG43" i="8" s="1"/>
  <c r="R43" i="8"/>
  <c r="HR47" i="8"/>
  <c r="CP47" i="8"/>
  <c r="HS49" i="8"/>
  <c r="HO50" i="8"/>
  <c r="FA62" i="8"/>
  <c r="GT62" i="8"/>
  <c r="HS5" i="8"/>
  <c r="DJ6" i="8"/>
  <c r="HF7" i="8"/>
  <c r="HN7" i="8"/>
  <c r="BV7" i="8"/>
  <c r="HN8" i="8"/>
  <c r="HO8" i="8" s="1"/>
  <c r="HI9" i="8"/>
  <c r="HK9" i="8" s="1"/>
  <c r="HF10" i="8"/>
  <c r="AT10" i="8"/>
  <c r="Z11" i="8"/>
  <c r="HF17" i="8"/>
  <c r="HG17" i="8" s="1"/>
  <c r="CD17" i="8"/>
  <c r="HB23" i="8"/>
  <c r="HJ26" i="8"/>
  <c r="HR28" i="8"/>
  <c r="HS28" i="8" s="1"/>
  <c r="BV28" i="8"/>
  <c r="HN38" i="8"/>
  <c r="GV39" i="8"/>
  <c r="V46" i="8"/>
  <c r="HI46" i="8"/>
  <c r="HF48" i="8"/>
  <c r="CD48" i="8"/>
  <c r="HN13" i="8"/>
  <c r="GV13" i="8"/>
  <c r="HR14" i="8"/>
  <c r="HN15" i="8"/>
  <c r="HN16" i="8"/>
  <c r="HO16" i="8" s="1"/>
  <c r="HF18" i="8"/>
  <c r="GV18" i="8"/>
  <c r="HN21" i="8"/>
  <c r="HO21" i="8" s="1"/>
  <c r="GW34" i="8"/>
  <c r="HB34" i="8"/>
  <c r="HN34" i="8"/>
  <c r="HN35" i="8"/>
  <c r="HO35" i="8" s="1"/>
  <c r="HK36" i="8"/>
  <c r="HN39" i="8"/>
  <c r="HB41" i="8"/>
  <c r="HN51" i="8"/>
  <c r="HF51" i="8"/>
  <c r="HJ52" i="8"/>
  <c r="AX52" i="8"/>
  <c r="GV52" i="8"/>
  <c r="CL13" i="8"/>
  <c r="FE62" i="8"/>
  <c r="HN18" i="8"/>
  <c r="HR19" i="8"/>
  <c r="HF21" i="8"/>
  <c r="HG21" i="8" s="1"/>
  <c r="BR21" i="8"/>
  <c r="CH23" i="8"/>
  <c r="AD24" i="8"/>
  <c r="R29" i="8"/>
  <c r="HN30" i="8"/>
  <c r="HB32" i="8"/>
  <c r="HC32" i="8" s="1"/>
  <c r="AD34" i="8"/>
  <c r="BF34" i="8"/>
  <c r="BR34" i="8"/>
  <c r="AL39" i="8"/>
  <c r="HB39" i="8"/>
  <c r="V40" i="8"/>
  <c r="HN41" i="8"/>
  <c r="HR44" i="8"/>
  <c r="HJ44" i="8"/>
  <c r="HF45" i="8"/>
  <c r="HR53" i="8"/>
  <c r="GX58" i="8"/>
  <c r="HG58" i="8"/>
  <c r="HO58" i="8"/>
  <c r="HB22" i="8"/>
  <c r="HC22" i="8" s="1"/>
  <c r="HF24" i="8"/>
  <c r="HS24" i="8"/>
  <c r="HF27" i="8"/>
  <c r="HB31" i="8"/>
  <c r="HC31" i="8" s="1"/>
  <c r="GV31" i="8"/>
  <c r="HR33" i="8"/>
  <c r="HF38" i="8"/>
  <c r="HE41" i="8"/>
  <c r="HG41" i="8" s="1"/>
  <c r="HS42" i="8"/>
  <c r="HC47" i="8"/>
  <c r="HO51" i="8"/>
  <c r="HR54" i="8"/>
  <c r="CP54" i="8"/>
  <c r="HF53" i="8"/>
  <c r="HN53" i="8"/>
  <c r="HK57" i="8"/>
  <c r="HC59" i="8"/>
  <c r="HS59" i="8"/>
  <c r="HO60" i="8"/>
  <c r="HB53" i="8"/>
  <c r="HC53" i="8" s="1"/>
  <c r="AT53" i="8"/>
  <c r="HN54" i="8"/>
  <c r="HB55" i="8"/>
  <c r="HK55" i="8"/>
  <c r="HS55" i="8"/>
  <c r="HK56" i="8"/>
  <c r="HG57" i="8"/>
  <c r="GX59" i="8"/>
  <c r="HO59" i="8"/>
  <c r="HG61" i="8"/>
  <c r="HB54" i="8"/>
  <c r="HC57" i="8"/>
  <c r="HS57" i="8"/>
  <c r="HK59" i="8"/>
  <c r="GX60" i="8"/>
  <c r="HB6" i="7"/>
  <c r="HC6" i="7" s="1"/>
  <c r="DR7" i="7"/>
  <c r="HB8" i="7"/>
  <c r="HA8" i="7"/>
  <c r="HF12" i="7"/>
  <c r="HN12" i="7"/>
  <c r="HT15" i="7"/>
  <c r="HF25" i="7"/>
  <c r="HA28" i="7"/>
  <c r="HT30" i="7"/>
  <c r="HT33" i="7"/>
  <c r="HF37" i="7"/>
  <c r="AD37" i="7"/>
  <c r="HJ40" i="7"/>
  <c r="AH40" i="7"/>
  <c r="BF7" i="7"/>
  <c r="CH7" i="7"/>
  <c r="BJ8" i="7"/>
  <c r="GW10" i="7"/>
  <c r="AH11" i="7"/>
  <c r="BJ11" i="7"/>
  <c r="HN18" i="7"/>
  <c r="BF20" i="7"/>
  <c r="HB23" i="7"/>
  <c r="HS23" i="7"/>
  <c r="HS24" i="7"/>
  <c r="BF25" i="7"/>
  <c r="HB26" i="7"/>
  <c r="HC26" i="7" s="1"/>
  <c r="HN27" i="7"/>
  <c r="HS28" i="7"/>
  <c r="HT28" i="7" s="1"/>
  <c r="BF30" i="7"/>
  <c r="CD30" i="7"/>
  <c r="CD85" i="7" s="1"/>
  <c r="HN40" i="7"/>
  <c r="HB9" i="7"/>
  <c r="HA11" i="7"/>
  <c r="GW12" i="7"/>
  <c r="HS12" i="7"/>
  <c r="CH15" i="7"/>
  <c r="AH17" i="7"/>
  <c r="GW17" i="7"/>
  <c r="HK17" i="7"/>
  <c r="HS17" i="7"/>
  <c r="BF18" i="7"/>
  <c r="HB18" i="7"/>
  <c r="HC18" i="7" s="1"/>
  <c r="HT18" i="7"/>
  <c r="AP19" i="7"/>
  <c r="BF19" i="7"/>
  <c r="HB20" i="7"/>
  <c r="CH27" i="7"/>
  <c r="CH28" i="7"/>
  <c r="HB30" i="7"/>
  <c r="BJ30" i="7"/>
  <c r="HJ37" i="7"/>
  <c r="V37" i="7"/>
  <c r="HN39" i="7"/>
  <c r="BV39" i="7"/>
  <c r="J40" i="7"/>
  <c r="HB40" i="7"/>
  <c r="HC40" i="7" s="1"/>
  <c r="HS40" i="7"/>
  <c r="BF40" i="7"/>
  <c r="BF8" i="7"/>
  <c r="CH9" i="7"/>
  <c r="HS9" i="7"/>
  <c r="R11" i="7"/>
  <c r="CH12" i="7"/>
  <c r="J14" i="7"/>
  <c r="BB14" i="7"/>
  <c r="CH14" i="7"/>
  <c r="HB17" i="7"/>
  <c r="HJ18" i="7"/>
  <c r="CH19" i="7"/>
  <c r="HE20" i="7"/>
  <c r="CH20" i="7"/>
  <c r="HB25" i="7"/>
  <c r="HC25" i="7" s="1"/>
  <c r="AD26" i="7"/>
  <c r="HS26" i="7"/>
  <c r="HN30" i="7"/>
  <c r="BB30" i="7"/>
  <c r="HJ33" i="7"/>
  <c r="AH33" i="7"/>
  <c r="HA39" i="7"/>
  <c r="HF41" i="7"/>
  <c r="HG41" i="7" s="1"/>
  <c r="GW47" i="7"/>
  <c r="HB48" i="7"/>
  <c r="HI54" i="7"/>
  <c r="HK54" i="7" s="1"/>
  <c r="V54" i="7"/>
  <c r="HN57" i="7"/>
  <c r="BV57" i="7"/>
  <c r="HF68" i="7"/>
  <c r="HF71" i="7"/>
  <c r="DB82" i="7"/>
  <c r="HF82" i="7"/>
  <c r="HJ32" i="7"/>
  <c r="HI36" i="7"/>
  <c r="HS37" i="7"/>
  <c r="HS38" i="7"/>
  <c r="CH41" i="7"/>
  <c r="HF43" i="7"/>
  <c r="HG43" i="7" s="1"/>
  <c r="HB43" i="7"/>
  <c r="HC43" i="7" s="1"/>
  <c r="ET44" i="7"/>
  <c r="BV45" i="7"/>
  <c r="CH45" i="7"/>
  <c r="GW46" i="7"/>
  <c r="HS46" i="7"/>
  <c r="HT46" i="7" s="1"/>
  <c r="HK46" i="7"/>
  <c r="GV47" i="7"/>
  <c r="GV49" i="7"/>
  <c r="HA49" i="7"/>
  <c r="CH50" i="7"/>
  <c r="AL51" i="7"/>
  <c r="BJ51" i="7"/>
  <c r="AT53" i="7"/>
  <c r="GV58" i="7"/>
  <c r="CH58" i="7"/>
  <c r="HA58" i="7"/>
  <c r="HF60" i="7"/>
  <c r="HS63" i="7"/>
  <c r="BF63" i="7"/>
  <c r="GW70" i="7"/>
  <c r="HB70" i="7"/>
  <c r="BF71" i="7"/>
  <c r="HS71" i="7"/>
  <c r="HB71" i="7"/>
  <c r="HJ74" i="7"/>
  <c r="CP74" i="7"/>
  <c r="HF31" i="7"/>
  <c r="HG31" i="7" s="1"/>
  <c r="HE34" i="7"/>
  <c r="HG34" i="7" s="1"/>
  <c r="HB35" i="7"/>
  <c r="HC35" i="7" s="1"/>
  <c r="AH38" i="7"/>
  <c r="HI39" i="7"/>
  <c r="HK39" i="7" s="1"/>
  <c r="R43" i="7"/>
  <c r="Z43" i="7"/>
  <c r="HG44" i="7"/>
  <c r="R45" i="7"/>
  <c r="BN46" i="7"/>
  <c r="HB47" i="7"/>
  <c r="HJ47" i="7"/>
  <c r="HK47" i="7" s="1"/>
  <c r="HA47" i="7"/>
  <c r="HC47" i="7" s="1"/>
  <c r="GW48" i="7"/>
  <c r="HF48" i="7"/>
  <c r="HN48" i="7"/>
  <c r="HO48" i="7" s="1"/>
  <c r="HT49" i="7"/>
  <c r="HB50" i="7"/>
  <c r="HC50" i="7" s="1"/>
  <c r="HB52" i="7"/>
  <c r="HS52" i="7"/>
  <c r="HT52" i="7" s="1"/>
  <c r="HB53" i="7"/>
  <c r="BF64" i="7"/>
  <c r="HS64" i="7"/>
  <c r="HF73" i="7"/>
  <c r="HG73" i="7" s="1"/>
  <c r="HA74" i="7"/>
  <c r="CH74" i="7"/>
  <c r="AH37" i="7"/>
  <c r="GV39" i="7"/>
  <c r="AL40" i="7"/>
  <c r="CH40" i="7"/>
  <c r="HK42" i="7"/>
  <c r="HT42" i="7"/>
  <c r="CH43" i="7"/>
  <c r="GV43" i="7"/>
  <c r="HK45" i="7"/>
  <c r="CH46" i="7"/>
  <c r="AX47" i="7"/>
  <c r="HN47" i="7"/>
  <c r="AH48" i="7"/>
  <c r="HE49" i="7"/>
  <c r="DN49" i="7"/>
  <c r="AP50" i="7"/>
  <c r="V51" i="7"/>
  <c r="GV51" i="7"/>
  <c r="BF52" i="7"/>
  <c r="HN53" i="7"/>
  <c r="HO53" i="7" s="1"/>
  <c r="GW56" i="7"/>
  <c r="HS60" i="7"/>
  <c r="HT60" i="7" s="1"/>
  <c r="BZ60" i="7"/>
  <c r="HF63" i="7"/>
  <c r="HJ70" i="7"/>
  <c r="DF70" i="7"/>
  <c r="HN73" i="7"/>
  <c r="EH73" i="7"/>
  <c r="CH54" i="7"/>
  <c r="HE56" i="7"/>
  <c r="HG56" i="7" s="1"/>
  <c r="HF57" i="7"/>
  <c r="HN58" i="7"/>
  <c r="GW59" i="7"/>
  <c r="CH60" i="7"/>
  <c r="GV60" i="7"/>
  <c r="GX61" i="7"/>
  <c r="HO61" i="7"/>
  <c r="CH62" i="7"/>
  <c r="CH63" i="7"/>
  <c r="GV63" i="7"/>
  <c r="CH66" i="7"/>
  <c r="HN68" i="7"/>
  <c r="HF70" i="7"/>
  <c r="CH71" i="7"/>
  <c r="HB74" i="7"/>
  <c r="GV75" i="7"/>
  <c r="HS79" i="7"/>
  <c r="HF81" i="7"/>
  <c r="HT83" i="7"/>
  <c r="HG84" i="7"/>
  <c r="BD85" i="7"/>
  <c r="GV54" i="7"/>
  <c r="CH55" i="7"/>
  <c r="HN55" i="7"/>
  <c r="HS56" i="7"/>
  <c r="GW57" i="7"/>
  <c r="GV59" i="7"/>
  <c r="HK61" i="7"/>
  <c r="HN64" i="7"/>
  <c r="HO64" i="7" s="1"/>
  <c r="CH69" i="7"/>
  <c r="HG72" i="7"/>
  <c r="CH73" i="7"/>
  <c r="CP75" i="7"/>
  <c r="GW82" i="7"/>
  <c r="HN82" i="7"/>
  <c r="HA55" i="7"/>
  <c r="CH59" i="7"/>
  <c r="HG61" i="7"/>
  <c r="HB63" i="7"/>
  <c r="HC63" i="7" s="1"/>
  <c r="GW67" i="7"/>
  <c r="HB73" i="7"/>
  <c r="HT75" i="7"/>
  <c r="HB80" i="7"/>
  <c r="HK80" i="7"/>
  <c r="HT80" i="7"/>
  <c r="GX84" i="7"/>
  <c r="HO84" i="7"/>
  <c r="HX13" i="9"/>
  <c r="FY71" i="9"/>
  <c r="FZ7" i="9"/>
  <c r="HP7" i="9"/>
  <c r="HX8" i="9"/>
  <c r="GW11" i="9"/>
  <c r="HO11" i="9"/>
  <c r="HP12" i="9"/>
  <c r="GW13" i="9"/>
  <c r="AO71" i="9"/>
  <c r="AP15" i="9"/>
  <c r="HB15" i="9"/>
  <c r="HX15" i="9"/>
  <c r="BZ17" i="9"/>
  <c r="HU17" i="9"/>
  <c r="HK21" i="9"/>
  <c r="CH28" i="9"/>
  <c r="HF28" i="9"/>
  <c r="GW28" i="9"/>
  <c r="FF35" i="9"/>
  <c r="HT35" i="9"/>
  <c r="HV35" i="9" s="1"/>
  <c r="GL71" i="9"/>
  <c r="HG4" i="9"/>
  <c r="FV5" i="9"/>
  <c r="GW5" i="9"/>
  <c r="HX5" i="9"/>
  <c r="GW6" i="9"/>
  <c r="HX6" i="9"/>
  <c r="FB7" i="9"/>
  <c r="FM71" i="9"/>
  <c r="FN7" i="9"/>
  <c r="HC7" i="9"/>
  <c r="CG71" i="9"/>
  <c r="CH8" i="9"/>
  <c r="GW8" i="9"/>
  <c r="HV8" i="9"/>
  <c r="GW9" i="9"/>
  <c r="HC9" i="9"/>
  <c r="BQ71" i="9"/>
  <c r="GW12" i="9"/>
  <c r="HC12" i="9"/>
  <c r="HJ12" i="9"/>
  <c r="DN13" i="9"/>
  <c r="CD14" i="9"/>
  <c r="HF14" i="9"/>
  <c r="DB14" i="9"/>
  <c r="BI71" i="9"/>
  <c r="BJ15" i="9"/>
  <c r="GW15" i="9"/>
  <c r="HO15" i="9"/>
  <c r="HV15" i="9"/>
  <c r="HB18" i="9"/>
  <c r="EH19" i="9"/>
  <c r="HO19" i="9"/>
  <c r="HF26" i="9"/>
  <c r="HG26" i="9" s="1"/>
  <c r="GW26" i="9"/>
  <c r="AT26" i="9"/>
  <c r="HB31" i="9"/>
  <c r="GW31" i="9"/>
  <c r="DV31" i="9"/>
  <c r="HT31" i="9"/>
  <c r="HV31" i="9" s="1"/>
  <c r="GV31" i="9"/>
  <c r="HC34" i="9"/>
  <c r="HC36" i="9"/>
  <c r="HG39" i="9"/>
  <c r="HU42" i="9"/>
  <c r="GW42" i="9"/>
  <c r="CT42" i="9"/>
  <c r="EP58" i="9"/>
  <c r="GW58" i="9"/>
  <c r="DM71" i="9"/>
  <c r="DN5" i="9"/>
  <c r="HV5" i="9"/>
  <c r="HF7" i="9"/>
  <c r="HO8" i="9"/>
  <c r="HP9" i="9"/>
  <c r="HF11" i="9"/>
  <c r="HK11" i="9"/>
  <c r="BR12" i="9"/>
  <c r="CD12" i="9"/>
  <c r="AC71" i="9"/>
  <c r="HF13" i="9"/>
  <c r="HJ13" i="9"/>
  <c r="DF13" i="9"/>
  <c r="HP14" i="9"/>
  <c r="GW16" i="9"/>
  <c r="HU16" i="9"/>
  <c r="HV16" i="9" s="1"/>
  <c r="GW17" i="9"/>
  <c r="HF18" i="9"/>
  <c r="GW18" i="9"/>
  <c r="HX18" i="9"/>
  <c r="HV18" i="9"/>
  <c r="DV19" i="9"/>
  <c r="HB19" i="9"/>
  <c r="HC19" i="9" s="1"/>
  <c r="HO21" i="9"/>
  <c r="ID24" i="9"/>
  <c r="HB25" i="9"/>
  <c r="HC25" i="9" s="1"/>
  <c r="GW25" i="9"/>
  <c r="EP25" i="9"/>
  <c r="HK28" i="9"/>
  <c r="HU28" i="9"/>
  <c r="HO33" i="9"/>
  <c r="HP33" i="9" s="1"/>
  <c r="DJ33" i="9"/>
  <c r="HO36" i="9"/>
  <c r="EH36" i="9"/>
  <c r="HF36" i="9"/>
  <c r="FN36" i="9"/>
  <c r="FN71" i="9" s="1"/>
  <c r="HB37" i="9"/>
  <c r="EP37" i="9"/>
  <c r="HU39" i="9"/>
  <c r="DN39" i="9"/>
  <c r="AK71" i="9"/>
  <c r="HO45" i="9"/>
  <c r="HP45" i="9" s="1"/>
  <c r="AL45" i="9"/>
  <c r="BF71" i="9"/>
  <c r="HI71" i="9"/>
  <c r="HK4" i="9"/>
  <c r="HO5" i="9"/>
  <c r="HB6" i="9"/>
  <c r="DZ7" i="9"/>
  <c r="EK71" i="9"/>
  <c r="HU7" i="9"/>
  <c r="EL7" i="9"/>
  <c r="HF9" i="9"/>
  <c r="HK9" i="9"/>
  <c r="HU10" i="9"/>
  <c r="HV10" i="9" s="1"/>
  <c r="DN10" i="9"/>
  <c r="HB11" i="9"/>
  <c r="HX11" i="9"/>
  <c r="HF12" i="9"/>
  <c r="AS71" i="9"/>
  <c r="AT13" i="9"/>
  <c r="GX13" i="9"/>
  <c r="HF15" i="9"/>
  <c r="HK15" i="9"/>
  <c r="BZ16" i="9"/>
  <c r="CX16" i="9"/>
  <c r="DJ16" i="9"/>
  <c r="HO16" i="9"/>
  <c r="HP16" i="9" s="1"/>
  <c r="HG16" i="9"/>
  <c r="HF17" i="9"/>
  <c r="DB18" i="9"/>
  <c r="GX18" i="9"/>
  <c r="AT21" i="9"/>
  <c r="GW21" i="9"/>
  <c r="HF21" i="9"/>
  <c r="HB21" i="9"/>
  <c r="HC22" i="9"/>
  <c r="HG27" i="9"/>
  <c r="HB28" i="9"/>
  <c r="HB33" i="9"/>
  <c r="HC33" i="9" s="1"/>
  <c r="GW33" i="9"/>
  <c r="BJ33" i="9"/>
  <c r="ID35" i="9"/>
  <c r="GV35" i="9"/>
  <c r="HO37" i="9"/>
  <c r="DJ37" i="9"/>
  <c r="HG37" i="9"/>
  <c r="HP38" i="9"/>
  <c r="HC43" i="9"/>
  <c r="GX42" i="9"/>
  <c r="HP43" i="9"/>
  <c r="GV46" i="9"/>
  <c r="HT46" i="9"/>
  <c r="HV46" i="9" s="1"/>
  <c r="FF46" i="9"/>
  <c r="FB53" i="9"/>
  <c r="HO53" i="9"/>
  <c r="DR71" i="9"/>
  <c r="FA71" i="9"/>
  <c r="GT71" i="9"/>
  <c r="HV4" i="9"/>
  <c r="CC71" i="9"/>
  <c r="CD5" i="9"/>
  <c r="FE71" i="9"/>
  <c r="FF7" i="9"/>
  <c r="HG13" i="9"/>
  <c r="HB17" i="9"/>
  <c r="HP17" i="9"/>
  <c r="HU20" i="9"/>
  <c r="GW20" i="9"/>
  <c r="DN20" i="9"/>
  <c r="HF23" i="9"/>
  <c r="HJ29" i="9"/>
  <c r="DF29" i="9"/>
  <c r="HG32" i="9"/>
  <c r="HP32" i="9"/>
  <c r="HJ34" i="9"/>
  <c r="GW34" i="9"/>
  <c r="CL34" i="9"/>
  <c r="HP35" i="9"/>
  <c r="HO39" i="9"/>
  <c r="GW39" i="9"/>
  <c r="BV39" i="9"/>
  <c r="HU63" i="9"/>
  <c r="HV63" i="9" s="1"/>
  <c r="EL63" i="9"/>
  <c r="F71" i="9"/>
  <c r="V71" i="9"/>
  <c r="AL71" i="9"/>
  <c r="CW71" i="9"/>
  <c r="DI71" i="9"/>
  <c r="DU71" i="9"/>
  <c r="EG71" i="9"/>
  <c r="FB4" i="9"/>
  <c r="FR71" i="9"/>
  <c r="GH71" i="9"/>
  <c r="HB4" i="9"/>
  <c r="HC4" i="9" s="1"/>
  <c r="HN71" i="9"/>
  <c r="DA71" i="9"/>
  <c r="DB6" i="9"/>
  <c r="DB71" i="9" s="1"/>
  <c r="HC6" i="9"/>
  <c r="HF6" i="9"/>
  <c r="HV6" i="9"/>
  <c r="FI71" i="9"/>
  <c r="GW7" i="9"/>
  <c r="BN8" i="9"/>
  <c r="HF8" i="9"/>
  <c r="HO10" i="9"/>
  <c r="GW10" i="9"/>
  <c r="HB10" i="9"/>
  <c r="HC13" i="9"/>
  <c r="AW71" i="9"/>
  <c r="AX14" i="9"/>
  <c r="AX71" i="9" s="1"/>
  <c r="GW14" i="9"/>
  <c r="HJ14" i="9"/>
  <c r="HU14" i="9"/>
  <c r="BY71" i="9"/>
  <c r="BZ15" i="9"/>
  <c r="HK16" i="9"/>
  <c r="DJ17" i="9"/>
  <c r="HK17" i="9"/>
  <c r="HO18" i="9"/>
  <c r="HU21" i="9"/>
  <c r="HF22" i="9"/>
  <c r="CH22" i="9"/>
  <c r="CX23" i="9"/>
  <c r="HB23" i="9"/>
  <c r="HU23" i="9"/>
  <c r="DN23" i="9"/>
  <c r="HU27" i="9"/>
  <c r="CT27" i="9"/>
  <c r="HP28" i="9"/>
  <c r="HC29" i="9"/>
  <c r="FD71" i="9"/>
  <c r="FF30" i="9"/>
  <c r="HO31" i="9"/>
  <c r="EH31" i="9"/>
  <c r="HG33" i="9"/>
  <c r="HT36" i="9"/>
  <c r="GV36" i="9"/>
  <c r="FF36" i="9"/>
  <c r="HB40" i="9"/>
  <c r="HK40" i="9"/>
  <c r="HB41" i="9"/>
  <c r="HX41" i="9"/>
  <c r="HB42" i="9"/>
  <c r="DV42" i="9"/>
  <c r="CL51" i="9"/>
  <c r="HJ51" i="9"/>
  <c r="GW19" i="9"/>
  <c r="GW23" i="9"/>
  <c r="GW30" i="9"/>
  <c r="HB30" i="9"/>
  <c r="HO30" i="9"/>
  <c r="HU30" i="9"/>
  <c r="GW32" i="9"/>
  <c r="GW35" i="9"/>
  <c r="GW40" i="9"/>
  <c r="M71" i="9"/>
  <c r="HB44" i="9"/>
  <c r="HC44" i="9" s="1"/>
  <c r="GW44" i="9"/>
  <c r="BA71" i="9"/>
  <c r="BB44" i="9"/>
  <c r="BB71" i="9" s="1"/>
  <c r="HO44" i="9"/>
  <c r="HP44" i="9" s="1"/>
  <c r="HT44" i="9"/>
  <c r="HV44" i="9" s="1"/>
  <c r="HP46" i="9"/>
  <c r="HO47" i="9"/>
  <c r="FV47" i="9"/>
  <c r="HO48" i="9"/>
  <c r="EH48" i="9"/>
  <c r="HX51" i="9"/>
  <c r="HV51" i="9"/>
  <c r="HK53" i="9"/>
  <c r="HB55" i="9"/>
  <c r="DV55" i="9"/>
  <c r="HO63" i="9"/>
  <c r="BV63" i="9"/>
  <c r="HB26" i="9"/>
  <c r="HO26" i="9"/>
  <c r="GW29" i="9"/>
  <c r="HO29" i="9"/>
  <c r="GW36" i="9"/>
  <c r="GW38" i="9"/>
  <c r="HF45" i="9"/>
  <c r="GW45" i="9"/>
  <c r="AD45" i="9"/>
  <c r="AD71" i="9" s="1"/>
  <c r="HF46" i="9"/>
  <c r="BN46" i="9"/>
  <c r="GW46" i="9"/>
  <c r="HB47" i="9"/>
  <c r="HC47" i="9" s="1"/>
  <c r="GX49" i="9"/>
  <c r="FF54" i="9"/>
  <c r="HT54" i="9"/>
  <c r="HV54" i="9" s="1"/>
  <c r="GV54" i="9"/>
  <c r="HO55" i="9"/>
  <c r="DJ55" i="9"/>
  <c r="HU60" i="9"/>
  <c r="GW60" i="9"/>
  <c r="CT60" i="9"/>
  <c r="HB63" i="9"/>
  <c r="GW63" i="9"/>
  <c r="BJ63" i="9"/>
  <c r="GW65" i="9"/>
  <c r="N65" i="9"/>
  <c r="N71" i="9" s="1"/>
  <c r="HB65" i="9"/>
  <c r="CP71" i="9"/>
  <c r="EX71" i="9"/>
  <c r="FJ71" i="9"/>
  <c r="FZ71" i="9"/>
  <c r="GP71" i="9"/>
  <c r="DE71" i="9"/>
  <c r="DY71" i="9"/>
  <c r="ES71" i="9"/>
  <c r="BU71" i="9"/>
  <c r="GW22" i="9"/>
  <c r="HO22" i="9"/>
  <c r="GW24" i="9"/>
  <c r="DJ27" i="9"/>
  <c r="GW27" i="9"/>
  <c r="EW71" i="9"/>
  <c r="GW37" i="9"/>
  <c r="HO42" i="9"/>
  <c r="HG43" i="9"/>
  <c r="ID43" i="9"/>
  <c r="HX43" i="9"/>
  <c r="HB45" i="9"/>
  <c r="CD45" i="9"/>
  <c r="HU45" i="9"/>
  <c r="CT45" i="9"/>
  <c r="HC45" i="9"/>
  <c r="GW48" i="9"/>
  <c r="HU48" i="9"/>
  <c r="HV48" i="9" s="1"/>
  <c r="DN48" i="9"/>
  <c r="HK49" i="9"/>
  <c r="DZ50" i="9"/>
  <c r="HF50" i="9"/>
  <c r="HK50" i="9"/>
  <c r="HC51" i="9"/>
  <c r="HF55" i="9"/>
  <c r="GW55" i="9"/>
  <c r="CH55" i="9"/>
  <c r="HO58" i="9"/>
  <c r="FB58" i="9"/>
  <c r="HX64" i="9"/>
  <c r="GW47" i="9"/>
  <c r="HX49" i="9"/>
  <c r="HT50" i="9"/>
  <c r="HV50" i="9" s="1"/>
  <c r="GV50" i="9"/>
  <c r="FF50" i="9"/>
  <c r="ID50" i="9"/>
  <c r="GW51" i="9"/>
  <c r="HO51" i="9"/>
  <c r="HU53" i="9"/>
  <c r="HV53" i="9" s="1"/>
  <c r="HU58" i="9"/>
  <c r="HO60" i="9"/>
  <c r="DV61" i="9"/>
  <c r="HB61" i="9"/>
  <c r="EC71" i="9"/>
  <c r="ED62" i="9"/>
  <c r="ED71" i="9" s="1"/>
  <c r="HG66" i="9"/>
  <c r="AG71" i="9"/>
  <c r="HJ45" i="9"/>
  <c r="HB49" i="9"/>
  <c r="HP49" i="9"/>
  <c r="HF52" i="9"/>
  <c r="GW52" i="9"/>
  <c r="GW56" i="9"/>
  <c r="Z57" i="9"/>
  <c r="Z71" i="9" s="1"/>
  <c r="GW57" i="9"/>
  <c r="CT61" i="9"/>
  <c r="HU61" i="9"/>
  <c r="GW61" i="9"/>
  <c r="HJ62" i="9"/>
  <c r="HB69" i="9"/>
  <c r="CX69" i="9"/>
  <c r="AH45" i="9"/>
  <c r="AH71" i="9" s="1"/>
  <c r="HB46" i="9"/>
  <c r="EP49" i="9"/>
  <c r="FB49" i="9"/>
  <c r="HC50" i="9"/>
  <c r="HX50" i="9"/>
  <c r="GC71" i="9"/>
  <c r="GD51" i="9"/>
  <c r="GD71" i="9" s="1"/>
  <c r="HF51" i="9"/>
  <c r="BN52" i="9"/>
  <c r="HB52" i="9"/>
  <c r="HO52" i="9"/>
  <c r="EH52" i="9"/>
  <c r="HB53" i="9"/>
  <c r="HB54" i="9"/>
  <c r="GW54" i="9"/>
  <c r="CD56" i="9"/>
  <c r="ID57" i="9"/>
  <c r="HF58" i="9"/>
  <c r="CH58" i="9"/>
  <c r="HB58" i="9"/>
  <c r="HK58" i="9"/>
  <c r="HF60" i="9"/>
  <c r="DZ61" i="9"/>
  <c r="HK61" i="9"/>
  <c r="HP61" i="9"/>
  <c r="GX64" i="9"/>
  <c r="GW53" i="9"/>
  <c r="HG57" i="9"/>
  <c r="HB59" i="9"/>
  <c r="HC59" i="9" s="1"/>
  <c r="IE59" i="9" s="1"/>
  <c r="GW59" i="9"/>
  <c r="HB62" i="9"/>
  <c r="HX67" i="9"/>
  <c r="HV67" i="9"/>
  <c r="HO67" i="9"/>
  <c r="DJ67" i="9"/>
  <c r="GW62" i="9"/>
  <c r="HO62" i="9"/>
  <c r="HC64" i="9"/>
  <c r="HV64" i="9"/>
  <c r="AT65" i="9"/>
  <c r="HF65" i="9"/>
  <c r="HC66" i="9"/>
  <c r="HB68" i="9"/>
  <c r="HC68" i="9" s="1"/>
  <c r="HP68" i="9"/>
  <c r="HC70" i="9"/>
  <c r="HC65" i="9"/>
  <c r="HU66" i="9"/>
  <c r="HB67" i="9"/>
  <c r="HF70" i="9"/>
  <c r="DZ70" i="9"/>
  <c r="Q71" i="9"/>
  <c r="GV67" i="9"/>
  <c r="HE67" i="9"/>
  <c r="GW68" i="9"/>
  <c r="HF68" i="9"/>
  <c r="GW66" i="9"/>
  <c r="CT67" i="9"/>
  <c r="GW67" i="9"/>
  <c r="GW69" i="9"/>
  <c r="DV70" i="9"/>
  <c r="GW70" i="9"/>
  <c r="P62" i="8"/>
  <c r="HE5" i="8"/>
  <c r="GV5" i="8"/>
  <c r="V6" i="8"/>
  <c r="HI6" i="8"/>
  <c r="HK6" i="8" s="1"/>
  <c r="GV6" i="8"/>
  <c r="HB6" i="8"/>
  <c r="HC6" i="8" s="1"/>
  <c r="HN6" i="8"/>
  <c r="HR10" i="8"/>
  <c r="AK62" i="8"/>
  <c r="AL11" i="8"/>
  <c r="HN11" i="8"/>
  <c r="HF12" i="8"/>
  <c r="HG12" i="8" s="1"/>
  <c r="HJ16" i="8"/>
  <c r="GW16" i="8"/>
  <c r="GX16" i="8" s="1"/>
  <c r="V16" i="8"/>
  <c r="HN17" i="8"/>
  <c r="BR17" i="8"/>
  <c r="HB20" i="8"/>
  <c r="HC20" i="8" s="1"/>
  <c r="BF20" i="8"/>
  <c r="HN22" i="8"/>
  <c r="AL22" i="8"/>
  <c r="HR22" i="8"/>
  <c r="DJ22" i="8"/>
  <c r="HB25" i="8"/>
  <c r="GW25" i="8"/>
  <c r="AP25" i="8"/>
  <c r="HJ27" i="8"/>
  <c r="BN27" i="8"/>
  <c r="N29" i="8"/>
  <c r="L62" i="8"/>
  <c r="HA29" i="8"/>
  <c r="HJ29" i="8"/>
  <c r="AX29" i="8"/>
  <c r="GV29" i="8"/>
  <c r="HO30" i="8"/>
  <c r="HB30" i="8"/>
  <c r="BR31" i="8"/>
  <c r="HN31" i="8"/>
  <c r="HC34" i="8"/>
  <c r="HB36" i="8"/>
  <c r="CT36" i="8"/>
  <c r="HF37" i="8"/>
  <c r="GW37" i="8"/>
  <c r="AD37" i="8"/>
  <c r="V45" i="8"/>
  <c r="GV45" i="8"/>
  <c r="HI45" i="8"/>
  <c r="HK45" i="8" s="1"/>
  <c r="HB45" i="8"/>
  <c r="HC45" i="8" s="1"/>
  <c r="BZ45" i="8"/>
  <c r="Z48" i="8"/>
  <c r="HB48" i="8"/>
  <c r="GW48" i="8"/>
  <c r="HO49" i="8"/>
  <c r="AW62" i="8"/>
  <c r="BM62" i="8"/>
  <c r="BU62" i="8"/>
  <c r="CC62" i="8"/>
  <c r="CK62" i="8"/>
  <c r="CS62" i="8"/>
  <c r="DE62" i="8"/>
  <c r="DU62" i="8"/>
  <c r="EG62" i="8"/>
  <c r="ET62" i="8"/>
  <c r="FF62" i="8"/>
  <c r="FV62" i="8"/>
  <c r="GL62" i="8"/>
  <c r="HQ62" i="8"/>
  <c r="R5" i="8"/>
  <c r="EO62" i="8"/>
  <c r="EP5" i="8"/>
  <c r="EP62" i="8" s="1"/>
  <c r="FU62" i="8"/>
  <c r="GW5" i="8"/>
  <c r="CW62" i="8"/>
  <c r="CX6" i="8"/>
  <c r="GW6" i="8"/>
  <c r="HJ7" i="8"/>
  <c r="HB7" i="8"/>
  <c r="GW8" i="8"/>
  <c r="HJ8" i="8"/>
  <c r="HB9" i="8"/>
  <c r="HN9" i="8"/>
  <c r="HE10" i="8"/>
  <c r="HG10" i="8" s="1"/>
  <c r="GV10" i="8"/>
  <c r="R10" i="8"/>
  <c r="HN10" i="8"/>
  <c r="HE11" i="8"/>
  <c r="GV11" i="8"/>
  <c r="R11" i="8"/>
  <c r="GW11" i="8"/>
  <c r="HB12" i="8"/>
  <c r="HN12" i="8"/>
  <c r="HB15" i="8"/>
  <c r="HC15" i="8" s="1"/>
  <c r="HB17" i="8"/>
  <c r="GW17" i="8"/>
  <c r="BF17" i="8"/>
  <c r="HF19" i="8"/>
  <c r="GV20" i="8"/>
  <c r="HF22" i="8"/>
  <c r="GW22" i="8"/>
  <c r="R22" i="8"/>
  <c r="DA62" i="8"/>
  <c r="DB22" i="8"/>
  <c r="HN24" i="8"/>
  <c r="HI25" i="8"/>
  <c r="GV25" i="8"/>
  <c r="V25" i="8"/>
  <c r="GW26" i="8"/>
  <c r="HF26" i="8"/>
  <c r="HN26" i="8"/>
  <c r="HB27" i="8"/>
  <c r="BF27" i="8"/>
  <c r="R36" i="8"/>
  <c r="HF36" i="8"/>
  <c r="GW36" i="8"/>
  <c r="GX36" i="8" s="1"/>
  <c r="CH41" i="8"/>
  <c r="HJ41" i="8"/>
  <c r="V42" i="8"/>
  <c r="HI42" i="8"/>
  <c r="HK42" i="8" s="1"/>
  <c r="GW42" i="8"/>
  <c r="BZ42" i="8"/>
  <c r="AL43" i="8"/>
  <c r="GW43" i="8"/>
  <c r="HI49" i="8"/>
  <c r="HK49" i="8" s="1"/>
  <c r="V49" i="8"/>
  <c r="BE62" i="8"/>
  <c r="AX4" i="8"/>
  <c r="BF4" i="8"/>
  <c r="BN4" i="8"/>
  <c r="BV4" i="8"/>
  <c r="CD4" i="8"/>
  <c r="CD62" i="8" s="1"/>
  <c r="CL4" i="8"/>
  <c r="CT4" i="8"/>
  <c r="DF4" i="8"/>
  <c r="DV4" i="8"/>
  <c r="EH4" i="8"/>
  <c r="EX62" i="8"/>
  <c r="FJ62" i="8"/>
  <c r="GW4" i="8"/>
  <c r="GX4" i="8" s="1"/>
  <c r="HR4" i="8"/>
  <c r="HS4" i="8" s="1"/>
  <c r="T62" i="8"/>
  <c r="HI5" i="8"/>
  <c r="HK5" i="8" s="1"/>
  <c r="V5" i="8"/>
  <c r="HF5" i="8"/>
  <c r="HS6" i="8"/>
  <c r="GW9" i="8"/>
  <c r="HI10" i="8"/>
  <c r="HK10" i="8" s="1"/>
  <c r="V10" i="8"/>
  <c r="HB10" i="8"/>
  <c r="HF11" i="8"/>
  <c r="GW12" i="8"/>
  <c r="HJ12" i="8"/>
  <c r="HF13" i="8"/>
  <c r="HB13" i="8"/>
  <c r="HI13" i="8"/>
  <c r="HK13" i="8" s="1"/>
  <c r="AX14" i="8"/>
  <c r="HJ14" i="8"/>
  <c r="HO15" i="8"/>
  <c r="HF16" i="8"/>
  <c r="BJ16" i="8"/>
  <c r="HB18" i="8"/>
  <c r="BF18" i="8"/>
  <c r="HS18" i="8"/>
  <c r="HS19" i="8"/>
  <c r="HR21" i="8"/>
  <c r="BV21" i="8"/>
  <c r="HJ22" i="8"/>
  <c r="GW23" i="8"/>
  <c r="HN23" i="8"/>
  <c r="HB24" i="8"/>
  <c r="GW24" i="8"/>
  <c r="GX24" i="8" s="1"/>
  <c r="J24" i="8"/>
  <c r="HN25" i="8"/>
  <c r="FB25" i="8"/>
  <c r="FB62" i="8" s="1"/>
  <c r="HK26" i="8"/>
  <c r="HF29" i="8"/>
  <c r="CX29" i="8"/>
  <c r="N31" i="8"/>
  <c r="GW31" i="8"/>
  <c r="GX32" i="8"/>
  <c r="HO33" i="8"/>
  <c r="HI34" i="8"/>
  <c r="HK34" i="8" s="1"/>
  <c r="GV34" i="8"/>
  <c r="GX34" i="8" s="1"/>
  <c r="V34" i="8"/>
  <c r="HF34" i="8"/>
  <c r="GW38" i="8"/>
  <c r="GX38" i="8" s="1"/>
  <c r="HN40" i="8"/>
  <c r="HI41" i="8"/>
  <c r="GV41" i="8"/>
  <c r="V41" i="8"/>
  <c r="HB42" i="8"/>
  <c r="HF46" i="8"/>
  <c r="AT46" i="8"/>
  <c r="AD47" i="8"/>
  <c r="HF47" i="8"/>
  <c r="GW47" i="8"/>
  <c r="HB51" i="8"/>
  <c r="GW51" i="8"/>
  <c r="AP51" i="8"/>
  <c r="HG51" i="8"/>
  <c r="AO62" i="8"/>
  <c r="F62" i="8"/>
  <c r="U62" i="8"/>
  <c r="AS62" i="8"/>
  <c r="BA62" i="8"/>
  <c r="BI62" i="8"/>
  <c r="BQ62" i="8"/>
  <c r="BY62" i="8"/>
  <c r="CG62" i="8"/>
  <c r="CO62" i="8"/>
  <c r="DJ62" i="8"/>
  <c r="DZ62" i="8"/>
  <c r="EL62" i="8"/>
  <c r="GD62" i="8"/>
  <c r="GP4" i="8"/>
  <c r="GP62" i="8" s="1"/>
  <c r="HC4" i="8"/>
  <c r="HG4" i="8"/>
  <c r="HK4" i="8"/>
  <c r="HO4" i="8"/>
  <c r="Q62" i="8"/>
  <c r="R6" i="8"/>
  <c r="HF6" i="8"/>
  <c r="HO6" i="8"/>
  <c r="HC8" i="8"/>
  <c r="HF8" i="8"/>
  <c r="Y62" i="8"/>
  <c r="HG9" i="8"/>
  <c r="HS9" i="8"/>
  <c r="GW10" i="8"/>
  <c r="HS12" i="8"/>
  <c r="HG14" i="8"/>
  <c r="HO14" i="8"/>
  <c r="HE18" i="8"/>
  <c r="HN19" i="8"/>
  <c r="AL19" i="8"/>
  <c r="HG20" i="8"/>
  <c r="HO20" i="8"/>
  <c r="HI21" i="8"/>
  <c r="HK21" i="8" s="1"/>
  <c r="GV21" i="8"/>
  <c r="V21" i="8"/>
  <c r="HC23" i="8"/>
  <c r="HK23" i="8"/>
  <c r="HS23" i="8"/>
  <c r="HJ25" i="8"/>
  <c r="DB25" i="8"/>
  <c r="HS25" i="8"/>
  <c r="HB26" i="8"/>
  <c r="HN27" i="8"/>
  <c r="HB28" i="8"/>
  <c r="BF28" i="8"/>
  <c r="HN29" i="8"/>
  <c r="BR29" i="8"/>
  <c r="HJ31" i="8"/>
  <c r="BJ33" i="8"/>
  <c r="HF33" i="8"/>
  <c r="HN36" i="8"/>
  <c r="HO36" i="8" s="1"/>
  <c r="BF37" i="8"/>
  <c r="HB37" i="8"/>
  <c r="HN37" i="8"/>
  <c r="DF37" i="8"/>
  <c r="HB38" i="8"/>
  <c r="CT38" i="8"/>
  <c r="HF39" i="8"/>
  <c r="GW39" i="8"/>
  <c r="R39" i="8"/>
  <c r="GW40" i="8"/>
  <c r="GV42" i="8"/>
  <c r="GX42" i="8" s="1"/>
  <c r="HB43" i="8"/>
  <c r="HC43" i="8" s="1"/>
  <c r="GV44" i="8"/>
  <c r="BJ52" i="8"/>
  <c r="HF52" i="8"/>
  <c r="HK52" i="8"/>
  <c r="HF55" i="8"/>
  <c r="CX55" i="8"/>
  <c r="CX62" i="8" s="1"/>
  <c r="AF62" i="8"/>
  <c r="AC62" i="8"/>
  <c r="FI62" i="8"/>
  <c r="GV8" i="8"/>
  <c r="GX8" i="8" s="1"/>
  <c r="M62" i="8"/>
  <c r="GV12" i="8"/>
  <c r="GW13" i="8"/>
  <c r="GW15" i="8"/>
  <c r="HF15" i="8"/>
  <c r="HJ15" i="8"/>
  <c r="HR15" i="8"/>
  <c r="GV17" i="8"/>
  <c r="GX17" i="8" s="1"/>
  <c r="GW18" i="8"/>
  <c r="GW19" i="8"/>
  <c r="GW20" i="8"/>
  <c r="GW29" i="8"/>
  <c r="HI29" i="8"/>
  <c r="GW30" i="8"/>
  <c r="HF31" i="8"/>
  <c r="HI32" i="8"/>
  <c r="HK32" i="8" s="1"/>
  <c r="GW33" i="8"/>
  <c r="HB33" i="8"/>
  <c r="HJ33" i="8"/>
  <c r="HO34" i="8"/>
  <c r="HR34" i="8"/>
  <c r="HI37" i="8"/>
  <c r="HK37" i="8" s="1"/>
  <c r="GV37" i="8"/>
  <c r="HR37" i="8"/>
  <c r="HG38" i="8"/>
  <c r="HJ38" i="8"/>
  <c r="HI39" i="8"/>
  <c r="HK39" i="8" s="1"/>
  <c r="GV40" i="8"/>
  <c r="HB40" i="8"/>
  <c r="HO41" i="8"/>
  <c r="HF42" i="8"/>
  <c r="HJ43" i="8"/>
  <c r="FY62" i="8"/>
  <c r="FZ44" i="8"/>
  <c r="FZ62" i="8" s="1"/>
  <c r="HJ46" i="8"/>
  <c r="BN46" i="8"/>
  <c r="HJ47" i="8"/>
  <c r="AH47" i="8"/>
  <c r="HE48" i="8"/>
  <c r="HG48" i="8" s="1"/>
  <c r="HB49" i="8"/>
  <c r="HK50" i="8"/>
  <c r="HN52" i="8"/>
  <c r="CL52" i="8"/>
  <c r="HO54" i="8"/>
  <c r="HF56" i="8"/>
  <c r="HG56" i="8" s="1"/>
  <c r="GW56" i="8"/>
  <c r="AT56" i="8"/>
  <c r="AJ62" i="8"/>
  <c r="GW14" i="8"/>
  <c r="HB16" i="8"/>
  <c r="HB19" i="8"/>
  <c r="GW21" i="8"/>
  <c r="GW28" i="8"/>
  <c r="HN28" i="8"/>
  <c r="FN30" i="8"/>
  <c r="FN62" i="8" s="1"/>
  <c r="FM62" i="8"/>
  <c r="BV31" i="8"/>
  <c r="HF32" i="8"/>
  <c r="AD32" i="8"/>
  <c r="CL33" i="8"/>
  <c r="BR35" i="8"/>
  <c r="HC36" i="8"/>
  <c r="V37" i="8"/>
  <c r="HS38" i="8"/>
  <c r="AP40" i="8"/>
  <c r="BB40" i="8"/>
  <c r="GW41" i="8"/>
  <c r="Z42" i="8"/>
  <c r="BR42" i="8"/>
  <c r="HN42" i="8"/>
  <c r="HS43" i="8"/>
  <c r="BF44" i="8"/>
  <c r="HB44" i="8"/>
  <c r="HI44" i="8"/>
  <c r="HN45" i="8"/>
  <c r="BR45" i="8"/>
  <c r="N46" i="8"/>
  <c r="HB46" i="8"/>
  <c r="GW46" i="8"/>
  <c r="BR46" i="8"/>
  <c r="HN46" i="8"/>
  <c r="HR46" i="8"/>
  <c r="CP46" i="8"/>
  <c r="GV46" i="8"/>
  <c r="HE46" i="8"/>
  <c r="AL47" i="8"/>
  <c r="HN47" i="8"/>
  <c r="AV62" i="8"/>
  <c r="AX48" i="8"/>
  <c r="AZ48" i="8" s="1"/>
  <c r="CL48" i="8"/>
  <c r="HN48" i="8"/>
  <c r="GW49" i="8"/>
  <c r="HB50" i="8"/>
  <c r="CP52" i="8"/>
  <c r="HR52" i="8"/>
  <c r="HG53" i="8"/>
  <c r="HO53" i="8"/>
  <c r="DI62" i="8"/>
  <c r="DY62" i="8"/>
  <c r="ES62" i="8"/>
  <c r="GW7" i="8"/>
  <c r="GV9" i="8"/>
  <c r="EC62" i="8"/>
  <c r="GW27" i="8"/>
  <c r="HS29" i="8"/>
  <c r="HC30" i="8"/>
  <c r="HF30" i="8"/>
  <c r="HI31" i="8"/>
  <c r="HK31" i="8" s="1"/>
  <c r="HN32" i="8"/>
  <c r="HG34" i="8"/>
  <c r="HI35" i="8"/>
  <c r="HK35" i="8" s="1"/>
  <c r="GV35" i="8"/>
  <c r="GW35" i="8"/>
  <c r="HR36" i="8"/>
  <c r="HO38" i="8"/>
  <c r="HC39" i="8"/>
  <c r="HS39" i="8"/>
  <c r="HI43" i="8"/>
  <c r="HK43" i="8" s="1"/>
  <c r="GV43" i="8"/>
  <c r="AH43" i="8"/>
  <c r="HO43" i="8"/>
  <c r="AT44" i="8"/>
  <c r="HF44" i="8"/>
  <c r="GW44" i="8"/>
  <c r="HN44" i="8"/>
  <c r="BV45" i="8"/>
  <c r="HR45" i="8"/>
  <c r="HE49" i="8"/>
  <c r="HG49" i="8" s="1"/>
  <c r="GV49" i="8"/>
  <c r="R49" i="8"/>
  <c r="GW50" i="8"/>
  <c r="HB52" i="8"/>
  <c r="BF52" i="8"/>
  <c r="HJ53" i="8"/>
  <c r="AH53" i="8"/>
  <c r="HN55" i="8"/>
  <c r="GW45" i="8"/>
  <c r="GW52" i="8"/>
  <c r="GV54" i="8"/>
  <c r="HA54" i="8"/>
  <c r="HI54" i="8"/>
  <c r="HK54" i="8" s="1"/>
  <c r="HB56" i="8"/>
  <c r="HN56" i="8"/>
  <c r="HK60" i="8"/>
  <c r="Z54" i="8"/>
  <c r="AP54" i="8"/>
  <c r="BB54" i="8"/>
  <c r="GW54" i="8"/>
  <c r="GW55" i="8"/>
  <c r="HB61" i="8"/>
  <c r="HO61" i="8"/>
  <c r="EW62" i="8"/>
  <c r="GV50" i="8"/>
  <c r="GW53" i="8"/>
  <c r="HC60" i="8"/>
  <c r="HS60" i="8"/>
  <c r="DV61" i="8"/>
  <c r="EH61" i="8"/>
  <c r="HK61" i="8"/>
  <c r="CH5" i="7"/>
  <c r="HA5" i="7"/>
  <c r="BY85" i="7"/>
  <c r="HS6" i="7"/>
  <c r="BZ6" i="7"/>
  <c r="GW7" i="7"/>
  <c r="HN9" i="7"/>
  <c r="HI14" i="7"/>
  <c r="HK14" i="7" s="1"/>
  <c r="GV14" i="7"/>
  <c r="V14" i="7"/>
  <c r="HB16" i="7"/>
  <c r="GW16" i="7"/>
  <c r="BJ16" i="7"/>
  <c r="GW18" i="7"/>
  <c r="HF24" i="7"/>
  <c r="GW24" i="7"/>
  <c r="AD24" i="7"/>
  <c r="GV27" i="7"/>
  <c r="HE29" i="7"/>
  <c r="GV29" i="7"/>
  <c r="R29" i="7"/>
  <c r="HJ29" i="7"/>
  <c r="HK29" i="7" s="1"/>
  <c r="AX29" i="7"/>
  <c r="HS29" i="7"/>
  <c r="HT29" i="7" s="1"/>
  <c r="DN29" i="7"/>
  <c r="H85" i="7"/>
  <c r="HA32" i="7"/>
  <c r="GV32" i="7"/>
  <c r="J32" i="7"/>
  <c r="GW32" i="7"/>
  <c r="HB33" i="7"/>
  <c r="BJ33" i="7"/>
  <c r="GW35" i="7"/>
  <c r="HS35" i="7"/>
  <c r="HA37" i="7"/>
  <c r="CH37" i="7"/>
  <c r="HS39" i="7"/>
  <c r="BF39" i="7"/>
  <c r="HT40" i="7"/>
  <c r="HN41" i="7"/>
  <c r="HB44" i="7"/>
  <c r="BJ44" i="7"/>
  <c r="CL45" i="7"/>
  <c r="HF45" i="7"/>
  <c r="AK85" i="7"/>
  <c r="AL4" i="7"/>
  <c r="EX85" i="7"/>
  <c r="GO85" i="7"/>
  <c r="GP4" i="7"/>
  <c r="GP85" i="7" s="1"/>
  <c r="HR85" i="7"/>
  <c r="HN5" i="7"/>
  <c r="CO85" i="7"/>
  <c r="HJ6" i="7"/>
  <c r="CP6" i="7"/>
  <c r="CP85" i="7" s="1"/>
  <c r="DE85" i="7"/>
  <c r="DF6" i="7"/>
  <c r="HB7" i="7"/>
  <c r="HF8" i="7"/>
  <c r="HT8" i="7"/>
  <c r="GW9" i="7"/>
  <c r="HF9" i="7"/>
  <c r="HB10" i="7"/>
  <c r="HN11" i="7"/>
  <c r="HB13" i="7"/>
  <c r="BJ13" i="7"/>
  <c r="HF19" i="7"/>
  <c r="GW25" i="7"/>
  <c r="HJ25" i="7"/>
  <c r="HN26" i="7"/>
  <c r="HS27" i="7"/>
  <c r="BF27" i="7"/>
  <c r="HO27" i="7"/>
  <c r="HB31" i="7"/>
  <c r="GW31" i="7"/>
  <c r="AP31" i="7"/>
  <c r="HE32" i="7"/>
  <c r="AD32" i="7"/>
  <c r="HB32" i="7"/>
  <c r="HK33" i="7"/>
  <c r="HN34" i="7"/>
  <c r="BV34" i="7"/>
  <c r="HF36" i="7"/>
  <c r="AT36" i="7"/>
  <c r="GW37" i="7"/>
  <c r="HO39" i="7"/>
  <c r="HI41" i="7"/>
  <c r="HK41" i="7" s="1"/>
  <c r="GV41" i="7"/>
  <c r="V41" i="7"/>
  <c r="BE85" i="7"/>
  <c r="BF4" i="7"/>
  <c r="HS4" i="7"/>
  <c r="AS85" i="7"/>
  <c r="AT6" i="7"/>
  <c r="AN85" i="7"/>
  <c r="HA7" i="7"/>
  <c r="GV7" i="7"/>
  <c r="AP7" i="7"/>
  <c r="HG7" i="7"/>
  <c r="HN10" i="7"/>
  <c r="HC11" i="7"/>
  <c r="HK11" i="7"/>
  <c r="HB12" i="7"/>
  <c r="HK12" i="7"/>
  <c r="HT12" i="7"/>
  <c r="HF14" i="7"/>
  <c r="AD14" i="7"/>
  <c r="HT14" i="7"/>
  <c r="HF15" i="7"/>
  <c r="DB15" i="7"/>
  <c r="CH16" i="7"/>
  <c r="HA16" i="7"/>
  <c r="GV16" i="7"/>
  <c r="HO18" i="7"/>
  <c r="HT19" i="7"/>
  <c r="HF23" i="7"/>
  <c r="CL23" i="7"/>
  <c r="HI26" i="7"/>
  <c r="HK26" i="7" s="1"/>
  <c r="GV26" i="7"/>
  <c r="V26" i="7"/>
  <c r="HG26" i="7"/>
  <c r="HF27" i="7"/>
  <c r="GW27" i="7"/>
  <c r="AT27" i="7"/>
  <c r="HF28" i="7"/>
  <c r="AD28" i="7"/>
  <c r="HN28" i="7"/>
  <c r="HB29" i="7"/>
  <c r="GW29" i="7"/>
  <c r="AP29" i="7"/>
  <c r="CH30" i="7"/>
  <c r="HA31" i="7"/>
  <c r="GV31" i="7"/>
  <c r="CH31" i="7"/>
  <c r="CH32" i="7"/>
  <c r="HF32" i="7"/>
  <c r="HN32" i="7"/>
  <c r="HB34" i="7"/>
  <c r="GW34" i="7"/>
  <c r="BJ34" i="7"/>
  <c r="HI34" i="7"/>
  <c r="HK34" i="7" s="1"/>
  <c r="HN35" i="7"/>
  <c r="HB37" i="7"/>
  <c r="HF39" i="7"/>
  <c r="BN39" i="7"/>
  <c r="HF40" i="7"/>
  <c r="HO40" i="7"/>
  <c r="GW41" i="7"/>
  <c r="HS41" i="7"/>
  <c r="HF42" i="7"/>
  <c r="HG42" i="7" s="1"/>
  <c r="AT42" i="7"/>
  <c r="HJ43" i="7"/>
  <c r="HN43" i="7"/>
  <c r="HN44" i="7"/>
  <c r="BB44" i="7"/>
  <c r="HB45" i="7"/>
  <c r="AP45" i="7"/>
  <c r="HG53" i="7"/>
  <c r="HO68" i="7"/>
  <c r="F85" i="7"/>
  <c r="AB85" i="7"/>
  <c r="AD4" i="7"/>
  <c r="DR85" i="7"/>
  <c r="ED85" i="7"/>
  <c r="EO85" i="7"/>
  <c r="EP4" i="7"/>
  <c r="EP85" i="7" s="1"/>
  <c r="GW4" i="7"/>
  <c r="HM85" i="7"/>
  <c r="HI5" i="7"/>
  <c r="GV5" i="7"/>
  <c r="V5" i="7"/>
  <c r="BM85" i="7"/>
  <c r="HF5" i="7"/>
  <c r="BN5" i="7"/>
  <c r="HS5" i="7"/>
  <c r="HI6" i="7"/>
  <c r="HK6" i="7" s="1"/>
  <c r="GV6" i="7"/>
  <c r="AH6" i="7"/>
  <c r="DM85" i="7"/>
  <c r="DN6" i="7"/>
  <c r="HN7" i="7"/>
  <c r="HN8" i="7"/>
  <c r="HC8" i="7"/>
  <c r="HI10" i="7"/>
  <c r="HK10" i="7" s="1"/>
  <c r="GV10" i="7"/>
  <c r="V10" i="7"/>
  <c r="HF10" i="7"/>
  <c r="HT10" i="7"/>
  <c r="HS11" i="7"/>
  <c r="HN15" i="7"/>
  <c r="AL15" i="7"/>
  <c r="HN16" i="7"/>
  <c r="BV16" i="7"/>
  <c r="HN17" i="7"/>
  <c r="HF18" i="7"/>
  <c r="HJ19" i="7"/>
  <c r="HF20" i="7"/>
  <c r="HN20" i="7"/>
  <c r="CH24" i="7"/>
  <c r="HA24" i="7"/>
  <c r="GV24" i="7"/>
  <c r="HG24" i="7"/>
  <c r="HG25" i="7"/>
  <c r="HN25" i="7"/>
  <c r="GW26" i="7"/>
  <c r="HI27" i="7"/>
  <c r="HK27" i="7" s="1"/>
  <c r="HJ28" i="7"/>
  <c r="AX28" i="7"/>
  <c r="HN29" i="7"/>
  <c r="CT29" i="7"/>
  <c r="HN31" i="7"/>
  <c r="BV31" i="7"/>
  <c r="HK32" i="7"/>
  <c r="HN33" i="7"/>
  <c r="HG33" i="7"/>
  <c r="HF35" i="7"/>
  <c r="HN36" i="7"/>
  <c r="AL36" i="7"/>
  <c r="HK37" i="7"/>
  <c r="HN37" i="7"/>
  <c r="HF38" i="7"/>
  <c r="DB38" i="7"/>
  <c r="GW40" i="7"/>
  <c r="HK40" i="7"/>
  <c r="HB41" i="7"/>
  <c r="HS43" i="7"/>
  <c r="BF43" i="7"/>
  <c r="GW45" i="7"/>
  <c r="HG45" i="7"/>
  <c r="GV45" i="7"/>
  <c r="AD45" i="7"/>
  <c r="HC60" i="7"/>
  <c r="HT62" i="7"/>
  <c r="HS48" i="7"/>
  <c r="HB49" i="7"/>
  <c r="AP49" i="7"/>
  <c r="HI49" i="7"/>
  <c r="HK49" i="7" s="1"/>
  <c r="HC51" i="7"/>
  <c r="GW52" i="7"/>
  <c r="HN52" i="7"/>
  <c r="HJ57" i="7"/>
  <c r="HS57" i="7"/>
  <c r="HJ59" i="7"/>
  <c r="GW64" i="7"/>
  <c r="HN66" i="7"/>
  <c r="DJ66" i="7"/>
  <c r="HF67" i="7"/>
  <c r="HT74" i="7"/>
  <c r="HS78" i="7"/>
  <c r="DN78" i="7"/>
  <c r="T85" i="7"/>
  <c r="CW85" i="7"/>
  <c r="DI85" i="7"/>
  <c r="DU85" i="7"/>
  <c r="EG85" i="7"/>
  <c r="FA85" i="7"/>
  <c r="FN85" i="7"/>
  <c r="GD85" i="7"/>
  <c r="HT4" i="7"/>
  <c r="CH6" i="7"/>
  <c r="DY85" i="7"/>
  <c r="GW8" i="7"/>
  <c r="AG85" i="7"/>
  <c r="CH11" i="7"/>
  <c r="GV13" i="7"/>
  <c r="HA13" i="7"/>
  <c r="M85" i="7"/>
  <c r="EK85" i="7"/>
  <c r="GV15" i="7"/>
  <c r="CH18" i="7"/>
  <c r="GV23" i="7"/>
  <c r="HA23" i="7"/>
  <c r="CH25" i="7"/>
  <c r="HB27" i="7"/>
  <c r="GW28" i="7"/>
  <c r="HB28" i="7"/>
  <c r="GW30" i="7"/>
  <c r="HF30" i="7"/>
  <c r="HS34" i="7"/>
  <c r="CH35" i="7"/>
  <c r="GW36" i="7"/>
  <c r="HB36" i="7"/>
  <c r="HJ36" i="7"/>
  <c r="HS36" i="7"/>
  <c r="GV38" i="7"/>
  <c r="GW39" i="7"/>
  <c r="HB39" i="7"/>
  <c r="GV42" i="7"/>
  <c r="FM85" i="7"/>
  <c r="GV44" i="7"/>
  <c r="HA44" i="7"/>
  <c r="HC44" i="7" s="1"/>
  <c r="HS45" i="7"/>
  <c r="BZ46" i="7"/>
  <c r="BF47" i="7"/>
  <c r="BR47" i="7"/>
  <c r="CT47" i="7"/>
  <c r="HG48" i="7"/>
  <c r="V49" i="7"/>
  <c r="HF49" i="7"/>
  <c r="CH51" i="7"/>
  <c r="V52" i="7"/>
  <c r="AP52" i="7"/>
  <c r="BB53" i="7"/>
  <c r="CH53" i="7"/>
  <c r="GW53" i="7"/>
  <c r="HA53" i="7"/>
  <c r="HE54" i="7"/>
  <c r="HG54" i="7" s="1"/>
  <c r="HB55" i="7"/>
  <c r="GW55" i="7"/>
  <c r="HI55" i="7"/>
  <c r="HK55" i="7" s="1"/>
  <c r="AX56" i="7"/>
  <c r="N57" i="7"/>
  <c r="HA57" i="7"/>
  <c r="CH57" i="7"/>
  <c r="V58" i="7"/>
  <c r="DJ58" i="7"/>
  <c r="HJ58" i="7"/>
  <c r="BF59" i="7"/>
  <c r="HF59" i="7"/>
  <c r="HT59" i="7"/>
  <c r="HG60" i="7"/>
  <c r="GV62" i="7"/>
  <c r="HB62" i="7"/>
  <c r="DV63" i="7"/>
  <c r="DV85" i="7" s="1"/>
  <c r="GW63" i="7"/>
  <c r="HG63" i="7"/>
  <c r="AT64" i="7"/>
  <c r="HA64" i="7"/>
  <c r="GV64" i="7"/>
  <c r="CH64" i="7"/>
  <c r="HK64" i="7"/>
  <c r="GW65" i="7"/>
  <c r="HO65" i="7"/>
  <c r="CH67" i="7"/>
  <c r="HB67" i="7"/>
  <c r="HS67" i="7"/>
  <c r="FV68" i="7"/>
  <c r="FV85" i="7" s="1"/>
  <c r="HB68" i="7"/>
  <c r="HG68" i="7"/>
  <c r="HS68" i="7"/>
  <c r="HF69" i="7"/>
  <c r="HA69" i="7"/>
  <c r="CH70" i="7"/>
  <c r="GV70" i="7"/>
  <c r="HC71" i="7"/>
  <c r="HK71" i="7"/>
  <c r="HT71" i="7"/>
  <c r="HB72" i="7"/>
  <c r="HN72" i="7"/>
  <c r="HT72" i="7"/>
  <c r="BF73" i="7"/>
  <c r="HJ73" i="7"/>
  <c r="HN74" i="7"/>
  <c r="CT74" i="7"/>
  <c r="HG76" i="7"/>
  <c r="GW77" i="7"/>
  <c r="HF77" i="7"/>
  <c r="HN77" i="7"/>
  <c r="HK82" i="7"/>
  <c r="HT82" i="7"/>
  <c r="HJ56" i="7"/>
  <c r="HA65" i="7"/>
  <c r="HC65" i="7" s="1"/>
  <c r="GV65" i="7"/>
  <c r="CH65" i="7"/>
  <c r="HB66" i="7"/>
  <c r="GW66" i="7"/>
  <c r="GX66" i="7" s="1"/>
  <c r="HS69" i="7"/>
  <c r="BF69" i="7"/>
  <c r="GW71" i="7"/>
  <c r="GX71" i="7" s="1"/>
  <c r="HA73" i="7"/>
  <c r="HC73" i="7" s="1"/>
  <c r="HB78" i="7"/>
  <c r="GW78" i="7"/>
  <c r="GX78" i="7" s="1"/>
  <c r="CX78" i="7"/>
  <c r="AF85" i="7"/>
  <c r="AO85" i="7"/>
  <c r="BA85" i="7"/>
  <c r="BI85" i="7"/>
  <c r="BU85" i="7"/>
  <c r="CF85" i="7"/>
  <c r="ES85" i="7"/>
  <c r="FB85" i="7"/>
  <c r="FR85" i="7"/>
  <c r="GH85" i="7"/>
  <c r="GT85" i="7"/>
  <c r="BQ85" i="7"/>
  <c r="FI85" i="7"/>
  <c r="GW5" i="7"/>
  <c r="HB5" i="7"/>
  <c r="AC85" i="7"/>
  <c r="DA85" i="7"/>
  <c r="GW6" i="7"/>
  <c r="HF6" i="7"/>
  <c r="HN6" i="7"/>
  <c r="AW85" i="7"/>
  <c r="GW11" i="7"/>
  <c r="GW13" i="7"/>
  <c r="HF13" i="7"/>
  <c r="HN13" i="7"/>
  <c r="HS13" i="7"/>
  <c r="GW15" i="7"/>
  <c r="HB15" i="7"/>
  <c r="HJ15" i="7"/>
  <c r="GV20" i="7"/>
  <c r="GW23" i="7"/>
  <c r="HN23" i="7"/>
  <c r="HN24" i="7"/>
  <c r="HF29" i="7"/>
  <c r="U85" i="7"/>
  <c r="GV33" i="7"/>
  <c r="GW38" i="7"/>
  <c r="HB38" i="7"/>
  <c r="HN38" i="7"/>
  <c r="GW42" i="7"/>
  <c r="HB42" i="7"/>
  <c r="HN42" i="7"/>
  <c r="GW44" i="7"/>
  <c r="HJ44" i="7"/>
  <c r="HS44" i="7"/>
  <c r="HB46" i="7"/>
  <c r="HN46" i="7"/>
  <c r="HF47" i="7"/>
  <c r="HT47" i="7"/>
  <c r="HA48" i="7"/>
  <c r="HC48" i="7" s="1"/>
  <c r="GV48" i="7"/>
  <c r="GX48" i="7" s="1"/>
  <c r="HN49" i="7"/>
  <c r="GW49" i="7"/>
  <c r="HJ50" i="7"/>
  <c r="HN50" i="7"/>
  <c r="HS50" i="7"/>
  <c r="HO51" i="7"/>
  <c r="HA52" i="7"/>
  <c r="HC52" i="7" s="1"/>
  <c r="HF52" i="7"/>
  <c r="HS54" i="7"/>
  <c r="BF54" i="7"/>
  <c r="HO55" i="7"/>
  <c r="GV56" i="7"/>
  <c r="GX56" i="7" s="1"/>
  <c r="HB56" i="7"/>
  <c r="HB57" i="7"/>
  <c r="HF58" i="7"/>
  <c r="GX59" i="7"/>
  <c r="HB59" i="7"/>
  <c r="GW60" i="7"/>
  <c r="HN60" i="7"/>
  <c r="GW62" i="7"/>
  <c r="HN62" i="7"/>
  <c r="HN63" i="7"/>
  <c r="HB64" i="7"/>
  <c r="HS66" i="7"/>
  <c r="BF66" i="7"/>
  <c r="HN67" i="7"/>
  <c r="HN70" i="7"/>
  <c r="GV73" i="7"/>
  <c r="HF74" i="7"/>
  <c r="CL74" i="7"/>
  <c r="HK74" i="7"/>
  <c r="HK75" i="7"/>
  <c r="HN76" i="7"/>
  <c r="HJ78" i="7"/>
  <c r="DF78" i="7"/>
  <c r="HN78" i="7"/>
  <c r="EH78" i="7"/>
  <c r="EH85" i="7" s="1"/>
  <c r="HK78" i="7"/>
  <c r="HF79" i="7"/>
  <c r="DZ79" i="7"/>
  <c r="DZ85" i="7" s="1"/>
  <c r="HG81" i="7"/>
  <c r="HT81" i="7"/>
  <c r="GW50" i="7"/>
  <c r="HE57" i="7"/>
  <c r="GV57" i="7"/>
  <c r="GX57" i="7" s="1"/>
  <c r="AD57" i="7"/>
  <c r="GW58" i="7"/>
  <c r="HI58" i="7"/>
  <c r="HN71" i="7"/>
  <c r="HS76" i="7"/>
  <c r="DN76" i="7"/>
  <c r="P85" i="7"/>
  <c r="AH4" i="7"/>
  <c r="AP4" i="7"/>
  <c r="BB4" i="7"/>
  <c r="BJ4" i="7"/>
  <c r="BV4" i="7"/>
  <c r="CG85" i="7"/>
  <c r="CS85" i="7"/>
  <c r="EL85" i="7"/>
  <c r="ET4" i="7"/>
  <c r="ET85" i="7" s="1"/>
  <c r="FF85" i="7"/>
  <c r="FU85" i="7"/>
  <c r="GL85" i="7"/>
  <c r="GV4" i="7"/>
  <c r="HA4" i="7"/>
  <c r="HE4" i="7"/>
  <c r="HI4" i="7"/>
  <c r="BR5" i="7"/>
  <c r="CK85" i="7"/>
  <c r="FJ5" i="7"/>
  <c r="FJ85" i="7" s="1"/>
  <c r="HJ5" i="7"/>
  <c r="AD6" i="7"/>
  <c r="DB6" i="7"/>
  <c r="Q85" i="7"/>
  <c r="V9" i="7"/>
  <c r="GV9" i="7"/>
  <c r="AX10" i="7"/>
  <c r="GV12" i="7"/>
  <c r="Z14" i="7"/>
  <c r="Z85" i="7" s="1"/>
  <c r="GW14" i="7"/>
  <c r="HB14" i="7"/>
  <c r="GV17" i="7"/>
  <c r="GV18" i="7"/>
  <c r="GX18" i="7" s="1"/>
  <c r="GW19" i="7"/>
  <c r="AX20" i="7"/>
  <c r="GW20" i="7"/>
  <c r="V25" i="7"/>
  <c r="GV25" i="7"/>
  <c r="V30" i="7"/>
  <c r="AT31" i="7"/>
  <c r="N32" i="7"/>
  <c r="BN33" i="7"/>
  <c r="BV33" i="7"/>
  <c r="GW33" i="7"/>
  <c r="V35" i="7"/>
  <c r="GV35" i="7"/>
  <c r="GX35" i="7" s="1"/>
  <c r="GV37" i="7"/>
  <c r="GV40" i="7"/>
  <c r="BB43" i="7"/>
  <c r="GW43" i="7"/>
  <c r="AP46" i="7"/>
  <c r="HA46" i="7"/>
  <c r="GV46" i="7"/>
  <c r="J47" i="7"/>
  <c r="HO47" i="7"/>
  <c r="AL49" i="7"/>
  <c r="HI50" i="7"/>
  <c r="HK50" i="7" s="1"/>
  <c r="GV50" i="7"/>
  <c r="HF50" i="7"/>
  <c r="BN51" i="7"/>
  <c r="HS51" i="7"/>
  <c r="BZ51" i="7"/>
  <c r="GV52" i="7"/>
  <c r="HS53" i="7"/>
  <c r="HB54" i="7"/>
  <c r="GW54" i="7"/>
  <c r="HN54" i="7"/>
  <c r="V55" i="7"/>
  <c r="CT55" i="7"/>
  <c r="HN56" i="7"/>
  <c r="AH57" i="7"/>
  <c r="BF58" i="7"/>
  <c r="HB58" i="7"/>
  <c r="HO58" i="7"/>
  <c r="HN59" i="7"/>
  <c r="HJ60" i="7"/>
  <c r="R62" i="7"/>
  <c r="R85" i="7" s="1"/>
  <c r="HK63" i="7"/>
  <c r="HT63" i="7"/>
  <c r="HT64" i="7"/>
  <c r="HG65" i="7"/>
  <c r="HS65" i="7"/>
  <c r="HA68" i="7"/>
  <c r="GV68" i="7"/>
  <c r="CH68" i="7"/>
  <c r="GW68" i="7"/>
  <c r="GW69" i="7"/>
  <c r="HG69" i="7"/>
  <c r="HC70" i="7"/>
  <c r="HK70" i="7"/>
  <c r="HT70" i="7"/>
  <c r="HG71" i="7"/>
  <c r="GW73" i="7"/>
  <c r="HB75" i="7"/>
  <c r="GW75" i="7"/>
  <c r="HC77" i="7"/>
  <c r="HK77" i="7"/>
  <c r="HT77" i="7"/>
  <c r="HB81" i="7"/>
  <c r="HN81" i="7"/>
  <c r="CT81" i="7"/>
  <c r="GX82" i="7"/>
  <c r="HG82" i="7"/>
  <c r="HF78" i="7"/>
  <c r="GW79" i="7"/>
  <c r="HB79" i="7"/>
  <c r="HN79" i="7"/>
  <c r="GV80" i="7"/>
  <c r="HA80" i="7"/>
  <c r="GW83" i="7"/>
  <c r="HB83" i="7"/>
  <c r="HN83" i="7"/>
  <c r="GV72" i="7"/>
  <c r="GV74" i="7"/>
  <c r="HF75" i="7"/>
  <c r="HN75" i="7"/>
  <c r="GW80" i="7"/>
  <c r="HN80" i="7"/>
  <c r="CL81" i="7"/>
  <c r="DN81" i="7"/>
  <c r="GV81" i="7"/>
  <c r="GC85" i="7"/>
  <c r="GW51" i="7"/>
  <c r="GV67" i="7"/>
  <c r="GX67" i="7" s="1"/>
  <c r="BF72" i="7"/>
  <c r="GW72" i="7"/>
  <c r="BF74" i="7"/>
  <c r="GW74" i="7"/>
  <c r="CX76" i="7"/>
  <c r="GW76" i="7"/>
  <c r="GW81" i="7"/>
  <c r="IA20" i="5"/>
  <c r="FF20" i="5"/>
  <c r="HP34" i="5"/>
  <c r="N34" i="5"/>
  <c r="HX35" i="5"/>
  <c r="EH35" i="5"/>
  <c r="EL4" i="5"/>
  <c r="FH72" i="5"/>
  <c r="GB72" i="5"/>
  <c r="HS4" i="5"/>
  <c r="HL5" i="5"/>
  <c r="EL5" i="5"/>
  <c r="GC5" i="5"/>
  <c r="HS5" i="5"/>
  <c r="IB6" i="5"/>
  <c r="HK7" i="5"/>
  <c r="IB7" i="5"/>
  <c r="HD8" i="5"/>
  <c r="GG8" i="5"/>
  <c r="HH9" i="5"/>
  <c r="IB9" i="5"/>
  <c r="DB10" i="5"/>
  <c r="IB10" i="5"/>
  <c r="IF10" i="5"/>
  <c r="GC10" i="5"/>
  <c r="HS10" i="5"/>
  <c r="IB11" i="5"/>
  <c r="IF11" i="5"/>
  <c r="GC11" i="5"/>
  <c r="HS11" i="5"/>
  <c r="GO12" i="5"/>
  <c r="CH13" i="5"/>
  <c r="N15" i="5"/>
  <c r="HP15" i="5"/>
  <c r="HQ15" i="5" s="1"/>
  <c r="HS19" i="5"/>
  <c r="IA19" i="5"/>
  <c r="FF19" i="5"/>
  <c r="HK21" i="5"/>
  <c r="CD21" i="5"/>
  <c r="IE24" i="5"/>
  <c r="IG24" i="5" s="1"/>
  <c r="HD25" i="5"/>
  <c r="HW27" i="5"/>
  <c r="EH27" i="5"/>
  <c r="HP29" i="5"/>
  <c r="AH29" i="5"/>
  <c r="HX31" i="5"/>
  <c r="HX32" i="5"/>
  <c r="IK33" i="5"/>
  <c r="HD7" i="5"/>
  <c r="HD9" i="5"/>
  <c r="HK18" i="5"/>
  <c r="CD18" i="5"/>
  <c r="HY54" i="5"/>
  <c r="DI72" i="5"/>
  <c r="EG72" i="5"/>
  <c r="FW72" i="5"/>
  <c r="GR72" i="5"/>
  <c r="BJ5" i="5"/>
  <c r="HD5" i="5"/>
  <c r="EH5" i="5"/>
  <c r="EP5" i="5"/>
  <c r="FY5" i="5"/>
  <c r="GS5" i="5"/>
  <c r="HA5" i="5"/>
  <c r="HL6" i="5"/>
  <c r="CH6" i="5"/>
  <c r="DN6" i="5"/>
  <c r="EH6" i="5"/>
  <c r="FB6" i="5"/>
  <c r="FJ6" i="5"/>
  <c r="HP7" i="5"/>
  <c r="HQ7" i="5" s="1"/>
  <c r="HT7" i="5"/>
  <c r="DN7" i="5"/>
  <c r="EH7" i="5"/>
  <c r="FB7" i="5"/>
  <c r="FJ7" i="5"/>
  <c r="HP8" i="5"/>
  <c r="HQ8" i="5" s="1"/>
  <c r="HL8" i="5"/>
  <c r="CH8" i="5"/>
  <c r="FF8" i="5"/>
  <c r="GC8" i="5"/>
  <c r="IB8" i="5"/>
  <c r="HL9" i="5"/>
  <c r="DN9" i="5"/>
  <c r="EH9" i="5"/>
  <c r="FB9" i="5"/>
  <c r="HP10" i="5"/>
  <c r="HL10" i="5"/>
  <c r="HW10" i="5"/>
  <c r="EL10" i="5"/>
  <c r="GS10" i="5"/>
  <c r="IK10" i="5"/>
  <c r="HL11" i="5"/>
  <c r="CD11" i="5"/>
  <c r="DZ11" i="5"/>
  <c r="HW11" i="5"/>
  <c r="EL11" i="5"/>
  <c r="FJ11" i="5"/>
  <c r="FQ11" i="5"/>
  <c r="GS11" i="5"/>
  <c r="IK11" i="5"/>
  <c r="HL12" i="5"/>
  <c r="ED12" i="5"/>
  <c r="IK12" i="5"/>
  <c r="IB12" i="5"/>
  <c r="FU12" i="5"/>
  <c r="GC12" i="5"/>
  <c r="HP13" i="5"/>
  <c r="HC13" i="5"/>
  <c r="HE13" i="5" s="1"/>
  <c r="CH14" i="5"/>
  <c r="FY15" i="5"/>
  <c r="ET16" i="5"/>
  <c r="HS18" i="5"/>
  <c r="HU18" i="5" s="1"/>
  <c r="IA18" i="5"/>
  <c r="FF18" i="5"/>
  <c r="HX19" i="5"/>
  <c r="HK20" i="5"/>
  <c r="HM20" i="5" s="1"/>
  <c r="CD20" i="5"/>
  <c r="HA20" i="5"/>
  <c r="FF23" i="5"/>
  <c r="IE23" i="5"/>
  <c r="IG23" i="5" s="1"/>
  <c r="CD24" i="5"/>
  <c r="HT24" i="5"/>
  <c r="HD24" i="5"/>
  <c r="HH25" i="5"/>
  <c r="FM27" i="5"/>
  <c r="BJ30" i="5"/>
  <c r="HL30" i="5"/>
  <c r="IF30" i="5"/>
  <c r="HK32" i="5"/>
  <c r="CD32" i="5"/>
  <c r="HT32" i="5"/>
  <c r="CL32" i="5"/>
  <c r="HW33" i="5"/>
  <c r="EH33" i="5"/>
  <c r="HD6" i="5"/>
  <c r="HU20" i="5"/>
  <c r="HD22" i="5"/>
  <c r="IA45" i="5"/>
  <c r="GW45" i="5"/>
  <c r="CF72" i="5"/>
  <c r="ED4" i="5"/>
  <c r="EW72" i="5"/>
  <c r="GM72" i="5"/>
  <c r="HG5" i="5"/>
  <c r="ED5" i="5"/>
  <c r="FF5" i="5"/>
  <c r="GO5" i="5"/>
  <c r="HQ6" i="5"/>
  <c r="HK6" i="5"/>
  <c r="HX6" i="5"/>
  <c r="EX6" i="5"/>
  <c r="IA6" i="5"/>
  <c r="IC6" i="5" s="1"/>
  <c r="FY6" i="5"/>
  <c r="CD7" i="5"/>
  <c r="HX7" i="5"/>
  <c r="EX7" i="5"/>
  <c r="IA7" i="5"/>
  <c r="IC7" i="5" s="1"/>
  <c r="FY7" i="5"/>
  <c r="HK8" i="5"/>
  <c r="HM8" i="5" s="1"/>
  <c r="EH8" i="5"/>
  <c r="FB8" i="5"/>
  <c r="FJ8" i="5"/>
  <c r="GS8" i="5"/>
  <c r="HP9" i="5"/>
  <c r="HQ9" i="5" s="1"/>
  <c r="HK9" i="5"/>
  <c r="HM9" i="5" s="1"/>
  <c r="HX9" i="5"/>
  <c r="EX9" i="5"/>
  <c r="IA9" i="5"/>
  <c r="IC9" i="5" s="1"/>
  <c r="FY9" i="5"/>
  <c r="HD10" i="5"/>
  <c r="HD11" i="5"/>
  <c r="HH12" i="5"/>
  <c r="HC12" i="5"/>
  <c r="IF12" i="5"/>
  <c r="HW13" i="5"/>
  <c r="HY13" i="5" s="1"/>
  <c r="HL14" i="5"/>
  <c r="ED14" i="5"/>
  <c r="HX15" i="5"/>
  <c r="HU17" i="5"/>
  <c r="IA17" i="5"/>
  <c r="FF17" i="5"/>
  <c r="HX18" i="5"/>
  <c r="HK19" i="5"/>
  <c r="HM19" i="5" s="1"/>
  <c r="CD19" i="5"/>
  <c r="HA19" i="5"/>
  <c r="HU21" i="5"/>
  <c r="IA21" i="5"/>
  <c r="IC21" i="5" s="1"/>
  <c r="FF21" i="5"/>
  <c r="FF22" i="5"/>
  <c r="CD23" i="5"/>
  <c r="HT23" i="5"/>
  <c r="HU23" i="5" s="1"/>
  <c r="HD23" i="5"/>
  <c r="FF26" i="5"/>
  <c r="CX27" i="5"/>
  <c r="HT27" i="5"/>
  <c r="ET27" i="5"/>
  <c r="HW28" i="5"/>
  <c r="EH28" i="5"/>
  <c r="FY28" i="5"/>
  <c r="DZ29" i="5"/>
  <c r="GK29" i="5"/>
  <c r="IB29" i="5"/>
  <c r="HQ29" i="5"/>
  <c r="CD30" i="5"/>
  <c r="HA30" i="5"/>
  <c r="ED10" i="5"/>
  <c r="EX10" i="5"/>
  <c r="FF10" i="5"/>
  <c r="GO10" i="5"/>
  <c r="HP11" i="5"/>
  <c r="HG11" i="5"/>
  <c r="HI11" i="5" s="1"/>
  <c r="ED11" i="5"/>
  <c r="HH11" i="5"/>
  <c r="FF11" i="5"/>
  <c r="GO11" i="5"/>
  <c r="HD12" i="5"/>
  <c r="HT12" i="5"/>
  <c r="HX12" i="5"/>
  <c r="HY12" i="5" s="1"/>
  <c r="HS12" i="5"/>
  <c r="HU12" i="5" s="1"/>
  <c r="FJ12" i="5"/>
  <c r="FQ12" i="5"/>
  <c r="HA12" i="5"/>
  <c r="HH13" i="5"/>
  <c r="HI13" i="5" s="1"/>
  <c r="ED13" i="5"/>
  <c r="IK13" i="5"/>
  <c r="IB13" i="5"/>
  <c r="FU13" i="5"/>
  <c r="GO13" i="5"/>
  <c r="GW13" i="5"/>
  <c r="FU14" i="5"/>
  <c r="GC14" i="5"/>
  <c r="HH15" i="5"/>
  <c r="HC15" i="5"/>
  <c r="IB15" i="5"/>
  <c r="IE15" i="5"/>
  <c r="HD16" i="5"/>
  <c r="DZ16" i="5"/>
  <c r="HS16" i="5"/>
  <c r="GK16" i="5"/>
  <c r="HT17" i="5"/>
  <c r="HD17" i="5"/>
  <c r="ED17" i="5"/>
  <c r="EP17" i="5"/>
  <c r="GG17" i="5"/>
  <c r="HH18" i="5"/>
  <c r="HT18" i="5"/>
  <c r="HD18" i="5"/>
  <c r="EP18" i="5"/>
  <c r="GG18" i="5"/>
  <c r="HH19" i="5"/>
  <c r="HT19" i="5"/>
  <c r="HD19" i="5"/>
  <c r="EP19" i="5"/>
  <c r="GG19" i="5"/>
  <c r="HH20" i="5"/>
  <c r="HT20" i="5"/>
  <c r="HD20" i="5"/>
  <c r="EP20" i="5"/>
  <c r="GG20" i="5"/>
  <c r="HH21" i="5"/>
  <c r="HT21" i="5"/>
  <c r="HD21" i="5"/>
  <c r="ED21" i="5"/>
  <c r="EP21" i="5"/>
  <c r="GG21" i="5"/>
  <c r="HH22" i="5"/>
  <c r="HK22" i="5"/>
  <c r="IB22" i="5"/>
  <c r="ET23" i="5"/>
  <c r="GC23" i="5"/>
  <c r="GW23" i="5"/>
  <c r="IB24" i="5"/>
  <c r="ET25" i="5"/>
  <c r="GW25" i="5"/>
  <c r="IK26" i="5"/>
  <c r="ET26" i="5"/>
  <c r="GC26" i="5"/>
  <c r="GW26" i="5"/>
  <c r="HX27" i="5"/>
  <c r="IF27" i="5"/>
  <c r="GO27" i="5"/>
  <c r="HH28" i="5"/>
  <c r="HC28" i="5"/>
  <c r="CH28" i="5"/>
  <c r="HX28" i="5"/>
  <c r="HU28" i="5"/>
  <c r="IE28" i="5"/>
  <c r="IG28" i="5" s="1"/>
  <c r="FB29" i="5"/>
  <c r="EP30" i="5"/>
  <c r="EL31" i="5"/>
  <c r="II31" i="5"/>
  <c r="IK31" i="5" s="1"/>
  <c r="FU31" i="5"/>
  <c r="HL32" i="5"/>
  <c r="DN32" i="5"/>
  <c r="II32" i="5"/>
  <c r="EL32" i="5"/>
  <c r="FU32" i="5"/>
  <c r="HW34" i="5"/>
  <c r="EH34" i="5"/>
  <c r="IF35" i="5"/>
  <c r="IG35" i="5" s="1"/>
  <c r="FM35" i="5"/>
  <c r="IG42" i="5"/>
  <c r="HP49" i="5"/>
  <c r="HQ49" i="5" s="1"/>
  <c r="N49" i="5"/>
  <c r="EP51" i="5"/>
  <c r="HS51" i="5"/>
  <c r="DZ14" i="5"/>
  <c r="EH14" i="5"/>
  <c r="HS14" i="5"/>
  <c r="FQ14" i="5"/>
  <c r="GS14" i="5"/>
  <c r="CD15" i="5"/>
  <c r="HT15" i="5"/>
  <c r="FB15" i="5"/>
  <c r="FU15" i="5"/>
  <c r="GC15" i="5"/>
  <c r="DB16" i="5"/>
  <c r="DJ16" i="5"/>
  <c r="EP16" i="5"/>
  <c r="EX16" i="5"/>
  <c r="GG16" i="5"/>
  <c r="HA16" i="5"/>
  <c r="ET17" i="5"/>
  <c r="GC17" i="5"/>
  <c r="GW17" i="5"/>
  <c r="ET18" i="5"/>
  <c r="GC18" i="5"/>
  <c r="GW18" i="5"/>
  <c r="ET19" i="5"/>
  <c r="GC19" i="5"/>
  <c r="GW19" i="5"/>
  <c r="ET20" i="5"/>
  <c r="GC20" i="5"/>
  <c r="IB20" i="5"/>
  <c r="ET21" i="5"/>
  <c r="GC21" i="5"/>
  <c r="IB21" i="5"/>
  <c r="HL22" i="5"/>
  <c r="HT22" i="5"/>
  <c r="EH22" i="5"/>
  <c r="FJ22" i="5"/>
  <c r="GS22" i="5"/>
  <c r="HP23" i="5"/>
  <c r="HQ23" i="5" s="1"/>
  <c r="CH23" i="5"/>
  <c r="EH23" i="5"/>
  <c r="FJ23" i="5"/>
  <c r="GS23" i="5"/>
  <c r="HP24" i="5"/>
  <c r="HQ24" i="5" s="1"/>
  <c r="HL24" i="5"/>
  <c r="CH24" i="5"/>
  <c r="EH24" i="5"/>
  <c r="FJ24" i="5"/>
  <c r="GS24" i="5"/>
  <c r="HP25" i="5"/>
  <c r="HQ25" i="5" s="1"/>
  <c r="CH25" i="5"/>
  <c r="DN25" i="5"/>
  <c r="EH25" i="5"/>
  <c r="FB25" i="5"/>
  <c r="FJ25" i="5"/>
  <c r="GS25" i="5"/>
  <c r="HP26" i="5"/>
  <c r="HL26" i="5"/>
  <c r="HW26" i="5"/>
  <c r="HY26" i="5" s="1"/>
  <c r="HS26" i="5"/>
  <c r="FJ26" i="5"/>
  <c r="GS26" i="5"/>
  <c r="HH27" i="5"/>
  <c r="HI27" i="5" s="1"/>
  <c r="FJ27" i="5"/>
  <c r="FQ27" i="5"/>
  <c r="GK27" i="5"/>
  <c r="HP28" i="5"/>
  <c r="HQ28" i="5" s="1"/>
  <c r="HT28" i="5"/>
  <c r="DN28" i="5"/>
  <c r="HK29" i="5"/>
  <c r="HX29" i="5"/>
  <c r="IF29" i="5"/>
  <c r="HW29" i="5"/>
  <c r="EL33" i="5"/>
  <c r="IE33" i="5"/>
  <c r="IG33" i="5" s="1"/>
  <c r="FM33" i="5"/>
  <c r="GW33" i="5"/>
  <c r="IJ36" i="5"/>
  <c r="IK36" i="5" s="1"/>
  <c r="EL36" i="5"/>
  <c r="IF42" i="5"/>
  <c r="FM42" i="5"/>
  <c r="HX13" i="5"/>
  <c r="HS13" i="5"/>
  <c r="FJ13" i="5"/>
  <c r="FQ13" i="5"/>
  <c r="HA13" i="5"/>
  <c r="HC14" i="5"/>
  <c r="HE14" i="5" s="1"/>
  <c r="HD14" i="5"/>
  <c r="EX14" i="5"/>
  <c r="GG14" i="5"/>
  <c r="HD15" i="5"/>
  <c r="HE15" i="5" s="1"/>
  <c r="EH15" i="5"/>
  <c r="HS15" i="5"/>
  <c r="HU15" i="5" s="1"/>
  <c r="FQ15" i="5"/>
  <c r="GS15" i="5"/>
  <c r="HH16" i="5"/>
  <c r="HC16" i="5"/>
  <c r="HE16" i="5" s="1"/>
  <c r="DN16" i="5"/>
  <c r="IB16" i="5"/>
  <c r="GW16" i="5"/>
  <c r="CH17" i="5"/>
  <c r="EH17" i="5"/>
  <c r="FJ17" i="5"/>
  <c r="GS17" i="5"/>
  <c r="HP18" i="5"/>
  <c r="HQ18" i="5" s="1"/>
  <c r="CH18" i="5"/>
  <c r="EH18" i="5"/>
  <c r="FJ18" i="5"/>
  <c r="GS18" i="5"/>
  <c r="HP19" i="5"/>
  <c r="HQ19" i="5" s="1"/>
  <c r="CH19" i="5"/>
  <c r="EH19" i="5"/>
  <c r="FJ19" i="5"/>
  <c r="GS19" i="5"/>
  <c r="HP20" i="5"/>
  <c r="HQ20" i="5" s="1"/>
  <c r="CH20" i="5"/>
  <c r="EH20" i="5"/>
  <c r="FJ20" i="5"/>
  <c r="GS20" i="5"/>
  <c r="HP21" i="5"/>
  <c r="HQ21" i="5" s="1"/>
  <c r="CH21" i="5"/>
  <c r="EH21" i="5"/>
  <c r="FJ21" i="5"/>
  <c r="GS21" i="5"/>
  <c r="HX22" i="5"/>
  <c r="EX22" i="5"/>
  <c r="IA22" i="5"/>
  <c r="IC22" i="5" s="1"/>
  <c r="FY22" i="5"/>
  <c r="HK23" i="5"/>
  <c r="HX23" i="5"/>
  <c r="EX23" i="5"/>
  <c r="IA23" i="5"/>
  <c r="FY23" i="5"/>
  <c r="HK24" i="5"/>
  <c r="HM24" i="5" s="1"/>
  <c r="HX24" i="5"/>
  <c r="EX24" i="5"/>
  <c r="IA24" i="5"/>
  <c r="IC24" i="5" s="1"/>
  <c r="FY24" i="5"/>
  <c r="HK25" i="5"/>
  <c r="HX25" i="5"/>
  <c r="EX25" i="5"/>
  <c r="IA25" i="5"/>
  <c r="FY25" i="5"/>
  <c r="HK26" i="5"/>
  <c r="HX26" i="5"/>
  <c r="EX26" i="5"/>
  <c r="FY26" i="5"/>
  <c r="DN27" i="5"/>
  <c r="FF27" i="5"/>
  <c r="HA27" i="5"/>
  <c r="DZ28" i="5"/>
  <c r="FF28" i="5"/>
  <c r="FQ28" i="5"/>
  <c r="GK28" i="5"/>
  <c r="GW28" i="5"/>
  <c r="HL29" i="5"/>
  <c r="IK29" i="5"/>
  <c r="EX29" i="5"/>
  <c r="FQ29" i="5"/>
  <c r="GW29" i="5"/>
  <c r="HC30" i="5"/>
  <c r="EH30" i="5"/>
  <c r="FB30" i="5"/>
  <c r="GG30" i="5"/>
  <c r="GS30" i="5"/>
  <c r="EP31" i="5"/>
  <c r="HA31" i="5"/>
  <c r="EP32" i="5"/>
  <c r="HA32" i="5"/>
  <c r="II34" i="5"/>
  <c r="IK34" i="5" s="1"/>
  <c r="EL34" i="5"/>
  <c r="FM34" i="5"/>
  <c r="IE34" i="5"/>
  <c r="GW34" i="5"/>
  <c r="HQ34" i="5"/>
  <c r="IE37" i="5"/>
  <c r="FM37" i="5"/>
  <c r="HK44" i="5"/>
  <c r="CD44" i="5"/>
  <c r="HC46" i="5"/>
  <c r="CH46" i="5"/>
  <c r="FM48" i="5"/>
  <c r="IE48" i="5"/>
  <c r="IG48" i="5" s="1"/>
  <c r="EL49" i="5"/>
  <c r="II49" i="5"/>
  <c r="IK49" i="5" s="1"/>
  <c r="IA49" i="5"/>
  <c r="FF49" i="5"/>
  <c r="HT50" i="5"/>
  <c r="CL50" i="5"/>
  <c r="IA52" i="5"/>
  <c r="FF52" i="5"/>
  <c r="DN58" i="5"/>
  <c r="HL58" i="5"/>
  <c r="HX36" i="5"/>
  <c r="HG37" i="5"/>
  <c r="IK37" i="5"/>
  <c r="IB37" i="5"/>
  <c r="HP37" i="5"/>
  <c r="FJ38" i="5"/>
  <c r="HL39" i="5"/>
  <c r="HW39" i="5"/>
  <c r="GO41" i="5"/>
  <c r="HP45" i="5"/>
  <c r="HQ45" i="5" s="1"/>
  <c r="HP46" i="5"/>
  <c r="HQ46" i="5" s="1"/>
  <c r="N46" i="5"/>
  <c r="HL47" i="5"/>
  <c r="BJ47" i="5"/>
  <c r="IA47" i="5"/>
  <c r="FF47" i="5"/>
  <c r="HP50" i="5"/>
  <c r="HQ50" i="5" s="1"/>
  <c r="HU50" i="5"/>
  <c r="HP51" i="5"/>
  <c r="HQ51" i="5" s="1"/>
  <c r="N51" i="5"/>
  <c r="HK51" i="5"/>
  <c r="HM51" i="5" s="1"/>
  <c r="CD51" i="5"/>
  <c r="HT51" i="5"/>
  <c r="CL51" i="5"/>
  <c r="HH52" i="5"/>
  <c r="HD53" i="5"/>
  <c r="IJ53" i="5"/>
  <c r="EL53" i="5"/>
  <c r="HP56" i="5"/>
  <c r="N56" i="5"/>
  <c r="HP57" i="5"/>
  <c r="HQ57" i="5" s="1"/>
  <c r="N57" i="5"/>
  <c r="EP62" i="5"/>
  <c r="HS62" i="5"/>
  <c r="IA62" i="5"/>
  <c r="IC62" i="5" s="1"/>
  <c r="FF62" i="5"/>
  <c r="IB69" i="5"/>
  <c r="HS70" i="5"/>
  <c r="IA31" i="5"/>
  <c r="IB31" i="5"/>
  <c r="HP32" i="5"/>
  <c r="HQ32" i="5" s="1"/>
  <c r="IA32" i="5"/>
  <c r="IC32" i="5" s="1"/>
  <c r="IB32" i="5"/>
  <c r="HT33" i="5"/>
  <c r="HX33" i="5"/>
  <c r="IB33" i="5"/>
  <c r="IF33" i="5"/>
  <c r="HX34" i="5"/>
  <c r="IB34" i="5"/>
  <c r="IF34" i="5"/>
  <c r="HL35" i="5"/>
  <c r="FM36" i="5"/>
  <c r="GC36" i="5"/>
  <c r="HW37" i="5"/>
  <c r="GG37" i="5"/>
  <c r="HP38" i="5"/>
  <c r="HQ38" i="5" s="1"/>
  <c r="HL38" i="5"/>
  <c r="HG38" i="5"/>
  <c r="HG39" i="5"/>
  <c r="CP39" i="5"/>
  <c r="HX39" i="5"/>
  <c r="GO39" i="5"/>
  <c r="HG40" i="5"/>
  <c r="CH41" i="5"/>
  <c r="IF41" i="5"/>
  <c r="HK42" i="5"/>
  <c r="HL43" i="5"/>
  <c r="CP43" i="5"/>
  <c r="IA43" i="5"/>
  <c r="IC43" i="5" s="1"/>
  <c r="IF45" i="5"/>
  <c r="FU45" i="5"/>
  <c r="HH46" i="5"/>
  <c r="F46" i="5"/>
  <c r="HT46" i="5"/>
  <c r="EH46" i="5"/>
  <c r="HS46" i="5"/>
  <c r="HU46" i="5" s="1"/>
  <c r="IA46" i="5"/>
  <c r="IC46" i="5" s="1"/>
  <c r="FF46" i="5"/>
  <c r="CD49" i="5"/>
  <c r="N50" i="5"/>
  <c r="HH51" i="5"/>
  <c r="F51" i="5"/>
  <c r="II51" i="5"/>
  <c r="EL51" i="5"/>
  <c r="HK52" i="5"/>
  <c r="HM52" i="5" s="1"/>
  <c r="CD52" i="5"/>
  <c r="HT52" i="5"/>
  <c r="CL52" i="5"/>
  <c r="DZ52" i="5"/>
  <c r="HW52" i="5"/>
  <c r="EL52" i="5"/>
  <c r="GK52" i="5"/>
  <c r="HW53" i="5"/>
  <c r="HY53" i="5" s="1"/>
  <c r="EH53" i="5"/>
  <c r="FY53" i="5"/>
  <c r="GG57" i="5"/>
  <c r="GW60" i="5"/>
  <c r="HD64" i="5"/>
  <c r="ET31" i="5"/>
  <c r="FY31" i="5"/>
  <c r="N32" i="5"/>
  <c r="ET32" i="5"/>
  <c r="FY32" i="5"/>
  <c r="ED33" i="5"/>
  <c r="FJ33" i="5"/>
  <c r="FU33" i="5"/>
  <c r="GO33" i="5"/>
  <c r="HA33" i="5"/>
  <c r="ED34" i="5"/>
  <c r="FJ34" i="5"/>
  <c r="FU34" i="5"/>
  <c r="GO34" i="5"/>
  <c r="HA34" i="5"/>
  <c r="HW35" i="5"/>
  <c r="HY35" i="5" s="1"/>
  <c r="DB36" i="5"/>
  <c r="FQ36" i="5"/>
  <c r="FY36" i="5"/>
  <c r="DN37" i="5"/>
  <c r="HX37" i="5"/>
  <c r="AH38" i="5"/>
  <c r="BV38" i="5"/>
  <c r="IE38" i="5"/>
  <c r="IG38" i="5" s="1"/>
  <c r="GG38" i="5"/>
  <c r="GS38" i="5"/>
  <c r="EH39" i="5"/>
  <c r="IF39" i="5"/>
  <c r="GK40" i="5"/>
  <c r="HK40" i="5"/>
  <c r="HX41" i="5"/>
  <c r="EP41" i="5"/>
  <c r="DB42" i="5"/>
  <c r="GG42" i="5"/>
  <c r="HW43" i="5"/>
  <c r="HY43" i="5" s="1"/>
  <c r="EH43" i="5"/>
  <c r="CD45" i="5"/>
  <c r="EH45" i="5"/>
  <c r="CL46" i="5"/>
  <c r="GC46" i="5"/>
  <c r="FJ47" i="5"/>
  <c r="HX48" i="5"/>
  <c r="ED50" i="5"/>
  <c r="EL50" i="5"/>
  <c r="HH50" i="5"/>
  <c r="IA50" i="5"/>
  <c r="FF50" i="5"/>
  <c r="GO50" i="5"/>
  <c r="GW50" i="5"/>
  <c r="HS52" i="5"/>
  <c r="HH53" i="5"/>
  <c r="IE53" i="5"/>
  <c r="FM53" i="5"/>
  <c r="IK54" i="5"/>
  <c r="HG55" i="5"/>
  <c r="HI55" i="5" s="1"/>
  <c r="HG56" i="5"/>
  <c r="DZ58" i="5"/>
  <c r="EP58" i="5"/>
  <c r="HS58" i="5"/>
  <c r="IE40" i="5"/>
  <c r="IG40" i="5" s="1"/>
  <c r="ED41" i="5"/>
  <c r="IA41" i="5"/>
  <c r="IC41" i="5" s="1"/>
  <c r="FJ42" i="5"/>
  <c r="HX43" i="5"/>
  <c r="HX44" i="5"/>
  <c r="IA44" i="5"/>
  <c r="IC44" i="5" s="1"/>
  <c r="HH45" i="5"/>
  <c r="HL45" i="5"/>
  <c r="IB45" i="5"/>
  <c r="IC45" i="5" s="1"/>
  <c r="IE46" i="5"/>
  <c r="EL47" i="5"/>
  <c r="HL48" i="5"/>
  <c r="HS48" i="5"/>
  <c r="IF48" i="5"/>
  <c r="GG48" i="5"/>
  <c r="HG49" i="5"/>
  <c r="HW49" i="5"/>
  <c r="IB49" i="5"/>
  <c r="IE49" i="5"/>
  <c r="IG49" i="5" s="1"/>
  <c r="IA51" i="5"/>
  <c r="IC51" i="5" s="1"/>
  <c r="HL52" i="5"/>
  <c r="HX52" i="5"/>
  <c r="IF52" i="5"/>
  <c r="IG52" i="5" s="1"/>
  <c r="HX53" i="5"/>
  <c r="HL54" i="5"/>
  <c r="BJ54" i="5"/>
  <c r="GO54" i="5"/>
  <c r="CH55" i="5"/>
  <c r="CH56" i="5"/>
  <c r="CH57" i="5"/>
  <c r="HX57" i="5"/>
  <c r="IF58" i="5"/>
  <c r="HK59" i="5"/>
  <c r="CD59" i="5"/>
  <c r="IF59" i="5"/>
  <c r="HX60" i="5"/>
  <c r="IA60" i="5"/>
  <c r="FF60" i="5"/>
  <c r="BJ71" i="5"/>
  <c r="HL71" i="5"/>
  <c r="HS71" i="5"/>
  <c r="EP71" i="5"/>
  <c r="IC71" i="5"/>
  <c r="IA39" i="5"/>
  <c r="IC39" i="5" s="1"/>
  <c r="GK39" i="5"/>
  <c r="HL41" i="5"/>
  <c r="DZ41" i="5"/>
  <c r="HW41" i="5"/>
  <c r="HA41" i="5"/>
  <c r="HG42" i="5"/>
  <c r="CH43" i="5"/>
  <c r="IF43" i="5"/>
  <c r="GO43" i="5"/>
  <c r="FJ44" i="5"/>
  <c r="F45" i="5"/>
  <c r="BJ45" i="5"/>
  <c r="HS45" i="5"/>
  <c r="GS45" i="5"/>
  <c r="DZ46" i="5"/>
  <c r="DZ47" i="5"/>
  <c r="EH47" i="5"/>
  <c r="HS47" i="5"/>
  <c r="IF47" i="5"/>
  <c r="HH48" i="5"/>
  <c r="BJ48" i="5"/>
  <c r="HG48" i="5"/>
  <c r="HI48" i="5" s="1"/>
  <c r="FU48" i="5"/>
  <c r="GC48" i="5"/>
  <c r="IB48" i="5"/>
  <c r="DB49" i="5"/>
  <c r="HX49" i="5"/>
  <c r="HY49" i="5" s="1"/>
  <c r="IF49" i="5"/>
  <c r="HL50" i="5"/>
  <c r="HX50" i="5"/>
  <c r="IF50" i="5"/>
  <c r="ET51" i="5"/>
  <c r="FY51" i="5"/>
  <c r="HP52" i="5"/>
  <c r="HQ52" i="5" s="1"/>
  <c r="BJ52" i="5"/>
  <c r="ED52" i="5"/>
  <c r="FJ52" i="5"/>
  <c r="GO52" i="5"/>
  <c r="HP53" i="5"/>
  <c r="HQ53" i="5" s="1"/>
  <c r="DB53" i="5"/>
  <c r="HT53" i="5"/>
  <c r="GK53" i="5"/>
  <c r="GS53" i="5"/>
  <c r="FM54" i="5"/>
  <c r="HT55" i="5"/>
  <c r="DB55" i="5"/>
  <c r="FQ55" i="5"/>
  <c r="HA55" i="5"/>
  <c r="HH56" i="5"/>
  <c r="F56" i="5"/>
  <c r="HT56" i="5"/>
  <c r="DB56" i="5"/>
  <c r="FQ56" i="5"/>
  <c r="HA56" i="5"/>
  <c r="DB57" i="5"/>
  <c r="FB58" i="5"/>
  <c r="DB59" i="5"/>
  <c r="HS59" i="5"/>
  <c r="GO59" i="5"/>
  <c r="DB60" i="5"/>
  <c r="IB60" i="5"/>
  <c r="HX64" i="5"/>
  <c r="DB66" i="5"/>
  <c r="IB71" i="5"/>
  <c r="FF71" i="5"/>
  <c r="HL55" i="5"/>
  <c r="ED55" i="5"/>
  <c r="IK55" i="5"/>
  <c r="GO55" i="5"/>
  <c r="HL56" i="5"/>
  <c r="ED56" i="5"/>
  <c r="IK56" i="5"/>
  <c r="GO56" i="5"/>
  <c r="DN57" i="5"/>
  <c r="GW57" i="5"/>
  <c r="IA58" i="5"/>
  <c r="IC58" i="5" s="1"/>
  <c r="FQ58" i="5"/>
  <c r="DN59" i="5"/>
  <c r="FB59" i="5"/>
  <c r="DN60" i="5"/>
  <c r="IF60" i="5"/>
  <c r="HK61" i="5"/>
  <c r="CD61" i="5"/>
  <c r="HX62" i="5"/>
  <c r="ED65" i="5"/>
  <c r="HT66" i="5"/>
  <c r="HX66" i="5"/>
  <c r="HP67" i="5"/>
  <c r="N67" i="5"/>
  <c r="HQ67" i="5"/>
  <c r="DN68" i="5"/>
  <c r="EH70" i="5"/>
  <c r="EX70" i="5"/>
  <c r="HP71" i="5"/>
  <c r="HQ71" i="5" s="1"/>
  <c r="N71" i="5"/>
  <c r="HP54" i="5"/>
  <c r="HX54" i="5"/>
  <c r="FQ54" i="5"/>
  <c r="FY54" i="5"/>
  <c r="HA54" i="5"/>
  <c r="BJ55" i="5"/>
  <c r="CL55" i="5"/>
  <c r="DZ55" i="5"/>
  <c r="HW55" i="5"/>
  <c r="ET55" i="5"/>
  <c r="FB55" i="5"/>
  <c r="GK55" i="5"/>
  <c r="BJ56" i="5"/>
  <c r="CL56" i="5"/>
  <c r="DZ56" i="5"/>
  <c r="HW56" i="5"/>
  <c r="ET56" i="5"/>
  <c r="FB56" i="5"/>
  <c r="GK56" i="5"/>
  <c r="EH57" i="5"/>
  <c r="FB57" i="5"/>
  <c r="FJ57" i="5"/>
  <c r="GS57" i="5"/>
  <c r="ED58" i="5"/>
  <c r="GG58" i="5"/>
  <c r="GO58" i="5"/>
  <c r="HX59" i="5"/>
  <c r="EX59" i="5"/>
  <c r="FQ59" i="5"/>
  <c r="FY59" i="5"/>
  <c r="EH60" i="5"/>
  <c r="HS60" i="5"/>
  <c r="HU60" i="5" s="1"/>
  <c r="FB60" i="5"/>
  <c r="FJ60" i="5"/>
  <c r="FY61" i="5"/>
  <c r="HK62" i="5"/>
  <c r="CD62" i="5"/>
  <c r="FJ62" i="5"/>
  <c r="GS62" i="5"/>
  <c r="HA62" i="5"/>
  <c r="FQ63" i="5"/>
  <c r="HA63" i="5"/>
  <c r="GG65" i="5"/>
  <c r="GW65" i="5"/>
  <c r="CL66" i="5"/>
  <c r="ED66" i="5"/>
  <c r="EL66" i="5"/>
  <c r="FF67" i="5"/>
  <c r="IF67" i="5"/>
  <c r="CD68" i="5"/>
  <c r="EX68" i="5"/>
  <c r="GG68" i="5"/>
  <c r="HK68" i="5"/>
  <c r="HW69" i="5"/>
  <c r="EH69" i="5"/>
  <c r="HL70" i="5"/>
  <c r="HM70" i="5" s="1"/>
  <c r="GG62" i="5"/>
  <c r="ED63" i="5"/>
  <c r="GO63" i="5"/>
  <c r="EL64" i="5"/>
  <c r="HG64" i="5"/>
  <c r="HS65" i="5"/>
  <c r="ET67" i="5"/>
  <c r="GW67" i="5"/>
  <c r="FQ69" i="5"/>
  <c r="GG69" i="5"/>
  <c r="IE70" i="5"/>
  <c r="CH71" i="5"/>
  <c r="HX71" i="5"/>
  <c r="FQ60" i="5"/>
  <c r="FY60" i="5"/>
  <c r="CH61" i="5"/>
  <c r="DN61" i="5"/>
  <c r="EH61" i="5"/>
  <c r="FB61" i="5"/>
  <c r="FJ61" i="5"/>
  <c r="GS61" i="5"/>
  <c r="ET62" i="5"/>
  <c r="GC62" i="5"/>
  <c r="GW62" i="5"/>
  <c r="DB63" i="5"/>
  <c r="DN63" i="5"/>
  <c r="DZ63" i="5"/>
  <c r="HW63" i="5"/>
  <c r="ET63" i="5"/>
  <c r="FB63" i="5"/>
  <c r="GK63" i="5"/>
  <c r="DN64" i="5"/>
  <c r="HS64" i="5"/>
  <c r="FB64" i="5"/>
  <c r="FJ64" i="5"/>
  <c r="FY64" i="5"/>
  <c r="GS64" i="5"/>
  <c r="HA64" i="5"/>
  <c r="HW65" i="5"/>
  <c r="DZ66" i="5"/>
  <c r="HA66" i="5"/>
  <c r="HC67" i="5"/>
  <c r="HX67" i="5"/>
  <c r="HY67" i="5" s="1"/>
  <c r="EX67" i="5"/>
  <c r="GG67" i="5"/>
  <c r="HA67" i="5"/>
  <c r="EP68" i="5"/>
  <c r="FJ68" i="5"/>
  <c r="FQ68" i="5"/>
  <c r="HA68" i="5"/>
  <c r="HP68" i="5"/>
  <c r="HQ68" i="5" s="1"/>
  <c r="HP69" i="5"/>
  <c r="HQ69" i="5" s="1"/>
  <c r="CH69" i="5"/>
  <c r="IF69" i="5"/>
  <c r="GC69" i="5"/>
  <c r="HG69" i="5"/>
  <c r="HH70" i="5"/>
  <c r="DZ70" i="5"/>
  <c r="IF70" i="5"/>
  <c r="GC70" i="5"/>
  <c r="GK70" i="5"/>
  <c r="HT71" i="5"/>
  <c r="EX71" i="5"/>
  <c r="FQ71" i="5"/>
  <c r="GC71" i="5"/>
  <c r="GW71" i="5"/>
  <c r="IG19" i="1"/>
  <c r="I86" i="1"/>
  <c r="BE86" i="1"/>
  <c r="AH7" i="1"/>
  <c r="BB7" i="1"/>
  <c r="BJ7" i="1"/>
  <c r="CT7" i="1"/>
  <c r="DB7" i="1"/>
  <c r="EL7" i="1"/>
  <c r="FN7" i="1"/>
  <c r="GX7" i="1"/>
  <c r="Z8" i="1"/>
  <c r="BB8" i="1"/>
  <c r="CT8" i="1"/>
  <c r="FF8" i="1"/>
  <c r="GP8" i="1"/>
  <c r="AH9" i="1"/>
  <c r="BJ9" i="1"/>
  <c r="DB9" i="1"/>
  <c r="EL9" i="1"/>
  <c r="FN9" i="1"/>
  <c r="GX9" i="1"/>
  <c r="Z10" i="1"/>
  <c r="BB10" i="1"/>
  <c r="CT10" i="1"/>
  <c r="DF10" i="1"/>
  <c r="FF10" i="1"/>
  <c r="GP10" i="1"/>
  <c r="R11" i="1"/>
  <c r="AT11" i="1"/>
  <c r="CD11" i="1"/>
  <c r="CL11" i="1"/>
  <c r="DV11" i="1"/>
  <c r="IH11" i="1"/>
  <c r="EX11" i="1"/>
  <c r="FJ11" i="1"/>
  <c r="GH11" i="1"/>
  <c r="IB11" i="1"/>
  <c r="V12" i="1"/>
  <c r="BF12" i="1"/>
  <c r="CX12" i="1"/>
  <c r="DR12" i="1"/>
  <c r="FJ12" i="1"/>
  <c r="GL12" i="1"/>
  <c r="V13" i="1"/>
  <c r="AD13" i="1"/>
  <c r="BN13" i="1"/>
  <c r="EH13" i="1"/>
  <c r="IK13" i="1"/>
  <c r="FR13" i="1"/>
  <c r="GT13" i="1"/>
  <c r="V14" i="1"/>
  <c r="BF14" i="1"/>
  <c r="CX14" i="1"/>
  <c r="FJ14" i="1"/>
  <c r="GD14" i="1"/>
  <c r="GL14" i="1"/>
  <c r="R15" i="1"/>
  <c r="AT15" i="1"/>
  <c r="HP15" i="1"/>
  <c r="CD15" i="1"/>
  <c r="CL15" i="1"/>
  <c r="DV15" i="1"/>
  <c r="IH15" i="1"/>
  <c r="EX15" i="1"/>
  <c r="GH15" i="1"/>
  <c r="IB15" i="1"/>
  <c r="J16" i="1"/>
  <c r="AL16" i="1"/>
  <c r="BV16" i="1"/>
  <c r="DN16" i="1"/>
  <c r="HY16" i="1"/>
  <c r="FV16" i="1"/>
  <c r="HF16" i="1"/>
  <c r="BZ17" i="1"/>
  <c r="CP17" i="1"/>
  <c r="CX17" i="1"/>
  <c r="GD17" i="1"/>
  <c r="BR18" i="1"/>
  <c r="CP18" i="1"/>
  <c r="DF18" i="1"/>
  <c r="HT18" i="1"/>
  <c r="HV18" i="1" s="1"/>
  <c r="HY18" i="1"/>
  <c r="FV18" i="1"/>
  <c r="HF18" i="1"/>
  <c r="BJ19" i="1"/>
  <c r="FN19" i="1"/>
  <c r="GX19" i="1"/>
  <c r="HF19" i="1"/>
  <c r="AL20" i="1"/>
  <c r="HT20" i="1"/>
  <c r="IF27" i="1"/>
  <c r="IH27" i="1" s="1"/>
  <c r="ED27" i="1"/>
  <c r="HZ8" i="1"/>
  <c r="IJ19" i="1"/>
  <c r="FJ19" i="1"/>
  <c r="IF21" i="1"/>
  <c r="IH21" i="1" s="1"/>
  <c r="ED21" i="1"/>
  <c r="IC28" i="1"/>
  <c r="GD28" i="1"/>
  <c r="Y86" i="1"/>
  <c r="BU86" i="1"/>
  <c r="FY86" i="1"/>
  <c r="HB6" i="1"/>
  <c r="HT6" i="1"/>
  <c r="AX7" i="1"/>
  <c r="BZ7" i="1"/>
  <c r="HU7" i="1"/>
  <c r="CP7" i="1"/>
  <c r="DR7" i="1"/>
  <c r="FB7" i="1"/>
  <c r="GD7" i="1"/>
  <c r="AP8" i="1"/>
  <c r="BR8" i="1"/>
  <c r="DJ8" i="1"/>
  <c r="ET8" i="1"/>
  <c r="FV8" i="1"/>
  <c r="HF8" i="1"/>
  <c r="N9" i="1"/>
  <c r="AX9" i="1"/>
  <c r="BZ9" i="1"/>
  <c r="HU9" i="1"/>
  <c r="CP9" i="1"/>
  <c r="DR9" i="1"/>
  <c r="FB9" i="1"/>
  <c r="IJ9" i="1"/>
  <c r="IL9" i="1" s="1"/>
  <c r="GD9" i="1"/>
  <c r="HH10" i="1"/>
  <c r="AP10" i="1"/>
  <c r="HQ10" i="1"/>
  <c r="BR10" i="1"/>
  <c r="DJ10" i="1"/>
  <c r="ET10" i="1"/>
  <c r="FV10" i="1"/>
  <c r="HF10" i="1"/>
  <c r="AH11" i="1"/>
  <c r="BJ11" i="1"/>
  <c r="DB11" i="1"/>
  <c r="EL11" i="1"/>
  <c r="FN11" i="1"/>
  <c r="GX11" i="1"/>
  <c r="J12" i="1"/>
  <c r="AL12" i="1"/>
  <c r="BV12" i="1"/>
  <c r="DN12" i="1"/>
  <c r="EP12" i="1"/>
  <c r="FZ12" i="1"/>
  <c r="HB12" i="1"/>
  <c r="HT12" i="1"/>
  <c r="R13" i="1"/>
  <c r="AT13" i="1"/>
  <c r="HP13" i="1"/>
  <c r="CD13" i="1"/>
  <c r="CL13" i="1"/>
  <c r="DV13" i="1"/>
  <c r="IH13" i="1"/>
  <c r="EX13" i="1"/>
  <c r="GH13" i="1"/>
  <c r="IB13" i="1"/>
  <c r="J14" i="1"/>
  <c r="AL14" i="1"/>
  <c r="BV14" i="1"/>
  <c r="DN14" i="1"/>
  <c r="EP14" i="1"/>
  <c r="FZ14" i="1"/>
  <c r="HB14" i="1"/>
  <c r="AH15" i="1"/>
  <c r="BJ15" i="1"/>
  <c r="DB15" i="1"/>
  <c r="EL15" i="1"/>
  <c r="FN15" i="1"/>
  <c r="GX15" i="1"/>
  <c r="Z16" i="1"/>
  <c r="BB16" i="1"/>
  <c r="CT16" i="1"/>
  <c r="HQ18" i="1"/>
  <c r="HU19" i="1"/>
  <c r="CH19" i="1"/>
  <c r="HY29" i="1"/>
  <c r="DZ29" i="1"/>
  <c r="IJ17" i="1"/>
  <c r="IL17" i="1" s="1"/>
  <c r="FJ17" i="1"/>
  <c r="IC30" i="1"/>
  <c r="ID30" i="1" s="1"/>
  <c r="GD30" i="1"/>
  <c r="HY6" i="1"/>
  <c r="AC86" i="1"/>
  <c r="DM86" i="1"/>
  <c r="IB6" i="1"/>
  <c r="AL7" i="1"/>
  <c r="HP7" i="1"/>
  <c r="IH7" i="1"/>
  <c r="EP7" i="1"/>
  <c r="EX7" i="1"/>
  <c r="IB7" i="1"/>
  <c r="AD8" i="1"/>
  <c r="AL8" i="1"/>
  <c r="EH8" i="1"/>
  <c r="IB8" i="1"/>
  <c r="IK8" i="1"/>
  <c r="GT8" i="1"/>
  <c r="AL9" i="1"/>
  <c r="HP9" i="1"/>
  <c r="IH9" i="1"/>
  <c r="EP9" i="1"/>
  <c r="EX9" i="1"/>
  <c r="FJ9" i="1"/>
  <c r="GH9" i="1"/>
  <c r="IB9" i="1"/>
  <c r="AD10" i="1"/>
  <c r="AL10" i="1"/>
  <c r="BV10" i="1"/>
  <c r="EH10" i="1"/>
  <c r="IB10" i="1"/>
  <c r="IK10" i="1"/>
  <c r="GT10" i="1"/>
  <c r="V11" i="1"/>
  <c r="AD11" i="1"/>
  <c r="BN11" i="1"/>
  <c r="CH11" i="1"/>
  <c r="EH11" i="1"/>
  <c r="IK11" i="1"/>
  <c r="IL11" i="1" s="1"/>
  <c r="GL11" i="1"/>
  <c r="BJ12" i="1"/>
  <c r="BR12" i="1"/>
  <c r="DB12" i="1"/>
  <c r="FN12" i="1"/>
  <c r="FV12" i="1"/>
  <c r="BR13" i="1"/>
  <c r="HU13" i="1"/>
  <c r="DJ13" i="1"/>
  <c r="ED13" i="1"/>
  <c r="FB13" i="1"/>
  <c r="FV13" i="1"/>
  <c r="GD13" i="1"/>
  <c r="AP14" i="1"/>
  <c r="BJ14" i="1"/>
  <c r="BR14" i="1"/>
  <c r="DB14" i="1"/>
  <c r="DJ14" i="1"/>
  <c r="ET14" i="1"/>
  <c r="FN14" i="1"/>
  <c r="V15" i="1"/>
  <c r="AD15" i="1"/>
  <c r="BN15" i="1"/>
  <c r="CH15" i="1"/>
  <c r="IK15" i="1"/>
  <c r="GL15" i="1"/>
  <c r="N16" i="1"/>
  <c r="V16" i="1"/>
  <c r="BZ16" i="1"/>
  <c r="HU16" i="1"/>
  <c r="DR16" i="1"/>
  <c r="HX16" i="1"/>
  <c r="HZ16" i="1" s="1"/>
  <c r="V17" i="1"/>
  <c r="N18" i="1"/>
  <c r="DR18" i="1"/>
  <c r="DJ19" i="1"/>
  <c r="IG23" i="1"/>
  <c r="IB27" i="1"/>
  <c r="IC33" i="1"/>
  <c r="AT20" i="1"/>
  <c r="CL20" i="1"/>
  <c r="BB21" i="1"/>
  <c r="CT21" i="1"/>
  <c r="FF21" i="1"/>
  <c r="AT22" i="1"/>
  <c r="CL22" i="1"/>
  <c r="BR23" i="1"/>
  <c r="DJ23" i="1"/>
  <c r="FV23" i="1"/>
  <c r="BJ24" i="1"/>
  <c r="DB24" i="1"/>
  <c r="FN24" i="1"/>
  <c r="BR25" i="1"/>
  <c r="DJ25" i="1"/>
  <c r="FV25" i="1"/>
  <c r="HH26" i="1"/>
  <c r="HQ26" i="1"/>
  <c r="BJ26" i="1"/>
  <c r="DB26" i="1"/>
  <c r="FN26" i="1"/>
  <c r="BB27" i="1"/>
  <c r="CT27" i="1"/>
  <c r="FF27" i="1"/>
  <c r="AD28" i="1"/>
  <c r="CP28" i="1"/>
  <c r="HY28" i="1"/>
  <c r="FB28" i="1"/>
  <c r="HM29" i="1"/>
  <c r="DF29" i="1"/>
  <c r="HT30" i="1"/>
  <c r="AP31" i="1"/>
  <c r="DZ31" i="1"/>
  <c r="CP32" i="1"/>
  <c r="HT32" i="1"/>
  <c r="ID32" i="1"/>
  <c r="FB32" i="1"/>
  <c r="HP32" i="1"/>
  <c r="HM33" i="1"/>
  <c r="HQ34" i="1"/>
  <c r="EX34" i="1"/>
  <c r="GP34" i="1"/>
  <c r="HL35" i="1"/>
  <c r="HQ35" i="1"/>
  <c r="DN37" i="1"/>
  <c r="HY41" i="1"/>
  <c r="DZ41" i="1"/>
  <c r="HP45" i="1"/>
  <c r="BB45" i="1"/>
  <c r="IK16" i="1"/>
  <c r="GT16" i="1"/>
  <c r="R17" i="1"/>
  <c r="AL17" i="1"/>
  <c r="HP17" i="1"/>
  <c r="IH17" i="1"/>
  <c r="EP17" i="1"/>
  <c r="IB17" i="1"/>
  <c r="AD18" i="1"/>
  <c r="AL18" i="1"/>
  <c r="EH18" i="1"/>
  <c r="IB18" i="1"/>
  <c r="IK18" i="1"/>
  <c r="GT18" i="1"/>
  <c r="V19" i="1"/>
  <c r="AD19" i="1"/>
  <c r="BN19" i="1"/>
  <c r="EH19" i="1"/>
  <c r="IK19" i="1"/>
  <c r="GL19" i="1"/>
  <c r="BJ20" i="1"/>
  <c r="DB20" i="1"/>
  <c r="FN20" i="1"/>
  <c r="BR21" i="1"/>
  <c r="HU21" i="1"/>
  <c r="DJ21" i="1"/>
  <c r="DR21" i="1"/>
  <c r="FB21" i="1"/>
  <c r="FV21" i="1"/>
  <c r="GD21" i="1"/>
  <c r="BJ22" i="1"/>
  <c r="BR22" i="1"/>
  <c r="DB22" i="1"/>
  <c r="DJ22" i="1"/>
  <c r="FN22" i="1"/>
  <c r="V23" i="1"/>
  <c r="AD23" i="1"/>
  <c r="CH23" i="1"/>
  <c r="IK23" i="1"/>
  <c r="GL23" i="1"/>
  <c r="N24" i="1"/>
  <c r="BZ24" i="1"/>
  <c r="DR24" i="1"/>
  <c r="HX24" i="1"/>
  <c r="HZ24" i="1" s="1"/>
  <c r="GD24" i="1"/>
  <c r="GL24" i="1"/>
  <c r="V25" i="1"/>
  <c r="AD25" i="1"/>
  <c r="BN25" i="1"/>
  <c r="CH25" i="1"/>
  <c r="IK25" i="1"/>
  <c r="IL25" i="1" s="1"/>
  <c r="GL25" i="1"/>
  <c r="N26" i="1"/>
  <c r="V26" i="1"/>
  <c r="BZ26" i="1"/>
  <c r="CX26" i="1"/>
  <c r="DR26" i="1"/>
  <c r="GD26" i="1"/>
  <c r="GL26" i="1"/>
  <c r="BR27" i="1"/>
  <c r="HU27" i="1"/>
  <c r="DJ27" i="1"/>
  <c r="IJ27" i="1"/>
  <c r="IL27" i="1" s="1"/>
  <c r="FV27" i="1"/>
  <c r="GD27" i="1"/>
  <c r="AT28" i="1"/>
  <c r="BN28" i="1"/>
  <c r="BV28" i="1"/>
  <c r="DF28" i="1"/>
  <c r="R29" i="1"/>
  <c r="AT29" i="1"/>
  <c r="CD29" i="1"/>
  <c r="EL29" i="1"/>
  <c r="IF29" i="1"/>
  <c r="DV30" i="1"/>
  <c r="ED30" i="1"/>
  <c r="IF30" i="1"/>
  <c r="IH30" i="1" s="1"/>
  <c r="J31" i="1"/>
  <c r="BV31" i="1"/>
  <c r="DB31" i="1"/>
  <c r="Z32" i="1"/>
  <c r="DF32" i="1"/>
  <c r="HU32" i="1"/>
  <c r="FF32" i="1"/>
  <c r="GP32" i="1"/>
  <c r="AD33" i="1"/>
  <c r="BF33" i="1"/>
  <c r="BN33" i="1"/>
  <c r="DR33" i="1"/>
  <c r="V34" i="1"/>
  <c r="CP34" i="1"/>
  <c r="IJ34" i="1"/>
  <c r="HM35" i="1"/>
  <c r="HT35" i="1"/>
  <c r="HY35" i="1"/>
  <c r="CX36" i="1"/>
  <c r="HT36" i="1"/>
  <c r="IB36" i="1"/>
  <c r="ID36" i="1" s="1"/>
  <c r="EX36" i="1"/>
  <c r="IF39" i="1"/>
  <c r="IH39" i="1" s="1"/>
  <c r="ED39" i="1"/>
  <c r="HU43" i="1"/>
  <c r="CH43" i="1"/>
  <c r="HT44" i="1"/>
  <c r="DF44" i="1"/>
  <c r="FF16" i="1"/>
  <c r="GP16" i="1"/>
  <c r="AH17" i="1"/>
  <c r="BB17" i="1"/>
  <c r="BJ17" i="1"/>
  <c r="DB17" i="1"/>
  <c r="EL17" i="1"/>
  <c r="FN17" i="1"/>
  <c r="GX17" i="1"/>
  <c r="Z18" i="1"/>
  <c r="BB18" i="1"/>
  <c r="CT18" i="1"/>
  <c r="FF18" i="1"/>
  <c r="GP18" i="1"/>
  <c r="R19" i="1"/>
  <c r="AT19" i="1"/>
  <c r="CD19" i="1"/>
  <c r="CL19" i="1"/>
  <c r="DV19" i="1"/>
  <c r="IH19" i="1"/>
  <c r="EX19" i="1"/>
  <c r="GH19" i="1"/>
  <c r="IB19" i="1"/>
  <c r="V20" i="1"/>
  <c r="BF20" i="1"/>
  <c r="CX20" i="1"/>
  <c r="DR20" i="1"/>
  <c r="FJ20" i="1"/>
  <c r="GL20" i="1"/>
  <c r="V21" i="1"/>
  <c r="AD21" i="1"/>
  <c r="BN21" i="1"/>
  <c r="CH21" i="1"/>
  <c r="EH21" i="1"/>
  <c r="IK21" i="1"/>
  <c r="FR21" i="1"/>
  <c r="GT21" i="1"/>
  <c r="V22" i="1"/>
  <c r="BF22" i="1"/>
  <c r="CX22" i="1"/>
  <c r="FJ22" i="1"/>
  <c r="GD22" i="1"/>
  <c r="GL22" i="1"/>
  <c r="R23" i="1"/>
  <c r="AT23" i="1"/>
  <c r="HP23" i="1"/>
  <c r="CD23" i="1"/>
  <c r="CL23" i="1"/>
  <c r="DV23" i="1"/>
  <c r="IH23" i="1"/>
  <c r="EX23" i="1"/>
  <c r="GH23" i="1"/>
  <c r="IB23" i="1"/>
  <c r="J24" i="1"/>
  <c r="AD24" i="1"/>
  <c r="AL24" i="1"/>
  <c r="BV24" i="1"/>
  <c r="DN24" i="1"/>
  <c r="EP24" i="1"/>
  <c r="IK24" i="1"/>
  <c r="FZ24" i="1"/>
  <c r="HB24" i="1"/>
  <c r="R25" i="1"/>
  <c r="AT25" i="1"/>
  <c r="HP25" i="1"/>
  <c r="CD25" i="1"/>
  <c r="CL25" i="1"/>
  <c r="DV25" i="1"/>
  <c r="IH25" i="1"/>
  <c r="EP25" i="1"/>
  <c r="EX25" i="1"/>
  <c r="FJ25" i="1"/>
  <c r="GH25" i="1"/>
  <c r="IB25" i="1"/>
  <c r="J26" i="1"/>
  <c r="AL26" i="1"/>
  <c r="BV26" i="1"/>
  <c r="DN26" i="1"/>
  <c r="EP26" i="1"/>
  <c r="IK26" i="1"/>
  <c r="FZ26" i="1"/>
  <c r="HB26" i="1"/>
  <c r="V27" i="1"/>
  <c r="AD27" i="1"/>
  <c r="BN27" i="1"/>
  <c r="CH27" i="1"/>
  <c r="EH27" i="1"/>
  <c r="IK27" i="1"/>
  <c r="FR27" i="1"/>
  <c r="GT27" i="1"/>
  <c r="AP28" i="1"/>
  <c r="DB28" i="1"/>
  <c r="DJ28" i="1"/>
  <c r="ED28" i="1"/>
  <c r="ET28" i="1"/>
  <c r="FN28" i="1"/>
  <c r="FV28" i="1"/>
  <c r="GP28" i="1"/>
  <c r="HF28" i="1"/>
  <c r="Z29" i="1"/>
  <c r="AH29" i="1"/>
  <c r="BJ29" i="1"/>
  <c r="CP29" i="1"/>
  <c r="DR29" i="1"/>
  <c r="IH29" i="1"/>
  <c r="ET29" i="1"/>
  <c r="FB29" i="1"/>
  <c r="GD29" i="1"/>
  <c r="HF29" i="1"/>
  <c r="AH30" i="1"/>
  <c r="BR30" i="1"/>
  <c r="DJ30" i="1"/>
  <c r="EL30" i="1"/>
  <c r="EX30" i="1"/>
  <c r="FV30" i="1"/>
  <c r="GX30" i="1"/>
  <c r="HL31" i="1"/>
  <c r="Z31" i="1"/>
  <c r="AH31" i="1"/>
  <c r="HQ31" i="1"/>
  <c r="BJ31" i="1"/>
  <c r="CP31" i="1"/>
  <c r="DR31" i="1"/>
  <c r="IH31" i="1"/>
  <c r="ET31" i="1"/>
  <c r="FB31" i="1"/>
  <c r="GD31" i="1"/>
  <c r="HF31" i="1"/>
  <c r="AH32" i="1"/>
  <c r="AP32" i="1"/>
  <c r="HQ32" i="1"/>
  <c r="BR32" i="1"/>
  <c r="DJ32" i="1"/>
  <c r="ET32" i="1"/>
  <c r="EX32" i="1"/>
  <c r="FV32" i="1"/>
  <c r="IK32" i="1"/>
  <c r="HF32" i="1"/>
  <c r="IF32" i="1"/>
  <c r="IH32" i="1" s="1"/>
  <c r="J33" i="1"/>
  <c r="R33" i="1"/>
  <c r="AT33" i="1"/>
  <c r="BV33" i="1"/>
  <c r="CD33" i="1"/>
  <c r="CL33" i="1"/>
  <c r="HT33" i="1"/>
  <c r="HY33" i="1"/>
  <c r="EH33" i="1"/>
  <c r="FJ33" i="1"/>
  <c r="FR33" i="1"/>
  <c r="GT33" i="1"/>
  <c r="AL34" i="1"/>
  <c r="BN34" i="1"/>
  <c r="HT34" i="1"/>
  <c r="EP34" i="1"/>
  <c r="IB34" i="1"/>
  <c r="FR34" i="1"/>
  <c r="HB34" i="1"/>
  <c r="HU34" i="1"/>
  <c r="F35" i="1"/>
  <c r="AD35" i="1"/>
  <c r="BF35" i="1"/>
  <c r="CL35" i="1"/>
  <c r="DV35" i="1"/>
  <c r="IK35" i="1"/>
  <c r="FZ35" i="1"/>
  <c r="R36" i="1"/>
  <c r="BB36" i="1"/>
  <c r="CD36" i="1"/>
  <c r="CT36" i="1"/>
  <c r="DV36" i="1"/>
  <c r="IC36" i="1"/>
  <c r="IC38" i="1"/>
  <c r="EX38" i="1"/>
  <c r="IJ39" i="1"/>
  <c r="FJ39" i="1"/>
  <c r="IC39" i="1"/>
  <c r="HB39" i="1"/>
  <c r="HQ38" i="1"/>
  <c r="CD38" i="1"/>
  <c r="IK38" i="1"/>
  <c r="HL39" i="1"/>
  <c r="HQ39" i="1"/>
  <c r="HP41" i="1"/>
  <c r="HU41" i="1"/>
  <c r="ED42" i="1"/>
  <c r="IF42" i="1"/>
  <c r="IH42" i="1" s="1"/>
  <c r="IC42" i="1"/>
  <c r="HY44" i="1"/>
  <c r="HZ45" i="1"/>
  <c r="HI47" i="1"/>
  <c r="IF50" i="1"/>
  <c r="IH50" i="1" s="1"/>
  <c r="ED50" i="1"/>
  <c r="CH60" i="1"/>
  <c r="HU60" i="1"/>
  <c r="HV60" i="1" s="1"/>
  <c r="ED69" i="1"/>
  <c r="IF69" i="1"/>
  <c r="IH69" i="1" s="1"/>
  <c r="HB70" i="1"/>
  <c r="IC70" i="1"/>
  <c r="HL37" i="1"/>
  <c r="Z37" i="1"/>
  <c r="AH37" i="1"/>
  <c r="HQ37" i="1"/>
  <c r="BJ37" i="1"/>
  <c r="CP37" i="1"/>
  <c r="DR37" i="1"/>
  <c r="FB37" i="1"/>
  <c r="GD37" i="1"/>
  <c r="GP37" i="1"/>
  <c r="AH38" i="1"/>
  <c r="CP38" i="1"/>
  <c r="CX38" i="1"/>
  <c r="IJ38" i="1"/>
  <c r="AX39" i="1"/>
  <c r="HY39" i="1"/>
  <c r="HQ40" i="1"/>
  <c r="CX40" i="1"/>
  <c r="IF40" i="1"/>
  <c r="IH40" i="1" s="1"/>
  <c r="HM41" i="1"/>
  <c r="HQ41" i="1"/>
  <c r="CH41" i="1"/>
  <c r="IH41" i="1"/>
  <c r="IK41" i="1"/>
  <c r="GH41" i="1"/>
  <c r="BR42" i="1"/>
  <c r="DJ42" i="1"/>
  <c r="EL42" i="1"/>
  <c r="J43" i="1"/>
  <c r="HP43" i="1"/>
  <c r="BV43" i="1"/>
  <c r="IH43" i="1"/>
  <c r="CD44" i="1"/>
  <c r="IC44" i="1"/>
  <c r="AP45" i="1"/>
  <c r="HU45" i="1"/>
  <c r="CH45" i="1"/>
  <c r="CX45" i="1"/>
  <c r="HB45" i="1"/>
  <c r="IJ46" i="1"/>
  <c r="HP48" i="1"/>
  <c r="IB48" i="1"/>
  <c r="HU57" i="1"/>
  <c r="CH57" i="1"/>
  <c r="IJ36" i="1"/>
  <c r="GL36" i="1"/>
  <c r="N37" i="1"/>
  <c r="HM37" i="1"/>
  <c r="AP37" i="1"/>
  <c r="AX37" i="1"/>
  <c r="BZ37" i="1"/>
  <c r="CX37" i="1"/>
  <c r="HT37" i="1"/>
  <c r="HY37" i="1"/>
  <c r="EH37" i="1"/>
  <c r="IJ37" i="1"/>
  <c r="FR37" i="1"/>
  <c r="GT37" i="1"/>
  <c r="AL38" i="1"/>
  <c r="AX38" i="1"/>
  <c r="BN38" i="1"/>
  <c r="HT38" i="1"/>
  <c r="EP38" i="1"/>
  <c r="IB38" i="1"/>
  <c r="FR38" i="1"/>
  <c r="HB38" i="1"/>
  <c r="HU38" i="1"/>
  <c r="F39" i="1"/>
  <c r="AD39" i="1"/>
  <c r="BF39" i="1"/>
  <c r="BZ39" i="1"/>
  <c r="DB39" i="1"/>
  <c r="EH39" i="1"/>
  <c r="FN39" i="1"/>
  <c r="GT39" i="1"/>
  <c r="Z40" i="1"/>
  <c r="AL40" i="1"/>
  <c r="BF40" i="1"/>
  <c r="BR40" i="1"/>
  <c r="HT40" i="1"/>
  <c r="IK40" i="1"/>
  <c r="IL40" i="1" s="1"/>
  <c r="AD41" i="1"/>
  <c r="BB41" i="1"/>
  <c r="BJ41" i="1"/>
  <c r="CL41" i="1"/>
  <c r="DR41" i="1"/>
  <c r="FN41" i="1"/>
  <c r="GP41" i="1"/>
  <c r="AX42" i="1"/>
  <c r="CP42" i="1"/>
  <c r="FB42" i="1"/>
  <c r="IJ42" i="1"/>
  <c r="ET43" i="1"/>
  <c r="DR44" i="1"/>
  <c r="GD44" i="1"/>
  <c r="BF45" i="1"/>
  <c r="DN45" i="1"/>
  <c r="DZ45" i="1"/>
  <c r="AT46" i="1"/>
  <c r="DF46" i="1"/>
  <c r="FB47" i="1"/>
  <c r="DN48" i="1"/>
  <c r="IF48" i="1"/>
  <c r="IH48" i="1" s="1"/>
  <c r="ED48" i="1"/>
  <c r="FR51" i="1"/>
  <c r="CX52" i="1"/>
  <c r="Z54" i="1"/>
  <c r="IG54" i="1"/>
  <c r="ED54" i="1"/>
  <c r="FV42" i="1"/>
  <c r="GX42" i="1"/>
  <c r="HY43" i="1"/>
  <c r="ED43" i="1"/>
  <c r="CT44" i="1"/>
  <c r="FF44" i="1"/>
  <c r="GL44" i="1"/>
  <c r="HM45" i="1"/>
  <c r="HY45" i="1"/>
  <c r="ED45" i="1"/>
  <c r="FN45" i="1"/>
  <c r="GT45" i="1"/>
  <c r="V46" i="1"/>
  <c r="BB46" i="1"/>
  <c r="N47" i="1"/>
  <c r="AT47" i="1"/>
  <c r="BV47" i="1"/>
  <c r="EP47" i="1"/>
  <c r="FZ47" i="1"/>
  <c r="HB47" i="1"/>
  <c r="AH48" i="1"/>
  <c r="HQ48" i="1"/>
  <c r="BJ48" i="1"/>
  <c r="DB48" i="1"/>
  <c r="EL48" i="1"/>
  <c r="FF48" i="1"/>
  <c r="FN48" i="1"/>
  <c r="GX48" i="1"/>
  <c r="Z49" i="1"/>
  <c r="AT49" i="1"/>
  <c r="BB49" i="1"/>
  <c r="CL49" i="1"/>
  <c r="CT49" i="1"/>
  <c r="FF49" i="1"/>
  <c r="GP49" i="1"/>
  <c r="AH50" i="1"/>
  <c r="BB50" i="1"/>
  <c r="BJ50" i="1"/>
  <c r="CT50" i="1"/>
  <c r="DB50" i="1"/>
  <c r="EL50" i="1"/>
  <c r="IC50" i="1"/>
  <c r="ID50" i="1" s="1"/>
  <c r="FF50" i="1"/>
  <c r="FN50" i="1"/>
  <c r="GX50" i="1"/>
  <c r="Z51" i="1"/>
  <c r="AT51" i="1"/>
  <c r="BB51" i="1"/>
  <c r="CL51" i="1"/>
  <c r="CT51" i="1"/>
  <c r="FF51" i="1"/>
  <c r="GP51" i="1"/>
  <c r="AL52" i="1"/>
  <c r="AT52" i="1"/>
  <c r="CD52" i="1"/>
  <c r="CL52" i="1"/>
  <c r="IH52" i="1"/>
  <c r="EP52" i="1"/>
  <c r="EX52" i="1"/>
  <c r="HB52" i="1"/>
  <c r="IB52" i="1"/>
  <c r="N53" i="1"/>
  <c r="V53" i="1"/>
  <c r="BZ53" i="1"/>
  <c r="CX53" i="1"/>
  <c r="DR53" i="1"/>
  <c r="FJ53" i="1"/>
  <c r="GD53" i="1"/>
  <c r="GL53" i="1"/>
  <c r="N54" i="1"/>
  <c r="BR54" i="1"/>
  <c r="DJ54" i="1"/>
  <c r="DR54" i="1"/>
  <c r="HX54" i="1"/>
  <c r="FB54" i="1"/>
  <c r="FJ54" i="1"/>
  <c r="F55" i="1"/>
  <c r="BR55" i="1"/>
  <c r="DZ55" i="1"/>
  <c r="GL55" i="1"/>
  <c r="CL56" i="1"/>
  <c r="IB56" i="1"/>
  <c r="AX57" i="1"/>
  <c r="EL57" i="1"/>
  <c r="AT58" i="1"/>
  <c r="AX59" i="1"/>
  <c r="DJ59" i="1"/>
  <c r="FV59" i="1"/>
  <c r="GT60" i="1"/>
  <c r="HQ64" i="1"/>
  <c r="BB64" i="1"/>
  <c r="HQ47" i="1"/>
  <c r="HU48" i="1"/>
  <c r="HU50" i="1"/>
  <c r="IJ50" i="1"/>
  <c r="HH51" i="1"/>
  <c r="HQ51" i="1"/>
  <c r="HH52" i="1"/>
  <c r="BJ52" i="1"/>
  <c r="DB52" i="1"/>
  <c r="IC52" i="1"/>
  <c r="J53" i="1"/>
  <c r="IB53" i="1"/>
  <c r="IK53" i="1"/>
  <c r="HT53" i="1"/>
  <c r="V54" i="1"/>
  <c r="CH54" i="1"/>
  <c r="IK55" i="1"/>
  <c r="IC56" i="1"/>
  <c r="HM57" i="1"/>
  <c r="HI57" i="1"/>
  <c r="HI67" i="1"/>
  <c r="IK42" i="1"/>
  <c r="FR42" i="1"/>
  <c r="FZ42" i="1"/>
  <c r="HM43" i="1"/>
  <c r="HQ43" i="1"/>
  <c r="IJ43" i="1"/>
  <c r="HQ44" i="1"/>
  <c r="CX44" i="1"/>
  <c r="DJ44" i="1"/>
  <c r="ED44" i="1"/>
  <c r="EP44" i="1"/>
  <c r="IJ44" i="1"/>
  <c r="FV44" i="1"/>
  <c r="GP44" i="1"/>
  <c r="IF44" i="1"/>
  <c r="IH44" i="1" s="1"/>
  <c r="FJ45" i="1"/>
  <c r="GD45" i="1"/>
  <c r="Z46" i="1"/>
  <c r="AL46" i="1"/>
  <c r="BF46" i="1"/>
  <c r="BR46" i="1"/>
  <c r="HT46" i="1"/>
  <c r="IK46" i="1"/>
  <c r="AD47" i="1"/>
  <c r="DB47" i="1"/>
  <c r="DJ47" i="1"/>
  <c r="ET47" i="1"/>
  <c r="FN47" i="1"/>
  <c r="FV47" i="1"/>
  <c r="HF47" i="1"/>
  <c r="V48" i="1"/>
  <c r="AD48" i="1"/>
  <c r="AL48" i="1"/>
  <c r="BN48" i="1"/>
  <c r="CH48" i="1"/>
  <c r="EH48" i="1"/>
  <c r="IK48" i="1"/>
  <c r="FR48" i="1"/>
  <c r="GL48" i="1"/>
  <c r="GT48" i="1"/>
  <c r="HB48" i="1"/>
  <c r="HM49" i="1"/>
  <c r="V49" i="1"/>
  <c r="BF49" i="1"/>
  <c r="BZ49" i="1"/>
  <c r="CX49" i="1"/>
  <c r="DR49" i="1"/>
  <c r="HX49" i="1"/>
  <c r="GD49" i="1"/>
  <c r="GL49" i="1"/>
  <c r="V50" i="1"/>
  <c r="AD50" i="1"/>
  <c r="BN50" i="1"/>
  <c r="CH50" i="1"/>
  <c r="EH50" i="1"/>
  <c r="IK50" i="1"/>
  <c r="FR50" i="1"/>
  <c r="GL50" i="1"/>
  <c r="GT50" i="1"/>
  <c r="N51" i="1"/>
  <c r="V51" i="1"/>
  <c r="BF51" i="1"/>
  <c r="BZ51" i="1"/>
  <c r="CX51" i="1"/>
  <c r="DR51" i="1"/>
  <c r="FJ51" i="1"/>
  <c r="GD51" i="1"/>
  <c r="GL51" i="1"/>
  <c r="N52" i="1"/>
  <c r="AX52" i="1"/>
  <c r="BZ52" i="1"/>
  <c r="HU52" i="1"/>
  <c r="CP52" i="1"/>
  <c r="DR52" i="1"/>
  <c r="HX52" i="1"/>
  <c r="ED52" i="1"/>
  <c r="FB52" i="1"/>
  <c r="IJ52" i="1"/>
  <c r="IL52" i="1" s="1"/>
  <c r="FV52" i="1"/>
  <c r="GD52" i="1"/>
  <c r="Z53" i="1"/>
  <c r="AT53" i="1"/>
  <c r="BB53" i="1"/>
  <c r="CL53" i="1"/>
  <c r="CT53" i="1"/>
  <c r="FF53" i="1"/>
  <c r="GP53" i="1"/>
  <c r="IJ53" i="1"/>
  <c r="IL53" i="1" s="1"/>
  <c r="R54" i="1"/>
  <c r="AT54" i="1"/>
  <c r="HP54" i="1"/>
  <c r="CD54" i="1"/>
  <c r="CL54" i="1"/>
  <c r="DV54" i="1"/>
  <c r="GD54" i="1"/>
  <c r="AL55" i="1"/>
  <c r="CT55" i="1"/>
  <c r="FF55" i="1"/>
  <c r="DR56" i="1"/>
  <c r="HX56" i="1"/>
  <c r="HZ56" i="1" s="1"/>
  <c r="HV57" i="1"/>
  <c r="GX57" i="1"/>
  <c r="N58" i="1"/>
  <c r="BZ58" i="1"/>
  <c r="HU58" i="1"/>
  <c r="CH58" i="1"/>
  <c r="R59" i="1"/>
  <c r="CD59" i="1"/>
  <c r="EP59" i="1"/>
  <c r="FJ59" i="1"/>
  <c r="IJ59" i="1"/>
  <c r="HB59" i="1"/>
  <c r="EH60" i="1"/>
  <c r="IB61" i="1"/>
  <c r="ID61" i="1" s="1"/>
  <c r="EX61" i="1"/>
  <c r="IB71" i="1"/>
  <c r="ID71" i="1" s="1"/>
  <c r="EX71" i="1"/>
  <c r="IF81" i="1"/>
  <c r="IH81" i="1" s="1"/>
  <c r="ED81" i="1"/>
  <c r="IB83" i="1"/>
  <c r="EP54" i="1"/>
  <c r="IB54" i="1"/>
  <c r="HI55" i="1"/>
  <c r="HP55" i="1"/>
  <c r="HU56" i="1"/>
  <c r="HY56" i="1"/>
  <c r="EX56" i="1"/>
  <c r="GH56" i="1"/>
  <c r="GT56" i="1"/>
  <c r="V57" i="1"/>
  <c r="DJ57" i="1"/>
  <c r="FV57" i="1"/>
  <c r="IJ57" i="1"/>
  <c r="HQ58" i="1"/>
  <c r="IH58" i="1"/>
  <c r="IJ58" i="1"/>
  <c r="HB58" i="1"/>
  <c r="HM59" i="1"/>
  <c r="N59" i="1"/>
  <c r="Z59" i="1"/>
  <c r="AT59" i="1"/>
  <c r="BF59" i="1"/>
  <c r="BZ59" i="1"/>
  <c r="IC59" i="1"/>
  <c r="ID59" i="1" s="1"/>
  <c r="CT60" i="1"/>
  <c r="IB60" i="1"/>
  <c r="ID60" i="1" s="1"/>
  <c r="HY61" i="1"/>
  <c r="HL64" i="1"/>
  <c r="BZ65" i="1"/>
  <c r="IC65" i="1"/>
  <c r="ID65" i="1" s="1"/>
  <c r="GL66" i="1"/>
  <c r="IC67" i="1"/>
  <c r="BB69" i="1"/>
  <c r="HP69" i="1"/>
  <c r="EL54" i="1"/>
  <c r="FN54" i="1"/>
  <c r="FV54" i="1"/>
  <c r="GX54" i="1"/>
  <c r="J55" i="1"/>
  <c r="AD55" i="1"/>
  <c r="AP55" i="1"/>
  <c r="BJ55" i="1"/>
  <c r="BV55" i="1"/>
  <c r="CL55" i="1"/>
  <c r="CX55" i="1"/>
  <c r="DR55" i="1"/>
  <c r="ID55" i="1"/>
  <c r="FJ55" i="1"/>
  <c r="GD55" i="1"/>
  <c r="GP55" i="1"/>
  <c r="HQ56" i="1"/>
  <c r="CH56" i="1"/>
  <c r="CP56" i="1"/>
  <c r="DV56" i="1"/>
  <c r="FB56" i="1"/>
  <c r="GX56" i="1"/>
  <c r="Z57" i="1"/>
  <c r="AL57" i="1"/>
  <c r="DN57" i="1"/>
  <c r="IB57" i="1"/>
  <c r="IK57" i="1"/>
  <c r="FZ57" i="1"/>
  <c r="GL57" i="1"/>
  <c r="R58" i="1"/>
  <c r="AL58" i="1"/>
  <c r="AX58" i="1"/>
  <c r="BR58" i="1"/>
  <c r="CD58" i="1"/>
  <c r="IK58" i="1"/>
  <c r="HI59" i="1"/>
  <c r="HP59" i="1"/>
  <c r="HU59" i="1"/>
  <c r="DB59" i="1"/>
  <c r="DN59" i="1"/>
  <c r="EH59" i="1"/>
  <c r="FN59" i="1"/>
  <c r="FZ59" i="1"/>
  <c r="GT59" i="1"/>
  <c r="HF59" i="1"/>
  <c r="R60" i="1"/>
  <c r="AX60" i="1"/>
  <c r="CD60" i="1"/>
  <c r="EL60" i="1"/>
  <c r="IC60" i="1"/>
  <c r="GX60" i="1"/>
  <c r="HB61" i="1"/>
  <c r="HQ62" i="1"/>
  <c r="FV62" i="1"/>
  <c r="BJ63" i="1"/>
  <c r="EH63" i="1"/>
  <c r="IB63" i="1"/>
  <c r="ID63" i="1" s="1"/>
  <c r="V64" i="1"/>
  <c r="HM64" i="1"/>
  <c r="DJ64" i="1"/>
  <c r="HM65" i="1"/>
  <c r="IJ65" i="1"/>
  <c r="IF65" i="1"/>
  <c r="IH65" i="1" s="1"/>
  <c r="CT66" i="1"/>
  <c r="IF66" i="1"/>
  <c r="IH66" i="1" s="1"/>
  <c r="CL67" i="1"/>
  <c r="IJ67" i="1"/>
  <c r="FF68" i="1"/>
  <c r="CL69" i="1"/>
  <c r="V70" i="1"/>
  <c r="EP70" i="1"/>
  <c r="AP57" i="1"/>
  <c r="GP57" i="1"/>
  <c r="HX58" i="1"/>
  <c r="EL58" i="1"/>
  <c r="FR58" i="1"/>
  <c r="GX58" i="1"/>
  <c r="AP59" i="1"/>
  <c r="BV59" i="1"/>
  <c r="HY59" i="1"/>
  <c r="DR60" i="1"/>
  <c r="GD60" i="1"/>
  <c r="GL60" i="1"/>
  <c r="DJ61" i="1"/>
  <c r="HB62" i="1"/>
  <c r="FN63" i="1"/>
  <c r="EP64" i="1"/>
  <c r="IK64" i="1"/>
  <c r="N65" i="1"/>
  <c r="F66" i="1"/>
  <c r="DZ66" i="1"/>
  <c r="N67" i="1"/>
  <c r="F68" i="1"/>
  <c r="IF68" i="1"/>
  <c r="HM69" i="1"/>
  <c r="V72" i="1"/>
  <c r="ED73" i="1"/>
  <c r="IF73" i="1"/>
  <c r="IH73" i="1" s="1"/>
  <c r="HT68" i="1"/>
  <c r="IJ69" i="1"/>
  <c r="HQ70" i="1"/>
  <c r="IK71" i="1"/>
  <c r="HL72" i="1"/>
  <c r="HQ72" i="1"/>
  <c r="HU79" i="1"/>
  <c r="CH79" i="1"/>
  <c r="IC84" i="1"/>
  <c r="EX84" i="1"/>
  <c r="J61" i="1"/>
  <c r="AL61" i="1"/>
  <c r="AT61" i="1"/>
  <c r="CT61" i="1"/>
  <c r="DB61" i="1"/>
  <c r="ED61" i="1"/>
  <c r="FF61" i="1"/>
  <c r="FN61" i="1"/>
  <c r="IF61" i="1"/>
  <c r="IH61" i="1" s="1"/>
  <c r="J62" i="1"/>
  <c r="AT62" i="1"/>
  <c r="BV62" i="1"/>
  <c r="DB62" i="1"/>
  <c r="DN62" i="1"/>
  <c r="FN62" i="1"/>
  <c r="FZ62" i="1"/>
  <c r="GP62" i="1"/>
  <c r="R63" i="1"/>
  <c r="BB63" i="1"/>
  <c r="CD63" i="1"/>
  <c r="CT63" i="1"/>
  <c r="DV63" i="1"/>
  <c r="FF63" i="1"/>
  <c r="FR63" i="1"/>
  <c r="J64" i="1"/>
  <c r="AT64" i="1"/>
  <c r="BV64" i="1"/>
  <c r="DB64" i="1"/>
  <c r="FN64" i="1"/>
  <c r="GH64" i="1"/>
  <c r="GP64" i="1"/>
  <c r="AL65" i="1"/>
  <c r="BN65" i="1"/>
  <c r="HT65" i="1"/>
  <c r="HY65" i="1"/>
  <c r="EP65" i="1"/>
  <c r="IK65" i="1"/>
  <c r="FR65" i="1"/>
  <c r="HB65" i="1"/>
  <c r="AD66" i="1"/>
  <c r="BF66" i="1"/>
  <c r="BN66" i="1"/>
  <c r="CL66" i="1"/>
  <c r="DN66" i="1"/>
  <c r="DV66" i="1"/>
  <c r="FZ66" i="1"/>
  <c r="GH66" i="1"/>
  <c r="AL67" i="1"/>
  <c r="BN67" i="1"/>
  <c r="CX67" i="1"/>
  <c r="HT67" i="1"/>
  <c r="EP67" i="1"/>
  <c r="ID67" i="1"/>
  <c r="FJ67" i="1"/>
  <c r="FR67" i="1"/>
  <c r="HB67" i="1"/>
  <c r="AD68" i="1"/>
  <c r="AX68" i="1"/>
  <c r="BF68" i="1"/>
  <c r="CL68" i="1"/>
  <c r="DF68" i="1"/>
  <c r="DN68" i="1"/>
  <c r="FZ68" i="1"/>
  <c r="AL69" i="1"/>
  <c r="BN69" i="1"/>
  <c r="HT69" i="1"/>
  <c r="HY69" i="1"/>
  <c r="EP69" i="1"/>
  <c r="ID69" i="1"/>
  <c r="FJ69" i="1"/>
  <c r="FR69" i="1"/>
  <c r="HB69" i="1"/>
  <c r="N70" i="1"/>
  <c r="AH70" i="1"/>
  <c r="AP70" i="1"/>
  <c r="BB70" i="1"/>
  <c r="BZ70" i="1"/>
  <c r="CP70" i="1"/>
  <c r="CX70" i="1"/>
  <c r="HT70" i="1"/>
  <c r="HY70" i="1"/>
  <c r="EH70" i="1"/>
  <c r="FB70" i="1"/>
  <c r="FJ70" i="1"/>
  <c r="GT70" i="1"/>
  <c r="HI71" i="1"/>
  <c r="V71" i="1"/>
  <c r="AX71" i="1"/>
  <c r="BF71" i="1"/>
  <c r="CP71" i="1"/>
  <c r="FB71" i="1"/>
  <c r="IJ71" i="1"/>
  <c r="GL71" i="1"/>
  <c r="N72" i="1"/>
  <c r="Z72" i="1"/>
  <c r="BB72" i="1"/>
  <c r="BZ72" i="1"/>
  <c r="HT72" i="1"/>
  <c r="HY72" i="1"/>
  <c r="FF72" i="1"/>
  <c r="AT73" i="1"/>
  <c r="AL74" i="1"/>
  <c r="HT74" i="1"/>
  <c r="HP75" i="1"/>
  <c r="GH76" i="1"/>
  <c r="BV77" i="1"/>
  <c r="ED77" i="1"/>
  <c r="FZ77" i="1"/>
  <c r="ED79" i="1"/>
  <c r="IC80" i="1"/>
  <c r="ID80" i="1" s="1"/>
  <c r="IK84" i="1"/>
  <c r="HH61" i="1"/>
  <c r="N61" i="1"/>
  <c r="AP61" i="1"/>
  <c r="BR61" i="1"/>
  <c r="BZ61" i="1"/>
  <c r="DZ61" i="1"/>
  <c r="EH61" i="1"/>
  <c r="GL61" i="1"/>
  <c r="GT61" i="1"/>
  <c r="N62" i="1"/>
  <c r="AP62" i="1"/>
  <c r="BZ62" i="1"/>
  <c r="CX62" i="1"/>
  <c r="HT62" i="1"/>
  <c r="HY62" i="1"/>
  <c r="EH62" i="1"/>
  <c r="GT62" i="1"/>
  <c r="HI63" i="1"/>
  <c r="V63" i="1"/>
  <c r="AP63" i="1"/>
  <c r="AX63" i="1"/>
  <c r="BF63" i="1"/>
  <c r="CP63" i="1"/>
  <c r="CX63" i="1"/>
  <c r="EL63" i="1"/>
  <c r="IJ63" i="1"/>
  <c r="IL63" i="1" s="1"/>
  <c r="GL63" i="1"/>
  <c r="GX63" i="1"/>
  <c r="N64" i="1"/>
  <c r="AP64" i="1"/>
  <c r="BZ64" i="1"/>
  <c r="CX64" i="1"/>
  <c r="HT64" i="1"/>
  <c r="HY64" i="1"/>
  <c r="EH64" i="1"/>
  <c r="FJ64" i="1"/>
  <c r="GT64" i="1"/>
  <c r="Z65" i="1"/>
  <c r="AH65" i="1"/>
  <c r="BR65" i="1"/>
  <c r="DJ65" i="1"/>
  <c r="EL65" i="1"/>
  <c r="EX65" i="1"/>
  <c r="FV65" i="1"/>
  <c r="GX65" i="1"/>
  <c r="Z66" i="1"/>
  <c r="HQ66" i="1"/>
  <c r="BJ66" i="1"/>
  <c r="DR66" i="1"/>
  <c r="ET66" i="1"/>
  <c r="GD66" i="1"/>
  <c r="HF66" i="1"/>
  <c r="AH67" i="1"/>
  <c r="BR67" i="1"/>
  <c r="DJ67" i="1"/>
  <c r="EL67" i="1"/>
  <c r="EX67" i="1"/>
  <c r="FV67" i="1"/>
  <c r="IK67" i="1"/>
  <c r="GX67" i="1"/>
  <c r="HL68" i="1"/>
  <c r="Z68" i="1"/>
  <c r="AH68" i="1"/>
  <c r="HQ68" i="1"/>
  <c r="BJ68" i="1"/>
  <c r="CD68" i="1"/>
  <c r="DR68" i="1"/>
  <c r="IH68" i="1"/>
  <c r="ET68" i="1"/>
  <c r="FB68" i="1"/>
  <c r="GD68" i="1"/>
  <c r="GP68" i="1"/>
  <c r="HF68" i="1"/>
  <c r="AH69" i="1"/>
  <c r="BR69" i="1"/>
  <c r="DJ69" i="1"/>
  <c r="EL69" i="1"/>
  <c r="EX69" i="1"/>
  <c r="FV69" i="1"/>
  <c r="GP69" i="1"/>
  <c r="GX69" i="1"/>
  <c r="J70" i="1"/>
  <c r="AT70" i="1"/>
  <c r="BN70" i="1"/>
  <c r="BV70" i="1"/>
  <c r="DB70" i="1"/>
  <c r="DV70" i="1"/>
  <c r="ED70" i="1"/>
  <c r="FN70" i="1"/>
  <c r="GH70" i="1"/>
  <c r="GP70" i="1"/>
  <c r="IF70" i="1"/>
  <c r="IH70" i="1" s="1"/>
  <c r="R71" i="1"/>
  <c r="BB71" i="1"/>
  <c r="CD71" i="1"/>
  <c r="CT71" i="1"/>
  <c r="DN71" i="1"/>
  <c r="DV71" i="1"/>
  <c r="FF71" i="1"/>
  <c r="GH71" i="1"/>
  <c r="J72" i="1"/>
  <c r="AT72" i="1"/>
  <c r="BF72" i="1"/>
  <c r="DB72" i="1"/>
  <c r="IJ72" i="1"/>
  <c r="HM73" i="1"/>
  <c r="CL73" i="1"/>
  <c r="IJ73" i="1"/>
  <c r="CT74" i="1"/>
  <c r="FB74" i="1"/>
  <c r="HQ75" i="1"/>
  <c r="FZ75" i="1"/>
  <c r="BN76" i="1"/>
  <c r="DV76" i="1"/>
  <c r="IC76" i="1"/>
  <c r="J77" i="1"/>
  <c r="HU77" i="1"/>
  <c r="CH77" i="1"/>
  <c r="DN77" i="1"/>
  <c r="HU81" i="1"/>
  <c r="CH81" i="1"/>
  <c r="HP84" i="1"/>
  <c r="HM85" i="1"/>
  <c r="GL85" i="1"/>
  <c r="DR72" i="1"/>
  <c r="IH72" i="1"/>
  <c r="FB72" i="1"/>
  <c r="GD72" i="1"/>
  <c r="GP72" i="1"/>
  <c r="HF72" i="1"/>
  <c r="R73" i="1"/>
  <c r="BR73" i="1"/>
  <c r="CD73" i="1"/>
  <c r="DJ73" i="1"/>
  <c r="DV73" i="1"/>
  <c r="EL73" i="1"/>
  <c r="EX73" i="1"/>
  <c r="FV73" i="1"/>
  <c r="GX73" i="1"/>
  <c r="R74" i="1"/>
  <c r="Z74" i="1"/>
  <c r="BJ74" i="1"/>
  <c r="CD74" i="1"/>
  <c r="DR74" i="1"/>
  <c r="HX74" i="1"/>
  <c r="EL74" i="1"/>
  <c r="ET74" i="1"/>
  <c r="FN74" i="1"/>
  <c r="V75" i="1"/>
  <c r="BN75" i="1"/>
  <c r="BV75" i="1"/>
  <c r="CD75" i="1"/>
  <c r="CL75" i="1"/>
  <c r="DB75" i="1"/>
  <c r="ET75" i="1"/>
  <c r="FB75" i="1"/>
  <c r="FR75" i="1"/>
  <c r="GD75" i="1"/>
  <c r="HB75" i="1"/>
  <c r="HM76" i="1"/>
  <c r="AD76" i="1"/>
  <c r="BF76" i="1"/>
  <c r="BR76" i="1"/>
  <c r="CT76" i="1"/>
  <c r="DR76" i="1"/>
  <c r="ET76" i="1"/>
  <c r="FF76" i="1"/>
  <c r="GD76" i="1"/>
  <c r="HF76" i="1"/>
  <c r="HH77" i="1"/>
  <c r="AT77" i="1"/>
  <c r="HQ77" i="1"/>
  <c r="BR77" i="1"/>
  <c r="CL77" i="1"/>
  <c r="DJ77" i="1"/>
  <c r="EL77" i="1"/>
  <c r="EX77" i="1"/>
  <c r="AH80" i="1"/>
  <c r="CP80" i="1"/>
  <c r="IB81" i="1"/>
  <c r="HF81" i="1"/>
  <c r="DV82" i="1"/>
  <c r="IC82" i="1"/>
  <c r="GL82" i="1"/>
  <c r="IG83" i="1"/>
  <c r="ED83" i="1"/>
  <c r="FJ72" i="1"/>
  <c r="FZ72" i="1"/>
  <c r="AL73" i="1"/>
  <c r="AX73" i="1"/>
  <c r="CP73" i="1"/>
  <c r="HT73" i="1"/>
  <c r="HY73" i="1"/>
  <c r="EP73" i="1"/>
  <c r="ID73" i="1"/>
  <c r="IK73" i="1"/>
  <c r="FR73" i="1"/>
  <c r="HB73" i="1"/>
  <c r="AD74" i="1"/>
  <c r="AX74" i="1"/>
  <c r="BF74" i="1"/>
  <c r="CL74" i="1"/>
  <c r="DF74" i="1"/>
  <c r="DN74" i="1"/>
  <c r="DZ74" i="1"/>
  <c r="GT74" i="1"/>
  <c r="BB75" i="1"/>
  <c r="HU75" i="1"/>
  <c r="CP75" i="1"/>
  <c r="CX75" i="1"/>
  <c r="HY75" i="1"/>
  <c r="FV75" i="1"/>
  <c r="GX75" i="1"/>
  <c r="Z76" i="1"/>
  <c r="AL76" i="1"/>
  <c r="HI76" i="1"/>
  <c r="HP76" i="1"/>
  <c r="BJ76" i="1"/>
  <c r="CL76" i="1"/>
  <c r="DZ76" i="1"/>
  <c r="EX76" i="1"/>
  <c r="FZ76" i="1"/>
  <c r="GL76" i="1"/>
  <c r="HY76" i="1"/>
  <c r="IB76" i="1"/>
  <c r="N77" i="1"/>
  <c r="AL77" i="1"/>
  <c r="BN77" i="1"/>
  <c r="BZ77" i="1"/>
  <c r="DR77" i="1"/>
  <c r="HY77" i="1"/>
  <c r="EP77" i="1"/>
  <c r="IK77" i="1"/>
  <c r="FR77" i="1"/>
  <c r="AH78" i="1"/>
  <c r="CP78" i="1"/>
  <c r="HF79" i="1"/>
  <c r="FB80" i="1"/>
  <c r="AP81" i="1"/>
  <c r="ET81" i="1"/>
  <c r="AT83" i="1"/>
  <c r="CX83" i="1"/>
  <c r="HT83" i="1"/>
  <c r="GP85" i="1"/>
  <c r="IJ85" i="1"/>
  <c r="HZ85" i="1"/>
  <c r="GH77" i="1"/>
  <c r="GT77" i="1"/>
  <c r="HM78" i="1"/>
  <c r="AD78" i="1"/>
  <c r="BF78" i="1"/>
  <c r="BR78" i="1"/>
  <c r="CT78" i="1"/>
  <c r="DR78" i="1"/>
  <c r="ET78" i="1"/>
  <c r="FF78" i="1"/>
  <c r="GD78" i="1"/>
  <c r="HF78" i="1"/>
  <c r="HH79" i="1"/>
  <c r="AT79" i="1"/>
  <c r="HQ79" i="1"/>
  <c r="BR79" i="1"/>
  <c r="CL79" i="1"/>
  <c r="DJ79" i="1"/>
  <c r="EL79" i="1"/>
  <c r="EX79" i="1"/>
  <c r="FV79" i="1"/>
  <c r="GX79" i="1"/>
  <c r="Z80" i="1"/>
  <c r="AL80" i="1"/>
  <c r="HI80" i="1"/>
  <c r="HP80" i="1"/>
  <c r="BJ80" i="1"/>
  <c r="CL80" i="1"/>
  <c r="DZ80" i="1"/>
  <c r="EX80" i="1"/>
  <c r="FZ80" i="1"/>
  <c r="GL80" i="1"/>
  <c r="HY80" i="1"/>
  <c r="IB80" i="1"/>
  <c r="N81" i="1"/>
  <c r="AL81" i="1"/>
  <c r="BN81" i="1"/>
  <c r="BZ81" i="1"/>
  <c r="DR81" i="1"/>
  <c r="HY81" i="1"/>
  <c r="EP81" i="1"/>
  <c r="IK81" i="1"/>
  <c r="FR81" i="1"/>
  <c r="GD81" i="1"/>
  <c r="HB81" i="1"/>
  <c r="HY82" i="1"/>
  <c r="FZ82" i="1"/>
  <c r="HB82" i="1"/>
  <c r="AH83" i="1"/>
  <c r="BJ83" i="1"/>
  <c r="BR83" i="1"/>
  <c r="HX83" i="1"/>
  <c r="HZ83" i="1" s="1"/>
  <c r="IJ83" i="1"/>
  <c r="IL83" i="1" s="1"/>
  <c r="GL83" i="1"/>
  <c r="DZ84" i="1"/>
  <c r="ED84" i="1"/>
  <c r="EP84" i="1"/>
  <c r="FR84" i="1"/>
  <c r="GT84" i="1"/>
  <c r="HB84" i="1"/>
  <c r="FN77" i="1"/>
  <c r="Z78" i="1"/>
  <c r="AL78" i="1"/>
  <c r="HI78" i="1"/>
  <c r="HP78" i="1"/>
  <c r="BJ78" i="1"/>
  <c r="CL78" i="1"/>
  <c r="DZ78" i="1"/>
  <c r="EX78" i="1"/>
  <c r="FZ78" i="1"/>
  <c r="GL78" i="1"/>
  <c r="HY78" i="1"/>
  <c r="IB78" i="1"/>
  <c r="ID78" i="1" s="1"/>
  <c r="N79" i="1"/>
  <c r="AL79" i="1"/>
  <c r="BN79" i="1"/>
  <c r="BZ79" i="1"/>
  <c r="DR79" i="1"/>
  <c r="HY79" i="1"/>
  <c r="EP79" i="1"/>
  <c r="IK79" i="1"/>
  <c r="FR79" i="1"/>
  <c r="GD79" i="1"/>
  <c r="HB79" i="1"/>
  <c r="HM80" i="1"/>
  <c r="AD80" i="1"/>
  <c r="BF80" i="1"/>
  <c r="BR80" i="1"/>
  <c r="CT80" i="1"/>
  <c r="DR80" i="1"/>
  <c r="FF80" i="1"/>
  <c r="GD80" i="1"/>
  <c r="HF80" i="1"/>
  <c r="HH81" i="1"/>
  <c r="AT81" i="1"/>
  <c r="BR81" i="1"/>
  <c r="CL81" i="1"/>
  <c r="DJ81" i="1"/>
  <c r="EL81" i="1"/>
  <c r="EX81" i="1"/>
  <c r="FV81" i="1"/>
  <c r="GX81" i="1"/>
  <c r="CX82" i="1"/>
  <c r="FF82" i="1"/>
  <c r="FV82" i="1"/>
  <c r="GD82" i="1"/>
  <c r="HF82" i="1"/>
  <c r="AD83" i="1"/>
  <c r="AL83" i="1"/>
  <c r="AX83" i="1"/>
  <c r="CL83" i="1"/>
  <c r="CT83" i="1"/>
  <c r="FF83" i="1"/>
  <c r="FJ83" i="1"/>
  <c r="IH84" i="1"/>
  <c r="EH84" i="1"/>
  <c r="FN84" i="1"/>
  <c r="GX84" i="1"/>
  <c r="HE10" i="3"/>
  <c r="EH10" i="3"/>
  <c r="GW11" i="3"/>
  <c r="DM76" i="3"/>
  <c r="GK10" i="3"/>
  <c r="CH10" i="3"/>
  <c r="CP10" i="3"/>
  <c r="HR10" i="3"/>
  <c r="ED11" i="3"/>
  <c r="GE12" i="3"/>
  <c r="GS14" i="3"/>
  <c r="AL14" i="3"/>
  <c r="CL14" i="3"/>
  <c r="Q76" i="3"/>
  <c r="AF76" i="3"/>
  <c r="HO9" i="3"/>
  <c r="HM10" i="3"/>
  <c r="HO10" i="3" s="1"/>
  <c r="DR11" i="3"/>
  <c r="HM11" i="3"/>
  <c r="HO11" i="3" s="1"/>
  <c r="GT11" i="3"/>
  <c r="CK76" i="3"/>
  <c r="FW76" i="3"/>
  <c r="GX10" i="3"/>
  <c r="BF10" i="3"/>
  <c r="GP11" i="3"/>
  <c r="GS11" i="3"/>
  <c r="DV12" i="3"/>
  <c r="HO18" i="3"/>
  <c r="GY12" i="3"/>
  <c r="GX12" i="3"/>
  <c r="CH12" i="3"/>
  <c r="HE12" i="3"/>
  <c r="EP12" i="3"/>
  <c r="FX12" i="3"/>
  <c r="CP13" i="3"/>
  <c r="CX13" i="3"/>
  <c r="EH13" i="3"/>
  <c r="HQ13" i="3"/>
  <c r="FI13" i="3"/>
  <c r="HB14" i="3"/>
  <c r="CD14" i="3"/>
  <c r="HF14" i="3"/>
  <c r="DV14" i="3"/>
  <c r="HR14" i="3"/>
  <c r="EW14" i="3"/>
  <c r="GE14" i="3"/>
  <c r="GK15" i="3"/>
  <c r="BZ15" i="3"/>
  <c r="HO15" i="3"/>
  <c r="FA15" i="3"/>
  <c r="GB15" i="3"/>
  <c r="BR16" i="3"/>
  <c r="DJ16" i="3"/>
  <c r="EL16" i="3"/>
  <c r="FT16" i="3"/>
  <c r="HM16" i="3"/>
  <c r="HO16" i="3" s="1"/>
  <c r="GL17" i="3"/>
  <c r="GX17" i="3"/>
  <c r="BV17" i="3"/>
  <c r="ED17" i="3"/>
  <c r="FE17" i="3"/>
  <c r="DZ18" i="3"/>
  <c r="EL18" i="3"/>
  <c r="GE18" i="3"/>
  <c r="EL19" i="3"/>
  <c r="FE19" i="3"/>
  <c r="HM19" i="3"/>
  <c r="HO19" i="3" s="1"/>
  <c r="BR20" i="3"/>
  <c r="CL20" i="3"/>
  <c r="DZ20" i="3"/>
  <c r="HI20" i="3"/>
  <c r="HK20" i="3" s="1"/>
  <c r="FE20" i="3"/>
  <c r="FX20" i="3"/>
  <c r="GI20" i="3"/>
  <c r="BJ21" i="3"/>
  <c r="BV21" i="3"/>
  <c r="CP21" i="3"/>
  <c r="CX21" i="3"/>
  <c r="HO21" i="3"/>
  <c r="ED21" i="3"/>
  <c r="EW21" i="3"/>
  <c r="FI21" i="3"/>
  <c r="GB21" i="3"/>
  <c r="HJ22" i="3"/>
  <c r="GL23" i="3"/>
  <c r="HA23" i="3"/>
  <c r="HC23" i="3" s="1"/>
  <c r="DB23" i="3"/>
  <c r="HF23" i="3"/>
  <c r="DV23" i="3"/>
  <c r="EH23" i="3"/>
  <c r="HS23" i="3"/>
  <c r="FM23" i="3"/>
  <c r="GE23" i="3"/>
  <c r="CH24" i="3"/>
  <c r="HF24" i="3"/>
  <c r="BR25" i="3"/>
  <c r="CL25" i="3"/>
  <c r="DZ25" i="3"/>
  <c r="FE25" i="3"/>
  <c r="FX25" i="3"/>
  <c r="GI25" i="3"/>
  <c r="HE27" i="3"/>
  <c r="DN27" i="3"/>
  <c r="HO27" i="3"/>
  <c r="HM28" i="3"/>
  <c r="HO28" i="3" s="1"/>
  <c r="HQ29" i="3"/>
  <c r="EP29" i="3"/>
  <c r="GO35" i="3"/>
  <c r="AH35" i="3"/>
  <c r="AL40" i="3"/>
  <c r="GS40" i="3"/>
  <c r="HF41" i="3"/>
  <c r="DN41" i="3"/>
  <c r="GX45" i="3"/>
  <c r="BF45" i="3"/>
  <c r="GX51" i="3"/>
  <c r="BF51" i="3"/>
  <c r="ES53" i="3"/>
  <c r="HI53" i="3"/>
  <c r="HK53" i="3" s="1"/>
  <c r="GX58" i="3"/>
  <c r="BF58" i="3"/>
  <c r="HQ58" i="3"/>
  <c r="HS58" i="3" s="1"/>
  <c r="EP58" i="3"/>
  <c r="GK22" i="3"/>
  <c r="EP26" i="3"/>
  <c r="GS26" i="3"/>
  <c r="GT26" i="3" s="1"/>
  <c r="GL28" i="3"/>
  <c r="GX29" i="3"/>
  <c r="GY29" i="3" s="1"/>
  <c r="HR29" i="3"/>
  <c r="HQ30" i="3"/>
  <c r="DV35" i="3"/>
  <c r="GE35" i="3"/>
  <c r="GK37" i="3"/>
  <c r="AH37" i="3"/>
  <c r="HQ39" i="3"/>
  <c r="GS47" i="3"/>
  <c r="AL47" i="3"/>
  <c r="I76" i="3"/>
  <c r="Y76" i="3"/>
  <c r="CF76" i="3"/>
  <c r="DH76" i="3"/>
  <c r="EC76" i="3"/>
  <c r="FR76" i="3"/>
  <c r="GS9" i="3"/>
  <c r="GT9" i="3" s="1"/>
  <c r="GP10" i="3"/>
  <c r="HB10" i="3"/>
  <c r="CX10" i="3"/>
  <c r="HS10" i="3"/>
  <c r="FI10" i="3"/>
  <c r="BJ11" i="3"/>
  <c r="HA11" i="3"/>
  <c r="HE11" i="3"/>
  <c r="HG11" i="3" s="1"/>
  <c r="GT12" i="3"/>
  <c r="BN12" i="3"/>
  <c r="HB12" i="3"/>
  <c r="DB12" i="3"/>
  <c r="FM12" i="3"/>
  <c r="GP13" i="3"/>
  <c r="HB13" i="3"/>
  <c r="CD13" i="3"/>
  <c r="HF13" i="3"/>
  <c r="DV13" i="3"/>
  <c r="EP13" i="3"/>
  <c r="HR13" i="3"/>
  <c r="GK14" i="3"/>
  <c r="BR14" i="3"/>
  <c r="DJ14" i="3"/>
  <c r="HO14" i="3"/>
  <c r="HI14" i="3"/>
  <c r="FT14" i="3"/>
  <c r="GL15" i="3"/>
  <c r="HB15" i="3"/>
  <c r="HC15" i="3" s="1"/>
  <c r="HR15" i="3"/>
  <c r="HS15" i="3" s="1"/>
  <c r="EW15" i="3"/>
  <c r="GE15" i="3"/>
  <c r="GX16" i="3"/>
  <c r="BN16" i="3"/>
  <c r="HA16" i="3"/>
  <c r="CX16" i="3"/>
  <c r="HE16" i="3"/>
  <c r="HS16" i="3"/>
  <c r="FI16" i="3"/>
  <c r="FQ16" i="3"/>
  <c r="GO17" i="3"/>
  <c r="BJ17" i="3"/>
  <c r="GB17" i="3"/>
  <c r="CL18" i="3"/>
  <c r="HF18" i="3"/>
  <c r="HG18" i="3" s="1"/>
  <c r="F19" i="3"/>
  <c r="HB19" i="3"/>
  <c r="CD19" i="3"/>
  <c r="HF19" i="3"/>
  <c r="HG19" i="3" s="1"/>
  <c r="FA19" i="3"/>
  <c r="GW19" i="3"/>
  <c r="AL20" i="3"/>
  <c r="HA20" i="3"/>
  <c r="GW21" i="3"/>
  <c r="GL22" i="3"/>
  <c r="EP22" i="3"/>
  <c r="BV23" i="3"/>
  <c r="EP23" i="3"/>
  <c r="CD24" i="3"/>
  <c r="HR24" i="3"/>
  <c r="HS24" i="3" s="1"/>
  <c r="GP25" i="3"/>
  <c r="AL25" i="3"/>
  <c r="HA25" i="3"/>
  <c r="HC25" i="3" s="1"/>
  <c r="FT25" i="3"/>
  <c r="Z26" i="3"/>
  <c r="HA27" i="3"/>
  <c r="HR27" i="3"/>
  <c r="HC28" i="3"/>
  <c r="HE28" i="3"/>
  <c r="HG28" i="3" s="1"/>
  <c r="BN29" i="3"/>
  <c r="DJ29" i="3"/>
  <c r="FT29" i="3"/>
  <c r="CX32" i="3"/>
  <c r="FI32" i="3"/>
  <c r="CH33" i="3"/>
  <c r="CL34" i="3"/>
  <c r="GL36" i="3"/>
  <c r="F36" i="3"/>
  <c r="GW36" i="3"/>
  <c r="BN36" i="3"/>
  <c r="HJ36" i="3"/>
  <c r="BR37" i="3"/>
  <c r="GT40" i="3"/>
  <c r="BI76" i="3"/>
  <c r="DX76" i="3"/>
  <c r="ER76" i="3"/>
  <c r="GG76" i="3"/>
  <c r="GL10" i="3"/>
  <c r="BR10" i="3"/>
  <c r="CL10" i="3"/>
  <c r="HF10" i="3"/>
  <c r="DV10" i="3"/>
  <c r="FE10" i="3"/>
  <c r="FX10" i="3"/>
  <c r="GE10" i="3"/>
  <c r="GT10" i="3"/>
  <c r="GK11" i="3"/>
  <c r="GM11" i="3" s="1"/>
  <c r="GX11" i="3"/>
  <c r="BV11" i="3"/>
  <c r="CD11" i="3"/>
  <c r="CX11" i="3"/>
  <c r="DF11" i="3"/>
  <c r="HQ11" i="3"/>
  <c r="HS11" i="3" s="1"/>
  <c r="FI11" i="3"/>
  <c r="FQ11" i="3"/>
  <c r="AL12" i="3"/>
  <c r="BJ12" i="3"/>
  <c r="BR12" i="3"/>
  <c r="CX12" i="3"/>
  <c r="DZ12" i="3"/>
  <c r="FI12" i="3"/>
  <c r="GI12" i="3"/>
  <c r="HQ12" i="3"/>
  <c r="HS12" i="3" s="1"/>
  <c r="J13" i="3"/>
  <c r="GL13" i="3"/>
  <c r="GW13" i="3"/>
  <c r="GY13" i="3" s="1"/>
  <c r="HO13" i="3"/>
  <c r="EL13" i="3"/>
  <c r="HI13" i="3"/>
  <c r="GB13" i="3"/>
  <c r="GL14" i="3"/>
  <c r="GW14" i="3"/>
  <c r="HA14" i="3"/>
  <c r="HC14" i="3" s="1"/>
  <c r="GX14" i="3"/>
  <c r="CP14" i="3"/>
  <c r="DF14" i="3"/>
  <c r="DZ14" i="3"/>
  <c r="EH14" i="3"/>
  <c r="HQ14" i="3"/>
  <c r="HS14" i="3" s="1"/>
  <c r="HJ14" i="3"/>
  <c r="FQ14" i="3"/>
  <c r="GI14" i="3"/>
  <c r="BV15" i="3"/>
  <c r="DB15" i="3"/>
  <c r="EL15" i="3"/>
  <c r="FM15" i="3"/>
  <c r="GS15" i="3"/>
  <c r="GT15" i="3" s="1"/>
  <c r="GK16" i="3"/>
  <c r="CD16" i="3"/>
  <c r="HF16" i="3"/>
  <c r="DV16" i="3"/>
  <c r="FE16" i="3"/>
  <c r="GE16" i="3"/>
  <c r="BZ17" i="3"/>
  <c r="CH17" i="3"/>
  <c r="HE17" i="3"/>
  <c r="HG17" i="3" s="1"/>
  <c r="HF17" i="3"/>
  <c r="EP17" i="3"/>
  <c r="FX17" i="3"/>
  <c r="GW18" i="3"/>
  <c r="GY18" i="3" s="1"/>
  <c r="CH18" i="3"/>
  <c r="DJ18" i="3"/>
  <c r="FE18" i="3"/>
  <c r="FQ18" i="3"/>
  <c r="AL19" i="3"/>
  <c r="BR19" i="3"/>
  <c r="DJ19" i="3"/>
  <c r="DN19" i="3"/>
  <c r="DV19" i="3"/>
  <c r="FI19" i="3"/>
  <c r="FQ19" i="3"/>
  <c r="GI19" i="3"/>
  <c r="HB20" i="3"/>
  <c r="GT21" i="3"/>
  <c r="GX21" i="3"/>
  <c r="HF21" i="3"/>
  <c r="HJ21" i="3"/>
  <c r="F22" i="3"/>
  <c r="GX22" i="3"/>
  <c r="GW22" i="3"/>
  <c r="CL22" i="3"/>
  <c r="DB22" i="3"/>
  <c r="EH22" i="3"/>
  <c r="FM22" i="3"/>
  <c r="FX22" i="3"/>
  <c r="BZ23" i="3"/>
  <c r="DF24" i="3"/>
  <c r="HE24" i="3"/>
  <c r="HG24" i="3" s="1"/>
  <c r="DZ24" i="3"/>
  <c r="EL24" i="3"/>
  <c r="FE24" i="3"/>
  <c r="FQ24" i="3"/>
  <c r="GI24" i="3"/>
  <c r="J25" i="3"/>
  <c r="GL26" i="3"/>
  <c r="HA26" i="3"/>
  <c r="HC26" i="3" s="1"/>
  <c r="DB26" i="3"/>
  <c r="HF26" i="3"/>
  <c r="DV26" i="3"/>
  <c r="EH26" i="3"/>
  <c r="HS26" i="3"/>
  <c r="HI26" i="3"/>
  <c r="FM26" i="3"/>
  <c r="GE26" i="3"/>
  <c r="CD27" i="3"/>
  <c r="EL27" i="3"/>
  <c r="ES27" i="3"/>
  <c r="CD28" i="3"/>
  <c r="FI28" i="3"/>
  <c r="HJ29" i="3"/>
  <c r="GL30" i="3"/>
  <c r="F30" i="3"/>
  <c r="GW30" i="3"/>
  <c r="BN30" i="3"/>
  <c r="BN33" i="3"/>
  <c r="FE33" i="3"/>
  <c r="DZ34" i="3"/>
  <c r="GI34" i="3"/>
  <c r="HM35" i="3"/>
  <c r="DR35" i="3"/>
  <c r="FA35" i="3"/>
  <c r="EP36" i="3"/>
  <c r="HQ36" i="3"/>
  <c r="HR37" i="3"/>
  <c r="EP37" i="3"/>
  <c r="GX39" i="3"/>
  <c r="BF39" i="3"/>
  <c r="DV39" i="3"/>
  <c r="HF39" i="3"/>
  <c r="DR46" i="3"/>
  <c r="HM46" i="3"/>
  <c r="HO46" i="3" s="1"/>
  <c r="HE46" i="3"/>
  <c r="EH46" i="3"/>
  <c r="GS48" i="3"/>
  <c r="GT48" i="3" s="1"/>
  <c r="AL48" i="3"/>
  <c r="GX30" i="3"/>
  <c r="HF30" i="3"/>
  <c r="HJ30" i="3"/>
  <c r="GW31" i="3"/>
  <c r="HF32" i="3"/>
  <c r="GP33" i="3"/>
  <c r="DF33" i="3"/>
  <c r="HJ33" i="3"/>
  <c r="HF34" i="3"/>
  <c r="HI34" i="3"/>
  <c r="GX36" i="3"/>
  <c r="GW37" i="3"/>
  <c r="DN37" i="3"/>
  <c r="HR38" i="3"/>
  <c r="HJ38" i="3"/>
  <c r="GW39" i="3"/>
  <c r="HR39" i="3"/>
  <c r="HJ40" i="3"/>
  <c r="GX41" i="3"/>
  <c r="GS42" i="3"/>
  <c r="AL42" i="3"/>
  <c r="HF42" i="3"/>
  <c r="HG42" i="3" s="1"/>
  <c r="EP43" i="3"/>
  <c r="HQ43" i="3"/>
  <c r="GW44" i="3"/>
  <c r="HE45" i="3"/>
  <c r="DN45" i="3"/>
  <c r="DR47" i="3"/>
  <c r="HM47" i="3"/>
  <c r="HO47" i="3" s="1"/>
  <c r="GT47" i="3"/>
  <c r="HJ48" i="3"/>
  <c r="HQ57" i="3"/>
  <c r="EP57" i="3"/>
  <c r="GX27" i="3"/>
  <c r="DJ27" i="3"/>
  <c r="DV27" i="3"/>
  <c r="HQ27" i="3"/>
  <c r="HS27" i="3" s="1"/>
  <c r="FA27" i="3"/>
  <c r="FT27" i="3"/>
  <c r="GE27" i="3"/>
  <c r="GT28" i="3"/>
  <c r="HJ28" i="3"/>
  <c r="HK28" i="3" s="1"/>
  <c r="HB29" i="3"/>
  <c r="BF30" i="3"/>
  <c r="BV30" i="3"/>
  <c r="GO30" i="3"/>
  <c r="CX30" i="3"/>
  <c r="HO30" i="3"/>
  <c r="ED30" i="3"/>
  <c r="EW30" i="3"/>
  <c r="FI30" i="3"/>
  <c r="GB30" i="3"/>
  <c r="GX31" i="3"/>
  <c r="GY31" i="3" s="1"/>
  <c r="HA31" i="3"/>
  <c r="DB31" i="3"/>
  <c r="HF31" i="3"/>
  <c r="DV31" i="3"/>
  <c r="EH31" i="3"/>
  <c r="HS31" i="3"/>
  <c r="HI31" i="3"/>
  <c r="FM31" i="3"/>
  <c r="GE31" i="3"/>
  <c r="HA32" i="3"/>
  <c r="DB32" i="3"/>
  <c r="DV32" i="3"/>
  <c r="EH32" i="3"/>
  <c r="FA32" i="3"/>
  <c r="GT33" i="3"/>
  <c r="HB33" i="3"/>
  <c r="CD33" i="3"/>
  <c r="CL33" i="3"/>
  <c r="DB33" i="3"/>
  <c r="HR33" i="3"/>
  <c r="FI33" i="3"/>
  <c r="BJ34" i="3"/>
  <c r="CP34" i="3"/>
  <c r="BR35" i="3"/>
  <c r="HG35" i="3"/>
  <c r="DZ35" i="3"/>
  <c r="FE35" i="3"/>
  <c r="GI35" i="3"/>
  <c r="AL36" i="3"/>
  <c r="FM36" i="3"/>
  <c r="FX36" i="3"/>
  <c r="GE36" i="3"/>
  <c r="CP37" i="3"/>
  <c r="DF37" i="3"/>
  <c r="DZ37" i="3"/>
  <c r="EP38" i="3"/>
  <c r="EW38" i="3"/>
  <c r="FE38" i="3"/>
  <c r="CH39" i="3"/>
  <c r="BV40" i="3"/>
  <c r="HG40" i="3"/>
  <c r="EH40" i="3"/>
  <c r="HQ40" i="3"/>
  <c r="EP40" i="3"/>
  <c r="BR42" i="3"/>
  <c r="BZ42" i="3"/>
  <c r="HI42" i="3"/>
  <c r="HK42" i="3" s="1"/>
  <c r="EW43" i="3"/>
  <c r="FA44" i="3"/>
  <c r="CH45" i="3"/>
  <c r="GI45" i="3"/>
  <c r="BR46" i="3"/>
  <c r="BZ46" i="3"/>
  <c r="EL46" i="3"/>
  <c r="HR46" i="3"/>
  <c r="FT46" i="3"/>
  <c r="GB46" i="3"/>
  <c r="CL47" i="3"/>
  <c r="GX48" i="3"/>
  <c r="EH48" i="3"/>
  <c r="EP48" i="3"/>
  <c r="HQ48" i="3"/>
  <c r="HB49" i="3"/>
  <c r="GL50" i="3"/>
  <c r="GE50" i="3"/>
  <c r="AL51" i="3"/>
  <c r="CH52" i="3"/>
  <c r="HJ56" i="3"/>
  <c r="BZ29" i="3"/>
  <c r="CL29" i="3"/>
  <c r="DB29" i="3"/>
  <c r="EH29" i="3"/>
  <c r="FM29" i="3"/>
  <c r="FX29" i="3"/>
  <c r="EP30" i="3"/>
  <c r="BJ31" i="3"/>
  <c r="HB31" i="3"/>
  <c r="CD31" i="3"/>
  <c r="CP31" i="3"/>
  <c r="CP32" i="3"/>
  <c r="GW33" i="3"/>
  <c r="BZ33" i="3"/>
  <c r="ED33" i="3"/>
  <c r="FX33" i="3"/>
  <c r="EW34" i="3"/>
  <c r="GB34" i="3"/>
  <c r="GS34" i="3"/>
  <c r="GT35" i="3"/>
  <c r="HJ35" i="3"/>
  <c r="GK36" i="3"/>
  <c r="GM36" i="3" s="1"/>
  <c r="HB36" i="3"/>
  <c r="EH36" i="3"/>
  <c r="FA36" i="3"/>
  <c r="BJ37" i="3"/>
  <c r="HB37" i="3"/>
  <c r="CD37" i="3"/>
  <c r="CP38" i="3"/>
  <c r="DZ38" i="3"/>
  <c r="HA39" i="3"/>
  <c r="HB40" i="3"/>
  <c r="HR40" i="3"/>
  <c r="CH41" i="3"/>
  <c r="EH41" i="3"/>
  <c r="HQ41" i="3"/>
  <c r="DZ42" i="3"/>
  <c r="EH42" i="3"/>
  <c r="GS43" i="3"/>
  <c r="GT43" i="3" s="1"/>
  <c r="AL43" i="3"/>
  <c r="CH43" i="3"/>
  <c r="DV43" i="3"/>
  <c r="DZ44" i="3"/>
  <c r="HQ44" i="3"/>
  <c r="EP44" i="3"/>
  <c r="HA45" i="3"/>
  <c r="BV45" i="3"/>
  <c r="HO45" i="3"/>
  <c r="FI45" i="3"/>
  <c r="DV47" i="3"/>
  <c r="HR47" i="3"/>
  <c r="FE47" i="3"/>
  <c r="FM47" i="3"/>
  <c r="HK49" i="3"/>
  <c r="GB49" i="3"/>
  <c r="GI49" i="3"/>
  <c r="HO50" i="3"/>
  <c r="DJ51" i="3"/>
  <c r="FA51" i="3"/>
  <c r="HA54" i="3"/>
  <c r="HC54" i="3" s="1"/>
  <c r="GL40" i="3"/>
  <c r="HO41" i="3"/>
  <c r="HR41" i="3"/>
  <c r="HA42" i="3"/>
  <c r="DB43" i="3"/>
  <c r="FM43" i="3"/>
  <c r="GX44" i="3"/>
  <c r="GY44" i="3" s="1"/>
  <c r="BN44" i="3"/>
  <c r="DF44" i="3"/>
  <c r="HR44" i="3"/>
  <c r="FQ44" i="3"/>
  <c r="HA46" i="3"/>
  <c r="CX46" i="3"/>
  <c r="FI46" i="3"/>
  <c r="HE47" i="3"/>
  <c r="BZ48" i="3"/>
  <c r="EW48" i="3"/>
  <c r="GK49" i="3"/>
  <c r="BR49" i="3"/>
  <c r="FQ49" i="3"/>
  <c r="GP50" i="3"/>
  <c r="HF50" i="3"/>
  <c r="HF51" i="3"/>
  <c r="HF52" i="3"/>
  <c r="GS53" i="3"/>
  <c r="AL53" i="3"/>
  <c r="GX55" i="3"/>
  <c r="CP57" i="3"/>
  <c r="CX58" i="3"/>
  <c r="GL60" i="3"/>
  <c r="HF60" i="3"/>
  <c r="HG60" i="3" s="1"/>
  <c r="HQ61" i="3"/>
  <c r="BV36" i="3"/>
  <c r="CX36" i="3"/>
  <c r="ED36" i="3"/>
  <c r="FI36" i="3"/>
  <c r="HA37" i="3"/>
  <c r="DB37" i="3"/>
  <c r="HF37" i="3"/>
  <c r="HG37" i="3" s="1"/>
  <c r="EH37" i="3"/>
  <c r="HI37" i="3"/>
  <c r="FM37" i="3"/>
  <c r="HA38" i="3"/>
  <c r="DB38" i="3"/>
  <c r="HF38" i="3"/>
  <c r="DV38" i="3"/>
  <c r="HS38" i="3"/>
  <c r="HI38" i="3"/>
  <c r="HK38" i="3" s="1"/>
  <c r="FM38" i="3"/>
  <c r="GE38" i="3"/>
  <c r="F40" i="3"/>
  <c r="GX40" i="3"/>
  <c r="GW40" i="3"/>
  <c r="GY40" i="3" s="1"/>
  <c r="BZ40" i="3"/>
  <c r="HI40" i="3"/>
  <c r="GK41" i="3"/>
  <c r="AL41" i="3"/>
  <c r="DF41" i="3"/>
  <c r="HE41" i="3"/>
  <c r="HG41" i="3" s="1"/>
  <c r="DZ41" i="3"/>
  <c r="EL41" i="3"/>
  <c r="FE41" i="3"/>
  <c r="FQ41" i="3"/>
  <c r="GI41" i="3"/>
  <c r="HB42" i="3"/>
  <c r="GI42" i="3"/>
  <c r="BJ43" i="3"/>
  <c r="BR43" i="3"/>
  <c r="CX43" i="3"/>
  <c r="DZ43" i="3"/>
  <c r="FI43" i="3"/>
  <c r="GB43" i="3"/>
  <c r="GI43" i="3"/>
  <c r="AH44" i="3"/>
  <c r="BJ44" i="3"/>
  <c r="HB44" i="3"/>
  <c r="CD44" i="3"/>
  <c r="CL44" i="3"/>
  <c r="DB44" i="3"/>
  <c r="HF44" i="3"/>
  <c r="DV44" i="3"/>
  <c r="ED44" i="3"/>
  <c r="FM44" i="3"/>
  <c r="GE44" i="3"/>
  <c r="BJ45" i="3"/>
  <c r="DB45" i="3"/>
  <c r="EL45" i="3"/>
  <c r="FE45" i="3"/>
  <c r="FM45" i="3"/>
  <c r="BV46" i="3"/>
  <c r="CD46" i="3"/>
  <c r="DV46" i="3"/>
  <c r="FE46" i="3"/>
  <c r="FX46" i="3"/>
  <c r="GE46" i="3"/>
  <c r="GP47" i="3"/>
  <c r="BN47" i="3"/>
  <c r="HA47" i="3"/>
  <c r="CX47" i="3"/>
  <c r="DF47" i="3"/>
  <c r="FI47" i="3"/>
  <c r="FQ47" i="3"/>
  <c r="GW48" i="3"/>
  <c r="BN48" i="3"/>
  <c r="CP48" i="3"/>
  <c r="GI48" i="3"/>
  <c r="DF49" i="3"/>
  <c r="DJ50" i="3"/>
  <c r="DR50" i="3"/>
  <c r="GW51" i="3"/>
  <c r="BR51" i="3"/>
  <c r="FT51" i="3"/>
  <c r="AH52" i="3"/>
  <c r="BJ52" i="3"/>
  <c r="HB52" i="3"/>
  <c r="DZ52" i="3"/>
  <c r="BV53" i="3"/>
  <c r="CX54" i="3"/>
  <c r="HE54" i="3"/>
  <c r="EH54" i="3"/>
  <c r="GW55" i="3"/>
  <c r="GY55" i="3" s="1"/>
  <c r="BN55" i="3"/>
  <c r="HQ55" i="3"/>
  <c r="FX55" i="3"/>
  <c r="GE55" i="3"/>
  <c r="GW58" i="3"/>
  <c r="GY58" i="3" s="1"/>
  <c r="GX59" i="3"/>
  <c r="BV59" i="3"/>
  <c r="GS60" i="3"/>
  <c r="GT60" i="3" s="1"/>
  <c r="AL60" i="3"/>
  <c r="HB48" i="3"/>
  <c r="CL48" i="3"/>
  <c r="DB48" i="3"/>
  <c r="DJ48" i="3"/>
  <c r="FM48" i="3"/>
  <c r="FT48" i="3"/>
  <c r="CD49" i="3"/>
  <c r="CL49" i="3"/>
  <c r="DB49" i="3"/>
  <c r="HF49" i="3"/>
  <c r="DV49" i="3"/>
  <c r="ED49" i="3"/>
  <c r="FM49" i="3"/>
  <c r="GE49" i="3"/>
  <c r="CD50" i="3"/>
  <c r="CL50" i="3"/>
  <c r="DF50" i="3"/>
  <c r="HE50" i="3"/>
  <c r="HG50" i="3" s="1"/>
  <c r="FI50" i="3"/>
  <c r="FQ50" i="3"/>
  <c r="BV51" i="3"/>
  <c r="DB51" i="3"/>
  <c r="ED51" i="3"/>
  <c r="HR51" i="3"/>
  <c r="FE51" i="3"/>
  <c r="FM51" i="3"/>
  <c r="GX52" i="3"/>
  <c r="BV52" i="3"/>
  <c r="DN52" i="3"/>
  <c r="HE52" i="3"/>
  <c r="EW52" i="3"/>
  <c r="FE52" i="3"/>
  <c r="HF53" i="3"/>
  <c r="FE53" i="3"/>
  <c r="GO54" i="3"/>
  <c r="BJ54" i="3"/>
  <c r="HO54" i="3"/>
  <c r="HJ54" i="3"/>
  <c r="FA54" i="3"/>
  <c r="DV55" i="3"/>
  <c r="BN56" i="3"/>
  <c r="CP56" i="3"/>
  <c r="CX56" i="3"/>
  <c r="HE56" i="3"/>
  <c r="BV57" i="3"/>
  <c r="FA57" i="3"/>
  <c r="GL58" i="3"/>
  <c r="FM58" i="3"/>
  <c r="FT58" i="3"/>
  <c r="BR60" i="3"/>
  <c r="BZ60" i="3"/>
  <c r="HK60" i="3"/>
  <c r="GW71" i="3"/>
  <c r="BZ71" i="3"/>
  <c r="GX56" i="3"/>
  <c r="FQ56" i="3"/>
  <c r="EH57" i="3"/>
  <c r="HJ58" i="3"/>
  <c r="FA58" i="3"/>
  <c r="EH59" i="3"/>
  <c r="HQ59" i="3"/>
  <c r="HS59" i="3" s="1"/>
  <c r="DZ60" i="3"/>
  <c r="EH60" i="3"/>
  <c r="FI66" i="3"/>
  <c r="GK68" i="3"/>
  <c r="GO68" i="3"/>
  <c r="HI52" i="3"/>
  <c r="FA52" i="3"/>
  <c r="HO53" i="3"/>
  <c r="GL54" i="3"/>
  <c r="CD54" i="3"/>
  <c r="DF54" i="3"/>
  <c r="HF54" i="3"/>
  <c r="FE54" i="3"/>
  <c r="FQ54" i="3"/>
  <c r="CL55" i="3"/>
  <c r="FE55" i="3"/>
  <c r="GK56" i="3"/>
  <c r="BV56" i="3"/>
  <c r="DN56" i="3"/>
  <c r="EL56" i="3"/>
  <c r="FM56" i="3"/>
  <c r="FX56" i="3"/>
  <c r="HR56" i="3"/>
  <c r="HR57" i="3"/>
  <c r="GB57" i="3"/>
  <c r="BV58" i="3"/>
  <c r="CL58" i="3"/>
  <c r="DN58" i="3"/>
  <c r="FQ58" i="3"/>
  <c r="HO59" i="3"/>
  <c r="HR59" i="3"/>
  <c r="HA60" i="3"/>
  <c r="CX60" i="3"/>
  <c r="DJ60" i="3"/>
  <c r="ED60" i="3"/>
  <c r="GW61" i="3"/>
  <c r="BN61" i="3"/>
  <c r="HN64" i="3"/>
  <c r="DR64" i="3"/>
  <c r="EW64" i="3"/>
  <c r="HB64" i="3"/>
  <c r="HB66" i="3"/>
  <c r="GX69" i="3"/>
  <c r="BF69" i="3"/>
  <c r="HE69" i="3"/>
  <c r="HG69" i="3" s="1"/>
  <c r="DN69" i="3"/>
  <c r="DF73" i="3"/>
  <c r="BR74" i="3"/>
  <c r="CD75" i="3"/>
  <c r="EH52" i="3"/>
  <c r="HJ52" i="3"/>
  <c r="FI52" i="3"/>
  <c r="CP53" i="3"/>
  <c r="DF53" i="3"/>
  <c r="HE53" i="3"/>
  <c r="EH53" i="3"/>
  <c r="FQ53" i="3"/>
  <c r="CH54" i="3"/>
  <c r="DJ54" i="3"/>
  <c r="DV54" i="3"/>
  <c r="HI54" i="3"/>
  <c r="FT54" i="3"/>
  <c r="BZ55" i="3"/>
  <c r="CX55" i="3"/>
  <c r="EH55" i="3"/>
  <c r="FI55" i="3"/>
  <c r="AH56" i="3"/>
  <c r="FA56" i="3"/>
  <c r="GB56" i="3"/>
  <c r="CH57" i="3"/>
  <c r="DB57" i="3"/>
  <c r="DJ57" i="3"/>
  <c r="BZ58" i="3"/>
  <c r="HI58" i="3"/>
  <c r="DF59" i="3"/>
  <c r="HE59" i="3"/>
  <c r="HG59" i="3" s="1"/>
  <c r="DZ59" i="3"/>
  <c r="EL59" i="3"/>
  <c r="FE59" i="3"/>
  <c r="FQ59" i="3"/>
  <c r="GI59" i="3"/>
  <c r="HB60" i="3"/>
  <c r="HR60" i="3"/>
  <c r="GE60" i="3"/>
  <c r="ED62" i="3"/>
  <c r="HR62" i="3"/>
  <c r="HR63" i="3"/>
  <c r="EP63" i="3"/>
  <c r="FT63" i="3"/>
  <c r="GB64" i="3"/>
  <c r="GW64" i="3"/>
  <c r="GY64" i="3" s="1"/>
  <c r="FA65" i="3"/>
  <c r="GT65" i="3"/>
  <c r="HA65" i="3"/>
  <c r="HE68" i="3"/>
  <c r="HG68" i="3" s="1"/>
  <c r="EH68" i="3"/>
  <c r="CH73" i="3"/>
  <c r="BJ74" i="3"/>
  <c r="HB75" i="3"/>
  <c r="GX61" i="3"/>
  <c r="HF61" i="3"/>
  <c r="HJ61" i="3"/>
  <c r="GW62" i="3"/>
  <c r="HA62" i="3"/>
  <c r="DJ62" i="3"/>
  <c r="DZ62" i="3"/>
  <c r="EL62" i="3"/>
  <c r="FE62" i="3"/>
  <c r="FQ62" i="3"/>
  <c r="GI62" i="3"/>
  <c r="GP63" i="3"/>
  <c r="DZ64" i="3"/>
  <c r="FE64" i="3"/>
  <c r="HF65" i="3"/>
  <c r="EP65" i="3"/>
  <c r="EW65" i="3"/>
  <c r="FX65" i="3"/>
  <c r="EH66" i="3"/>
  <c r="HR66" i="3"/>
  <c r="HS66" i="3" s="1"/>
  <c r="GE66" i="3"/>
  <c r="GT66" i="3"/>
  <c r="BR68" i="3"/>
  <c r="CD68" i="3"/>
  <c r="CX68" i="3"/>
  <c r="DF68" i="3"/>
  <c r="DR68" i="3"/>
  <c r="CD69" i="3"/>
  <c r="DV69" i="3"/>
  <c r="EW69" i="3"/>
  <c r="BJ71" i="3"/>
  <c r="CH71" i="3"/>
  <c r="CD72" i="3"/>
  <c r="DB72" i="3"/>
  <c r="HA72" i="3"/>
  <c r="HO72" i="3"/>
  <c r="HA73" i="3"/>
  <c r="HO73" i="3"/>
  <c r="GX74" i="3"/>
  <c r="CP74" i="3"/>
  <c r="ED74" i="3"/>
  <c r="EP74" i="3"/>
  <c r="DB75" i="3"/>
  <c r="GP75" i="3"/>
  <c r="HQ75" i="3"/>
  <c r="HB62" i="3"/>
  <c r="GX62" i="3"/>
  <c r="HJ62" i="3"/>
  <c r="GL63" i="3"/>
  <c r="HG63" i="3"/>
  <c r="GK64" i="3"/>
  <c r="HJ64" i="3"/>
  <c r="HE66" i="3"/>
  <c r="GO69" i="3"/>
  <c r="HA71" i="3"/>
  <c r="HA74" i="3"/>
  <c r="CD74" i="3"/>
  <c r="DB74" i="3"/>
  <c r="HR74" i="3"/>
  <c r="HS74" i="3" s="1"/>
  <c r="GQ75" i="3"/>
  <c r="BR75" i="3"/>
  <c r="HA61" i="3"/>
  <c r="HE62" i="3"/>
  <c r="HG62" i="3" s="1"/>
  <c r="DV62" i="3"/>
  <c r="HQ62" i="3"/>
  <c r="HS62" i="3" s="1"/>
  <c r="FA62" i="3"/>
  <c r="FT62" i="3"/>
  <c r="GE62" i="3"/>
  <c r="GT62" i="3"/>
  <c r="HJ63" i="3"/>
  <c r="HA64" i="3"/>
  <c r="DJ64" i="3"/>
  <c r="FT64" i="3"/>
  <c r="GE64" i="3"/>
  <c r="GT64" i="3"/>
  <c r="HB65" i="3"/>
  <c r="FE65" i="3"/>
  <c r="GB65" i="3"/>
  <c r="GY65" i="3"/>
  <c r="HQ65" i="3"/>
  <c r="HJ66" i="3"/>
  <c r="FA66" i="3"/>
  <c r="FM66" i="3"/>
  <c r="GY66" i="3"/>
  <c r="HA68" i="3"/>
  <c r="CH68" i="3"/>
  <c r="HO68" i="3"/>
  <c r="ED68" i="3"/>
  <c r="EL68" i="3"/>
  <c r="BR69" i="3"/>
  <c r="BZ69" i="3"/>
  <c r="DJ69" i="3"/>
  <c r="DR69" i="3"/>
  <c r="HJ69" i="3"/>
  <c r="HK69" i="3" s="1"/>
  <c r="GM70" i="3"/>
  <c r="CD71" i="3"/>
  <c r="EP71" i="3"/>
  <c r="BJ72" i="3"/>
  <c r="GX72" i="3"/>
  <c r="CH72" i="3"/>
  <c r="ED72" i="3"/>
  <c r="EP72" i="3"/>
  <c r="BZ73" i="3"/>
  <c r="CX73" i="3"/>
  <c r="HB74" i="3"/>
  <c r="BV75" i="3"/>
  <c r="HU4" i="6"/>
  <c r="HI6" i="6"/>
  <c r="HM11" i="6"/>
  <c r="IG5" i="6"/>
  <c r="HU6" i="6"/>
  <c r="HE7" i="6"/>
  <c r="IK7" i="6"/>
  <c r="IG7" i="6"/>
  <c r="HE9" i="6"/>
  <c r="IK9" i="6"/>
  <c r="HM10" i="6"/>
  <c r="HI12" i="6"/>
  <c r="HQ12" i="6"/>
  <c r="HY16" i="6"/>
  <c r="HE19" i="6"/>
  <c r="HQ21" i="6"/>
  <c r="HY26" i="6"/>
  <c r="HU7" i="6"/>
  <c r="HU9" i="6"/>
  <c r="IG10" i="6"/>
  <c r="IG11" i="6"/>
  <c r="HQ14" i="6"/>
  <c r="HY15" i="6"/>
  <c r="HU16" i="6"/>
  <c r="HI16" i="6"/>
  <c r="HE17" i="6"/>
  <c r="IK17" i="6"/>
  <c r="HU19" i="6"/>
  <c r="HM5" i="6"/>
  <c r="HU5" i="6"/>
  <c r="IK8" i="6"/>
  <c r="HM12" i="6"/>
  <c r="HY14" i="6"/>
  <c r="HI15" i="6"/>
  <c r="IK18" i="6"/>
  <c r="IK20" i="6"/>
  <c r="HG4" i="6"/>
  <c r="HL4" i="6"/>
  <c r="HW4" i="6"/>
  <c r="IB4" i="6"/>
  <c r="HG5" i="6"/>
  <c r="HI5" i="6" s="1"/>
  <c r="HL5" i="6"/>
  <c r="HW5" i="6"/>
  <c r="HY5" i="6" s="1"/>
  <c r="IB5" i="6"/>
  <c r="IC5" i="6" s="1"/>
  <c r="HK6" i="6"/>
  <c r="HM6" i="6" s="1"/>
  <c r="HP6" i="6"/>
  <c r="HQ6" i="6" s="1"/>
  <c r="IA6" i="6"/>
  <c r="IC6" i="6" s="1"/>
  <c r="IF6" i="6"/>
  <c r="IG6" i="6" s="1"/>
  <c r="HK7" i="6"/>
  <c r="HM7" i="6" s="1"/>
  <c r="IA7" i="6"/>
  <c r="IC7" i="6" s="1"/>
  <c r="IF7" i="6"/>
  <c r="HK8" i="6"/>
  <c r="HM8" i="6" s="1"/>
  <c r="IA8" i="6"/>
  <c r="IC8" i="6" s="1"/>
  <c r="IF8" i="6"/>
  <c r="IG8" i="6" s="1"/>
  <c r="HK9" i="6"/>
  <c r="HM9" i="6" s="1"/>
  <c r="IA9" i="6"/>
  <c r="IC9" i="6" s="1"/>
  <c r="IF9" i="6"/>
  <c r="IG9" i="6" s="1"/>
  <c r="HG10" i="6"/>
  <c r="HI10" i="6" s="1"/>
  <c r="HL10" i="6"/>
  <c r="HW10" i="6"/>
  <c r="HY10" i="6" s="1"/>
  <c r="IB10" i="6"/>
  <c r="IC10" i="6" s="1"/>
  <c r="HG11" i="6"/>
  <c r="HL11" i="6"/>
  <c r="HW11" i="6"/>
  <c r="HY11" i="6" s="1"/>
  <c r="IB11" i="6"/>
  <c r="IC11" i="6" s="1"/>
  <c r="HC12" i="6"/>
  <c r="HE12" i="6" s="1"/>
  <c r="HH12" i="6"/>
  <c r="HX12" i="6"/>
  <c r="HY12" i="6" s="1"/>
  <c r="HC13" i="6"/>
  <c r="HE13" i="6" s="1"/>
  <c r="HH13" i="6"/>
  <c r="HI13" i="6" s="1"/>
  <c r="HX13" i="6"/>
  <c r="HY13" i="6" s="1"/>
  <c r="HD14" i="6"/>
  <c r="HE14" i="6" s="1"/>
  <c r="HT14" i="6"/>
  <c r="HU14" i="6" s="1"/>
  <c r="IE14" i="6"/>
  <c r="IG14" i="6" s="1"/>
  <c r="HD15" i="6"/>
  <c r="HE15" i="6" s="1"/>
  <c r="HT15" i="6"/>
  <c r="HU15" i="6" s="1"/>
  <c r="IE15" i="6"/>
  <c r="IG15" i="6" s="1"/>
  <c r="HD16" i="6"/>
  <c r="HE16" i="6" s="1"/>
  <c r="HT16" i="6"/>
  <c r="IE16" i="6"/>
  <c r="IG16" i="6" s="1"/>
  <c r="HK17" i="6"/>
  <c r="HM17" i="6" s="1"/>
  <c r="HP17" i="6"/>
  <c r="HQ17" i="6" s="1"/>
  <c r="IA17" i="6"/>
  <c r="IC17" i="6" s="1"/>
  <c r="IF17" i="6"/>
  <c r="IG17" i="6" s="1"/>
  <c r="HK18" i="6"/>
  <c r="HM18" i="6" s="1"/>
  <c r="IA18" i="6"/>
  <c r="IC18" i="6" s="1"/>
  <c r="IF18" i="6"/>
  <c r="IG18" i="6" s="1"/>
  <c r="HK19" i="6"/>
  <c r="HM19" i="6" s="1"/>
  <c r="IA19" i="6"/>
  <c r="IC19" i="6" s="1"/>
  <c r="IF19" i="6"/>
  <c r="IG19" i="6" s="1"/>
  <c r="HK20" i="6"/>
  <c r="HM20" i="6" s="1"/>
  <c r="IA20" i="6"/>
  <c r="IC20" i="6" s="1"/>
  <c r="IF20" i="6"/>
  <c r="IG20" i="6" s="1"/>
  <c r="HG21" i="6"/>
  <c r="HD22" i="6"/>
  <c r="HH23" i="6"/>
  <c r="HI23" i="6" s="1"/>
  <c r="F23" i="6"/>
  <c r="HT23" i="6"/>
  <c r="HH25" i="6"/>
  <c r="HI25" i="6" s="1"/>
  <c r="F25" i="6"/>
  <c r="HD25" i="6"/>
  <c r="HC26" i="6"/>
  <c r="HK26" i="6"/>
  <c r="HM26" i="6" s="1"/>
  <c r="IK26" i="6"/>
  <c r="N27" i="6"/>
  <c r="HP27" i="6"/>
  <c r="HQ27" i="6" s="1"/>
  <c r="HT27" i="6"/>
  <c r="HT29" i="6"/>
  <c r="HU29" i="6" s="1"/>
  <c r="CL29" i="6"/>
  <c r="HK29" i="6"/>
  <c r="HL30" i="6"/>
  <c r="BJ30" i="6"/>
  <c r="HT30" i="6"/>
  <c r="CL30" i="6"/>
  <c r="IE30" i="6"/>
  <c r="FM30" i="6"/>
  <c r="HD32" i="6"/>
  <c r="DJ32" i="6"/>
  <c r="HH32" i="6"/>
  <c r="HG33" i="6"/>
  <c r="CH33" i="6"/>
  <c r="HC33" i="6"/>
  <c r="HE33" i="6" s="1"/>
  <c r="HP34" i="6"/>
  <c r="AH34" i="6"/>
  <c r="HG34" i="6"/>
  <c r="CH34" i="6"/>
  <c r="HD34" i="6"/>
  <c r="DJ34" i="6"/>
  <c r="HH34" i="6"/>
  <c r="CX37" i="6"/>
  <c r="HT37" i="6"/>
  <c r="FM38" i="6"/>
  <c r="IE38" i="6"/>
  <c r="IG38" i="6" s="1"/>
  <c r="N39" i="6"/>
  <c r="HP39" i="6"/>
  <c r="HQ39" i="6" s="1"/>
  <c r="FF39" i="6"/>
  <c r="IA39" i="6"/>
  <c r="FQ39" i="6"/>
  <c r="HG39" i="6"/>
  <c r="HI40" i="6"/>
  <c r="HD41" i="6"/>
  <c r="HH45" i="6"/>
  <c r="F45" i="6"/>
  <c r="GG45" i="6"/>
  <c r="HS45" i="6"/>
  <c r="HH47" i="6"/>
  <c r="F47" i="6"/>
  <c r="DN49" i="6"/>
  <c r="HK49" i="6"/>
  <c r="HC49" i="6"/>
  <c r="F4" i="6"/>
  <c r="N4" i="6"/>
  <c r="V4" i="6"/>
  <c r="V72" i="6" s="1"/>
  <c r="AD4" i="6"/>
  <c r="AD72" i="6" s="1"/>
  <c r="AL4" i="6"/>
  <c r="AL72" i="6" s="1"/>
  <c r="AT4" i="6"/>
  <c r="AT72" i="6" s="1"/>
  <c r="BB4" i="6"/>
  <c r="BB72" i="6" s="1"/>
  <c r="BJ4" i="6"/>
  <c r="BR4" i="6"/>
  <c r="BR72" i="6" s="1"/>
  <c r="BZ4" i="6"/>
  <c r="BZ72" i="6" s="1"/>
  <c r="CF72" i="6"/>
  <c r="CL4" i="6"/>
  <c r="CT4" i="6"/>
  <c r="CT72" i="6" s="1"/>
  <c r="DA72" i="6"/>
  <c r="DI72" i="6"/>
  <c r="DN4" i="6"/>
  <c r="DV4" i="6"/>
  <c r="DV72" i="6" s="1"/>
  <c r="EG72" i="6"/>
  <c r="EL4" i="6"/>
  <c r="ER72" i="6"/>
  <c r="EW72" i="6"/>
  <c r="EX72" i="6" s="1"/>
  <c r="FB4" i="6"/>
  <c r="FH72" i="6"/>
  <c r="FL72" i="6"/>
  <c r="FQ4" i="6"/>
  <c r="FW72" i="6"/>
  <c r="GB72" i="6"/>
  <c r="GC72" i="6" s="1"/>
  <c r="GG4" i="6"/>
  <c r="GM72" i="6"/>
  <c r="GO72" i="6" s="1"/>
  <c r="GR72" i="6"/>
  <c r="GS72" i="6" s="1"/>
  <c r="GW4" i="6"/>
  <c r="HH4" i="6"/>
  <c r="HX4" i="6"/>
  <c r="F5" i="6"/>
  <c r="N5" i="6"/>
  <c r="CL5" i="6"/>
  <c r="EL5" i="6"/>
  <c r="HC5" i="6"/>
  <c r="HE5" i="6" s="1"/>
  <c r="HH5" i="6"/>
  <c r="F6" i="6"/>
  <c r="FF6" i="6"/>
  <c r="FF72" i="6" s="1"/>
  <c r="HW6" i="6"/>
  <c r="HY6" i="6" s="1"/>
  <c r="DF7" i="6"/>
  <c r="DF72" i="6" s="1"/>
  <c r="FF7" i="6"/>
  <c r="HG7" i="6"/>
  <c r="HI7" i="6" s="1"/>
  <c r="HW7" i="6"/>
  <c r="HY7" i="6" s="1"/>
  <c r="DF8" i="6"/>
  <c r="FF8" i="6"/>
  <c r="HG8" i="6"/>
  <c r="HI8" i="6" s="1"/>
  <c r="HW8" i="6"/>
  <c r="HY8" i="6" s="1"/>
  <c r="DF9" i="6"/>
  <c r="FF9" i="6"/>
  <c r="HG9" i="6"/>
  <c r="HI9" i="6" s="1"/>
  <c r="HW9" i="6"/>
  <c r="HY9" i="6" s="1"/>
  <c r="CL10" i="6"/>
  <c r="EL10" i="6"/>
  <c r="HC10" i="6"/>
  <c r="HE10" i="6" s="1"/>
  <c r="F11" i="6"/>
  <c r="N11" i="6"/>
  <c r="CL11" i="6"/>
  <c r="EL11" i="6"/>
  <c r="HC11" i="6"/>
  <c r="HE11" i="6" s="1"/>
  <c r="HH11" i="6"/>
  <c r="N12" i="6"/>
  <c r="BJ12" i="6"/>
  <c r="DJ12" i="6"/>
  <c r="FM12" i="6"/>
  <c r="IE12" i="6"/>
  <c r="IG12" i="6" s="1"/>
  <c r="DJ13" i="6"/>
  <c r="FM13" i="6"/>
  <c r="IE13" i="6"/>
  <c r="IG13" i="6" s="1"/>
  <c r="CP14" i="6"/>
  <c r="IA14" i="6"/>
  <c r="IC14" i="6" s="1"/>
  <c r="HK15" i="6"/>
  <c r="HP15" i="6"/>
  <c r="HQ15" i="6" s="1"/>
  <c r="IA15" i="6"/>
  <c r="IC15" i="6" s="1"/>
  <c r="HK16" i="6"/>
  <c r="HM16" i="6" s="1"/>
  <c r="HP16" i="6"/>
  <c r="HQ16" i="6" s="1"/>
  <c r="IA16" i="6"/>
  <c r="IC16" i="6" s="1"/>
  <c r="FF17" i="6"/>
  <c r="HG17" i="6"/>
  <c r="HI17" i="6" s="1"/>
  <c r="HL17" i="6"/>
  <c r="HW17" i="6"/>
  <c r="HY17" i="6" s="1"/>
  <c r="DF18" i="6"/>
  <c r="FF18" i="6"/>
  <c r="HG18" i="6"/>
  <c r="HI18" i="6" s="1"/>
  <c r="HW18" i="6"/>
  <c r="HY18" i="6" s="1"/>
  <c r="DF19" i="6"/>
  <c r="FF19" i="6"/>
  <c r="HG19" i="6"/>
  <c r="HI19" i="6" s="1"/>
  <c r="HW19" i="6"/>
  <c r="HY19" i="6" s="1"/>
  <c r="DF20" i="6"/>
  <c r="FF20" i="6"/>
  <c r="HG20" i="6"/>
  <c r="HI20" i="6" s="1"/>
  <c r="HW20" i="6"/>
  <c r="HY20" i="6" s="1"/>
  <c r="HH21" i="6"/>
  <c r="II21" i="6"/>
  <c r="IK21" i="6" s="1"/>
  <c r="EL21" i="6"/>
  <c r="GW21" i="6"/>
  <c r="IE21" i="6"/>
  <c r="IG21" i="6" s="1"/>
  <c r="DN22" i="6"/>
  <c r="HX22" i="6"/>
  <c r="HY22" i="6" s="1"/>
  <c r="HS22" i="6"/>
  <c r="HU22" i="6" s="1"/>
  <c r="FQ22" i="6"/>
  <c r="HL22" i="6"/>
  <c r="HM22" i="6" s="1"/>
  <c r="HT22" i="6"/>
  <c r="IA22" i="6"/>
  <c r="IC22" i="6" s="1"/>
  <c r="HC23" i="6"/>
  <c r="HK23" i="6"/>
  <c r="HM23" i="6" s="1"/>
  <c r="DN23" i="6"/>
  <c r="IK23" i="6"/>
  <c r="EP23" i="6"/>
  <c r="IA23" i="6"/>
  <c r="IC23" i="6" s="1"/>
  <c r="FQ23" i="6"/>
  <c r="GW23" i="6"/>
  <c r="HL23" i="6"/>
  <c r="N24" i="6"/>
  <c r="HP24" i="6"/>
  <c r="HQ24" i="6" s="1"/>
  <c r="FM24" i="6"/>
  <c r="IF24" i="6"/>
  <c r="IG24" i="6" s="1"/>
  <c r="HT24" i="6"/>
  <c r="HU24" i="6" s="1"/>
  <c r="FB25" i="6"/>
  <c r="GG25" i="6"/>
  <c r="HH26" i="6"/>
  <c r="HI26" i="6" s="1"/>
  <c r="F26" i="6"/>
  <c r="HD26" i="6"/>
  <c r="HC27" i="6"/>
  <c r="HK27" i="6"/>
  <c r="HM27" i="6" s="1"/>
  <c r="DN27" i="6"/>
  <c r="IK27" i="6"/>
  <c r="EP27" i="6"/>
  <c r="IA27" i="6"/>
  <c r="IC27" i="6" s="1"/>
  <c r="FQ27" i="6"/>
  <c r="GW27" i="6"/>
  <c r="HL27" i="6"/>
  <c r="N28" i="6"/>
  <c r="HP28" i="6"/>
  <c r="HQ28" i="6" s="1"/>
  <c r="FM28" i="6"/>
  <c r="IF28" i="6"/>
  <c r="IG28" i="6" s="1"/>
  <c r="HT28" i="6"/>
  <c r="HU28" i="6" s="1"/>
  <c r="CD29" i="6"/>
  <c r="HD29" i="6"/>
  <c r="HE29" i="6" s="1"/>
  <c r="HD30" i="6"/>
  <c r="DJ30" i="6"/>
  <c r="EL30" i="6"/>
  <c r="IF30" i="6"/>
  <c r="HK30" i="6"/>
  <c r="HM30" i="6" s="1"/>
  <c r="HU30" i="6"/>
  <c r="CH31" i="6"/>
  <c r="HW31" i="6"/>
  <c r="HY31" i="6" s="1"/>
  <c r="IF31" i="6"/>
  <c r="IG31" i="6" s="1"/>
  <c r="HT31" i="6"/>
  <c r="CH32" i="6"/>
  <c r="HG32" i="6"/>
  <c r="HI32" i="6" s="1"/>
  <c r="HW32" i="6"/>
  <c r="HY32" i="6" s="1"/>
  <c r="HH33" i="6"/>
  <c r="F33" i="6"/>
  <c r="IB33" i="6"/>
  <c r="IF33" i="6"/>
  <c r="FM33" i="6"/>
  <c r="FU34" i="6"/>
  <c r="IE34" i="6"/>
  <c r="IG34" i="6" s="1"/>
  <c r="HK36" i="6"/>
  <c r="HM36" i="6" s="1"/>
  <c r="IC36" i="6"/>
  <c r="DB38" i="6"/>
  <c r="HK38" i="6"/>
  <c r="HM38" i="6" s="1"/>
  <c r="IG39" i="6"/>
  <c r="BJ40" i="6"/>
  <c r="HL40" i="6"/>
  <c r="IF41" i="6"/>
  <c r="FU41" i="6"/>
  <c r="HL45" i="6"/>
  <c r="BJ45" i="6"/>
  <c r="IB47" i="6"/>
  <c r="GC47" i="6"/>
  <c r="CX55" i="6"/>
  <c r="HT55" i="6"/>
  <c r="I72" i="6"/>
  <c r="Q72" i="6"/>
  <c r="Y72" i="6"/>
  <c r="AG72" i="6"/>
  <c r="AO72" i="6"/>
  <c r="AW72" i="6"/>
  <c r="BE72" i="6"/>
  <c r="BM72" i="6"/>
  <c r="BU72" i="6"/>
  <c r="CB72" i="6"/>
  <c r="CG72" i="6"/>
  <c r="CO72" i="6"/>
  <c r="CW72" i="6"/>
  <c r="DB4" i="6"/>
  <c r="DQ72" i="6"/>
  <c r="DX72" i="6"/>
  <c r="EH4" i="6"/>
  <c r="EN72" i="6"/>
  <c r="ES72" i="6"/>
  <c r="EX4" i="6"/>
  <c r="FD72" i="6"/>
  <c r="FI72" i="6"/>
  <c r="FM4" i="6"/>
  <c r="FS72" i="6"/>
  <c r="FX72" i="6"/>
  <c r="GC4" i="6"/>
  <c r="GI72" i="6"/>
  <c r="GN72" i="6"/>
  <c r="GS4" i="6"/>
  <c r="GY72" i="6"/>
  <c r="HD4" i="6"/>
  <c r="HO72" i="6"/>
  <c r="HT4" i="6"/>
  <c r="IE4" i="6"/>
  <c r="IJ4" i="6"/>
  <c r="IJ72" i="6" s="1"/>
  <c r="FM5" i="6"/>
  <c r="EL6" i="6"/>
  <c r="FB6" i="6"/>
  <c r="HC6" i="6"/>
  <c r="HE6" i="6" s="1"/>
  <c r="EL7" i="6"/>
  <c r="FB7" i="6"/>
  <c r="EL8" i="6"/>
  <c r="FB8" i="6"/>
  <c r="EL9" i="6"/>
  <c r="FB9" i="6"/>
  <c r="DB10" i="6"/>
  <c r="FM10" i="6"/>
  <c r="FM11" i="6"/>
  <c r="CH12" i="6"/>
  <c r="CH13" i="6"/>
  <c r="EP14" i="6"/>
  <c r="CD15" i="6"/>
  <c r="EP15" i="6"/>
  <c r="HL15" i="6"/>
  <c r="CD16" i="6"/>
  <c r="CD72" i="6" s="1"/>
  <c r="EP16" i="6"/>
  <c r="HL16" i="6"/>
  <c r="EL17" i="6"/>
  <c r="FB17" i="6"/>
  <c r="HH17" i="6"/>
  <c r="EL18" i="6"/>
  <c r="FB18" i="6"/>
  <c r="EL19" i="6"/>
  <c r="FB19" i="6"/>
  <c r="EL20" i="6"/>
  <c r="FB20" i="6"/>
  <c r="CD21" i="6"/>
  <c r="HD21" i="6"/>
  <c r="HE21" i="6" s="1"/>
  <c r="HK21" i="6"/>
  <c r="HM21" i="6" s="1"/>
  <c r="HH22" i="6"/>
  <c r="HI22" i="6" s="1"/>
  <c r="F22" i="6"/>
  <c r="HC22" i="6"/>
  <c r="HE22" i="6" s="1"/>
  <c r="EH22" i="6"/>
  <c r="EX23" i="6"/>
  <c r="HD23" i="6"/>
  <c r="HC24" i="6"/>
  <c r="HK24" i="6"/>
  <c r="IK24" i="6"/>
  <c r="EP24" i="6"/>
  <c r="IC24" i="6"/>
  <c r="HL24" i="6"/>
  <c r="N25" i="6"/>
  <c r="HP25" i="6"/>
  <c r="HQ25" i="6" s="1"/>
  <c r="EH25" i="6"/>
  <c r="FM25" i="6"/>
  <c r="HT25" i="6"/>
  <c r="HU25" i="6" s="1"/>
  <c r="CD26" i="6"/>
  <c r="HX26" i="6"/>
  <c r="HU26" i="6"/>
  <c r="FF26" i="6"/>
  <c r="GK26" i="6"/>
  <c r="HH27" i="6"/>
  <c r="HI27" i="6" s="1"/>
  <c r="F27" i="6"/>
  <c r="EX27" i="6"/>
  <c r="HD27" i="6"/>
  <c r="HC28" i="6"/>
  <c r="HK28" i="6"/>
  <c r="IK28" i="6"/>
  <c r="EP28" i="6"/>
  <c r="IC28" i="6"/>
  <c r="HL28" i="6"/>
  <c r="BJ29" i="6"/>
  <c r="HL29" i="6"/>
  <c r="EL29" i="6"/>
  <c r="IB29" i="6"/>
  <c r="IC29" i="6" s="1"/>
  <c r="FF29" i="6"/>
  <c r="IG29" i="6"/>
  <c r="GW29" i="6"/>
  <c r="HW30" i="6"/>
  <c r="HY30" i="6" s="1"/>
  <c r="CD31" i="6"/>
  <c r="HL31" i="6"/>
  <c r="HX31" i="6"/>
  <c r="HL32" i="6"/>
  <c r="DN32" i="6"/>
  <c r="IG33" i="6"/>
  <c r="HL34" i="6"/>
  <c r="CD34" i="6"/>
  <c r="HK34" i="6"/>
  <c r="HM34" i="6" s="1"/>
  <c r="HL35" i="6"/>
  <c r="BV35" i="6"/>
  <c r="CX35" i="6"/>
  <c r="HT35" i="6"/>
  <c r="HD35" i="6"/>
  <c r="CX36" i="6"/>
  <c r="HT36" i="6"/>
  <c r="IF36" i="6"/>
  <c r="II38" i="6"/>
  <c r="IK38" i="6" s="1"/>
  <c r="EL38" i="6"/>
  <c r="EX38" i="6"/>
  <c r="HG38" i="6"/>
  <c r="HI38" i="6" s="1"/>
  <c r="HW38" i="6"/>
  <c r="HY38" i="6" s="1"/>
  <c r="HW41" i="6"/>
  <c r="HY41" i="6" s="1"/>
  <c r="EH41" i="6"/>
  <c r="HS41" i="6"/>
  <c r="HU41" i="6" s="1"/>
  <c r="EP41" i="6"/>
  <c r="CL43" i="6"/>
  <c r="HT43" i="6"/>
  <c r="DF43" i="6"/>
  <c r="HD43" i="6"/>
  <c r="FB44" i="6"/>
  <c r="HS44" i="6"/>
  <c r="IE44" i="6"/>
  <c r="IG44" i="6" s="1"/>
  <c r="FM44" i="6"/>
  <c r="DJ47" i="6"/>
  <c r="HT47" i="6"/>
  <c r="HK48" i="6"/>
  <c r="HM48" i="6" s="1"/>
  <c r="HC48" i="6"/>
  <c r="CD48" i="6"/>
  <c r="HD48" i="6"/>
  <c r="DJ48" i="6"/>
  <c r="HT48" i="6"/>
  <c r="IG48" i="6"/>
  <c r="J4" i="6"/>
  <c r="R4" i="6"/>
  <c r="R72" i="6" s="1"/>
  <c r="Z4" i="6"/>
  <c r="Z72" i="6" s="1"/>
  <c r="AH4" i="6"/>
  <c r="AH72" i="6" s="1"/>
  <c r="AP4" i="6"/>
  <c r="AP72" i="6" s="1"/>
  <c r="AX4" i="6"/>
  <c r="AX72" i="6" s="1"/>
  <c r="BF4" i="6"/>
  <c r="BF72" i="6" s="1"/>
  <c r="BN4" i="6"/>
  <c r="BN72" i="6" s="1"/>
  <c r="BV4" i="6"/>
  <c r="CC72" i="6"/>
  <c r="CH4" i="6"/>
  <c r="CP4" i="6"/>
  <c r="CP72" i="6" s="1"/>
  <c r="CX4" i="6"/>
  <c r="DE72" i="6"/>
  <c r="DL72" i="6"/>
  <c r="DR4" i="6"/>
  <c r="DR72" i="6" s="1"/>
  <c r="DY72" i="6"/>
  <c r="EJ72" i="6"/>
  <c r="EO72" i="6"/>
  <c r="ET4" i="6"/>
  <c r="ET72" i="6" s="1"/>
  <c r="EZ72" i="6"/>
  <c r="FE72" i="6"/>
  <c r="FJ4" i="6"/>
  <c r="FO72" i="6"/>
  <c r="FQ72" i="6" s="1"/>
  <c r="FT72" i="6"/>
  <c r="FY4" i="6"/>
  <c r="GE72" i="6"/>
  <c r="GG72" i="6" s="1"/>
  <c r="GJ72" i="6"/>
  <c r="GO4" i="6"/>
  <c r="GU72" i="6"/>
  <c r="GW72" i="6" s="1"/>
  <c r="GZ72" i="6"/>
  <c r="HK4" i="6"/>
  <c r="HP4" i="6"/>
  <c r="IA4" i="6"/>
  <c r="IF4" i="6"/>
  <c r="DJ6" i="6"/>
  <c r="DJ72" i="6" s="1"/>
  <c r="FM6" i="6"/>
  <c r="DJ7" i="6"/>
  <c r="FM7" i="6"/>
  <c r="DJ8" i="6"/>
  <c r="FM8" i="6"/>
  <c r="DJ9" i="6"/>
  <c r="FM9" i="6"/>
  <c r="EL14" i="6"/>
  <c r="F15" i="6"/>
  <c r="EL15" i="6"/>
  <c r="F16" i="6"/>
  <c r="EL16" i="6"/>
  <c r="DJ17" i="6"/>
  <c r="FM17" i="6"/>
  <c r="DJ18" i="6"/>
  <c r="FM18" i="6"/>
  <c r="DJ19" i="6"/>
  <c r="FM19" i="6"/>
  <c r="DJ20" i="6"/>
  <c r="FM20" i="6"/>
  <c r="DN21" i="6"/>
  <c r="HX21" i="6"/>
  <c r="HY21" i="6" s="1"/>
  <c r="HS21" i="6"/>
  <c r="FQ21" i="6"/>
  <c r="HL21" i="6"/>
  <c r="HT21" i="6"/>
  <c r="II22" i="6"/>
  <c r="IK22" i="6" s="1"/>
  <c r="EL22" i="6"/>
  <c r="GW22" i="6"/>
  <c r="HP22" i="6"/>
  <c r="HQ22" i="6" s="1"/>
  <c r="N23" i="6"/>
  <c r="HP23" i="6"/>
  <c r="HQ23" i="6" s="1"/>
  <c r="HU23" i="6"/>
  <c r="FB23" i="6"/>
  <c r="GG23" i="6"/>
  <c r="HH24" i="6"/>
  <c r="HI24" i="6" s="1"/>
  <c r="F24" i="6"/>
  <c r="HD24" i="6"/>
  <c r="HC25" i="6"/>
  <c r="HE25" i="6" s="1"/>
  <c r="HK25" i="6"/>
  <c r="HM25" i="6" s="1"/>
  <c r="DN25" i="6"/>
  <c r="IK25" i="6"/>
  <c r="EP25" i="6"/>
  <c r="IA25" i="6"/>
  <c r="IC25" i="6" s="1"/>
  <c r="FQ25" i="6"/>
  <c r="GW25" i="6"/>
  <c r="HL25" i="6"/>
  <c r="N26" i="6"/>
  <c r="HP26" i="6"/>
  <c r="HQ26" i="6" s="1"/>
  <c r="IF26" i="6"/>
  <c r="IG26" i="6" s="1"/>
  <c r="HT26" i="6"/>
  <c r="HU27" i="6"/>
  <c r="FB27" i="6"/>
  <c r="GG27" i="6"/>
  <c r="HH28" i="6"/>
  <c r="HI28" i="6" s="1"/>
  <c r="F28" i="6"/>
  <c r="HD28" i="6"/>
  <c r="HG29" i="6"/>
  <c r="HI29" i="6" s="1"/>
  <c r="HH29" i="6"/>
  <c r="HP29" i="6"/>
  <c r="HQ29" i="6" s="1"/>
  <c r="HH30" i="6"/>
  <c r="HI30" i="6" s="1"/>
  <c r="F30" i="6"/>
  <c r="HC30" i="6"/>
  <c r="HE30" i="6" s="1"/>
  <c r="HH31" i="6"/>
  <c r="HI31" i="6" s="1"/>
  <c r="IA31" i="6"/>
  <c r="IC31" i="6" s="1"/>
  <c r="HT32" i="6"/>
  <c r="CL32" i="6"/>
  <c r="IE32" i="6"/>
  <c r="IG32" i="6" s="1"/>
  <c r="FM32" i="6"/>
  <c r="HC32" i="6"/>
  <c r="HX33" i="6"/>
  <c r="EH33" i="6"/>
  <c r="HY34" i="6"/>
  <c r="FF34" i="6"/>
  <c r="IA34" i="6"/>
  <c r="IC34" i="6" s="1"/>
  <c r="HC34" i="6"/>
  <c r="HE34" i="6" s="1"/>
  <c r="HS34" i="6"/>
  <c r="HK35" i="6"/>
  <c r="HM35" i="6" s="1"/>
  <c r="IC35" i="6"/>
  <c r="HK37" i="6"/>
  <c r="IC37" i="6"/>
  <c r="HT38" i="6"/>
  <c r="CL38" i="6"/>
  <c r="CP41" i="6"/>
  <c r="HL41" i="6"/>
  <c r="IG41" i="6"/>
  <c r="IG42" i="6"/>
  <c r="HL43" i="6"/>
  <c r="F44" i="6"/>
  <c r="HH44" i="6"/>
  <c r="HP45" i="6"/>
  <c r="HQ45" i="6" s="1"/>
  <c r="N45" i="6"/>
  <c r="HE46" i="6"/>
  <c r="BJ47" i="6"/>
  <c r="HL47" i="6"/>
  <c r="HW29" i="6"/>
  <c r="HY29" i="6" s="1"/>
  <c r="EX30" i="6"/>
  <c r="HK31" i="6"/>
  <c r="ED31" i="6"/>
  <c r="GO31" i="6"/>
  <c r="HS31" i="6"/>
  <c r="HP32" i="6"/>
  <c r="HQ32" i="6" s="1"/>
  <c r="IA32" i="6"/>
  <c r="IC32" i="6" s="1"/>
  <c r="HU32" i="6"/>
  <c r="HL33" i="6"/>
  <c r="HK33" i="6"/>
  <c r="HM33" i="6" s="1"/>
  <c r="ED33" i="6"/>
  <c r="FJ33" i="6"/>
  <c r="GO33" i="6"/>
  <c r="HS33" i="6"/>
  <c r="HU33" i="6" s="1"/>
  <c r="HQ34" i="6"/>
  <c r="HG35" i="6"/>
  <c r="HI35" i="6" s="1"/>
  <c r="CH35" i="6"/>
  <c r="HX35" i="6"/>
  <c r="HY35" i="6" s="1"/>
  <c r="HS35" i="6"/>
  <c r="HU35" i="6" s="1"/>
  <c r="EP35" i="6"/>
  <c r="EP72" i="6" s="1"/>
  <c r="FU35" i="6"/>
  <c r="HA35" i="6"/>
  <c r="IE35" i="6"/>
  <c r="IG35" i="6" s="1"/>
  <c r="HH36" i="6"/>
  <c r="HI36" i="6" s="1"/>
  <c r="HC36" i="6"/>
  <c r="CD36" i="6"/>
  <c r="HX36" i="6"/>
  <c r="HY36" i="6" s="1"/>
  <c r="HS36" i="6"/>
  <c r="HU36" i="6" s="1"/>
  <c r="EP36" i="6"/>
  <c r="FU36" i="6"/>
  <c r="HA36" i="6"/>
  <c r="IE36" i="6"/>
  <c r="IG36" i="6" s="1"/>
  <c r="HH37" i="6"/>
  <c r="HI37" i="6" s="1"/>
  <c r="HC37" i="6"/>
  <c r="HE37" i="6" s="1"/>
  <c r="CD37" i="6"/>
  <c r="HX37" i="6"/>
  <c r="HY37" i="6" s="1"/>
  <c r="HS37" i="6"/>
  <c r="HU37" i="6" s="1"/>
  <c r="EP37" i="6"/>
  <c r="FU37" i="6"/>
  <c r="HA37" i="6"/>
  <c r="IE37" i="6"/>
  <c r="IG37" i="6" s="1"/>
  <c r="DN38" i="6"/>
  <c r="HQ38" i="6"/>
  <c r="IB39" i="6"/>
  <c r="HK39" i="6"/>
  <c r="HT39" i="6"/>
  <c r="HC40" i="6"/>
  <c r="HK40" i="6"/>
  <c r="HM40" i="6" s="1"/>
  <c r="CD40" i="6"/>
  <c r="DZ40" i="6"/>
  <c r="II40" i="6"/>
  <c r="IK40" i="6" s="1"/>
  <c r="EL40" i="6"/>
  <c r="IC40" i="6"/>
  <c r="HY40" i="6"/>
  <c r="N41" i="6"/>
  <c r="HP41" i="6"/>
  <c r="HQ41" i="6" s="1"/>
  <c r="HX41" i="6"/>
  <c r="FF41" i="6"/>
  <c r="FQ41" i="6"/>
  <c r="HG41" i="6"/>
  <c r="HI41" i="6" s="1"/>
  <c r="BJ42" i="6"/>
  <c r="HL42" i="6"/>
  <c r="HG42" i="6"/>
  <c r="HW43" i="6"/>
  <c r="HY43" i="6" s="1"/>
  <c r="EH43" i="6"/>
  <c r="HS43" i="6"/>
  <c r="HU43" i="6" s="1"/>
  <c r="EP43" i="6"/>
  <c r="IA43" i="6"/>
  <c r="IC43" i="6" s="1"/>
  <c r="HD44" i="6"/>
  <c r="IA44" i="6"/>
  <c r="IC44" i="6" s="1"/>
  <c r="CH45" i="6"/>
  <c r="HC45" i="6"/>
  <c r="HE45" i="6" s="1"/>
  <c r="IE45" i="6"/>
  <c r="IG45" i="6" s="1"/>
  <c r="FM45" i="6"/>
  <c r="GW45" i="6"/>
  <c r="HG46" i="6"/>
  <c r="HI46" i="6" s="1"/>
  <c r="CH46" i="6"/>
  <c r="ET46" i="6"/>
  <c r="IA46" i="6"/>
  <c r="IC46" i="6" s="1"/>
  <c r="FF46" i="6"/>
  <c r="HD46" i="6"/>
  <c r="IE46" i="6"/>
  <c r="IG46" i="6" s="1"/>
  <c r="CH47" i="6"/>
  <c r="HG47" i="6"/>
  <c r="HI47" i="6" s="1"/>
  <c r="ED47" i="6"/>
  <c r="IC47" i="6"/>
  <c r="HL48" i="6"/>
  <c r="BJ48" i="6"/>
  <c r="IF48" i="6"/>
  <c r="FM48" i="6"/>
  <c r="HT49" i="6"/>
  <c r="CL49" i="6"/>
  <c r="GG49" i="6"/>
  <c r="HS49" i="6"/>
  <c r="HU49" i="6" s="1"/>
  <c r="HP49" i="6"/>
  <c r="HD53" i="6"/>
  <c r="IG55" i="6"/>
  <c r="CX56" i="6"/>
  <c r="HT56" i="6"/>
  <c r="HT58" i="6"/>
  <c r="BV59" i="6"/>
  <c r="HL59" i="6"/>
  <c r="HS59" i="6"/>
  <c r="EP59" i="6"/>
  <c r="IE60" i="6"/>
  <c r="IG60" i="6" s="1"/>
  <c r="FM60" i="6"/>
  <c r="BV63" i="6"/>
  <c r="HL63" i="6"/>
  <c r="HG63" i="6"/>
  <c r="GK63" i="6"/>
  <c r="HE66" i="6"/>
  <c r="IA66" i="6"/>
  <c r="IC66" i="6" s="1"/>
  <c r="GW66" i="6"/>
  <c r="HM68" i="6"/>
  <c r="HL39" i="6"/>
  <c r="HH40" i="6"/>
  <c r="F40" i="6"/>
  <c r="HD40" i="6"/>
  <c r="HK41" i="6"/>
  <c r="HT41" i="6"/>
  <c r="HC42" i="6"/>
  <c r="HE42" i="6" s="1"/>
  <c r="HK42" i="6"/>
  <c r="HM42" i="6" s="1"/>
  <c r="CD42" i="6"/>
  <c r="II42" i="6"/>
  <c r="IK42" i="6" s="1"/>
  <c r="EL42" i="6"/>
  <c r="IA42" i="6"/>
  <c r="IC42" i="6" s="1"/>
  <c r="N43" i="6"/>
  <c r="HP43" i="6"/>
  <c r="HQ43" i="6" s="1"/>
  <c r="FQ43" i="6"/>
  <c r="HG43" i="6"/>
  <c r="HI44" i="6"/>
  <c r="HD45" i="6"/>
  <c r="DJ45" i="6"/>
  <c r="HI45" i="6"/>
  <c r="HM46" i="6"/>
  <c r="HS46" i="6"/>
  <c r="IE47" i="6"/>
  <c r="IG47" i="6" s="1"/>
  <c r="FM47" i="6"/>
  <c r="HU48" i="6"/>
  <c r="HI48" i="6"/>
  <c r="J49" i="6"/>
  <c r="HD49" i="6"/>
  <c r="HI50" i="6"/>
  <c r="IC50" i="6"/>
  <c r="HE53" i="6"/>
  <c r="FU57" i="6"/>
  <c r="IE57" i="6"/>
  <c r="IG57" i="6" s="1"/>
  <c r="HE70" i="6"/>
  <c r="EL23" i="6"/>
  <c r="EL24" i="6"/>
  <c r="EL25" i="6"/>
  <c r="EL26" i="6"/>
  <c r="EL27" i="6"/>
  <c r="EL28" i="6"/>
  <c r="FM29" i="6"/>
  <c r="GC30" i="6"/>
  <c r="DB31" i="6"/>
  <c r="FJ31" i="6"/>
  <c r="FM31" i="6"/>
  <c r="HK32" i="6"/>
  <c r="IK32" i="6"/>
  <c r="HP33" i="6"/>
  <c r="HQ33" i="6" s="1"/>
  <c r="HW33" i="6"/>
  <c r="HY33" i="6" s="1"/>
  <c r="ET33" i="6"/>
  <c r="FF33" i="6"/>
  <c r="IA33" i="6"/>
  <c r="FY33" i="6"/>
  <c r="IK33" i="6"/>
  <c r="HT34" i="6"/>
  <c r="HC35" i="6"/>
  <c r="CD35" i="6"/>
  <c r="DZ35" i="6"/>
  <c r="DZ72" i="6" s="1"/>
  <c r="II35" i="6"/>
  <c r="IK35" i="6" s="1"/>
  <c r="EL35" i="6"/>
  <c r="FF35" i="6"/>
  <c r="GK35" i="6"/>
  <c r="HQ35" i="6"/>
  <c r="DZ36" i="6"/>
  <c r="II36" i="6"/>
  <c r="IK36" i="6" s="1"/>
  <c r="EL36" i="6"/>
  <c r="FF36" i="6"/>
  <c r="GK36" i="6"/>
  <c r="HD36" i="6"/>
  <c r="HQ36" i="6"/>
  <c r="DZ37" i="6"/>
  <c r="II37" i="6"/>
  <c r="IK37" i="6" s="1"/>
  <c r="EL37" i="6"/>
  <c r="FF37" i="6"/>
  <c r="GK37" i="6"/>
  <c r="HD37" i="6"/>
  <c r="HQ37" i="6"/>
  <c r="HW39" i="6"/>
  <c r="HY39" i="6" s="1"/>
  <c r="EH39" i="6"/>
  <c r="HS39" i="6"/>
  <c r="EP39" i="6"/>
  <c r="HD39" i="6"/>
  <c r="FB40" i="6"/>
  <c r="IF40" i="6"/>
  <c r="GK40" i="6"/>
  <c r="IE40" i="6"/>
  <c r="GG41" i="6"/>
  <c r="HH42" i="6"/>
  <c r="F42" i="6"/>
  <c r="HD42" i="6"/>
  <c r="HQ42" i="6"/>
  <c r="IB43" i="6"/>
  <c r="HK43" i="6"/>
  <c r="HM43" i="6" s="1"/>
  <c r="HK44" i="6"/>
  <c r="HC44" i="6"/>
  <c r="HE44" i="6" s="1"/>
  <c r="CD44" i="6"/>
  <c r="EL44" i="6"/>
  <c r="II44" i="6"/>
  <c r="IK44" i="6" s="1"/>
  <c r="HL44" i="6"/>
  <c r="HT45" i="6"/>
  <c r="DB45" i="6"/>
  <c r="HK45" i="6"/>
  <c r="HM45" i="6" s="1"/>
  <c r="EL45" i="6"/>
  <c r="II45" i="6"/>
  <c r="IK45" i="6" s="1"/>
  <c r="HT46" i="6"/>
  <c r="EH46" i="6"/>
  <c r="HK47" i="6"/>
  <c r="HM47" i="6" s="1"/>
  <c r="HC47" i="6"/>
  <c r="HE47" i="6" s="1"/>
  <c r="CD47" i="6"/>
  <c r="HS47" i="6"/>
  <c r="IK48" i="6"/>
  <c r="IE49" i="6"/>
  <c r="IG49" i="6" s="1"/>
  <c r="HD50" i="6"/>
  <c r="HE50" i="6" s="1"/>
  <c r="DJ50" i="6"/>
  <c r="EP50" i="6"/>
  <c r="HS50" i="6"/>
  <c r="HU50" i="6" s="1"/>
  <c r="HH51" i="6"/>
  <c r="HT51" i="6"/>
  <c r="CX51" i="6"/>
  <c r="FU51" i="6"/>
  <c r="IE51" i="6"/>
  <c r="IG51" i="6" s="1"/>
  <c r="ED52" i="6"/>
  <c r="HC52" i="6"/>
  <c r="HE52" i="6" s="1"/>
  <c r="EX52" i="6"/>
  <c r="HH52" i="6"/>
  <c r="IG53" i="6"/>
  <c r="CX54" i="6"/>
  <c r="HT54" i="6"/>
  <c r="HG64" i="6"/>
  <c r="EX64" i="6"/>
  <c r="HU68" i="6"/>
  <c r="IK47" i="6"/>
  <c r="HH48" i="6"/>
  <c r="HW48" i="6"/>
  <c r="HY48" i="6" s="1"/>
  <c r="IJ48" i="6"/>
  <c r="HL50" i="6"/>
  <c r="HH50" i="6"/>
  <c r="HQ50" i="6"/>
  <c r="FF51" i="6"/>
  <c r="IA51" i="6"/>
  <c r="IC51" i="6" s="1"/>
  <c r="HQ51" i="6"/>
  <c r="IF52" i="6"/>
  <c r="FM52" i="6"/>
  <c r="HU52" i="6"/>
  <c r="HS53" i="6"/>
  <c r="EP53" i="6"/>
  <c r="HQ53" i="6"/>
  <c r="HC54" i="6"/>
  <c r="HE54" i="6" s="1"/>
  <c r="CD54" i="6"/>
  <c r="HK54" i="6"/>
  <c r="HM54" i="6" s="1"/>
  <c r="HS54" i="6"/>
  <c r="HU54" i="6" s="1"/>
  <c r="EP54" i="6"/>
  <c r="HG54" i="6"/>
  <c r="HC55" i="6"/>
  <c r="CD55" i="6"/>
  <c r="HK55" i="6"/>
  <c r="HS55" i="6"/>
  <c r="EP55" i="6"/>
  <c r="HG55" i="6"/>
  <c r="HI55" i="6" s="1"/>
  <c r="HC56" i="6"/>
  <c r="HE56" i="6" s="1"/>
  <c r="CD56" i="6"/>
  <c r="HK56" i="6"/>
  <c r="HM56" i="6" s="1"/>
  <c r="HS56" i="6"/>
  <c r="EP56" i="6"/>
  <c r="HG56" i="6"/>
  <c r="HI56" i="6" s="1"/>
  <c r="HQ56" i="6"/>
  <c r="N58" i="6"/>
  <c r="HP58" i="6"/>
  <c r="IB58" i="6"/>
  <c r="FF58" i="6"/>
  <c r="HY59" i="6"/>
  <c r="HQ60" i="6"/>
  <c r="HG61" i="6"/>
  <c r="GK61" i="6"/>
  <c r="HG62" i="6"/>
  <c r="HI62" i="6" s="1"/>
  <c r="EX62" i="6"/>
  <c r="IG64" i="6"/>
  <c r="II66" i="6"/>
  <c r="IK66" i="6" s="1"/>
  <c r="EL66" i="6"/>
  <c r="HH67" i="6"/>
  <c r="HG67" i="6"/>
  <c r="GK67" i="6"/>
  <c r="IJ69" i="6"/>
  <c r="EL69" i="6"/>
  <c r="GW69" i="6"/>
  <c r="IB69" i="6"/>
  <c r="HL36" i="6"/>
  <c r="HL37" i="6"/>
  <c r="HH38" i="6"/>
  <c r="HC38" i="6"/>
  <c r="HE38" i="6" s="1"/>
  <c r="HD38" i="6"/>
  <c r="HH39" i="6"/>
  <c r="F39" i="6"/>
  <c r="HC39" i="6"/>
  <c r="HE39" i="6" s="1"/>
  <c r="HH41" i="6"/>
  <c r="F41" i="6"/>
  <c r="HC41" i="6"/>
  <c r="HE41" i="6" s="1"/>
  <c r="HH43" i="6"/>
  <c r="F43" i="6"/>
  <c r="HC43" i="6"/>
  <c r="HE43" i="6" s="1"/>
  <c r="HT44" i="6"/>
  <c r="CL44" i="6"/>
  <c r="HW45" i="6"/>
  <c r="HY45" i="6" s="1"/>
  <c r="FY46" i="6"/>
  <c r="IK46" i="6"/>
  <c r="FJ47" i="6"/>
  <c r="HP48" i="6"/>
  <c r="HQ48" i="6" s="1"/>
  <c r="ET48" i="6"/>
  <c r="HG49" i="6"/>
  <c r="HI49" i="6" s="1"/>
  <c r="CH49" i="6"/>
  <c r="EP49" i="6"/>
  <c r="HA49" i="6"/>
  <c r="IA49" i="6"/>
  <c r="IC49" i="6" s="1"/>
  <c r="HW50" i="6"/>
  <c r="HY50" i="6" s="1"/>
  <c r="FM50" i="6"/>
  <c r="FU50" i="6"/>
  <c r="IE50" i="6"/>
  <c r="IG50" i="6" s="1"/>
  <c r="J51" i="6"/>
  <c r="AH51" i="6"/>
  <c r="HD51" i="6"/>
  <c r="HE51" i="6" s="1"/>
  <c r="EH51" i="6"/>
  <c r="EP51" i="6"/>
  <c r="HA51" i="6"/>
  <c r="HS51" i="6"/>
  <c r="HU51" i="6" s="1"/>
  <c r="HL52" i="6"/>
  <c r="HG52" i="6"/>
  <c r="HI52" i="6" s="1"/>
  <c r="CH52" i="6"/>
  <c r="HT52" i="6"/>
  <c r="HW52" i="6"/>
  <c r="HX52" i="6"/>
  <c r="HH53" i="6"/>
  <c r="HG53" i="6"/>
  <c r="HI53" i="6" s="1"/>
  <c r="CH53" i="6"/>
  <c r="FF53" i="6"/>
  <c r="IA53" i="6"/>
  <c r="IC53" i="6" s="1"/>
  <c r="HT53" i="6"/>
  <c r="HH54" i="6"/>
  <c r="FF54" i="6"/>
  <c r="IA54" i="6"/>
  <c r="IC54" i="6" s="1"/>
  <c r="HH55" i="6"/>
  <c r="FF55" i="6"/>
  <c r="IA55" i="6"/>
  <c r="IC55" i="6" s="1"/>
  <c r="HH56" i="6"/>
  <c r="FF56" i="6"/>
  <c r="IA56" i="6"/>
  <c r="IC56" i="6" s="1"/>
  <c r="HM57" i="6"/>
  <c r="HD58" i="6"/>
  <c r="DF58" i="6"/>
  <c r="FU59" i="6"/>
  <c r="IE59" i="6"/>
  <c r="IG59" i="6" s="1"/>
  <c r="HW60" i="6"/>
  <c r="HY60" i="6" s="1"/>
  <c r="EH60" i="6"/>
  <c r="HI60" i="6"/>
  <c r="IK63" i="6"/>
  <c r="IA63" i="6"/>
  <c r="IC63" i="6" s="1"/>
  <c r="FF63" i="6"/>
  <c r="HP64" i="6"/>
  <c r="N64" i="6"/>
  <c r="BJ64" i="6"/>
  <c r="HL64" i="6"/>
  <c r="F66" i="6"/>
  <c r="HH66" i="6"/>
  <c r="HU66" i="6"/>
  <c r="HC68" i="6"/>
  <c r="IC68" i="6"/>
  <c r="DN71" i="6"/>
  <c r="HC71" i="6"/>
  <c r="GS71" i="6"/>
  <c r="HW71" i="6"/>
  <c r="HY71" i="6" s="1"/>
  <c r="F36" i="6"/>
  <c r="F37" i="6"/>
  <c r="F38" i="6"/>
  <c r="BJ38" i="6"/>
  <c r="HS38" i="6"/>
  <c r="HU38" i="6" s="1"/>
  <c r="II39" i="6"/>
  <c r="IK39" i="6" s="1"/>
  <c r="EL39" i="6"/>
  <c r="GW39" i="6"/>
  <c r="DN40" i="6"/>
  <c r="HX40" i="6"/>
  <c r="HS40" i="6"/>
  <c r="FQ40" i="6"/>
  <c r="HT40" i="6"/>
  <c r="II41" i="6"/>
  <c r="IK41" i="6" s="1"/>
  <c r="EL41" i="6"/>
  <c r="GW41" i="6"/>
  <c r="DN42" i="6"/>
  <c r="HX42" i="6"/>
  <c r="HY42" i="6" s="1"/>
  <c r="HS42" i="6"/>
  <c r="FQ42" i="6"/>
  <c r="HT42" i="6"/>
  <c r="II43" i="6"/>
  <c r="IK43" i="6" s="1"/>
  <c r="EL43" i="6"/>
  <c r="GW43" i="6"/>
  <c r="EH44" i="6"/>
  <c r="GS44" i="6"/>
  <c r="HP44" i="6"/>
  <c r="HQ44" i="6" s="1"/>
  <c r="HW44" i="6"/>
  <c r="HY44" i="6" s="1"/>
  <c r="GC45" i="6"/>
  <c r="DB46" i="6"/>
  <c r="FJ46" i="6"/>
  <c r="ET47" i="6"/>
  <c r="CH48" i="6"/>
  <c r="ED48" i="6"/>
  <c r="GO48" i="6"/>
  <c r="HL49" i="6"/>
  <c r="DZ49" i="6"/>
  <c r="GK49" i="6"/>
  <c r="HQ49" i="6"/>
  <c r="CD50" i="6"/>
  <c r="CH50" i="6"/>
  <c r="FF50" i="6"/>
  <c r="HK50" i="6"/>
  <c r="HL51" i="6"/>
  <c r="HG51" i="6"/>
  <c r="HI51" i="6" s="1"/>
  <c r="DZ51" i="6"/>
  <c r="IF51" i="6"/>
  <c r="GK51" i="6"/>
  <c r="HK51" i="6"/>
  <c r="HM51" i="6" s="1"/>
  <c r="HD52" i="6"/>
  <c r="DJ52" i="6"/>
  <c r="IK53" i="6"/>
  <c r="IK54" i="6"/>
  <c r="HD54" i="6"/>
  <c r="IK55" i="6"/>
  <c r="HD55" i="6"/>
  <c r="IK56" i="6"/>
  <c r="HD56" i="6"/>
  <c r="CX57" i="6"/>
  <c r="HT57" i="6"/>
  <c r="HU57" i="6" s="1"/>
  <c r="HD57" i="6"/>
  <c r="II57" i="6"/>
  <c r="IK57" i="6" s="1"/>
  <c r="EL57" i="6"/>
  <c r="HP57" i="6"/>
  <c r="HQ57" i="6" s="1"/>
  <c r="HS58" i="6"/>
  <c r="HU58" i="6" s="1"/>
  <c r="EP58" i="6"/>
  <c r="HQ58" i="6"/>
  <c r="HH60" i="6"/>
  <c r="F60" i="6"/>
  <c r="CL60" i="6"/>
  <c r="HT60" i="6"/>
  <c r="HC61" i="6"/>
  <c r="HE61" i="6" s="1"/>
  <c r="HK61" i="6"/>
  <c r="HM61" i="6" s="1"/>
  <c r="CD61" i="6"/>
  <c r="IK61" i="6"/>
  <c r="IA61" i="6"/>
  <c r="IC61" i="6" s="1"/>
  <c r="FF61" i="6"/>
  <c r="N62" i="6"/>
  <c r="HP62" i="6"/>
  <c r="HQ62" i="6" s="1"/>
  <c r="BJ62" i="6"/>
  <c r="HL62" i="6"/>
  <c r="HD63" i="6"/>
  <c r="HQ64" i="6"/>
  <c r="BV65" i="6"/>
  <c r="HL65" i="6"/>
  <c r="HX65" i="6"/>
  <c r="HY65" i="6" s="1"/>
  <c r="HS65" i="6"/>
  <c r="EP65" i="6"/>
  <c r="IA67" i="6"/>
  <c r="IC67" i="6" s="1"/>
  <c r="FF67" i="6"/>
  <c r="N68" i="6"/>
  <c r="HP68" i="6"/>
  <c r="HL68" i="6"/>
  <c r="BJ68" i="6"/>
  <c r="HD68" i="6"/>
  <c r="E147" i="6"/>
  <c r="F79" i="6"/>
  <c r="BY79" i="6"/>
  <c r="AK147" i="6"/>
  <c r="AL79" i="6"/>
  <c r="AL147" i="6" s="1"/>
  <c r="IE52" i="6"/>
  <c r="IG52" i="6" s="1"/>
  <c r="HK53" i="6"/>
  <c r="HM53" i="6" s="1"/>
  <c r="HP54" i="6"/>
  <c r="HQ54" i="6" s="1"/>
  <c r="HP55" i="6"/>
  <c r="HQ55" i="6" s="1"/>
  <c r="HP56" i="6"/>
  <c r="CH57" i="6"/>
  <c r="GG57" i="6"/>
  <c r="HH58" i="6"/>
  <c r="HI58" i="6" s="1"/>
  <c r="F58" i="6"/>
  <c r="HC58" i="6"/>
  <c r="HE58" i="6" s="1"/>
  <c r="HK58" i="6"/>
  <c r="HM58" i="6" s="1"/>
  <c r="FB58" i="6"/>
  <c r="GW58" i="6"/>
  <c r="HL58" i="6"/>
  <c r="N59" i="6"/>
  <c r="HP59" i="6"/>
  <c r="HQ59" i="6" s="1"/>
  <c r="IF59" i="6"/>
  <c r="HT59" i="6"/>
  <c r="HU60" i="6"/>
  <c r="FB60" i="6"/>
  <c r="GG60" i="6"/>
  <c r="HH61" i="6"/>
  <c r="F61" i="6"/>
  <c r="HD61" i="6"/>
  <c r="HC62" i="6"/>
  <c r="HE62" i="6" s="1"/>
  <c r="HK62" i="6"/>
  <c r="DN62" i="6"/>
  <c r="IK62" i="6"/>
  <c r="IA62" i="6"/>
  <c r="IC62" i="6" s="1"/>
  <c r="FQ62" i="6"/>
  <c r="GW62" i="6"/>
  <c r="HP63" i="6"/>
  <c r="HQ63" i="6" s="1"/>
  <c r="N63" i="6"/>
  <c r="ET63" i="6"/>
  <c r="FY63" i="6"/>
  <c r="IJ63" i="6"/>
  <c r="HK64" i="6"/>
  <c r="HC64" i="6"/>
  <c r="DN64" i="6"/>
  <c r="IK64" i="6"/>
  <c r="IA64" i="6"/>
  <c r="IC64" i="6" s="1"/>
  <c r="FQ64" i="6"/>
  <c r="GW64" i="6"/>
  <c r="HP65" i="6"/>
  <c r="HQ65" i="6" s="1"/>
  <c r="N65" i="6"/>
  <c r="CH65" i="6"/>
  <c r="ED65" i="6"/>
  <c r="FJ65" i="6"/>
  <c r="GO65" i="6"/>
  <c r="HT65" i="6"/>
  <c r="CD66" i="6"/>
  <c r="HD66" i="6"/>
  <c r="DJ66" i="6"/>
  <c r="DZ66" i="6"/>
  <c r="FF66" i="6"/>
  <c r="GK66" i="6"/>
  <c r="IF66" i="6"/>
  <c r="IG66" i="6" s="1"/>
  <c r="EH68" i="6"/>
  <c r="EL68" i="6"/>
  <c r="IB68" i="6"/>
  <c r="IE68" i="6"/>
  <c r="IG68" i="6" s="1"/>
  <c r="GS68" i="6"/>
  <c r="HQ68" i="6"/>
  <c r="HM69" i="6"/>
  <c r="HP70" i="6"/>
  <c r="HG70" i="6"/>
  <c r="HI70" i="6" s="1"/>
  <c r="ED70" i="6"/>
  <c r="HQ70" i="6"/>
  <c r="II71" i="6"/>
  <c r="IK71" i="6" s="1"/>
  <c r="EL71" i="6"/>
  <c r="IB71" i="6"/>
  <c r="IC71" i="6" s="1"/>
  <c r="FF71" i="6"/>
  <c r="BZ86" i="6"/>
  <c r="BY106" i="6"/>
  <c r="F106" i="6"/>
  <c r="BZ111" i="6"/>
  <c r="HK52" i="6"/>
  <c r="IA52" i="6"/>
  <c r="IC52" i="6" s="1"/>
  <c r="HL54" i="6"/>
  <c r="HL55" i="6"/>
  <c r="HL56" i="6"/>
  <c r="HH57" i="6"/>
  <c r="HC57" i="6"/>
  <c r="HX57" i="6"/>
  <c r="HY57" i="6" s="1"/>
  <c r="HL57" i="6"/>
  <c r="IA57" i="6"/>
  <c r="IC57" i="6" s="1"/>
  <c r="II58" i="6"/>
  <c r="IK58" i="6" s="1"/>
  <c r="EL58" i="6"/>
  <c r="HC59" i="6"/>
  <c r="HK59" i="6"/>
  <c r="IK59" i="6"/>
  <c r="IC59" i="6"/>
  <c r="N60" i="6"/>
  <c r="HP60" i="6"/>
  <c r="HX61" i="6"/>
  <c r="HY61" i="6" s="1"/>
  <c r="HU61" i="6"/>
  <c r="HH62" i="6"/>
  <c r="F62" i="6"/>
  <c r="HD62" i="6"/>
  <c r="HK63" i="6"/>
  <c r="HM63" i="6" s="1"/>
  <c r="HC63" i="6"/>
  <c r="HX63" i="6"/>
  <c r="HY63" i="6" s="1"/>
  <c r="IF63" i="6"/>
  <c r="IG63" i="6" s="1"/>
  <c r="HH64" i="6"/>
  <c r="F64" i="6"/>
  <c r="HD64" i="6"/>
  <c r="HK65" i="6"/>
  <c r="HM65" i="6" s="1"/>
  <c r="HC65" i="6"/>
  <c r="IK65" i="6"/>
  <c r="IC65" i="6"/>
  <c r="AR72" i="6"/>
  <c r="HG66" i="6"/>
  <c r="HT66" i="6"/>
  <c r="HQ66" i="6"/>
  <c r="HK67" i="6"/>
  <c r="HM67" i="6" s="1"/>
  <c r="HX67" i="6"/>
  <c r="HY67" i="6" s="1"/>
  <c r="IF67" i="6"/>
  <c r="IG67" i="6" s="1"/>
  <c r="HT68" i="6"/>
  <c r="CL68" i="6"/>
  <c r="HH68" i="6"/>
  <c r="HI68" i="6" s="1"/>
  <c r="HD69" i="6"/>
  <c r="IA69" i="6"/>
  <c r="HD70" i="6"/>
  <c r="IB70" i="6"/>
  <c r="IC70" i="6" s="1"/>
  <c r="GC70" i="6"/>
  <c r="HU70" i="6"/>
  <c r="HL71" i="6"/>
  <c r="HM71" i="6" s="1"/>
  <c r="HG71" i="6"/>
  <c r="HI71" i="6" s="1"/>
  <c r="CH71" i="6"/>
  <c r="HS71" i="6"/>
  <c r="FB71" i="6"/>
  <c r="CD53" i="6"/>
  <c r="EL53" i="6"/>
  <c r="F54" i="6"/>
  <c r="EL54" i="6"/>
  <c r="F55" i="6"/>
  <c r="EL55" i="6"/>
  <c r="F56" i="6"/>
  <c r="EL56" i="6"/>
  <c r="F57" i="6"/>
  <c r="FB57" i="6"/>
  <c r="HG57" i="6"/>
  <c r="CD58" i="6"/>
  <c r="IA58" i="6"/>
  <c r="IF58" i="6"/>
  <c r="IG58" i="6" s="1"/>
  <c r="GG58" i="6"/>
  <c r="HH59" i="6"/>
  <c r="HI59" i="6" s="1"/>
  <c r="F59" i="6"/>
  <c r="HD59" i="6"/>
  <c r="HC60" i="6"/>
  <c r="HE60" i="6" s="1"/>
  <c r="HK60" i="6"/>
  <c r="HM60" i="6" s="1"/>
  <c r="DN60" i="6"/>
  <c r="IK60" i="6"/>
  <c r="EP60" i="6"/>
  <c r="IA60" i="6"/>
  <c r="IC60" i="6" s="1"/>
  <c r="FQ60" i="6"/>
  <c r="GW60" i="6"/>
  <c r="HL60" i="6"/>
  <c r="N61" i="6"/>
  <c r="HP61" i="6"/>
  <c r="HQ61" i="6" s="1"/>
  <c r="FM61" i="6"/>
  <c r="IF61" i="6"/>
  <c r="IG61" i="6" s="1"/>
  <c r="HT61" i="6"/>
  <c r="CD62" i="6"/>
  <c r="HX62" i="6"/>
  <c r="HY62" i="6" s="1"/>
  <c r="HU62" i="6"/>
  <c r="FB62" i="6"/>
  <c r="FF62" i="6"/>
  <c r="GG62" i="6"/>
  <c r="F63" i="6"/>
  <c r="HH63" i="6"/>
  <c r="ED63" i="6"/>
  <c r="FJ63" i="6"/>
  <c r="FM63" i="6"/>
  <c r="GO63" i="6"/>
  <c r="HT63" i="6"/>
  <c r="HU63" i="6" s="1"/>
  <c r="CD64" i="6"/>
  <c r="HX64" i="6"/>
  <c r="HY64" i="6" s="1"/>
  <c r="HU64" i="6"/>
  <c r="FB64" i="6"/>
  <c r="FF64" i="6"/>
  <c r="IF64" i="6"/>
  <c r="GG64" i="6"/>
  <c r="HH65" i="6"/>
  <c r="HI65" i="6" s="1"/>
  <c r="F65" i="6"/>
  <c r="ET65" i="6"/>
  <c r="FY65" i="6"/>
  <c r="HD65" i="6"/>
  <c r="HL66" i="6"/>
  <c r="HM66" i="6" s="1"/>
  <c r="FU66" i="6"/>
  <c r="HA66" i="6"/>
  <c r="HP66" i="6"/>
  <c r="HT67" i="6"/>
  <c r="HU67" i="6" s="1"/>
  <c r="EX68" i="6"/>
  <c r="HT69" i="6"/>
  <c r="HU69" i="6" s="1"/>
  <c r="DV69" i="6"/>
  <c r="IK69" i="6"/>
  <c r="IE69" i="6"/>
  <c r="IG69" i="6" s="1"/>
  <c r="FM69" i="6"/>
  <c r="HK70" i="6"/>
  <c r="HM70" i="6" s="1"/>
  <c r="DN70" i="6"/>
  <c r="HW70" i="6"/>
  <c r="HY70" i="6" s="1"/>
  <c r="GS70" i="6"/>
  <c r="BY81" i="6"/>
  <c r="BZ81" i="6" s="1"/>
  <c r="EL64" i="6"/>
  <c r="EL65" i="6"/>
  <c r="HW66" i="6"/>
  <c r="HY66" i="6" s="1"/>
  <c r="CD67" i="6"/>
  <c r="EL67" i="6"/>
  <c r="HC67" i="6"/>
  <c r="HE67" i="6" s="1"/>
  <c r="HW68" i="6"/>
  <c r="HY68" i="6" s="1"/>
  <c r="CD69" i="6"/>
  <c r="HC69" i="6"/>
  <c r="HE69" i="6" s="1"/>
  <c r="EH70" i="6"/>
  <c r="FM70" i="6"/>
  <c r="GC71" i="6"/>
  <c r="AC147" i="6"/>
  <c r="AD79" i="6"/>
  <c r="AD147" i="6" s="1"/>
  <c r="BT147" i="6"/>
  <c r="BV79" i="6"/>
  <c r="BY82" i="6"/>
  <c r="BX83" i="6"/>
  <c r="AT83" i="6"/>
  <c r="BY97" i="6"/>
  <c r="BY107" i="6"/>
  <c r="BX112" i="6"/>
  <c r="BZ112" i="6" s="1"/>
  <c r="AT112" i="6"/>
  <c r="U147" i="6"/>
  <c r="V79" i="6"/>
  <c r="V147" i="6" s="1"/>
  <c r="BI147" i="6"/>
  <c r="BJ79" i="6"/>
  <c r="BJ147" i="6" s="1"/>
  <c r="AP80" i="6"/>
  <c r="AP147" i="6" s="1"/>
  <c r="BX80" i="6"/>
  <c r="BZ80" i="6" s="1"/>
  <c r="BF80" i="6"/>
  <c r="BF147" i="6" s="1"/>
  <c r="BY83" i="6"/>
  <c r="F83" i="6"/>
  <c r="BX85" i="6"/>
  <c r="BZ85" i="6" s="1"/>
  <c r="AP86" i="6"/>
  <c r="AP88" i="6"/>
  <c r="BY101" i="6"/>
  <c r="F101" i="6"/>
  <c r="BX107" i="6"/>
  <c r="BZ107" i="6" s="1"/>
  <c r="AP107" i="6"/>
  <c r="R108" i="6"/>
  <c r="BY108" i="6"/>
  <c r="EL59" i="6"/>
  <c r="EL60" i="6"/>
  <c r="EL61" i="6"/>
  <c r="EL62" i="6"/>
  <c r="FM68" i="6"/>
  <c r="FF70" i="6"/>
  <c r="HT71" i="6"/>
  <c r="HD71" i="6"/>
  <c r="FM71" i="6"/>
  <c r="M147" i="6"/>
  <c r="N79" i="6"/>
  <c r="N147" i="6" s="1"/>
  <c r="AW147" i="6"/>
  <c r="AX79" i="6"/>
  <c r="AX147" i="6" s="1"/>
  <c r="AP82" i="6"/>
  <c r="BX82" i="6"/>
  <c r="BF82" i="6"/>
  <c r="BY84" i="6"/>
  <c r="BZ84" i="6" s="1"/>
  <c r="BN84" i="6"/>
  <c r="BZ88" i="6"/>
  <c r="BZ89" i="6"/>
  <c r="AP109" i="6"/>
  <c r="BX109" i="6"/>
  <c r="BZ109" i="6" s="1"/>
  <c r="J123" i="6"/>
  <c r="BY123" i="6"/>
  <c r="BX123" i="6"/>
  <c r="AP123" i="6"/>
  <c r="AR147" i="6"/>
  <c r="BD147" i="6"/>
  <c r="BP147" i="6"/>
  <c r="BU147" i="6"/>
  <c r="BY91" i="6"/>
  <c r="BZ91" i="6" s="1"/>
  <c r="BY93" i="6"/>
  <c r="BZ93" i="6" s="1"/>
  <c r="BX94" i="6"/>
  <c r="BZ94" i="6" s="1"/>
  <c r="BX95" i="6"/>
  <c r="BZ95" i="6" s="1"/>
  <c r="BX96" i="6"/>
  <c r="BZ96" i="6" s="1"/>
  <c r="BX97" i="6"/>
  <c r="BZ97" i="6" s="1"/>
  <c r="BX98" i="6"/>
  <c r="BX99" i="6"/>
  <c r="BZ99" i="6" s="1"/>
  <c r="BX100" i="6"/>
  <c r="BY103" i="6"/>
  <c r="BZ103" i="6" s="1"/>
  <c r="AP104" i="6"/>
  <c r="BX104" i="6"/>
  <c r="BZ104" i="6" s="1"/>
  <c r="BX110" i="6"/>
  <c r="BZ110" i="6" s="1"/>
  <c r="BY113" i="6"/>
  <c r="BZ113" i="6" s="1"/>
  <c r="BY118" i="6"/>
  <c r="BX119" i="6"/>
  <c r="BX121" i="6"/>
  <c r="AP121" i="6"/>
  <c r="BX124" i="6"/>
  <c r="AP124" i="6"/>
  <c r="BY131" i="6"/>
  <c r="BZ131" i="6" s="1"/>
  <c r="BZ133" i="6"/>
  <c r="I147" i="6"/>
  <c r="Q147" i="6"/>
  <c r="Y147" i="6"/>
  <c r="AG147" i="6"/>
  <c r="AN147" i="6"/>
  <c r="AS147" i="6"/>
  <c r="AZ147" i="6"/>
  <c r="BE147" i="6"/>
  <c r="BL147" i="6"/>
  <c r="BQ147" i="6"/>
  <c r="BX90" i="6"/>
  <c r="BZ90" i="6" s="1"/>
  <c r="BX92" i="6"/>
  <c r="BZ92" i="6" s="1"/>
  <c r="BY96" i="6"/>
  <c r="BY98" i="6"/>
  <c r="J107" i="6"/>
  <c r="BF108" i="6"/>
  <c r="BY110" i="6"/>
  <c r="BN111" i="6"/>
  <c r="BB113" i="6"/>
  <c r="BB147" i="6" s="1"/>
  <c r="BY114" i="6"/>
  <c r="BZ114" i="6" s="1"/>
  <c r="AP115" i="6"/>
  <c r="BX117" i="6"/>
  <c r="BZ117" i="6" s="1"/>
  <c r="AT117" i="6"/>
  <c r="BX118" i="6"/>
  <c r="BZ118" i="6" s="1"/>
  <c r="AP119" i="6"/>
  <c r="BY121" i="6"/>
  <c r="R147" i="6"/>
  <c r="AH147" i="6"/>
  <c r="AO147" i="6"/>
  <c r="BA147" i="6"/>
  <c r="BM147" i="6"/>
  <c r="BX79" i="6"/>
  <c r="AP95" i="6"/>
  <c r="BF95" i="6"/>
  <c r="AP97" i="6"/>
  <c r="BF97" i="6"/>
  <c r="AP99" i="6"/>
  <c r="BF99" i="6"/>
  <c r="AP100" i="6"/>
  <c r="BY100" i="6"/>
  <c r="BF101" i="6"/>
  <c r="BX102" i="6"/>
  <c r="BZ102" i="6" s="1"/>
  <c r="N105" i="6"/>
  <c r="BX105" i="6"/>
  <c r="BZ105" i="6" s="1"/>
  <c r="BF106" i="6"/>
  <c r="BV110" i="6"/>
  <c r="BY111" i="6"/>
  <c r="AT111" i="6"/>
  <c r="AT147" i="6" s="1"/>
  <c r="BY116" i="6"/>
  <c r="BX116" i="6"/>
  <c r="BZ116" i="6" s="1"/>
  <c r="F122" i="6"/>
  <c r="BY122" i="6"/>
  <c r="BY124" i="6"/>
  <c r="AP128" i="6"/>
  <c r="BX128" i="6"/>
  <c r="BX101" i="6"/>
  <c r="BZ101" i="6" s="1"/>
  <c r="BY102" i="6"/>
  <c r="F102" i="6"/>
  <c r="BY104" i="6"/>
  <c r="BN104" i="6"/>
  <c r="BX106" i="6"/>
  <c r="BX108" i="6"/>
  <c r="BZ108" i="6" s="1"/>
  <c r="BY109" i="6"/>
  <c r="F109" i="6"/>
  <c r="BB109" i="6"/>
  <c r="AP111" i="6"/>
  <c r="BV112" i="6"/>
  <c r="BY115" i="6"/>
  <c r="BZ115" i="6" s="1"/>
  <c r="BN115" i="6"/>
  <c r="AP117" i="6"/>
  <c r="BV118" i="6"/>
  <c r="BY119" i="6"/>
  <c r="BN119" i="6"/>
  <c r="BY120" i="6"/>
  <c r="BX122" i="6"/>
  <c r="BX125" i="6"/>
  <c r="BB119" i="6"/>
  <c r="BX120" i="6"/>
  <c r="BZ120" i="6" s="1"/>
  <c r="AT121" i="6"/>
  <c r="BR121" i="6"/>
  <c r="AT123" i="6"/>
  <c r="BR123" i="6"/>
  <c r="BY127" i="6"/>
  <c r="F140" i="6"/>
  <c r="BY140" i="6"/>
  <c r="AT124" i="6"/>
  <c r="BR124" i="6"/>
  <c r="AP126" i="6"/>
  <c r="BX126" i="6"/>
  <c r="BZ126" i="6" s="1"/>
  <c r="BR126" i="6"/>
  <c r="BY129" i="6"/>
  <c r="BZ129" i="6" s="1"/>
  <c r="AP137" i="6"/>
  <c r="BX137" i="6"/>
  <c r="BX138" i="6"/>
  <c r="BV138" i="6"/>
  <c r="BF130" i="6"/>
  <c r="AP132" i="6"/>
  <c r="BX132" i="6"/>
  <c r="BR132" i="6"/>
  <c r="BF124" i="6"/>
  <c r="BY125" i="6"/>
  <c r="AT126" i="6"/>
  <c r="BX127" i="6"/>
  <c r="BZ127" i="6" s="1"/>
  <c r="BF128" i="6"/>
  <c r="AP130" i="6"/>
  <c r="BX130" i="6"/>
  <c r="BR130" i="6"/>
  <c r="BY133" i="6"/>
  <c r="BV134" i="6"/>
  <c r="BX134" i="6"/>
  <c r="BZ134" i="6" s="1"/>
  <c r="Z141" i="6"/>
  <c r="Z147" i="6" s="1"/>
  <c r="X147" i="6"/>
  <c r="BY136" i="6"/>
  <c r="AP139" i="6"/>
  <c r="BX139" i="6"/>
  <c r="BF139" i="6"/>
  <c r="BX140" i="6"/>
  <c r="BZ140" i="6" s="1"/>
  <c r="BV140" i="6"/>
  <c r="BY141" i="6"/>
  <c r="BX143" i="6"/>
  <c r="BZ143" i="6" s="1"/>
  <c r="BX145" i="6"/>
  <c r="BZ145" i="6" s="1"/>
  <c r="BY126" i="6"/>
  <c r="BY128" i="6"/>
  <c r="BY130" i="6"/>
  <c r="BY132" i="6"/>
  <c r="AP135" i="6"/>
  <c r="BX135" i="6"/>
  <c r="BZ135" i="6" s="1"/>
  <c r="BY137" i="6"/>
  <c r="BY138" i="6"/>
  <c r="BX141" i="6"/>
  <c r="J141" i="6"/>
  <c r="J147" i="6" s="1"/>
  <c r="H147" i="6"/>
  <c r="F134" i="6"/>
  <c r="BX136" i="6"/>
  <c r="BV136" i="6"/>
  <c r="BY139" i="6"/>
  <c r="AT139" i="6"/>
  <c r="BR139" i="6"/>
  <c r="BY142" i="6"/>
  <c r="BZ142" i="6" s="1"/>
  <c r="BY144" i="6"/>
  <c r="BZ144" i="6" s="1"/>
  <c r="HM18" i="5"/>
  <c r="HQ5" i="5"/>
  <c r="IG6" i="5"/>
  <c r="IG7" i="5"/>
  <c r="IC8" i="5"/>
  <c r="IK8" i="5"/>
  <c r="HM10" i="5"/>
  <c r="HQ13" i="5"/>
  <c r="HU16" i="5"/>
  <c r="HM17" i="5"/>
  <c r="HM22" i="5"/>
  <c r="IG8" i="5"/>
  <c r="HQ10" i="5"/>
  <c r="HQ11" i="5"/>
  <c r="HU14" i="5"/>
  <c r="HU22" i="5"/>
  <c r="HU24" i="5"/>
  <c r="HU25" i="5"/>
  <c r="HU26" i="5"/>
  <c r="HU7" i="5"/>
  <c r="HY11" i="5"/>
  <c r="HQ12" i="5"/>
  <c r="IK16" i="5"/>
  <c r="IK24" i="5"/>
  <c r="IK25" i="5"/>
  <c r="AL72" i="5"/>
  <c r="BB72" i="5"/>
  <c r="CT72" i="5"/>
  <c r="DV72" i="5"/>
  <c r="GO72" i="5"/>
  <c r="HC4" i="5"/>
  <c r="HH4" i="5"/>
  <c r="HH5" i="5"/>
  <c r="HX5" i="5"/>
  <c r="HY5" i="5" s="1"/>
  <c r="HG6" i="5"/>
  <c r="HW6" i="5"/>
  <c r="HY6" i="5" s="1"/>
  <c r="HL7" i="5"/>
  <c r="HW7" i="5"/>
  <c r="HY7" i="5" s="1"/>
  <c r="HG8" i="5"/>
  <c r="HI8" i="5" s="1"/>
  <c r="HW8" i="5"/>
  <c r="HY8" i="5" s="1"/>
  <c r="HG9" i="5"/>
  <c r="HW9" i="5"/>
  <c r="HY9" i="5" s="1"/>
  <c r="HC10" i="5"/>
  <c r="HE10" i="5" s="1"/>
  <c r="HH10" i="5"/>
  <c r="HI10" i="5" s="1"/>
  <c r="HX10" i="5"/>
  <c r="HC11" i="5"/>
  <c r="HE11" i="5" s="1"/>
  <c r="HT13" i="5"/>
  <c r="IE13" i="5"/>
  <c r="IG13" i="5" s="1"/>
  <c r="HP14" i="5"/>
  <c r="HQ14" i="5" s="1"/>
  <c r="IF14" i="5"/>
  <c r="IG14" i="5" s="1"/>
  <c r="HK15" i="5"/>
  <c r="IF15" i="5"/>
  <c r="IF16" i="5"/>
  <c r="IG16" i="5" s="1"/>
  <c r="HG17" i="5"/>
  <c r="IB17" i="5"/>
  <c r="IC17" i="5" s="1"/>
  <c r="HL18" i="5"/>
  <c r="IB18" i="5"/>
  <c r="IC18" i="5" s="1"/>
  <c r="HG19" i="5"/>
  <c r="HI19" i="5" s="1"/>
  <c r="IB19" i="5"/>
  <c r="HG20" i="5"/>
  <c r="HW20" i="5"/>
  <c r="HY20" i="5" s="1"/>
  <c r="HL21" i="5"/>
  <c r="HM21" i="5" s="1"/>
  <c r="HW21" i="5"/>
  <c r="HY21" i="5" s="1"/>
  <c r="HG22" i="5"/>
  <c r="HI22" i="5" s="1"/>
  <c r="HW22" i="5"/>
  <c r="HY22" i="5" s="1"/>
  <c r="HL23" i="5"/>
  <c r="HM23" i="5" s="1"/>
  <c r="IB23" i="5"/>
  <c r="IC23" i="5" s="1"/>
  <c r="HG24" i="5"/>
  <c r="HI24" i="5" s="1"/>
  <c r="HW24" i="5"/>
  <c r="HL25" i="5"/>
  <c r="HM25" i="5" s="1"/>
  <c r="IB25" i="5"/>
  <c r="IC25" i="5" s="1"/>
  <c r="HH26" i="5"/>
  <c r="IA26" i="5"/>
  <c r="HC27" i="5"/>
  <c r="CD27" i="5"/>
  <c r="HS27" i="5"/>
  <c r="EP27" i="5"/>
  <c r="IE27" i="5"/>
  <c r="IG27" i="5" s="1"/>
  <c r="IA29" i="5"/>
  <c r="IC29" i="5" s="1"/>
  <c r="GC29" i="5"/>
  <c r="HH30" i="5"/>
  <c r="F30" i="5"/>
  <c r="HK30" i="5"/>
  <c r="HM30" i="5" s="1"/>
  <c r="DB30" i="5"/>
  <c r="HD30" i="5"/>
  <c r="HE30" i="5" s="1"/>
  <c r="IE30" i="5"/>
  <c r="FM30" i="5"/>
  <c r="HT31" i="5"/>
  <c r="HU31" i="5" s="1"/>
  <c r="CL31" i="5"/>
  <c r="HH31" i="5"/>
  <c r="FF33" i="5"/>
  <c r="IA33" i="5"/>
  <c r="IC33" i="5" s="1"/>
  <c r="IG34" i="5"/>
  <c r="HC35" i="5"/>
  <c r="CD35" i="5"/>
  <c r="II35" i="5"/>
  <c r="IK35" i="5" s="1"/>
  <c r="EL35" i="5"/>
  <c r="HD37" i="5"/>
  <c r="IG37" i="5"/>
  <c r="FF40" i="5"/>
  <c r="IA40" i="5"/>
  <c r="HD40" i="5"/>
  <c r="HC41" i="5"/>
  <c r="HK41" i="5"/>
  <c r="HM41" i="5" s="1"/>
  <c r="CD41" i="5"/>
  <c r="HD41" i="5"/>
  <c r="CL42" i="5"/>
  <c r="HT42" i="5"/>
  <c r="HD47" i="5"/>
  <c r="HW47" i="5"/>
  <c r="HH49" i="5"/>
  <c r="F49" i="5"/>
  <c r="I72" i="5"/>
  <c r="Q72" i="5"/>
  <c r="Y72" i="5"/>
  <c r="AG72" i="5"/>
  <c r="AO72" i="5"/>
  <c r="AW72" i="5"/>
  <c r="BE72" i="5"/>
  <c r="BM72" i="5"/>
  <c r="BU72" i="5"/>
  <c r="CB72" i="5"/>
  <c r="CG72" i="5"/>
  <c r="CO72" i="5"/>
  <c r="CW72" i="5"/>
  <c r="DB4" i="5"/>
  <c r="DJ4" i="5"/>
  <c r="DQ72" i="5"/>
  <c r="DX72" i="5"/>
  <c r="EH4" i="5"/>
  <c r="EN72" i="5"/>
  <c r="ES72" i="5"/>
  <c r="EX4" i="5"/>
  <c r="FD72" i="5"/>
  <c r="FI72" i="5"/>
  <c r="FM4" i="5"/>
  <c r="FS72" i="5"/>
  <c r="FX72" i="5"/>
  <c r="FY72" i="5" s="1"/>
  <c r="GC4" i="5"/>
  <c r="GI72" i="5"/>
  <c r="GK72" i="5" s="1"/>
  <c r="GN72" i="5"/>
  <c r="GS4" i="5"/>
  <c r="GY72" i="5"/>
  <c r="HD4" i="5"/>
  <c r="HO72" i="5"/>
  <c r="HT4" i="5"/>
  <c r="IE4" i="5"/>
  <c r="DJ5" i="5"/>
  <c r="FM5" i="5"/>
  <c r="HT5" i="5"/>
  <c r="HU5" i="5" s="1"/>
  <c r="IE5" i="5"/>
  <c r="IG5" i="5" s="1"/>
  <c r="BJ6" i="5"/>
  <c r="CL6" i="5"/>
  <c r="EL6" i="5"/>
  <c r="GW6" i="5"/>
  <c r="HC6" i="5"/>
  <c r="HE6" i="5" s="1"/>
  <c r="HH6" i="5"/>
  <c r="F7" i="5"/>
  <c r="N7" i="5"/>
  <c r="CL7" i="5"/>
  <c r="EL7" i="5"/>
  <c r="GW7" i="5"/>
  <c r="HC7" i="5"/>
  <c r="HE7" i="5" s="1"/>
  <c r="F8" i="5"/>
  <c r="N8" i="5"/>
  <c r="BJ8" i="5"/>
  <c r="CL8" i="5"/>
  <c r="EL8" i="5"/>
  <c r="GW8" i="5"/>
  <c r="HC8" i="5"/>
  <c r="HE8" i="5" s="1"/>
  <c r="F9" i="5"/>
  <c r="N9" i="5"/>
  <c r="BJ9" i="5"/>
  <c r="CL9" i="5"/>
  <c r="EL9" i="5"/>
  <c r="GW9" i="5"/>
  <c r="HC9" i="5"/>
  <c r="HE9" i="5" s="1"/>
  <c r="N10" i="5"/>
  <c r="BJ10" i="5"/>
  <c r="DJ10" i="5"/>
  <c r="FM10" i="5"/>
  <c r="HT10" i="5"/>
  <c r="HU10" i="5" s="1"/>
  <c r="IE10" i="5"/>
  <c r="DJ11" i="5"/>
  <c r="EH11" i="5"/>
  <c r="EX11" i="5"/>
  <c r="FM11" i="5"/>
  <c r="HT11" i="5"/>
  <c r="HU11" i="5" s="1"/>
  <c r="IE11" i="5"/>
  <c r="CH12" i="5"/>
  <c r="CX12" i="5"/>
  <c r="HK12" i="5"/>
  <c r="HM12" i="5" s="1"/>
  <c r="HP12" i="5"/>
  <c r="IA12" i="5"/>
  <c r="J13" i="5"/>
  <c r="AH13" i="5"/>
  <c r="HK13" i="5"/>
  <c r="IA13" i="5"/>
  <c r="IC13" i="5" s="1"/>
  <c r="BV14" i="5"/>
  <c r="FF14" i="5"/>
  <c r="HG14" i="5"/>
  <c r="HW14" i="5"/>
  <c r="HY14" i="5" s="1"/>
  <c r="FF15" i="5"/>
  <c r="HG15" i="5"/>
  <c r="HI15" i="5" s="1"/>
  <c r="HL15" i="5"/>
  <c r="HW15" i="5"/>
  <c r="HY15" i="5" s="1"/>
  <c r="FF16" i="5"/>
  <c r="HG16" i="5"/>
  <c r="HI16" i="5" s="1"/>
  <c r="HL16" i="5"/>
  <c r="HW16" i="5"/>
  <c r="HY16" i="5" s="1"/>
  <c r="CL17" i="5"/>
  <c r="DN17" i="5"/>
  <c r="EL17" i="5"/>
  <c r="HC17" i="5"/>
  <c r="HE17" i="5" s="1"/>
  <c r="HH17" i="5"/>
  <c r="F18" i="5"/>
  <c r="N18" i="5"/>
  <c r="CL18" i="5"/>
  <c r="EL18" i="5"/>
  <c r="HC18" i="5"/>
  <c r="HE18" i="5" s="1"/>
  <c r="F19" i="5"/>
  <c r="N19" i="5"/>
  <c r="BJ19" i="5"/>
  <c r="CL19" i="5"/>
  <c r="EL19" i="5"/>
  <c r="HC19" i="5"/>
  <c r="HE19" i="5" s="1"/>
  <c r="F20" i="5"/>
  <c r="N20" i="5"/>
  <c r="BJ20" i="5"/>
  <c r="CL20" i="5"/>
  <c r="EL20" i="5"/>
  <c r="GW20" i="5"/>
  <c r="HC20" i="5"/>
  <c r="HE20" i="5" s="1"/>
  <c r="F21" i="5"/>
  <c r="N21" i="5"/>
  <c r="CL21" i="5"/>
  <c r="EL21" i="5"/>
  <c r="GW21" i="5"/>
  <c r="HC21" i="5"/>
  <c r="HE21" i="5" s="1"/>
  <c r="F22" i="5"/>
  <c r="N22" i="5"/>
  <c r="BJ22" i="5"/>
  <c r="CL22" i="5"/>
  <c r="EL22" i="5"/>
  <c r="GW22" i="5"/>
  <c r="HC22" i="5"/>
  <c r="HE22" i="5" s="1"/>
  <c r="F23" i="5"/>
  <c r="N23" i="5"/>
  <c r="CL23" i="5"/>
  <c r="EL23" i="5"/>
  <c r="HC23" i="5"/>
  <c r="HE23" i="5" s="1"/>
  <c r="F24" i="5"/>
  <c r="N24" i="5"/>
  <c r="BJ24" i="5"/>
  <c r="CL24" i="5"/>
  <c r="EL24" i="5"/>
  <c r="GW24" i="5"/>
  <c r="HC24" i="5"/>
  <c r="HE24" i="5" s="1"/>
  <c r="F25" i="5"/>
  <c r="N25" i="5"/>
  <c r="CL25" i="5"/>
  <c r="EL25" i="5"/>
  <c r="HC25" i="5"/>
  <c r="HE25" i="5" s="1"/>
  <c r="N26" i="5"/>
  <c r="BJ26" i="5"/>
  <c r="HG26" i="5"/>
  <c r="HI26" i="5" s="1"/>
  <c r="CL26" i="5"/>
  <c r="EL26" i="5"/>
  <c r="HC26" i="5"/>
  <c r="HE26" i="5" s="1"/>
  <c r="IE26" i="5"/>
  <c r="IG26" i="5" s="1"/>
  <c r="HK27" i="5"/>
  <c r="AH28" i="5"/>
  <c r="HG29" i="5"/>
  <c r="HP31" i="5"/>
  <c r="HQ31" i="5" s="1"/>
  <c r="N31" i="5"/>
  <c r="HG31" i="5"/>
  <c r="ED31" i="5"/>
  <c r="HC33" i="5"/>
  <c r="HE33" i="5" s="1"/>
  <c r="HG33" i="5"/>
  <c r="CH33" i="5"/>
  <c r="HL34" i="5"/>
  <c r="HC34" i="5"/>
  <c r="CD34" i="5"/>
  <c r="HK34" i="5"/>
  <c r="HS34" i="5"/>
  <c r="EP34" i="5"/>
  <c r="HT35" i="5"/>
  <c r="HU35" i="5" s="1"/>
  <c r="CX35" i="5"/>
  <c r="HK35" i="5"/>
  <c r="HM35" i="5" s="1"/>
  <c r="IA35" i="5"/>
  <c r="IC35" i="5" s="1"/>
  <c r="HC36" i="5"/>
  <c r="HD36" i="5"/>
  <c r="DJ36" i="5"/>
  <c r="HT36" i="5"/>
  <c r="HH37" i="5"/>
  <c r="HI37" i="5" s="1"/>
  <c r="HY37" i="5"/>
  <c r="FF38" i="5"/>
  <c r="IA38" i="5"/>
  <c r="HD38" i="5"/>
  <c r="HC39" i="5"/>
  <c r="HK39" i="5"/>
  <c r="HM39" i="5" s="1"/>
  <c r="CD39" i="5"/>
  <c r="HD39" i="5"/>
  <c r="CL40" i="5"/>
  <c r="HT40" i="5"/>
  <c r="IB40" i="5"/>
  <c r="HW42" i="5"/>
  <c r="HY42" i="5" s="1"/>
  <c r="EH42" i="5"/>
  <c r="HH43" i="5"/>
  <c r="F43" i="5"/>
  <c r="FM43" i="5"/>
  <c r="IE43" i="5"/>
  <c r="IG43" i="5" s="1"/>
  <c r="HS44" i="5"/>
  <c r="GG44" i="5"/>
  <c r="HG45" i="5"/>
  <c r="HI45" i="5" s="1"/>
  <c r="HC45" i="5"/>
  <c r="HW45" i="5"/>
  <c r="HY45" i="5" s="1"/>
  <c r="HD46" i="5"/>
  <c r="HE46" i="5" s="1"/>
  <c r="HG46" i="5"/>
  <c r="HI46" i="5" s="1"/>
  <c r="HX47" i="5"/>
  <c r="HC48" i="5"/>
  <c r="HH59" i="5"/>
  <c r="HI59" i="5" s="1"/>
  <c r="F59" i="5"/>
  <c r="IJ59" i="5"/>
  <c r="EL59" i="5"/>
  <c r="GW59" i="5"/>
  <c r="IB59" i="5"/>
  <c r="EP63" i="5"/>
  <c r="HS63" i="5"/>
  <c r="HC65" i="5"/>
  <c r="HK65" i="5"/>
  <c r="HM65" i="5" s="1"/>
  <c r="CD65" i="5"/>
  <c r="IA65" i="5"/>
  <c r="IC65" i="5" s="1"/>
  <c r="FF65" i="5"/>
  <c r="AD72" i="5"/>
  <c r="BR72" i="5"/>
  <c r="BZ72" i="5"/>
  <c r="HX4" i="5"/>
  <c r="HC5" i="5"/>
  <c r="HE5" i="5" s="1"/>
  <c r="HG7" i="5"/>
  <c r="HI7" i="5" s="1"/>
  <c r="IE12" i="5"/>
  <c r="IG12" i="5" s="1"/>
  <c r="HK14" i="5"/>
  <c r="HM14" i="5" s="1"/>
  <c r="IA14" i="5"/>
  <c r="IC14" i="5" s="1"/>
  <c r="IA15" i="5"/>
  <c r="IC15" i="5" s="1"/>
  <c r="HK16" i="5"/>
  <c r="HM16" i="5" s="1"/>
  <c r="IA16" i="5"/>
  <c r="IC16" i="5" s="1"/>
  <c r="HW17" i="5"/>
  <c r="HY17" i="5" s="1"/>
  <c r="HG18" i="5"/>
  <c r="HI18" i="5" s="1"/>
  <c r="HW18" i="5"/>
  <c r="HY18" i="5" s="1"/>
  <c r="HW19" i="5"/>
  <c r="HY19" i="5" s="1"/>
  <c r="HG21" i="5"/>
  <c r="HI21" i="5" s="1"/>
  <c r="HG23" i="5"/>
  <c r="HI23" i="5" s="1"/>
  <c r="HW23" i="5"/>
  <c r="HY23" i="5" s="1"/>
  <c r="HG25" i="5"/>
  <c r="HI25" i="5" s="1"/>
  <c r="HW25" i="5"/>
  <c r="HY25" i="5" s="1"/>
  <c r="J4" i="5"/>
  <c r="R4" i="5"/>
  <c r="R72" i="5" s="1"/>
  <c r="Z4" i="5"/>
  <c r="Z72" i="5" s="1"/>
  <c r="AH4" i="5"/>
  <c r="AP4" i="5"/>
  <c r="AP72" i="5" s="1"/>
  <c r="AX4" i="5"/>
  <c r="AX72" i="5" s="1"/>
  <c r="BF4" i="5"/>
  <c r="BF72" i="5" s="1"/>
  <c r="BN4" i="5"/>
  <c r="BN72" i="5" s="1"/>
  <c r="BV4" i="5"/>
  <c r="CC72" i="5"/>
  <c r="CH4" i="5"/>
  <c r="CP4" i="5"/>
  <c r="CP72" i="5" s="1"/>
  <c r="CX4" i="5"/>
  <c r="DE72" i="5"/>
  <c r="DL72" i="5"/>
  <c r="DR4" i="5"/>
  <c r="DR72" i="5" s="1"/>
  <c r="DY72" i="5"/>
  <c r="EJ72" i="5"/>
  <c r="EO72" i="5"/>
  <c r="ET4" i="5"/>
  <c r="EZ72" i="5"/>
  <c r="FE72" i="5"/>
  <c r="FJ4" i="5"/>
  <c r="FO72" i="5"/>
  <c r="FT72" i="5"/>
  <c r="FY4" i="5"/>
  <c r="GE72" i="5"/>
  <c r="GG72" i="5" s="1"/>
  <c r="GJ72" i="5"/>
  <c r="GO4" i="5"/>
  <c r="GU72" i="5"/>
  <c r="GZ72" i="5"/>
  <c r="HK4" i="5"/>
  <c r="HU4" i="5"/>
  <c r="IA4" i="5"/>
  <c r="IF4" i="5"/>
  <c r="IK4" i="5"/>
  <c r="CH5" i="5"/>
  <c r="HK5" i="5"/>
  <c r="HM5" i="5" s="1"/>
  <c r="IA5" i="5"/>
  <c r="IC5" i="5" s="1"/>
  <c r="DJ6" i="5"/>
  <c r="FM6" i="5"/>
  <c r="DJ7" i="5"/>
  <c r="FM7" i="5"/>
  <c r="DJ8" i="5"/>
  <c r="FM8" i="5"/>
  <c r="DJ9" i="5"/>
  <c r="FM9" i="5"/>
  <c r="CH10" i="5"/>
  <c r="IA10" i="5"/>
  <c r="IC10" i="5" s="1"/>
  <c r="CH11" i="5"/>
  <c r="HK11" i="5"/>
  <c r="HM11" i="5" s="1"/>
  <c r="IA11" i="5"/>
  <c r="IC11" i="5" s="1"/>
  <c r="EP12" i="5"/>
  <c r="HG12" i="5"/>
  <c r="CD13" i="5"/>
  <c r="EP13" i="5"/>
  <c r="HL13" i="5"/>
  <c r="CL14" i="5"/>
  <c r="EL14" i="5"/>
  <c r="HH14" i="5"/>
  <c r="F15" i="5"/>
  <c r="CL15" i="5"/>
  <c r="EL15" i="5"/>
  <c r="F16" i="5"/>
  <c r="CL16" i="5"/>
  <c r="EL16" i="5"/>
  <c r="N17" i="5"/>
  <c r="DB17" i="5"/>
  <c r="DJ17" i="5"/>
  <c r="FM17" i="5"/>
  <c r="DJ18" i="5"/>
  <c r="FM18" i="5"/>
  <c r="DJ19" i="5"/>
  <c r="FM19" i="5"/>
  <c r="DJ20" i="5"/>
  <c r="FM20" i="5"/>
  <c r="DJ21" i="5"/>
  <c r="FM21" i="5"/>
  <c r="DJ22" i="5"/>
  <c r="FM22" i="5"/>
  <c r="DJ23" i="5"/>
  <c r="FM23" i="5"/>
  <c r="DJ24" i="5"/>
  <c r="FM24" i="5"/>
  <c r="DJ25" i="5"/>
  <c r="FM25" i="5"/>
  <c r="DJ26" i="5"/>
  <c r="EH26" i="5"/>
  <c r="II27" i="5"/>
  <c r="IK27" i="5" s="1"/>
  <c r="EL27" i="5"/>
  <c r="HD27" i="5"/>
  <c r="HQ27" i="5"/>
  <c r="HL28" i="5"/>
  <c r="HI28" i="5"/>
  <c r="HD28" i="5"/>
  <c r="HE28" i="5" s="1"/>
  <c r="DF28" i="5"/>
  <c r="II28" i="5"/>
  <c r="IK28" i="5" s="1"/>
  <c r="EL28" i="5"/>
  <c r="HD29" i="5"/>
  <c r="HU29" i="5"/>
  <c r="IE29" i="5"/>
  <c r="IG29" i="5" s="1"/>
  <c r="FM29" i="5"/>
  <c r="HT30" i="5"/>
  <c r="HU30" i="5" s="1"/>
  <c r="CL30" i="5"/>
  <c r="FQ30" i="5"/>
  <c r="IA30" i="5"/>
  <c r="IC30" i="5" s="1"/>
  <c r="GC30" i="5"/>
  <c r="GW30" i="5"/>
  <c r="HD31" i="5"/>
  <c r="IK32" i="5"/>
  <c r="HL33" i="5"/>
  <c r="HK33" i="5"/>
  <c r="HS33" i="5"/>
  <c r="HU33" i="5" s="1"/>
  <c r="EP33" i="5"/>
  <c r="HQ33" i="5"/>
  <c r="HH34" i="5"/>
  <c r="HI34" i="5" s="1"/>
  <c r="J34" i="5"/>
  <c r="HT34" i="5"/>
  <c r="HG35" i="5"/>
  <c r="HD35" i="5"/>
  <c r="EP36" i="5"/>
  <c r="HS36" i="5"/>
  <c r="IF36" i="5"/>
  <c r="IC36" i="5"/>
  <c r="HS37" i="5"/>
  <c r="HU37" i="5" s="1"/>
  <c r="CL38" i="5"/>
  <c r="HT38" i="5"/>
  <c r="IB38" i="5"/>
  <c r="HM38" i="5"/>
  <c r="HW40" i="5"/>
  <c r="EH40" i="5"/>
  <c r="HH41" i="5"/>
  <c r="F41" i="5"/>
  <c r="FM41" i="5"/>
  <c r="IE41" i="5"/>
  <c r="V42" i="5"/>
  <c r="HP42" i="5"/>
  <c r="HQ42" i="5" s="1"/>
  <c r="HI43" i="5"/>
  <c r="HK45" i="5"/>
  <c r="HM45" i="5" s="1"/>
  <c r="HW46" i="5"/>
  <c r="HY46" i="5" s="1"/>
  <c r="IF46" i="5"/>
  <c r="IG46" i="5" s="1"/>
  <c r="IK46" i="5"/>
  <c r="HM47" i="5"/>
  <c r="HT47" i="5"/>
  <c r="HU47" i="5" s="1"/>
  <c r="CL47" i="5"/>
  <c r="IB47" i="5"/>
  <c r="IC47" i="5" s="1"/>
  <c r="GW47" i="5"/>
  <c r="HH47" i="5"/>
  <c r="HD48" i="5"/>
  <c r="HY48" i="5"/>
  <c r="IA48" i="5"/>
  <c r="IC48" i="5" s="1"/>
  <c r="FF48" i="5"/>
  <c r="IC50" i="5"/>
  <c r="E72" i="5"/>
  <c r="M72" i="5"/>
  <c r="U72" i="5"/>
  <c r="AC72" i="5"/>
  <c r="AK72" i="5"/>
  <c r="AS72" i="5"/>
  <c r="BA72" i="5"/>
  <c r="BI72" i="5"/>
  <c r="BQ72" i="5"/>
  <c r="BY72" i="5"/>
  <c r="CD4" i="5"/>
  <c r="CK72" i="5"/>
  <c r="CS72" i="5"/>
  <c r="CZ72" i="5"/>
  <c r="DF4" i="5"/>
  <c r="DF72" i="5" s="1"/>
  <c r="DM72" i="5"/>
  <c r="DU72" i="5"/>
  <c r="DZ4" i="5"/>
  <c r="EF72" i="5"/>
  <c r="EK72" i="5"/>
  <c r="EP4" i="5"/>
  <c r="EV72" i="5"/>
  <c r="EX72" i="5" s="1"/>
  <c r="FA72" i="5"/>
  <c r="FF4" i="5"/>
  <c r="FK72" i="5"/>
  <c r="FP72" i="5"/>
  <c r="FU4" i="5"/>
  <c r="GA72" i="5"/>
  <c r="GC72" i="5" s="1"/>
  <c r="GF72" i="5"/>
  <c r="GK4" i="5"/>
  <c r="GQ72" i="5"/>
  <c r="GV72" i="5"/>
  <c r="HA4" i="5"/>
  <c r="HG4" i="5"/>
  <c r="HL4" i="5"/>
  <c r="HQ4" i="5"/>
  <c r="HW4" i="5"/>
  <c r="IB4" i="5"/>
  <c r="Z6" i="5"/>
  <c r="EL12" i="5"/>
  <c r="F13" i="5"/>
  <c r="EL13" i="5"/>
  <c r="DJ14" i="5"/>
  <c r="FM14" i="5"/>
  <c r="FM15" i="5"/>
  <c r="FM16" i="5"/>
  <c r="CH26" i="5"/>
  <c r="IB26" i="5"/>
  <c r="HQ26" i="5"/>
  <c r="AH27" i="5"/>
  <c r="IA27" i="5"/>
  <c r="IC27" i="5" s="1"/>
  <c r="HY28" i="5"/>
  <c r="HK28" i="5"/>
  <c r="HM28" i="5" s="1"/>
  <c r="IA28" i="5"/>
  <c r="IC28" i="5" s="1"/>
  <c r="HM29" i="5"/>
  <c r="DN29" i="5"/>
  <c r="HP30" i="5"/>
  <c r="HQ30" i="5" s="1"/>
  <c r="N30" i="5"/>
  <c r="HG30" i="5"/>
  <c r="HW30" i="5"/>
  <c r="HY30" i="5" s="1"/>
  <c r="HL31" i="5"/>
  <c r="HM31" i="5" s="1"/>
  <c r="BJ31" i="5"/>
  <c r="HW31" i="5"/>
  <c r="HY31" i="5" s="1"/>
  <c r="IE31" i="5"/>
  <c r="IG31" i="5" s="1"/>
  <c r="GS31" i="5"/>
  <c r="HC31" i="5"/>
  <c r="HE31" i="5" s="1"/>
  <c r="HG32" i="5"/>
  <c r="HI32" i="5" s="1"/>
  <c r="CH32" i="5"/>
  <c r="DB32" i="5"/>
  <c r="HD32" i="5"/>
  <c r="DJ32" i="5"/>
  <c r="HW32" i="5"/>
  <c r="IE32" i="5"/>
  <c r="IG32" i="5" s="1"/>
  <c r="GS32" i="5"/>
  <c r="HC32" i="5"/>
  <c r="HE32" i="5" s="1"/>
  <c r="HU32" i="5"/>
  <c r="HH33" i="5"/>
  <c r="ET34" i="5"/>
  <c r="FF34" i="5"/>
  <c r="IA34" i="5"/>
  <c r="FY34" i="5"/>
  <c r="HD34" i="5"/>
  <c r="HH35" i="5"/>
  <c r="HP35" i="5"/>
  <c r="HQ35" i="5" s="1"/>
  <c r="HT37" i="5"/>
  <c r="CX37" i="5"/>
  <c r="HC37" i="5"/>
  <c r="HE37" i="5" s="1"/>
  <c r="HW38" i="5"/>
  <c r="EH38" i="5"/>
  <c r="HH39" i="5"/>
  <c r="HI39" i="5" s="1"/>
  <c r="F39" i="5"/>
  <c r="EP39" i="5"/>
  <c r="FM39" i="5"/>
  <c r="IE39" i="5"/>
  <c r="IG39" i="5" s="1"/>
  <c r="V40" i="5"/>
  <c r="V72" i="5" s="1"/>
  <c r="HP40" i="5"/>
  <c r="HQ40" i="5" s="1"/>
  <c r="HG41" i="5"/>
  <c r="FF42" i="5"/>
  <c r="IA42" i="5"/>
  <c r="IC42" i="5" s="1"/>
  <c r="HD42" i="5"/>
  <c r="HC43" i="5"/>
  <c r="HK43" i="5"/>
  <c r="HM43" i="5" s="1"/>
  <c r="CD43" i="5"/>
  <c r="HD43" i="5"/>
  <c r="HQ43" i="5"/>
  <c r="HT44" i="5"/>
  <c r="CL44" i="5"/>
  <c r="EL44" i="5"/>
  <c r="EX44" i="5"/>
  <c r="HG44" i="5"/>
  <c r="HH44" i="5"/>
  <c r="IK44" i="5"/>
  <c r="DN45" i="5"/>
  <c r="HL46" i="5"/>
  <c r="CD46" i="5"/>
  <c r="IE47" i="5"/>
  <c r="IJ47" i="5"/>
  <c r="IK47" i="5" s="1"/>
  <c r="HP48" i="5"/>
  <c r="HQ48" i="5" s="1"/>
  <c r="N48" i="5"/>
  <c r="HT48" i="5"/>
  <c r="HU48" i="5" s="1"/>
  <c r="HL27" i="5"/>
  <c r="CD28" i="5"/>
  <c r="EP28" i="5"/>
  <c r="FU28" i="5"/>
  <c r="CD29" i="5"/>
  <c r="EL29" i="5"/>
  <c r="HC29" i="5"/>
  <c r="HH29" i="5"/>
  <c r="EL30" i="5"/>
  <c r="EH31" i="5"/>
  <c r="FM31" i="5"/>
  <c r="EH32" i="5"/>
  <c r="FM32" i="5"/>
  <c r="CH34" i="5"/>
  <c r="CH35" i="5"/>
  <c r="EP35" i="5"/>
  <c r="FU35" i="5"/>
  <c r="HL36" i="5"/>
  <c r="HG36" i="5"/>
  <c r="DZ36" i="5"/>
  <c r="HH36" i="5"/>
  <c r="HQ36" i="5"/>
  <c r="CD37" i="5"/>
  <c r="CH37" i="5"/>
  <c r="EL37" i="5"/>
  <c r="FF37" i="5"/>
  <c r="HK37" i="5"/>
  <c r="HH38" i="5"/>
  <c r="HI38" i="5" s="1"/>
  <c r="HC38" i="5"/>
  <c r="HE38" i="5" s="1"/>
  <c r="HX38" i="5"/>
  <c r="HS38" i="5"/>
  <c r="HU38" i="5" s="1"/>
  <c r="EX38" i="5"/>
  <c r="FQ38" i="5"/>
  <c r="FU38" i="5"/>
  <c r="II39" i="5"/>
  <c r="IK39" i="5" s="1"/>
  <c r="EL39" i="5"/>
  <c r="GC39" i="5"/>
  <c r="GW39" i="5"/>
  <c r="HP39" i="5"/>
  <c r="HQ39" i="5" s="1"/>
  <c r="DN40" i="5"/>
  <c r="HX40" i="5"/>
  <c r="HS40" i="5"/>
  <c r="HU40" i="5" s="1"/>
  <c r="EX40" i="5"/>
  <c r="FQ40" i="5"/>
  <c r="FU40" i="5"/>
  <c r="HL40" i="5"/>
  <c r="HM40" i="5" s="1"/>
  <c r="II41" i="5"/>
  <c r="IK41" i="5" s="1"/>
  <c r="EL41" i="5"/>
  <c r="GC41" i="5"/>
  <c r="GW41" i="5"/>
  <c r="HP41" i="5"/>
  <c r="HQ41" i="5" s="1"/>
  <c r="HX42" i="5"/>
  <c r="HS42" i="5"/>
  <c r="HU42" i="5" s="1"/>
  <c r="EX42" i="5"/>
  <c r="FQ42" i="5"/>
  <c r="FU42" i="5"/>
  <c r="HL42" i="5"/>
  <c r="HM42" i="5" s="1"/>
  <c r="II43" i="5"/>
  <c r="IK43" i="5" s="1"/>
  <c r="EL43" i="5"/>
  <c r="GC43" i="5"/>
  <c r="GW43" i="5"/>
  <c r="HP43" i="5"/>
  <c r="EH44" i="5"/>
  <c r="GS44" i="5"/>
  <c r="GW44" i="5"/>
  <c r="HC44" i="5"/>
  <c r="HP44" i="5"/>
  <c r="HQ44" i="5" s="1"/>
  <c r="HW44" i="5"/>
  <c r="HY44" i="5" s="1"/>
  <c r="CH45" i="5"/>
  <c r="GC45" i="5"/>
  <c r="GG45" i="5"/>
  <c r="DB46" i="5"/>
  <c r="EP46" i="5"/>
  <c r="FJ46" i="5"/>
  <c r="FM46" i="5"/>
  <c r="HP47" i="5"/>
  <c r="HQ47" i="5" s="1"/>
  <c r="CD47" i="5"/>
  <c r="ET47" i="5"/>
  <c r="HC47" i="5"/>
  <c r="HE47" i="5" s="1"/>
  <c r="CH48" i="5"/>
  <c r="ED48" i="5"/>
  <c r="EH48" i="5"/>
  <c r="GO48" i="5"/>
  <c r="HL49" i="5"/>
  <c r="HM49" i="5" s="1"/>
  <c r="IC49" i="5"/>
  <c r="HG50" i="5"/>
  <c r="HI50" i="5" s="1"/>
  <c r="CH50" i="5"/>
  <c r="HD50" i="5"/>
  <c r="DJ50" i="5"/>
  <c r="HW50" i="5"/>
  <c r="HY50" i="5" s="1"/>
  <c r="IB50" i="5"/>
  <c r="IE50" i="5"/>
  <c r="IG50" i="5" s="1"/>
  <c r="HC50" i="5"/>
  <c r="HG51" i="5"/>
  <c r="CH51" i="5"/>
  <c r="DB51" i="5"/>
  <c r="HD51" i="5"/>
  <c r="DJ51" i="5"/>
  <c r="HW51" i="5"/>
  <c r="HY51" i="5" s="1"/>
  <c r="IE51" i="5"/>
  <c r="IG51" i="5" s="1"/>
  <c r="GS51" i="5"/>
  <c r="HC51" i="5"/>
  <c r="HE51" i="5" s="1"/>
  <c r="HU51" i="5"/>
  <c r="HC54" i="5"/>
  <c r="CD54" i="5"/>
  <c r="HK54" i="5"/>
  <c r="HM54" i="5" s="1"/>
  <c r="FU54" i="5"/>
  <c r="IE54" i="5"/>
  <c r="IG54" i="5" s="1"/>
  <c r="HD54" i="5"/>
  <c r="HI56" i="5"/>
  <c r="HW58" i="5"/>
  <c r="HY58" i="5" s="1"/>
  <c r="EX62" i="5"/>
  <c r="HG62" i="5"/>
  <c r="IE64" i="5"/>
  <c r="IG64" i="5" s="1"/>
  <c r="FM64" i="5"/>
  <c r="F28" i="5"/>
  <c r="CL29" i="5"/>
  <c r="DJ30" i="5"/>
  <c r="N36" i="5"/>
  <c r="BJ36" i="5"/>
  <c r="HW36" i="5"/>
  <c r="HY36" i="5" s="1"/>
  <c r="FU36" i="5"/>
  <c r="IE36" i="5"/>
  <c r="IG36" i="5" s="1"/>
  <c r="EP37" i="5"/>
  <c r="HA37" i="5"/>
  <c r="IA37" i="5"/>
  <c r="IC37" i="5" s="1"/>
  <c r="FB38" i="5"/>
  <c r="GG39" i="5"/>
  <c r="HH40" i="5"/>
  <c r="HI40" i="5" s="1"/>
  <c r="F40" i="5"/>
  <c r="HC40" i="5"/>
  <c r="HE40" i="5" s="1"/>
  <c r="FB40" i="5"/>
  <c r="GG41" i="5"/>
  <c r="HH42" i="5"/>
  <c r="HI42" i="5" s="1"/>
  <c r="F42" i="5"/>
  <c r="HC42" i="5"/>
  <c r="HE42" i="5" s="1"/>
  <c r="FB42" i="5"/>
  <c r="GG43" i="5"/>
  <c r="GC44" i="5"/>
  <c r="HL44" i="5"/>
  <c r="HM44" i="5" s="1"/>
  <c r="HT45" i="5"/>
  <c r="HU45" i="5" s="1"/>
  <c r="DB45" i="5"/>
  <c r="HD45" i="5"/>
  <c r="DJ45" i="5"/>
  <c r="IE45" i="5"/>
  <c r="IG45" i="5" s="1"/>
  <c r="FM45" i="5"/>
  <c r="ET46" i="5"/>
  <c r="CH47" i="5"/>
  <c r="ED47" i="5"/>
  <c r="GO47" i="5"/>
  <c r="HK48" i="5"/>
  <c r="HM48" i="5" s="1"/>
  <c r="FY48" i="5"/>
  <c r="IK48" i="5"/>
  <c r="HI49" i="5"/>
  <c r="GS49" i="5"/>
  <c r="HC49" i="5"/>
  <c r="IK50" i="5"/>
  <c r="J55" i="5"/>
  <c r="HD55" i="5"/>
  <c r="FF55" i="5"/>
  <c r="IA55" i="5"/>
  <c r="IC55" i="5" s="1"/>
  <c r="FF56" i="5"/>
  <c r="IA56" i="5"/>
  <c r="IC56" i="5" s="1"/>
  <c r="IE57" i="5"/>
  <c r="IG57" i="5" s="1"/>
  <c r="FM57" i="5"/>
  <c r="IJ61" i="5"/>
  <c r="IK61" i="5" s="1"/>
  <c r="EL61" i="5"/>
  <c r="GW61" i="5"/>
  <c r="IB61" i="5"/>
  <c r="HD63" i="5"/>
  <c r="HS69" i="5"/>
  <c r="HU69" i="5" s="1"/>
  <c r="EP69" i="5"/>
  <c r="CD36" i="5"/>
  <c r="FF36" i="5"/>
  <c r="HK36" i="5"/>
  <c r="HM36" i="5" s="1"/>
  <c r="HL37" i="5"/>
  <c r="DZ37" i="5"/>
  <c r="GK37" i="5"/>
  <c r="HQ37" i="5"/>
  <c r="II38" i="5"/>
  <c r="IK38" i="5" s="1"/>
  <c r="EL38" i="5"/>
  <c r="GW38" i="5"/>
  <c r="DN39" i="5"/>
  <c r="HS39" i="5"/>
  <c r="FQ39" i="5"/>
  <c r="HT39" i="5"/>
  <c r="II40" i="5"/>
  <c r="IK40" i="5" s="1"/>
  <c r="EL40" i="5"/>
  <c r="GW40" i="5"/>
  <c r="DN41" i="5"/>
  <c r="HS41" i="5"/>
  <c r="HU41" i="5" s="1"/>
  <c r="FQ41" i="5"/>
  <c r="HT41" i="5"/>
  <c r="II42" i="5"/>
  <c r="IK42" i="5" s="1"/>
  <c r="EL42" i="5"/>
  <c r="GW42" i="5"/>
  <c r="DN43" i="5"/>
  <c r="HS43" i="5"/>
  <c r="FQ43" i="5"/>
  <c r="HT43" i="5"/>
  <c r="HD44" i="5"/>
  <c r="IE44" i="5"/>
  <c r="IG44" i="5" s="1"/>
  <c r="FM44" i="5"/>
  <c r="EX45" i="5"/>
  <c r="HK46" i="5"/>
  <c r="ED46" i="5"/>
  <c r="GO46" i="5"/>
  <c r="FY47" i="5"/>
  <c r="HG47" i="5"/>
  <c r="HI47" i="5" s="1"/>
  <c r="FJ48" i="5"/>
  <c r="HD49" i="5"/>
  <c r="EX50" i="5"/>
  <c r="GC50" i="5"/>
  <c r="IK52" i="5"/>
  <c r="FF53" i="5"/>
  <c r="IA53" i="5"/>
  <c r="IC53" i="5" s="1"/>
  <c r="IK59" i="5"/>
  <c r="HP60" i="5"/>
  <c r="HQ60" i="5" s="1"/>
  <c r="N60" i="5"/>
  <c r="HD60" i="5"/>
  <c r="EX60" i="5"/>
  <c r="HG60" i="5"/>
  <c r="HI60" i="5" s="1"/>
  <c r="DB52" i="5"/>
  <c r="HD52" i="5"/>
  <c r="DJ52" i="5"/>
  <c r="HY52" i="5"/>
  <c r="IB52" i="5"/>
  <c r="IC52" i="5" s="1"/>
  <c r="HC52" i="5"/>
  <c r="HU52" i="5"/>
  <c r="HG53" i="5"/>
  <c r="CH53" i="5"/>
  <c r="IG53" i="5"/>
  <c r="HC55" i="5"/>
  <c r="HE55" i="5" s="1"/>
  <c r="CD55" i="5"/>
  <c r="HK55" i="5"/>
  <c r="HM55" i="5" s="1"/>
  <c r="HC56" i="5"/>
  <c r="CD56" i="5"/>
  <c r="HK56" i="5"/>
  <c r="HM56" i="5" s="1"/>
  <c r="HD56" i="5"/>
  <c r="HK57" i="5"/>
  <c r="CD57" i="5"/>
  <c r="HC57" i="5"/>
  <c r="HT57" i="5"/>
  <c r="IJ57" i="5"/>
  <c r="EL57" i="5"/>
  <c r="HU57" i="5"/>
  <c r="IK57" i="5"/>
  <c r="HP58" i="5"/>
  <c r="HQ58" i="5" s="1"/>
  <c r="N58" i="5"/>
  <c r="HD58" i="5"/>
  <c r="HT59" i="5"/>
  <c r="HU59" i="5" s="1"/>
  <c r="CL59" i="5"/>
  <c r="HL59" i="5"/>
  <c r="HM59" i="5" s="1"/>
  <c r="HW59" i="5"/>
  <c r="HY59" i="5" s="1"/>
  <c r="HH60" i="5"/>
  <c r="F60" i="5"/>
  <c r="HK60" i="5"/>
  <c r="IE60" i="5"/>
  <c r="IG60" i="5" s="1"/>
  <c r="FM60" i="5"/>
  <c r="HP61" i="5"/>
  <c r="HQ61" i="5" s="1"/>
  <c r="N61" i="5"/>
  <c r="HL61" i="5"/>
  <c r="HW61" i="5"/>
  <c r="HY61" i="5" s="1"/>
  <c r="HH62" i="5"/>
  <c r="F62" i="5"/>
  <c r="HT62" i="5"/>
  <c r="CL62" i="5"/>
  <c r="HD62" i="5"/>
  <c r="IE62" i="5"/>
  <c r="IG62" i="5" s="1"/>
  <c r="FM62" i="5"/>
  <c r="HP63" i="5"/>
  <c r="HQ63" i="5" s="1"/>
  <c r="N63" i="5"/>
  <c r="IA63" i="5"/>
  <c r="IC63" i="5" s="1"/>
  <c r="FF63" i="5"/>
  <c r="GW64" i="5"/>
  <c r="IB64" i="5"/>
  <c r="HK66" i="5"/>
  <c r="DN66" i="5"/>
  <c r="HE67" i="5"/>
  <c r="HS67" i="5"/>
  <c r="EP67" i="5"/>
  <c r="HD69" i="5"/>
  <c r="HL69" i="5"/>
  <c r="II70" i="5"/>
  <c r="IK70" i="5" s="1"/>
  <c r="EL70" i="5"/>
  <c r="IA70" i="5"/>
  <c r="GW70" i="5"/>
  <c r="HD71" i="5"/>
  <c r="EH71" i="5"/>
  <c r="HW71" i="5"/>
  <c r="HY71" i="5" s="1"/>
  <c r="IE71" i="5"/>
  <c r="IG71" i="5" s="1"/>
  <c r="FM71" i="5"/>
  <c r="HL53" i="5"/>
  <c r="HC53" i="5"/>
  <c r="HS53" i="5"/>
  <c r="HU53" i="5" s="1"/>
  <c r="EP53" i="5"/>
  <c r="HG54" i="5"/>
  <c r="HS54" i="5"/>
  <c r="EP54" i="5"/>
  <c r="HQ54" i="5"/>
  <c r="IE55" i="5"/>
  <c r="IG55" i="5" s="1"/>
  <c r="IF56" i="5"/>
  <c r="IE56" i="5"/>
  <c r="HH57" i="5"/>
  <c r="HI57" i="5" s="1"/>
  <c r="J57" i="5"/>
  <c r="HL57" i="5"/>
  <c r="HW57" i="5"/>
  <c r="HY57" i="5" s="1"/>
  <c r="HH58" i="5"/>
  <c r="F58" i="5"/>
  <c r="HK58" i="5"/>
  <c r="HM58" i="5" s="1"/>
  <c r="IE58" i="5"/>
  <c r="IG58" i="5" s="1"/>
  <c r="FM58" i="5"/>
  <c r="IA59" i="5"/>
  <c r="HT60" i="5"/>
  <c r="CL60" i="5"/>
  <c r="IJ60" i="5"/>
  <c r="IK60" i="5" s="1"/>
  <c r="EL60" i="5"/>
  <c r="HM61" i="5"/>
  <c r="IA61" i="5"/>
  <c r="IC61" i="5" s="1"/>
  <c r="IJ62" i="5"/>
  <c r="EL62" i="5"/>
  <c r="HU62" i="5"/>
  <c r="FU63" i="5"/>
  <c r="IE63" i="5"/>
  <c r="HW64" i="5"/>
  <c r="HY64" i="5" s="1"/>
  <c r="EH64" i="5"/>
  <c r="HD67" i="5"/>
  <c r="HC68" i="5"/>
  <c r="HE68" i="5" s="1"/>
  <c r="FU69" i="5"/>
  <c r="IE69" i="5"/>
  <c r="IG69" i="5" s="1"/>
  <c r="DN70" i="5"/>
  <c r="HC70" i="5"/>
  <c r="HT49" i="5"/>
  <c r="HU49" i="5" s="1"/>
  <c r="CL49" i="5"/>
  <c r="EX49" i="5"/>
  <c r="GC49" i="5"/>
  <c r="HK50" i="5"/>
  <c r="HM50" i="5" s="1"/>
  <c r="IK51" i="5"/>
  <c r="HG52" i="5"/>
  <c r="HI52" i="5" s="1"/>
  <c r="CH52" i="5"/>
  <c r="EX52" i="5"/>
  <c r="GC52" i="5"/>
  <c r="IK53" i="5"/>
  <c r="HH54" i="5"/>
  <c r="ED54" i="5"/>
  <c r="FF54" i="5"/>
  <c r="IA54" i="5"/>
  <c r="IC54" i="5" s="1"/>
  <c r="HT54" i="5"/>
  <c r="HH55" i="5"/>
  <c r="HX55" i="5"/>
  <c r="HY55" i="5" s="1"/>
  <c r="HS55" i="5"/>
  <c r="HU55" i="5" s="1"/>
  <c r="EP55" i="5"/>
  <c r="HX56" i="5"/>
  <c r="HY56" i="5" s="1"/>
  <c r="HS56" i="5"/>
  <c r="EP56" i="5"/>
  <c r="HQ56" i="5"/>
  <c r="HD57" i="5"/>
  <c r="IA57" i="5"/>
  <c r="IB57" i="5"/>
  <c r="HT58" i="5"/>
  <c r="CL58" i="5"/>
  <c r="IJ58" i="5"/>
  <c r="EL58" i="5"/>
  <c r="HG58" i="5"/>
  <c r="HI58" i="5" s="1"/>
  <c r="HU58" i="5"/>
  <c r="IK58" i="5"/>
  <c r="HP59" i="5"/>
  <c r="HQ59" i="5" s="1"/>
  <c r="N59" i="5"/>
  <c r="HD59" i="5"/>
  <c r="IE59" i="5"/>
  <c r="FM59" i="5"/>
  <c r="HL60" i="5"/>
  <c r="HW60" i="5"/>
  <c r="HY60" i="5" s="1"/>
  <c r="HH61" i="5"/>
  <c r="HI61" i="5" s="1"/>
  <c r="F61" i="5"/>
  <c r="HT61" i="5"/>
  <c r="HU61" i="5" s="1"/>
  <c r="CL61" i="5"/>
  <c r="HD61" i="5"/>
  <c r="IE61" i="5"/>
  <c r="IG61" i="5" s="1"/>
  <c r="FM61" i="5"/>
  <c r="HP62" i="5"/>
  <c r="HQ62" i="5" s="1"/>
  <c r="N62" i="5"/>
  <c r="HL62" i="5"/>
  <c r="HW62" i="5"/>
  <c r="HY62" i="5" s="1"/>
  <c r="HH63" i="5"/>
  <c r="F63" i="5"/>
  <c r="HT63" i="5"/>
  <c r="CL63" i="5"/>
  <c r="HL63" i="5"/>
  <c r="HH64" i="5"/>
  <c r="HI64" i="5" s="1"/>
  <c r="F64" i="5"/>
  <c r="CL64" i="5"/>
  <c r="HT64" i="5"/>
  <c r="HU64" i="5" s="1"/>
  <c r="HG65" i="5"/>
  <c r="N66" i="5"/>
  <c r="HP66" i="5"/>
  <c r="HQ66" i="5" s="1"/>
  <c r="AR72" i="5"/>
  <c r="HG66" i="5"/>
  <c r="HC66" i="5"/>
  <c r="AT66" i="5"/>
  <c r="AT72" i="5" s="1"/>
  <c r="HY66" i="5"/>
  <c r="HS66" i="5"/>
  <c r="HU66" i="5" s="1"/>
  <c r="FB66" i="5"/>
  <c r="FU67" i="5"/>
  <c r="IE67" i="5"/>
  <c r="IG67" i="5" s="1"/>
  <c r="CL68" i="5"/>
  <c r="HT68" i="5"/>
  <c r="HU68" i="5" s="1"/>
  <c r="HH68" i="5"/>
  <c r="HY69" i="5"/>
  <c r="EH49" i="5"/>
  <c r="FM49" i="5"/>
  <c r="EH50" i="5"/>
  <c r="FM50" i="5"/>
  <c r="EH51" i="5"/>
  <c r="FM51" i="5"/>
  <c r="EH52" i="5"/>
  <c r="FM52" i="5"/>
  <c r="HK53" i="5"/>
  <c r="HM53" i="5" s="1"/>
  <c r="CH54" i="5"/>
  <c r="HP55" i="5"/>
  <c r="HQ55" i="5" s="1"/>
  <c r="HC58" i="5"/>
  <c r="HE58" i="5" s="1"/>
  <c r="HC59" i="5"/>
  <c r="HC60" i="5"/>
  <c r="HE60" i="5" s="1"/>
  <c r="HC61" i="5"/>
  <c r="HC62" i="5"/>
  <c r="HE62" i="5" s="1"/>
  <c r="IK63" i="5"/>
  <c r="HG63" i="5"/>
  <c r="HH65" i="5"/>
  <c r="F65" i="5"/>
  <c r="HD65" i="5"/>
  <c r="HL66" i="5"/>
  <c r="HH66" i="5"/>
  <c r="HT67" i="5"/>
  <c r="HH69" i="5"/>
  <c r="HI69" i="5" s="1"/>
  <c r="HT69" i="5"/>
  <c r="HT70" i="5"/>
  <c r="HU70" i="5" s="1"/>
  <c r="DJ58" i="5"/>
  <c r="DJ59" i="5"/>
  <c r="DJ60" i="5"/>
  <c r="DJ61" i="5"/>
  <c r="DJ62" i="5"/>
  <c r="HK63" i="5"/>
  <c r="N64" i="5"/>
  <c r="HP64" i="5"/>
  <c r="HQ64" i="5" s="1"/>
  <c r="HX65" i="5"/>
  <c r="HY65" i="5" s="1"/>
  <c r="IF65" i="5"/>
  <c r="IG65" i="5" s="1"/>
  <c r="EX66" i="5"/>
  <c r="GC66" i="5"/>
  <c r="HH67" i="5"/>
  <c r="HI67" i="5" s="1"/>
  <c r="DN67" i="5"/>
  <c r="IK67" i="5"/>
  <c r="IA67" i="5"/>
  <c r="IC67" i="5" s="1"/>
  <c r="FQ67" i="5"/>
  <c r="HL67" i="5"/>
  <c r="HL68" i="5"/>
  <c r="HM68" i="5" s="1"/>
  <c r="BJ68" i="5"/>
  <c r="HG68" i="5"/>
  <c r="HD68" i="5"/>
  <c r="DZ68" i="5"/>
  <c r="GK68" i="5"/>
  <c r="DN69" i="5"/>
  <c r="IA69" i="5"/>
  <c r="IC69" i="5" s="1"/>
  <c r="HW70" i="5"/>
  <c r="IB70" i="5"/>
  <c r="IG70" i="5"/>
  <c r="HQ70" i="5"/>
  <c r="HX70" i="5"/>
  <c r="II71" i="5"/>
  <c r="IK71" i="5" s="1"/>
  <c r="EL71" i="5"/>
  <c r="EL54" i="5"/>
  <c r="F55" i="5"/>
  <c r="EL55" i="5"/>
  <c r="EL56" i="5"/>
  <c r="HX63" i="5"/>
  <c r="HY63" i="5" s="1"/>
  <c r="EL63" i="5"/>
  <c r="IF63" i="5"/>
  <c r="HC63" i="5"/>
  <c r="HE63" i="5" s="1"/>
  <c r="HC64" i="5"/>
  <c r="HE64" i="5" s="1"/>
  <c r="HK64" i="5"/>
  <c r="IK64" i="5"/>
  <c r="EP64" i="5"/>
  <c r="IA64" i="5"/>
  <c r="HL64" i="5"/>
  <c r="N65" i="5"/>
  <c r="HP65" i="5"/>
  <c r="HQ65" i="5" s="1"/>
  <c r="CH65" i="5"/>
  <c r="FJ65" i="5"/>
  <c r="FM65" i="5"/>
  <c r="GO65" i="5"/>
  <c r="HT65" i="5"/>
  <c r="HU65" i="5" s="1"/>
  <c r="CD66" i="5"/>
  <c r="HD66" i="5"/>
  <c r="DJ66" i="5"/>
  <c r="FF66" i="5"/>
  <c r="GK66" i="5"/>
  <c r="FY67" i="5"/>
  <c r="HW68" i="5"/>
  <c r="HY68" i="5" s="1"/>
  <c r="EL68" i="5"/>
  <c r="IB68" i="5"/>
  <c r="IC68" i="5" s="1"/>
  <c r="FF68" i="5"/>
  <c r="IE68" i="5"/>
  <c r="IG68" i="5" s="1"/>
  <c r="GS68" i="5"/>
  <c r="HC69" i="5"/>
  <c r="HE69" i="5" s="1"/>
  <c r="ET69" i="5"/>
  <c r="FY69" i="5"/>
  <c r="IJ69" i="5"/>
  <c r="IK69" i="5" s="1"/>
  <c r="HD70" i="5"/>
  <c r="HG70" i="5"/>
  <c r="HI70" i="5" s="1"/>
  <c r="EP70" i="5"/>
  <c r="FU70" i="5"/>
  <c r="HA70" i="5"/>
  <c r="HG71" i="5"/>
  <c r="EH66" i="5"/>
  <c r="FM66" i="5"/>
  <c r="HK67" i="5"/>
  <c r="HM67" i="5" s="1"/>
  <c r="CH68" i="5"/>
  <c r="EH68" i="5"/>
  <c r="FM68" i="5"/>
  <c r="HK69" i="5"/>
  <c r="HH71" i="5"/>
  <c r="EL65" i="5"/>
  <c r="CD67" i="5"/>
  <c r="EL67" i="5"/>
  <c r="CD69" i="5"/>
  <c r="CD71" i="5"/>
  <c r="HC71" i="5"/>
  <c r="DN71" i="5"/>
  <c r="HK71" i="5"/>
  <c r="HM71" i="5" s="1"/>
  <c r="BY46" i="4"/>
  <c r="F46" i="4"/>
  <c r="E72" i="4"/>
  <c r="U72" i="4"/>
  <c r="AK72" i="4"/>
  <c r="AX6" i="4"/>
  <c r="BF6" i="4"/>
  <c r="BM72" i="4"/>
  <c r="BU72" i="4"/>
  <c r="F8" i="4"/>
  <c r="BV8" i="4"/>
  <c r="F10" i="4"/>
  <c r="F12" i="4"/>
  <c r="BX63" i="4"/>
  <c r="BN63" i="4"/>
  <c r="P72" i="4"/>
  <c r="R66" i="4"/>
  <c r="I72" i="4"/>
  <c r="AO72" i="4"/>
  <c r="AZ72" i="4"/>
  <c r="BI72" i="4"/>
  <c r="BI75" i="4" s="1"/>
  <c r="BP72" i="4"/>
  <c r="BY7" i="4"/>
  <c r="BY9" i="4"/>
  <c r="BY11" i="4"/>
  <c r="BX11" i="4"/>
  <c r="BY30" i="4"/>
  <c r="F30" i="4"/>
  <c r="BY32" i="4"/>
  <c r="F32" i="4"/>
  <c r="M72" i="4"/>
  <c r="AC72" i="4"/>
  <c r="AS72" i="4"/>
  <c r="BA72" i="4"/>
  <c r="BJ6" i="4"/>
  <c r="BQ72" i="4"/>
  <c r="F7" i="4"/>
  <c r="BX7" i="4"/>
  <c r="BZ7" i="4" s="1"/>
  <c r="BN7" i="4"/>
  <c r="BN8" i="4"/>
  <c r="F9" i="4"/>
  <c r="BX9" i="4"/>
  <c r="BN9" i="4"/>
  <c r="F11" i="4"/>
  <c r="BX30" i="4"/>
  <c r="BX32" i="4"/>
  <c r="BZ13" i="4"/>
  <c r="BY14" i="4"/>
  <c r="BX16" i="4"/>
  <c r="BX18" i="4"/>
  <c r="BX20" i="4"/>
  <c r="BB22" i="4"/>
  <c r="BR23" i="4"/>
  <c r="BB24" i="4"/>
  <c r="BR25" i="4"/>
  <c r="BR38" i="4"/>
  <c r="BY39" i="4"/>
  <c r="F39" i="4"/>
  <c r="BY42" i="4"/>
  <c r="BY54" i="4"/>
  <c r="BZ54" i="4" s="1"/>
  <c r="BX69" i="4"/>
  <c r="BB13" i="4"/>
  <c r="F14" i="4"/>
  <c r="BR15" i="4"/>
  <c r="BY16" i="4"/>
  <c r="BB16" i="4"/>
  <c r="BR17" i="4"/>
  <c r="BY18" i="4"/>
  <c r="BB18" i="4"/>
  <c r="BR19" i="4"/>
  <c r="BY20" i="4"/>
  <c r="BB20" i="4"/>
  <c r="BR21" i="4"/>
  <c r="BB23" i="4"/>
  <c r="BN23" i="4"/>
  <c r="BN25" i="4"/>
  <c r="BV25" i="4"/>
  <c r="BR26" i="4"/>
  <c r="BY27" i="4"/>
  <c r="BY29" i="4"/>
  <c r="BZ29" i="4" s="1"/>
  <c r="BX29" i="4"/>
  <c r="BY31" i="4"/>
  <c r="BX31" i="4"/>
  <c r="BX34" i="4"/>
  <c r="BZ34" i="4" s="1"/>
  <c r="BX39" i="4"/>
  <c r="BB39" i="4"/>
  <c r="BY41" i="4"/>
  <c r="F41" i="4"/>
  <c r="F42" i="4"/>
  <c r="BY44" i="4"/>
  <c r="F44" i="4"/>
  <c r="BX45" i="4"/>
  <c r="BZ45" i="4" s="1"/>
  <c r="BX61" i="4"/>
  <c r="BV13" i="4"/>
  <c r="BB15" i="4"/>
  <c r="BN15" i="4"/>
  <c r="BB17" i="4"/>
  <c r="BN17" i="4"/>
  <c r="BB19" i="4"/>
  <c r="BN19" i="4"/>
  <c r="BB21" i="4"/>
  <c r="BN21" i="4"/>
  <c r="BV21" i="4"/>
  <c r="BR22" i="4"/>
  <c r="BR24" i="4"/>
  <c r="BX26" i="4"/>
  <c r="BN27" i="4"/>
  <c r="BY28" i="4"/>
  <c r="BZ28" i="4" s="1"/>
  <c r="BX28" i="4"/>
  <c r="F29" i="4"/>
  <c r="F31" i="4"/>
  <c r="BX33" i="4"/>
  <c r="BR33" i="4"/>
  <c r="BY34" i="4"/>
  <c r="BN35" i="4"/>
  <c r="BB45" i="4"/>
  <c r="BR48" i="4"/>
  <c r="BY49" i="4"/>
  <c r="BV49" i="4"/>
  <c r="BY51" i="4"/>
  <c r="BB52" i="4"/>
  <c r="BV58" i="4"/>
  <c r="BV60" i="4"/>
  <c r="BX65" i="4"/>
  <c r="BY66" i="4"/>
  <c r="BV67" i="4"/>
  <c r="BR70" i="4"/>
  <c r="BR34" i="4"/>
  <c r="BX36" i="4"/>
  <c r="BR36" i="4"/>
  <c r="BX42" i="4"/>
  <c r="BZ42" i="4" s="1"/>
  <c r="BR46" i="4"/>
  <c r="BY47" i="4"/>
  <c r="BX49" i="4"/>
  <c r="BZ49" i="4" s="1"/>
  <c r="BY50" i="4"/>
  <c r="BR52" i="4"/>
  <c r="BX54" i="4"/>
  <c r="BV54" i="4"/>
  <c r="BX56" i="4"/>
  <c r="BR56" i="4"/>
  <c r="BR58" i="4"/>
  <c r="BR59" i="4"/>
  <c r="BY60" i="4"/>
  <c r="BR60" i="4"/>
  <c r="BN65" i="4"/>
  <c r="BV65" i="4"/>
  <c r="BV66" i="4"/>
  <c r="BY68" i="4"/>
  <c r="BN70" i="4"/>
  <c r="BX70" i="4"/>
  <c r="BR71" i="4"/>
  <c r="BN34" i="4"/>
  <c r="BB35" i="4"/>
  <c r="BR35" i="4"/>
  <c r="BY36" i="4"/>
  <c r="BN36" i="4"/>
  <c r="BX37" i="4"/>
  <c r="BR39" i="4"/>
  <c r="BX41" i="4"/>
  <c r="BY43" i="4"/>
  <c r="BZ43" i="4" s="1"/>
  <c r="BV43" i="4"/>
  <c r="BB44" i="4"/>
  <c r="BY45" i="4"/>
  <c r="BN46" i="4"/>
  <c r="BX47" i="4"/>
  <c r="BR47" i="4"/>
  <c r="BY48" i="4"/>
  <c r="BB49" i="4"/>
  <c r="F50" i="4"/>
  <c r="BB51" i="4"/>
  <c r="BY52" i="4"/>
  <c r="BY56" i="4"/>
  <c r="BX58" i="4"/>
  <c r="BN59" i="4"/>
  <c r="BX60" i="4"/>
  <c r="BZ60" i="4" s="1"/>
  <c r="BY62" i="4"/>
  <c r="BY63" i="4"/>
  <c r="BR63" i="4"/>
  <c r="BX66" i="4"/>
  <c r="BZ66" i="4" s="1"/>
  <c r="BR66" i="4"/>
  <c r="BX68" i="4"/>
  <c r="BR68" i="4"/>
  <c r="BV69" i="4"/>
  <c r="BY71" i="4"/>
  <c r="BZ11" i="4"/>
  <c r="BF72" i="4"/>
  <c r="BR6" i="4"/>
  <c r="BX6" i="4"/>
  <c r="BX8" i="4"/>
  <c r="BZ8" i="4" s="1"/>
  <c r="BX10" i="4"/>
  <c r="BZ10" i="4" s="1"/>
  <c r="BX12" i="4"/>
  <c r="BZ12" i="4" s="1"/>
  <c r="F13" i="4"/>
  <c r="BX15" i="4"/>
  <c r="BZ15" i="4" s="1"/>
  <c r="F16" i="4"/>
  <c r="BX17" i="4"/>
  <c r="F18" i="4"/>
  <c r="BX19" i="4"/>
  <c r="F20" i="4"/>
  <c r="BZ33" i="4"/>
  <c r="F6" i="4"/>
  <c r="N6" i="4"/>
  <c r="N72" i="4" s="1"/>
  <c r="V6" i="4"/>
  <c r="V72" i="4" s="1"/>
  <c r="AD6" i="4"/>
  <c r="AD72" i="4" s="1"/>
  <c r="AL6" i="4"/>
  <c r="AT6" i="4"/>
  <c r="AT72" i="4" s="1"/>
  <c r="BN6" i="4"/>
  <c r="BV72" i="4"/>
  <c r="BY6" i="4"/>
  <c r="AP14" i="4"/>
  <c r="BY15" i="4"/>
  <c r="BY17" i="4"/>
  <c r="BY19" i="4"/>
  <c r="BY21" i="4"/>
  <c r="BZ30" i="4"/>
  <c r="BZ32" i="4"/>
  <c r="BB6" i="4"/>
  <c r="AL14" i="4"/>
  <c r="BX14" i="4"/>
  <c r="BZ14" i="4" s="1"/>
  <c r="F21" i="4"/>
  <c r="BZ36" i="4"/>
  <c r="J6" i="4"/>
  <c r="J72" i="4" s="1"/>
  <c r="R6" i="4"/>
  <c r="R72" i="4" s="1"/>
  <c r="Z6" i="4"/>
  <c r="Z72" i="4" s="1"/>
  <c r="AH6" i="4"/>
  <c r="AP6" i="4"/>
  <c r="AX72" i="4"/>
  <c r="BV6" i="4"/>
  <c r="BZ31" i="4"/>
  <c r="BY22" i="4"/>
  <c r="BZ22" i="4" s="1"/>
  <c r="BY24" i="4"/>
  <c r="BZ24" i="4" s="1"/>
  <c r="BY26" i="4"/>
  <c r="BZ26" i="4" s="1"/>
  <c r="BB30" i="4"/>
  <c r="BB32" i="4"/>
  <c r="F34" i="4"/>
  <c r="BB34" i="4"/>
  <c r="BX35" i="4"/>
  <c r="F36" i="4"/>
  <c r="BB36" i="4"/>
  <c r="BY37" i="4"/>
  <c r="BZ37" i="4" s="1"/>
  <c r="BN38" i="4"/>
  <c r="BX38" i="4"/>
  <c r="BX21" i="4"/>
  <c r="BX23" i="4"/>
  <c r="BX25" i="4"/>
  <c r="BZ25" i="4" s="1"/>
  <c r="BY33" i="4"/>
  <c r="BY35" i="4"/>
  <c r="BZ39" i="4"/>
  <c r="BY23" i="4"/>
  <c r="BY25" i="4"/>
  <c r="BX27" i="4"/>
  <c r="BZ27" i="4" s="1"/>
  <c r="BB37" i="4"/>
  <c r="BY38" i="4"/>
  <c r="F27" i="4"/>
  <c r="BZ41" i="4"/>
  <c r="BZ47" i="4"/>
  <c r="BY40" i="4"/>
  <c r="BZ40" i="4" s="1"/>
  <c r="BB41" i="4"/>
  <c r="F43" i="4"/>
  <c r="BX44" i="4"/>
  <c r="BZ44" i="4" s="1"/>
  <c r="F45" i="4"/>
  <c r="BX46" i="4"/>
  <c r="BZ46" i="4" s="1"/>
  <c r="F47" i="4"/>
  <c r="BX48" i="4"/>
  <c r="BZ48" i="4" s="1"/>
  <c r="F49" i="4"/>
  <c r="BX50" i="4"/>
  <c r="BZ50" i="4" s="1"/>
  <c r="F51" i="4"/>
  <c r="BX51" i="4"/>
  <c r="F52" i="4"/>
  <c r="BY55" i="4"/>
  <c r="BB40" i="4"/>
  <c r="BB43" i="4"/>
  <c r="BX52" i="4"/>
  <c r="BZ52" i="4" s="1"/>
  <c r="BV52" i="4"/>
  <c r="BY53" i="4"/>
  <c r="F54" i="4"/>
  <c r="AH51" i="4"/>
  <c r="BZ56" i="4"/>
  <c r="BZ61" i="4"/>
  <c r="BZ70" i="4"/>
  <c r="BX53" i="4"/>
  <c r="BZ58" i="4"/>
  <c r="BX55" i="4"/>
  <c r="BZ55" i="4" s="1"/>
  <c r="F56" i="4"/>
  <c r="BX57" i="4"/>
  <c r="F58" i="4"/>
  <c r="BX59" i="4"/>
  <c r="BJ60" i="4"/>
  <c r="BJ72" i="4" s="1"/>
  <c r="BN61" i="4"/>
  <c r="BX62" i="4"/>
  <c r="BZ62" i="4" s="1"/>
  <c r="BJ63" i="4"/>
  <c r="BY65" i="4"/>
  <c r="BY67" i="4"/>
  <c r="BZ67" i="4" s="1"/>
  <c r="BY69" i="4"/>
  <c r="BZ69" i="4" s="1"/>
  <c r="L72" i="4"/>
  <c r="T72" i="4"/>
  <c r="BY57" i="4"/>
  <c r="BY59" i="4"/>
  <c r="BB65" i="4"/>
  <c r="BB67" i="4"/>
  <c r="BB69" i="4"/>
  <c r="BX71" i="4"/>
  <c r="BZ71" i="4" s="1"/>
  <c r="HS13" i="3"/>
  <c r="GT14" i="3"/>
  <c r="GM15" i="3"/>
  <c r="GM10" i="3"/>
  <c r="HC10" i="3"/>
  <c r="HG10" i="3"/>
  <c r="GY11" i="3"/>
  <c r="HK12" i="3"/>
  <c r="HO12" i="3"/>
  <c r="GM14" i="3"/>
  <c r="HK14" i="3"/>
  <c r="HG16" i="3"/>
  <c r="HS17" i="3"/>
  <c r="HB11" i="3"/>
  <c r="HC11" i="3" s="1"/>
  <c r="GP12" i="3"/>
  <c r="GQ12" i="3" s="1"/>
  <c r="HE13" i="3"/>
  <c r="HG13" i="3" s="1"/>
  <c r="GW16" i="3"/>
  <c r="GY16" i="3" s="1"/>
  <c r="HA17" i="3"/>
  <c r="HC17" i="3" s="1"/>
  <c r="GL9" i="3"/>
  <c r="GW10" i="3"/>
  <c r="GY10" i="3" s="1"/>
  <c r="HF12" i="3"/>
  <c r="HG12" i="3" s="1"/>
  <c r="GO13" i="3"/>
  <c r="GQ13" i="3" s="1"/>
  <c r="HJ13" i="3"/>
  <c r="HK13" i="3" s="1"/>
  <c r="GX15" i="3"/>
  <c r="GY15" i="3" s="1"/>
  <c r="GL16" i="3"/>
  <c r="GM16" i="3" s="1"/>
  <c r="HB16" i="3"/>
  <c r="HC16" i="3" s="1"/>
  <c r="GP17" i="3"/>
  <c r="GQ17" i="3" s="1"/>
  <c r="HQ19" i="3"/>
  <c r="HS19" i="3" s="1"/>
  <c r="EP19" i="3"/>
  <c r="HA22" i="3"/>
  <c r="HC22" i="3" s="1"/>
  <c r="HQ25" i="3"/>
  <c r="HS25" i="3" s="1"/>
  <c r="EP25" i="3"/>
  <c r="GL25" i="3"/>
  <c r="HK26" i="3"/>
  <c r="GW27" i="3"/>
  <c r="GY27" i="3" s="1"/>
  <c r="BN27" i="3"/>
  <c r="HM32" i="3"/>
  <c r="HO32" i="3" s="1"/>
  <c r="DR32" i="3"/>
  <c r="CH35" i="3"/>
  <c r="GW35" i="3"/>
  <c r="HQ35" i="3"/>
  <c r="HS35" i="3" s="1"/>
  <c r="EP35" i="3"/>
  <c r="GL35" i="3"/>
  <c r="R43" i="3"/>
  <c r="GP43" i="3"/>
  <c r="GO43" i="3"/>
  <c r="AH43" i="3"/>
  <c r="GK43" i="3"/>
  <c r="HN43" i="3"/>
  <c r="HO43" i="3" s="1"/>
  <c r="DR43" i="3"/>
  <c r="AH46" i="3"/>
  <c r="GL46" i="3"/>
  <c r="J48" i="3"/>
  <c r="GP48" i="3"/>
  <c r="GK48" i="3"/>
  <c r="HS48" i="3"/>
  <c r="DR49" i="3"/>
  <c r="HM49" i="3"/>
  <c r="HO49" i="3" s="1"/>
  <c r="J9" i="3"/>
  <c r="R9" i="3"/>
  <c r="Z9" i="3"/>
  <c r="AG76" i="3"/>
  <c r="AO76" i="3"/>
  <c r="AW76" i="3"/>
  <c r="BE76" i="3"/>
  <c r="BJ9" i="3"/>
  <c r="BQ76" i="3"/>
  <c r="BV9" i="3"/>
  <c r="CB76" i="3"/>
  <c r="CG76" i="3"/>
  <c r="CL9" i="3"/>
  <c r="CS76" i="3"/>
  <c r="CX9" i="3"/>
  <c r="DD76" i="3"/>
  <c r="DI76" i="3"/>
  <c r="DN9" i="3"/>
  <c r="DT76" i="3"/>
  <c r="DY76" i="3"/>
  <c r="ED9" i="3"/>
  <c r="EJ76" i="3"/>
  <c r="EO76" i="3"/>
  <c r="ES9" i="3"/>
  <c r="EY76" i="3"/>
  <c r="FD76" i="3"/>
  <c r="FI9" i="3"/>
  <c r="FO76" i="3"/>
  <c r="FS76" i="3"/>
  <c r="FX9" i="3"/>
  <c r="GC76" i="3"/>
  <c r="GH76" i="3"/>
  <c r="GI76" i="3" s="1"/>
  <c r="GX9" i="3"/>
  <c r="HI9" i="3"/>
  <c r="J10" i="3"/>
  <c r="BL76" i="3"/>
  <c r="BV10" i="3"/>
  <c r="DN10" i="3"/>
  <c r="ES10" i="3"/>
  <c r="HI10" i="3"/>
  <c r="HK10" i="3" s="1"/>
  <c r="J11" i="3"/>
  <c r="DN11" i="3"/>
  <c r="ES11" i="3"/>
  <c r="HI11" i="3"/>
  <c r="HK11" i="3" s="1"/>
  <c r="BZ12" i="3"/>
  <c r="DR12" i="3"/>
  <c r="GL12" i="3"/>
  <c r="AL13" i="3"/>
  <c r="GE13" i="3"/>
  <c r="GK13" i="3"/>
  <c r="GM13" i="3" s="1"/>
  <c r="HA13" i="3"/>
  <c r="HC13" i="3" s="1"/>
  <c r="F14" i="3"/>
  <c r="CH14" i="3"/>
  <c r="EP14" i="3"/>
  <c r="GO14" i="3"/>
  <c r="HE14" i="3"/>
  <c r="HG14" i="3" s="1"/>
  <c r="EP15" i="3"/>
  <c r="GO15" i="3"/>
  <c r="HE15" i="3"/>
  <c r="HG15" i="3" s="1"/>
  <c r="BF16" i="3"/>
  <c r="DN16" i="3"/>
  <c r="ES16" i="3"/>
  <c r="HI16" i="3"/>
  <c r="HK16" i="3" s="1"/>
  <c r="J17" i="3"/>
  <c r="DR17" i="3"/>
  <c r="EH17" i="3"/>
  <c r="FM17" i="3"/>
  <c r="GW17" i="3"/>
  <c r="GY17" i="3" s="1"/>
  <c r="GK18" i="3"/>
  <c r="GM18" i="3" s="1"/>
  <c r="GO18" i="3"/>
  <c r="AL18" i="3"/>
  <c r="HA18" i="3"/>
  <c r="HC18" i="3" s="1"/>
  <c r="GT18" i="3"/>
  <c r="BV19" i="3"/>
  <c r="GX19" i="3"/>
  <c r="GY19" i="3" s="1"/>
  <c r="HI19" i="3"/>
  <c r="HO20" i="3"/>
  <c r="HR21" i="3"/>
  <c r="GK21" i="3"/>
  <c r="HA21" i="3"/>
  <c r="GP22" i="3"/>
  <c r="GK23" i="3"/>
  <c r="GM23" i="3" s="1"/>
  <c r="GO23" i="3"/>
  <c r="HE23" i="3"/>
  <c r="HG23" i="3" s="1"/>
  <c r="GL24" i="3"/>
  <c r="GP24" i="3"/>
  <c r="F24" i="3"/>
  <c r="GK25" i="3"/>
  <c r="GM25" i="3" s="1"/>
  <c r="GK26" i="3"/>
  <c r="GM26" i="3" s="1"/>
  <c r="GO26" i="3"/>
  <c r="HE26" i="3"/>
  <c r="HG26" i="3" s="1"/>
  <c r="GL27" i="3"/>
  <c r="GP27" i="3"/>
  <c r="F27" i="3"/>
  <c r="HB27" i="3"/>
  <c r="HC27" i="3" s="1"/>
  <c r="HI27" i="3"/>
  <c r="HK27" i="3" s="1"/>
  <c r="GX28" i="3"/>
  <c r="BF28" i="3"/>
  <c r="GW28" i="3"/>
  <c r="GY28" i="3" s="1"/>
  <c r="GO29" i="3"/>
  <c r="AH29" i="3"/>
  <c r="GP29" i="3"/>
  <c r="GK31" i="3"/>
  <c r="GO31" i="3"/>
  <c r="HE31" i="3"/>
  <c r="HG31" i="3" s="1"/>
  <c r="GL32" i="3"/>
  <c r="F32" i="3"/>
  <c r="GW32" i="3"/>
  <c r="Z36" i="3"/>
  <c r="GP36" i="3"/>
  <c r="HE36" i="3"/>
  <c r="HG36" i="3" s="1"/>
  <c r="DN36" i="3"/>
  <c r="HI36" i="3"/>
  <c r="HK36" i="3" s="1"/>
  <c r="ES36" i="3"/>
  <c r="GO37" i="3"/>
  <c r="EH38" i="3"/>
  <c r="HE38" i="3"/>
  <c r="HG38" i="3" s="1"/>
  <c r="GL39" i="3"/>
  <c r="F39" i="3"/>
  <c r="GP39" i="3"/>
  <c r="GK39" i="3"/>
  <c r="HQ47" i="3"/>
  <c r="HS47" i="3" s="1"/>
  <c r="EP47" i="3"/>
  <c r="HN51" i="3"/>
  <c r="DR51" i="3"/>
  <c r="HR52" i="3"/>
  <c r="GE52" i="3"/>
  <c r="GO52" i="3"/>
  <c r="HR53" i="3"/>
  <c r="EP53" i="3"/>
  <c r="HQ53" i="3"/>
  <c r="HS53" i="3" s="1"/>
  <c r="GE53" i="3"/>
  <c r="GO56" i="3"/>
  <c r="CD57" i="3"/>
  <c r="GK57" i="3"/>
  <c r="AT76" i="3"/>
  <c r="BB76" i="3"/>
  <c r="GW9" i="3"/>
  <c r="HB9" i="3"/>
  <c r="GK12" i="3"/>
  <c r="HA12" i="3"/>
  <c r="HC12" i="3" s="1"/>
  <c r="HI15" i="3"/>
  <c r="HK15" i="3" s="1"/>
  <c r="GL19" i="3"/>
  <c r="GK20" i="3"/>
  <c r="GO20" i="3"/>
  <c r="AH20" i="3"/>
  <c r="HS21" i="3"/>
  <c r="HK23" i="3"/>
  <c r="GK29" i="3"/>
  <c r="E76" i="3"/>
  <c r="M76" i="3"/>
  <c r="U76" i="3"/>
  <c r="AC76" i="3"/>
  <c r="AH9" i="3"/>
  <c r="AP76" i="3"/>
  <c r="AX76" i="3"/>
  <c r="BM76" i="3"/>
  <c r="BR9" i="3"/>
  <c r="BX76" i="3"/>
  <c r="CC76" i="3"/>
  <c r="CH9" i="3"/>
  <c r="CN76" i="3"/>
  <c r="CT76" i="3"/>
  <c r="CZ76" i="3"/>
  <c r="DE76" i="3"/>
  <c r="DJ9" i="3"/>
  <c r="DP76" i="3"/>
  <c r="DU76" i="3"/>
  <c r="DZ9" i="3"/>
  <c r="EF76" i="3"/>
  <c r="EK76" i="3"/>
  <c r="EP9" i="3"/>
  <c r="EU76" i="3"/>
  <c r="EZ76" i="3"/>
  <c r="FE9" i="3"/>
  <c r="FK76" i="3"/>
  <c r="FP76" i="3"/>
  <c r="FT9" i="3"/>
  <c r="FZ76" i="3"/>
  <c r="GD76" i="3"/>
  <c r="GI9" i="3"/>
  <c r="GO9" i="3"/>
  <c r="HE9" i="3"/>
  <c r="HJ9" i="3"/>
  <c r="AH10" i="3"/>
  <c r="EP10" i="3"/>
  <c r="GO10" i="3"/>
  <c r="GQ10" i="3" s="1"/>
  <c r="AH11" i="3"/>
  <c r="CH11" i="3"/>
  <c r="EP11" i="3"/>
  <c r="GO11" i="3"/>
  <c r="GQ11" i="3" s="1"/>
  <c r="AH12" i="3"/>
  <c r="DN12" i="3"/>
  <c r="ES12" i="3"/>
  <c r="BZ13" i="3"/>
  <c r="DR13" i="3"/>
  <c r="BN14" i="3"/>
  <c r="FA14" i="3"/>
  <c r="GP14" i="3"/>
  <c r="F15" i="3"/>
  <c r="BN15" i="3"/>
  <c r="GP15" i="3"/>
  <c r="F16" i="3"/>
  <c r="EP16" i="3"/>
  <c r="GO16" i="3"/>
  <c r="GQ16" i="3" s="1"/>
  <c r="GS16" i="3"/>
  <c r="GT16" i="3" s="1"/>
  <c r="AH17" i="3"/>
  <c r="BF17" i="3"/>
  <c r="DN17" i="3"/>
  <c r="ES17" i="3"/>
  <c r="J18" i="3"/>
  <c r="BZ18" i="3"/>
  <c r="DN18" i="3"/>
  <c r="HQ18" i="3"/>
  <c r="HS18" i="3" s="1"/>
  <c r="EP18" i="3"/>
  <c r="ES18" i="3"/>
  <c r="GK19" i="3"/>
  <c r="GO19" i="3"/>
  <c r="GQ19" i="3" s="1"/>
  <c r="AH19" i="3"/>
  <c r="GX20" i="3"/>
  <c r="BF20" i="3"/>
  <c r="GW20" i="3"/>
  <c r="GO21" i="3"/>
  <c r="GQ21" i="3" s="1"/>
  <c r="AH21" i="3"/>
  <c r="HB21" i="3"/>
  <c r="GP21" i="3"/>
  <c r="GY22" i="3"/>
  <c r="HE22" i="3"/>
  <c r="HG22" i="3" s="1"/>
  <c r="DN22" i="3"/>
  <c r="HI22" i="3"/>
  <c r="HK22" i="3" s="1"/>
  <c r="ES22" i="3"/>
  <c r="HM23" i="3"/>
  <c r="HO23" i="3" s="1"/>
  <c r="DR23" i="3"/>
  <c r="GW24" i="3"/>
  <c r="GY24" i="3" s="1"/>
  <c r="BN24" i="3"/>
  <c r="HA24" i="3"/>
  <c r="HJ24" i="3"/>
  <c r="HI25" i="3"/>
  <c r="HK25" i="3" s="1"/>
  <c r="HO25" i="3"/>
  <c r="HM26" i="3"/>
  <c r="HO26" i="3" s="1"/>
  <c r="DR26" i="3"/>
  <c r="GT27" i="3"/>
  <c r="GP28" i="3"/>
  <c r="HQ28" i="3"/>
  <c r="HS28" i="3" s="1"/>
  <c r="EP28" i="3"/>
  <c r="GL29" i="3"/>
  <c r="HE29" i="3"/>
  <c r="HG29" i="3" s="1"/>
  <c r="DN29" i="3"/>
  <c r="HI29" i="3"/>
  <c r="HK29" i="3" s="1"/>
  <c r="ES29" i="3"/>
  <c r="GS30" i="3"/>
  <c r="GT30" i="3" s="1"/>
  <c r="AL30" i="3"/>
  <c r="HR30" i="3"/>
  <c r="HS30" i="3" s="1"/>
  <c r="GK30" i="3"/>
  <c r="GM30" i="3" s="1"/>
  <c r="HA30" i="3"/>
  <c r="GL31" i="3"/>
  <c r="HM31" i="3"/>
  <c r="HO31" i="3" s="1"/>
  <c r="DR31" i="3"/>
  <c r="HQ32" i="3"/>
  <c r="HS32" i="3" s="1"/>
  <c r="FM32" i="3"/>
  <c r="GP32" i="3"/>
  <c r="HM40" i="3"/>
  <c r="HO40" i="3" s="1"/>
  <c r="DR40" i="3"/>
  <c r="GW42" i="3"/>
  <c r="HA48" i="3"/>
  <c r="HC48" i="3" s="1"/>
  <c r="GK17" i="3"/>
  <c r="GM17" i="3" s="1"/>
  <c r="GO22" i="3"/>
  <c r="GQ22" i="3" s="1"/>
  <c r="BJ22" i="3"/>
  <c r="GT24" i="3"/>
  <c r="HA29" i="3"/>
  <c r="HC29" i="3" s="1"/>
  <c r="HE30" i="3"/>
  <c r="HG30" i="3" s="1"/>
  <c r="DN30" i="3"/>
  <c r="HI30" i="3"/>
  <c r="HK30" i="3" s="1"/>
  <c r="ES30" i="3"/>
  <c r="HK31" i="3"/>
  <c r="F9" i="3"/>
  <c r="N9" i="3"/>
  <c r="N76" i="3" s="1"/>
  <c r="V9" i="3"/>
  <c r="V76" i="3" s="1"/>
  <c r="AD9" i="3"/>
  <c r="AD76" i="3" s="1"/>
  <c r="AK76" i="3"/>
  <c r="GS76" i="3" s="1"/>
  <c r="AS76" i="3"/>
  <c r="BA76" i="3"/>
  <c r="BH76" i="3"/>
  <c r="BN9" i="3"/>
  <c r="BT76" i="3"/>
  <c r="BY76" i="3"/>
  <c r="CD9" i="3"/>
  <c r="CJ76" i="3"/>
  <c r="CO76" i="3"/>
  <c r="CV76" i="3"/>
  <c r="DA76" i="3"/>
  <c r="DF9" i="3"/>
  <c r="DL76" i="3"/>
  <c r="DQ76" i="3"/>
  <c r="DV9" i="3"/>
  <c r="EB76" i="3"/>
  <c r="EG76" i="3"/>
  <c r="EL9" i="3"/>
  <c r="EQ76" i="3"/>
  <c r="EV76" i="3"/>
  <c r="FA9" i="3"/>
  <c r="FG76" i="3"/>
  <c r="FL76" i="3"/>
  <c r="FQ9" i="3"/>
  <c r="FV76" i="3"/>
  <c r="GA76" i="3"/>
  <c r="GE9" i="3"/>
  <c r="GK9" i="3"/>
  <c r="GP9" i="3"/>
  <c r="HA9" i="3"/>
  <c r="HF9" i="3"/>
  <c r="HQ9" i="3"/>
  <c r="F10" i="3"/>
  <c r="BN10" i="3"/>
  <c r="F11" i="3"/>
  <c r="BF13" i="3"/>
  <c r="ES13" i="3"/>
  <c r="DR14" i="3"/>
  <c r="DR15" i="3"/>
  <c r="GP18" i="3"/>
  <c r="AH18" i="3"/>
  <c r="BF18" i="3"/>
  <c r="BV18" i="3"/>
  <c r="HI18" i="3"/>
  <c r="HK18" i="3" s="1"/>
  <c r="HA19" i="3"/>
  <c r="HC19" i="3" s="1"/>
  <c r="CH19" i="3"/>
  <c r="HJ19" i="3"/>
  <c r="GT19" i="3"/>
  <c r="GP20" i="3"/>
  <c r="HC20" i="3"/>
  <c r="CX20" i="3"/>
  <c r="ED20" i="3"/>
  <c r="HQ20" i="3"/>
  <c r="HS20" i="3" s="1"/>
  <c r="EP20" i="3"/>
  <c r="FI20" i="3"/>
  <c r="GL20" i="3"/>
  <c r="GL21" i="3"/>
  <c r="GY21" i="3"/>
  <c r="BZ21" i="3"/>
  <c r="DB21" i="3"/>
  <c r="DB76" i="3" s="1"/>
  <c r="HE21" i="3"/>
  <c r="HG21" i="3" s="1"/>
  <c r="DN21" i="3"/>
  <c r="EH21" i="3"/>
  <c r="HI21" i="3"/>
  <c r="HK21" i="3" s="1"/>
  <c r="ES21" i="3"/>
  <c r="FM21" i="3"/>
  <c r="GS22" i="3"/>
  <c r="GT22" i="3" s="1"/>
  <c r="AL22" i="3"/>
  <c r="HS22" i="3"/>
  <c r="GS23" i="3"/>
  <c r="GT23" i="3" s="1"/>
  <c r="GK24" i="3"/>
  <c r="GM24" i="3" s="1"/>
  <c r="HB24" i="3"/>
  <c r="DJ24" i="3"/>
  <c r="FT24" i="3"/>
  <c r="HI24" i="3"/>
  <c r="GX25" i="3"/>
  <c r="BF25" i="3"/>
  <c r="GW25" i="3"/>
  <c r="GX26" i="3"/>
  <c r="GW26" i="3"/>
  <c r="GY26" i="3" s="1"/>
  <c r="BZ26" i="3"/>
  <c r="GK27" i="3"/>
  <c r="GM27" i="3" s="1"/>
  <c r="HG27" i="3"/>
  <c r="DZ27" i="3"/>
  <c r="FE27" i="3"/>
  <c r="GI27" i="3"/>
  <c r="GK28" i="3"/>
  <c r="GM28" i="3" s="1"/>
  <c r="HS29" i="3"/>
  <c r="HB30" i="3"/>
  <c r="GP30" i="3"/>
  <c r="GQ30" i="3" s="1"/>
  <c r="GS31" i="3"/>
  <c r="GT31" i="3" s="1"/>
  <c r="HB32" i="3"/>
  <c r="HC32" i="3" s="1"/>
  <c r="CD32" i="3"/>
  <c r="GO33" i="3"/>
  <c r="GQ33" i="3" s="1"/>
  <c r="AH33" i="3"/>
  <c r="GK33" i="3"/>
  <c r="GM41" i="3"/>
  <c r="GL45" i="3"/>
  <c r="GP45" i="3"/>
  <c r="F45" i="3"/>
  <c r="FA45" i="3"/>
  <c r="HI45" i="3"/>
  <c r="BV20" i="3"/>
  <c r="DN20" i="3"/>
  <c r="ES20" i="3"/>
  <c r="DR21" i="3"/>
  <c r="BN22" i="3"/>
  <c r="DR22" i="3"/>
  <c r="BN23" i="3"/>
  <c r="FA23" i="3"/>
  <c r="GP23" i="3"/>
  <c r="EP24" i="3"/>
  <c r="GO24" i="3"/>
  <c r="GQ24" i="3" s="1"/>
  <c r="GS24" i="3"/>
  <c r="AH25" i="3"/>
  <c r="BV25" i="3"/>
  <c r="DN25" i="3"/>
  <c r="ES25" i="3"/>
  <c r="FA26" i="3"/>
  <c r="GP26" i="3"/>
  <c r="EP27" i="3"/>
  <c r="GO27" i="3"/>
  <c r="GQ27" i="3" s="1"/>
  <c r="AH28" i="3"/>
  <c r="BV28" i="3"/>
  <c r="DN28" i="3"/>
  <c r="ES28" i="3"/>
  <c r="DR29" i="3"/>
  <c r="CP30" i="3"/>
  <c r="DR30" i="3"/>
  <c r="BN31" i="3"/>
  <c r="FA31" i="3"/>
  <c r="GP31" i="3"/>
  <c r="HE32" i="3"/>
  <c r="HG32" i="3" s="1"/>
  <c r="HI32" i="3"/>
  <c r="GL33" i="3"/>
  <c r="HE33" i="3"/>
  <c r="HG33" i="3" s="1"/>
  <c r="DN33" i="3"/>
  <c r="HI33" i="3"/>
  <c r="HK33" i="3" s="1"/>
  <c r="ES33" i="3"/>
  <c r="GX34" i="3"/>
  <c r="GY34" i="3" s="1"/>
  <c r="HA34" i="3"/>
  <c r="HK34" i="3"/>
  <c r="GE34" i="3"/>
  <c r="HS36" i="3"/>
  <c r="HM37" i="3"/>
  <c r="HO37" i="3" s="1"/>
  <c r="DR37" i="3"/>
  <c r="GK38" i="3"/>
  <c r="HB38" i="3"/>
  <c r="HC38" i="3" s="1"/>
  <c r="GO38" i="3"/>
  <c r="HB39" i="3"/>
  <c r="HC39" i="3" s="1"/>
  <c r="HK40" i="3"/>
  <c r="GW41" i="3"/>
  <c r="GY41" i="3" s="1"/>
  <c r="BN41" i="3"/>
  <c r="HA41" i="3"/>
  <c r="HJ41" i="3"/>
  <c r="GP42" i="3"/>
  <c r="GX42" i="3"/>
  <c r="BF42" i="3"/>
  <c r="GW43" i="3"/>
  <c r="HE43" i="3"/>
  <c r="DN43" i="3"/>
  <c r="GO44" i="3"/>
  <c r="HE44" i="3"/>
  <c r="HG44" i="3" s="1"/>
  <c r="GW45" i="3"/>
  <c r="GY45" i="3" s="1"/>
  <c r="BN45" i="3"/>
  <c r="HJ45" i="3"/>
  <c r="GP46" i="3"/>
  <c r="HJ46" i="3"/>
  <c r="ES46" i="3"/>
  <c r="HF47" i="3"/>
  <c r="HG47" i="3" s="1"/>
  <c r="DN47" i="3"/>
  <c r="GL47" i="3"/>
  <c r="GW47" i="3"/>
  <c r="HI48" i="3"/>
  <c r="HK48" i="3" s="1"/>
  <c r="ES48" i="3"/>
  <c r="HF48" i="3"/>
  <c r="DZ50" i="3"/>
  <c r="GW50" i="3"/>
  <c r="HJ50" i="3"/>
  <c r="ES50" i="3"/>
  <c r="GX54" i="3"/>
  <c r="BF54" i="3"/>
  <c r="DZ54" i="3"/>
  <c r="GW54" i="3"/>
  <c r="GY54" i="3" s="1"/>
  <c r="BF21" i="3"/>
  <c r="GO25" i="3"/>
  <c r="GQ25" i="3" s="1"/>
  <c r="GO28" i="3"/>
  <c r="GQ28" i="3" s="1"/>
  <c r="BF29" i="3"/>
  <c r="GO32" i="3"/>
  <c r="AL32" i="3"/>
  <c r="HJ32" i="3"/>
  <c r="FT32" i="3"/>
  <c r="GK32" i="3"/>
  <c r="GX33" i="3"/>
  <c r="GY33" i="3" s="1"/>
  <c r="HQ33" i="3"/>
  <c r="HS33" i="3" s="1"/>
  <c r="GK34" i="3"/>
  <c r="HB34" i="3"/>
  <c r="CD34" i="3"/>
  <c r="GO34" i="3"/>
  <c r="HE34" i="3"/>
  <c r="HG34" i="3" s="1"/>
  <c r="GP35" i="3"/>
  <c r="GQ35" i="3" s="1"/>
  <c r="F35" i="3"/>
  <c r="CL35" i="3"/>
  <c r="HI35" i="3"/>
  <c r="HK35" i="3" s="1"/>
  <c r="FX35" i="3"/>
  <c r="HO35" i="3"/>
  <c r="BJ36" i="3"/>
  <c r="CP36" i="3"/>
  <c r="HO36" i="3"/>
  <c r="HR36" i="3"/>
  <c r="EW36" i="3"/>
  <c r="GB36" i="3"/>
  <c r="HA36" i="3"/>
  <c r="HC36" i="3" s="1"/>
  <c r="GL37" i="3"/>
  <c r="GM37" i="3" s="1"/>
  <c r="GX37" i="3"/>
  <c r="GY37" i="3" s="1"/>
  <c r="GS37" i="3"/>
  <c r="GT37" i="3" s="1"/>
  <c r="DF38" i="3"/>
  <c r="HM38" i="3"/>
  <c r="HO38" i="3" s="1"/>
  <c r="DR38" i="3"/>
  <c r="EL38" i="3"/>
  <c r="FQ38" i="3"/>
  <c r="GT38" i="3"/>
  <c r="GO39" i="3"/>
  <c r="GY39" i="3"/>
  <c r="DB39" i="3"/>
  <c r="HE39" i="3"/>
  <c r="HG39" i="3" s="1"/>
  <c r="DN39" i="3"/>
  <c r="EH39" i="3"/>
  <c r="HI39" i="3"/>
  <c r="HK39" i="3" s="1"/>
  <c r="ES39" i="3"/>
  <c r="FM39" i="3"/>
  <c r="HA40" i="3"/>
  <c r="HC40" i="3" s="1"/>
  <c r="DV40" i="3"/>
  <c r="HS40" i="3"/>
  <c r="FA40" i="3"/>
  <c r="GE40" i="3"/>
  <c r="GL41" i="3"/>
  <c r="GP41" i="3"/>
  <c r="F41" i="3"/>
  <c r="HB41" i="3"/>
  <c r="DJ41" i="3"/>
  <c r="FT41" i="3"/>
  <c r="HI41" i="3"/>
  <c r="HC42" i="3"/>
  <c r="CX42" i="3"/>
  <c r="ED42" i="3"/>
  <c r="HQ42" i="3"/>
  <c r="HS42" i="3" s="1"/>
  <c r="EP42" i="3"/>
  <c r="FI42" i="3"/>
  <c r="GX43" i="3"/>
  <c r="HR43" i="3"/>
  <c r="HS43" i="3" s="1"/>
  <c r="HA43" i="3"/>
  <c r="GL44" i="3"/>
  <c r="HM44" i="3"/>
  <c r="HO44" i="3" s="1"/>
  <c r="DR44" i="3"/>
  <c r="HK44" i="3"/>
  <c r="HJ44" i="3"/>
  <c r="HB45" i="3"/>
  <c r="HC45" i="3" s="1"/>
  <c r="HF45" i="3"/>
  <c r="HG45" i="3" s="1"/>
  <c r="HR45" i="3"/>
  <c r="EP45" i="3"/>
  <c r="GX46" i="3"/>
  <c r="BF46" i="3"/>
  <c r="HQ46" i="3"/>
  <c r="HS46" i="3" s="1"/>
  <c r="EP46" i="3"/>
  <c r="GW46" i="3"/>
  <c r="GY46" i="3" s="1"/>
  <c r="HB47" i="3"/>
  <c r="HC47" i="3" s="1"/>
  <c r="GO48" i="3"/>
  <c r="GQ48" i="3" s="1"/>
  <c r="AH48" i="3"/>
  <c r="HN48" i="3"/>
  <c r="HO48" i="3" s="1"/>
  <c r="DR48" i="3"/>
  <c r="GL49" i="3"/>
  <c r="GM49" i="3" s="1"/>
  <c r="GP49" i="3"/>
  <c r="GX49" i="3"/>
  <c r="GW49" i="3"/>
  <c r="GY49" i="3" s="1"/>
  <c r="BN49" i="3"/>
  <c r="HA49" i="3"/>
  <c r="HC49" i="3" s="1"/>
  <c r="HG52" i="3"/>
  <c r="GX32" i="3"/>
  <c r="BJ33" i="3"/>
  <c r="CP33" i="3"/>
  <c r="HM33" i="3"/>
  <c r="HO33" i="3" s="1"/>
  <c r="DR33" i="3"/>
  <c r="EW33" i="3"/>
  <c r="GB33" i="3"/>
  <c r="HA33" i="3"/>
  <c r="HC33" i="3" s="1"/>
  <c r="GL34" i="3"/>
  <c r="DF34" i="3"/>
  <c r="HM34" i="3"/>
  <c r="HO34" i="3" s="1"/>
  <c r="DR34" i="3"/>
  <c r="EL34" i="3"/>
  <c r="FQ34" i="3"/>
  <c r="GT34" i="3"/>
  <c r="GX35" i="3"/>
  <c r="GO36" i="3"/>
  <c r="AH36" i="3"/>
  <c r="HC37" i="3"/>
  <c r="DV37" i="3"/>
  <c r="HS37" i="3"/>
  <c r="HK37" i="3"/>
  <c r="GE37" i="3"/>
  <c r="GL38" i="3"/>
  <c r="GP38" i="3"/>
  <c r="F38" i="3"/>
  <c r="GX38" i="3"/>
  <c r="GW38" i="3"/>
  <c r="BZ38" i="3"/>
  <c r="HS39" i="3"/>
  <c r="GK40" i="3"/>
  <c r="GM40" i="3" s="1"/>
  <c r="CD40" i="3"/>
  <c r="GO40" i="3"/>
  <c r="BR41" i="3"/>
  <c r="GT41" i="3"/>
  <c r="GK42" i="3"/>
  <c r="GM42" i="3" s="1"/>
  <c r="GT42" i="3"/>
  <c r="HO42" i="3"/>
  <c r="HB43" i="3"/>
  <c r="HI43" i="3"/>
  <c r="HK43" i="3" s="1"/>
  <c r="ES43" i="3"/>
  <c r="HF43" i="3"/>
  <c r="HS44" i="3"/>
  <c r="GS44" i="3"/>
  <c r="GT44" i="3" s="1"/>
  <c r="GK45" i="3"/>
  <c r="GM45" i="3" s="1"/>
  <c r="GK46" i="3"/>
  <c r="HF46" i="3"/>
  <c r="HG46" i="3" s="1"/>
  <c r="DN46" i="3"/>
  <c r="HB46" i="3"/>
  <c r="HC46" i="3" s="1"/>
  <c r="GK47" i="3"/>
  <c r="GO47" i="3"/>
  <c r="GQ47" i="3" s="1"/>
  <c r="AH47" i="3"/>
  <c r="HJ47" i="3"/>
  <c r="ES47" i="3"/>
  <c r="GY48" i="3"/>
  <c r="HE48" i="3"/>
  <c r="DN48" i="3"/>
  <c r="GO49" i="3"/>
  <c r="GQ49" i="3" s="1"/>
  <c r="HE49" i="3"/>
  <c r="HG49" i="3" s="1"/>
  <c r="BN34" i="3"/>
  <c r="FA34" i="3"/>
  <c r="GP34" i="3"/>
  <c r="BF35" i="3"/>
  <c r="BV35" i="3"/>
  <c r="DN35" i="3"/>
  <c r="ES35" i="3"/>
  <c r="DR36" i="3"/>
  <c r="BN37" i="3"/>
  <c r="FA37" i="3"/>
  <c r="GP37" i="3"/>
  <c r="FA38" i="3"/>
  <c r="BZ39" i="3"/>
  <c r="DR39" i="3"/>
  <c r="BN40" i="3"/>
  <c r="GP40" i="3"/>
  <c r="EP41" i="3"/>
  <c r="GO41" i="3"/>
  <c r="GQ41" i="3" s="1"/>
  <c r="AH42" i="3"/>
  <c r="BV42" i="3"/>
  <c r="DN42" i="3"/>
  <c r="ES42" i="3"/>
  <c r="GL43" i="3"/>
  <c r="GK44" i="3"/>
  <c r="GM44" i="3" s="1"/>
  <c r="GP44" i="3"/>
  <c r="HA44" i="3"/>
  <c r="HC44" i="3" s="1"/>
  <c r="GO45" i="3"/>
  <c r="GQ45" i="3" s="1"/>
  <c r="GS45" i="3"/>
  <c r="GT45" i="3" s="1"/>
  <c r="HI46" i="3"/>
  <c r="GX47" i="3"/>
  <c r="HI47" i="3"/>
  <c r="GL48" i="3"/>
  <c r="HA50" i="3"/>
  <c r="BV50" i="3"/>
  <c r="HQ50" i="3"/>
  <c r="HS50" i="3" s="1"/>
  <c r="EP50" i="3"/>
  <c r="GO51" i="3"/>
  <c r="AH51" i="3"/>
  <c r="GY51" i="3"/>
  <c r="CP51" i="3"/>
  <c r="HE51" i="3"/>
  <c r="HG51" i="3" s="1"/>
  <c r="DN51" i="3"/>
  <c r="EW51" i="3"/>
  <c r="HS51" i="3"/>
  <c r="GL52" i="3"/>
  <c r="GW52" i="3"/>
  <c r="GY52" i="3" s="1"/>
  <c r="BZ52" i="3"/>
  <c r="HM52" i="3"/>
  <c r="HO52" i="3" s="1"/>
  <c r="DR52" i="3"/>
  <c r="HK52" i="3"/>
  <c r="GT53" i="3"/>
  <c r="GK54" i="3"/>
  <c r="GM54" i="3" s="1"/>
  <c r="HQ54" i="3"/>
  <c r="HS54" i="3" s="1"/>
  <c r="EP54" i="3"/>
  <c r="GO55" i="3"/>
  <c r="AH55" i="3"/>
  <c r="CP55" i="3"/>
  <c r="HE55" i="3"/>
  <c r="HG55" i="3" s="1"/>
  <c r="DN55" i="3"/>
  <c r="EW55" i="3"/>
  <c r="GW56" i="3"/>
  <c r="GY56" i="3" s="1"/>
  <c r="BZ56" i="3"/>
  <c r="HM56" i="3"/>
  <c r="HO56" i="3" s="1"/>
  <c r="DR56" i="3"/>
  <c r="HK56" i="3"/>
  <c r="BR57" i="3"/>
  <c r="HM57" i="3"/>
  <c r="HO57" i="3" s="1"/>
  <c r="DR57" i="3"/>
  <c r="EH58" i="3"/>
  <c r="HE58" i="3"/>
  <c r="GL59" i="3"/>
  <c r="GP59" i="3"/>
  <c r="F59" i="3"/>
  <c r="FI63" i="3"/>
  <c r="HA63" i="3"/>
  <c r="HC63" i="3" s="1"/>
  <c r="GK63" i="3"/>
  <c r="GM63" i="3" s="1"/>
  <c r="BF33" i="3"/>
  <c r="AL35" i="3"/>
  <c r="BF36" i="3"/>
  <c r="AL39" i="3"/>
  <c r="F42" i="3"/>
  <c r="GO42" i="3"/>
  <c r="GQ42" i="3" s="1"/>
  <c r="BF43" i="3"/>
  <c r="HQ45" i="3"/>
  <c r="F46" i="3"/>
  <c r="GO46" i="3"/>
  <c r="GS46" i="3"/>
  <c r="GT46" i="3" s="1"/>
  <c r="BF48" i="3"/>
  <c r="HQ49" i="3"/>
  <c r="HB50" i="3"/>
  <c r="GK51" i="3"/>
  <c r="HA51" i="3"/>
  <c r="GP52" i="3"/>
  <c r="HQ52" i="3"/>
  <c r="HS52" i="3" s="1"/>
  <c r="GS52" i="3"/>
  <c r="GT52" i="3" s="1"/>
  <c r="GK53" i="3"/>
  <c r="GX53" i="3"/>
  <c r="GK55" i="3"/>
  <c r="HA55" i="3"/>
  <c r="GP56" i="3"/>
  <c r="HQ56" i="3"/>
  <c r="HS56" i="3" s="1"/>
  <c r="GS56" i="3"/>
  <c r="GT56" i="3" s="1"/>
  <c r="J61" i="3"/>
  <c r="GP61" i="3"/>
  <c r="GK61" i="3"/>
  <c r="GK35" i="3"/>
  <c r="GM35" i="3" s="1"/>
  <c r="BF44" i="3"/>
  <c r="ES44" i="3"/>
  <c r="DR45" i="3"/>
  <c r="F47" i="3"/>
  <c r="HR49" i="3"/>
  <c r="ES49" i="3"/>
  <c r="GK50" i="3"/>
  <c r="GM50" i="3" s="1"/>
  <c r="GO50" i="3"/>
  <c r="GQ50" i="3" s="1"/>
  <c r="AH50" i="3"/>
  <c r="HK50" i="3"/>
  <c r="BJ51" i="3"/>
  <c r="HB51" i="3"/>
  <c r="HO51" i="3"/>
  <c r="HI51" i="3"/>
  <c r="HK51" i="3" s="1"/>
  <c r="ES51" i="3"/>
  <c r="GB51" i="3"/>
  <c r="GP51" i="3"/>
  <c r="CD52" i="3"/>
  <c r="DV52" i="3"/>
  <c r="GL53" i="3"/>
  <c r="GP53" i="3"/>
  <c r="F53" i="3"/>
  <c r="GW53" i="3"/>
  <c r="GY53" i="3" s="1"/>
  <c r="BN53" i="3"/>
  <c r="HA53" i="3"/>
  <c r="HC53" i="3" s="1"/>
  <c r="HG53" i="3"/>
  <c r="GP54" i="3"/>
  <c r="GQ54" i="3" s="1"/>
  <c r="HK54" i="3"/>
  <c r="BJ55" i="3"/>
  <c r="HB55" i="3"/>
  <c r="HO55" i="3"/>
  <c r="HI55" i="3"/>
  <c r="HK55" i="3" s="1"/>
  <c r="ES55" i="3"/>
  <c r="GB55" i="3"/>
  <c r="GP55" i="3"/>
  <c r="HA56" i="3"/>
  <c r="CD56" i="3"/>
  <c r="DV56" i="3"/>
  <c r="GE56" i="3"/>
  <c r="GL57" i="3"/>
  <c r="GP57" i="3"/>
  <c r="F57" i="3"/>
  <c r="GW57" i="3"/>
  <c r="BN57" i="3"/>
  <c r="HA57" i="3"/>
  <c r="DN50" i="3"/>
  <c r="GX50" i="3"/>
  <c r="GL51" i="3"/>
  <c r="GK52" i="3"/>
  <c r="GM52" i="3" s="1"/>
  <c r="HA52" i="3"/>
  <c r="HC52" i="3" s="1"/>
  <c r="GO53" i="3"/>
  <c r="AH54" i="3"/>
  <c r="BV54" i="3"/>
  <c r="ES54" i="3"/>
  <c r="DR55" i="3"/>
  <c r="GL55" i="3"/>
  <c r="HR55" i="3"/>
  <c r="HS55" i="3" s="1"/>
  <c r="HF56" i="3"/>
  <c r="HG56" i="3" s="1"/>
  <c r="HA58" i="3"/>
  <c r="CD58" i="3"/>
  <c r="DV58" i="3"/>
  <c r="GO58" i="3"/>
  <c r="GW59" i="3"/>
  <c r="GY59" i="3" s="1"/>
  <c r="BN59" i="3"/>
  <c r="HA59" i="3"/>
  <c r="HC59" i="3" s="1"/>
  <c r="CH59" i="3"/>
  <c r="HJ59" i="3"/>
  <c r="GP60" i="3"/>
  <c r="GX60" i="3"/>
  <c r="BF60" i="3"/>
  <c r="GW60" i="3"/>
  <c r="GO61" i="3"/>
  <c r="AH61" i="3"/>
  <c r="HB61" i="3"/>
  <c r="HC61" i="3" s="1"/>
  <c r="GO63" i="3"/>
  <c r="GQ63" i="3" s="1"/>
  <c r="HM63" i="3"/>
  <c r="HO63" i="3" s="1"/>
  <c r="DR63" i="3"/>
  <c r="HS63" i="3"/>
  <c r="HI64" i="3"/>
  <c r="HK64" i="3" s="1"/>
  <c r="FX64" i="3"/>
  <c r="HO64" i="3"/>
  <c r="GO65" i="3"/>
  <c r="GQ65" i="3" s="1"/>
  <c r="ED65" i="3"/>
  <c r="HR65" i="3"/>
  <c r="HS65" i="3" s="1"/>
  <c r="FM65" i="3"/>
  <c r="GK65" i="3"/>
  <c r="HF66" i="3"/>
  <c r="HG66" i="3" s="1"/>
  <c r="HA66" i="3"/>
  <c r="HC66" i="3" s="1"/>
  <c r="GI66" i="3"/>
  <c r="HI66" i="3"/>
  <c r="HK66" i="3" s="1"/>
  <c r="GX68" i="3"/>
  <c r="BF68" i="3"/>
  <c r="HG74" i="3"/>
  <c r="GS54" i="3"/>
  <c r="GT54" i="3" s="1"/>
  <c r="GL56" i="3"/>
  <c r="GM56" i="3" s="1"/>
  <c r="HB56" i="3"/>
  <c r="GO57" i="3"/>
  <c r="HE57" i="3"/>
  <c r="HG57" i="3" s="1"/>
  <c r="DN57" i="3"/>
  <c r="HI57" i="3"/>
  <c r="HK57" i="3" s="1"/>
  <c r="ES57" i="3"/>
  <c r="GK58" i="3"/>
  <c r="GM58" i="3" s="1"/>
  <c r="GK59" i="3"/>
  <c r="GM59" i="3" s="1"/>
  <c r="HI59" i="3"/>
  <c r="HQ60" i="3"/>
  <c r="HS60" i="3" s="1"/>
  <c r="EP60" i="3"/>
  <c r="GL61" i="3"/>
  <c r="HE61" i="3"/>
  <c r="HG61" i="3" s="1"/>
  <c r="DN61" i="3"/>
  <c r="HI61" i="3"/>
  <c r="HK61" i="3" s="1"/>
  <c r="ES61" i="3"/>
  <c r="GO62" i="3"/>
  <c r="HI63" i="3"/>
  <c r="HK63" i="3" s="1"/>
  <c r="ES63" i="3"/>
  <c r="GM64" i="3"/>
  <c r="GP64" i="3"/>
  <c r="GL64" i="3"/>
  <c r="HI65" i="3"/>
  <c r="HK65" i="3" s="1"/>
  <c r="ES65" i="3"/>
  <c r="GK66" i="3"/>
  <c r="BN69" i="3"/>
  <c r="GW69" i="3"/>
  <c r="GY69" i="3" s="1"/>
  <c r="GK69" i="3"/>
  <c r="CL71" i="3"/>
  <c r="GX71" i="3"/>
  <c r="GY71" i="3" s="1"/>
  <c r="BZ74" i="3"/>
  <c r="GW74" i="3"/>
  <c r="GY74" i="3" s="1"/>
  <c r="GL74" i="3"/>
  <c r="BF52" i="3"/>
  <c r="ES52" i="3"/>
  <c r="DR53" i="3"/>
  <c r="BF56" i="3"/>
  <c r="GX57" i="3"/>
  <c r="HB57" i="3"/>
  <c r="HS57" i="3"/>
  <c r="HM58" i="3"/>
  <c r="HO58" i="3" s="1"/>
  <c r="DR58" i="3"/>
  <c r="HK58" i="3"/>
  <c r="GS58" i="3"/>
  <c r="GT58" i="3" s="1"/>
  <c r="BR59" i="3"/>
  <c r="GK60" i="3"/>
  <c r="GM60" i="3" s="1"/>
  <c r="HS61" i="3"/>
  <c r="HI62" i="3"/>
  <c r="HK62" i="3" s="1"/>
  <c r="HC64" i="3"/>
  <c r="ED64" i="3"/>
  <c r="HQ64" i="3"/>
  <c r="HS64" i="3" s="1"/>
  <c r="EP64" i="3"/>
  <c r="FI64" i="3"/>
  <c r="GL65" i="3"/>
  <c r="HE65" i="3"/>
  <c r="HG65" i="3" s="1"/>
  <c r="GL66" i="3"/>
  <c r="GP66" i="3"/>
  <c r="HO66" i="3"/>
  <c r="FE66" i="3"/>
  <c r="BN58" i="3"/>
  <c r="GP58" i="3"/>
  <c r="HF58" i="3"/>
  <c r="EP59" i="3"/>
  <c r="GO59" i="3"/>
  <c r="GS59" i="3"/>
  <c r="GT59" i="3" s="1"/>
  <c r="AH60" i="3"/>
  <c r="BV60" i="3"/>
  <c r="DN60" i="3"/>
  <c r="ES60" i="3"/>
  <c r="DR61" i="3"/>
  <c r="DN62" i="3"/>
  <c r="EP62" i="3"/>
  <c r="DN64" i="3"/>
  <c r="ES64" i="3"/>
  <c r="EH65" i="3"/>
  <c r="DJ66" i="3"/>
  <c r="DV66" i="3"/>
  <c r="EP66" i="3"/>
  <c r="GO66" i="3"/>
  <c r="GL68" i="3"/>
  <c r="GM68" i="3" s="1"/>
  <c r="GP68" i="3"/>
  <c r="GQ68" i="3" s="1"/>
  <c r="AH68" i="3"/>
  <c r="GW68" i="3"/>
  <c r="GY68" i="3" s="1"/>
  <c r="DZ68" i="3"/>
  <c r="HI68" i="3"/>
  <c r="HJ68" i="3"/>
  <c r="HB69" i="3"/>
  <c r="HR69" i="3"/>
  <c r="EP69" i="3"/>
  <c r="HS69" i="3"/>
  <c r="HI71" i="3"/>
  <c r="HK71" i="3" s="1"/>
  <c r="GO72" i="3"/>
  <c r="GQ72" i="3" s="1"/>
  <c r="AH72" i="3"/>
  <c r="GL72" i="3"/>
  <c r="GK72" i="3"/>
  <c r="ES73" i="3"/>
  <c r="HI73" i="3"/>
  <c r="HK73" i="3" s="1"/>
  <c r="HE75" i="3"/>
  <c r="HG75" i="3" s="1"/>
  <c r="EH75" i="3"/>
  <c r="HA75" i="3"/>
  <c r="HC75" i="3" s="1"/>
  <c r="HB58" i="3"/>
  <c r="F60" i="3"/>
  <c r="GO60" i="3"/>
  <c r="GQ60" i="3" s="1"/>
  <c r="BF61" i="3"/>
  <c r="GK62" i="3"/>
  <c r="GM62" i="3" s="1"/>
  <c r="GP62" i="3"/>
  <c r="GO64" i="3"/>
  <c r="GQ64" i="3" s="1"/>
  <c r="GS68" i="3"/>
  <c r="GT68" i="3" s="1"/>
  <c r="HA69" i="3"/>
  <c r="GK71" i="3"/>
  <c r="GM71" i="3" s="1"/>
  <c r="GO71" i="3"/>
  <c r="GQ71" i="3" s="1"/>
  <c r="AH71" i="3"/>
  <c r="GL71" i="3"/>
  <c r="HB72" i="3"/>
  <c r="HC72" i="3" s="1"/>
  <c r="BV72" i="3"/>
  <c r="HE72" i="3"/>
  <c r="HG72" i="3" s="1"/>
  <c r="EH72" i="3"/>
  <c r="GL73" i="3"/>
  <c r="GY73" i="3"/>
  <c r="ES74" i="3"/>
  <c r="HI74" i="3"/>
  <c r="HK74" i="3" s="1"/>
  <c r="GX75" i="3"/>
  <c r="GY75" i="3" s="1"/>
  <c r="HB68" i="3"/>
  <c r="HC68" i="3" s="1"/>
  <c r="DJ68" i="3"/>
  <c r="DN68" i="3"/>
  <c r="EP68" i="3"/>
  <c r="HQ68" i="3"/>
  <c r="HS68" i="3" s="1"/>
  <c r="GL69" i="3"/>
  <c r="F69" i="3"/>
  <c r="GP69" i="3"/>
  <c r="GQ69" i="3" s="1"/>
  <c r="HJ80" i="3"/>
  <c r="HK70" i="3"/>
  <c r="HB71" i="3"/>
  <c r="HC71" i="3" s="1"/>
  <c r="BV71" i="3"/>
  <c r="HF71" i="3"/>
  <c r="HG71" i="3" s="1"/>
  <c r="EH71" i="3"/>
  <c r="GW72" i="3"/>
  <c r="GY72" i="3" s="1"/>
  <c r="HS72" i="3"/>
  <c r="GK73" i="3"/>
  <c r="GP73" i="3"/>
  <c r="HF73" i="3"/>
  <c r="HG73" i="3" s="1"/>
  <c r="EH73" i="3"/>
  <c r="HQ73" i="3"/>
  <c r="HS73" i="3" s="1"/>
  <c r="HB73" i="3"/>
  <c r="HC73" i="3" s="1"/>
  <c r="GK74" i="3"/>
  <c r="GM74" i="3" s="1"/>
  <c r="EL75" i="3"/>
  <c r="HS75" i="3"/>
  <c r="HM69" i="3"/>
  <c r="HO69" i="3" s="1"/>
  <c r="EH74" i="3"/>
  <c r="BZ75" i="3"/>
  <c r="GL75" i="3"/>
  <c r="GM75" i="3" s="1"/>
  <c r="AL69" i="3"/>
  <c r="GP71" i="3"/>
  <c r="HQ71" i="3"/>
  <c r="HS71" i="3" s="1"/>
  <c r="HI72" i="3"/>
  <c r="HK72" i="3" s="1"/>
  <c r="GO73" i="3"/>
  <c r="GO74" i="3"/>
  <c r="GQ74" i="3" s="1"/>
  <c r="AH73" i="3"/>
  <c r="BV73" i="3"/>
  <c r="EP73" i="3"/>
  <c r="AH74" i="3"/>
  <c r="ES75" i="3"/>
  <c r="AP27" i="2"/>
  <c r="J29" i="2"/>
  <c r="R29" i="2"/>
  <c r="BV29" i="2"/>
  <c r="BR30" i="2"/>
  <c r="BX35" i="2"/>
  <c r="BX38" i="2"/>
  <c r="F38" i="2"/>
  <c r="R52" i="2"/>
  <c r="BX57" i="2"/>
  <c r="N7" i="2"/>
  <c r="Z8" i="2"/>
  <c r="R9" i="2"/>
  <c r="AH10" i="2"/>
  <c r="J12" i="2"/>
  <c r="R14" i="2"/>
  <c r="AD15" i="2"/>
  <c r="AP16" i="2"/>
  <c r="AX16" i="2"/>
  <c r="N17" i="2"/>
  <c r="AH17" i="2"/>
  <c r="J18" i="2"/>
  <c r="AX18" i="2"/>
  <c r="V19" i="2"/>
  <c r="BN19" i="2"/>
  <c r="V20" i="2"/>
  <c r="AH20" i="2"/>
  <c r="R21" i="2"/>
  <c r="Z21" i="2"/>
  <c r="BN24" i="2"/>
  <c r="BB25" i="2"/>
  <c r="J27" i="2"/>
  <c r="AX27" i="2"/>
  <c r="V28" i="2"/>
  <c r="BN28" i="2"/>
  <c r="BB29" i="2"/>
  <c r="AD30" i="2"/>
  <c r="Z31" i="2"/>
  <c r="V32" i="2"/>
  <c r="BB32" i="2"/>
  <c r="BY33" i="2"/>
  <c r="BX34" i="2"/>
  <c r="R34" i="2"/>
  <c r="AD34" i="2"/>
  <c r="AX34" i="2"/>
  <c r="Z35" i="2"/>
  <c r="BV35" i="2"/>
  <c r="J37" i="2"/>
  <c r="F42" i="2"/>
  <c r="BB43" i="2"/>
  <c r="AX44" i="2"/>
  <c r="Z45" i="2"/>
  <c r="AX52" i="2"/>
  <c r="Z53" i="2"/>
  <c r="V55" i="2"/>
  <c r="F56" i="2"/>
  <c r="BX56" i="2"/>
  <c r="AD57" i="2"/>
  <c r="BY26" i="2"/>
  <c r="BY66" i="2"/>
  <c r="F66" i="2"/>
  <c r="Q87" i="2"/>
  <c r="BX6" i="2"/>
  <c r="R6" i="2"/>
  <c r="AT7" i="2"/>
  <c r="V9" i="2"/>
  <c r="AD11" i="2"/>
  <c r="AP12" i="2"/>
  <c r="AX14" i="2"/>
  <c r="BY16" i="2"/>
  <c r="BX17" i="2"/>
  <c r="AL17" i="2"/>
  <c r="BR19" i="2"/>
  <c r="AX21" i="2"/>
  <c r="J25" i="2"/>
  <c r="F26" i="2"/>
  <c r="F6" i="2"/>
  <c r="AP6" i="2"/>
  <c r="BN6" i="2"/>
  <c r="AT9" i="2"/>
  <c r="BR9" i="2"/>
  <c r="J10" i="2"/>
  <c r="AD10" i="2"/>
  <c r="BN10" i="2"/>
  <c r="AP11" i="2"/>
  <c r="BB11" i="2"/>
  <c r="BR11" i="2"/>
  <c r="BB12" i="2"/>
  <c r="AD13" i="2"/>
  <c r="F15" i="2"/>
  <c r="Z15" i="2"/>
  <c r="J16" i="2"/>
  <c r="R16" i="2"/>
  <c r="BV16" i="2"/>
  <c r="BR17" i="2"/>
  <c r="Z18" i="2"/>
  <c r="AL19" i="2"/>
  <c r="AX20" i="2"/>
  <c r="Z24" i="2"/>
  <c r="AL24" i="2"/>
  <c r="V25" i="2"/>
  <c r="AH25" i="2"/>
  <c r="AD26" i="2"/>
  <c r="BR26" i="2"/>
  <c r="BX27" i="2"/>
  <c r="Z27" i="2"/>
  <c r="AL28" i="2"/>
  <c r="AH29" i="2"/>
  <c r="AT30" i="2"/>
  <c r="BV30" i="2"/>
  <c r="BX33" i="2"/>
  <c r="R33" i="2"/>
  <c r="AL33" i="2"/>
  <c r="AX33" i="2"/>
  <c r="BR36" i="2"/>
  <c r="J38" i="2"/>
  <c r="F39" i="2"/>
  <c r="BV39" i="2"/>
  <c r="J41" i="2"/>
  <c r="Z46" i="2"/>
  <c r="V47" i="2"/>
  <c r="R48" i="2"/>
  <c r="BY49" i="2"/>
  <c r="V51" i="2"/>
  <c r="BB55" i="2"/>
  <c r="BN57" i="2"/>
  <c r="BX37" i="2"/>
  <c r="BY38" i="2"/>
  <c r="BX43" i="2"/>
  <c r="BR46" i="2"/>
  <c r="BX47" i="2"/>
  <c r="BN47" i="2"/>
  <c r="BY48" i="2"/>
  <c r="V49" i="2"/>
  <c r="AH49" i="2"/>
  <c r="BB49" i="2"/>
  <c r="BR50" i="2"/>
  <c r="BN51" i="2"/>
  <c r="V53" i="2"/>
  <c r="AH53" i="2"/>
  <c r="BB53" i="2"/>
  <c r="BR54" i="2"/>
  <c r="BN55" i="2"/>
  <c r="BV57" i="2"/>
  <c r="N58" i="2"/>
  <c r="AX59" i="2"/>
  <c r="AH60" i="2"/>
  <c r="AT79" i="2"/>
  <c r="AP35" i="2"/>
  <c r="AL36" i="2"/>
  <c r="BY37" i="2"/>
  <c r="BV37" i="2"/>
  <c r="N38" i="2"/>
  <c r="AT38" i="2"/>
  <c r="J39" i="2"/>
  <c r="AP39" i="2"/>
  <c r="F40" i="2"/>
  <c r="AL40" i="2"/>
  <c r="AP42" i="2"/>
  <c r="AX42" i="2"/>
  <c r="Z43" i="2"/>
  <c r="V44" i="2"/>
  <c r="BB44" i="2"/>
  <c r="BX46" i="2"/>
  <c r="BZ46" i="2" s="1"/>
  <c r="R46" i="2"/>
  <c r="AD46" i="2"/>
  <c r="AX46" i="2"/>
  <c r="N47" i="2"/>
  <c r="Z47" i="2"/>
  <c r="AT47" i="2"/>
  <c r="J48" i="2"/>
  <c r="V48" i="2"/>
  <c r="AP48" i="2"/>
  <c r="BB48" i="2"/>
  <c r="BY51" i="2"/>
  <c r="Z51" i="2"/>
  <c r="AT51" i="2"/>
  <c r="AP52" i="2"/>
  <c r="BB52" i="2"/>
  <c r="BX60" i="2"/>
  <c r="N60" i="2"/>
  <c r="BR60" i="2"/>
  <c r="BN35" i="2"/>
  <c r="BY36" i="2"/>
  <c r="AH37" i="2"/>
  <c r="BR38" i="2"/>
  <c r="BX39" i="2"/>
  <c r="BN39" i="2"/>
  <c r="BY40" i="2"/>
  <c r="V41" i="2"/>
  <c r="AH41" i="2"/>
  <c r="BB41" i="2"/>
  <c r="BR41" i="2"/>
  <c r="AD42" i="2"/>
  <c r="BX45" i="2"/>
  <c r="BZ45" i="2" s="1"/>
  <c r="R45" i="2"/>
  <c r="AL45" i="2"/>
  <c r="AX45" i="2"/>
  <c r="BY46" i="2"/>
  <c r="BV46" i="2"/>
  <c r="R49" i="2"/>
  <c r="AX49" i="2"/>
  <c r="BY50" i="2"/>
  <c r="BV50" i="2"/>
  <c r="F51" i="2"/>
  <c r="BR51" i="2"/>
  <c r="BN52" i="2"/>
  <c r="R53" i="2"/>
  <c r="AX53" i="2"/>
  <c r="BR55" i="2"/>
  <c r="BN56" i="2"/>
  <c r="BY57" i="2"/>
  <c r="BZ57" i="2" s="1"/>
  <c r="R58" i="2"/>
  <c r="AD58" i="2"/>
  <c r="AL58" i="2"/>
  <c r="BB58" i="2"/>
  <c r="N61" i="2"/>
  <c r="BR75" i="2"/>
  <c r="AX58" i="2"/>
  <c r="Z59" i="2"/>
  <c r="V60" i="2"/>
  <c r="BN60" i="2"/>
  <c r="BY61" i="2"/>
  <c r="AD62" i="2"/>
  <c r="V64" i="2"/>
  <c r="BB64" i="2"/>
  <c r="N66" i="2"/>
  <c r="BY67" i="2"/>
  <c r="R69" i="2"/>
  <c r="AD69" i="2"/>
  <c r="AT69" i="2"/>
  <c r="BX73" i="2"/>
  <c r="BZ73" i="2" s="1"/>
  <c r="AT73" i="2"/>
  <c r="BR73" i="2"/>
  <c r="BX74" i="2"/>
  <c r="R74" i="2"/>
  <c r="AP74" i="2"/>
  <c r="F75" i="2"/>
  <c r="BN75" i="2"/>
  <c r="BX77" i="2"/>
  <c r="R77" i="2"/>
  <c r="AT77" i="2"/>
  <c r="BR77" i="2"/>
  <c r="BX78" i="2"/>
  <c r="R78" i="2"/>
  <c r="AP78" i="2"/>
  <c r="BX79" i="2"/>
  <c r="BY79" i="2"/>
  <c r="BN83" i="2"/>
  <c r="BX85" i="2"/>
  <c r="BX65" i="2"/>
  <c r="Z70" i="2"/>
  <c r="AH71" i="2"/>
  <c r="BY73" i="2"/>
  <c r="AT58" i="2"/>
  <c r="J59" i="2"/>
  <c r="AD59" i="2"/>
  <c r="AP59" i="2"/>
  <c r="F60" i="2"/>
  <c r="Z60" i="2"/>
  <c r="BV61" i="2"/>
  <c r="N62" i="2"/>
  <c r="AT62" i="2"/>
  <c r="J63" i="2"/>
  <c r="AD63" i="2"/>
  <c r="AP63" i="2"/>
  <c r="Z64" i="2"/>
  <c r="AL64" i="2"/>
  <c r="AT66" i="2"/>
  <c r="Z68" i="2"/>
  <c r="AL68" i="2"/>
  <c r="N70" i="2"/>
  <c r="V70" i="2"/>
  <c r="J71" i="2"/>
  <c r="AD71" i="2"/>
  <c r="BN71" i="2"/>
  <c r="BV72" i="2"/>
  <c r="F73" i="2"/>
  <c r="N73" i="2"/>
  <c r="BV73" i="2"/>
  <c r="F74" i="2"/>
  <c r="J75" i="2"/>
  <c r="V75" i="2"/>
  <c r="BV76" i="2"/>
  <c r="F77" i="2"/>
  <c r="N77" i="2"/>
  <c r="BV77" i="2"/>
  <c r="F78" i="2"/>
  <c r="BV79" i="2"/>
  <c r="AT80" i="2"/>
  <c r="BN81" i="2"/>
  <c r="BB82" i="2"/>
  <c r="BR85" i="2"/>
  <c r="BR87" i="2"/>
  <c r="BX28" i="2"/>
  <c r="BY41" i="2"/>
  <c r="AW87" i="2"/>
  <c r="BN8" i="2"/>
  <c r="BY8" i="2"/>
  <c r="F24" i="2"/>
  <c r="BX24" i="2"/>
  <c r="AK87" i="2"/>
  <c r="AL5" i="2"/>
  <c r="F7" i="2"/>
  <c r="BX7" i="2"/>
  <c r="F8" i="2"/>
  <c r="BX8" i="2"/>
  <c r="V16" i="2"/>
  <c r="BX16" i="2"/>
  <c r="BZ16" i="2" s="1"/>
  <c r="J11" i="2"/>
  <c r="BX11" i="2"/>
  <c r="BY12" i="2"/>
  <c r="V12" i="2"/>
  <c r="BX12" i="2"/>
  <c r="BY17" i="2"/>
  <c r="BZ17" i="2" s="1"/>
  <c r="F17" i="2"/>
  <c r="E87" i="2"/>
  <c r="BY5" i="2"/>
  <c r="F5" i="2"/>
  <c r="BY13" i="2"/>
  <c r="BZ13" i="2" s="1"/>
  <c r="F13" i="2"/>
  <c r="BT87" i="2"/>
  <c r="BV5" i="2"/>
  <c r="BY30" i="2"/>
  <c r="F30" i="2"/>
  <c r="L87" i="2"/>
  <c r="N5" i="2"/>
  <c r="AF87" i="2"/>
  <c r="AH5" i="2"/>
  <c r="AR87" i="2"/>
  <c r="AT5" i="2"/>
  <c r="BI87" i="2"/>
  <c r="BU87" i="2"/>
  <c r="BY6" i="2"/>
  <c r="BZ6" i="2" s="1"/>
  <c r="BY7" i="2"/>
  <c r="BX9" i="2"/>
  <c r="BZ9" i="2" s="1"/>
  <c r="BX14" i="2"/>
  <c r="BX15" i="2"/>
  <c r="BX18" i="2"/>
  <c r="BX19" i="2"/>
  <c r="BZ19" i="2" s="1"/>
  <c r="BY25" i="2"/>
  <c r="BX25" i="2"/>
  <c r="BY39" i="2"/>
  <c r="BZ39" i="2" s="1"/>
  <c r="U87" i="2"/>
  <c r="AG87" i="2"/>
  <c r="BA87" i="2"/>
  <c r="BJ5" i="2"/>
  <c r="BJ87" i="2" s="1"/>
  <c r="BR6" i="2"/>
  <c r="J7" i="2"/>
  <c r="AP7" i="2"/>
  <c r="V8" i="2"/>
  <c r="BB8" i="2"/>
  <c r="BV9" i="2"/>
  <c r="BX10" i="2"/>
  <c r="Z11" i="2"/>
  <c r="F12" i="2"/>
  <c r="AL12" i="2"/>
  <c r="BY14" i="2"/>
  <c r="N14" i="2"/>
  <c r="AT14" i="2"/>
  <c r="BY15" i="2"/>
  <c r="F16" i="2"/>
  <c r="AL16" i="2"/>
  <c r="BY18" i="2"/>
  <c r="N18" i="2"/>
  <c r="AT18" i="2"/>
  <c r="BY19" i="2"/>
  <c r="BX20" i="2"/>
  <c r="BZ20" i="2" s="1"/>
  <c r="F20" i="2"/>
  <c r="AL20" i="2"/>
  <c r="BX21" i="2"/>
  <c r="BY29" i="2"/>
  <c r="V29" i="2"/>
  <c r="BX29" i="2"/>
  <c r="BZ33" i="2"/>
  <c r="P87" i="2"/>
  <c r="R5" i="2"/>
  <c r="AB87" i="2"/>
  <c r="AD5" i="2"/>
  <c r="AV87" i="2"/>
  <c r="AX5" i="2"/>
  <c r="AD6" i="2"/>
  <c r="BN7" i="2"/>
  <c r="AH9" i="2"/>
  <c r="BY10" i="2"/>
  <c r="N10" i="2"/>
  <c r="AT10" i="2"/>
  <c r="BY11" i="2"/>
  <c r="R13" i="2"/>
  <c r="AX13" i="2"/>
  <c r="BR14" i="2"/>
  <c r="J15" i="2"/>
  <c r="AP15" i="2"/>
  <c r="R17" i="2"/>
  <c r="AX17" i="2"/>
  <c r="BR18" i="2"/>
  <c r="J19" i="2"/>
  <c r="AP19" i="2"/>
  <c r="BY20" i="2"/>
  <c r="F32" i="2"/>
  <c r="BX32" i="2"/>
  <c r="V52" i="2"/>
  <c r="BX52" i="2"/>
  <c r="BY53" i="2"/>
  <c r="H87" i="2"/>
  <c r="M87" i="2"/>
  <c r="X87" i="2"/>
  <c r="AC87" i="2"/>
  <c r="AN87" i="2"/>
  <c r="AS87" i="2"/>
  <c r="BE87" i="2"/>
  <c r="BL87" i="2"/>
  <c r="BY21" i="2"/>
  <c r="N21" i="2"/>
  <c r="AT21" i="2"/>
  <c r="BY24" i="2"/>
  <c r="F25" i="2"/>
  <c r="AL25" i="2"/>
  <c r="BY27" i="2"/>
  <c r="BZ27" i="2" s="1"/>
  <c r="N27" i="2"/>
  <c r="AT27" i="2"/>
  <c r="BY28" i="2"/>
  <c r="F29" i="2"/>
  <c r="AL29" i="2"/>
  <c r="BZ37" i="2"/>
  <c r="AL37" i="2"/>
  <c r="D87" i="2"/>
  <c r="I87" i="2"/>
  <c r="T87" i="2"/>
  <c r="Y87" i="2"/>
  <c r="AJ87" i="2"/>
  <c r="AO87" i="2"/>
  <c r="AZ87" i="2"/>
  <c r="BF5" i="2"/>
  <c r="BM87" i="2"/>
  <c r="BX5" i="2"/>
  <c r="BR21" i="2"/>
  <c r="J24" i="2"/>
  <c r="AP24" i="2"/>
  <c r="BX26" i="2"/>
  <c r="BZ26" i="2" s="1"/>
  <c r="R26" i="2"/>
  <c r="AX26" i="2"/>
  <c r="BR27" i="2"/>
  <c r="J28" i="2"/>
  <c r="AP28" i="2"/>
  <c r="BX30" i="2"/>
  <c r="R30" i="2"/>
  <c r="AX30" i="2"/>
  <c r="BR31" i="2"/>
  <c r="BN32" i="2"/>
  <c r="AD35" i="2"/>
  <c r="F36" i="2"/>
  <c r="BX36" i="2"/>
  <c r="Z36" i="2"/>
  <c r="AH42" i="2"/>
  <c r="AD43" i="2"/>
  <c r="F44" i="2"/>
  <c r="BX44" i="2"/>
  <c r="BY44" i="2"/>
  <c r="BY47" i="2"/>
  <c r="BZ47" i="2" s="1"/>
  <c r="BX58" i="2"/>
  <c r="BX31" i="2"/>
  <c r="BY32" i="2"/>
  <c r="BY34" i="2"/>
  <c r="BZ34" i="2" s="1"/>
  <c r="BV34" i="2"/>
  <c r="BY35" i="2"/>
  <c r="BZ35" i="2" s="1"/>
  <c r="N35" i="2"/>
  <c r="AT35" i="2"/>
  <c r="J36" i="2"/>
  <c r="AP36" i="2"/>
  <c r="V37" i="2"/>
  <c r="BB37" i="2"/>
  <c r="AH38" i="2"/>
  <c r="BR39" i="2"/>
  <c r="BN40" i="2"/>
  <c r="BX40" i="2"/>
  <c r="BZ40" i="2" s="1"/>
  <c r="BX42" i="2"/>
  <c r="R42" i="2"/>
  <c r="BV42" i="2"/>
  <c r="BY43" i="2"/>
  <c r="BZ43" i="2" s="1"/>
  <c r="N43" i="2"/>
  <c r="AT43" i="2"/>
  <c r="J44" i="2"/>
  <c r="AP44" i="2"/>
  <c r="V45" i="2"/>
  <c r="BB45" i="2"/>
  <c r="AH46" i="2"/>
  <c r="BR47" i="2"/>
  <c r="BN48" i="2"/>
  <c r="BX48" i="2"/>
  <c r="BZ48" i="2" s="1"/>
  <c r="AD51" i="2"/>
  <c r="Z52" i="2"/>
  <c r="BX53" i="2"/>
  <c r="AL53" i="2"/>
  <c r="BX54" i="2"/>
  <c r="R54" i="2"/>
  <c r="AX54" i="2"/>
  <c r="BX55" i="2"/>
  <c r="BY56" i="2"/>
  <c r="BZ56" i="2" s="1"/>
  <c r="BY58" i="2"/>
  <c r="BV58" i="2"/>
  <c r="N59" i="2"/>
  <c r="AT59" i="2"/>
  <c r="BY31" i="2"/>
  <c r="N31" i="2"/>
  <c r="AT31" i="2"/>
  <c r="J32" i="2"/>
  <c r="AP32" i="2"/>
  <c r="V33" i="2"/>
  <c r="BB33" i="2"/>
  <c r="AH34" i="2"/>
  <c r="BR35" i="2"/>
  <c r="BN36" i="2"/>
  <c r="AD39" i="2"/>
  <c r="Z40" i="2"/>
  <c r="Z87" i="2" s="1"/>
  <c r="BX41" i="2"/>
  <c r="AL41" i="2"/>
  <c r="BY42" i="2"/>
  <c r="BR43" i="2"/>
  <c r="BN44" i="2"/>
  <c r="AD47" i="2"/>
  <c r="Z48" i="2"/>
  <c r="BX49" i="2"/>
  <c r="BZ49" i="2" s="1"/>
  <c r="AL49" i="2"/>
  <c r="BX50" i="2"/>
  <c r="BZ50" i="2" s="1"/>
  <c r="R50" i="2"/>
  <c r="AX50" i="2"/>
  <c r="BX51" i="2"/>
  <c r="BZ51" i="2" s="1"/>
  <c r="BY52" i="2"/>
  <c r="BY54" i="2"/>
  <c r="BV54" i="2"/>
  <c r="BY55" i="2"/>
  <c r="N55" i="2"/>
  <c r="AT55" i="2"/>
  <c r="J56" i="2"/>
  <c r="AP56" i="2"/>
  <c r="V57" i="2"/>
  <c r="BB57" i="2"/>
  <c r="AH58" i="2"/>
  <c r="F64" i="2"/>
  <c r="BX64" i="2"/>
  <c r="BY65" i="2"/>
  <c r="BZ65" i="2" s="1"/>
  <c r="F33" i="2"/>
  <c r="F37" i="2"/>
  <c r="F41" i="2"/>
  <c r="F45" i="2"/>
  <c r="F49" i="2"/>
  <c r="F53" i="2"/>
  <c r="F57" i="2"/>
  <c r="BX59" i="2"/>
  <c r="BX61" i="2"/>
  <c r="BZ61" i="2" s="1"/>
  <c r="AL61" i="2"/>
  <c r="BX62" i="2"/>
  <c r="R62" i="2"/>
  <c r="AX62" i="2"/>
  <c r="BX63" i="2"/>
  <c r="BY64" i="2"/>
  <c r="F69" i="2"/>
  <c r="BX69" i="2"/>
  <c r="BZ69" i="2" s="1"/>
  <c r="BY70" i="2"/>
  <c r="BY76" i="2"/>
  <c r="BY77" i="2"/>
  <c r="BZ85" i="2"/>
  <c r="BY59" i="2"/>
  <c r="BY60" i="2"/>
  <c r="BY62" i="2"/>
  <c r="BV62" i="2"/>
  <c r="BY63" i="2"/>
  <c r="N63" i="2"/>
  <c r="AT63" i="2"/>
  <c r="J64" i="2"/>
  <c r="AP64" i="2"/>
  <c r="V65" i="2"/>
  <c r="BX66" i="2"/>
  <c r="R66" i="2"/>
  <c r="BR66" i="2"/>
  <c r="BX68" i="2"/>
  <c r="BY72" i="2"/>
  <c r="J72" i="2"/>
  <c r="BX80" i="2"/>
  <c r="BR59" i="2"/>
  <c r="J60" i="2"/>
  <c r="AP60" i="2"/>
  <c r="V61" i="2"/>
  <c r="BB61" i="2"/>
  <c r="AH62" i="2"/>
  <c r="BR63" i="2"/>
  <c r="BN64" i="2"/>
  <c r="BX67" i="2"/>
  <c r="F67" i="2"/>
  <c r="AP67" i="2"/>
  <c r="N68" i="2"/>
  <c r="BX75" i="2"/>
  <c r="F61" i="2"/>
  <c r="F65" i="2"/>
  <c r="J68" i="2"/>
  <c r="BX70" i="2"/>
  <c r="BB72" i="2"/>
  <c r="BY74" i="2"/>
  <c r="BZ74" i="2" s="1"/>
  <c r="N74" i="2"/>
  <c r="F76" i="2"/>
  <c r="BB76" i="2"/>
  <c r="BY78" i="2"/>
  <c r="N78" i="2"/>
  <c r="BB79" i="2"/>
  <c r="BY80" i="2"/>
  <c r="BY81" i="2"/>
  <c r="BZ81" i="2" s="1"/>
  <c r="BY83" i="2"/>
  <c r="BZ83" i="2" s="1"/>
  <c r="BF83" i="2"/>
  <c r="BN85" i="2"/>
  <c r="BN68" i="2"/>
  <c r="AL69" i="2"/>
  <c r="R70" i="2"/>
  <c r="BV70" i="2"/>
  <c r="BX71" i="2"/>
  <c r="BX72" i="2"/>
  <c r="BZ72" i="2" s="1"/>
  <c r="AX73" i="2"/>
  <c r="AP75" i="2"/>
  <c r="BX76" i="2"/>
  <c r="BZ76" i="2" s="1"/>
  <c r="AX77" i="2"/>
  <c r="BY82" i="2"/>
  <c r="BZ82" i="2" s="1"/>
  <c r="BR83" i="2"/>
  <c r="BY68" i="2"/>
  <c r="AP68" i="2"/>
  <c r="V69" i="2"/>
  <c r="BY71" i="2"/>
  <c r="N71" i="2"/>
  <c r="AT71" i="2"/>
  <c r="V72" i="2"/>
  <c r="AT74" i="2"/>
  <c r="BY75" i="2"/>
  <c r="V76" i="2"/>
  <c r="AT78" i="2"/>
  <c r="BN80" i="2"/>
  <c r="BN82" i="2"/>
  <c r="BY85" i="2"/>
  <c r="BZ86" i="2"/>
  <c r="DZ7" i="1"/>
  <c r="HY7" i="1"/>
  <c r="ED12" i="1"/>
  <c r="IF12" i="1"/>
  <c r="IH12" i="1" s="1"/>
  <c r="IC13" i="1"/>
  <c r="HB13" i="1"/>
  <c r="HI14" i="1"/>
  <c r="HY15" i="1"/>
  <c r="DZ15" i="1"/>
  <c r="HQ19" i="1"/>
  <c r="IC21" i="1"/>
  <c r="HB21" i="1"/>
  <c r="FR28" i="1"/>
  <c r="IK28" i="1"/>
  <c r="IB29" i="1"/>
  <c r="ID29" i="1" s="1"/>
  <c r="EX29" i="1"/>
  <c r="IK29" i="1"/>
  <c r="HH29" i="1"/>
  <c r="AD6" i="1"/>
  <c r="BJ6" i="1"/>
  <c r="CK86" i="1"/>
  <c r="EW86" i="1"/>
  <c r="IC6" i="1"/>
  <c r="ID6" i="1" s="1"/>
  <c r="GC86" i="1"/>
  <c r="HI7" i="1"/>
  <c r="HM7" i="1"/>
  <c r="HI8" i="1"/>
  <c r="HT9" i="1"/>
  <c r="HV9" i="1" s="1"/>
  <c r="DF9" i="1"/>
  <c r="DZ9" i="1"/>
  <c r="HY9" i="1"/>
  <c r="HM10" i="1"/>
  <c r="HX10" i="1"/>
  <c r="HZ10" i="1" s="1"/>
  <c r="F11" i="1"/>
  <c r="HI11" i="1"/>
  <c r="HM11" i="1"/>
  <c r="HH12" i="1"/>
  <c r="HQ12" i="1"/>
  <c r="HQ13" i="1"/>
  <c r="HR13" i="1" s="1"/>
  <c r="ED14" i="1"/>
  <c r="IF14" i="1"/>
  <c r="IH14" i="1" s="1"/>
  <c r="IC14" i="1"/>
  <c r="ID14" i="1" s="1"/>
  <c r="EX14" i="1"/>
  <c r="IJ14" i="1"/>
  <c r="IL14" i="1" s="1"/>
  <c r="IC15" i="1"/>
  <c r="HB15" i="1"/>
  <c r="HL15" i="1"/>
  <c r="HI16" i="1"/>
  <c r="HT17" i="1"/>
  <c r="HV17" i="1" s="1"/>
  <c r="DF17" i="1"/>
  <c r="HY17" i="1"/>
  <c r="DZ17" i="1"/>
  <c r="HM18" i="1"/>
  <c r="HX18" i="1"/>
  <c r="HZ18" i="1" s="1"/>
  <c r="HM19" i="1"/>
  <c r="F19" i="1"/>
  <c r="HI19" i="1"/>
  <c r="HH20" i="1"/>
  <c r="HQ20" i="1"/>
  <c r="HQ21" i="1"/>
  <c r="ED22" i="1"/>
  <c r="IF22" i="1"/>
  <c r="IH22" i="1" s="1"/>
  <c r="IC22" i="1"/>
  <c r="EX22" i="1"/>
  <c r="IJ22" i="1"/>
  <c r="IL22" i="1" s="1"/>
  <c r="IC23" i="1"/>
  <c r="ID23" i="1" s="1"/>
  <c r="HB23" i="1"/>
  <c r="HL23" i="1"/>
  <c r="HI24" i="1"/>
  <c r="HT25" i="1"/>
  <c r="HV25" i="1" s="1"/>
  <c r="DF25" i="1"/>
  <c r="HY25" i="1"/>
  <c r="DZ25" i="1"/>
  <c r="HM26" i="1"/>
  <c r="HX26" i="1"/>
  <c r="HZ26" i="1" s="1"/>
  <c r="HI27" i="1"/>
  <c r="HM27" i="1"/>
  <c r="F27" i="1"/>
  <c r="HM31" i="1"/>
  <c r="HN31" i="1" s="1"/>
  <c r="HH34" i="1"/>
  <c r="F34" i="1"/>
  <c r="HL34" i="1"/>
  <c r="HN35" i="1"/>
  <c r="HH36" i="1"/>
  <c r="F36" i="1"/>
  <c r="HL36" i="1"/>
  <c r="HN37" i="1"/>
  <c r="HH38" i="1"/>
  <c r="F38" i="1"/>
  <c r="HL38" i="1"/>
  <c r="HN39" i="1"/>
  <c r="IB39" i="1"/>
  <c r="ID39" i="1" s="1"/>
  <c r="EX39" i="1"/>
  <c r="CV86" i="1"/>
  <c r="CX6" i="1"/>
  <c r="EN86" i="1"/>
  <c r="EP6" i="1"/>
  <c r="FH86" i="1"/>
  <c r="FJ6" i="1"/>
  <c r="FT86" i="1"/>
  <c r="FV6" i="1"/>
  <c r="HI6" i="1"/>
  <c r="IC12" i="1"/>
  <c r="ID12" i="1" s="1"/>
  <c r="EX12" i="1"/>
  <c r="HL13" i="1"/>
  <c r="ID15" i="1"/>
  <c r="HM17" i="1"/>
  <c r="HI17" i="1"/>
  <c r="F17" i="1"/>
  <c r="ED20" i="1"/>
  <c r="IF20" i="1"/>
  <c r="IH20" i="1" s="1"/>
  <c r="HR21" i="1"/>
  <c r="HI22" i="1"/>
  <c r="DZ23" i="1"/>
  <c r="HY23" i="1"/>
  <c r="HH46" i="1"/>
  <c r="F46" i="1"/>
  <c r="HL46" i="1"/>
  <c r="AJ86" i="1"/>
  <c r="AL6" i="1"/>
  <c r="BD86" i="1"/>
  <c r="BF6" i="1"/>
  <c r="BP86" i="1"/>
  <c r="BR6" i="1"/>
  <c r="DQ86" i="1"/>
  <c r="EC86" i="1"/>
  <c r="IG6" i="1"/>
  <c r="HL7" i="1"/>
  <c r="M86" i="1"/>
  <c r="AS86" i="1"/>
  <c r="BY86" i="1"/>
  <c r="CL6" i="1"/>
  <c r="CR86" i="1"/>
  <c r="CT6" i="1"/>
  <c r="DL86" i="1"/>
  <c r="DN6" i="1"/>
  <c r="DR6" i="1"/>
  <c r="DX86" i="1"/>
  <c r="HX6" i="1"/>
  <c r="DZ6" i="1"/>
  <c r="ER86" i="1"/>
  <c r="ET6" i="1"/>
  <c r="EX6" i="1"/>
  <c r="FD86" i="1"/>
  <c r="FF6" i="1"/>
  <c r="FX86" i="1"/>
  <c r="FZ6" i="1"/>
  <c r="GD6" i="1"/>
  <c r="GJ86" i="1"/>
  <c r="GJ89" i="1" s="1"/>
  <c r="GL6" i="1"/>
  <c r="HD86" i="1"/>
  <c r="HF6" i="1"/>
  <c r="IJ6" i="1"/>
  <c r="F7" i="1"/>
  <c r="N7" i="1"/>
  <c r="HH7" i="1"/>
  <c r="HJ7" i="1" s="1"/>
  <c r="HQ7" i="1"/>
  <c r="HR7" i="1" s="1"/>
  <c r="IF8" i="1"/>
  <c r="IH8" i="1" s="1"/>
  <c r="ED8" i="1"/>
  <c r="IC8" i="1"/>
  <c r="ID8" i="1" s="1"/>
  <c r="EX8" i="1"/>
  <c r="IJ8" i="1"/>
  <c r="IL8" i="1" s="1"/>
  <c r="IC9" i="1"/>
  <c r="ID9" i="1" s="1"/>
  <c r="HB9" i="1"/>
  <c r="HL9" i="1"/>
  <c r="HI10" i="1"/>
  <c r="HJ10" i="1" s="1"/>
  <c r="HT11" i="1"/>
  <c r="HV11" i="1" s="1"/>
  <c r="DF11" i="1"/>
  <c r="HY11" i="1"/>
  <c r="DZ11" i="1"/>
  <c r="HM12" i="1"/>
  <c r="HX12" i="1"/>
  <c r="HY12" i="1"/>
  <c r="F13" i="1"/>
  <c r="HI13" i="1"/>
  <c r="HM13" i="1"/>
  <c r="IJ13" i="1"/>
  <c r="IL13" i="1" s="1"/>
  <c r="HH14" i="1"/>
  <c r="HJ14" i="1" s="1"/>
  <c r="HQ14" i="1"/>
  <c r="HT14" i="1"/>
  <c r="HQ15" i="1"/>
  <c r="HR15" i="1" s="1"/>
  <c r="ED16" i="1"/>
  <c r="IF16" i="1"/>
  <c r="IH16" i="1" s="1"/>
  <c r="IC16" i="1"/>
  <c r="ID16" i="1" s="1"/>
  <c r="EX16" i="1"/>
  <c r="IJ16" i="1"/>
  <c r="IL16" i="1" s="1"/>
  <c r="IC17" i="1"/>
  <c r="ID17" i="1" s="1"/>
  <c r="HB17" i="1"/>
  <c r="HL17" i="1"/>
  <c r="HN17" i="1" s="1"/>
  <c r="HI18" i="1"/>
  <c r="HT19" i="1"/>
  <c r="HV19" i="1" s="1"/>
  <c r="DF19" i="1"/>
  <c r="HY19" i="1"/>
  <c r="DZ19" i="1"/>
  <c r="HM20" i="1"/>
  <c r="HX20" i="1"/>
  <c r="HZ20" i="1" s="1"/>
  <c r="HY20" i="1"/>
  <c r="HI21" i="1"/>
  <c r="HM21" i="1"/>
  <c r="F21" i="1"/>
  <c r="IJ21" i="1"/>
  <c r="IL21" i="1" s="1"/>
  <c r="HH22" i="1"/>
  <c r="HJ22" i="1" s="1"/>
  <c r="HQ22" i="1"/>
  <c r="HT22" i="1"/>
  <c r="HQ23" i="1"/>
  <c r="HR23" i="1" s="1"/>
  <c r="ED24" i="1"/>
  <c r="IF24" i="1"/>
  <c r="IH24" i="1" s="1"/>
  <c r="IC24" i="1"/>
  <c r="EX24" i="1"/>
  <c r="IJ24" i="1"/>
  <c r="IL24" i="1" s="1"/>
  <c r="IC25" i="1"/>
  <c r="ID25" i="1" s="1"/>
  <c r="HB25" i="1"/>
  <c r="HL25" i="1"/>
  <c r="HN25" i="1" s="1"/>
  <c r="HI26" i="1"/>
  <c r="HJ26" i="1" s="1"/>
  <c r="HT27" i="1"/>
  <c r="HV27" i="1" s="1"/>
  <c r="DF27" i="1"/>
  <c r="HY27" i="1"/>
  <c r="DZ27" i="1"/>
  <c r="N41" i="1"/>
  <c r="HH41" i="1"/>
  <c r="HH42" i="1"/>
  <c r="F42" i="1"/>
  <c r="HL42" i="1"/>
  <c r="HB42" i="1"/>
  <c r="IB42" i="1"/>
  <c r="ID42" i="1" s="1"/>
  <c r="N43" i="1"/>
  <c r="HH43" i="1"/>
  <c r="GT43" i="1"/>
  <c r="HX43" i="1"/>
  <c r="HZ43" i="1" s="1"/>
  <c r="DH86" i="1"/>
  <c r="DJ6" i="1"/>
  <c r="EB86" i="1"/>
  <c r="ED6" i="1"/>
  <c r="GN86" i="1"/>
  <c r="GP86" i="1" s="1"/>
  <c r="GP6" i="1"/>
  <c r="HV6" i="1"/>
  <c r="HT7" i="1"/>
  <c r="HV7" i="1" s="1"/>
  <c r="DF7" i="1"/>
  <c r="HM8" i="1"/>
  <c r="HM9" i="1"/>
  <c r="F9" i="1"/>
  <c r="HI9" i="1"/>
  <c r="HQ11" i="1"/>
  <c r="IJ12" i="1"/>
  <c r="IL12" i="1" s="1"/>
  <c r="HT15" i="1"/>
  <c r="HV15" i="1" s="1"/>
  <c r="DF15" i="1"/>
  <c r="HM16" i="1"/>
  <c r="HJ18" i="1"/>
  <c r="IC20" i="1"/>
  <c r="ID20" i="1" s="1"/>
  <c r="EX20" i="1"/>
  <c r="IJ20" i="1"/>
  <c r="IL20" i="1" s="1"/>
  <c r="HL21" i="1"/>
  <c r="HN21" i="1" s="1"/>
  <c r="HT23" i="1"/>
  <c r="HV23" i="1" s="1"/>
  <c r="DF23" i="1"/>
  <c r="HM24" i="1"/>
  <c r="HI25" i="1"/>
  <c r="HM25" i="1"/>
  <c r="F25" i="1"/>
  <c r="HQ27" i="1"/>
  <c r="CH30" i="1"/>
  <c r="HU30" i="1"/>
  <c r="HX30" i="1"/>
  <c r="DZ30" i="1"/>
  <c r="CS86" i="1"/>
  <c r="D86" i="1"/>
  <c r="HH6" i="1"/>
  <c r="F6" i="1"/>
  <c r="HL6" i="1"/>
  <c r="X86" i="1"/>
  <c r="Z6" i="1"/>
  <c r="CW86" i="1"/>
  <c r="FI86" i="1"/>
  <c r="IC7" i="1"/>
  <c r="ID7" i="1" s="1"/>
  <c r="HB7" i="1"/>
  <c r="H86" i="1"/>
  <c r="J6" i="1"/>
  <c r="T86" i="1"/>
  <c r="V6" i="1"/>
  <c r="AN86" i="1"/>
  <c r="AP6" i="1"/>
  <c r="AZ86" i="1"/>
  <c r="BB6" i="1"/>
  <c r="BT86" i="1"/>
  <c r="BV6" i="1"/>
  <c r="CG86" i="1"/>
  <c r="CH6" i="1"/>
  <c r="DA86" i="1"/>
  <c r="EG86" i="1"/>
  <c r="ES86" i="1"/>
  <c r="FM86" i="1"/>
  <c r="HP6" i="1"/>
  <c r="IK6" i="1"/>
  <c r="IJ7" i="1"/>
  <c r="IL7" i="1" s="1"/>
  <c r="HH8" i="1"/>
  <c r="HJ8" i="1" s="1"/>
  <c r="HQ8" i="1"/>
  <c r="HT8" i="1"/>
  <c r="HV8" i="1" s="1"/>
  <c r="HQ9" i="1"/>
  <c r="HR9" i="1" s="1"/>
  <c r="IF10" i="1"/>
  <c r="IH10" i="1" s="1"/>
  <c r="ED10" i="1"/>
  <c r="IC10" i="1"/>
  <c r="ID10" i="1" s="1"/>
  <c r="EX10" i="1"/>
  <c r="IJ10" i="1"/>
  <c r="IL10" i="1" s="1"/>
  <c r="HP11" i="1"/>
  <c r="HR11" i="1" s="1"/>
  <c r="IC11" i="1"/>
  <c r="ID11" i="1" s="1"/>
  <c r="HB11" i="1"/>
  <c r="HL11" i="1"/>
  <c r="HN11" i="1" s="1"/>
  <c r="HI12" i="1"/>
  <c r="HT13" i="1"/>
  <c r="HV13" i="1" s="1"/>
  <c r="DF13" i="1"/>
  <c r="HY13" i="1"/>
  <c r="DZ13" i="1"/>
  <c r="ID13" i="1"/>
  <c r="HM14" i="1"/>
  <c r="HZ14" i="1"/>
  <c r="HY14" i="1"/>
  <c r="F15" i="1"/>
  <c r="HI15" i="1"/>
  <c r="HM15" i="1"/>
  <c r="IJ15" i="1"/>
  <c r="IL15" i="1" s="1"/>
  <c r="HH16" i="1"/>
  <c r="HJ16" i="1" s="1"/>
  <c r="HQ16" i="1"/>
  <c r="HT16" i="1"/>
  <c r="HV16" i="1" s="1"/>
  <c r="HQ17" i="1"/>
  <c r="HR17" i="1" s="1"/>
  <c r="IF18" i="1"/>
  <c r="IH18" i="1" s="1"/>
  <c r="ED18" i="1"/>
  <c r="IC18" i="1"/>
  <c r="ID18" i="1" s="1"/>
  <c r="EX18" i="1"/>
  <c r="IJ18" i="1"/>
  <c r="IL18" i="1" s="1"/>
  <c r="HP19" i="1"/>
  <c r="IC19" i="1"/>
  <c r="ID19" i="1" s="1"/>
  <c r="HB19" i="1"/>
  <c r="HL19" i="1"/>
  <c r="HN19" i="1" s="1"/>
  <c r="HI20" i="1"/>
  <c r="HT21" i="1"/>
  <c r="HV21" i="1" s="1"/>
  <c r="DF21" i="1"/>
  <c r="HY21" i="1"/>
  <c r="DZ21" i="1"/>
  <c r="ID21" i="1"/>
  <c r="HM22" i="1"/>
  <c r="HZ22" i="1"/>
  <c r="HY22" i="1"/>
  <c r="HI23" i="1"/>
  <c r="HM23" i="1"/>
  <c r="F23" i="1"/>
  <c r="IJ23" i="1"/>
  <c r="IL23" i="1" s="1"/>
  <c r="HH24" i="1"/>
  <c r="HJ24" i="1" s="1"/>
  <c r="HQ24" i="1"/>
  <c r="HT24" i="1"/>
  <c r="HQ25" i="1"/>
  <c r="HR25" i="1" s="1"/>
  <c r="ED26" i="1"/>
  <c r="IF26" i="1"/>
  <c r="IH26" i="1" s="1"/>
  <c r="IC26" i="1"/>
  <c r="EX26" i="1"/>
  <c r="IJ26" i="1"/>
  <c r="IL26" i="1" s="1"/>
  <c r="HP27" i="1"/>
  <c r="IC27" i="1"/>
  <c r="ID27" i="1" s="1"/>
  <c r="HB27" i="1"/>
  <c r="HL27" i="1"/>
  <c r="HN27" i="1" s="1"/>
  <c r="HP28" i="1"/>
  <c r="HX41" i="1"/>
  <c r="HZ41" i="1" s="1"/>
  <c r="IL44" i="1"/>
  <c r="HB44" i="1"/>
  <c r="IB44" i="1"/>
  <c r="ID44" i="1" s="1"/>
  <c r="N45" i="1"/>
  <c r="HH45" i="1"/>
  <c r="HP46" i="1"/>
  <c r="HX7" i="1"/>
  <c r="HZ7" i="1" s="1"/>
  <c r="HP8" i="1"/>
  <c r="HR8" i="1" s="1"/>
  <c r="HU10" i="1"/>
  <c r="HV10" i="1" s="1"/>
  <c r="HX15" i="1"/>
  <c r="HZ15" i="1" s="1"/>
  <c r="HP16" i="1"/>
  <c r="HR16" i="1" s="1"/>
  <c r="HX17" i="1"/>
  <c r="HP18" i="1"/>
  <c r="HR18" i="1" s="1"/>
  <c r="HX19" i="1"/>
  <c r="HZ19" i="1" s="1"/>
  <c r="HU20" i="1"/>
  <c r="HV20" i="1" s="1"/>
  <c r="HH21" i="1"/>
  <c r="HX21" i="1"/>
  <c r="HP22" i="1"/>
  <c r="HR22" i="1" s="1"/>
  <c r="HU22" i="1"/>
  <c r="HH23" i="1"/>
  <c r="HX23" i="1"/>
  <c r="HZ23" i="1" s="1"/>
  <c r="HP24" i="1"/>
  <c r="HR24" i="1" s="1"/>
  <c r="HU24" i="1"/>
  <c r="HH25" i="1"/>
  <c r="HJ25" i="1" s="1"/>
  <c r="HX25" i="1"/>
  <c r="HP26" i="1"/>
  <c r="HR26" i="1" s="1"/>
  <c r="HU26" i="1"/>
  <c r="HV26" i="1" s="1"/>
  <c r="HH27" i="1"/>
  <c r="HJ27" i="1" s="1"/>
  <c r="HX27" i="1"/>
  <c r="HL28" i="1"/>
  <c r="HU28" i="1"/>
  <c r="HP29" i="1"/>
  <c r="HV30" i="1"/>
  <c r="HY30" i="1"/>
  <c r="HI31" i="1"/>
  <c r="HX31" i="1"/>
  <c r="HZ31" i="1" s="1"/>
  <c r="HH32" i="1"/>
  <c r="F32" i="1"/>
  <c r="HL32" i="1"/>
  <c r="HP33" i="1"/>
  <c r="HX33" i="1"/>
  <c r="HZ33" i="1" s="1"/>
  <c r="HI34" i="1"/>
  <c r="HX34" i="1"/>
  <c r="DZ34" i="1"/>
  <c r="HI35" i="1"/>
  <c r="HX35" i="1"/>
  <c r="HZ35" i="1" s="1"/>
  <c r="HI36" i="1"/>
  <c r="HX36" i="1"/>
  <c r="DZ36" i="1"/>
  <c r="IL36" i="1"/>
  <c r="HI37" i="1"/>
  <c r="HX37" i="1"/>
  <c r="HZ37" i="1" s="1"/>
  <c r="HI38" i="1"/>
  <c r="HX38" i="1"/>
  <c r="DZ38" i="1"/>
  <c r="IL38" i="1"/>
  <c r="HI39" i="1"/>
  <c r="HH40" i="1"/>
  <c r="F40" i="1"/>
  <c r="HL40" i="1"/>
  <c r="HP40" i="1"/>
  <c r="HR40" i="1" s="1"/>
  <c r="IB41" i="1"/>
  <c r="ID41" i="1" s="1"/>
  <c r="EX41" i="1"/>
  <c r="HI42" i="1"/>
  <c r="HP42" i="1"/>
  <c r="HH44" i="1"/>
  <c r="F44" i="1"/>
  <c r="HL44" i="1"/>
  <c r="HP44" i="1"/>
  <c r="HR44" i="1" s="1"/>
  <c r="HL45" i="1"/>
  <c r="HN45" i="1" s="1"/>
  <c r="HQ45" i="1"/>
  <c r="HR45" i="1" s="1"/>
  <c r="FR45" i="1"/>
  <c r="GX45" i="1"/>
  <c r="HI46" i="1"/>
  <c r="DN46" i="1"/>
  <c r="HX46" i="1"/>
  <c r="HZ46" i="1" s="1"/>
  <c r="DZ46" i="1"/>
  <c r="ET46" i="1"/>
  <c r="FZ46" i="1"/>
  <c r="HF46" i="1"/>
  <c r="HU46" i="1"/>
  <c r="HV46" i="1" s="1"/>
  <c r="R47" i="1"/>
  <c r="AX47" i="1"/>
  <c r="ED53" i="1"/>
  <c r="IF53" i="1"/>
  <c r="IH53" i="1" s="1"/>
  <c r="IC53" i="1"/>
  <c r="ID53" i="1" s="1"/>
  <c r="EX53" i="1"/>
  <c r="HH9" i="1"/>
  <c r="HX9" i="1"/>
  <c r="HZ9" i="1" s="1"/>
  <c r="HU12" i="1"/>
  <c r="HV12" i="1" s="1"/>
  <c r="HH13" i="1"/>
  <c r="HJ13" i="1" s="1"/>
  <c r="HX13" i="1"/>
  <c r="HZ13" i="1" s="1"/>
  <c r="HU14" i="1"/>
  <c r="HH17" i="1"/>
  <c r="HJ17" i="1" s="1"/>
  <c r="HH19" i="1"/>
  <c r="HJ19" i="1" s="1"/>
  <c r="HP20" i="1"/>
  <c r="HR20" i="1" s="1"/>
  <c r="E86" i="1"/>
  <c r="P86" i="1"/>
  <c r="U86" i="1"/>
  <c r="AF86" i="1"/>
  <c r="AK86" i="1"/>
  <c r="AV86" i="1"/>
  <c r="BA86" i="1"/>
  <c r="BL86" i="1"/>
  <c r="BQ86" i="1"/>
  <c r="CB86" i="1"/>
  <c r="CN86" i="1"/>
  <c r="DD86" i="1"/>
  <c r="DI86" i="1"/>
  <c r="DT86" i="1"/>
  <c r="DY86" i="1"/>
  <c r="EJ86" i="1"/>
  <c r="EO86" i="1"/>
  <c r="EZ86" i="1"/>
  <c r="FE86" i="1"/>
  <c r="FP86" i="1"/>
  <c r="FU86" i="1"/>
  <c r="GF86" i="1"/>
  <c r="GK86" i="1"/>
  <c r="HQ6" i="1"/>
  <c r="CH8" i="1"/>
  <c r="HL8" i="1"/>
  <c r="HN8" i="1" s="1"/>
  <c r="HL10" i="1"/>
  <c r="HN10" i="1" s="1"/>
  <c r="HL12" i="1"/>
  <c r="HN12" i="1" s="1"/>
  <c r="HL14" i="1"/>
  <c r="HN14" i="1" s="1"/>
  <c r="CH16" i="1"/>
  <c r="HL16" i="1"/>
  <c r="HN16" i="1" s="1"/>
  <c r="CH18" i="1"/>
  <c r="HL18" i="1"/>
  <c r="HN18" i="1" s="1"/>
  <c r="HL20" i="1"/>
  <c r="HN20" i="1" s="1"/>
  <c r="HL22" i="1"/>
  <c r="HN22" i="1" s="1"/>
  <c r="IB22" i="1"/>
  <c r="ID22" i="1" s="1"/>
  <c r="HL24" i="1"/>
  <c r="HN24" i="1" s="1"/>
  <c r="IB24" i="1"/>
  <c r="ID24" i="1" s="1"/>
  <c r="HL26" i="1"/>
  <c r="HN26" i="1" s="1"/>
  <c r="IB26" i="1"/>
  <c r="HI28" i="1"/>
  <c r="HM28" i="1"/>
  <c r="HQ28" i="1"/>
  <c r="IB28" i="1"/>
  <c r="ID28" i="1" s="1"/>
  <c r="IL28" i="1"/>
  <c r="HH28" i="1"/>
  <c r="HL29" i="1"/>
  <c r="HN29" i="1" s="1"/>
  <c r="HQ29" i="1"/>
  <c r="HP30" i="1"/>
  <c r="IB31" i="1"/>
  <c r="ID31" i="1" s="1"/>
  <c r="EX31" i="1"/>
  <c r="HH31" i="1"/>
  <c r="HJ31" i="1" s="1"/>
  <c r="HI32" i="1"/>
  <c r="HX32" i="1"/>
  <c r="DZ32" i="1"/>
  <c r="IL32" i="1"/>
  <c r="HL33" i="1"/>
  <c r="HN33" i="1" s="1"/>
  <c r="HQ33" i="1"/>
  <c r="DV33" i="1"/>
  <c r="IB33" i="1"/>
  <c r="ID33" i="1" s="1"/>
  <c r="EX33" i="1"/>
  <c r="GH33" i="1"/>
  <c r="HH33" i="1"/>
  <c r="J34" i="1"/>
  <c r="HV34" i="1"/>
  <c r="DN34" i="1"/>
  <c r="HY34" i="1"/>
  <c r="ID34" i="1"/>
  <c r="IH34" i="1"/>
  <c r="BN35" i="1"/>
  <c r="IB35" i="1"/>
  <c r="ID35" i="1" s="1"/>
  <c r="EX35" i="1"/>
  <c r="GH35" i="1"/>
  <c r="HH35" i="1"/>
  <c r="HJ35" i="1" s="1"/>
  <c r="HV36" i="1"/>
  <c r="HY36" i="1"/>
  <c r="FZ36" i="1"/>
  <c r="IH36" i="1"/>
  <c r="BN37" i="1"/>
  <c r="DV37" i="1"/>
  <c r="IB37" i="1"/>
  <c r="ID37" i="1" s="1"/>
  <c r="EX37" i="1"/>
  <c r="GH37" i="1"/>
  <c r="HH37" i="1"/>
  <c r="HJ37" i="1" s="1"/>
  <c r="J38" i="1"/>
  <c r="BV38" i="1"/>
  <c r="HV38" i="1"/>
  <c r="DN38" i="1"/>
  <c r="HY38" i="1"/>
  <c r="ID38" i="1"/>
  <c r="FZ38" i="1"/>
  <c r="IH38" i="1"/>
  <c r="BN39" i="1"/>
  <c r="HU39" i="1"/>
  <c r="HV39" i="1" s="1"/>
  <c r="CP39" i="1"/>
  <c r="DV39" i="1"/>
  <c r="FB39" i="1"/>
  <c r="GH39" i="1"/>
  <c r="HX39" i="1"/>
  <c r="HZ39" i="1" s="1"/>
  <c r="HI40" i="1"/>
  <c r="DN40" i="1"/>
  <c r="HX40" i="1"/>
  <c r="HZ40" i="1" s="1"/>
  <c r="DZ40" i="1"/>
  <c r="ET40" i="1"/>
  <c r="FZ40" i="1"/>
  <c r="HF40" i="1"/>
  <c r="HU40" i="1"/>
  <c r="HV40" i="1" s="1"/>
  <c r="HL41" i="1"/>
  <c r="HN41" i="1" s="1"/>
  <c r="R41" i="1"/>
  <c r="AX41" i="1"/>
  <c r="CD41" i="1"/>
  <c r="HT41" i="1"/>
  <c r="HV41" i="1" s="1"/>
  <c r="EL41" i="1"/>
  <c r="GX41" i="1"/>
  <c r="J42" i="1"/>
  <c r="AP42" i="1"/>
  <c r="HQ42" i="1"/>
  <c r="ET42" i="1"/>
  <c r="HF42" i="1"/>
  <c r="HU42" i="1"/>
  <c r="HV42" i="1" s="1"/>
  <c r="HL43" i="1"/>
  <c r="HN43" i="1" s="1"/>
  <c r="R43" i="1"/>
  <c r="AX43" i="1"/>
  <c r="CD43" i="1"/>
  <c r="HT43" i="1"/>
  <c r="HV43" i="1" s="1"/>
  <c r="EL43" i="1"/>
  <c r="IB43" i="1"/>
  <c r="ID43" i="1" s="1"/>
  <c r="EX43" i="1"/>
  <c r="IK43" i="1"/>
  <c r="IL43" i="1" s="1"/>
  <c r="FR43" i="1"/>
  <c r="GX43" i="1"/>
  <c r="HI44" i="1"/>
  <c r="DN44" i="1"/>
  <c r="HX44" i="1"/>
  <c r="HZ44" i="1" s="1"/>
  <c r="DZ44" i="1"/>
  <c r="ET44" i="1"/>
  <c r="FZ44" i="1"/>
  <c r="HF44" i="1"/>
  <c r="HU44" i="1"/>
  <c r="HV44" i="1" s="1"/>
  <c r="R45" i="1"/>
  <c r="AX45" i="1"/>
  <c r="CD45" i="1"/>
  <c r="HT45" i="1"/>
  <c r="HV45" i="1" s="1"/>
  <c r="EL45" i="1"/>
  <c r="IB45" i="1"/>
  <c r="ID45" i="1" s="1"/>
  <c r="EX45" i="1"/>
  <c r="J46" i="1"/>
  <c r="AP46" i="1"/>
  <c r="BV46" i="1"/>
  <c r="HI50" i="1"/>
  <c r="HM50" i="1"/>
  <c r="F50" i="1"/>
  <c r="HQ52" i="1"/>
  <c r="IH54" i="1"/>
  <c r="HL54" i="1"/>
  <c r="HI56" i="1"/>
  <c r="HM56" i="1"/>
  <c r="HT56" i="1"/>
  <c r="HV56" i="1" s="1"/>
  <c r="DF56" i="1"/>
  <c r="HX57" i="1"/>
  <c r="HZ57" i="1" s="1"/>
  <c r="ET57" i="1"/>
  <c r="IB66" i="1"/>
  <c r="ID66" i="1" s="1"/>
  <c r="EX66" i="1"/>
  <c r="HH66" i="1"/>
  <c r="CH67" i="1"/>
  <c r="HU67" i="1"/>
  <c r="HX67" i="1"/>
  <c r="DZ67" i="1"/>
  <c r="HP10" i="1"/>
  <c r="HR10" i="1" s="1"/>
  <c r="HH11" i="1"/>
  <c r="HJ11" i="1" s="1"/>
  <c r="HX11" i="1"/>
  <c r="HP12" i="1"/>
  <c r="HR12" i="1" s="1"/>
  <c r="HP14" i="1"/>
  <c r="HR14" i="1" s="1"/>
  <c r="HH15" i="1"/>
  <c r="HJ15" i="1" s="1"/>
  <c r="L86" i="1"/>
  <c r="Q86" i="1"/>
  <c r="AB86" i="1"/>
  <c r="AG86" i="1"/>
  <c r="AR86" i="1"/>
  <c r="AW86" i="1"/>
  <c r="BH86" i="1"/>
  <c r="BM86" i="1"/>
  <c r="BX86" i="1"/>
  <c r="CC86" i="1"/>
  <c r="CJ86" i="1"/>
  <c r="CO86" i="1"/>
  <c r="CZ86" i="1"/>
  <c r="DE86" i="1"/>
  <c r="DP86" i="1"/>
  <c r="DP91" i="1" s="1"/>
  <c r="DU86" i="1"/>
  <c r="DU88" i="1" s="1"/>
  <c r="EF86" i="1"/>
  <c r="EK86" i="1"/>
  <c r="EV86" i="1"/>
  <c r="FA86" i="1"/>
  <c r="FL86" i="1"/>
  <c r="FQ86" i="1"/>
  <c r="GB86" i="1"/>
  <c r="GG86" i="1"/>
  <c r="HM6" i="1"/>
  <c r="F8" i="1"/>
  <c r="DZ8" i="1"/>
  <c r="F10" i="1"/>
  <c r="DZ10" i="1"/>
  <c r="F12" i="1"/>
  <c r="DZ12" i="1"/>
  <c r="F14" i="1"/>
  <c r="DZ14" i="1"/>
  <c r="F16" i="1"/>
  <c r="DZ16" i="1"/>
  <c r="F18" i="1"/>
  <c r="DZ18" i="1"/>
  <c r="F20" i="1"/>
  <c r="DZ20" i="1"/>
  <c r="F22" i="1"/>
  <c r="DZ22" i="1"/>
  <c r="F24" i="1"/>
  <c r="DZ24" i="1"/>
  <c r="F26" i="1"/>
  <c r="DZ26" i="1"/>
  <c r="F28" i="1"/>
  <c r="HT28" i="1"/>
  <c r="HV28" i="1" s="1"/>
  <c r="HX28" i="1"/>
  <c r="HZ28" i="1" s="1"/>
  <c r="HI29" i="1"/>
  <c r="AX29" i="1"/>
  <c r="FR29" i="1"/>
  <c r="HX29" i="1"/>
  <c r="HZ29" i="1" s="1"/>
  <c r="HH30" i="1"/>
  <c r="HJ30" i="1" s="1"/>
  <c r="F30" i="1"/>
  <c r="HL30" i="1"/>
  <c r="AP30" i="1"/>
  <c r="HQ30" i="1"/>
  <c r="ET30" i="1"/>
  <c r="R31" i="1"/>
  <c r="HP31" i="1"/>
  <c r="HR31" i="1" s="1"/>
  <c r="CD31" i="1"/>
  <c r="EL31" i="1"/>
  <c r="GX31" i="1"/>
  <c r="J32" i="1"/>
  <c r="BV32" i="1"/>
  <c r="HV32" i="1"/>
  <c r="DN32" i="1"/>
  <c r="HY32" i="1"/>
  <c r="FZ32" i="1"/>
  <c r="HI33" i="1"/>
  <c r="AX33" i="1"/>
  <c r="HU33" i="1"/>
  <c r="HV33" i="1" s="1"/>
  <c r="CP33" i="1"/>
  <c r="EL33" i="1"/>
  <c r="GX33" i="1"/>
  <c r="Z34" i="1"/>
  <c r="ED34" i="1"/>
  <c r="HP34" i="1"/>
  <c r="HR34" i="1" s="1"/>
  <c r="IK34" i="1"/>
  <c r="IL34" i="1" s="1"/>
  <c r="R35" i="1"/>
  <c r="HP35" i="1"/>
  <c r="HR35" i="1" s="1"/>
  <c r="CD35" i="1"/>
  <c r="EL35" i="1"/>
  <c r="GX35" i="1"/>
  <c r="Z36" i="1"/>
  <c r="ED36" i="1"/>
  <c r="GP36" i="1"/>
  <c r="HP36" i="1"/>
  <c r="HR36" i="1" s="1"/>
  <c r="R37" i="1"/>
  <c r="HP37" i="1"/>
  <c r="HR37" i="1" s="1"/>
  <c r="CD37" i="1"/>
  <c r="EL37" i="1"/>
  <c r="GX37" i="1"/>
  <c r="Z38" i="1"/>
  <c r="ED38" i="1"/>
  <c r="GP38" i="1"/>
  <c r="HP38" i="1"/>
  <c r="HR38" i="1" s="1"/>
  <c r="R39" i="1"/>
  <c r="HP39" i="1"/>
  <c r="HR39" i="1" s="1"/>
  <c r="IL39" i="1"/>
  <c r="HH39" i="1"/>
  <c r="HJ39" i="1" s="1"/>
  <c r="J40" i="1"/>
  <c r="AP40" i="1"/>
  <c r="BV40" i="1"/>
  <c r="HI41" i="1"/>
  <c r="FB41" i="1"/>
  <c r="BF42" i="1"/>
  <c r="CX42" i="1"/>
  <c r="HX42" i="1"/>
  <c r="HZ42" i="1" s="1"/>
  <c r="DZ42" i="1"/>
  <c r="IL42" i="1"/>
  <c r="HI43" i="1"/>
  <c r="J44" i="1"/>
  <c r="AP44" i="1"/>
  <c r="BV44" i="1"/>
  <c r="HI45" i="1"/>
  <c r="GH45" i="1"/>
  <c r="HQ46" i="1"/>
  <c r="CX46" i="1"/>
  <c r="ED46" i="1"/>
  <c r="IL46" i="1"/>
  <c r="GP46" i="1"/>
  <c r="HB46" i="1"/>
  <c r="IB46" i="1"/>
  <c r="ID46" i="1" s="1"/>
  <c r="IH46" i="1"/>
  <c r="AH47" i="1"/>
  <c r="DN47" i="1"/>
  <c r="HT47" i="1"/>
  <c r="GT47" i="1"/>
  <c r="HY47" i="1"/>
  <c r="HZ47" i="1" s="1"/>
  <c r="HT48" i="1"/>
  <c r="HV48" i="1" s="1"/>
  <c r="DF48" i="1"/>
  <c r="HY48" i="1"/>
  <c r="HZ48" i="1" s="1"/>
  <c r="DZ48" i="1"/>
  <c r="N49" i="1"/>
  <c r="HI49" i="1"/>
  <c r="HZ49" i="1"/>
  <c r="FJ49" i="1"/>
  <c r="IJ49" i="1"/>
  <c r="IL49" i="1" s="1"/>
  <c r="AH52" i="1"/>
  <c r="HL52" i="1"/>
  <c r="ID56" i="1"/>
  <c r="BB65" i="1"/>
  <c r="HP65" i="1"/>
  <c r="FJ28" i="1"/>
  <c r="IJ29" i="1"/>
  <c r="FJ30" i="1"/>
  <c r="DF31" i="1"/>
  <c r="IJ31" i="1"/>
  <c r="IL31" i="1" s="1"/>
  <c r="FJ32" i="1"/>
  <c r="DF33" i="1"/>
  <c r="IJ33" i="1"/>
  <c r="IL33" i="1" s="1"/>
  <c r="DF35" i="1"/>
  <c r="IJ35" i="1"/>
  <c r="IL35" i="1" s="1"/>
  <c r="FJ36" i="1"/>
  <c r="DF37" i="1"/>
  <c r="FJ38" i="1"/>
  <c r="DF39" i="1"/>
  <c r="FJ40" i="1"/>
  <c r="DF41" i="1"/>
  <c r="IJ41" i="1"/>
  <c r="IL41" i="1" s="1"/>
  <c r="FJ42" i="1"/>
  <c r="DF43" i="1"/>
  <c r="FJ44" i="1"/>
  <c r="DF45" i="1"/>
  <c r="IJ45" i="1"/>
  <c r="IL45" i="1" s="1"/>
  <c r="FJ46" i="1"/>
  <c r="ED47" i="1"/>
  <c r="IF47" i="1"/>
  <c r="IH47" i="1" s="1"/>
  <c r="IC47" i="1"/>
  <c r="ID47" i="1" s="1"/>
  <c r="EX47" i="1"/>
  <c r="IJ47" i="1"/>
  <c r="IL47" i="1" s="1"/>
  <c r="HR48" i="1"/>
  <c r="HL48" i="1"/>
  <c r="HT50" i="1"/>
  <c r="HV50" i="1" s="1"/>
  <c r="DF50" i="1"/>
  <c r="HY50" i="1"/>
  <c r="HZ50" i="1" s="1"/>
  <c r="DZ50" i="1"/>
  <c r="HM51" i="1"/>
  <c r="HX51" i="1"/>
  <c r="HZ51" i="1" s="1"/>
  <c r="HI52" i="1"/>
  <c r="HJ52" i="1" s="1"/>
  <c r="HM52" i="1"/>
  <c r="F52" i="1"/>
  <c r="HH53" i="1"/>
  <c r="HQ53" i="1"/>
  <c r="HH54" i="1"/>
  <c r="HJ54" i="1" s="1"/>
  <c r="IC54" i="1"/>
  <c r="HQ54" i="1"/>
  <c r="HR54" i="1" s="1"/>
  <c r="HQ55" i="1"/>
  <c r="HR55" i="1" s="1"/>
  <c r="ED55" i="1"/>
  <c r="IF55" i="1"/>
  <c r="IH55" i="1" s="1"/>
  <c r="HP56" i="1"/>
  <c r="HR56" i="1" s="1"/>
  <c r="HL56" i="1"/>
  <c r="HN56" i="1" s="1"/>
  <c r="HH58" i="1"/>
  <c r="HJ58" i="1" s="1"/>
  <c r="HL58" i="1"/>
  <c r="HX59" i="1"/>
  <c r="HZ59" i="1" s="1"/>
  <c r="ET59" i="1"/>
  <c r="HT59" i="1"/>
  <c r="HV59" i="1" s="1"/>
  <c r="IL59" i="1"/>
  <c r="HQ60" i="1"/>
  <c r="HR60" i="1" s="1"/>
  <c r="IB70" i="1"/>
  <c r="ID70" i="1" s="1"/>
  <c r="EX70" i="1"/>
  <c r="HH70" i="1"/>
  <c r="CH71" i="1"/>
  <c r="HU71" i="1"/>
  <c r="HX71" i="1"/>
  <c r="DZ71" i="1"/>
  <c r="IL71" i="1"/>
  <c r="HP73" i="1"/>
  <c r="AH79" i="1"/>
  <c r="HL79" i="1"/>
  <c r="HH83" i="1"/>
  <c r="F83" i="1"/>
  <c r="HL83" i="1"/>
  <c r="DR83" i="1"/>
  <c r="HQ83" i="1"/>
  <c r="HU29" i="1"/>
  <c r="HV29" i="1" s="1"/>
  <c r="HM30" i="1"/>
  <c r="HU31" i="1"/>
  <c r="HV31" i="1" s="1"/>
  <c r="HM32" i="1"/>
  <c r="IF33" i="1"/>
  <c r="IH33" i="1" s="1"/>
  <c r="HM34" i="1"/>
  <c r="HU35" i="1"/>
  <c r="HV35" i="1" s="1"/>
  <c r="HM36" i="1"/>
  <c r="HU37" i="1"/>
  <c r="HV37" i="1" s="1"/>
  <c r="IK37" i="1"/>
  <c r="IL37" i="1" s="1"/>
  <c r="HM38" i="1"/>
  <c r="HM40" i="1"/>
  <c r="HM42" i="1"/>
  <c r="HM44" i="1"/>
  <c r="HM46" i="1"/>
  <c r="HH47" i="1"/>
  <c r="HJ47" i="1" s="1"/>
  <c r="HL47" i="1"/>
  <c r="HP47" i="1"/>
  <c r="HR47" i="1" s="1"/>
  <c r="BR47" i="1"/>
  <c r="HH48" i="1"/>
  <c r="BR48" i="1"/>
  <c r="DJ48" i="1"/>
  <c r="IC48" i="1"/>
  <c r="ID48" i="1" s="1"/>
  <c r="ED49" i="1"/>
  <c r="IF49" i="1"/>
  <c r="IH49" i="1" s="1"/>
  <c r="IC49" i="1"/>
  <c r="ID49" i="1" s="1"/>
  <c r="EX49" i="1"/>
  <c r="HP50" i="1"/>
  <c r="HL50" i="1"/>
  <c r="HN50" i="1" s="1"/>
  <c r="HI51" i="1"/>
  <c r="HJ51" i="1" s="1"/>
  <c r="HT52" i="1"/>
  <c r="HV52" i="1" s="1"/>
  <c r="DF52" i="1"/>
  <c r="HY52" i="1"/>
  <c r="HZ52" i="1" s="1"/>
  <c r="DZ52" i="1"/>
  <c r="ID52" i="1"/>
  <c r="HM53" i="1"/>
  <c r="HX53" i="1"/>
  <c r="HY53" i="1"/>
  <c r="HI54" i="1"/>
  <c r="HM54" i="1"/>
  <c r="F54" i="1"/>
  <c r="IJ54" i="1"/>
  <c r="IL54" i="1" s="1"/>
  <c r="HH55" i="1"/>
  <c r="HJ55" i="1" s="1"/>
  <c r="HX55" i="1"/>
  <c r="HZ55" i="1" s="1"/>
  <c r="IJ55" i="1"/>
  <c r="IL55" i="1" s="1"/>
  <c r="DJ56" i="1"/>
  <c r="IH56" i="1"/>
  <c r="EP56" i="1"/>
  <c r="IJ56" i="1"/>
  <c r="IL56" i="1" s="1"/>
  <c r="FV56" i="1"/>
  <c r="HP57" i="1"/>
  <c r="BJ57" i="1"/>
  <c r="CL57" i="1"/>
  <c r="HI58" i="1"/>
  <c r="HM58" i="1"/>
  <c r="CT58" i="1"/>
  <c r="HT58" i="1"/>
  <c r="HV58" i="1" s="1"/>
  <c r="DF58" i="1"/>
  <c r="HZ58" i="1"/>
  <c r="IC58" i="1"/>
  <c r="ID58" i="1" s="1"/>
  <c r="FF58" i="1"/>
  <c r="GL58" i="1"/>
  <c r="HH59" i="1"/>
  <c r="HJ59" i="1" s="1"/>
  <c r="HL59" i="1"/>
  <c r="HN59" i="1" s="1"/>
  <c r="J59" i="1"/>
  <c r="AD59" i="1"/>
  <c r="HQ59" i="1"/>
  <c r="HR59" i="1" s="1"/>
  <c r="BJ59" i="1"/>
  <c r="F60" i="1"/>
  <c r="AL60" i="1"/>
  <c r="BR60" i="1"/>
  <c r="HI61" i="1"/>
  <c r="HJ61" i="1" s="1"/>
  <c r="HP61" i="1"/>
  <c r="HM62" i="1"/>
  <c r="EX74" i="1"/>
  <c r="IB74" i="1"/>
  <c r="DF30" i="1"/>
  <c r="ED31" i="1"/>
  <c r="DF34" i="1"/>
  <c r="ED35" i="1"/>
  <c r="DF36" i="1"/>
  <c r="ED37" i="1"/>
  <c r="DF38" i="1"/>
  <c r="DF42" i="1"/>
  <c r="HM47" i="1"/>
  <c r="EH47" i="1"/>
  <c r="HI48" i="1"/>
  <c r="HM48" i="1"/>
  <c r="F48" i="1"/>
  <c r="IJ48" i="1"/>
  <c r="IL48" i="1" s="1"/>
  <c r="HH49" i="1"/>
  <c r="HJ49" i="1" s="1"/>
  <c r="HQ49" i="1"/>
  <c r="HT49" i="1"/>
  <c r="HH50" i="1"/>
  <c r="HQ50" i="1"/>
  <c r="ED51" i="1"/>
  <c r="IF51" i="1"/>
  <c r="IH51" i="1" s="1"/>
  <c r="IC51" i="1"/>
  <c r="ID51" i="1" s="1"/>
  <c r="EX51" i="1"/>
  <c r="IJ51" i="1"/>
  <c r="IL51" i="1" s="1"/>
  <c r="HP52" i="1"/>
  <c r="HI53" i="1"/>
  <c r="HT54" i="1"/>
  <c r="HV54" i="1" s="1"/>
  <c r="DF54" i="1"/>
  <c r="HY54" i="1"/>
  <c r="HZ54" i="1" s="1"/>
  <c r="DZ54" i="1"/>
  <c r="HB54" i="1"/>
  <c r="ID54" i="1"/>
  <c r="HM55" i="1"/>
  <c r="N55" i="1"/>
  <c r="AT55" i="1"/>
  <c r="BZ55" i="1"/>
  <c r="BZ86" i="1" s="1"/>
  <c r="DB55" i="1"/>
  <c r="EH55" i="1"/>
  <c r="FN55" i="1"/>
  <c r="GT55" i="1"/>
  <c r="HT55" i="1"/>
  <c r="HH56" i="1"/>
  <c r="AL56" i="1"/>
  <c r="BR56" i="1"/>
  <c r="GL56" i="1"/>
  <c r="HH57" i="1"/>
  <c r="HJ57" i="1" s="1"/>
  <c r="N57" i="1"/>
  <c r="BZ57" i="1"/>
  <c r="DB57" i="1"/>
  <c r="ED57" i="1"/>
  <c r="IF57" i="1"/>
  <c r="IH57" i="1" s="1"/>
  <c r="IC57" i="1"/>
  <c r="ID57" i="1" s="1"/>
  <c r="FN57" i="1"/>
  <c r="V58" i="1"/>
  <c r="HP58" i="1"/>
  <c r="HR58" i="1" s="1"/>
  <c r="HY58" i="1"/>
  <c r="CL59" i="1"/>
  <c r="DR59" i="1"/>
  <c r="ED59" i="1"/>
  <c r="IF59" i="1"/>
  <c r="IH59" i="1" s="1"/>
  <c r="GD59" i="1"/>
  <c r="HI60" i="1"/>
  <c r="HM60" i="1"/>
  <c r="DZ60" i="1"/>
  <c r="HX60" i="1"/>
  <c r="IB62" i="1"/>
  <c r="ID62" i="1" s="1"/>
  <c r="EX62" i="1"/>
  <c r="HH62" i="1"/>
  <c r="CH63" i="1"/>
  <c r="HU63" i="1"/>
  <c r="HX63" i="1"/>
  <c r="HZ63" i="1" s="1"/>
  <c r="DZ63" i="1"/>
  <c r="HN64" i="1"/>
  <c r="HM66" i="1"/>
  <c r="HM72" i="1"/>
  <c r="HN72" i="1" s="1"/>
  <c r="DN76" i="1"/>
  <c r="HT76" i="1"/>
  <c r="HU47" i="1"/>
  <c r="BB48" i="1"/>
  <c r="HP49" i="1"/>
  <c r="HR49" i="1" s="1"/>
  <c r="HU49" i="1"/>
  <c r="HP51" i="1"/>
  <c r="HR51" i="1" s="1"/>
  <c r="HU51" i="1"/>
  <c r="HV51" i="1" s="1"/>
  <c r="HP53" i="1"/>
  <c r="HU53" i="1"/>
  <c r="HV53" i="1" s="1"/>
  <c r="EX55" i="1"/>
  <c r="HU55" i="1"/>
  <c r="F56" i="1"/>
  <c r="BB56" i="1"/>
  <c r="DZ56" i="1"/>
  <c r="EX57" i="1"/>
  <c r="F58" i="1"/>
  <c r="BB58" i="1"/>
  <c r="DZ58" i="1"/>
  <c r="EX59" i="1"/>
  <c r="BB60" i="1"/>
  <c r="DN60" i="1"/>
  <c r="HY60" i="1"/>
  <c r="ET60" i="1"/>
  <c r="EX60" i="1"/>
  <c r="FZ60" i="1"/>
  <c r="HF60" i="1"/>
  <c r="F61" i="1"/>
  <c r="AH61" i="1"/>
  <c r="BN61" i="1"/>
  <c r="CP61" i="1"/>
  <c r="DV61" i="1"/>
  <c r="FB61" i="1"/>
  <c r="GH61" i="1"/>
  <c r="HU61" i="1"/>
  <c r="R62" i="1"/>
  <c r="HP62" i="1"/>
  <c r="HR62" i="1" s="1"/>
  <c r="CD62" i="1"/>
  <c r="EL62" i="1"/>
  <c r="GX62" i="1"/>
  <c r="J63" i="1"/>
  <c r="BV63" i="1"/>
  <c r="HV63" i="1"/>
  <c r="DN63" i="1"/>
  <c r="HY63" i="1"/>
  <c r="FZ63" i="1"/>
  <c r="HI64" i="1"/>
  <c r="AX64" i="1"/>
  <c r="FR64" i="1"/>
  <c r="HX64" i="1"/>
  <c r="HZ64" i="1" s="1"/>
  <c r="HH65" i="1"/>
  <c r="F65" i="1"/>
  <c r="HL65" i="1"/>
  <c r="HN65" i="1" s="1"/>
  <c r="AP65" i="1"/>
  <c r="HQ65" i="1"/>
  <c r="ET65" i="1"/>
  <c r="HF65" i="1"/>
  <c r="HU65" i="1"/>
  <c r="HV65" i="1" s="1"/>
  <c r="R66" i="1"/>
  <c r="HP66" i="1"/>
  <c r="HR66" i="1" s="1"/>
  <c r="CD66" i="1"/>
  <c r="EL66" i="1"/>
  <c r="GX66" i="1"/>
  <c r="J67" i="1"/>
  <c r="BV67" i="1"/>
  <c r="HV67" i="1"/>
  <c r="HY67" i="1"/>
  <c r="FZ67" i="1"/>
  <c r="HI68" i="1"/>
  <c r="FR68" i="1"/>
  <c r="HX68" i="1"/>
  <c r="HZ68" i="1" s="1"/>
  <c r="HH69" i="1"/>
  <c r="F69" i="1"/>
  <c r="HL69" i="1"/>
  <c r="HN69" i="1" s="1"/>
  <c r="AP69" i="1"/>
  <c r="HQ69" i="1"/>
  <c r="HR69" i="1" s="1"/>
  <c r="ET69" i="1"/>
  <c r="HU69" i="1"/>
  <c r="IK69" i="1"/>
  <c r="HP70" i="1"/>
  <c r="HR70" i="1" s="1"/>
  <c r="HM70" i="1"/>
  <c r="J71" i="1"/>
  <c r="BV71" i="1"/>
  <c r="HV71" i="1"/>
  <c r="HY71" i="1"/>
  <c r="FZ71" i="1"/>
  <c r="HI72" i="1"/>
  <c r="AX72" i="1"/>
  <c r="FR72" i="1"/>
  <c r="HX72" i="1"/>
  <c r="HZ72" i="1" s="1"/>
  <c r="HH73" i="1"/>
  <c r="HJ73" i="1" s="1"/>
  <c r="F73" i="1"/>
  <c r="HL73" i="1"/>
  <c r="HN73" i="1" s="1"/>
  <c r="AP73" i="1"/>
  <c r="HQ73" i="1"/>
  <c r="ET73" i="1"/>
  <c r="HF73" i="1"/>
  <c r="HU73" i="1"/>
  <c r="HL75" i="1"/>
  <c r="HN75" i="1" s="1"/>
  <c r="HR75" i="1"/>
  <c r="DN78" i="1"/>
  <c r="HT78" i="1"/>
  <c r="HV78" i="1" s="1"/>
  <c r="AH81" i="1"/>
  <c r="HL81" i="1"/>
  <c r="HL49" i="1"/>
  <c r="HN49" i="1" s="1"/>
  <c r="HL51" i="1"/>
  <c r="HL53" i="1"/>
  <c r="HN53" i="1" s="1"/>
  <c r="HL55" i="1"/>
  <c r="HN55" i="1" s="1"/>
  <c r="HL57" i="1"/>
  <c r="HN57" i="1" s="1"/>
  <c r="HQ57" i="1"/>
  <c r="CP60" i="1"/>
  <c r="DV60" i="1"/>
  <c r="FB60" i="1"/>
  <c r="GH60" i="1"/>
  <c r="HQ61" i="1"/>
  <c r="BV61" i="1"/>
  <c r="CX61" i="1"/>
  <c r="IL61" i="1"/>
  <c r="GP61" i="1"/>
  <c r="HL62" i="1"/>
  <c r="HN62" i="1" s="1"/>
  <c r="AH62" i="1"/>
  <c r="CP62" i="1"/>
  <c r="FB62" i="1"/>
  <c r="HM63" i="1"/>
  <c r="Z63" i="1"/>
  <c r="ED63" i="1"/>
  <c r="GP63" i="1"/>
  <c r="HP63" i="1"/>
  <c r="IH63" i="1"/>
  <c r="BN64" i="1"/>
  <c r="DV64" i="1"/>
  <c r="IB64" i="1"/>
  <c r="ID64" i="1" s="1"/>
  <c r="EX64" i="1"/>
  <c r="HH64" i="1"/>
  <c r="HI65" i="1"/>
  <c r="BF65" i="1"/>
  <c r="CX65" i="1"/>
  <c r="HX65" i="1"/>
  <c r="HZ65" i="1" s="1"/>
  <c r="DZ65" i="1"/>
  <c r="IL65" i="1"/>
  <c r="HL66" i="1"/>
  <c r="AH66" i="1"/>
  <c r="CP66" i="1"/>
  <c r="FB66" i="1"/>
  <c r="HM67" i="1"/>
  <c r="Z67" i="1"/>
  <c r="GP67" i="1"/>
  <c r="HP67" i="1"/>
  <c r="IB68" i="1"/>
  <c r="ID68" i="1" s="1"/>
  <c r="EX68" i="1"/>
  <c r="GH68" i="1"/>
  <c r="HH68" i="1"/>
  <c r="HJ68" i="1" s="1"/>
  <c r="HI69" i="1"/>
  <c r="BF69" i="1"/>
  <c r="CX69" i="1"/>
  <c r="HX69" i="1"/>
  <c r="HZ69" i="1" s="1"/>
  <c r="DZ69" i="1"/>
  <c r="IL69" i="1"/>
  <c r="HL70" i="1"/>
  <c r="HM71" i="1"/>
  <c r="Z71" i="1"/>
  <c r="GP71" i="1"/>
  <c r="HP71" i="1"/>
  <c r="BN72" i="1"/>
  <c r="DV72" i="1"/>
  <c r="IB72" i="1"/>
  <c r="ID72" i="1" s="1"/>
  <c r="EX72" i="1"/>
  <c r="GH72" i="1"/>
  <c r="HH72" i="1"/>
  <c r="HJ72" i="1" s="1"/>
  <c r="HI73" i="1"/>
  <c r="BF73" i="1"/>
  <c r="CX73" i="1"/>
  <c r="HX73" i="1"/>
  <c r="HZ73" i="1" s="1"/>
  <c r="DZ73" i="1"/>
  <c r="IL73" i="1"/>
  <c r="DN80" i="1"/>
  <c r="HT80" i="1"/>
  <c r="HX84" i="1"/>
  <c r="FV84" i="1"/>
  <c r="DZ47" i="1"/>
  <c r="F49" i="1"/>
  <c r="DZ49" i="1"/>
  <c r="F51" i="1"/>
  <c r="DZ51" i="1"/>
  <c r="F53" i="1"/>
  <c r="DZ53" i="1"/>
  <c r="F57" i="1"/>
  <c r="HL60" i="1"/>
  <c r="CX60" i="1"/>
  <c r="ED60" i="1"/>
  <c r="FJ60" i="1"/>
  <c r="GP60" i="1"/>
  <c r="HH60" i="1"/>
  <c r="HJ60" i="1" s="1"/>
  <c r="HL61" i="1"/>
  <c r="HM61" i="1"/>
  <c r="R61" i="1"/>
  <c r="CD61" i="1"/>
  <c r="HT61" i="1"/>
  <c r="HX61" i="1"/>
  <c r="HZ61" i="1" s="1"/>
  <c r="EL61" i="1"/>
  <c r="FR61" i="1"/>
  <c r="GX61" i="1"/>
  <c r="HI62" i="1"/>
  <c r="AX62" i="1"/>
  <c r="FR62" i="1"/>
  <c r="HX62" i="1"/>
  <c r="HZ62" i="1" s="1"/>
  <c r="HH63" i="1"/>
  <c r="HJ63" i="1" s="1"/>
  <c r="F63" i="1"/>
  <c r="HL63" i="1"/>
  <c r="HN63" i="1" s="1"/>
  <c r="HQ63" i="1"/>
  <c r="ET63" i="1"/>
  <c r="HF63" i="1"/>
  <c r="R64" i="1"/>
  <c r="HP64" i="1"/>
  <c r="HR64" i="1" s="1"/>
  <c r="CD64" i="1"/>
  <c r="EL64" i="1"/>
  <c r="J65" i="1"/>
  <c r="BV65" i="1"/>
  <c r="DN65" i="1"/>
  <c r="FZ65" i="1"/>
  <c r="HI66" i="1"/>
  <c r="AX66" i="1"/>
  <c r="FR66" i="1"/>
  <c r="HX66" i="1"/>
  <c r="HZ66" i="1" s="1"/>
  <c r="HH67" i="1"/>
  <c r="HJ67" i="1" s="1"/>
  <c r="F67" i="1"/>
  <c r="HL67" i="1"/>
  <c r="HN67" i="1" s="1"/>
  <c r="AP67" i="1"/>
  <c r="HQ67" i="1"/>
  <c r="IG67" i="1"/>
  <c r="IH67" i="1" s="1"/>
  <c r="ED67" i="1"/>
  <c r="HF67" i="1"/>
  <c r="R68" i="1"/>
  <c r="HP68" i="1"/>
  <c r="HR68" i="1" s="1"/>
  <c r="EL68" i="1"/>
  <c r="GX68" i="1"/>
  <c r="HM68" i="1"/>
  <c r="HN68" i="1" s="1"/>
  <c r="J69" i="1"/>
  <c r="BV69" i="1"/>
  <c r="HV69" i="1"/>
  <c r="DN69" i="1"/>
  <c r="HI70" i="1"/>
  <c r="HX70" i="1"/>
  <c r="HZ70" i="1" s="1"/>
  <c r="HH71" i="1"/>
  <c r="HJ71" i="1" s="1"/>
  <c r="F71" i="1"/>
  <c r="HL71" i="1"/>
  <c r="HN71" i="1" s="1"/>
  <c r="AP71" i="1"/>
  <c r="HQ71" i="1"/>
  <c r="IG71" i="1"/>
  <c r="IH71" i="1" s="1"/>
  <c r="ED71" i="1"/>
  <c r="ET71" i="1"/>
  <c r="HF71" i="1"/>
  <c r="R72" i="1"/>
  <c r="HP72" i="1"/>
  <c r="HR72" i="1" s="1"/>
  <c r="CD72" i="1"/>
  <c r="EL72" i="1"/>
  <c r="GX72" i="1"/>
  <c r="J73" i="1"/>
  <c r="BV73" i="1"/>
  <c r="HV73" i="1"/>
  <c r="DN73" i="1"/>
  <c r="FZ73" i="1"/>
  <c r="HI74" i="1"/>
  <c r="HY74" i="1"/>
  <c r="IJ74" i="1"/>
  <c r="IL74" i="1" s="1"/>
  <c r="FJ74" i="1"/>
  <c r="AH77" i="1"/>
  <c r="HL77" i="1"/>
  <c r="HN77" i="1" s="1"/>
  <c r="HP82" i="1"/>
  <c r="HH82" i="1"/>
  <c r="DF60" i="1"/>
  <c r="IJ60" i="1"/>
  <c r="IL60" i="1" s="1"/>
  <c r="FJ61" i="1"/>
  <c r="DF62" i="1"/>
  <c r="FJ63" i="1"/>
  <c r="DF64" i="1"/>
  <c r="IJ64" i="1"/>
  <c r="IL64" i="1" s="1"/>
  <c r="FJ65" i="1"/>
  <c r="DF66" i="1"/>
  <c r="IJ66" i="1"/>
  <c r="IL66" i="1" s="1"/>
  <c r="IJ68" i="1"/>
  <c r="IL68" i="1" s="1"/>
  <c r="IJ70" i="1"/>
  <c r="IL70" i="1" s="1"/>
  <c r="FJ71" i="1"/>
  <c r="DF72" i="1"/>
  <c r="FJ73" i="1"/>
  <c r="IH74" i="1"/>
  <c r="IC74" i="1"/>
  <c r="HH75" i="1"/>
  <c r="HJ75" i="1" s="1"/>
  <c r="J75" i="1"/>
  <c r="BJ75" i="1"/>
  <c r="DJ75" i="1"/>
  <c r="EP75" i="1"/>
  <c r="IJ75" i="1"/>
  <c r="IL75" i="1" s="1"/>
  <c r="GL75" i="1"/>
  <c r="HH76" i="1"/>
  <c r="HJ76" i="1" s="1"/>
  <c r="N76" i="1"/>
  <c r="BZ76" i="1"/>
  <c r="DB76" i="1"/>
  <c r="ED76" i="1"/>
  <c r="IF76" i="1"/>
  <c r="IH76" i="1" s="1"/>
  <c r="FN76" i="1"/>
  <c r="HI77" i="1"/>
  <c r="HJ77" i="1" s="1"/>
  <c r="HM77" i="1"/>
  <c r="V77" i="1"/>
  <c r="HZ77" i="1"/>
  <c r="IJ77" i="1"/>
  <c r="IL77" i="1" s="1"/>
  <c r="GL77" i="1"/>
  <c r="HH78" i="1"/>
  <c r="HJ78" i="1" s="1"/>
  <c r="N78" i="1"/>
  <c r="BZ78" i="1"/>
  <c r="DB78" i="1"/>
  <c r="ED78" i="1"/>
  <c r="IF78" i="1"/>
  <c r="IH78" i="1" s="1"/>
  <c r="FN78" i="1"/>
  <c r="HI79" i="1"/>
  <c r="HJ79" i="1" s="1"/>
  <c r="HM79" i="1"/>
  <c r="V79" i="1"/>
  <c r="HZ79" i="1"/>
  <c r="IJ79" i="1"/>
  <c r="IL79" i="1" s="1"/>
  <c r="GL79" i="1"/>
  <c r="HH80" i="1"/>
  <c r="HJ80" i="1" s="1"/>
  <c r="N80" i="1"/>
  <c r="BZ80" i="1"/>
  <c r="DB80" i="1"/>
  <c r="ED80" i="1"/>
  <c r="IF80" i="1"/>
  <c r="IH80" i="1" s="1"/>
  <c r="FN80" i="1"/>
  <c r="HI81" i="1"/>
  <c r="HJ81" i="1" s="1"/>
  <c r="HM81" i="1"/>
  <c r="V81" i="1"/>
  <c r="HZ81" i="1"/>
  <c r="IJ81" i="1"/>
  <c r="IL81" i="1" s="1"/>
  <c r="GL81" i="1"/>
  <c r="HT82" i="1"/>
  <c r="DN82" i="1"/>
  <c r="EX82" i="1"/>
  <c r="HU62" i="1"/>
  <c r="HV62" i="1" s="1"/>
  <c r="IK62" i="1"/>
  <c r="IL62" i="1" s="1"/>
  <c r="HU64" i="1"/>
  <c r="HV64" i="1" s="1"/>
  <c r="HU66" i="1"/>
  <c r="HV66" i="1" s="1"/>
  <c r="HU68" i="1"/>
  <c r="HV68" i="1" s="1"/>
  <c r="HU70" i="1"/>
  <c r="HV70" i="1" s="1"/>
  <c r="HU72" i="1"/>
  <c r="HV72" i="1" s="1"/>
  <c r="IK72" i="1"/>
  <c r="IL72" i="1" s="1"/>
  <c r="HH74" i="1"/>
  <c r="HP74" i="1"/>
  <c r="HR74" i="1" s="1"/>
  <c r="HU74" i="1"/>
  <c r="HV74" i="1" s="1"/>
  <c r="HZ74" i="1"/>
  <c r="HL74" i="1"/>
  <c r="HI75" i="1"/>
  <c r="HM75" i="1"/>
  <c r="F75" i="1"/>
  <c r="HT75" i="1"/>
  <c r="HV75" i="1" s="1"/>
  <c r="HU76" i="1"/>
  <c r="HT77" i="1"/>
  <c r="HV77" i="1" s="1"/>
  <c r="DF77" i="1"/>
  <c r="HU78" i="1"/>
  <c r="HT79" i="1"/>
  <c r="HV79" i="1" s="1"/>
  <c r="DF79" i="1"/>
  <c r="HU80" i="1"/>
  <c r="HX80" i="1"/>
  <c r="HZ80" i="1" s="1"/>
  <c r="ET80" i="1"/>
  <c r="HT81" i="1"/>
  <c r="HV81" i="1" s="1"/>
  <c r="DF81" i="1"/>
  <c r="HM82" i="1"/>
  <c r="ED82" i="1"/>
  <c r="IF82" i="1"/>
  <c r="IH82" i="1" s="1"/>
  <c r="IC83" i="1"/>
  <c r="ID83" i="1" s="1"/>
  <c r="HQ84" i="1"/>
  <c r="CT84" i="1"/>
  <c r="HI84" i="1"/>
  <c r="DF61" i="1"/>
  <c r="ED62" i="1"/>
  <c r="DF63" i="1"/>
  <c r="ED64" i="1"/>
  <c r="DF65" i="1"/>
  <c r="DF67" i="1"/>
  <c r="DF69" i="1"/>
  <c r="DF71" i="1"/>
  <c r="ED72" i="1"/>
  <c r="HM74" i="1"/>
  <c r="CH74" i="1"/>
  <c r="ED74" i="1"/>
  <c r="AT75" i="1"/>
  <c r="BZ75" i="1"/>
  <c r="CT75" i="1"/>
  <c r="HZ75" i="1"/>
  <c r="ED75" i="1"/>
  <c r="EX75" i="1"/>
  <c r="IC75" i="1"/>
  <c r="ID75" i="1" s="1"/>
  <c r="FF75" i="1"/>
  <c r="FJ75" i="1"/>
  <c r="HL76" i="1"/>
  <c r="HN76" i="1" s="1"/>
  <c r="J76" i="1"/>
  <c r="AT76" i="1"/>
  <c r="HX76" i="1"/>
  <c r="HZ76" i="1" s="1"/>
  <c r="EH76" i="1"/>
  <c r="GT76" i="1"/>
  <c r="IJ76" i="1"/>
  <c r="IL76" i="1" s="1"/>
  <c r="HP77" i="1"/>
  <c r="HR77" i="1" s="1"/>
  <c r="CT77" i="1"/>
  <c r="FF77" i="1"/>
  <c r="HL78" i="1"/>
  <c r="HN78" i="1" s="1"/>
  <c r="J78" i="1"/>
  <c r="AT78" i="1"/>
  <c r="HX78" i="1"/>
  <c r="HZ78" i="1" s="1"/>
  <c r="EH78" i="1"/>
  <c r="GT78" i="1"/>
  <c r="IJ78" i="1"/>
  <c r="IL78" i="1" s="1"/>
  <c r="HP79" i="1"/>
  <c r="HR79" i="1" s="1"/>
  <c r="CT79" i="1"/>
  <c r="FF79" i="1"/>
  <c r="HL80" i="1"/>
  <c r="HN80" i="1" s="1"/>
  <c r="J80" i="1"/>
  <c r="AT80" i="1"/>
  <c r="EH80" i="1"/>
  <c r="GT80" i="1"/>
  <c r="IJ80" i="1"/>
  <c r="IL80" i="1" s="1"/>
  <c r="HP81" i="1"/>
  <c r="HR81" i="1" s="1"/>
  <c r="CT81" i="1"/>
  <c r="FF81" i="1"/>
  <c r="HU82" i="1"/>
  <c r="DR82" i="1"/>
  <c r="HX82" i="1"/>
  <c r="HZ82" i="1" s="1"/>
  <c r="ET82" i="1"/>
  <c r="HI83" i="1"/>
  <c r="HR84" i="1"/>
  <c r="DZ75" i="1"/>
  <c r="F77" i="1"/>
  <c r="BB77" i="1"/>
  <c r="DZ77" i="1"/>
  <c r="IC77" i="1"/>
  <c r="ID77" i="1" s="1"/>
  <c r="F79" i="1"/>
  <c r="BB79" i="1"/>
  <c r="DZ79" i="1"/>
  <c r="IC79" i="1"/>
  <c r="ID79" i="1" s="1"/>
  <c r="F81" i="1"/>
  <c r="BB81" i="1"/>
  <c r="DZ81" i="1"/>
  <c r="IC81" i="1"/>
  <c r="ID81" i="1" s="1"/>
  <c r="HI82" i="1"/>
  <c r="HQ82" i="1"/>
  <c r="FR82" i="1"/>
  <c r="GX82" i="1"/>
  <c r="HM83" i="1"/>
  <c r="Z83" i="1"/>
  <c r="BF83" i="1"/>
  <c r="DB83" i="1"/>
  <c r="DF83" i="1"/>
  <c r="EH83" i="1"/>
  <c r="FN83" i="1"/>
  <c r="GT83" i="1"/>
  <c r="HL84" i="1"/>
  <c r="HN84" i="1" s="1"/>
  <c r="HY84" i="1"/>
  <c r="IB84" i="1"/>
  <c r="ID84" i="1" s="1"/>
  <c r="FJ84" i="1"/>
  <c r="HH84" i="1"/>
  <c r="HN85" i="1"/>
  <c r="HI85" i="1"/>
  <c r="HJ85" i="1" s="1"/>
  <c r="IK85" i="1"/>
  <c r="IL85" i="1" s="1"/>
  <c r="ID85" i="1"/>
  <c r="HQ76" i="1"/>
  <c r="HR76" i="1" s="1"/>
  <c r="HQ78" i="1"/>
  <c r="HR78" i="1" s="1"/>
  <c r="HQ80" i="1"/>
  <c r="HR80" i="1" s="1"/>
  <c r="HN82" i="1"/>
  <c r="HP83" i="1"/>
  <c r="HR83" i="1" s="1"/>
  <c r="HU83" i="1"/>
  <c r="HV83" i="1" s="1"/>
  <c r="CH83" i="1"/>
  <c r="IH83" i="1"/>
  <c r="HU84" i="1"/>
  <c r="HV84" i="1" s="1"/>
  <c r="HV85" i="1"/>
  <c r="F76" i="1"/>
  <c r="F78" i="1"/>
  <c r="F80" i="1"/>
  <c r="DZ82" i="1"/>
  <c r="IB82" i="1"/>
  <c r="ID82" i="1" s="1"/>
  <c r="GH82" i="1"/>
  <c r="J83" i="1"/>
  <c r="AP83" i="1"/>
  <c r="BV83" i="1"/>
  <c r="EX83" i="1"/>
  <c r="GD83" i="1"/>
  <c r="GT85" i="1"/>
  <c r="GT86" i="1"/>
  <c r="HB86" i="1"/>
  <c r="IJ82" i="1"/>
  <c r="IL82" i="1" s="1"/>
  <c r="DZ83" i="1"/>
  <c r="IJ84" i="1"/>
  <c r="IL84" i="1" s="1"/>
  <c r="GX85" i="1"/>
  <c r="HB85" i="1"/>
  <c r="HC69" i="7" l="1"/>
  <c r="HC80" i="7"/>
  <c r="AT85" i="7"/>
  <c r="GX7" i="7"/>
  <c r="GX47" i="7"/>
  <c r="HO19" i="7"/>
  <c r="HO82" i="7"/>
  <c r="GX46" i="7"/>
  <c r="DJ85" i="7"/>
  <c r="HO4" i="7"/>
  <c r="HO12" i="7"/>
  <c r="HC46" i="7"/>
  <c r="GX40" i="7"/>
  <c r="GX17" i="7"/>
  <c r="GX12" i="7"/>
  <c r="HT32" i="7"/>
  <c r="HT26" i="7"/>
  <c r="HC24" i="7"/>
  <c r="HT39" i="7"/>
  <c r="GX16" i="7"/>
  <c r="GX37" i="7"/>
  <c r="HG57" i="7"/>
  <c r="HO73" i="7"/>
  <c r="HC53" i="7"/>
  <c r="HC23" i="7"/>
  <c r="HO9" i="7"/>
  <c r="DB85" i="7"/>
  <c r="HK52" i="7"/>
  <c r="GX65" i="7"/>
  <c r="HC74" i="7"/>
  <c r="HG70" i="7"/>
  <c r="HO66" i="7"/>
  <c r="HO57" i="7"/>
  <c r="HT56" i="7"/>
  <c r="HC13" i="7"/>
  <c r="HO30" i="7"/>
  <c r="HG12" i="7"/>
  <c r="HG17" i="7"/>
  <c r="HC7" i="7"/>
  <c r="HK20" i="7"/>
  <c r="HT66" i="7"/>
  <c r="GX25" i="7"/>
  <c r="GX9" i="7"/>
  <c r="GX70" i="7"/>
  <c r="HG37" i="7"/>
  <c r="GX10" i="7"/>
  <c r="HC31" i="7"/>
  <c r="HC16" i="7"/>
  <c r="HO14" i="7"/>
  <c r="HT20" i="7"/>
  <c r="HC68" i="7"/>
  <c r="GX50" i="7"/>
  <c r="AX85" i="7"/>
  <c r="HT78" i="7"/>
  <c r="BR85" i="7"/>
  <c r="HG59" i="7"/>
  <c r="GX64" i="7"/>
  <c r="BZ85" i="7"/>
  <c r="HT35" i="7"/>
  <c r="GX24" i="7"/>
  <c r="CX85" i="7"/>
  <c r="N85" i="7"/>
  <c r="GX49" i="8"/>
  <c r="HK40" i="8"/>
  <c r="GX50" i="8"/>
  <c r="GX9" i="8"/>
  <c r="HS26" i="8"/>
  <c r="HC29" i="8"/>
  <c r="HS44" i="8"/>
  <c r="GX43" i="8"/>
  <c r="HK29" i="8"/>
  <c r="HO5" i="8"/>
  <c r="HS54" i="8"/>
  <c r="CH62" i="8"/>
  <c r="GX25" i="8"/>
  <c r="HK41" i="8"/>
  <c r="GX12" i="8"/>
  <c r="HG25" i="8"/>
  <c r="HG23" i="8"/>
  <c r="HC54" i="8"/>
  <c r="AT62" i="8"/>
  <c r="HK44" i="8"/>
  <c r="HC38" i="8"/>
  <c r="HG36" i="8"/>
  <c r="BZ62" i="8"/>
  <c r="HS47" i="8"/>
  <c r="HG46" i="8"/>
  <c r="HK12" i="8"/>
  <c r="J62" i="8"/>
  <c r="HK30" i="8"/>
  <c r="HC55" i="8"/>
  <c r="AD62" i="8"/>
  <c r="GX37" i="8"/>
  <c r="HG18" i="8"/>
  <c r="HO39" i="8"/>
  <c r="HC14" i="8"/>
  <c r="HK18" i="8"/>
  <c r="HS40" i="8"/>
  <c r="HC57" i="9"/>
  <c r="EL71" i="9"/>
  <c r="AP71" i="9"/>
  <c r="HG67" i="9"/>
  <c r="GX50" i="9"/>
  <c r="HX47" i="9"/>
  <c r="HV30" i="9"/>
  <c r="GX21" i="9"/>
  <c r="HV12" i="9"/>
  <c r="GX4" i="9"/>
  <c r="HA71" i="9"/>
  <c r="HV19" i="9"/>
  <c r="HX37" i="9"/>
  <c r="IE25" i="9"/>
  <c r="HX38" i="9"/>
  <c r="ID32" i="9"/>
  <c r="BR71" i="9"/>
  <c r="BZ71" i="9"/>
  <c r="HV22" i="9"/>
  <c r="GX60" i="9"/>
  <c r="HP56" i="9"/>
  <c r="HK29" i="9"/>
  <c r="IE32" i="9"/>
  <c r="GX43" i="9"/>
  <c r="ID38" i="9"/>
  <c r="HP70" i="9"/>
  <c r="CD71" i="9"/>
  <c r="ID56" i="9"/>
  <c r="HV36" i="9"/>
  <c r="HX9" i="9"/>
  <c r="HP65" i="9"/>
  <c r="HP64" i="9"/>
  <c r="HV62" i="9"/>
  <c r="HP23" i="9"/>
  <c r="GX67" i="9"/>
  <c r="IE57" i="9"/>
  <c r="DZ71" i="9"/>
  <c r="BN71" i="9"/>
  <c r="ID51" i="9"/>
  <c r="ID65" i="9"/>
  <c r="DV71" i="9"/>
  <c r="BV71" i="9"/>
  <c r="ID47" i="9"/>
  <c r="GX47" i="9"/>
  <c r="EH71" i="9"/>
  <c r="IE43" i="9"/>
  <c r="DF71" i="9"/>
  <c r="HC18" i="9"/>
  <c r="HG41" i="9"/>
  <c r="HC56" i="9"/>
  <c r="HC39" i="9"/>
  <c r="GX68" i="9"/>
  <c r="HC53" i="9"/>
  <c r="IE56" i="9"/>
  <c r="ID55" i="9"/>
  <c r="GX45" i="9"/>
  <c r="FB71" i="9"/>
  <c r="FF71" i="9"/>
  <c r="HG23" i="9"/>
  <c r="DJ71" i="9"/>
  <c r="HP10" i="9"/>
  <c r="IE16" i="9"/>
  <c r="GX8" i="9"/>
  <c r="ID6" i="9"/>
  <c r="IE33" i="9"/>
  <c r="CH71" i="9"/>
  <c r="DN71" i="9"/>
  <c r="AT71" i="9"/>
  <c r="CX71" i="9"/>
  <c r="IL71" i="9"/>
  <c r="BJ71" i="9"/>
  <c r="HP8" i="9"/>
  <c r="FV71" i="9"/>
  <c r="HK44" i="9"/>
  <c r="IE44" i="9" s="1"/>
  <c r="HG5" i="9"/>
  <c r="HG52" i="9"/>
  <c r="CL71" i="9"/>
  <c r="HC26" i="9"/>
  <c r="HG6" i="9"/>
  <c r="IE6" i="9" s="1"/>
  <c r="GX46" i="9"/>
  <c r="GX31" i="9"/>
  <c r="GX25" i="9"/>
  <c r="HP66" i="9"/>
  <c r="CP62" i="8"/>
  <c r="AH62" i="8"/>
  <c r="GX44" i="8"/>
  <c r="AL62" i="8"/>
  <c r="HS15" i="8"/>
  <c r="R62" i="8"/>
  <c r="BJ62" i="8"/>
  <c r="BR62" i="8"/>
  <c r="HG45" i="8"/>
  <c r="HG24" i="8"/>
  <c r="HS14" i="8"/>
  <c r="GX28" i="8"/>
  <c r="HO24" i="8"/>
  <c r="N62" i="8"/>
  <c r="GX6" i="8"/>
  <c r="HS33" i="8"/>
  <c r="HO18" i="8"/>
  <c r="HO13" i="8"/>
  <c r="Z62" i="8"/>
  <c r="HO55" i="8"/>
  <c r="HO29" i="8"/>
  <c r="AP62" i="8"/>
  <c r="HO9" i="8"/>
  <c r="HG7" i="8"/>
  <c r="HS7" i="8"/>
  <c r="HC41" i="8"/>
  <c r="HO7" i="8"/>
  <c r="GX35" i="8"/>
  <c r="V62" i="8"/>
  <c r="DB62" i="8"/>
  <c r="HG27" i="8"/>
  <c r="HS53" i="8"/>
  <c r="HG35" i="8"/>
  <c r="HC21" i="8"/>
  <c r="GX33" i="7"/>
  <c r="CH85" i="7"/>
  <c r="HK57" i="7"/>
  <c r="CT85" i="7"/>
  <c r="HK15" i="7"/>
  <c r="HT54" i="7"/>
  <c r="HO52" i="7"/>
  <c r="HG39" i="7"/>
  <c r="HO34" i="7"/>
  <c r="HG36" i="7"/>
  <c r="GX32" i="7"/>
  <c r="HG8" i="7"/>
  <c r="HT79" i="7"/>
  <c r="HT38" i="7"/>
  <c r="BN85" i="7"/>
  <c r="GX23" i="7"/>
  <c r="HK73" i="7"/>
  <c r="GX54" i="7"/>
  <c r="HC45" i="7"/>
  <c r="HG27" i="7"/>
  <c r="GX8" i="7"/>
  <c r="GX41" i="7"/>
  <c r="HK56" i="7"/>
  <c r="HC17" i="7"/>
  <c r="HT37" i="7"/>
  <c r="GX74" i="7"/>
  <c r="HC79" i="7"/>
  <c r="GX68" i="7"/>
  <c r="HG79" i="7"/>
  <c r="GX75" i="7"/>
  <c r="HT36" i="7"/>
  <c r="HT51" i="7"/>
  <c r="HG32" i="7"/>
  <c r="HC29" i="7"/>
  <c r="HO15" i="7"/>
  <c r="DF85" i="7"/>
  <c r="GX49" i="7"/>
  <c r="GX27" i="7"/>
  <c r="HT17" i="7"/>
  <c r="HT24" i="7"/>
  <c r="CL85" i="7"/>
  <c r="HG78" i="7"/>
  <c r="GX38" i="7"/>
  <c r="HC72" i="7"/>
  <c r="HC28" i="7"/>
  <c r="V85" i="7"/>
  <c r="HO38" i="7"/>
  <c r="GX11" i="7"/>
  <c r="GX58" i="7"/>
  <c r="HG15" i="7"/>
  <c r="HO10" i="7"/>
  <c r="J85" i="7"/>
  <c r="DN85" i="7"/>
  <c r="HK18" i="7"/>
  <c r="HT9" i="7"/>
  <c r="HC20" i="7"/>
  <c r="HC30" i="7"/>
  <c r="HT23" i="7"/>
  <c r="HC9" i="7"/>
  <c r="IO71" i="9"/>
  <c r="GX69" i="9"/>
  <c r="HG70" i="9"/>
  <c r="IE70" i="9" s="1"/>
  <c r="ID66" i="9"/>
  <c r="HX66" i="9"/>
  <c r="HV66" i="9"/>
  <c r="GX62" i="9"/>
  <c r="HP67" i="9"/>
  <c r="HC58" i="9"/>
  <c r="HC54" i="9"/>
  <c r="HC52" i="9"/>
  <c r="HC46" i="9"/>
  <c r="HC69" i="9"/>
  <c r="IE69" i="9" s="1"/>
  <c r="GX61" i="9"/>
  <c r="HK45" i="9"/>
  <c r="GX55" i="9"/>
  <c r="HX45" i="9"/>
  <c r="ID45" i="9"/>
  <c r="GX37" i="9"/>
  <c r="GX38" i="9"/>
  <c r="ID26" i="9"/>
  <c r="GX19" i="9"/>
  <c r="ID31" i="9"/>
  <c r="HP31" i="9"/>
  <c r="CT71" i="9"/>
  <c r="IM71" i="9" s="1"/>
  <c r="HX23" i="9"/>
  <c r="ID23" i="9"/>
  <c r="ID14" i="9"/>
  <c r="HX14" i="9"/>
  <c r="HV14" i="9"/>
  <c r="GX52" i="9"/>
  <c r="GX44" i="9"/>
  <c r="GX39" i="9"/>
  <c r="GX34" i="9"/>
  <c r="HT71" i="9"/>
  <c r="ID54" i="9"/>
  <c r="HG9" i="9"/>
  <c r="IE9" i="9" s="1"/>
  <c r="HC37" i="9"/>
  <c r="HG36" i="9"/>
  <c r="HG12" i="9"/>
  <c r="HG11" i="9"/>
  <c r="HG7" i="9"/>
  <c r="ID42" i="9"/>
  <c r="HX42" i="9"/>
  <c r="HV42" i="9"/>
  <c r="HC31" i="9"/>
  <c r="ID19" i="9"/>
  <c r="HC17" i="9"/>
  <c r="HG14" i="9"/>
  <c r="HK12" i="9"/>
  <c r="GW71" i="9"/>
  <c r="HP26" i="9"/>
  <c r="IE26" i="9" s="1"/>
  <c r="HX17" i="9"/>
  <c r="ID17" i="9"/>
  <c r="HC15" i="9"/>
  <c r="HJ71" i="9"/>
  <c r="HG22" i="9"/>
  <c r="ID68" i="9"/>
  <c r="IE64" i="9"/>
  <c r="ID69" i="9"/>
  <c r="GX59" i="9"/>
  <c r="HK62" i="9"/>
  <c r="HX61" i="9"/>
  <c r="ID61" i="9"/>
  <c r="HV61" i="9"/>
  <c r="HC61" i="9"/>
  <c r="HX58" i="9"/>
  <c r="ID58" i="9"/>
  <c r="HV58" i="9"/>
  <c r="HP51" i="9"/>
  <c r="HP48" i="9"/>
  <c r="IE48" i="9" s="1"/>
  <c r="HG55" i="9"/>
  <c r="HG50" i="9"/>
  <c r="IE50" i="9" s="1"/>
  <c r="HC49" i="9"/>
  <c r="IE49" i="9" s="1"/>
  <c r="ID22" i="9"/>
  <c r="HP22" i="9"/>
  <c r="GX65" i="9"/>
  <c r="HP55" i="9"/>
  <c r="HP53" i="9"/>
  <c r="HP60" i="9"/>
  <c r="HG46" i="9"/>
  <c r="IE46" i="9" s="1"/>
  <c r="ID44" i="9"/>
  <c r="HP58" i="9"/>
  <c r="HG45" i="9"/>
  <c r="ID41" i="9"/>
  <c r="HP30" i="9"/>
  <c r="ID27" i="9"/>
  <c r="HX27" i="9"/>
  <c r="HV27" i="9"/>
  <c r="IE27" i="9" s="1"/>
  <c r="HC23" i="9"/>
  <c r="ID21" i="9"/>
  <c r="HV21" i="9"/>
  <c r="HX21" i="9"/>
  <c r="HK14" i="9"/>
  <c r="GV71" i="9"/>
  <c r="HC41" i="9"/>
  <c r="HP39" i="9"/>
  <c r="HK34" i="9"/>
  <c r="IE34" i="9" s="1"/>
  <c r="HC30" i="9"/>
  <c r="GX17" i="9"/>
  <c r="GX7" i="9"/>
  <c r="HF71" i="9"/>
  <c r="HC40" i="9"/>
  <c r="IE40" i="9" s="1"/>
  <c r="HP37" i="9"/>
  <c r="IE37" i="9" s="1"/>
  <c r="ID39" i="9"/>
  <c r="HX39" i="9"/>
  <c r="HV39" i="9"/>
  <c r="ID33" i="9"/>
  <c r="ID34" i="9"/>
  <c r="IE31" i="9"/>
  <c r="HV23" i="9"/>
  <c r="IE35" i="9"/>
  <c r="GX28" i="9"/>
  <c r="GX26" i="9"/>
  <c r="HC21" i="9"/>
  <c r="ID9" i="9"/>
  <c r="GX6" i="9"/>
  <c r="GX24" i="9"/>
  <c r="ID13" i="9"/>
  <c r="GX70" i="9"/>
  <c r="HG68" i="9"/>
  <c r="IE68" i="9" s="1"/>
  <c r="HG65" i="9"/>
  <c r="IE65" i="9" s="1"/>
  <c r="ID59" i="9"/>
  <c r="HG60" i="9"/>
  <c r="HG58" i="9"/>
  <c r="HG51" i="9"/>
  <c r="HC62" i="9"/>
  <c r="GX56" i="9"/>
  <c r="HC67" i="9"/>
  <c r="IE67" i="9" s="1"/>
  <c r="HP63" i="9"/>
  <c r="GX57" i="9"/>
  <c r="GX51" i="9"/>
  <c r="GX48" i="9"/>
  <c r="GX27" i="9"/>
  <c r="GX63" i="9"/>
  <c r="HX60" i="9"/>
  <c r="ID60" i="9"/>
  <c r="HV60" i="9"/>
  <c r="GX54" i="9"/>
  <c r="HP29" i="9"/>
  <c r="IE29" i="9" s="1"/>
  <c r="HV45" i="9"/>
  <c r="HX30" i="9"/>
  <c r="ID30" i="9"/>
  <c r="ID29" i="9"/>
  <c r="HK51" i="9"/>
  <c r="GX36" i="9"/>
  <c r="GX14" i="9"/>
  <c r="HG8" i="9"/>
  <c r="IE8" i="9" s="1"/>
  <c r="HP47" i="9"/>
  <c r="IE47" i="9" s="1"/>
  <c r="HX20" i="9"/>
  <c r="HV20" i="9"/>
  <c r="IE20" i="9" s="1"/>
  <c r="ID20" i="9"/>
  <c r="GX53" i="9"/>
  <c r="HP42" i="9"/>
  <c r="GX35" i="9"/>
  <c r="GX33" i="9"/>
  <c r="GX32" i="9"/>
  <c r="HG21" i="9"/>
  <c r="ID11" i="9"/>
  <c r="ID10" i="9"/>
  <c r="HX10" i="9"/>
  <c r="ID7" i="9"/>
  <c r="HV7" i="9"/>
  <c r="IE7" i="9" s="1"/>
  <c r="HX7" i="9"/>
  <c r="HK71" i="9"/>
  <c r="ID40" i="9"/>
  <c r="ID37" i="9"/>
  <c r="HP36" i="9"/>
  <c r="GX30" i="9"/>
  <c r="HG18" i="9"/>
  <c r="HK13" i="9"/>
  <c r="IE13" i="9" s="1"/>
  <c r="HP5" i="9"/>
  <c r="HO71" i="9"/>
  <c r="HO75" i="9" s="1"/>
  <c r="HP15" i="9"/>
  <c r="GX12" i="9"/>
  <c r="GX9" i="9"/>
  <c r="ID5" i="9"/>
  <c r="HG28" i="9"/>
  <c r="GX23" i="9"/>
  <c r="GX20" i="9"/>
  <c r="HP11" i="9"/>
  <c r="ID8" i="9"/>
  <c r="GX5" i="9"/>
  <c r="ID18" i="9"/>
  <c r="Y145" i="9"/>
  <c r="Y142" i="9" s="1"/>
  <c r="GX66" i="9"/>
  <c r="HP62" i="9"/>
  <c r="ID62" i="9"/>
  <c r="ID70" i="9"/>
  <c r="ID67" i="9"/>
  <c r="ID52" i="9"/>
  <c r="HX53" i="9"/>
  <c r="ID53" i="9"/>
  <c r="ID49" i="9"/>
  <c r="HP52" i="9"/>
  <c r="IE52" i="9" s="1"/>
  <c r="ID48" i="9"/>
  <c r="HX48" i="9"/>
  <c r="HC63" i="9"/>
  <c r="IE54" i="9"/>
  <c r="HC55" i="9"/>
  <c r="ID46" i="9"/>
  <c r="HC42" i="9"/>
  <c r="HC10" i="9"/>
  <c r="IE10" i="9" s="1"/>
  <c r="HU71" i="9"/>
  <c r="HB71" i="9"/>
  <c r="HC71" i="9" s="1"/>
  <c r="ID63" i="9"/>
  <c r="HX63" i="9"/>
  <c r="GX16" i="9"/>
  <c r="IE4" i="9"/>
  <c r="HC28" i="9"/>
  <c r="HG15" i="9"/>
  <c r="HC11" i="9"/>
  <c r="ID4" i="9"/>
  <c r="GX40" i="9"/>
  <c r="ID28" i="9"/>
  <c r="HX28" i="9"/>
  <c r="HV28" i="9"/>
  <c r="ID25" i="9"/>
  <c r="HP21" i="9"/>
  <c r="HG17" i="9"/>
  <c r="HX16" i="9"/>
  <c r="ID16" i="9"/>
  <c r="ID12" i="9"/>
  <c r="GX58" i="9"/>
  <c r="ID36" i="9"/>
  <c r="GX29" i="9"/>
  <c r="HP19" i="9"/>
  <c r="IE19" i="9" s="1"/>
  <c r="HV17" i="9"/>
  <c r="GX15" i="9"/>
  <c r="IE12" i="9"/>
  <c r="HE71" i="9"/>
  <c r="HG71" i="9" s="1"/>
  <c r="IE38" i="9"/>
  <c r="ID15" i="9"/>
  <c r="GX11" i="9"/>
  <c r="GX10" i="9"/>
  <c r="HP18" i="9"/>
  <c r="IE18" i="9" s="1"/>
  <c r="GX22" i="9"/>
  <c r="GX53" i="8"/>
  <c r="GX52" i="8"/>
  <c r="HC50" i="8"/>
  <c r="BB48" i="8"/>
  <c r="BB62" i="8" s="1"/>
  <c r="AZ62" i="8"/>
  <c r="HO46" i="8"/>
  <c r="HC44" i="8"/>
  <c r="HO42" i="8"/>
  <c r="HG32" i="8"/>
  <c r="HC19" i="8"/>
  <c r="HC56" i="8"/>
  <c r="HK33" i="8"/>
  <c r="HO37" i="8"/>
  <c r="HG33" i="8"/>
  <c r="HC28" i="8"/>
  <c r="HC42" i="8"/>
  <c r="GX19" i="8"/>
  <c r="GW62" i="8"/>
  <c r="EH62" i="8"/>
  <c r="CL62" i="8"/>
  <c r="BF62" i="8"/>
  <c r="GX33" i="8"/>
  <c r="HG22" i="8"/>
  <c r="GX18" i="8"/>
  <c r="HO10" i="8"/>
  <c r="HE62" i="8"/>
  <c r="HO31" i="8"/>
  <c r="HK27" i="8"/>
  <c r="HO17" i="8"/>
  <c r="HG15" i="8"/>
  <c r="HO11" i="8"/>
  <c r="HG5" i="8"/>
  <c r="HJ62" i="8"/>
  <c r="HC61" i="8"/>
  <c r="HM48" i="8"/>
  <c r="GX46" i="8"/>
  <c r="HO28" i="8"/>
  <c r="HC49" i="8"/>
  <c r="HC33" i="8"/>
  <c r="GX56" i="8"/>
  <c r="GX51" i="8"/>
  <c r="GX39" i="8"/>
  <c r="HC37" i="8"/>
  <c r="HO27" i="8"/>
  <c r="HS52" i="8"/>
  <c r="HC51" i="8"/>
  <c r="HO40" i="8"/>
  <c r="HS34" i="8"/>
  <c r="HG31" i="8"/>
  <c r="GX30" i="8"/>
  <c r="HO25" i="8"/>
  <c r="HS21" i="8"/>
  <c r="GX15" i="8"/>
  <c r="HG6" i="8"/>
  <c r="DV62" i="8"/>
  <c r="AX62" i="8"/>
  <c r="HK46" i="8"/>
  <c r="HC27" i="8"/>
  <c r="GX20" i="8"/>
  <c r="HK15" i="8"/>
  <c r="HC10" i="8"/>
  <c r="HA62" i="8"/>
  <c r="HC46" i="8"/>
  <c r="HO26" i="8"/>
  <c r="HS22" i="8"/>
  <c r="HO12" i="8"/>
  <c r="HC9" i="8"/>
  <c r="GX31" i="8"/>
  <c r="HB62" i="8"/>
  <c r="HC13" i="8"/>
  <c r="HK53" i="8"/>
  <c r="HS45" i="8"/>
  <c r="GX27" i="8"/>
  <c r="HO47" i="8"/>
  <c r="HG39" i="8"/>
  <c r="HS36" i="8"/>
  <c r="HG30" i="8"/>
  <c r="GX40" i="8"/>
  <c r="HS37" i="8"/>
  <c r="GX55" i="8"/>
  <c r="HK47" i="8"/>
  <c r="HG42" i="8"/>
  <c r="GX21" i="8"/>
  <c r="HC16" i="8"/>
  <c r="GX47" i="8"/>
  <c r="GX41" i="8"/>
  <c r="HC18" i="8"/>
  <c r="DF62" i="8"/>
  <c r="BV62" i="8"/>
  <c r="HG55" i="8"/>
  <c r="HG44" i="8"/>
  <c r="HO23" i="8"/>
  <c r="GX11" i="8"/>
  <c r="HK8" i="8"/>
  <c r="HO45" i="8"/>
  <c r="HG26" i="8"/>
  <c r="HC25" i="8"/>
  <c r="HK7" i="8"/>
  <c r="HG13" i="8"/>
  <c r="HC7" i="8"/>
  <c r="HF62" i="8"/>
  <c r="GX13" i="8"/>
  <c r="HN62" i="8"/>
  <c r="GX54" i="8"/>
  <c r="HO56" i="8"/>
  <c r="HO52" i="8"/>
  <c r="GV48" i="8"/>
  <c r="GX48" i="8" s="1"/>
  <c r="HG52" i="8"/>
  <c r="HS46" i="8"/>
  <c r="HO19" i="8"/>
  <c r="GX14" i="8"/>
  <c r="HG47" i="8"/>
  <c r="HO44" i="8"/>
  <c r="HK38" i="8"/>
  <c r="HC26" i="8"/>
  <c r="HK22" i="8"/>
  <c r="HG16" i="8"/>
  <c r="HG8" i="8"/>
  <c r="HR62" i="8"/>
  <c r="HS62" i="8" s="1"/>
  <c r="CT62" i="8"/>
  <c r="BN62" i="8"/>
  <c r="HC40" i="8"/>
  <c r="HG29" i="8"/>
  <c r="HK25" i="8"/>
  <c r="GX23" i="8"/>
  <c r="GX22" i="8"/>
  <c r="HG19" i="8"/>
  <c r="HC17" i="8"/>
  <c r="HK14" i="8"/>
  <c r="HG11" i="8"/>
  <c r="GX10" i="8"/>
  <c r="HI62" i="8"/>
  <c r="HC52" i="8"/>
  <c r="HC48" i="8"/>
  <c r="GX45" i="8"/>
  <c r="HG37" i="8"/>
  <c r="HO32" i="8"/>
  <c r="GX29" i="8"/>
  <c r="GX26" i="8"/>
  <c r="HC24" i="8"/>
  <c r="HO22" i="8"/>
  <c r="HK16" i="8"/>
  <c r="HC12" i="8"/>
  <c r="HS10" i="8"/>
  <c r="GX5" i="8"/>
  <c r="GX7" i="8"/>
  <c r="HC81" i="7"/>
  <c r="HT65" i="7"/>
  <c r="HI85" i="7"/>
  <c r="HK4" i="7"/>
  <c r="BB85" i="7"/>
  <c r="HO67" i="7"/>
  <c r="HG52" i="7"/>
  <c r="HO50" i="7"/>
  <c r="HO6" i="7"/>
  <c r="HT69" i="7"/>
  <c r="HG67" i="7"/>
  <c r="HT43" i="7"/>
  <c r="HO33" i="7"/>
  <c r="HO31" i="7"/>
  <c r="HG20" i="7"/>
  <c r="GW85" i="7"/>
  <c r="HO36" i="7"/>
  <c r="HT34" i="7"/>
  <c r="HO17" i="7"/>
  <c r="HJ85" i="7"/>
  <c r="HK36" i="7"/>
  <c r="HG19" i="7"/>
  <c r="HF85" i="7"/>
  <c r="HO41" i="7"/>
  <c r="GX81" i="7"/>
  <c r="GX72" i="7"/>
  <c r="GX80" i="7"/>
  <c r="HO79" i="7"/>
  <c r="HK59" i="7"/>
  <c r="HO54" i="7"/>
  <c r="GX52" i="7"/>
  <c r="HG50" i="7"/>
  <c r="HE85" i="7"/>
  <c r="HG4" i="7"/>
  <c r="AP85" i="7"/>
  <c r="HT76" i="7"/>
  <c r="GX79" i="7"/>
  <c r="HO76" i="7"/>
  <c r="GX73" i="7"/>
  <c r="HO56" i="7"/>
  <c r="HO46" i="7"/>
  <c r="HG6" i="7"/>
  <c r="HO77" i="7"/>
  <c r="HT68" i="7"/>
  <c r="HT67" i="7"/>
  <c r="HC66" i="7"/>
  <c r="HO63" i="7"/>
  <c r="HG58" i="7"/>
  <c r="GX44" i="7"/>
  <c r="HT57" i="7"/>
  <c r="HT48" i="7"/>
  <c r="HO49" i="7"/>
  <c r="HC38" i="7"/>
  <c r="GX5" i="7"/>
  <c r="GX63" i="7"/>
  <c r="GX51" i="7"/>
  <c r="HG38" i="7"/>
  <c r="GX36" i="7"/>
  <c r="HO25" i="7"/>
  <c r="HT11" i="7"/>
  <c r="HO7" i="7"/>
  <c r="HT5" i="7"/>
  <c r="BF85" i="7"/>
  <c r="HC62" i="7"/>
  <c r="GX55" i="7"/>
  <c r="HC42" i="7"/>
  <c r="GX34" i="7"/>
  <c r="HK28" i="7"/>
  <c r="HO23" i="7"/>
  <c r="HC33" i="7"/>
  <c r="GX29" i="7"/>
  <c r="GX14" i="7"/>
  <c r="HO5" i="7"/>
  <c r="HN85" i="7"/>
  <c r="HO71" i="7"/>
  <c r="HC14" i="7"/>
  <c r="HA85" i="7"/>
  <c r="HC4" i="7"/>
  <c r="BV85" i="7"/>
  <c r="AH85" i="7"/>
  <c r="HO75" i="7"/>
  <c r="HK58" i="7"/>
  <c r="HG74" i="7"/>
  <c r="HO59" i="7"/>
  <c r="GX20" i="7"/>
  <c r="HO83" i="7"/>
  <c r="HG77" i="7"/>
  <c r="HO74" i="7"/>
  <c r="HO72" i="7"/>
  <c r="HC67" i="7"/>
  <c r="GX62" i="7"/>
  <c r="HC59" i="7"/>
  <c r="HC57" i="7"/>
  <c r="HG47" i="7"/>
  <c r="GX15" i="7"/>
  <c r="GX13" i="7"/>
  <c r="HC83" i="7"/>
  <c r="HG75" i="7"/>
  <c r="HO60" i="7"/>
  <c r="HC56" i="7"/>
  <c r="GX39" i="7"/>
  <c r="HC36" i="7"/>
  <c r="GX30" i="7"/>
  <c r="HO20" i="7"/>
  <c r="HK19" i="7"/>
  <c r="GX6" i="7"/>
  <c r="HG5" i="7"/>
  <c r="HK5" i="7"/>
  <c r="AD85" i="7"/>
  <c r="HO62" i="7"/>
  <c r="HG49" i="7"/>
  <c r="HO43" i="7"/>
  <c r="HT41" i="7"/>
  <c r="HO37" i="7"/>
  <c r="HC34" i="7"/>
  <c r="HO28" i="7"/>
  <c r="HG14" i="7"/>
  <c r="HG10" i="7"/>
  <c r="HS85" i="7"/>
  <c r="HT85" i="7" s="1"/>
  <c r="HO32" i="7"/>
  <c r="HG30" i="7"/>
  <c r="HO26" i="7"/>
  <c r="HG23" i="7"/>
  <c r="HC12" i="7"/>
  <c r="AL85" i="7"/>
  <c r="HC55" i="7"/>
  <c r="HT44" i="7"/>
  <c r="HC32" i="7"/>
  <c r="HG29" i="7"/>
  <c r="HO11" i="7"/>
  <c r="HG9" i="7"/>
  <c r="HC5" i="7"/>
  <c r="GX76" i="7"/>
  <c r="GX83" i="7"/>
  <c r="HO81" i="7"/>
  <c r="HO78" i="7"/>
  <c r="HK60" i="7"/>
  <c r="GX43" i="7"/>
  <c r="GX19" i="7"/>
  <c r="GV85" i="7"/>
  <c r="GX4" i="7"/>
  <c r="BJ85" i="7"/>
  <c r="HC75" i="7"/>
  <c r="GX69" i="7"/>
  <c r="HC58" i="7"/>
  <c r="HT53" i="7"/>
  <c r="HT50" i="7"/>
  <c r="HO80" i="7"/>
  <c r="GX77" i="7"/>
  <c r="HO70" i="7"/>
  <c r="HC64" i="7"/>
  <c r="GX53" i="7"/>
  <c r="GX42" i="7"/>
  <c r="HC78" i="7"/>
  <c r="HC54" i="7"/>
  <c r="GX45" i="7"/>
  <c r="HC41" i="7"/>
  <c r="HO16" i="7"/>
  <c r="HC10" i="7"/>
  <c r="GX60" i="7"/>
  <c r="HT45" i="7"/>
  <c r="HO44" i="7"/>
  <c r="HK43" i="7"/>
  <c r="HG35" i="7"/>
  <c r="GX31" i="7"/>
  <c r="GX28" i="7"/>
  <c r="HT27" i="7"/>
  <c r="GX26" i="7"/>
  <c r="HG18" i="7"/>
  <c r="HC15" i="7"/>
  <c r="HO13" i="7"/>
  <c r="HG40" i="7"/>
  <c r="HO35" i="7"/>
  <c r="HO29" i="7"/>
  <c r="HC27" i="7"/>
  <c r="HK25" i="7"/>
  <c r="HG13" i="7"/>
  <c r="HC49" i="7"/>
  <c r="HK44" i="7"/>
  <c r="HO42" i="7"/>
  <c r="HC39" i="7"/>
  <c r="HC37" i="7"/>
  <c r="HG28" i="7"/>
  <c r="HO24" i="7"/>
  <c r="HT13" i="7"/>
  <c r="HO8" i="7"/>
  <c r="HT6" i="7"/>
  <c r="HB85" i="7"/>
  <c r="HE70" i="5"/>
  <c r="HI30" i="5"/>
  <c r="GS72" i="5"/>
  <c r="HI12" i="5"/>
  <c r="HE34" i="5"/>
  <c r="HI33" i="5"/>
  <c r="HM27" i="5"/>
  <c r="IG10" i="5"/>
  <c r="BJ72" i="5"/>
  <c r="HE41" i="5"/>
  <c r="HY24" i="5"/>
  <c r="HY10" i="5"/>
  <c r="HI9" i="5"/>
  <c r="HM7" i="5"/>
  <c r="HI5" i="5"/>
  <c r="HY34" i="5"/>
  <c r="HY27" i="5"/>
  <c r="HU19" i="5"/>
  <c r="HI71" i="5"/>
  <c r="DN72" i="5"/>
  <c r="HE71" i="5"/>
  <c r="HY70" i="5"/>
  <c r="HI63" i="5"/>
  <c r="HM62" i="5"/>
  <c r="IJ72" i="5"/>
  <c r="IC59" i="5"/>
  <c r="HE53" i="5"/>
  <c r="HM46" i="5"/>
  <c r="HI51" i="5"/>
  <c r="HI36" i="5"/>
  <c r="HE29" i="5"/>
  <c r="IG47" i="5"/>
  <c r="HE43" i="5"/>
  <c r="IG41" i="5"/>
  <c r="IC12" i="5"/>
  <c r="F72" i="5"/>
  <c r="EL72" i="5"/>
  <c r="HE35" i="5"/>
  <c r="IG30" i="5"/>
  <c r="HU27" i="5"/>
  <c r="HI20" i="5"/>
  <c r="IG15" i="5"/>
  <c r="HU71" i="5"/>
  <c r="IC60" i="5"/>
  <c r="IC31" i="5"/>
  <c r="HY39" i="5"/>
  <c r="HY29" i="5"/>
  <c r="N72" i="5"/>
  <c r="FJ72" i="5"/>
  <c r="IC64" i="5"/>
  <c r="HE59" i="5"/>
  <c r="HI65" i="5"/>
  <c r="IG59" i="5"/>
  <c r="HU56" i="5"/>
  <c r="HM60" i="5"/>
  <c r="HE57" i="5"/>
  <c r="HI53" i="5"/>
  <c r="HU39" i="5"/>
  <c r="FB72" i="5"/>
  <c r="HE50" i="5"/>
  <c r="HE44" i="5"/>
  <c r="IC34" i="5"/>
  <c r="HY32" i="5"/>
  <c r="HE39" i="5"/>
  <c r="HP72" i="5"/>
  <c r="IG11" i="5"/>
  <c r="CL72" i="5"/>
  <c r="IC19" i="5"/>
  <c r="HU13" i="5"/>
  <c r="HY41" i="5"/>
  <c r="HM26" i="5"/>
  <c r="HE12" i="5"/>
  <c r="HM6" i="5"/>
  <c r="HY33" i="5"/>
  <c r="HM32" i="5"/>
  <c r="IC20" i="5"/>
  <c r="FN86" i="1"/>
  <c r="EL86" i="1"/>
  <c r="HN74" i="1"/>
  <c r="HJ74" i="1"/>
  <c r="HZ84" i="1"/>
  <c r="HR53" i="1"/>
  <c r="DF86" i="1"/>
  <c r="HR61" i="1"/>
  <c r="HN83" i="1"/>
  <c r="GX86" i="1"/>
  <c r="R86" i="1"/>
  <c r="HJ44" i="1"/>
  <c r="N86" i="1"/>
  <c r="HV24" i="1"/>
  <c r="HJ43" i="1"/>
  <c r="HN9" i="1"/>
  <c r="HJ20" i="1"/>
  <c r="IL19" i="1"/>
  <c r="AT86" i="1"/>
  <c r="HR27" i="1"/>
  <c r="HV14" i="1"/>
  <c r="HZ12" i="1"/>
  <c r="HJ46" i="1"/>
  <c r="HJ12" i="1"/>
  <c r="FR86" i="1"/>
  <c r="IL50" i="1"/>
  <c r="EH86" i="1"/>
  <c r="HJ48" i="1"/>
  <c r="CP86" i="1"/>
  <c r="CD86" i="1"/>
  <c r="DV86" i="1"/>
  <c r="HN40" i="1"/>
  <c r="HJ32" i="1"/>
  <c r="HN23" i="1"/>
  <c r="IL67" i="1"/>
  <c r="IL57" i="1"/>
  <c r="HR41" i="1"/>
  <c r="AX86" i="1"/>
  <c r="HJ66" i="1"/>
  <c r="HN51" i="1"/>
  <c r="HN66" i="1"/>
  <c r="AH86" i="1"/>
  <c r="FB86" i="1"/>
  <c r="HV55" i="1"/>
  <c r="DB86" i="1"/>
  <c r="HV49" i="1"/>
  <c r="BN86" i="1"/>
  <c r="GH86" i="1"/>
  <c r="HZ32" i="1"/>
  <c r="HJ28" i="1"/>
  <c r="HJ23" i="1"/>
  <c r="HN15" i="1"/>
  <c r="HY86" i="1"/>
  <c r="AD86" i="1"/>
  <c r="ID76" i="1"/>
  <c r="IL58" i="1"/>
  <c r="HR43" i="1"/>
  <c r="HR32" i="1"/>
  <c r="BZ76" i="3"/>
  <c r="GQ23" i="3"/>
  <c r="AL76" i="3"/>
  <c r="FM76" i="3"/>
  <c r="HS41" i="3"/>
  <c r="HC31" i="3"/>
  <c r="GY14" i="3"/>
  <c r="GY36" i="3"/>
  <c r="GM22" i="3"/>
  <c r="GQ46" i="3"/>
  <c r="GY43" i="3"/>
  <c r="GM38" i="3"/>
  <c r="CP76" i="3"/>
  <c r="GM33" i="3"/>
  <c r="BF76" i="3"/>
  <c r="GY20" i="3"/>
  <c r="HR76" i="3"/>
  <c r="EH76" i="3"/>
  <c r="HC62" i="3"/>
  <c r="GY61" i="3"/>
  <c r="HC60" i="3"/>
  <c r="HG54" i="3"/>
  <c r="GM72" i="3"/>
  <c r="GQ66" i="3"/>
  <c r="GY60" i="3"/>
  <c r="GQ53" i="3"/>
  <c r="GY57" i="3"/>
  <c r="HS49" i="3"/>
  <c r="GB76" i="3"/>
  <c r="GQ32" i="3"/>
  <c r="GQ44" i="3"/>
  <c r="GM39" i="3"/>
  <c r="HC74" i="3"/>
  <c r="GY62" i="3"/>
  <c r="GQ57" i="3"/>
  <c r="GQ58" i="3"/>
  <c r="GM53" i="3"/>
  <c r="HC51" i="3"/>
  <c r="EW76" i="3"/>
  <c r="GM34" i="3"/>
  <c r="DR76" i="3"/>
  <c r="GM20" i="3"/>
  <c r="GM12" i="3"/>
  <c r="HC65" i="3"/>
  <c r="GY30" i="3"/>
  <c r="BZ138" i="6"/>
  <c r="BZ125" i="6"/>
  <c r="BZ132" i="6"/>
  <c r="BX147" i="6"/>
  <c r="BZ79" i="6"/>
  <c r="HK72" i="6"/>
  <c r="HM4" i="6"/>
  <c r="HD72" i="6"/>
  <c r="GK72" i="6"/>
  <c r="FM72" i="6"/>
  <c r="HX72" i="6"/>
  <c r="F72" i="6"/>
  <c r="HI34" i="6"/>
  <c r="HM29" i="6"/>
  <c r="HG72" i="6"/>
  <c r="HI4" i="6"/>
  <c r="IK4" i="6"/>
  <c r="BZ137" i="6"/>
  <c r="BZ122" i="6"/>
  <c r="BZ128" i="6"/>
  <c r="BZ121" i="6"/>
  <c r="BZ100" i="6"/>
  <c r="IC58" i="6"/>
  <c r="HE57" i="6"/>
  <c r="HE64" i="6"/>
  <c r="HM62" i="6"/>
  <c r="BY147" i="6"/>
  <c r="HU65" i="6"/>
  <c r="HY52" i="6"/>
  <c r="HI67" i="6"/>
  <c r="HE55" i="6"/>
  <c r="HU39" i="6"/>
  <c r="HE35" i="6"/>
  <c r="IC33" i="6"/>
  <c r="HU46" i="6"/>
  <c r="HU59" i="6"/>
  <c r="HI42" i="6"/>
  <c r="HE40" i="6"/>
  <c r="HM37" i="6"/>
  <c r="HU21" i="6"/>
  <c r="IF72" i="6"/>
  <c r="FJ72" i="6"/>
  <c r="CH72" i="6"/>
  <c r="HU44" i="6"/>
  <c r="IE72" i="6"/>
  <c r="IG72" i="6" s="1"/>
  <c r="IG4" i="6"/>
  <c r="HA72" i="6"/>
  <c r="HE27" i="6"/>
  <c r="HE23" i="6"/>
  <c r="HH72" i="6"/>
  <c r="DN72" i="6"/>
  <c r="CL72" i="6"/>
  <c r="BJ72" i="6"/>
  <c r="HI39" i="6"/>
  <c r="HI33" i="6"/>
  <c r="HE26" i="6"/>
  <c r="IB72" i="6"/>
  <c r="II72" i="6"/>
  <c r="IK72" i="6" s="1"/>
  <c r="HS72" i="6"/>
  <c r="HU72" i="6" s="1"/>
  <c r="BZ139" i="6"/>
  <c r="BZ119" i="6"/>
  <c r="BV147" i="6"/>
  <c r="HM59" i="6"/>
  <c r="HM64" i="6"/>
  <c r="F147" i="6"/>
  <c r="HM50" i="6"/>
  <c r="HU42" i="6"/>
  <c r="HU40" i="6"/>
  <c r="HE68" i="6"/>
  <c r="HU55" i="6"/>
  <c r="HM31" i="6"/>
  <c r="HU34" i="6"/>
  <c r="HE32" i="6"/>
  <c r="IA72" i="6"/>
  <c r="IC72" i="6" s="1"/>
  <c r="IC4" i="6"/>
  <c r="HM28" i="6"/>
  <c r="HM24" i="6"/>
  <c r="HT72" i="6"/>
  <c r="EH72" i="6"/>
  <c r="DB72" i="6"/>
  <c r="EL72" i="6"/>
  <c r="HE49" i="6"/>
  <c r="HW72" i="6"/>
  <c r="HY72" i="6" s="1"/>
  <c r="HY4" i="6"/>
  <c r="HE4" i="6"/>
  <c r="BZ136" i="6"/>
  <c r="BZ141" i="6"/>
  <c r="BZ130" i="6"/>
  <c r="BZ106" i="6"/>
  <c r="BN147" i="6"/>
  <c r="BZ124" i="6"/>
  <c r="BZ98" i="6"/>
  <c r="BR147" i="6"/>
  <c r="BZ123" i="6"/>
  <c r="BZ82" i="6"/>
  <c r="BZ83" i="6"/>
  <c r="HI57" i="6"/>
  <c r="HU71" i="6"/>
  <c r="IC69" i="6"/>
  <c r="HI66" i="6"/>
  <c r="HE65" i="6"/>
  <c r="HE63" i="6"/>
  <c r="HE59" i="6"/>
  <c r="HM52" i="6"/>
  <c r="HE71" i="6"/>
  <c r="HI61" i="6"/>
  <c r="HU56" i="6"/>
  <c r="HM55" i="6"/>
  <c r="HI54" i="6"/>
  <c r="HU53" i="6"/>
  <c r="HI64" i="6"/>
  <c r="HU47" i="6"/>
  <c r="HM44" i="6"/>
  <c r="IG40" i="6"/>
  <c r="HM32" i="6"/>
  <c r="HI43" i="6"/>
  <c r="HM41" i="6"/>
  <c r="HI63" i="6"/>
  <c r="HM39" i="6"/>
  <c r="HE36" i="6"/>
  <c r="HU31" i="6"/>
  <c r="HP72" i="6"/>
  <c r="HQ4" i="6"/>
  <c r="CX72" i="6"/>
  <c r="BV72" i="6"/>
  <c r="J72" i="6"/>
  <c r="HE48" i="6"/>
  <c r="HE28" i="6"/>
  <c r="HE24" i="6"/>
  <c r="HQ72" i="6"/>
  <c r="FU72" i="6"/>
  <c r="HM15" i="6"/>
  <c r="FY72" i="6"/>
  <c r="FB72" i="6"/>
  <c r="N72" i="6"/>
  <c r="HM49" i="6"/>
  <c r="HU45" i="6"/>
  <c r="IC39" i="6"/>
  <c r="IG30" i="6"/>
  <c r="HI21" i="6"/>
  <c r="HI11" i="6"/>
  <c r="HL72" i="6"/>
  <c r="HC72" i="6"/>
  <c r="HE72" i="6" s="1"/>
  <c r="FF72" i="5"/>
  <c r="CH72" i="5"/>
  <c r="FM72" i="5"/>
  <c r="IC57" i="5"/>
  <c r="IK62" i="5"/>
  <c r="HI54" i="5"/>
  <c r="HE49" i="5"/>
  <c r="HL72" i="5"/>
  <c r="CD72" i="5"/>
  <c r="IA72" i="5"/>
  <c r="IC4" i="5"/>
  <c r="GW72" i="5"/>
  <c r="HS72" i="5"/>
  <c r="HE65" i="5"/>
  <c r="HE45" i="5"/>
  <c r="HU44" i="5"/>
  <c r="HU34" i="5"/>
  <c r="IE72" i="5"/>
  <c r="IG4" i="5"/>
  <c r="HA72" i="5"/>
  <c r="DJ72" i="5"/>
  <c r="II72" i="5"/>
  <c r="IK72" i="5" s="1"/>
  <c r="HM37" i="5"/>
  <c r="HX72" i="5"/>
  <c r="IC26" i="5"/>
  <c r="HE61" i="5"/>
  <c r="HE66" i="5"/>
  <c r="IC70" i="5"/>
  <c r="HM57" i="5"/>
  <c r="HE56" i="5"/>
  <c r="HE52" i="5"/>
  <c r="HU43" i="5"/>
  <c r="HI62" i="5"/>
  <c r="HE54" i="5"/>
  <c r="HI41" i="5"/>
  <c r="IB72" i="5"/>
  <c r="HG72" i="5"/>
  <c r="HI4" i="5"/>
  <c r="DZ72" i="5"/>
  <c r="HM33" i="5"/>
  <c r="CX72" i="5"/>
  <c r="BV72" i="5"/>
  <c r="J72" i="5"/>
  <c r="HU63" i="5"/>
  <c r="HM34" i="5"/>
  <c r="HI29" i="5"/>
  <c r="HI14" i="5"/>
  <c r="HM13" i="5"/>
  <c r="HT72" i="5"/>
  <c r="EH72" i="5"/>
  <c r="DB72" i="5"/>
  <c r="HY47" i="5"/>
  <c r="HM15" i="5"/>
  <c r="HI6" i="5"/>
  <c r="HH72" i="5"/>
  <c r="HU54" i="5"/>
  <c r="HU67" i="5"/>
  <c r="IF72" i="5"/>
  <c r="HD72" i="5"/>
  <c r="HM69" i="5"/>
  <c r="HM64" i="5"/>
  <c r="HI68" i="5"/>
  <c r="HM63" i="5"/>
  <c r="HI66" i="5"/>
  <c r="IG63" i="5"/>
  <c r="IG56" i="5"/>
  <c r="HM66" i="5"/>
  <c r="HI44" i="5"/>
  <c r="HY38" i="5"/>
  <c r="HW72" i="5"/>
  <c r="HY72" i="5" s="1"/>
  <c r="HY4" i="5"/>
  <c r="EP72" i="5"/>
  <c r="HY40" i="5"/>
  <c r="HU36" i="5"/>
  <c r="HI35" i="5"/>
  <c r="HK72" i="5"/>
  <c r="HM72" i="5" s="1"/>
  <c r="HM4" i="5"/>
  <c r="FQ72" i="5"/>
  <c r="ET72" i="5"/>
  <c r="AH72" i="5"/>
  <c r="HE48" i="5"/>
  <c r="IC38" i="5"/>
  <c r="HE36" i="5"/>
  <c r="HI31" i="5"/>
  <c r="HQ72" i="5"/>
  <c r="FU72" i="5"/>
  <c r="IC40" i="5"/>
  <c r="HE27" i="5"/>
  <c r="HI17" i="5"/>
  <c r="HC72" i="5"/>
  <c r="HE72" i="5" s="1"/>
  <c r="HE4" i="5"/>
  <c r="BZ53" i="4"/>
  <c r="BZ21" i="4"/>
  <c r="AP72" i="4"/>
  <c r="BR72" i="4"/>
  <c r="BZ20" i="4"/>
  <c r="BZ65" i="4"/>
  <c r="BZ18" i="4"/>
  <c r="BZ9" i="4"/>
  <c r="BZ63" i="4"/>
  <c r="BZ51" i="4"/>
  <c r="BZ19" i="4"/>
  <c r="BZ68" i="4"/>
  <c r="BZ16" i="4"/>
  <c r="BZ23" i="4"/>
  <c r="BZ38" i="4"/>
  <c r="BB72" i="4"/>
  <c r="BN72" i="4"/>
  <c r="BX72" i="4"/>
  <c r="BZ6" i="4"/>
  <c r="BZ59" i="4"/>
  <c r="BZ35" i="4"/>
  <c r="BZ17" i="4"/>
  <c r="BY72" i="4"/>
  <c r="AL72" i="4"/>
  <c r="F72" i="4"/>
  <c r="BZ57" i="4"/>
  <c r="AH72" i="4"/>
  <c r="GQ55" i="3"/>
  <c r="GP76" i="3"/>
  <c r="GP79" i="3" s="1"/>
  <c r="GQ14" i="3"/>
  <c r="GM65" i="3"/>
  <c r="HS45" i="3"/>
  <c r="HK47" i="3"/>
  <c r="HG48" i="3"/>
  <c r="HK41" i="3"/>
  <c r="GQ39" i="3"/>
  <c r="GQ34" i="3"/>
  <c r="HC41" i="3"/>
  <c r="HQ76" i="3"/>
  <c r="HS76" i="3" s="1"/>
  <c r="HS9" i="3"/>
  <c r="GK76" i="3"/>
  <c r="GM9" i="3"/>
  <c r="FQ76" i="3"/>
  <c r="DF76" i="3"/>
  <c r="BN76" i="3"/>
  <c r="F76" i="3"/>
  <c r="GO76" i="3"/>
  <c r="GQ76" i="3" s="1"/>
  <c r="GQ9" i="3"/>
  <c r="FT76" i="3"/>
  <c r="DJ76" i="3"/>
  <c r="BR76" i="3"/>
  <c r="HB76" i="3"/>
  <c r="HB80" i="3" s="1"/>
  <c r="GQ56" i="3"/>
  <c r="GQ26" i="3"/>
  <c r="GQ18" i="3"/>
  <c r="GQ15" i="3"/>
  <c r="HN76" i="3"/>
  <c r="FI76" i="3"/>
  <c r="CX76" i="3"/>
  <c r="Z76" i="3"/>
  <c r="GM43" i="3"/>
  <c r="GM61" i="3"/>
  <c r="HC43" i="3"/>
  <c r="FA76" i="3"/>
  <c r="HM76" i="3"/>
  <c r="FE76" i="3"/>
  <c r="BJ76" i="3"/>
  <c r="GQ73" i="3"/>
  <c r="GM73" i="3"/>
  <c r="HC69" i="3"/>
  <c r="HK68" i="3"/>
  <c r="GM69" i="3"/>
  <c r="HC57" i="3"/>
  <c r="HC55" i="3"/>
  <c r="GM51" i="3"/>
  <c r="GQ40" i="3"/>
  <c r="GQ36" i="3"/>
  <c r="GY50" i="3"/>
  <c r="GQ38" i="3"/>
  <c r="HK24" i="3"/>
  <c r="HF76" i="3"/>
  <c r="GE76" i="3"/>
  <c r="DV76" i="3"/>
  <c r="CD76" i="3"/>
  <c r="HC30" i="3"/>
  <c r="HC24" i="3"/>
  <c r="GM19" i="3"/>
  <c r="DZ76" i="3"/>
  <c r="CH76" i="3"/>
  <c r="AH76" i="3"/>
  <c r="GW76" i="3"/>
  <c r="GY9" i="3"/>
  <c r="GQ37" i="3"/>
  <c r="GY32" i="3"/>
  <c r="GQ31" i="3"/>
  <c r="HI76" i="3"/>
  <c r="HK9" i="3"/>
  <c r="FX76" i="3"/>
  <c r="DN76" i="3"/>
  <c r="BV76" i="3"/>
  <c r="R76" i="3"/>
  <c r="GY35" i="3"/>
  <c r="GL76" i="3"/>
  <c r="HC58" i="3"/>
  <c r="HE76" i="3"/>
  <c r="HG9" i="3"/>
  <c r="GM21" i="3"/>
  <c r="ES76" i="3"/>
  <c r="GM48" i="3"/>
  <c r="GQ59" i="3"/>
  <c r="GM66" i="3"/>
  <c r="GQ62" i="3"/>
  <c r="HK59" i="3"/>
  <c r="GQ61" i="3"/>
  <c r="HC56" i="3"/>
  <c r="GM55" i="3"/>
  <c r="HG58" i="3"/>
  <c r="GQ51" i="3"/>
  <c r="HC50" i="3"/>
  <c r="HK46" i="3"/>
  <c r="GM47" i="3"/>
  <c r="GM46" i="3"/>
  <c r="GY38" i="3"/>
  <c r="GM32" i="3"/>
  <c r="GY47" i="3"/>
  <c r="HG43" i="3"/>
  <c r="HC34" i="3"/>
  <c r="HK32" i="3"/>
  <c r="HK45" i="3"/>
  <c r="GY25" i="3"/>
  <c r="HA76" i="3"/>
  <c r="HC76" i="3" s="1"/>
  <c r="HC9" i="3"/>
  <c r="EL76" i="3"/>
  <c r="GY42" i="3"/>
  <c r="HJ76" i="3"/>
  <c r="EP76" i="3"/>
  <c r="GM29" i="3"/>
  <c r="GQ20" i="3"/>
  <c r="GM57" i="3"/>
  <c r="GQ52" i="3"/>
  <c r="GM31" i="3"/>
  <c r="GQ29" i="3"/>
  <c r="HC21" i="3"/>
  <c r="HK19" i="3"/>
  <c r="GX76" i="3"/>
  <c r="ED76" i="3"/>
  <c r="CL76" i="3"/>
  <c r="J76" i="3"/>
  <c r="GQ43" i="3"/>
  <c r="BZ70" i="2"/>
  <c r="BZ75" i="2"/>
  <c r="BZ66" i="2"/>
  <c r="BZ77" i="2"/>
  <c r="BZ59" i="2"/>
  <c r="BZ55" i="2"/>
  <c r="BZ31" i="2"/>
  <c r="BZ79" i="2"/>
  <c r="BZ38" i="2"/>
  <c r="BB87" i="2"/>
  <c r="BZ67" i="2"/>
  <c r="BZ60" i="2"/>
  <c r="V87" i="2"/>
  <c r="BZ29" i="2"/>
  <c r="BZ10" i="2"/>
  <c r="AP87" i="2"/>
  <c r="BZ25" i="2"/>
  <c r="BZ15" i="2"/>
  <c r="BV87" i="2"/>
  <c r="J87" i="2"/>
  <c r="BZ71" i="2"/>
  <c r="BZ78" i="2"/>
  <c r="BZ63" i="2"/>
  <c r="BZ41" i="2"/>
  <c r="BZ36" i="2"/>
  <c r="BZ24" i="2"/>
  <c r="F87" i="2"/>
  <c r="BZ53" i="2"/>
  <c r="BZ42" i="2"/>
  <c r="BX87" i="2"/>
  <c r="BZ5" i="2"/>
  <c r="R87" i="2"/>
  <c r="BZ14" i="2"/>
  <c r="AH87" i="2"/>
  <c r="BY87" i="2"/>
  <c r="BZ11" i="2"/>
  <c r="BZ7" i="2"/>
  <c r="BZ68" i="2"/>
  <c r="BN87" i="2"/>
  <c r="AD87" i="2"/>
  <c r="BZ12" i="2"/>
  <c r="BZ28" i="2"/>
  <c r="AX87" i="2"/>
  <c r="AL87" i="2"/>
  <c r="BZ80" i="2"/>
  <c r="BZ62" i="2"/>
  <c r="BZ64" i="2"/>
  <c r="BZ54" i="2"/>
  <c r="BZ58" i="2"/>
  <c r="BZ44" i="2"/>
  <c r="BZ30" i="2"/>
  <c r="BF87" i="2"/>
  <c r="BZ52" i="2"/>
  <c r="BZ32" i="2"/>
  <c r="BZ21" i="2"/>
  <c r="BZ18" i="2"/>
  <c r="AT87" i="2"/>
  <c r="N87" i="2"/>
  <c r="BZ8" i="2"/>
  <c r="HN28" i="1"/>
  <c r="V86" i="1"/>
  <c r="IF86" i="1"/>
  <c r="HJ84" i="1"/>
  <c r="HV61" i="1"/>
  <c r="HN61" i="1"/>
  <c r="HV80" i="1"/>
  <c r="HR71" i="1"/>
  <c r="HN70" i="1"/>
  <c r="HR67" i="1"/>
  <c r="HR63" i="1"/>
  <c r="HN81" i="1"/>
  <c r="HJ69" i="1"/>
  <c r="HV76" i="1"/>
  <c r="HJ56" i="1"/>
  <c r="HJ50" i="1"/>
  <c r="ID74" i="1"/>
  <c r="HZ53" i="1"/>
  <c r="HN47" i="1"/>
  <c r="HJ70" i="1"/>
  <c r="HR65" i="1"/>
  <c r="HV47" i="1"/>
  <c r="HM86" i="1"/>
  <c r="HZ11" i="1"/>
  <c r="HZ67" i="1"/>
  <c r="HN54" i="1"/>
  <c r="HR30" i="1"/>
  <c r="HZ34" i="1"/>
  <c r="HR33" i="1"/>
  <c r="HZ27" i="1"/>
  <c r="HZ25" i="1"/>
  <c r="HZ21" i="1"/>
  <c r="HR46" i="1"/>
  <c r="HR28" i="1"/>
  <c r="HP86" i="1"/>
  <c r="HR6" i="1"/>
  <c r="BV86" i="1"/>
  <c r="F86" i="1"/>
  <c r="DJ86" i="1"/>
  <c r="HN42" i="1"/>
  <c r="IJ86" i="1"/>
  <c r="IL6" i="1"/>
  <c r="FF86" i="1"/>
  <c r="DR86" i="1"/>
  <c r="HN7" i="1"/>
  <c r="IG86" i="1"/>
  <c r="BR86" i="1"/>
  <c r="AL86" i="1"/>
  <c r="FJ86" i="1"/>
  <c r="HN38" i="1"/>
  <c r="HN36" i="1"/>
  <c r="HN34" i="1"/>
  <c r="DT90" i="1"/>
  <c r="DT88" i="1"/>
  <c r="DT92" i="1"/>
  <c r="HJ41" i="1"/>
  <c r="GL86" i="1"/>
  <c r="ET86" i="1"/>
  <c r="HN13" i="1"/>
  <c r="HV82" i="1"/>
  <c r="HJ82" i="1"/>
  <c r="HZ60" i="1"/>
  <c r="HR52" i="1"/>
  <c r="HR57" i="1"/>
  <c r="HR50" i="1"/>
  <c r="HJ83" i="1"/>
  <c r="HR73" i="1"/>
  <c r="HZ71" i="1"/>
  <c r="HN48" i="1"/>
  <c r="IL29" i="1"/>
  <c r="HN52" i="1"/>
  <c r="HN30" i="1"/>
  <c r="ID26" i="1"/>
  <c r="HQ86" i="1"/>
  <c r="HJ9" i="1"/>
  <c r="HN44" i="1"/>
  <c r="HR42" i="1"/>
  <c r="HJ40" i="1"/>
  <c r="HZ38" i="1"/>
  <c r="HZ36" i="1"/>
  <c r="HN32" i="1"/>
  <c r="HR29" i="1"/>
  <c r="HJ21" i="1"/>
  <c r="HZ17" i="1"/>
  <c r="CH86" i="1"/>
  <c r="AP86" i="1"/>
  <c r="Z86" i="1"/>
  <c r="HH86" i="1"/>
  <c r="EN2" i="1"/>
  <c r="HJ6" i="1"/>
  <c r="HZ30" i="1"/>
  <c r="IB86" i="1"/>
  <c r="HV22" i="1"/>
  <c r="HF86" i="1"/>
  <c r="GD86" i="1"/>
  <c r="DZ86" i="1"/>
  <c r="DV88" i="1" s="1"/>
  <c r="DN86" i="1"/>
  <c r="CL86" i="1"/>
  <c r="HN46" i="1"/>
  <c r="HI86" i="1"/>
  <c r="CX86" i="1"/>
  <c r="IK86" i="1"/>
  <c r="HL86" i="1"/>
  <c r="HN86" i="1" s="1"/>
  <c r="HN6" i="1"/>
  <c r="CT86" i="1"/>
  <c r="HR82" i="1"/>
  <c r="HN60" i="1"/>
  <c r="HJ64" i="1"/>
  <c r="HJ65" i="1"/>
  <c r="HJ62" i="1"/>
  <c r="HN79" i="1"/>
  <c r="HN58" i="1"/>
  <c r="HJ53" i="1"/>
  <c r="HJ33" i="1"/>
  <c r="HJ45" i="1"/>
  <c r="HR19" i="1"/>
  <c r="BB86" i="1"/>
  <c r="J86" i="1"/>
  <c r="HU86" i="1"/>
  <c r="HT86" i="1"/>
  <c r="ED86" i="1"/>
  <c r="HJ42" i="1"/>
  <c r="FZ86" i="1"/>
  <c r="EX86" i="1"/>
  <c r="HX86" i="1"/>
  <c r="HZ6" i="1"/>
  <c r="BF86" i="1"/>
  <c r="FV86" i="1"/>
  <c r="EP86" i="1"/>
  <c r="HJ38" i="1"/>
  <c r="HJ36" i="1"/>
  <c r="HJ34" i="1"/>
  <c r="IC86" i="1"/>
  <c r="BJ86" i="1"/>
  <c r="HJ29" i="1"/>
  <c r="IH6" i="1"/>
  <c r="GX85" i="7" l="1"/>
  <c r="HG85" i="7"/>
  <c r="HK62" i="8"/>
  <c r="GX71" i="9"/>
  <c r="IE39" i="9"/>
  <c r="IE22" i="9"/>
  <c r="IE28" i="9"/>
  <c r="IE23" i="9"/>
  <c r="IE51" i="9"/>
  <c r="IE62" i="9"/>
  <c r="IE36" i="9"/>
  <c r="IE61" i="9"/>
  <c r="IE45" i="9"/>
  <c r="IE53" i="9"/>
  <c r="IR71" i="9"/>
  <c r="IE5" i="9"/>
  <c r="IE41" i="9"/>
  <c r="HX71" i="9"/>
  <c r="IE30" i="9"/>
  <c r="IE60" i="9"/>
  <c r="IE63" i="9"/>
  <c r="IE66" i="9"/>
  <c r="IE15" i="9"/>
  <c r="HC62" i="8"/>
  <c r="HO85" i="7"/>
  <c r="IE21" i="9"/>
  <c r="IE55" i="9"/>
  <c r="U141" i="9"/>
  <c r="U143" i="9" s="1"/>
  <c r="IE17" i="9"/>
  <c r="IE11" i="9"/>
  <c r="IE58" i="9"/>
  <c r="IE14" i="9"/>
  <c r="HP71" i="9"/>
  <c r="IE42" i="9"/>
  <c r="HV71" i="9"/>
  <c r="HO48" i="8"/>
  <c r="HM62" i="8"/>
  <c r="HO62" i="8" s="1"/>
  <c r="HG62" i="8"/>
  <c r="GV62" i="8"/>
  <c r="GX62" i="8" s="1"/>
  <c r="HC85" i="7"/>
  <c r="HK85" i="7"/>
  <c r="HI72" i="5"/>
  <c r="HV86" i="1"/>
  <c r="HR86" i="1"/>
  <c r="IH86" i="1"/>
  <c r="HG76" i="3"/>
  <c r="BZ147" i="6"/>
  <c r="HI72" i="6"/>
  <c r="HM72" i="6"/>
  <c r="IG72" i="5"/>
  <c r="IC72" i="5"/>
  <c r="HU72" i="5"/>
  <c r="BZ72" i="4"/>
  <c r="HK76" i="3"/>
  <c r="HO76" i="3"/>
  <c r="GY76" i="3"/>
  <c r="GM76" i="3"/>
  <c r="BZ87" i="2"/>
  <c r="HJ86" i="1"/>
  <c r="IL86" i="1"/>
  <c r="ID86" i="1"/>
  <c r="HZ86" i="1"/>
  <c r="IS71" i="9" l="1"/>
  <c r="U147" i="9"/>
  <c r="Y147" i="9"/>
  <c r="U149" i="9" l="1"/>
  <c r="U151" i="9" s="1"/>
</calcChain>
</file>

<file path=xl/sharedStrings.xml><?xml version="1.0" encoding="utf-8"?>
<sst xmlns="http://schemas.openxmlformats.org/spreadsheetml/2006/main" count="3660" uniqueCount="724">
  <si>
    <t>NORMAL PROJECT</t>
  </si>
  <si>
    <t>Nigerian Defence Academy</t>
  </si>
  <si>
    <t>ALLOCATION</t>
  </si>
  <si>
    <t>TTT</t>
  </si>
  <si>
    <t>Medical Schools</t>
  </si>
  <si>
    <t>SPECIAL(Biotech Unimaid)&amp;( CAUG ATBU)</t>
  </si>
  <si>
    <t>SPECIAL(WAUG)</t>
  </si>
  <si>
    <t>SPECIAL</t>
  </si>
  <si>
    <t>BOT Special Project</t>
  </si>
  <si>
    <t>NORMAL</t>
  </si>
  <si>
    <t>ENTREPRENEURSHIP</t>
  </si>
  <si>
    <t>2015 Programme Upgrade</t>
  </si>
  <si>
    <t>2015 Project Maintenance</t>
  </si>
  <si>
    <t>2015 Advocacy/ Publicity of Tetfund Projects</t>
  </si>
  <si>
    <t>2015 ENTERPRENUERSHIP</t>
  </si>
  <si>
    <t>2015 SPECIAL PROJECT</t>
  </si>
  <si>
    <t>2016 PHYSICAL INFRACTURE/PROGRAM UPGRADE</t>
  </si>
  <si>
    <t>2016 PROJECT MAINTENANCE</t>
  </si>
  <si>
    <t>2016 ICT SUPPORT</t>
  </si>
  <si>
    <t>2016 ENTREPRENEURSHIP</t>
  </si>
  <si>
    <t>2016 Special Project</t>
  </si>
  <si>
    <t>2016 ZONAL PROJECT</t>
  </si>
  <si>
    <t>2017 PROGRAM UPGRADE</t>
  </si>
  <si>
    <t>2017 ZONAL INTERVENTION</t>
  </si>
  <si>
    <t>2017 PROJECT MAINTENANCE</t>
  </si>
  <si>
    <t>2017 ENTRPRENEURSHIP CENTRES</t>
  </si>
  <si>
    <t>2017 ICT SUPPORT</t>
  </si>
  <si>
    <t>2017 SPECIAL PROJECT/DISASTER RECOVERY</t>
  </si>
  <si>
    <t>2018 PHYSICAL INFTRASTRUCTURE DEVELOPMENT</t>
  </si>
  <si>
    <t>2018 ZONAL INTERVENTION</t>
  </si>
  <si>
    <t>2018 PROJECT MAINTAINANCE</t>
  </si>
  <si>
    <t>2018 ENTREPRENEURSHIP</t>
  </si>
  <si>
    <t>2018 ICT SUPPORT</t>
  </si>
  <si>
    <t>2018 SPECIAL INTERVENTION (NATURAL DISASTER)</t>
  </si>
  <si>
    <t>SHIP</t>
  </si>
  <si>
    <t>2011 BOT</t>
  </si>
  <si>
    <t>2012 BOT</t>
  </si>
  <si>
    <t>2013 BOT</t>
  </si>
  <si>
    <t>2013 NORMAL</t>
  </si>
  <si>
    <t>2013 ENTERPRENUERSHIP</t>
  </si>
  <si>
    <t>2014 NORMAL</t>
  </si>
  <si>
    <t>2014 ENTERPRENUERSHIP</t>
  </si>
  <si>
    <t>2014 SPECIAL</t>
  </si>
  <si>
    <t>To date</t>
  </si>
  <si>
    <t>NORMAL (1999-2018) INTERVENTION YEAR</t>
  </si>
  <si>
    <t>SPECIAL PROJECT (2006-2014, 2016&amp; 2018) INTERVENTION YEAR</t>
  </si>
  <si>
    <t>ENTREPRENEURSHIP (2011-2018) INTERVENTION YEAR</t>
  </si>
  <si>
    <t>PROJECT MAINTENANCE (2015 - 2018) INTERVENTION YEAR</t>
  </si>
  <si>
    <t>ICT SUPPORT (2018) INTERVENTION YEAR</t>
  </si>
  <si>
    <t>ADVOCACY (2015)</t>
  </si>
  <si>
    <t>ZONAL INTERVENTION (2016-2018) INTERVENTION YEAR</t>
  </si>
  <si>
    <t>S/N</t>
  </si>
  <si>
    <t>INSTITUTIONS</t>
  </si>
  <si>
    <t>ZONE</t>
  </si>
  <si>
    <t>Allocation</t>
  </si>
  <si>
    <t>Disbursement</t>
  </si>
  <si>
    <t>Balance</t>
  </si>
  <si>
    <t>Committed Fund 1999-2011</t>
  </si>
  <si>
    <t xml:space="preserve">    Accessed </t>
  </si>
  <si>
    <t xml:space="preserve">   Unaccessed</t>
  </si>
  <si>
    <t>University of Abuja</t>
  </si>
  <si>
    <t>NC</t>
  </si>
  <si>
    <t>Ahmadu Bello University Zaria</t>
  </si>
  <si>
    <t>NW</t>
  </si>
  <si>
    <t>University of Benin</t>
  </si>
  <si>
    <t>SS</t>
  </si>
  <si>
    <t>Bayero University Kano</t>
  </si>
  <si>
    <t>University of Calabar</t>
  </si>
  <si>
    <t>University of Ibadan</t>
  </si>
  <si>
    <t>SW</t>
  </si>
  <si>
    <t>University of Lagos</t>
  </si>
  <si>
    <t>University of Jos.</t>
  </si>
  <si>
    <t>University of Ilorin</t>
  </si>
  <si>
    <t>University of Maiduguri</t>
  </si>
  <si>
    <t>NE</t>
  </si>
  <si>
    <t>Univ. of Nigeria Nsukka</t>
  </si>
  <si>
    <t>SE</t>
  </si>
  <si>
    <t>Obafemi Awolowo Univ. Ile-Ife</t>
  </si>
  <si>
    <t>Usman Danfodio Univ. Sokoto</t>
  </si>
  <si>
    <t>University of Port-Harcourt</t>
  </si>
  <si>
    <t>Abia State University Uturu</t>
  </si>
  <si>
    <t>Abubakar Tafawa Balewa University, Bauchi</t>
  </si>
  <si>
    <t>Adekunle Ajasin (Ondo State) University Akungba</t>
  </si>
  <si>
    <t>Ambrose Ali University Ekpoma</t>
  </si>
  <si>
    <t>Benue State Univeristy</t>
  </si>
  <si>
    <t>Delta State University</t>
  </si>
  <si>
    <t>Ebonyi State Univ. Abakaliki</t>
  </si>
  <si>
    <t>Enugu State University of Science &amp; Technology</t>
  </si>
  <si>
    <t>Imo State University Owerri</t>
  </si>
  <si>
    <t>Kano State Univ. of Technoloy Wudil</t>
  </si>
  <si>
    <t>Kogi State university Ayangba</t>
  </si>
  <si>
    <t>Lagos State University Ojo</t>
  </si>
  <si>
    <t>Nnamdi Azikiwe Univ. Akwa</t>
  </si>
  <si>
    <t>Olabisi Onabanjo University Ago-Iwoye</t>
  </si>
  <si>
    <t>University of Ado -Ekiti</t>
  </si>
  <si>
    <t>R/State Uni of Sci. &amp; Tech. P/H.</t>
  </si>
  <si>
    <t>University of Uyo</t>
  </si>
  <si>
    <t>Niger Delta Univ. Bayelsa</t>
  </si>
  <si>
    <t>Federal Univ. of Tech., Akure</t>
  </si>
  <si>
    <t>Federal Univ. of Tech., Minna</t>
  </si>
  <si>
    <t>Federal Univ. of Tech., Owerri</t>
  </si>
  <si>
    <t>Federal Univ. of Tech., Yola (Modibbo Adama)</t>
  </si>
  <si>
    <t>Ladoke Akintola Univ.  Ogbomosho, Oyo</t>
  </si>
  <si>
    <t>University of Agric. Abeokuta</t>
  </si>
  <si>
    <t>University of Agric. Makurdi</t>
  </si>
  <si>
    <t>Michael Okpara Univ.of Agric. Umudike</t>
  </si>
  <si>
    <t>Adamawa State University Mubi</t>
  </si>
  <si>
    <t>Nasarawa State Univ. Keffi</t>
  </si>
  <si>
    <t>Kaduna State Univ. Kaduna</t>
  </si>
  <si>
    <t>Anambra State Univ. Sci. &amp; Tech Uli(chukwuemeka ojukwu university,uli)</t>
  </si>
  <si>
    <t>Gombe State University</t>
  </si>
  <si>
    <t>Ibrahim Babangida University, Lapai</t>
  </si>
  <si>
    <t>Akwa Ibom State Univ. of Science &amp; Tech.</t>
  </si>
  <si>
    <t>Cross River State Univ. of Science &amp; Technology</t>
  </si>
  <si>
    <t>Tai Solarin University of Education Ijebu-Ode</t>
  </si>
  <si>
    <t>Yobe State University Damaturu</t>
  </si>
  <si>
    <t>Umaru Musa Yar'adua University, Katsina</t>
  </si>
  <si>
    <t>Fed.Uni.of Pet.Resources Effurun Delta St.</t>
  </si>
  <si>
    <t>Osun State University,Osogbo</t>
  </si>
  <si>
    <t>Kebbi State University of Science &amp; Technolgy Aliero</t>
  </si>
  <si>
    <t>55a</t>
  </si>
  <si>
    <t>Ekiti State University of Education, Ikere-Ekiti</t>
  </si>
  <si>
    <t>Kwara State Univeristy Malete</t>
  </si>
  <si>
    <t>Plateau State University, Bokkos</t>
  </si>
  <si>
    <t>Taraba State University, Jalingo</t>
  </si>
  <si>
    <t>Ignatius Ajuru University of Education Rivers State</t>
  </si>
  <si>
    <t>Bauchi State University, Gadau</t>
  </si>
  <si>
    <t xml:space="preserve"> Federal University of Oye, Ekiti</t>
  </si>
  <si>
    <t xml:space="preserve"> Federal University Dustin Ma</t>
  </si>
  <si>
    <t xml:space="preserve"> Federal University Duste</t>
  </si>
  <si>
    <t xml:space="preserve"> Federal University, Lokoja</t>
  </si>
  <si>
    <t xml:space="preserve"> Federal University, Wukari</t>
  </si>
  <si>
    <t xml:space="preserve"> Federal University, Kashere</t>
  </si>
  <si>
    <t xml:space="preserve"> Federal University, Lafia</t>
  </si>
  <si>
    <t xml:space="preserve"> Federal University, Ndufu Alike</t>
  </si>
  <si>
    <t xml:space="preserve"> Federal University of Otuoke, Bayelsa State</t>
  </si>
  <si>
    <t xml:space="preserve"> FEDERAL UNIVERSITY, BIRNIN-KEBBI, KEBBI STATE</t>
  </si>
  <si>
    <t xml:space="preserve"> FEDERAL UNIVERSITY, GUSAU, ZAMFARA STATE</t>
  </si>
  <si>
    <t xml:space="preserve"> FEDERAL UNIVERSITY, GASHUA, YOBE STATE</t>
  </si>
  <si>
    <t>Sokoto State University, Sokoto</t>
  </si>
  <si>
    <t>National Open University of Nigeria Lagos,</t>
  </si>
  <si>
    <t>Nigerian Police Academy, Wudil, Kano State</t>
  </si>
  <si>
    <t>North West University</t>
  </si>
  <si>
    <t>76a</t>
  </si>
  <si>
    <t xml:space="preserve">Nat. Postgraduate Med. </t>
  </si>
  <si>
    <t>Jigawa State University, Kafin Hausa</t>
  </si>
  <si>
    <t>NIGERIAN ARMY UNIVERSITY, BIU BORNO STATE (2B TAKE OFF GRANT 2018)</t>
  </si>
  <si>
    <t>Total</t>
  </si>
  <si>
    <t>LIBRARY ALLOCATION</t>
  </si>
  <si>
    <t>LIBRARY DEVELOPMENT</t>
  </si>
  <si>
    <t>Committed Fund 1999-2018</t>
  </si>
  <si>
    <t>University of Nigeria Nsukka</t>
  </si>
  <si>
    <t>Nig. Defence Academy Kaduna</t>
  </si>
  <si>
    <t>A. T. B.  Univ. Bauchi</t>
  </si>
  <si>
    <t>Adekunle Ajasin University Akungba</t>
  </si>
  <si>
    <t>Enugu State University of Science &amp; Technology, Enugu</t>
  </si>
  <si>
    <t>Imo State Univ. Owerri</t>
  </si>
  <si>
    <t>Kano State Univ.  Wudil</t>
  </si>
  <si>
    <t>Kogi State Univ. Ayangba</t>
  </si>
  <si>
    <t>Niger Delta University Bayelsa</t>
  </si>
  <si>
    <t>Ladoke AkintolaUni. Ogbomosho</t>
  </si>
  <si>
    <t>University of Agriculture Makurdi</t>
  </si>
  <si>
    <t>Micheal Okpara University of Agriculture Umudike</t>
  </si>
  <si>
    <t>Adamawa State Univ. Mubi</t>
  </si>
  <si>
    <t>Nasarawa state University Keffi</t>
  </si>
  <si>
    <t>Kaduna state University</t>
  </si>
  <si>
    <t>Jigawa State University Kafin Hausa</t>
  </si>
  <si>
    <t>Nigerian Army University, Biu Borno State</t>
  </si>
  <si>
    <t>DISBURSEMENT FROM 1999------ DECEMBER, 2010</t>
  </si>
  <si>
    <t>tve</t>
  </si>
  <si>
    <t>Special Proj.</t>
  </si>
  <si>
    <t>TVE</t>
  </si>
  <si>
    <t>BOT Sp. Proj.</t>
  </si>
  <si>
    <t>2011 NORMAL</t>
  </si>
  <si>
    <t>2011 EQUIPMENT FABRICATION</t>
  </si>
  <si>
    <t>2011 bot special</t>
  </si>
  <si>
    <t>2012 BOT SPECIAL</t>
  </si>
  <si>
    <t>2013 BOT SPECIAL</t>
  </si>
  <si>
    <t>2013 EQUIPMENT FABRICATION</t>
  </si>
  <si>
    <t>2014 EQUIPMENT FABRICATION</t>
  </si>
  <si>
    <t>2015 Programme Upgrade( Provision for Accreditation Facilities</t>
  </si>
  <si>
    <t>2015 EQUIPMENT FABRICATION</t>
  </si>
  <si>
    <t>2016 Physical Infracture/ Program Upgrade</t>
  </si>
  <si>
    <t>2016 Project Maintenance</t>
  </si>
  <si>
    <t>2016 EQUIPMENT FABRICATION</t>
  </si>
  <si>
    <t>2016 ZONAL INTERVENTION</t>
  </si>
  <si>
    <t>2017 Program Upgrade</t>
  </si>
  <si>
    <t>2017 EQUIPMENT FABRICATION</t>
  </si>
  <si>
    <t>2018 PHYSICAL INFRASTRUTURE</t>
  </si>
  <si>
    <t>2018 PROJECT MAINTENANCE</t>
  </si>
  <si>
    <t>2018 EQUIPMENT FABRICATION</t>
  </si>
  <si>
    <t>2018 DISASTER RECOVERY</t>
  </si>
  <si>
    <t xml:space="preserve">    Accessed</t>
  </si>
  <si>
    <t>NORMAL (1999-2018)</t>
  </si>
  <si>
    <t>SPECIAL PROJECT( 2004,2009-2015)</t>
  </si>
  <si>
    <t>Equipment Fabrication (2011-2018)</t>
  </si>
  <si>
    <t>PROJECT MAINTENANCE (2015-2018)</t>
  </si>
  <si>
    <t>ZONAL (2016-2018) INTERVENTION YEAR</t>
  </si>
  <si>
    <t>ADVOCACY</t>
  </si>
  <si>
    <t>ICT SUPPORT</t>
  </si>
  <si>
    <t>Federal Polytechnic Oko Anambra</t>
  </si>
  <si>
    <t>Federal Polytechnic Mubi Adamawa</t>
  </si>
  <si>
    <t>Federal Polytechnic  Bauchi</t>
  </si>
  <si>
    <t>Federal Polytechnic  Auchi</t>
  </si>
  <si>
    <t>Federal Polytechnic  Damaturu</t>
  </si>
  <si>
    <t>Federal Polytechnic Nekede</t>
  </si>
  <si>
    <t>Waziri Umaru Polytechnic Brinin-Kebbi</t>
  </si>
  <si>
    <t>Federal Polytechnic  Idah</t>
  </si>
  <si>
    <t>Federal Polytechnic   Ilaro</t>
  </si>
  <si>
    <t>Federal Polytechnic   Offa</t>
  </si>
  <si>
    <t>Federal Polytechnic  Nasarawa</t>
  </si>
  <si>
    <t>Federal Polytechnic   Bida</t>
  </si>
  <si>
    <t>Federal Polytechnic  Ado-Ekiti</t>
  </si>
  <si>
    <t>Federal Polytechnic   Ede</t>
  </si>
  <si>
    <t>Federal Polytechnic   Kaura Namoda</t>
  </si>
  <si>
    <t>Federal Polytechnic Kaduna</t>
  </si>
  <si>
    <t>The Polytechnic Ibadan</t>
  </si>
  <si>
    <t>Yaba College of Tech. Yaba</t>
  </si>
  <si>
    <t>Abia State Polytechnic</t>
  </si>
  <si>
    <t>Akanu Ibiam Polytechnic Uwana</t>
  </si>
  <si>
    <t>Adamawa State Poly. Yola</t>
  </si>
  <si>
    <t>Akwa Ibom State Polytechnic</t>
  </si>
  <si>
    <t>Tatari Ali Polytechnic Bauchi</t>
  </si>
  <si>
    <t>Benue State Poly. Ugbokolo</t>
  </si>
  <si>
    <t>Ramat Polytechnic Maiduguri</t>
  </si>
  <si>
    <t>Institute of Management &amp; Technology Enugu</t>
  </si>
  <si>
    <t>Hussaini Adamu  Poly. Kazure</t>
  </si>
  <si>
    <t xml:space="preserve">Nuhu Bamalli Polytechnic Zaria                               </t>
  </si>
  <si>
    <t>Kano State Polytechnic</t>
  </si>
  <si>
    <t>Hassan Usman Poly. Katsina</t>
  </si>
  <si>
    <t>Kogi State Polytechnic Lokoja</t>
  </si>
  <si>
    <t>Kwara State Polytechnic Ilorin</t>
  </si>
  <si>
    <t>Niger State Polytechnic</t>
  </si>
  <si>
    <t>Lagos State Polytechnic</t>
  </si>
  <si>
    <t>Moshood Abiola Poly. Abeokuta</t>
  </si>
  <si>
    <t>Rufus Giwa Polytechnic Owo</t>
  </si>
  <si>
    <t>Osun State Polytechnic Iree</t>
  </si>
  <si>
    <t>Osun State Coll. Tech. Esa-Oke</t>
  </si>
  <si>
    <t>Plateau State Poly. B/Ladi</t>
  </si>
  <si>
    <t>Rivers State Polytechnic Bori (Kenule Beeson Saro Wiwa)</t>
  </si>
  <si>
    <t>Sokoto State Polytechnic (Umar Ali Shinkafi )</t>
  </si>
  <si>
    <t>Nasarawa State Polytechnic</t>
  </si>
  <si>
    <t>Taraba State Polytechnic</t>
  </si>
  <si>
    <t>Abdul Gusau Poly. Zamfara</t>
  </si>
  <si>
    <t>Delta State Poly. Ozoro</t>
  </si>
  <si>
    <t>Delta State Poly. Otefe</t>
  </si>
  <si>
    <t>Delta State Poly. Ogwashi-Uku</t>
  </si>
  <si>
    <t>Mai Idris Alooma Polytechnic, Yobe</t>
  </si>
  <si>
    <t>Jigawa State Polytechnic, Dutse</t>
  </si>
  <si>
    <t xml:space="preserve"> Imo State Polytechnic, Umuagwo</t>
  </si>
  <si>
    <t>FEDERAL POLYTECHNIC EKOWE</t>
  </si>
  <si>
    <t>Edo State Polytechnic Useni (former IMT Useni)</t>
  </si>
  <si>
    <t>Federal Polytechnic, Bali Taraba State</t>
  </si>
  <si>
    <t>FEDERAL POLYTECHNIC UKANA, AKWA IBOM</t>
  </si>
  <si>
    <t>FEDERAL POLYTECHNIC, ILE OLUJI ONDO STATE</t>
  </si>
  <si>
    <t>NATIONAL INSTITUTE FOR CONSTRUCTION TECHNO. UROMI, EDO STATE</t>
  </si>
  <si>
    <t>Federal Polytechnic of Oil &amp; Gas, bonny, Rivers</t>
  </si>
  <si>
    <t>Abraham Adesanya Polytechnic, Ijebu -Ode</t>
  </si>
  <si>
    <t>Oyo State College of Agric &amp; Technology</t>
  </si>
  <si>
    <t>Anambra State Polytechnic Uli</t>
  </si>
  <si>
    <t>The Polytechnic Calabar</t>
  </si>
  <si>
    <t>Nig. Army School of Engineering Makurdi</t>
  </si>
  <si>
    <t>320 Nig. Air Force Tech Training Kaduna</t>
  </si>
  <si>
    <t>Federal School of Surveying Oyo</t>
  </si>
  <si>
    <t>Armed Forces Command &amp; Staff College, Jaji</t>
  </si>
  <si>
    <t>Industrial Training Fund</t>
  </si>
  <si>
    <t>POLYTECHNICS</t>
  </si>
  <si>
    <t>S/No.</t>
  </si>
  <si>
    <t>Committed Fund 2001-2018</t>
  </si>
  <si>
    <t>ACCESSED</t>
  </si>
  <si>
    <t>BALANCE</t>
  </si>
  <si>
    <t>Federal Polytechnic Auchi</t>
  </si>
  <si>
    <t>Federal Polytechnic Damaturu</t>
  </si>
  <si>
    <t>Federal Polytechnic Brinin-Kebbi</t>
  </si>
  <si>
    <t>Federal Polytechnic Idah</t>
  </si>
  <si>
    <t>Federal Polytechnic Ilaro</t>
  </si>
  <si>
    <t>Federal Polytechnic Offa</t>
  </si>
  <si>
    <t>Federal Polytechnic Nasarawa</t>
  </si>
  <si>
    <t>Federal Polytechnic Bida</t>
  </si>
  <si>
    <t>Federal Polytechnic Ado-Ekiti</t>
  </si>
  <si>
    <t>Federal Polytechnic Ede</t>
  </si>
  <si>
    <t>Federal Polytechnic Kaura Namoda</t>
  </si>
  <si>
    <t>Akanu Ibiam Poly. Uwana</t>
  </si>
  <si>
    <t>Akwa Ibom State Polytehnic</t>
  </si>
  <si>
    <t xml:space="preserve">Kaduna State Poly. Zaria(Nuhu)                                </t>
  </si>
  <si>
    <t>Hassan Usman Polytechnic Katsina</t>
  </si>
  <si>
    <t>Rufus Jiwa Polytechnic Owo</t>
  </si>
  <si>
    <t>Rivers State Polytechnic Bori</t>
  </si>
  <si>
    <t xml:space="preserve">Nasarawa State Poly. </t>
  </si>
  <si>
    <t>DELTA State Poly. Ozoro</t>
  </si>
  <si>
    <t>DELTA State Poly. Otefe</t>
  </si>
  <si>
    <t>Delta State Polytechnic Ugwashi-Uku</t>
  </si>
  <si>
    <t>Mai Idris Alooma Polytechnic Geidam,Yobe State</t>
  </si>
  <si>
    <t>Imo State Polytechnic, Umuagwo</t>
  </si>
  <si>
    <t>Federal Polytechnic, Ekowe Bayelsa State</t>
  </si>
  <si>
    <t>Edo State Institute of Technology and Management, Usen</t>
  </si>
  <si>
    <t>Nig. Army School of Engr. Makurdi</t>
  </si>
  <si>
    <t>320 Tech training group Nig. Air Force</t>
  </si>
  <si>
    <t xml:space="preserve">   % Unaccessed</t>
  </si>
  <si>
    <t>SUMMARY</t>
  </si>
  <si>
    <t>COLLEGES OF EDUCATION</t>
  </si>
  <si>
    <t>Tech. Equip.</t>
  </si>
  <si>
    <t>BOT</t>
  </si>
  <si>
    <t>BOT SPECIAL</t>
  </si>
  <si>
    <t xml:space="preserve">BOT </t>
  </si>
  <si>
    <t>Special Intervention</t>
  </si>
  <si>
    <t>TTT 2013</t>
  </si>
  <si>
    <t>TTT 2014</t>
  </si>
  <si>
    <t>2015 TEACHING PRACTICE</t>
  </si>
  <si>
    <t xml:space="preserve"> SPECIAL PROJECT 2015</t>
  </si>
  <si>
    <t>2016 PHYSICAL INFRASTRUCTURE/ PROGRAM UPGRADE</t>
  </si>
  <si>
    <t>2016 TEACHING PRACTICE</t>
  </si>
  <si>
    <t>2017 TEACHING PRACTICE</t>
  </si>
  <si>
    <t>2018 PHYSICAL INFRASTRUCTURE</t>
  </si>
  <si>
    <t>2018 TEACHING PRACTICE</t>
  </si>
  <si>
    <t>SPECIAL PROJECT (2007, 2009-2014)</t>
  </si>
  <si>
    <t>TTT (2000-2002)</t>
  </si>
  <si>
    <t>TEACHING PRACTICE (2011-2018)</t>
  </si>
  <si>
    <t>ICT SUPPORT (2016 - 2018)</t>
  </si>
  <si>
    <t>ZONAL</t>
  </si>
  <si>
    <t>Federal College of Education Yola</t>
  </si>
  <si>
    <t>Federal College of Education (T) Umunze</t>
  </si>
  <si>
    <t>Federal College of Education (T) Obudu</t>
  </si>
  <si>
    <t>Federal College of Education (T) Asaba</t>
  </si>
  <si>
    <t>Federal College of Education Eha-Amufu</t>
  </si>
  <si>
    <t>Federal College of Education (T) Gombe</t>
  </si>
  <si>
    <t>Federal College of Education Zaria</t>
  </si>
  <si>
    <t>Federal College of Education (T) Bichi</t>
  </si>
  <si>
    <t>Federal College of Education Kano</t>
  </si>
  <si>
    <t>Federal College of Education Katsina</t>
  </si>
  <si>
    <t>Federal College of Education Okene</t>
  </si>
  <si>
    <t>Federal College of Education (T) Akoka Lagos</t>
  </si>
  <si>
    <t>Federal College of Education Kotangora</t>
  </si>
  <si>
    <t>Federal College of Education Osiele Abeokuta</t>
  </si>
  <si>
    <t>Federal College of Education (S) Oyo</t>
  </si>
  <si>
    <t>Federal College of Education Pankshin</t>
  </si>
  <si>
    <t>Federal College of Education (T) Omoku</t>
  </si>
  <si>
    <t>Federal College of Education (T) Potiskum</t>
  </si>
  <si>
    <t>Federal College of Education(T) Gusau</t>
  </si>
  <si>
    <t>Federal College of Education Zuba</t>
  </si>
  <si>
    <t>Federal College of Education Arochukwu( Abia State COE)</t>
  </si>
  <si>
    <t>Adamawa State Coll. Of Educ. Hong</t>
  </si>
  <si>
    <t>Akwa Ibom State Coll. Of Educ. Afaha</t>
  </si>
  <si>
    <t>Nwafor Orizu (Anam State) COE Nsugbe</t>
  </si>
  <si>
    <t>Bauchi State coll. Of Educ. Azare</t>
  </si>
  <si>
    <t>Benue State Coll. Of Educ. Kat. Ala</t>
  </si>
  <si>
    <t>Benue State Coll. Of Educ. Oju</t>
  </si>
  <si>
    <t>Umar,Ibn El-kanemi Coll.of Ed.Sci.&amp; Tech.</t>
  </si>
  <si>
    <t>Kashim Ibrahim Coll. Of Educ. M/guri</t>
  </si>
  <si>
    <t>Coll. Of Educ. Waka Biu</t>
  </si>
  <si>
    <t>Coll. Of Education Agbor</t>
  </si>
  <si>
    <t>Coll. Of Education Warri</t>
  </si>
  <si>
    <t>Coll. Of Education Ekiadolor</t>
  </si>
  <si>
    <t xml:space="preserve">Alvan Ikoku Coll. Of Education </t>
  </si>
  <si>
    <t>Coll. Of Education Gumel Jigawa</t>
  </si>
  <si>
    <t>Coll. Of Education Gidan Waya</t>
  </si>
  <si>
    <t>Sa'adatu Rimi College of Education, Kumbotso</t>
  </si>
  <si>
    <t>Coll. Of Educ. (Isa Kaita) Dutsin-Ma</t>
  </si>
  <si>
    <t>Adamu Augie Coll.of Educ.Argungu</t>
  </si>
  <si>
    <t>Coll. Of Education Ankpa</t>
  </si>
  <si>
    <t>Coll. Of Education Ilorin</t>
  </si>
  <si>
    <t>Coll. Of Education Oro Kwara</t>
  </si>
  <si>
    <t>Coll. Of Education (T)  Lafiagi</t>
  </si>
  <si>
    <t>Coll. Of Education Minna</t>
  </si>
  <si>
    <t>Coll. Of Education Akwanga</t>
  </si>
  <si>
    <t>Adeniran Ogunsanyan College of Education Ijanikin</t>
  </si>
  <si>
    <t>Michael Otedola COPED (COE Noforija Epe).</t>
  </si>
  <si>
    <t>Adeyemi Coll. Of Educ. Ondo</t>
  </si>
  <si>
    <t>Coll. Of Education Ikere Ekiti</t>
  </si>
  <si>
    <t xml:space="preserve">Osun State Coll. Of Educ. Ilesha </t>
  </si>
  <si>
    <t>Coll. Of Educ. Ila Oragun Osun</t>
  </si>
  <si>
    <t>Emmanuel Ayande College of Education, Oyo</t>
  </si>
  <si>
    <t>Coll. Of Education GindIri</t>
  </si>
  <si>
    <t>53a</t>
  </si>
  <si>
    <t>Coll. Of Education Rumuolumeni P/H</t>
  </si>
  <si>
    <t>Shehu Shagari Coll. Of Edu Sokoto</t>
  </si>
  <si>
    <t>Coll. Of Education Jalingo-Zing</t>
  </si>
  <si>
    <t>Umar Suleiman Coll. Of Education Gashua Yobe</t>
  </si>
  <si>
    <t xml:space="preserve">Zamfara State College of Education Maru  </t>
  </si>
  <si>
    <t>College of Education Ikwo Ebonyi</t>
  </si>
  <si>
    <t>College of Physical Education, Mosogar Delta State</t>
  </si>
  <si>
    <t>Nig. Army Educ. Corps &amp; School Ilorin</t>
  </si>
  <si>
    <t>Enugu State COE (Tech.), Enugu</t>
  </si>
  <si>
    <t>Coll. Of Educ. Akamkpa</t>
  </si>
  <si>
    <t>Tai Solarin Coll. Of Educ. Ijebu-Ode</t>
  </si>
  <si>
    <t>College of Education Igueben, Edo State</t>
  </si>
  <si>
    <t>Isaac Jasper Boro College of Education, Sagbama</t>
  </si>
  <si>
    <t>Kogi State College of Education (Technical), Kabba</t>
  </si>
  <si>
    <t>66a</t>
  </si>
  <si>
    <t>Nig. Army Educ. Corps &amp; Sch Lagos Yaba</t>
  </si>
  <si>
    <t>LIBRARY DEVELOPMENT (2011-2018)</t>
  </si>
  <si>
    <t>Akwa Ibom State Coll. of Educ. Afaha  Nsit</t>
  </si>
  <si>
    <t>Benue State Coll. Of Educ. Katsina Ala</t>
  </si>
  <si>
    <t>Benue State Coll. Of Educ.  Oju</t>
  </si>
  <si>
    <t>Umar,Ibn Elkanemi Coll.of Ed.Sci.&amp; Tech.</t>
  </si>
  <si>
    <t>Coll. Of Education Waka Biu</t>
  </si>
  <si>
    <t>Coll. Of Educ. Gumel Jigawa</t>
  </si>
  <si>
    <t>College of Education (Isa Kaita) Dutsin-Ma</t>
  </si>
  <si>
    <t>Coll. Of Education Argungu Kebbi</t>
  </si>
  <si>
    <t>Coll. Of Education Lafiagi</t>
  </si>
  <si>
    <t>Adeniran Ogunsanyan Coll. Of Educ. Ijanikin</t>
  </si>
  <si>
    <t xml:space="preserve"> Michael Otedola COPED (COE Noforija Epe).</t>
  </si>
  <si>
    <t>Coll. Of Educ. Rumuolumeni P/H</t>
  </si>
  <si>
    <t>Shehu Shagari Coll. Of Educ. Sokoto</t>
  </si>
  <si>
    <t>Coll. Of Education Jalingo</t>
  </si>
  <si>
    <t>Umar Sueliman Coll. Of Education Gashua Yobe</t>
  </si>
  <si>
    <t>Coll. Of Education Ikwo Ebonyi</t>
  </si>
  <si>
    <t>Nig. Army Educ. Corps &amp; Schl. Ilorin</t>
  </si>
  <si>
    <t xml:space="preserve"> Enugu State COE (Tech.), Enugu</t>
  </si>
  <si>
    <t>Coll. Of Education Akamkpa</t>
  </si>
  <si>
    <t>Issac Jasper Boro College of Education, Sagbama</t>
  </si>
  <si>
    <t>STAFF TRAINING &amp; DEVELOPMENT 2004</t>
  </si>
  <si>
    <t>STAFF TRAINING &amp; DEVELOPMENT 2008</t>
  </si>
  <si>
    <t>STAFF TRAINING &amp; DEVELOPMENT 2009</t>
  </si>
  <si>
    <t xml:space="preserve"> RESEARCH GRANT 2009</t>
  </si>
  <si>
    <t xml:space="preserve"> 2009 PUBLICATION OF JOURNALS</t>
  </si>
  <si>
    <t xml:space="preserve"> 2010 Staff Training &amp; Development (ALLOCATION)</t>
  </si>
  <si>
    <t xml:space="preserve"> 2010 Research Grant (ALLOCATION)</t>
  </si>
  <si>
    <t>2010 Journal Publication (ALLOCATION)</t>
  </si>
  <si>
    <t>2010 Conference Attendance (Academic( N10.5m) &amp; Non- Academic Staff (N4.5m))</t>
  </si>
  <si>
    <t xml:space="preserve"> 2011 Staff Training &amp; Development (ALLOCATION)</t>
  </si>
  <si>
    <t>2011 Research Grant (ALLOCATION)</t>
  </si>
  <si>
    <t>2011 Journal Publication (ALLOCATION)</t>
  </si>
  <si>
    <t xml:space="preserve"> 2011 Conference Attendance </t>
  </si>
  <si>
    <t>2011 Manuscript Development</t>
  </si>
  <si>
    <t xml:space="preserve"> 2012 Staff Training &amp; Development </t>
  </si>
  <si>
    <t xml:space="preserve">2012 Research Grant </t>
  </si>
  <si>
    <t>2012 Journal Publication</t>
  </si>
  <si>
    <t xml:space="preserve"> 2012 Conference Attendance </t>
  </si>
  <si>
    <t>2012 Manuscript Development</t>
  </si>
  <si>
    <t>2013 SPECIAL ALLOC FOR ACADEMIC STAFF TRAINING</t>
  </si>
  <si>
    <t>2013 Academic Staff Training &amp; Development</t>
  </si>
  <si>
    <t>2013 Research Project</t>
  </si>
  <si>
    <t>2013 Academic Research Journal</t>
  </si>
  <si>
    <t>2013 Conference Attendance</t>
  </si>
  <si>
    <t>2014 Academic Staff Training &amp; Development</t>
  </si>
  <si>
    <t>2014 Research Project</t>
  </si>
  <si>
    <t>2014 Academic Research Journal</t>
  </si>
  <si>
    <t>2014 Conference Attendance</t>
  </si>
  <si>
    <t>2014 Manuscript Development</t>
  </si>
  <si>
    <t>2014 SPECIAL ALLOC FOR ACADEMIC STAFF TRAINING</t>
  </si>
  <si>
    <t>2015 Academic Staff Training &amp; Development</t>
  </si>
  <si>
    <t>2015 Institutional Based  Research Project</t>
  </si>
  <si>
    <t>2015 Academic Research Journal</t>
  </si>
  <si>
    <t>2015 Conference Attendance</t>
  </si>
  <si>
    <t>2015 Manuscript Development</t>
  </si>
  <si>
    <t>2016 Academic Staff Training &amp; Development</t>
  </si>
  <si>
    <t>2016 Institutional Based  Research Project</t>
  </si>
  <si>
    <t>2016 Academic Research Journal</t>
  </si>
  <si>
    <t>2016 Conference Attendance</t>
  </si>
  <si>
    <t>2016 Manuscript Development</t>
  </si>
  <si>
    <t>2017 Academic Staff Training &amp; Development</t>
  </si>
  <si>
    <t>2017 Institutional Based  Research Project</t>
  </si>
  <si>
    <t>2017 Academic Research Journal</t>
  </si>
  <si>
    <t>2017 Conference Attendance</t>
  </si>
  <si>
    <t>2017 Manuscript Development</t>
  </si>
  <si>
    <t>2018 TETFUND SCHOLARSHIP FOR ACADEMIC STAFF</t>
  </si>
  <si>
    <t>2018 INSTITUTION BASED RESEARCH</t>
  </si>
  <si>
    <t>2018 ACADEMIC RESEARCH JOURNAL</t>
  </si>
  <si>
    <t>2018 CONFERENCE ATTENDANCE</t>
  </si>
  <si>
    <t>2018 ACADEMIC MANUSCRIPT &amp; BOOK DEVELOPMENT</t>
  </si>
  <si>
    <t>UNIVERSITIES</t>
  </si>
  <si>
    <t xml:space="preserve">Cumulative Payment </t>
  </si>
  <si>
    <t xml:space="preserve"> Total Allocation 2004 &amp; 2008-2018</t>
  </si>
  <si>
    <t xml:space="preserve"> Total Accessed 2004 &amp; 2008-2018</t>
  </si>
  <si>
    <t>Total 2004, &amp; 2008-2015 total  Committed but Unaccessed</t>
  </si>
  <si>
    <t>STAFF TRAINING AS AT  2019</t>
  </si>
  <si>
    <t xml:space="preserve"> RESEARCH GRANT AS AT 2019</t>
  </si>
  <si>
    <t xml:space="preserve">  PUBLICATION OF JOURNALS AS AT 2019</t>
  </si>
  <si>
    <t xml:space="preserve"> Conference Attendance  AS AT 2019</t>
  </si>
  <si>
    <t>Manuscript Development AS AT 2019</t>
  </si>
  <si>
    <t>N</t>
  </si>
  <si>
    <t>Outflow</t>
  </si>
  <si>
    <t>Cum. Disbursement</t>
  </si>
  <si>
    <t xml:space="preserve"> </t>
  </si>
  <si>
    <t>Abubakar Tafawa Balewa Univ. Bauchi</t>
  </si>
  <si>
    <t>Adekunle Ajasin University, Akungba Akoko</t>
  </si>
  <si>
    <t>Enugu State University of Tech.</t>
  </si>
  <si>
    <t>Ekiti State University of Ado -Ekiti</t>
  </si>
  <si>
    <t>Anambra State Univ. Sci. &amp; Tech Uli ( Chukwuemeka Odimegwu)</t>
  </si>
  <si>
    <t>Fed.Uni.of Petroleum Resources Effurun Delta St.</t>
  </si>
  <si>
    <t>Osun State University, Osogbo</t>
  </si>
  <si>
    <t>4224400 inputed by madam</t>
  </si>
  <si>
    <t>Kwara State University, Malete</t>
  </si>
  <si>
    <t>Plateau State University Bokkos</t>
  </si>
  <si>
    <t xml:space="preserve">Ignatius Ajuru University Of Education </t>
  </si>
  <si>
    <t>Bauchi State University Gadau</t>
  </si>
  <si>
    <t>SEE JNL</t>
  </si>
  <si>
    <t xml:space="preserve"> Federal University Dustin Ma Katsina State</t>
  </si>
  <si>
    <t xml:space="preserve"> Federal University Duste Jigawa State</t>
  </si>
  <si>
    <t xml:space="preserve"> Federal University, Lokoja Kogi</t>
  </si>
  <si>
    <t xml:space="preserve"> Federal University, Wukari Taraba</t>
  </si>
  <si>
    <t xml:space="preserve"> Federal University, Kashere Gombe</t>
  </si>
  <si>
    <t xml:space="preserve"> Federal University, Lafia Nasarawa</t>
  </si>
  <si>
    <t xml:space="preserve"> Federal University, Ndufu Alike Ebonyi</t>
  </si>
  <si>
    <t>National Open University of Nigeria Abuja</t>
  </si>
  <si>
    <t>North West University Kano (Yusuf Maitama Sule University)</t>
  </si>
  <si>
    <t>Jigawa State University Kafin Hausa (Sule Lamido University)</t>
  </si>
  <si>
    <t>Nigerian Army University, Biu, Borno State</t>
  </si>
  <si>
    <t>Northw West Univ. overpayment of 2,529,234 in Research for August</t>
  </si>
  <si>
    <t>Northw West Univ. overpayment of 231,686 in conference attendance</t>
  </si>
  <si>
    <t>The payment is meant for 2014 and 2015 but the beneficiary does not have allocation in 2015</t>
  </si>
  <si>
    <t>The payment is meant for 2014 and 2015 but the beneficiary does not have allocation in 2015, hence the overpayment</t>
  </si>
  <si>
    <t>GTOTAL FROM MONTHLY</t>
  </si>
  <si>
    <t>GTOTAL FRM MONTHLY</t>
  </si>
  <si>
    <t>As at Dec. 2016</t>
  </si>
  <si>
    <t xml:space="preserve">                                                      </t>
  </si>
  <si>
    <t xml:space="preserve"> 2010 Staff Training &amp; Development </t>
  </si>
  <si>
    <t>2010 Research Grant (ALLOCATION)</t>
  </si>
  <si>
    <t xml:space="preserve"> 2010 Journal Publication (ALLOCATION)</t>
  </si>
  <si>
    <t>Conference Attendance (Academic( N10.5m) &amp; Non- Academic Staff (N4.5m)) 2010</t>
  </si>
  <si>
    <t xml:space="preserve"> 2011 Staff Training &amp; Development </t>
  </si>
  <si>
    <t xml:space="preserve"> 2011 Journal Publication (ALLOCATION)</t>
  </si>
  <si>
    <t xml:space="preserve">2011 Conference Attendance </t>
  </si>
  <si>
    <t>2013 Manuscript Development</t>
  </si>
  <si>
    <t>*</t>
  </si>
  <si>
    <t>BLANK  ROWS &amp; COLUMNS ( DO NOT FILL IN FIGURES EXCEPT FOR SPECIAL ALLOCATION)</t>
  </si>
  <si>
    <t xml:space="preserve"> Total Allocation 2004 &amp; 2008-2016</t>
  </si>
  <si>
    <t xml:space="preserve"> Total Accessed 2004 &amp; 2008-2019</t>
  </si>
  <si>
    <t>Total 2004, &amp; 2008-2016 total  Committed but Unaccessed</t>
  </si>
  <si>
    <t>MANUSCRIPT 2019</t>
  </si>
  <si>
    <t>MANUSCRIPT 2018</t>
  </si>
  <si>
    <t>IMT Enugu</t>
  </si>
  <si>
    <t>Kenule Beeson Saro Wiwa Polytechnic, Bori</t>
  </si>
  <si>
    <t>Sokoto State Polytechnic</t>
  </si>
  <si>
    <t>Federal Polytechnic Ekowe</t>
  </si>
  <si>
    <t>EDO STATE INSTITUTE OF TECHNOLOGY USENI</t>
  </si>
  <si>
    <t>FEDERAL POLYTECHNIC, BALI, TARABA STATE</t>
  </si>
  <si>
    <t>FEDERAL POLYTECHNIC ILE-OLUJI, ONDO STATE</t>
  </si>
  <si>
    <t>NATIONAL INSTITUTE FOR CONSTRUCTION TECHNOLOGY, UROMI</t>
  </si>
  <si>
    <t>FEDERAL POLYTECHNIC OF OIL &amp; GAS, BONNY</t>
  </si>
  <si>
    <t>ABRAHAM ADESANYA POLYTECHNIC IJEBU ODE</t>
  </si>
  <si>
    <t>TOTAL</t>
  </si>
  <si>
    <t>Conference Attendance 2010 (Academic( N5m) &amp; Non- Academic Staff (N2.5m))</t>
  </si>
  <si>
    <t>2011 Academic Research Journal Publication (ARJ)</t>
  </si>
  <si>
    <t>Conference Attendance 2011 (Academic( N5m) &amp; Non- Academic Staff (N2.5m))</t>
  </si>
  <si>
    <t>2011 Academic Manual Book Development  (AMBD)</t>
  </si>
  <si>
    <t>2012 Research Grant (ALLOCATION)</t>
  </si>
  <si>
    <t>2012 Academic Research Journal Publication (ARJ)</t>
  </si>
  <si>
    <t>Conference Attendance 2012 (Academic( N5m) &amp; Non- Academic Staff (N2.5m))</t>
  </si>
  <si>
    <t>2012 Academic Manuscript Development  (AMBD)</t>
  </si>
  <si>
    <t>Staff Training 2013</t>
  </si>
  <si>
    <t xml:space="preserve">                                                                2014 Academic Staff Training &amp; Development</t>
  </si>
  <si>
    <t>2014 Special Conference Attendance</t>
  </si>
  <si>
    <t xml:space="preserve"> Total Allocation 2004 &amp; 2008-2015</t>
  </si>
  <si>
    <t>Fed. Coll. of Educ. Yola</t>
  </si>
  <si>
    <t>Fed. Coll. of Educ. (T) Umunze</t>
  </si>
  <si>
    <t>Fed. Coll. Of Educ. (T) Obudu</t>
  </si>
  <si>
    <t>Fed. Coll of Educ. (T) Asaba</t>
  </si>
  <si>
    <t>Fed. Coll.of Educ. Eha-Amufu</t>
  </si>
  <si>
    <t>Fed. Coll. Of Educ. (T) Gombe</t>
  </si>
  <si>
    <t>Fed. Coll. Of Educ. Zaria</t>
  </si>
  <si>
    <t>Fed. Coll. Of Educ (T) Bichi</t>
  </si>
  <si>
    <t>Fed. Coll. Of Educ. Kano</t>
  </si>
  <si>
    <t>Fed. Coll. Of Educ. Katsina</t>
  </si>
  <si>
    <t>Fed. Coll. Of Educ. Okene</t>
  </si>
  <si>
    <t>Fed. Coll of Educ. (T) Akoka Lagos</t>
  </si>
  <si>
    <t>Fed. Coll. Of Educ. Kotangora</t>
  </si>
  <si>
    <t>Fed. Coll. Of Educ. Osiele Abeokuta</t>
  </si>
  <si>
    <t>Fed. Coll. Of Educ. (S) Oyo</t>
  </si>
  <si>
    <t>Fed. Coll. Of Educ. Pankshin</t>
  </si>
  <si>
    <t>Fed. Coll. Of Educ. (T) Omoku</t>
  </si>
  <si>
    <t>Fed. Coll. Of Educ. (T) Potiskum</t>
  </si>
  <si>
    <t>Fed. Coll. Of Educ. (T) Gusau</t>
  </si>
  <si>
    <t>Fed. Coll. Of Educ. Zuba</t>
  </si>
  <si>
    <t>Fed.  Coll. Of Educ. Arochukwu( Abia State COE)</t>
  </si>
  <si>
    <t>Akwa Ibom State Coll. Of Educ. Afaha  Nsit</t>
  </si>
  <si>
    <t>Umar,Ibn Elkanemi Coll.of Ed.Sci.&amp; Tech. Bama</t>
  </si>
  <si>
    <t>In 2012, CA of 1,000,000 and 1,071,360 was wrongly captured as ASTD</t>
  </si>
  <si>
    <t>Coll. Of Education Agbor, Delta State</t>
  </si>
  <si>
    <t>Coll. Of Education Gidan Waya(Kaduna  State COE)</t>
  </si>
  <si>
    <t>Niger State Coll. Of Education Minna</t>
  </si>
  <si>
    <t>College of Education, Ikere, Ekiti</t>
  </si>
  <si>
    <t>4224400 From COE ikere to Coe Rumolumeni</t>
  </si>
  <si>
    <t>Coll. Of Education Gindiri</t>
  </si>
  <si>
    <t>Coll. Of Education Rumuolumeni P/H(IGNATIUS AJURU UNI)</t>
  </si>
  <si>
    <t>College of Education, Zing, Taraba</t>
  </si>
  <si>
    <t>Coll. Of Education Gashua Yobe( Umar Suleiman COE)</t>
  </si>
  <si>
    <t>Coll. Of Education Akamkpa, Cross Rivers State</t>
  </si>
  <si>
    <t xml:space="preserve">THERE ARE 66 COE IN ALL. NOTE THAT NUM. 53a IS NO LONGER COE </t>
  </si>
  <si>
    <t>Staff Training &amp; Development (ALLOCATION)</t>
  </si>
  <si>
    <t xml:space="preserve"> Total Allocation 2004 &amp; 2008-2012</t>
  </si>
  <si>
    <t xml:space="preserve"> Total Accessed 2004 &amp; 2008-2013</t>
  </si>
  <si>
    <t>Total 2004, &amp; 2008-2012 total  but Unaccessed as ta 2015</t>
  </si>
  <si>
    <t>Outflow 2017</t>
  </si>
  <si>
    <t>MONOTECHNICS</t>
  </si>
  <si>
    <t xml:space="preserve">Fed. Coll. Of Fresh Water Fisheries  Baga M/guri </t>
  </si>
  <si>
    <t>Fed. Coll. Of Agric. Ishiagu</t>
  </si>
  <si>
    <t>Fed. Coll. Of Forestry Mech.  Afaha Kaduna</t>
  </si>
  <si>
    <t>Fed. Coll. Of Chem. &amp; Leather Tech. Zaria</t>
  </si>
  <si>
    <t>Fed. Co-operative Coll. Kaduna</t>
  </si>
  <si>
    <t>Fed. Coll. Of Fish. &amp; Marine Tech. Lagos</t>
  </si>
  <si>
    <t>Fed. Coll. Of Fresh Wat. Fish Tech. New Bussa</t>
  </si>
  <si>
    <t>Fed. Coll. Of Animal Health &amp;  Tech. Vom</t>
  </si>
  <si>
    <t>Fed. Coll. Of Vet.&amp; Med.Lab. Tech. Vom</t>
  </si>
  <si>
    <t>Fed. Coll. Of Land Res. Tech. Kuru Jos</t>
  </si>
  <si>
    <t>Fed. Coll. Of Land Res. Tech. Owerri</t>
  </si>
  <si>
    <t>Fed. College of Forestry Jos</t>
  </si>
  <si>
    <t>Fed. Coll. Of Agriculture Akure</t>
  </si>
  <si>
    <t>Fed. Coll. Of Agriculture Ibadan</t>
  </si>
  <si>
    <t>Fed. Coll. Of Ani. Health &amp;  Tech. Ibadan</t>
  </si>
  <si>
    <t>Fed. Coll. Of Forestry Ibadan</t>
  </si>
  <si>
    <t>Fed. Co-operative Coll. Ibadan</t>
  </si>
  <si>
    <t>Fed. Coll. Of Wildlife Mgt. New Bussa</t>
  </si>
  <si>
    <t>Natural Water Resources Institute Kaduna</t>
  </si>
  <si>
    <t>Maritime Academy Oron</t>
  </si>
  <si>
    <t>Adamawa State Coll. Of Agric. Ganye- Mubi</t>
  </si>
  <si>
    <t xml:space="preserve">Akwa Ibom Coll. Of Agriculture Obio </t>
  </si>
  <si>
    <t>Anambra State Coll. Of Agric. Igbariam</t>
  </si>
  <si>
    <t>Fed. Co-operative Coll. Orji River</t>
  </si>
  <si>
    <t>School of Agric. Tatari Ali Bauchi</t>
  </si>
  <si>
    <t>Muhammet Lawan  Coll. Of Agric. M/guri</t>
  </si>
  <si>
    <t>Akpera Orshi Coll. Of Agric.Yandev</t>
  </si>
  <si>
    <t>Edo State Coll. Of Agric. Iguoriakhi</t>
  </si>
  <si>
    <t>Michael Opara. Coll. Of Agric. Owerri</t>
  </si>
  <si>
    <t>Jigawa State Coll.of Agric.  Hadeja</t>
  </si>
  <si>
    <t>Samaru State Coll. Of Agric. Samaru Zaria</t>
  </si>
  <si>
    <t>Coll. Of Agric. &amp; Ani. Sci. Mando Kaduna</t>
  </si>
  <si>
    <t>Kad. State Schl of Agric. Samaru-kataf Zonkwa</t>
  </si>
  <si>
    <t>Audu Bako Coll. Of Agric Kano Danbatta</t>
  </si>
  <si>
    <t>Kebbi State Coll. Of Agric. Zuru</t>
  </si>
  <si>
    <t>Coll. Of Agric. DAU/ABU Kabba Kogi</t>
  </si>
  <si>
    <t>Niger State Coll. Of Agric. Mokwa</t>
  </si>
  <si>
    <t>Nasarawa State Coll. Of Agric. Lafia</t>
  </si>
  <si>
    <t>Plateau State Coll. Of Agric. Garkawa</t>
  </si>
  <si>
    <t>Taraba State Coll. Of Agric Jalingo</t>
  </si>
  <si>
    <t>Yobe State Coll. Of Agric. Gujba</t>
  </si>
  <si>
    <t>Petroleum Institute Effurun</t>
  </si>
  <si>
    <t>Mohd Goni Coll. Of Is. Leg. studies</t>
  </si>
  <si>
    <t>Fati Abubakar Coll. Of Isl. studies Minna</t>
  </si>
  <si>
    <t>Coll. Of Isamic Legal Studies Ilorin</t>
  </si>
  <si>
    <t>D.A.D Rufai C. I. L. stud. Misau Bauchi</t>
  </si>
  <si>
    <t xml:space="preserve">Nig. Army School of Finance &amp; Admin. Apapa </t>
  </si>
  <si>
    <t>Nig. Army School of Signals</t>
  </si>
  <si>
    <t>Amini Kano Coll. Of Is. Leg. Studies Kano</t>
  </si>
  <si>
    <t>Atiku A.Coll. Of Isl. Leg. Stud. Nguru Yobe</t>
  </si>
  <si>
    <t>Coll. Of Islamic Legal studies Sokoto</t>
  </si>
  <si>
    <t xml:space="preserve">Yusuf Bala Coll. Of Legal Studies, Daura </t>
  </si>
  <si>
    <t>Coll. Of Islamic Legal lsmal stud. Ringim Jigawa</t>
  </si>
  <si>
    <t>Coll. Of Islamic Legal studies Yola</t>
  </si>
  <si>
    <t>Coll. Of Agric. Ikorodu Lagos</t>
  </si>
  <si>
    <t>Nigerian Medical Corps training sch Ojo</t>
  </si>
  <si>
    <t>Zamfara State Coll. Of Agric. &amp; Ani. Health Tala/Mafa/ Bakura</t>
  </si>
  <si>
    <t>Shehu Idris Coll.Health Science Tech. Makarfi</t>
  </si>
  <si>
    <t>Fed. School of Surveying Oyo</t>
  </si>
  <si>
    <t>as at 2017</t>
  </si>
  <si>
    <t>CUMULATIVE GRAND TOTAL</t>
  </si>
  <si>
    <t>GRAND TOTAL</t>
  </si>
  <si>
    <t>GL Balances as at 2016</t>
  </si>
  <si>
    <t>ADJ GL 2016 CLOSING BAL</t>
  </si>
  <si>
    <t>INFLOW 2017</t>
  </si>
  <si>
    <t>UPWARD ADJ OF 2016 CLOSING BAL</t>
  </si>
  <si>
    <t>NET EFFECT ON INFLOW 2017</t>
  </si>
  <si>
    <t>DETAILS OF 2016 CLOSING BAL ADJUSTMENT WITH UPWARD EFFECT</t>
  </si>
  <si>
    <t>2004 ASTD alloc. Disbursed</t>
  </si>
  <si>
    <t>Hussain Adamu Poly.</t>
  </si>
  <si>
    <t>Manuscript Development AS AT JUNE 2019</t>
  </si>
  <si>
    <t xml:space="preserve"> Conference Attendance  AS AT JUNE 2019</t>
  </si>
  <si>
    <t xml:space="preserve"> RESEARCH GRANT AS AT JUNE 2019</t>
  </si>
  <si>
    <t>STAFF TRAINING AS AT JUNE 2019</t>
  </si>
  <si>
    <t xml:space="preserve">  PUBLICATION OF JOURNALS AS AT JUNE 2019</t>
  </si>
  <si>
    <t>UNIVERSITY</t>
  </si>
  <si>
    <r>
      <t>Abubakar Tafawa Balewa Univ. Bauchi</t>
    </r>
    <r>
      <rPr>
        <b/>
        <sz val="8"/>
        <color indexed="8"/>
        <rFont val="Arial"/>
        <family val="2"/>
      </rPr>
      <t/>
    </r>
  </si>
  <si>
    <t>Usman Dan Fodio University, Sokoto</t>
  </si>
  <si>
    <t>Anambra State University Ulli</t>
  </si>
  <si>
    <t>Benue State University Markurdi</t>
  </si>
  <si>
    <t>Modibbo Adamu University Yola</t>
  </si>
  <si>
    <t>Kebbi State University of Science &amp; Technology</t>
  </si>
  <si>
    <t>Ekiti State University, Ado-Ekiti</t>
  </si>
  <si>
    <t xml:space="preserve">Kano State Univ. of Sci &amp; Tech Wudil </t>
  </si>
  <si>
    <t>Federal University Lokoja, Kogi State</t>
  </si>
  <si>
    <t>Federal University Lafia, Nasarawa State</t>
  </si>
  <si>
    <t>Federal University Kashere, Gombe State</t>
  </si>
  <si>
    <t>Federal University Wukari, Taraba State</t>
  </si>
  <si>
    <t>Federal University Gashua, Yobe State</t>
  </si>
  <si>
    <t>Federal University Dutse, Jigawa State</t>
  </si>
  <si>
    <t>Federal University Dutsin-Ma Katsina State</t>
  </si>
  <si>
    <t>Federal University Birni- Kebbi Kebbi State</t>
  </si>
  <si>
    <t>Federal University Gusau Zamfara State</t>
  </si>
  <si>
    <t>Federal University Ndufu-Alike Ebonyi State</t>
  </si>
  <si>
    <t>Federal University Otuoke Bayelsa State</t>
  </si>
  <si>
    <t>Federal University Oye Ekiti, Ekiti State</t>
  </si>
  <si>
    <t>Ambrose Ali University, Ekpoma</t>
  </si>
  <si>
    <t>Imo State University, Owerri</t>
  </si>
  <si>
    <t>Gombe State University, Gombe</t>
  </si>
  <si>
    <t>Yusuf Maitama Sule University University, Kano</t>
  </si>
  <si>
    <t>Lagos State University, Ojo.</t>
  </si>
  <si>
    <t>SULE LAMIDO UNIVERSITY, KAFIN HAUSA, JIGAWA STATE</t>
  </si>
  <si>
    <t>DELTA STATE UNIVERSITY ABRAKA</t>
  </si>
  <si>
    <t>TARABA STATE UNIVERSITY, JALINGO</t>
  </si>
  <si>
    <t>Akanu Ibiam Federal Polytechnic Uwana</t>
  </si>
  <si>
    <t>Institute of Management &amp;Technology Enugu</t>
  </si>
  <si>
    <t>Imo State Polytechnic, Umuagwu</t>
  </si>
  <si>
    <t>Abubakar Tatari Ali Polytechnic, Bauchi</t>
  </si>
  <si>
    <t>Federal Polytechnic Ede, Osun state.</t>
  </si>
  <si>
    <t>Nuhu Bamali Polytechnic, Zaria</t>
  </si>
  <si>
    <t>Edo State Institute of Technology and Management Useni.</t>
  </si>
  <si>
    <t>Kwara State Polytechnic, Ilorin, Kwara State.</t>
  </si>
  <si>
    <t>Hassan Usman Katsina Polytechnic, Katsina</t>
  </si>
  <si>
    <t>Enugu State Polytechnic, Iwollo Enugu</t>
  </si>
  <si>
    <t>Federal Polytechnic, Ile Oluji, Ondo State.</t>
  </si>
  <si>
    <t>OSUN STATE POLYTECHNIC IRE</t>
  </si>
  <si>
    <t>Federal Polytechnic, Ukana Akwa Ibom State</t>
  </si>
  <si>
    <t>COLLEGE OF EDUCATION</t>
  </si>
  <si>
    <t>Akwa Ibom State Coll. Of Educ. Afaha Nsit</t>
  </si>
  <si>
    <t>Jigawa State College of Education, Gumel</t>
  </si>
  <si>
    <t>Adeyemi College of Education, Ondo</t>
  </si>
  <si>
    <t>Federal College of Education Osiele</t>
  </si>
  <si>
    <t>Umar Suleiman College oF Education, Gashua</t>
  </si>
  <si>
    <t>Delta State COE Agbor</t>
  </si>
  <si>
    <t>Alvan Ikoku COE, Owerri</t>
  </si>
  <si>
    <t>Colleges of Education Azare</t>
  </si>
  <si>
    <t>FED. COLL. OF EDUCATION (T), GUSAU, ZAMFARA STATE</t>
  </si>
  <si>
    <t>COE Akwanga</t>
  </si>
  <si>
    <t>College of Education Hong Adamawa State</t>
  </si>
  <si>
    <t>College of Education Ekiadolor</t>
  </si>
  <si>
    <t>FEDERAL COLLEGE OF EDUCATION (S) OYO STATE</t>
  </si>
  <si>
    <t>College of  Education Ikwo Ebonyi State</t>
  </si>
  <si>
    <t>College of Education Waka Biu</t>
  </si>
  <si>
    <t>Federal College of Education Pankshin, Plateau State</t>
  </si>
  <si>
    <t>KWARA STATE COLLEGE OF EDUCATION, ORO</t>
  </si>
  <si>
    <t xml:space="preserve">KASHIM IBRAHIM COLLEGE OF EDUCATION, MAIDUGURI </t>
  </si>
  <si>
    <t>DISBURSEMENTS</t>
  </si>
  <si>
    <t xml:space="preserve"> SPECIAL HIGH IMPACT PROJECTS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</si>
</sst>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_-* #,##0.00_-;\-* #,##0.00_-;_-* &quot;-&quot;??_-;_-@_-"/>
  </numFmts>
  <fonts count="4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color theme="1"/>
      <name val="Calibri"/>
      <family val="2"/>
    </font>
    <font>
      <b/>
      <sz val="11"/>
      <name val="Calibri"/>
      <family val="2"/>
      <scheme val="minor"/>
    </font>
    <font>
      <b/>
      <u/>
      <sz val="11"/>
      <name val="Calibri"/>
      <family val="2"/>
    </font>
    <font>
      <b/>
      <u/>
      <sz val="11"/>
      <color theme="1"/>
      <name val="Calibri"/>
      <family val="2"/>
    </font>
    <font>
      <b/>
      <sz val="11"/>
      <color rgb="FFFF3399"/>
      <name val="Calibri"/>
      <family val="2"/>
    </font>
    <font>
      <b/>
      <sz val="11"/>
      <color rgb="FFFF0000"/>
      <name val="Calibri"/>
      <family val="2"/>
    </font>
    <font>
      <b/>
      <sz val="11"/>
      <color theme="9" tint="-0.499984740745262"/>
      <name val="Calibri"/>
      <family val="2"/>
    </font>
    <font>
      <b/>
      <sz val="11"/>
      <color rgb="FFC00000"/>
      <name val="Calibri"/>
      <family val="2"/>
    </font>
    <font>
      <b/>
      <sz val="11"/>
      <color rgb="FFFF3399"/>
      <name val="Calibri"/>
      <family val="2"/>
      <scheme val="minor"/>
    </font>
    <font>
      <b/>
      <sz val="11"/>
      <color rgb="FF00B0F0"/>
      <name val="Calibri"/>
      <family val="2"/>
    </font>
    <font>
      <b/>
      <sz val="11"/>
      <color rgb="FF00B050"/>
      <name val="Calibri"/>
      <family val="2"/>
    </font>
    <font>
      <b/>
      <sz val="11"/>
      <color rgb="FF002060"/>
      <name val="Calibri"/>
      <family val="2"/>
    </font>
    <font>
      <b/>
      <sz val="12"/>
      <color theme="1"/>
      <name val="Calibri"/>
      <family val="2"/>
    </font>
    <font>
      <b/>
      <sz val="11"/>
      <color rgb="FF7030A0"/>
      <name val="Calibri"/>
      <family val="2"/>
    </font>
    <font>
      <b/>
      <u val="singleAccounting"/>
      <sz val="11"/>
      <name val="Calibri"/>
      <family val="2"/>
    </font>
    <font>
      <b/>
      <i/>
      <sz val="11"/>
      <name val="Calibri"/>
      <family val="2"/>
    </font>
    <font>
      <sz val="11"/>
      <color theme="1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12"/>
      <name val="Calibri"/>
      <family val="2"/>
    </font>
    <font>
      <b/>
      <sz val="12"/>
      <color rgb="FFFF0000"/>
      <name val="Calibri"/>
      <family val="2"/>
      <scheme val="minor"/>
    </font>
    <font>
      <b/>
      <u/>
      <sz val="12"/>
      <name val="Calibri"/>
      <family val="2"/>
    </font>
    <font>
      <b/>
      <sz val="12"/>
      <name val="Calibri"/>
      <family val="2"/>
      <scheme val="minor"/>
    </font>
    <font>
      <b/>
      <sz val="12"/>
      <color rgb="FFC00000"/>
      <name val="Calibri"/>
      <family val="2"/>
      <scheme val="minor"/>
    </font>
    <font>
      <b/>
      <sz val="10"/>
      <color theme="1"/>
      <name val="Calibri"/>
      <family val="2"/>
    </font>
    <font>
      <b/>
      <sz val="10"/>
      <color theme="1"/>
      <name val="Calibri"/>
      <family val="2"/>
      <scheme val="minor"/>
    </font>
    <font>
      <b/>
      <sz val="12"/>
      <color theme="1"/>
      <name val="Calibri Light"/>
      <family val="1"/>
      <scheme val="major"/>
    </font>
    <font>
      <sz val="12"/>
      <color theme="1"/>
      <name val="Calibri"/>
      <family val="2"/>
    </font>
    <font>
      <b/>
      <u/>
      <sz val="12"/>
      <color theme="1"/>
      <name val="Calibri"/>
      <family val="2"/>
    </font>
    <font>
      <b/>
      <sz val="8"/>
      <color indexed="8"/>
      <name val="Arial"/>
      <family val="2"/>
    </font>
    <font>
      <b/>
      <sz val="13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indexed="9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6">
    <xf numFmtId="0" fontId="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681">
    <xf numFmtId="0" fontId="0" fillId="0" borderId="0" xfId="0"/>
    <xf numFmtId="0" fontId="4" fillId="2" borderId="0" xfId="1" applyNumberFormat="1" applyFont="1" applyFill="1" applyAlignment="1"/>
    <xf numFmtId="0" fontId="4" fillId="2" borderId="0" xfId="0" applyNumberFormat="1" applyFont="1" applyFill="1" applyAlignment="1"/>
    <xf numFmtId="0" fontId="4" fillId="2" borderId="0" xfId="0" applyFont="1" applyFill="1" applyAlignment="1"/>
    <xf numFmtId="43" fontId="4" fillId="2" borderId="0" xfId="1" applyFont="1" applyFill="1" applyAlignment="1"/>
    <xf numFmtId="0" fontId="4" fillId="2" borderId="0" xfId="0" applyFont="1" applyFill="1" applyAlignment="1">
      <alignment horizontal="right"/>
    </xf>
    <xf numFmtId="43" fontId="4" fillId="2" borderId="0" xfId="0" applyNumberFormat="1" applyFont="1" applyFill="1" applyAlignment="1"/>
    <xf numFmtId="43" fontId="5" fillId="2" borderId="0" xfId="1" applyFont="1" applyFill="1"/>
    <xf numFmtId="0" fontId="4" fillId="2" borderId="1" xfId="0" applyFont="1" applyFill="1" applyBorder="1" applyAlignment="1"/>
    <xf numFmtId="0" fontId="4" fillId="2" borderId="0" xfId="0" applyFont="1" applyFill="1" applyBorder="1" applyAlignment="1"/>
    <xf numFmtId="0" fontId="6" fillId="2" borderId="0" xfId="0" applyFont="1" applyFill="1" applyAlignment="1"/>
    <xf numFmtId="43" fontId="4" fillId="2" borderId="1" xfId="1" applyFont="1" applyFill="1" applyBorder="1" applyAlignment="1">
      <alignment horizontal="center"/>
    </xf>
    <xf numFmtId="43" fontId="4" fillId="2" borderId="0" xfId="1" applyFont="1" applyFill="1" applyBorder="1" applyAlignment="1">
      <alignment horizontal="center"/>
    </xf>
    <xf numFmtId="43" fontId="7" fillId="2" borderId="0" xfId="1" applyFont="1" applyFill="1"/>
    <xf numFmtId="43" fontId="4" fillId="2" borderId="2" xfId="1" applyFont="1" applyFill="1" applyBorder="1" applyAlignment="1">
      <alignment horizontal="center"/>
    </xf>
    <xf numFmtId="0" fontId="4" fillId="2" borderId="3" xfId="0" applyFont="1" applyFill="1" applyBorder="1" applyAlignment="1"/>
    <xf numFmtId="43" fontId="6" fillId="2" borderId="0" xfId="1" applyFont="1" applyFill="1" applyAlignment="1"/>
    <xf numFmtId="0" fontId="4" fillId="2" borderId="1" xfId="1" applyNumberFormat="1" applyFont="1" applyFill="1" applyBorder="1" applyAlignment="1">
      <alignment wrapText="1"/>
    </xf>
    <xf numFmtId="0" fontId="4" fillId="2" borderId="1" xfId="0" applyNumberFormat="1" applyFont="1" applyFill="1" applyBorder="1" applyAlignment="1">
      <alignment wrapText="1"/>
    </xf>
    <xf numFmtId="4" fontId="4" fillId="2" borderId="1" xfId="0" applyNumberFormat="1" applyFont="1" applyFill="1" applyBorder="1" applyAlignment="1">
      <alignment wrapText="1"/>
    </xf>
    <xf numFmtId="43" fontId="4" fillId="2" borderId="1" xfId="1" applyFont="1" applyFill="1" applyBorder="1" applyAlignment="1">
      <alignment wrapText="1"/>
    </xf>
    <xf numFmtId="4" fontId="4" fillId="2" borderId="4" xfId="0" applyNumberFormat="1" applyFont="1" applyFill="1" applyBorder="1" applyAlignment="1">
      <alignment horizontal="center" wrapText="1"/>
    </xf>
    <xf numFmtId="4" fontId="4" fillId="2" borderId="5" xfId="0" applyNumberFormat="1" applyFont="1" applyFill="1" applyBorder="1" applyAlignment="1">
      <alignment horizontal="center" wrapText="1"/>
    </xf>
    <xf numFmtId="4" fontId="4" fillId="2" borderId="6" xfId="0" applyNumberFormat="1" applyFont="1" applyFill="1" applyBorder="1" applyAlignment="1">
      <alignment horizontal="center" wrapText="1"/>
    </xf>
    <xf numFmtId="4" fontId="4" fillId="2" borderId="6" xfId="0" applyNumberFormat="1" applyFont="1" applyFill="1" applyBorder="1" applyAlignment="1">
      <alignment wrapText="1"/>
    </xf>
    <xf numFmtId="4" fontId="4" fillId="2" borderId="1" xfId="0" applyNumberFormat="1" applyFont="1" applyFill="1" applyBorder="1" applyAlignment="1">
      <alignment horizontal="right" wrapText="1"/>
    </xf>
    <xf numFmtId="43" fontId="8" fillId="2" borderId="1" xfId="1" applyFont="1" applyFill="1" applyBorder="1" applyAlignment="1">
      <alignment horizontal="center" wrapText="1"/>
    </xf>
    <xf numFmtId="0" fontId="4" fillId="2" borderId="1" xfId="0" applyFont="1" applyFill="1" applyBorder="1" applyAlignment="1">
      <alignment wrapText="1"/>
    </xf>
    <xf numFmtId="43" fontId="8" fillId="2" borderId="1" xfId="1" applyFont="1" applyFill="1" applyBorder="1" applyAlignment="1">
      <alignment horizontal="center"/>
    </xf>
    <xf numFmtId="0" fontId="4" fillId="2" borderId="4" xfId="0" applyFont="1" applyFill="1" applyBorder="1" applyAlignment="1">
      <alignment horizontal="center" wrapText="1"/>
    </xf>
    <xf numFmtId="0" fontId="4" fillId="2" borderId="5" xfId="0" applyFont="1" applyFill="1" applyBorder="1" applyAlignment="1">
      <alignment horizontal="center" wrapText="1"/>
    </xf>
    <xf numFmtId="0" fontId="4" fillId="2" borderId="6" xfId="0" applyFont="1" applyFill="1" applyBorder="1" applyAlignment="1">
      <alignment horizontal="center" wrapText="1"/>
    </xf>
    <xf numFmtId="0" fontId="5" fillId="2" borderId="1" xfId="0" applyFont="1" applyFill="1" applyBorder="1"/>
    <xf numFmtId="0" fontId="4" fillId="2" borderId="6" xfId="0" applyFont="1" applyFill="1" applyBorder="1" applyAlignment="1">
      <alignment wrapText="1"/>
    </xf>
    <xf numFmtId="43" fontId="4" fillId="2" borderId="4" xfId="1" applyFont="1" applyFill="1" applyBorder="1" applyAlignment="1">
      <alignment horizontal="center" wrapText="1"/>
    </xf>
    <xf numFmtId="43" fontId="4" fillId="2" borderId="5" xfId="1" applyFont="1" applyFill="1" applyBorder="1" applyAlignment="1">
      <alignment horizontal="center" wrapText="1"/>
    </xf>
    <xf numFmtId="43" fontId="4" fillId="2" borderId="6" xfId="1" applyFont="1" applyFill="1" applyBorder="1" applyAlignment="1">
      <alignment horizontal="center" wrapText="1"/>
    </xf>
    <xf numFmtId="0" fontId="4" fillId="2" borderId="6" xfId="0" applyFont="1" applyFill="1" applyBorder="1" applyAlignment="1">
      <alignment horizontal="center" wrapText="1"/>
    </xf>
    <xf numFmtId="0" fontId="4" fillId="2" borderId="5" xfId="0" applyFont="1" applyFill="1" applyBorder="1" applyAlignment="1">
      <alignment horizontal="center" wrapText="1"/>
    </xf>
    <xf numFmtId="43" fontId="4" fillId="2" borderId="6" xfId="1" applyFont="1" applyFill="1" applyBorder="1" applyAlignment="1">
      <alignment wrapText="1"/>
    </xf>
    <xf numFmtId="0" fontId="4" fillId="2" borderId="0" xfId="0" applyFont="1" applyFill="1" applyAlignment="1">
      <alignment wrapText="1"/>
    </xf>
    <xf numFmtId="0" fontId="8" fillId="2" borderId="1" xfId="1" applyNumberFormat="1" applyFont="1" applyFill="1" applyBorder="1" applyAlignment="1">
      <alignment horizontal="center"/>
    </xf>
    <xf numFmtId="0" fontId="4" fillId="2" borderId="1" xfId="1" applyNumberFormat="1" applyFont="1" applyFill="1" applyBorder="1" applyAlignment="1">
      <alignment horizontal="center"/>
    </xf>
    <xf numFmtId="0" fontId="4" fillId="2" borderId="4" xfId="1" applyNumberFormat="1" applyFont="1" applyFill="1" applyBorder="1" applyAlignment="1">
      <alignment horizontal="center"/>
    </xf>
    <xf numFmtId="0" fontId="8" fillId="2" borderId="4" xfId="1" applyNumberFormat="1" applyFont="1" applyFill="1" applyBorder="1" applyAlignment="1">
      <alignment horizontal="center"/>
    </xf>
    <xf numFmtId="0" fontId="8" fillId="2" borderId="5" xfId="1" applyNumberFormat="1" applyFont="1" applyFill="1" applyBorder="1" applyAlignment="1">
      <alignment horizontal="center"/>
    </xf>
    <xf numFmtId="0" fontId="8" fillId="2" borderId="6" xfId="1" applyNumberFormat="1" applyFont="1" applyFill="1" applyBorder="1" applyAlignment="1">
      <alignment horizontal="center"/>
    </xf>
    <xf numFmtId="0" fontId="8" fillId="2" borderId="1" xfId="0" applyNumberFormat="1" applyFont="1" applyFill="1" applyBorder="1" applyAlignment="1">
      <alignment horizontal="center"/>
    </xf>
    <xf numFmtId="0" fontId="7" fillId="2" borderId="1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0" fontId="5" fillId="2" borderId="5" xfId="0" applyFont="1" applyFill="1" applyBorder="1" applyAlignment="1">
      <alignment horizontal="center"/>
    </xf>
    <xf numFmtId="0" fontId="5" fillId="2" borderId="6" xfId="0" applyFont="1" applyFill="1" applyBorder="1" applyAlignment="1">
      <alignment horizontal="center"/>
    </xf>
    <xf numFmtId="0" fontId="5" fillId="2" borderId="6" xfId="0" applyFont="1" applyFill="1" applyBorder="1" applyAlignment="1">
      <alignment horizontal="center"/>
    </xf>
    <xf numFmtId="0" fontId="5" fillId="2" borderId="0" xfId="0" applyFont="1" applyFill="1" applyBorder="1" applyAlignment="1">
      <alignment horizontal="center"/>
    </xf>
    <xf numFmtId="0" fontId="4" fillId="2" borderId="0" xfId="0" applyNumberFormat="1" applyFont="1" applyFill="1" applyAlignment="1">
      <alignment horizontal="center"/>
    </xf>
    <xf numFmtId="0" fontId="6" fillId="2" borderId="0" xfId="0" applyNumberFormat="1" applyFont="1" applyFill="1" applyAlignment="1">
      <alignment horizontal="center"/>
    </xf>
    <xf numFmtId="43" fontId="7" fillId="2" borderId="1" xfId="1" applyFont="1" applyFill="1" applyBorder="1" applyAlignment="1">
      <alignment horizontal="center"/>
    </xf>
    <xf numFmtId="0" fontId="4" fillId="2" borderId="1" xfId="0" applyNumberFormat="1" applyFont="1" applyFill="1" applyBorder="1" applyAlignment="1">
      <alignment horizontal="center"/>
    </xf>
    <xf numFmtId="0" fontId="4" fillId="2" borderId="1" xfId="0" applyNumberFormat="1" applyFont="1" applyFill="1" applyBorder="1" applyAlignment="1">
      <alignment horizontal="center"/>
    </xf>
    <xf numFmtId="0" fontId="4" fillId="2" borderId="4" xfId="0" applyNumberFormat="1" applyFont="1" applyFill="1" applyBorder="1" applyAlignment="1">
      <alignment horizontal="center"/>
    </xf>
    <xf numFmtId="0" fontId="4" fillId="2" borderId="5" xfId="0" applyNumberFormat="1" applyFont="1" applyFill="1" applyBorder="1" applyAlignment="1">
      <alignment horizontal="center"/>
    </xf>
    <xf numFmtId="0" fontId="4" fillId="2" borderId="6" xfId="0" applyNumberFormat="1" applyFont="1" applyFill="1" applyBorder="1" applyAlignment="1">
      <alignment horizontal="center"/>
    </xf>
    <xf numFmtId="0" fontId="8" fillId="2" borderId="1" xfId="1" applyNumberFormat="1" applyFont="1" applyFill="1" applyBorder="1" applyAlignment="1">
      <alignment horizontal="right"/>
    </xf>
    <xf numFmtId="0" fontId="8" fillId="2" borderId="1" xfId="1" applyNumberFormat="1" applyFont="1" applyFill="1" applyBorder="1" applyAlignment="1">
      <alignment horizontal="left"/>
    </xf>
    <xf numFmtId="43" fontId="8" fillId="2" borderId="1" xfId="1" applyFont="1" applyFill="1" applyBorder="1" applyAlignment="1">
      <alignment horizontal="right"/>
    </xf>
    <xf numFmtId="43" fontId="4" fillId="2" borderId="1" xfId="1" applyFont="1" applyFill="1" applyBorder="1" applyAlignment="1"/>
    <xf numFmtId="0" fontId="8" fillId="2" borderId="1" xfId="0" applyFont="1" applyFill="1" applyBorder="1" applyAlignment="1">
      <alignment horizontal="center"/>
    </xf>
    <xf numFmtId="0" fontId="5" fillId="2" borderId="0" xfId="0" applyFont="1" applyFill="1" applyBorder="1"/>
    <xf numFmtId="43" fontId="8" fillId="2" borderId="0" xfId="1" applyFont="1" applyFill="1" applyBorder="1" applyAlignment="1">
      <alignment horizontal="center"/>
    </xf>
    <xf numFmtId="43" fontId="9" fillId="2" borderId="1" xfId="1" applyFont="1" applyFill="1" applyBorder="1" applyAlignment="1">
      <alignment horizontal="center"/>
    </xf>
    <xf numFmtId="0" fontId="7" fillId="2" borderId="1" xfId="0" applyFont="1" applyFill="1" applyBorder="1"/>
    <xf numFmtId="0" fontId="4" fillId="2" borderId="3" xfId="0" applyFont="1" applyFill="1" applyBorder="1" applyAlignment="1">
      <alignment horizontal="left"/>
    </xf>
    <xf numFmtId="0" fontId="10" fillId="2" borderId="1" xfId="1" applyNumberFormat="1" applyFont="1" applyFill="1" applyBorder="1" applyAlignment="1">
      <alignment horizontal="center"/>
    </xf>
    <xf numFmtId="0" fontId="10" fillId="2" borderId="1" xfId="1" applyNumberFormat="1" applyFont="1" applyFill="1" applyBorder="1" applyAlignment="1">
      <alignment horizontal="left"/>
    </xf>
    <xf numFmtId="43" fontId="10" fillId="2" borderId="1" xfId="1" applyFont="1" applyFill="1" applyBorder="1" applyAlignment="1"/>
    <xf numFmtId="43" fontId="10" fillId="2" borderId="4" xfId="1" applyFont="1" applyFill="1" applyBorder="1" applyAlignment="1"/>
    <xf numFmtId="43" fontId="10" fillId="2" borderId="1" xfId="1" applyFont="1" applyFill="1" applyBorder="1" applyAlignment="1">
      <alignment horizontal="right"/>
    </xf>
    <xf numFmtId="43" fontId="10" fillId="2" borderId="1" xfId="1" applyFont="1" applyFill="1" applyBorder="1" applyAlignment="1">
      <alignment wrapText="1"/>
    </xf>
    <xf numFmtId="43" fontId="11" fillId="3" borderId="1" xfId="1" applyFont="1" applyFill="1" applyBorder="1" applyAlignment="1"/>
    <xf numFmtId="43" fontId="6" fillId="2" borderId="1" xfId="1" applyFont="1" applyFill="1" applyBorder="1" applyAlignment="1"/>
    <xf numFmtId="43" fontId="10" fillId="3" borderId="1" xfId="1" applyFont="1" applyFill="1" applyBorder="1" applyAlignment="1"/>
    <xf numFmtId="43" fontId="12" fillId="2" borderId="1" xfId="1" applyFont="1" applyFill="1" applyBorder="1" applyAlignment="1"/>
    <xf numFmtId="43" fontId="4" fillId="2" borderId="1" xfId="0" applyNumberFormat="1" applyFont="1" applyFill="1" applyBorder="1" applyAlignment="1"/>
    <xf numFmtId="43" fontId="10" fillId="2" borderId="1" xfId="0" applyNumberFormat="1" applyFont="1" applyFill="1" applyBorder="1" applyAlignment="1"/>
    <xf numFmtId="0" fontId="10" fillId="2" borderId="0" xfId="0" applyFont="1" applyFill="1" applyAlignment="1"/>
    <xf numFmtId="0" fontId="4" fillId="2" borderId="1" xfId="1" applyNumberFormat="1" applyFont="1" applyFill="1" applyBorder="1" applyAlignment="1">
      <alignment horizontal="left"/>
    </xf>
    <xf numFmtId="43" fontId="4" fillId="2" borderId="4" xfId="1" applyFont="1" applyFill="1" applyBorder="1" applyAlignment="1"/>
    <xf numFmtId="43" fontId="4" fillId="2" borderId="1" xfId="1" applyFont="1" applyFill="1" applyBorder="1" applyAlignment="1">
      <alignment horizontal="right"/>
    </xf>
    <xf numFmtId="43" fontId="7" fillId="2" borderId="1" xfId="1" applyFont="1" applyFill="1" applyBorder="1"/>
    <xf numFmtId="43" fontId="13" fillId="2" borderId="1" xfId="1" applyFont="1" applyFill="1" applyBorder="1" applyAlignment="1"/>
    <xf numFmtId="0" fontId="4" fillId="2" borderId="1" xfId="1" applyNumberFormat="1" applyFont="1" applyFill="1" applyBorder="1" applyAlignment="1"/>
    <xf numFmtId="0" fontId="10" fillId="2" borderId="1" xfId="1" applyNumberFormat="1" applyFont="1" applyFill="1" applyBorder="1" applyAlignment="1"/>
    <xf numFmtId="43" fontId="10" fillId="2" borderId="1" xfId="1" applyFont="1" applyFill="1" applyBorder="1" applyAlignment="1">
      <alignment horizontal="center"/>
    </xf>
    <xf numFmtId="0" fontId="4" fillId="2" borderId="1" xfId="0" applyNumberFormat="1" applyFont="1" applyFill="1" applyBorder="1"/>
    <xf numFmtId="0" fontId="4" fillId="2" borderId="4" xfId="1" applyNumberFormat="1" applyFont="1" applyFill="1" applyBorder="1" applyAlignment="1">
      <alignment horizontal="left"/>
    </xf>
    <xf numFmtId="43" fontId="14" fillId="2" borderId="1" xfId="1" applyFont="1" applyFill="1" applyBorder="1"/>
    <xf numFmtId="43" fontId="15" fillId="2" borderId="1" xfId="1" applyFont="1" applyFill="1" applyBorder="1" applyAlignment="1"/>
    <xf numFmtId="43" fontId="10" fillId="4" borderId="1" xfId="1" applyFont="1" applyFill="1" applyBorder="1" applyAlignment="1"/>
    <xf numFmtId="43" fontId="4" fillId="4" borderId="1" xfId="1" applyFont="1" applyFill="1" applyBorder="1" applyAlignment="1"/>
    <xf numFmtId="43" fontId="10" fillId="2" borderId="0" xfId="1" applyFont="1" applyFill="1" applyAlignment="1"/>
    <xf numFmtId="0" fontId="4" fillId="2" borderId="0" xfId="1" applyNumberFormat="1" applyFont="1" applyFill="1" applyBorder="1" applyAlignment="1">
      <alignment horizontal="left" wrapText="1"/>
    </xf>
    <xf numFmtId="0" fontId="4" fillId="2" borderId="0" xfId="1" applyNumberFormat="1" applyFont="1" applyFill="1" applyBorder="1" applyAlignment="1">
      <alignment horizontal="center" wrapText="1"/>
    </xf>
    <xf numFmtId="43" fontId="16" fillId="2" borderId="1" xfId="1" applyFont="1" applyFill="1" applyBorder="1" applyAlignment="1"/>
    <xf numFmtId="43" fontId="17" fillId="2" borderId="1" xfId="1" applyFont="1" applyFill="1" applyBorder="1" applyAlignment="1"/>
    <xf numFmtId="0" fontId="4" fillId="2" borderId="0" xfId="1" applyNumberFormat="1" applyFont="1" applyFill="1" applyBorder="1" applyAlignment="1">
      <alignment horizontal="center"/>
    </xf>
    <xf numFmtId="43" fontId="4" fillId="2" borderId="0" xfId="1" applyFont="1" applyFill="1" applyBorder="1" applyAlignment="1"/>
    <xf numFmtId="0" fontId="18" fillId="2" borderId="1" xfId="0" applyFont="1" applyFill="1" applyBorder="1"/>
    <xf numFmtId="43" fontId="19" fillId="2" borderId="1" xfId="1" applyFont="1" applyFill="1" applyBorder="1" applyAlignment="1"/>
    <xf numFmtId="43" fontId="4" fillId="2" borderId="0" xfId="1" applyFont="1" applyFill="1"/>
    <xf numFmtId="43" fontId="4" fillId="2" borderId="1" xfId="1" applyFont="1" applyFill="1" applyBorder="1"/>
    <xf numFmtId="43" fontId="4" fillId="3" borderId="1" xfId="1" applyFont="1" applyFill="1" applyBorder="1" applyAlignment="1"/>
    <xf numFmtId="0" fontId="6" fillId="2" borderId="1" xfId="1" applyNumberFormat="1" applyFont="1" applyFill="1" applyBorder="1" applyAlignment="1"/>
    <xf numFmtId="0" fontId="6" fillId="2" borderId="1" xfId="1" applyNumberFormat="1" applyFont="1" applyFill="1" applyBorder="1" applyAlignment="1">
      <alignment horizontal="center"/>
    </xf>
    <xf numFmtId="43" fontId="6" fillId="2" borderId="4" xfId="1" applyFont="1" applyFill="1" applyBorder="1" applyAlignment="1"/>
    <xf numFmtId="43" fontId="6" fillId="2" borderId="1" xfId="1" applyFont="1" applyFill="1" applyBorder="1" applyAlignment="1">
      <alignment horizontal="right"/>
    </xf>
    <xf numFmtId="43" fontId="6" fillId="2" borderId="1" xfId="1" applyFont="1" applyFill="1" applyBorder="1" applyAlignment="1">
      <alignment horizontal="center"/>
    </xf>
    <xf numFmtId="43" fontId="6" fillId="2" borderId="1" xfId="1" applyFont="1" applyFill="1" applyBorder="1" applyAlignment="1">
      <alignment wrapText="1"/>
    </xf>
    <xf numFmtId="0" fontId="4" fillId="2" borderId="1" xfId="1" applyNumberFormat="1" applyFont="1" applyFill="1" applyBorder="1" applyAlignment="1">
      <alignment horizontal="center" wrapText="1"/>
    </xf>
    <xf numFmtId="0" fontId="11" fillId="2" borderId="1" xfId="1" applyNumberFormat="1" applyFont="1" applyFill="1" applyBorder="1" applyAlignment="1">
      <alignment horizontal="center"/>
    </xf>
    <xf numFmtId="0" fontId="11" fillId="2" borderId="1" xfId="1" applyNumberFormat="1" applyFont="1" applyFill="1" applyBorder="1" applyAlignment="1"/>
    <xf numFmtId="43" fontId="11" fillId="2" borderId="1" xfId="1" applyFont="1" applyFill="1" applyBorder="1" applyAlignment="1"/>
    <xf numFmtId="43" fontId="11" fillId="2" borderId="4" xfId="1" applyFont="1" applyFill="1" applyBorder="1" applyAlignment="1"/>
    <xf numFmtId="43" fontId="11" fillId="2" borderId="1" xfId="1" applyFont="1" applyFill="1" applyBorder="1" applyAlignment="1">
      <alignment horizontal="right"/>
    </xf>
    <xf numFmtId="43" fontId="11" fillId="2" borderId="1" xfId="1" applyFont="1" applyFill="1" applyBorder="1" applyAlignment="1">
      <alignment wrapText="1"/>
    </xf>
    <xf numFmtId="0" fontId="11" fillId="2" borderId="0" xfId="0" applyFont="1" applyFill="1" applyAlignment="1"/>
    <xf numFmtId="0" fontId="6" fillId="2" borderId="1" xfId="0" applyNumberFormat="1" applyFont="1" applyFill="1" applyBorder="1" applyAlignment="1">
      <alignment wrapText="1"/>
    </xf>
    <xf numFmtId="0" fontId="4" fillId="2" borderId="6" xfId="1" applyNumberFormat="1" applyFont="1" applyFill="1" applyBorder="1" applyAlignment="1">
      <alignment wrapText="1"/>
    </xf>
    <xf numFmtId="0" fontId="4" fillId="2" borderId="6" xfId="1" applyNumberFormat="1" applyFont="1" applyFill="1" applyBorder="1" applyAlignment="1">
      <alignment horizontal="center" wrapText="1"/>
    </xf>
    <xf numFmtId="0" fontId="4" fillId="2" borderId="0" xfId="1" applyNumberFormat="1" applyFont="1" applyFill="1"/>
    <xf numFmtId="0" fontId="4" fillId="2" borderId="0" xfId="1" applyNumberFormat="1" applyFont="1" applyFill="1" applyAlignment="1">
      <alignment horizontal="center"/>
    </xf>
    <xf numFmtId="0" fontId="4" fillId="2" borderId="1" xfId="1" applyNumberFormat="1" applyFont="1" applyFill="1" applyBorder="1" applyAlignment="1">
      <alignment horizontal="left" wrapText="1"/>
    </xf>
    <xf numFmtId="43" fontId="19" fillId="4" borderId="1" xfId="1" applyFont="1" applyFill="1" applyBorder="1" applyAlignment="1"/>
    <xf numFmtId="0" fontId="11" fillId="2" borderId="1" xfId="1" applyNumberFormat="1" applyFont="1" applyFill="1" applyBorder="1" applyAlignment="1">
      <alignment horizontal="left" wrapText="1"/>
    </xf>
    <xf numFmtId="0" fontId="11" fillId="2" borderId="1" xfId="1" applyNumberFormat="1" applyFont="1" applyFill="1" applyBorder="1" applyAlignment="1">
      <alignment horizontal="center" wrapText="1"/>
    </xf>
    <xf numFmtId="0" fontId="7" fillId="2" borderId="1" xfId="1" applyNumberFormat="1" applyFont="1" applyFill="1" applyBorder="1"/>
    <xf numFmtId="0" fontId="7" fillId="2" borderId="1" xfId="1" applyNumberFormat="1" applyFont="1" applyFill="1" applyBorder="1" applyAlignment="1">
      <alignment horizontal="center"/>
    </xf>
    <xf numFmtId="43" fontId="4" fillId="5" borderId="1" xfId="1" applyFont="1" applyFill="1" applyBorder="1" applyAlignment="1"/>
    <xf numFmtId="43" fontId="4" fillId="6" borderId="1" xfId="1" applyFont="1" applyFill="1" applyBorder="1" applyAlignment="1"/>
    <xf numFmtId="0" fontId="8" fillId="2" borderId="1" xfId="1" applyNumberFormat="1" applyFont="1" applyFill="1" applyBorder="1" applyAlignment="1"/>
    <xf numFmtId="0" fontId="8" fillId="2" borderId="0" xfId="0" applyFont="1" applyFill="1" applyAlignment="1"/>
    <xf numFmtId="43" fontId="8" fillId="2" borderId="1" xfId="0" applyNumberFormat="1" applyFont="1" applyFill="1" applyBorder="1" applyAlignment="1"/>
    <xf numFmtId="0" fontId="8" fillId="2" borderId="0" xfId="1" applyNumberFormat="1" applyFont="1" applyFill="1" applyBorder="1" applyAlignment="1"/>
    <xf numFmtId="43" fontId="6" fillId="2" borderId="0" xfId="1" applyFont="1" applyFill="1" applyBorder="1" applyAlignment="1"/>
    <xf numFmtId="43" fontId="20" fillId="2" borderId="0" xfId="1" applyFont="1" applyFill="1" applyAlignment="1"/>
    <xf numFmtId="43" fontId="8" fillId="2" borderId="0" xfId="0" applyNumberFormat="1" applyFont="1" applyFill="1" applyAlignment="1"/>
    <xf numFmtId="43" fontId="4" fillId="2" borderId="0" xfId="1" applyFont="1" applyFill="1" applyAlignment="1">
      <alignment horizontal="right"/>
    </xf>
    <xf numFmtId="43" fontId="4" fillId="2" borderId="1" xfId="1" applyFont="1" applyFill="1" applyBorder="1" applyAlignment="1">
      <alignment horizontal="left"/>
    </xf>
    <xf numFmtId="43" fontId="4" fillId="2" borderId="0" xfId="1" applyFont="1" applyFill="1" applyBorder="1" applyAlignment="1">
      <alignment wrapText="1"/>
    </xf>
    <xf numFmtId="43" fontId="4" fillId="2" borderId="4" xfId="1" applyFont="1" applyFill="1" applyBorder="1" applyAlignment="1">
      <alignment horizontal="center" wrapText="1"/>
    </xf>
    <xf numFmtId="43" fontId="4" fillId="2" borderId="5" xfId="1" applyFont="1" applyFill="1" applyBorder="1" applyAlignment="1">
      <alignment horizontal="center" wrapText="1"/>
    </xf>
    <xf numFmtId="43" fontId="4" fillId="2" borderId="6" xfId="1" applyFont="1" applyFill="1" applyBorder="1" applyAlignment="1">
      <alignment horizontal="center" wrapText="1"/>
    </xf>
    <xf numFmtId="0" fontId="4" fillId="2" borderId="4" xfId="1" applyNumberFormat="1" applyFont="1" applyFill="1" applyBorder="1" applyAlignment="1">
      <alignment horizontal="center"/>
    </xf>
    <xf numFmtId="0" fontId="4" fillId="2" borderId="5" xfId="1" applyNumberFormat="1" applyFont="1" applyFill="1" applyBorder="1" applyAlignment="1">
      <alignment horizontal="center"/>
    </xf>
    <xf numFmtId="0" fontId="4" fillId="2" borderId="6" xfId="1" applyNumberFormat="1" applyFont="1" applyFill="1" applyBorder="1" applyAlignment="1">
      <alignment horizontal="center"/>
    </xf>
    <xf numFmtId="0" fontId="4" fillId="2" borderId="4" xfId="1" applyNumberFormat="1" applyFont="1" applyFill="1" applyBorder="1" applyAlignment="1">
      <alignment horizontal="center" wrapText="1"/>
    </xf>
    <xf numFmtId="0" fontId="4" fillId="2" borderId="5" xfId="1" applyNumberFormat="1" applyFont="1" applyFill="1" applyBorder="1" applyAlignment="1">
      <alignment horizontal="center" wrapText="1"/>
    </xf>
    <xf numFmtId="0" fontId="4" fillId="2" borderId="0" xfId="0" applyNumberFormat="1" applyFont="1" applyFill="1" applyBorder="1" applyAlignment="1">
      <alignment horizontal="center" vertical="center" wrapText="1"/>
    </xf>
    <xf numFmtId="0" fontId="4" fillId="2" borderId="0" xfId="1" quotePrefix="1" applyNumberFormat="1" applyFont="1" applyFill="1" applyBorder="1" applyAlignment="1">
      <alignment horizontal="center" vertical="center"/>
    </xf>
    <xf numFmtId="43" fontId="21" fillId="2" borderId="1" xfId="1" applyFont="1" applyFill="1" applyBorder="1" applyAlignment="1">
      <alignment horizontal="center"/>
    </xf>
    <xf numFmtId="43" fontId="4" fillId="2" borderId="0" xfId="1" applyFont="1" applyFill="1" applyAlignment="1">
      <alignment horizontal="center"/>
    </xf>
    <xf numFmtId="14" fontId="4" fillId="2" borderId="0" xfId="0" applyNumberFormat="1" applyFont="1" applyFill="1" applyBorder="1" applyAlignment="1">
      <alignment horizontal="center" vertical="center" wrapText="1"/>
    </xf>
    <xf numFmtId="43" fontId="4" fillId="2" borderId="0" xfId="1" quotePrefix="1" applyFont="1" applyFill="1" applyBorder="1" applyAlignment="1">
      <alignment horizontal="center" vertical="center"/>
    </xf>
    <xf numFmtId="43" fontId="6" fillId="2" borderId="0" xfId="1" quotePrefix="1" applyFont="1" applyFill="1" applyBorder="1" applyAlignment="1">
      <alignment horizontal="center" vertical="center"/>
    </xf>
    <xf numFmtId="0" fontId="22" fillId="2" borderId="1" xfId="0" applyFont="1" applyFill="1" applyBorder="1" applyAlignment="1"/>
    <xf numFmtId="43" fontId="4" fillId="2" borderId="0" xfId="1" applyFont="1" applyFill="1" applyBorder="1" applyAlignment="1">
      <alignment horizontal="left" vertical="center" wrapText="1"/>
    </xf>
    <xf numFmtId="43" fontId="4" fillId="2" borderId="0" xfId="0" applyNumberFormat="1" applyFont="1" applyFill="1" applyBorder="1" applyAlignment="1">
      <alignment horizontal="left" vertical="center" wrapText="1"/>
    </xf>
    <xf numFmtId="43" fontId="4" fillId="2" borderId="0" xfId="1" applyFont="1" applyFill="1" applyBorder="1" applyAlignment="1">
      <alignment horizontal="left" vertical="center"/>
    </xf>
    <xf numFmtId="43" fontId="4" fillId="2" borderId="0" xfId="1" applyFont="1" applyFill="1" applyBorder="1" applyAlignment="1">
      <alignment vertical="center" wrapText="1"/>
    </xf>
    <xf numFmtId="43" fontId="4" fillId="2" borderId="0" xfId="1" applyFont="1" applyFill="1" applyBorder="1" applyAlignment="1">
      <alignment vertical="center"/>
    </xf>
    <xf numFmtId="43" fontId="6" fillId="2" borderId="0" xfId="1" applyFont="1" applyFill="1" applyBorder="1" applyAlignment="1">
      <alignment horizontal="center"/>
    </xf>
    <xf numFmtId="0" fontId="5" fillId="2" borderId="0" xfId="0" applyFont="1" applyFill="1"/>
    <xf numFmtId="0" fontId="22" fillId="2" borderId="1" xfId="0" applyFont="1" applyFill="1" applyBorder="1"/>
    <xf numFmtId="43" fontId="4" fillId="2" borderId="3" xfId="1" applyFont="1" applyFill="1" applyBorder="1" applyAlignment="1"/>
    <xf numFmtId="0" fontId="22" fillId="2" borderId="4" xfId="0" applyFont="1" applyFill="1" applyBorder="1"/>
    <xf numFmtId="43" fontId="4" fillId="2" borderId="4" xfId="1" applyFont="1" applyFill="1" applyBorder="1" applyAlignment="1">
      <alignment horizontal="center"/>
    </xf>
    <xf numFmtId="43" fontId="4" fillId="2" borderId="6" xfId="1" applyFont="1" applyFill="1" applyBorder="1" applyAlignment="1"/>
    <xf numFmtId="0" fontId="22" fillId="2" borderId="4" xfId="0" applyFont="1" applyFill="1" applyBorder="1" applyAlignment="1"/>
    <xf numFmtId="43" fontId="4" fillId="2" borderId="7" xfId="1" applyFont="1" applyFill="1" applyBorder="1" applyAlignment="1">
      <alignment horizontal="center"/>
    </xf>
    <xf numFmtId="43" fontId="4" fillId="2" borderId="7" xfId="1" applyFont="1" applyFill="1" applyBorder="1" applyAlignment="1"/>
    <xf numFmtId="43" fontId="4" fillId="7" borderId="1" xfId="1" applyFont="1" applyFill="1" applyBorder="1" applyAlignment="1"/>
    <xf numFmtId="43" fontId="4" fillId="2" borderId="4" xfId="1" applyFont="1" applyFill="1" applyBorder="1"/>
    <xf numFmtId="0" fontId="23" fillId="2" borderId="1" xfId="1" applyNumberFormat="1" applyFont="1" applyFill="1" applyBorder="1" applyAlignment="1">
      <alignment wrapText="1"/>
    </xf>
    <xf numFmtId="43" fontId="4" fillId="2" borderId="7" xfId="1" applyFont="1" applyFill="1" applyBorder="1"/>
    <xf numFmtId="0" fontId="24" fillId="2" borderId="1" xfId="0" applyFont="1" applyFill="1" applyBorder="1" applyAlignment="1"/>
    <xf numFmtId="43" fontId="11" fillId="2" borderId="1" xfId="1" applyFont="1" applyFill="1" applyBorder="1"/>
    <xf numFmtId="43" fontId="11" fillId="2" borderId="1" xfId="1" applyFont="1" applyFill="1" applyBorder="1" applyAlignment="1">
      <alignment horizontal="center"/>
    </xf>
    <xf numFmtId="43" fontId="11" fillId="2" borderId="0" xfId="1" applyFont="1" applyFill="1" applyBorder="1" applyAlignment="1"/>
    <xf numFmtId="43" fontId="11" fillId="2" borderId="0" xfId="1" applyFont="1" applyFill="1" applyAlignment="1"/>
    <xf numFmtId="43" fontId="11" fillId="2" borderId="0" xfId="0" applyNumberFormat="1" applyFont="1" applyFill="1" applyBorder="1" applyAlignment="1">
      <alignment horizontal="left" vertical="center" wrapText="1"/>
    </xf>
    <xf numFmtId="43" fontId="11" fillId="2" borderId="0" xfId="1" quotePrefix="1" applyFont="1" applyFill="1" applyBorder="1" applyAlignment="1">
      <alignment horizontal="center" vertical="center"/>
    </xf>
    <xf numFmtId="0" fontId="22" fillId="2" borderId="1" xfId="0" applyFont="1" applyFill="1" applyBorder="1" applyAlignment="1">
      <alignment horizontal="left" wrapText="1"/>
    </xf>
    <xf numFmtId="0" fontId="22" fillId="2" borderId="1" xfId="1" applyNumberFormat="1" applyFont="1" applyFill="1" applyBorder="1" applyAlignment="1"/>
    <xf numFmtId="43" fontId="4" fillId="2" borderId="0" xfId="1" applyFont="1" applyFill="1" applyBorder="1"/>
    <xf numFmtId="43" fontId="4" fillId="2" borderId="0" xfId="0" applyNumberFormat="1" applyFont="1" applyFill="1" applyBorder="1" applyAlignment="1"/>
    <xf numFmtId="4" fontId="4" fillId="2" borderId="0" xfId="0" applyNumberFormat="1" applyFont="1" applyFill="1" applyBorder="1" applyAlignment="1"/>
    <xf numFmtId="4" fontId="4" fillId="2" borderId="0" xfId="0" applyNumberFormat="1" applyFont="1" applyFill="1" applyAlignment="1"/>
    <xf numFmtId="0" fontId="4" fillId="2" borderId="1" xfId="0" applyFont="1" applyFill="1" applyBorder="1" applyAlignment="1">
      <alignment horizontal="right"/>
    </xf>
    <xf numFmtId="14" fontId="22" fillId="2" borderId="1" xfId="1" applyNumberFormat="1" applyFont="1" applyFill="1" applyBorder="1" applyAlignment="1"/>
    <xf numFmtId="43" fontId="4" fillId="2" borderId="4" xfId="0" applyNumberFormat="1" applyFont="1" applyFill="1" applyBorder="1" applyAlignment="1"/>
    <xf numFmtId="43" fontId="4" fillId="2" borderId="5" xfId="0" applyNumberFormat="1" applyFont="1" applyFill="1" applyBorder="1" applyAlignment="1"/>
    <xf numFmtId="164" fontId="4" fillId="2" borderId="0" xfId="0" applyNumberFormat="1" applyFont="1" applyFill="1" applyAlignment="1"/>
    <xf numFmtId="0" fontId="23" fillId="2" borderId="0" xfId="0" applyFont="1" applyFill="1"/>
    <xf numFmtId="0" fontId="25" fillId="2" borderId="0" xfId="0" applyNumberFormat="1" applyFont="1" applyFill="1" applyAlignment="1"/>
    <xf numFmtId="43" fontId="25" fillId="2" borderId="0" xfId="1" applyFont="1" applyFill="1" applyAlignment="1"/>
    <xf numFmtId="43" fontId="25" fillId="2" borderId="0" xfId="1" applyFont="1" applyFill="1" applyBorder="1" applyAlignment="1"/>
    <xf numFmtId="0" fontId="25" fillId="2" borderId="0" xfId="0" applyFont="1" applyFill="1" applyAlignment="1"/>
    <xf numFmtId="0" fontId="25" fillId="2" borderId="0" xfId="1" applyNumberFormat="1" applyFont="1" applyFill="1" applyBorder="1" applyAlignment="1"/>
    <xf numFmtId="0" fontId="26" fillId="2" borderId="0" xfId="0" applyFont="1" applyFill="1" applyAlignment="1"/>
    <xf numFmtId="0" fontId="26" fillId="2" borderId="0" xfId="0" applyFont="1" applyFill="1" applyAlignment="1"/>
    <xf numFmtId="43" fontId="27" fillId="2" borderId="0" xfId="1" applyFont="1" applyFill="1" applyBorder="1" applyAlignment="1">
      <alignment horizontal="center"/>
    </xf>
    <xf numFmtId="0" fontId="25" fillId="2" borderId="0" xfId="0" applyFont="1" applyFill="1" applyBorder="1" applyAlignment="1"/>
    <xf numFmtId="43" fontId="25" fillId="2" borderId="0" xfId="1" applyFont="1" applyFill="1" applyBorder="1" applyAlignment="1">
      <alignment horizontal="center" wrapText="1"/>
    </xf>
    <xf numFmtId="43" fontId="27" fillId="2" borderId="0" xfId="1" applyFont="1" applyFill="1" applyBorder="1" applyAlignment="1">
      <alignment horizontal="center" wrapText="1"/>
    </xf>
    <xf numFmtId="43" fontId="25" fillId="2" borderId="0" xfId="1" applyFont="1" applyFill="1" applyBorder="1" applyAlignment="1">
      <alignment wrapText="1"/>
    </xf>
    <xf numFmtId="0" fontId="25" fillId="2" borderId="0" xfId="0" applyFont="1" applyFill="1" applyAlignment="1">
      <alignment wrapText="1"/>
    </xf>
    <xf numFmtId="0" fontId="25" fillId="2" borderId="1" xfId="1" applyNumberFormat="1" applyFont="1" applyFill="1" applyBorder="1" applyAlignment="1">
      <alignment horizontal="center" wrapText="1"/>
    </xf>
    <xf numFmtId="0" fontId="25" fillId="2" borderId="6" xfId="1" applyNumberFormat="1" applyFont="1" applyFill="1" applyBorder="1" applyAlignment="1">
      <alignment horizontal="center" wrapText="1"/>
    </xf>
    <xf numFmtId="0" fontId="25" fillId="2" borderId="5" xfId="1" applyNumberFormat="1" applyFont="1" applyFill="1" applyBorder="1" applyAlignment="1">
      <alignment horizontal="center" wrapText="1"/>
    </xf>
    <xf numFmtId="43" fontId="25" fillId="2" borderId="4" xfId="1" applyFont="1" applyFill="1" applyBorder="1" applyAlignment="1">
      <alignment horizontal="center" wrapText="1"/>
    </xf>
    <xf numFmtId="43" fontId="25" fillId="2" borderId="5" xfId="1" applyFont="1" applyFill="1" applyBorder="1" applyAlignment="1">
      <alignment horizontal="center" wrapText="1"/>
    </xf>
    <xf numFmtId="43" fontId="25" fillId="2" borderId="6" xfId="1" applyFont="1" applyFill="1" applyBorder="1" applyAlignment="1">
      <alignment horizontal="center" wrapText="1"/>
    </xf>
    <xf numFmtId="43" fontId="25" fillId="2" borderId="1" xfId="1" applyFont="1" applyFill="1" applyBorder="1" applyAlignment="1">
      <alignment horizontal="center" wrapText="1"/>
    </xf>
    <xf numFmtId="43" fontId="25" fillId="2" borderId="3" xfId="1" applyFont="1" applyFill="1" applyBorder="1" applyAlignment="1">
      <alignment horizontal="center" wrapText="1"/>
    </xf>
    <xf numFmtId="0" fontId="25" fillId="2" borderId="1" xfId="0" applyFont="1" applyFill="1" applyBorder="1" applyAlignment="1">
      <alignment horizontal="center" wrapText="1"/>
    </xf>
    <xf numFmtId="0" fontId="25" fillId="2" borderId="4" xfId="0" applyFont="1" applyFill="1" applyBorder="1" applyAlignment="1">
      <alignment horizontal="center" wrapText="1"/>
    </xf>
    <xf numFmtId="0" fontId="25" fillId="2" borderId="8" xfId="0" applyFont="1" applyFill="1" applyBorder="1" applyAlignment="1">
      <alignment horizontal="center" wrapText="1"/>
    </xf>
    <xf numFmtId="0" fontId="25" fillId="2" borderId="9" xfId="0" applyFont="1" applyFill="1" applyBorder="1" applyAlignment="1">
      <alignment horizontal="center" wrapText="1"/>
    </xf>
    <xf numFmtId="0" fontId="25" fillId="2" borderId="0" xfId="0" applyFont="1" applyFill="1" applyAlignment="1">
      <alignment horizontal="center" wrapText="1"/>
    </xf>
    <xf numFmtId="0" fontId="25" fillId="2" borderId="0" xfId="0" applyFont="1" applyFill="1" applyBorder="1" applyAlignment="1">
      <alignment horizontal="center" wrapText="1"/>
    </xf>
    <xf numFmtId="0" fontId="27" fillId="2" borderId="1" xfId="1" applyNumberFormat="1" applyFont="1" applyFill="1" applyBorder="1" applyAlignment="1">
      <alignment horizontal="center"/>
    </xf>
    <xf numFmtId="0" fontId="27" fillId="2" borderId="6" xfId="1" applyNumberFormat="1" applyFont="1" applyFill="1" applyBorder="1" applyAlignment="1">
      <alignment horizontal="center"/>
    </xf>
    <xf numFmtId="0" fontId="27" fillId="2" borderId="4" xfId="1" applyNumberFormat="1" applyFont="1" applyFill="1" applyBorder="1" applyAlignment="1">
      <alignment horizontal="center"/>
    </xf>
    <xf numFmtId="0" fontId="27" fillId="2" borderId="5" xfId="1" applyNumberFormat="1" applyFont="1" applyFill="1" applyBorder="1" applyAlignment="1">
      <alignment horizontal="center"/>
    </xf>
    <xf numFmtId="0" fontId="27" fillId="2" borderId="6" xfId="1" applyNumberFormat="1" applyFont="1" applyFill="1" applyBorder="1" applyAlignment="1">
      <alignment horizontal="center"/>
    </xf>
    <xf numFmtId="0" fontId="25" fillId="2" borderId="1" xfId="1" applyNumberFormat="1" applyFont="1" applyFill="1" applyBorder="1" applyAlignment="1">
      <alignment horizontal="center"/>
    </xf>
    <xf numFmtId="0" fontId="25" fillId="2" borderId="4" xfId="1" applyNumberFormat="1" applyFont="1" applyFill="1" applyBorder="1" applyAlignment="1">
      <alignment horizontal="center"/>
    </xf>
    <xf numFmtId="0" fontId="25" fillId="2" borderId="5" xfId="1" applyNumberFormat="1" applyFont="1" applyFill="1" applyBorder="1" applyAlignment="1">
      <alignment horizontal="center"/>
    </xf>
    <xf numFmtId="0" fontId="25" fillId="2" borderId="6" xfId="1" applyNumberFormat="1" applyFont="1" applyFill="1" applyBorder="1" applyAlignment="1">
      <alignment horizontal="center"/>
    </xf>
    <xf numFmtId="0" fontId="25" fillId="2" borderId="4" xfId="1" applyNumberFormat="1" applyFont="1" applyFill="1" applyBorder="1" applyAlignment="1">
      <alignment horizontal="center"/>
    </xf>
    <xf numFmtId="0" fontId="25" fillId="2" borderId="5" xfId="1" applyNumberFormat="1" applyFont="1" applyFill="1" applyBorder="1" applyAlignment="1">
      <alignment horizontal="center"/>
    </xf>
    <xf numFmtId="0" fontId="25" fillId="2" borderId="6" xfId="1" applyNumberFormat="1" applyFont="1" applyFill="1" applyBorder="1" applyAlignment="1">
      <alignment horizontal="center"/>
    </xf>
    <xf numFmtId="0" fontId="25" fillId="2" borderId="1" xfId="0" applyNumberFormat="1" applyFont="1" applyFill="1" applyBorder="1" applyAlignment="1">
      <alignment horizontal="center"/>
    </xf>
    <xf numFmtId="0" fontId="25" fillId="2" borderId="4" xfId="0" applyNumberFormat="1" applyFont="1" applyFill="1" applyBorder="1" applyAlignment="1">
      <alignment horizontal="center"/>
    </xf>
    <xf numFmtId="0" fontId="25" fillId="2" borderId="5" xfId="0" applyNumberFormat="1" applyFont="1" applyFill="1" applyBorder="1" applyAlignment="1">
      <alignment horizontal="center"/>
    </xf>
    <xf numFmtId="0" fontId="25" fillId="2" borderId="6" xfId="0" applyNumberFormat="1" applyFont="1" applyFill="1" applyBorder="1" applyAlignment="1">
      <alignment horizontal="center"/>
    </xf>
    <xf numFmtId="0" fontId="25" fillId="2" borderId="10" xfId="0" applyNumberFormat="1" applyFont="1" applyFill="1" applyBorder="1" applyAlignment="1">
      <alignment horizontal="center"/>
    </xf>
    <xf numFmtId="0" fontId="25" fillId="2" borderId="2" xfId="0" applyNumberFormat="1" applyFont="1" applyFill="1" applyBorder="1" applyAlignment="1">
      <alignment horizontal="center"/>
    </xf>
    <xf numFmtId="0" fontId="25" fillId="2" borderId="0" xfId="0" applyNumberFormat="1" applyFont="1" applyFill="1" applyAlignment="1">
      <alignment horizontal="center"/>
    </xf>
    <xf numFmtId="0" fontId="25" fillId="2" borderId="4" xfId="0" applyNumberFormat="1" applyFont="1" applyFill="1" applyBorder="1" applyAlignment="1">
      <alignment horizontal="left"/>
    </xf>
    <xf numFmtId="0" fontId="25" fillId="2" borderId="5" xfId="0" applyNumberFormat="1" applyFont="1" applyFill="1" applyBorder="1" applyAlignment="1">
      <alignment horizontal="center"/>
    </xf>
    <xf numFmtId="0" fontId="25" fillId="2" borderId="6" xfId="0" applyNumberFormat="1" applyFont="1" applyFill="1" applyBorder="1" applyAlignment="1">
      <alignment horizontal="center"/>
    </xf>
    <xf numFmtId="0" fontId="25" fillId="2" borderId="0" xfId="0" applyNumberFormat="1" applyFont="1" applyFill="1" applyBorder="1" applyAlignment="1">
      <alignment horizontal="center"/>
    </xf>
    <xf numFmtId="0" fontId="18" fillId="2" borderId="10" xfId="0" applyNumberFormat="1" applyFont="1" applyFill="1" applyBorder="1" applyAlignment="1">
      <alignment horizontal="center" wrapText="1"/>
    </xf>
    <xf numFmtId="0" fontId="18" fillId="2" borderId="2" xfId="0" applyNumberFormat="1" applyFont="1" applyFill="1" applyBorder="1" applyAlignment="1">
      <alignment horizontal="center" wrapText="1"/>
    </xf>
    <xf numFmtId="0" fontId="25" fillId="2" borderId="2" xfId="0" applyNumberFormat="1" applyFont="1" applyFill="1" applyBorder="1" applyAlignment="1">
      <alignment horizontal="center"/>
    </xf>
    <xf numFmtId="0" fontId="25" fillId="2" borderId="11" xfId="0" applyNumberFormat="1" applyFont="1" applyFill="1" applyBorder="1" applyAlignment="1">
      <alignment horizontal="center"/>
    </xf>
    <xf numFmtId="0" fontId="25" fillId="2" borderId="11" xfId="0" applyNumberFormat="1" applyFont="1" applyFill="1" applyBorder="1" applyAlignment="1">
      <alignment horizontal="center"/>
    </xf>
    <xf numFmtId="0" fontId="18" fillId="2" borderId="1" xfId="0" applyNumberFormat="1" applyFont="1" applyFill="1" applyBorder="1" applyAlignment="1">
      <alignment horizontal="center" wrapText="1"/>
    </xf>
    <xf numFmtId="0" fontId="25" fillId="2" borderId="1" xfId="0" applyNumberFormat="1" applyFont="1" applyFill="1" applyBorder="1" applyAlignment="1">
      <alignment horizontal="center"/>
    </xf>
    <xf numFmtId="0" fontId="25" fillId="2" borderId="4" xfId="0" applyFont="1" applyFill="1" applyBorder="1" applyAlignment="1">
      <alignment horizontal="center" wrapText="1"/>
    </xf>
    <xf numFmtId="0" fontId="25" fillId="2" borderId="5" xfId="0" applyFont="1" applyFill="1" applyBorder="1" applyAlignment="1">
      <alignment horizontal="center" wrapText="1"/>
    </xf>
    <xf numFmtId="0" fontId="25" fillId="2" borderId="6" xfId="0" applyFont="1" applyFill="1" applyBorder="1" applyAlignment="1">
      <alignment horizontal="center" wrapText="1"/>
    </xf>
    <xf numFmtId="0" fontId="25" fillId="2" borderId="1" xfId="0" applyNumberFormat="1" applyFont="1" applyFill="1" applyBorder="1" applyAlignment="1">
      <alignment wrapText="1"/>
    </xf>
    <xf numFmtId="0" fontId="25" fillId="2" borderId="1" xfId="0" applyNumberFormat="1" applyFont="1" applyFill="1" applyBorder="1" applyAlignment="1">
      <alignment horizontal="left"/>
    </xf>
    <xf numFmtId="0" fontId="25" fillId="2" borderId="0" xfId="0" applyNumberFormat="1" applyFont="1" applyFill="1" applyBorder="1" applyAlignment="1">
      <alignment horizontal="left"/>
    </xf>
    <xf numFmtId="0" fontId="25" fillId="2" borderId="10" xfId="0" applyNumberFormat="1" applyFont="1" applyFill="1" applyBorder="1" applyAlignment="1">
      <alignment horizontal="center"/>
    </xf>
    <xf numFmtId="43" fontId="27" fillId="2" borderId="1" xfId="1" applyFont="1" applyFill="1" applyBorder="1" applyAlignment="1">
      <alignment horizontal="center"/>
    </xf>
    <xf numFmtId="43" fontId="27" fillId="2" borderId="4" xfId="1" applyFont="1" applyFill="1" applyBorder="1" applyAlignment="1">
      <alignment horizontal="center"/>
    </xf>
    <xf numFmtId="43" fontId="25" fillId="2" borderId="1" xfId="1" applyFont="1" applyFill="1" applyBorder="1" applyAlignment="1">
      <alignment horizontal="center"/>
    </xf>
    <xf numFmtId="43" fontId="27" fillId="2" borderId="7" xfId="1" applyFont="1" applyFill="1" applyBorder="1" applyAlignment="1">
      <alignment horizontal="center"/>
    </xf>
    <xf numFmtId="0" fontId="25" fillId="2" borderId="1" xfId="0" applyFont="1" applyFill="1" applyBorder="1" applyAlignment="1">
      <alignment horizontal="center"/>
    </xf>
    <xf numFmtId="0" fontId="25" fillId="2" borderId="0" xfId="0" applyFont="1" applyFill="1" applyAlignment="1">
      <alignment horizontal="center"/>
    </xf>
    <xf numFmtId="0" fontId="25" fillId="2" borderId="1" xfId="1" applyNumberFormat="1" applyFont="1" applyFill="1" applyBorder="1" applyAlignment="1"/>
    <xf numFmtId="0" fontId="6" fillId="2" borderId="6" xfId="1" applyNumberFormat="1" applyFont="1" applyFill="1" applyBorder="1" applyAlignment="1">
      <alignment horizontal="center"/>
    </xf>
    <xf numFmtId="43" fontId="25" fillId="2" borderId="1" xfId="1" applyFont="1" applyFill="1" applyBorder="1" applyAlignment="1"/>
    <xf numFmtId="43" fontId="25" fillId="2" borderId="1" xfId="1" applyFont="1" applyFill="1" applyBorder="1" applyAlignment="1">
      <alignment wrapText="1"/>
    </xf>
    <xf numFmtId="43" fontId="25" fillId="2" borderId="1" xfId="0" applyNumberFormat="1" applyFont="1" applyFill="1" applyBorder="1" applyAlignment="1">
      <alignment horizontal="left"/>
    </xf>
    <xf numFmtId="43" fontId="25" fillId="2" borderId="0" xfId="0" applyNumberFormat="1" applyFont="1" applyFill="1" applyBorder="1" applyAlignment="1">
      <alignment horizontal="left"/>
    </xf>
    <xf numFmtId="43" fontId="25" fillId="2" borderId="1" xfId="0" applyNumberFormat="1" applyFont="1" applyFill="1" applyBorder="1" applyAlignment="1"/>
    <xf numFmtId="43" fontId="25" fillId="2" borderId="4" xfId="0" applyNumberFormat="1" applyFont="1" applyFill="1" applyBorder="1" applyAlignment="1">
      <alignment horizontal="left"/>
    </xf>
    <xf numFmtId="43" fontId="25" fillId="3" borderId="1" xfId="1" applyFont="1" applyFill="1" applyBorder="1" applyAlignment="1"/>
    <xf numFmtId="0" fontId="18" fillId="2" borderId="1" xfId="0" applyFont="1" applyFill="1" applyBorder="1" applyAlignment="1">
      <alignment horizontal="center"/>
    </xf>
    <xf numFmtId="43" fontId="25" fillId="2" borderId="1" xfId="1" applyFont="1" applyFill="1" applyBorder="1"/>
    <xf numFmtId="0" fontId="25" fillId="2" borderId="1" xfId="1" applyNumberFormat="1" applyFont="1" applyFill="1" applyBorder="1" applyAlignment="1">
      <alignment wrapText="1"/>
    </xf>
    <xf numFmtId="0" fontId="6" fillId="2" borderId="1" xfId="1" applyNumberFormat="1" applyFont="1" applyFill="1" applyBorder="1" applyAlignment="1">
      <alignment horizontal="center" wrapText="1"/>
    </xf>
    <xf numFmtId="0" fontId="2" fillId="2" borderId="1" xfId="0" applyNumberFormat="1" applyFont="1" applyFill="1" applyBorder="1" applyAlignment="1">
      <alignment horizontal="center"/>
    </xf>
    <xf numFmtId="0" fontId="25" fillId="2" borderId="1" xfId="0" applyNumberFormat="1" applyFont="1" applyFill="1" applyBorder="1" applyAlignment="1"/>
    <xf numFmtId="49" fontId="2" fillId="2" borderId="6" xfId="0" applyNumberFormat="1" applyFont="1" applyFill="1" applyBorder="1" applyAlignment="1">
      <alignment horizontal="center"/>
    </xf>
    <xf numFmtId="0" fontId="25" fillId="2" borderId="1" xfId="0" applyFont="1" applyFill="1" applyBorder="1" applyAlignment="1"/>
    <xf numFmtId="0" fontId="2" fillId="2" borderId="6" xfId="0" applyNumberFormat="1" applyFont="1" applyFill="1" applyBorder="1" applyAlignment="1">
      <alignment horizontal="center"/>
    </xf>
    <xf numFmtId="0" fontId="18" fillId="2" borderId="6" xfId="1" applyNumberFormat="1" applyFont="1" applyFill="1" applyBorder="1" applyAlignment="1">
      <alignment wrapText="1"/>
    </xf>
    <xf numFmtId="0" fontId="28" fillId="2" borderId="6" xfId="1" applyNumberFormat="1" applyFont="1" applyFill="1" applyBorder="1" applyAlignment="1">
      <alignment wrapText="1"/>
    </xf>
    <xf numFmtId="43" fontId="25" fillId="2" borderId="4" xfId="1" applyFont="1" applyFill="1" applyBorder="1" applyAlignment="1"/>
    <xf numFmtId="43" fontId="25" fillId="2" borderId="6" xfId="1" applyFont="1" applyFill="1" applyBorder="1" applyAlignment="1"/>
    <xf numFmtId="43" fontId="26" fillId="2" borderId="1" xfId="1" applyFont="1" applyFill="1" applyBorder="1"/>
    <xf numFmtId="0" fontId="27" fillId="2" borderId="0" xfId="1" applyNumberFormat="1" applyFont="1" applyFill="1" applyBorder="1" applyAlignment="1">
      <alignment horizontal="center"/>
    </xf>
    <xf numFmtId="0" fontId="26" fillId="2" borderId="0" xfId="0" applyNumberFormat="1" applyFont="1" applyFill="1" applyAlignment="1"/>
    <xf numFmtId="43" fontId="25" fillId="2" borderId="0" xfId="0" applyNumberFormat="1" applyFont="1" applyFill="1" applyAlignment="1">
      <alignment horizontal="center"/>
    </xf>
    <xf numFmtId="43" fontId="25" fillId="2" borderId="9" xfId="1" applyFont="1" applyFill="1" applyBorder="1" applyAlignment="1"/>
    <xf numFmtId="43" fontId="25" fillId="2" borderId="0" xfId="1" applyFont="1" applyFill="1" applyAlignment="1">
      <alignment horizontal="center"/>
    </xf>
    <xf numFmtId="43" fontId="25" fillId="2" borderId="0" xfId="1" applyNumberFormat="1" applyFont="1" applyFill="1" applyBorder="1" applyAlignment="1"/>
    <xf numFmtId="43" fontId="26" fillId="2" borderId="0" xfId="1" applyFont="1" applyFill="1" applyAlignment="1"/>
    <xf numFmtId="0" fontId="25" fillId="2" borderId="0" xfId="1" applyNumberFormat="1" applyFont="1" applyFill="1" applyAlignment="1"/>
    <xf numFmtId="0" fontId="27" fillId="2" borderId="0" xfId="0" applyFont="1" applyFill="1" applyBorder="1" applyAlignment="1">
      <alignment horizontal="center"/>
    </xf>
    <xf numFmtId="43" fontId="27" fillId="2" borderId="0" xfId="0" applyNumberFormat="1" applyFont="1" applyFill="1" applyBorder="1" applyAlignment="1">
      <alignment horizontal="center"/>
    </xf>
    <xf numFmtId="0" fontId="27" fillId="2" borderId="1" xfId="1" applyNumberFormat="1" applyFont="1" applyFill="1" applyBorder="1" applyAlignment="1"/>
    <xf numFmtId="0" fontId="27" fillId="2" borderId="0" xfId="1" applyNumberFormat="1" applyFont="1" applyFill="1" applyBorder="1" applyAlignment="1"/>
    <xf numFmtId="43" fontId="27" fillId="2" borderId="1" xfId="1" applyFont="1" applyFill="1" applyBorder="1" applyAlignment="1"/>
    <xf numFmtId="43" fontId="27" fillId="2" borderId="0" xfId="1" applyFont="1" applyFill="1" applyBorder="1" applyAlignment="1"/>
    <xf numFmtId="43" fontId="25" fillId="2" borderId="0" xfId="0" applyNumberFormat="1" applyFont="1" applyFill="1" applyAlignment="1"/>
    <xf numFmtId="43" fontId="25" fillId="2" borderId="0" xfId="0" applyNumberFormat="1" applyFont="1" applyFill="1" applyAlignment="1">
      <alignment horizontal="center"/>
    </xf>
    <xf numFmtId="0" fontId="25" fillId="2" borderId="0" xfId="0" applyFont="1" applyFill="1" applyAlignment="1">
      <alignment horizontal="center"/>
    </xf>
    <xf numFmtId="0" fontId="27" fillId="2" borderId="4" xfId="1" applyNumberFormat="1" applyFont="1" applyFill="1" applyBorder="1" applyAlignment="1"/>
    <xf numFmtId="0" fontId="27" fillId="2" borderId="10" xfId="1" applyNumberFormat="1" applyFont="1" applyFill="1" applyBorder="1" applyAlignment="1">
      <alignment horizontal="center"/>
    </xf>
    <xf numFmtId="0" fontId="27" fillId="2" borderId="2" xfId="1" applyNumberFormat="1" applyFont="1" applyFill="1" applyBorder="1" applyAlignment="1">
      <alignment horizontal="center"/>
    </xf>
    <xf numFmtId="0" fontId="25" fillId="2" borderId="2" xfId="1" applyNumberFormat="1" applyFont="1" applyFill="1" applyBorder="1" applyAlignment="1">
      <alignment horizontal="center" wrapText="1"/>
    </xf>
    <xf numFmtId="0" fontId="25" fillId="2" borderId="0" xfId="1" applyNumberFormat="1" applyFont="1" applyFill="1" applyBorder="1" applyAlignment="1">
      <alignment wrapText="1"/>
    </xf>
    <xf numFmtId="0" fontId="25" fillId="2" borderId="2" xfId="1" applyNumberFormat="1" applyFont="1" applyFill="1" applyBorder="1" applyAlignment="1">
      <alignment horizontal="center"/>
    </xf>
    <xf numFmtId="0" fontId="25" fillId="2" borderId="0" xfId="0" applyFont="1" applyFill="1" applyBorder="1" applyAlignment="1">
      <alignment wrapText="1"/>
    </xf>
    <xf numFmtId="0" fontId="18" fillId="2" borderId="2" xfId="1" applyNumberFormat="1" applyFont="1" applyFill="1" applyBorder="1" applyAlignment="1">
      <alignment horizontal="center"/>
    </xf>
    <xf numFmtId="0" fontId="25" fillId="2" borderId="2" xfId="0" applyFont="1" applyFill="1" applyBorder="1" applyAlignment="1">
      <alignment horizontal="center"/>
    </xf>
    <xf numFmtId="0" fontId="25" fillId="2" borderId="0" xfId="0" applyNumberFormat="1" applyFont="1" applyFill="1" applyBorder="1" applyAlignment="1"/>
    <xf numFmtId="43" fontId="25" fillId="2" borderId="0" xfId="1" applyFont="1" applyFill="1" applyBorder="1" applyAlignment="1">
      <alignment horizontal="center"/>
    </xf>
    <xf numFmtId="43" fontId="26" fillId="2" borderId="1" xfId="1" applyFont="1" applyFill="1" applyBorder="1" applyAlignment="1"/>
    <xf numFmtId="43" fontId="25" fillId="2" borderId="0" xfId="0" applyNumberFormat="1" applyFont="1" applyFill="1" applyBorder="1" applyAlignment="1"/>
    <xf numFmtId="43" fontId="25" fillId="2" borderId="3" xfId="1" applyFont="1" applyFill="1" applyBorder="1" applyAlignment="1"/>
    <xf numFmtId="0" fontId="25" fillId="2" borderId="4" xfId="1" applyNumberFormat="1" applyFont="1" applyFill="1" applyBorder="1" applyAlignment="1"/>
    <xf numFmtId="43" fontId="25" fillId="2" borderId="7" xfId="1" applyFont="1" applyFill="1" applyBorder="1" applyAlignment="1"/>
    <xf numFmtId="0" fontId="25" fillId="8" borderId="1" xfId="1" applyNumberFormat="1" applyFont="1" applyFill="1" applyBorder="1" applyAlignment="1"/>
    <xf numFmtId="0" fontId="25" fillId="2" borderId="6" xfId="1" applyNumberFormat="1" applyFont="1" applyFill="1" applyBorder="1" applyAlignment="1"/>
    <xf numFmtId="43" fontId="26" fillId="2" borderId="3" xfId="1" applyFont="1" applyFill="1" applyBorder="1" applyAlignment="1"/>
    <xf numFmtId="43" fontId="25" fillId="2" borderId="12" xfId="1" applyFont="1" applyFill="1" applyBorder="1" applyAlignment="1"/>
    <xf numFmtId="43" fontId="25" fillId="2" borderId="5" xfId="1" applyFont="1" applyFill="1" applyBorder="1" applyAlignment="1"/>
    <xf numFmtId="0" fontId="18" fillId="2" borderId="6" xfId="1" applyNumberFormat="1" applyFont="1" applyFill="1" applyBorder="1"/>
    <xf numFmtId="0" fontId="6" fillId="2" borderId="6" xfId="1" applyNumberFormat="1" applyFont="1" applyFill="1" applyBorder="1" applyAlignment="1">
      <alignment wrapText="1"/>
    </xf>
    <xf numFmtId="0" fontId="6" fillId="2" borderId="11" xfId="1" applyNumberFormat="1" applyFont="1" applyFill="1" applyBorder="1" applyAlignment="1">
      <alignment wrapText="1"/>
    </xf>
    <xf numFmtId="43" fontId="25" fillId="2" borderId="10" xfId="1" applyFont="1" applyFill="1" applyBorder="1" applyAlignment="1"/>
    <xf numFmtId="43" fontId="25" fillId="2" borderId="11" xfId="1" applyFont="1" applyFill="1" applyBorder="1" applyAlignment="1"/>
    <xf numFmtId="0" fontId="25" fillId="2" borderId="7" xfId="1" applyNumberFormat="1" applyFont="1" applyFill="1" applyBorder="1" applyAlignment="1"/>
    <xf numFmtId="43" fontId="26" fillId="2" borderId="7" xfId="1" applyFont="1" applyFill="1" applyBorder="1" applyAlignment="1"/>
    <xf numFmtId="0" fontId="25" fillId="2" borderId="3" xfId="1" applyNumberFormat="1" applyFont="1" applyFill="1" applyBorder="1" applyAlignment="1"/>
    <xf numFmtId="43" fontId="25" fillId="2" borderId="13" xfId="1" applyFont="1" applyFill="1" applyBorder="1" applyAlignment="1"/>
    <xf numFmtId="0" fontId="25" fillId="2" borderId="4" xfId="0" applyFont="1" applyFill="1" applyBorder="1" applyAlignment="1"/>
    <xf numFmtId="0" fontId="25" fillId="2" borderId="5" xfId="0" applyFont="1" applyFill="1" applyBorder="1" applyAlignment="1"/>
    <xf numFmtId="0" fontId="25" fillId="2" borderId="0" xfId="1" applyNumberFormat="1" applyFont="1" applyFill="1" applyAlignment="1">
      <alignment horizontal="left"/>
    </xf>
    <xf numFmtId="43" fontId="29" fillId="2" borderId="0" xfId="1" applyFont="1" applyFill="1" applyAlignment="1"/>
    <xf numFmtId="0" fontId="28" fillId="2" borderId="0" xfId="1" applyNumberFormat="1" applyFont="1" applyFill="1" applyBorder="1" applyAlignment="1">
      <alignment horizontal="center" wrapText="1"/>
    </xf>
    <xf numFmtId="43" fontId="28" fillId="2" borderId="0" xfId="1" applyFont="1" applyFill="1" applyBorder="1" applyAlignment="1">
      <alignment horizontal="center" wrapText="1"/>
    </xf>
    <xf numFmtId="43" fontId="28" fillId="2" borderId="0" xfId="1" applyFont="1" applyFill="1" applyBorder="1" applyAlignment="1">
      <alignment horizontal="center"/>
    </xf>
    <xf numFmtId="43" fontId="28" fillId="2" borderId="0" xfId="1" applyFont="1" applyFill="1" applyBorder="1" applyAlignment="1">
      <alignment wrapText="1"/>
    </xf>
    <xf numFmtId="43" fontId="28" fillId="2" borderId="14" xfId="1" applyFont="1" applyFill="1" applyBorder="1" applyAlignment="1">
      <alignment horizontal="center"/>
    </xf>
    <xf numFmtId="43" fontId="28" fillId="2" borderId="0" xfId="1" applyFont="1" applyFill="1" applyBorder="1" applyAlignment="1">
      <alignment horizontal="center"/>
    </xf>
    <xf numFmtId="43" fontId="28" fillId="2" borderId="1" xfId="1" applyFont="1" applyFill="1" applyBorder="1" applyAlignment="1">
      <alignment horizontal="center"/>
    </xf>
    <xf numFmtId="43" fontId="30" fillId="2" borderId="1" xfId="1" applyFont="1" applyFill="1" applyBorder="1" applyAlignment="1">
      <alignment horizontal="center"/>
    </xf>
    <xf numFmtId="0" fontId="30" fillId="2" borderId="1" xfId="1" applyNumberFormat="1" applyFont="1" applyFill="1" applyBorder="1" applyAlignment="1">
      <alignment horizontal="center"/>
    </xf>
    <xf numFmtId="0" fontId="30" fillId="2" borderId="14" xfId="1" applyNumberFormat="1" applyFont="1" applyFill="1" applyBorder="1" applyAlignment="1">
      <alignment horizontal="center"/>
    </xf>
    <xf numFmtId="0" fontId="30" fillId="2" borderId="0" xfId="1" applyNumberFormat="1" applyFont="1" applyFill="1" applyBorder="1" applyAlignment="1">
      <alignment horizontal="center"/>
    </xf>
    <xf numFmtId="0" fontId="28" fillId="2" borderId="0" xfId="0" applyFont="1" applyFill="1" applyBorder="1" applyAlignment="1">
      <alignment horizontal="center" wrapText="1"/>
    </xf>
    <xf numFmtId="43" fontId="28" fillId="2" borderId="0" xfId="0" applyNumberFormat="1" applyFont="1" applyFill="1" applyBorder="1" applyAlignment="1">
      <alignment horizontal="center" wrapText="1"/>
    </xf>
    <xf numFmtId="0" fontId="28" fillId="2" borderId="0" xfId="0" applyFont="1" applyFill="1" applyBorder="1" applyAlignment="1">
      <alignment horizontal="center" wrapText="1"/>
    </xf>
    <xf numFmtId="0" fontId="30" fillId="2" borderId="0" xfId="1" applyNumberFormat="1" applyFont="1" applyFill="1" applyBorder="1" applyAlignment="1">
      <alignment horizontal="center"/>
    </xf>
    <xf numFmtId="0" fontId="28" fillId="2" borderId="0" xfId="1" applyNumberFormat="1" applyFont="1" applyFill="1" applyBorder="1" applyAlignment="1">
      <alignment horizontal="center"/>
    </xf>
    <xf numFmtId="0" fontId="30" fillId="2" borderId="4" xfId="1" applyNumberFormat="1" applyFont="1" applyFill="1" applyBorder="1" applyAlignment="1">
      <alignment horizontal="center"/>
    </xf>
    <xf numFmtId="0" fontId="28" fillId="2" borderId="0" xfId="0" applyNumberFormat="1" applyFont="1" applyFill="1" applyBorder="1" applyAlignment="1">
      <alignment horizontal="center"/>
    </xf>
    <xf numFmtId="43" fontId="30" fillId="2" borderId="4" xfId="1" applyFont="1" applyFill="1" applyBorder="1" applyAlignment="1">
      <alignment horizontal="center"/>
    </xf>
    <xf numFmtId="0" fontId="28" fillId="2" borderId="0" xfId="0" applyNumberFormat="1" applyFont="1" applyFill="1" applyBorder="1" applyAlignment="1">
      <alignment wrapText="1"/>
    </xf>
    <xf numFmtId="0" fontId="28" fillId="2" borderId="0" xfId="0" applyNumberFormat="1" applyFont="1" applyFill="1" applyBorder="1" applyAlignment="1">
      <alignment horizontal="center"/>
    </xf>
    <xf numFmtId="0" fontId="4" fillId="2" borderId="0" xfId="0" applyNumberFormat="1" applyFont="1" applyFill="1" applyBorder="1" applyAlignment="1">
      <alignment horizontal="center" wrapText="1"/>
    </xf>
    <xf numFmtId="0" fontId="28" fillId="2" borderId="1" xfId="0" applyNumberFormat="1" applyFont="1" applyFill="1" applyBorder="1" applyAlignment="1">
      <alignment horizontal="center"/>
    </xf>
    <xf numFmtId="0" fontId="28" fillId="2" borderId="1" xfId="0" applyNumberFormat="1" applyFont="1" applyFill="1" applyBorder="1" applyAlignment="1">
      <alignment horizontal="center"/>
    </xf>
    <xf numFmtId="0" fontId="28" fillId="2" borderId="4" xfId="0" applyNumberFormat="1" applyFont="1" applyFill="1" applyBorder="1" applyAlignment="1">
      <alignment horizontal="center"/>
    </xf>
    <xf numFmtId="0" fontId="28" fillId="2" borderId="5" xfId="0" applyNumberFormat="1" applyFont="1" applyFill="1" applyBorder="1" applyAlignment="1">
      <alignment horizontal="center"/>
    </xf>
    <xf numFmtId="0" fontId="28" fillId="2" borderId="6" xfId="0" applyNumberFormat="1" applyFont="1" applyFill="1" applyBorder="1" applyAlignment="1">
      <alignment horizontal="center"/>
    </xf>
    <xf numFmtId="0" fontId="28" fillId="2" borderId="1" xfId="0" applyNumberFormat="1" applyFont="1" applyFill="1" applyBorder="1" applyAlignment="1">
      <alignment horizontal="center" wrapText="1"/>
    </xf>
    <xf numFmtId="0" fontId="30" fillId="2" borderId="0" xfId="1" applyNumberFormat="1" applyFont="1" applyFill="1" applyBorder="1" applyAlignment="1">
      <alignment horizontal="center" wrapText="1"/>
    </xf>
    <xf numFmtId="43" fontId="30" fillId="2" borderId="0" xfId="1" applyFont="1" applyFill="1" applyBorder="1" applyAlignment="1">
      <alignment horizontal="center" wrapText="1"/>
    </xf>
    <xf numFmtId="43" fontId="30" fillId="2" borderId="0" xfId="1" applyFont="1" applyFill="1" applyBorder="1" applyAlignment="1">
      <alignment horizontal="center"/>
    </xf>
    <xf numFmtId="43" fontId="30" fillId="2" borderId="1" xfId="1" applyFont="1" applyFill="1" applyBorder="1" applyAlignment="1">
      <alignment horizontal="center" wrapText="1"/>
    </xf>
    <xf numFmtId="0" fontId="28" fillId="2" borderId="1" xfId="0" applyFont="1" applyFill="1" applyBorder="1" applyAlignment="1">
      <alignment horizontal="center" wrapText="1"/>
    </xf>
    <xf numFmtId="0" fontId="31" fillId="2" borderId="1" xfId="0" applyFont="1" applyFill="1" applyBorder="1"/>
    <xf numFmtId="0" fontId="4" fillId="9" borderId="1" xfId="1" applyNumberFormat="1" applyFont="1" applyFill="1" applyBorder="1" applyAlignment="1">
      <alignment horizontal="center"/>
    </xf>
    <xf numFmtId="43" fontId="31" fillId="2" borderId="1" xfId="1" applyFont="1" applyFill="1" applyBorder="1"/>
    <xf numFmtId="43" fontId="31" fillId="2" borderId="1" xfId="0" applyNumberFormat="1" applyFont="1" applyFill="1" applyBorder="1"/>
    <xf numFmtId="0" fontId="31" fillId="2" borderId="0" xfId="0" applyFont="1" applyFill="1" applyBorder="1"/>
    <xf numFmtId="43" fontId="28" fillId="2" borderId="1" xfId="1" applyFont="1" applyFill="1" applyBorder="1"/>
    <xf numFmtId="43" fontId="31" fillId="2" borderId="0" xfId="1" applyFont="1" applyFill="1" applyBorder="1"/>
    <xf numFmtId="43" fontId="28" fillId="2" borderId="1" xfId="0" applyNumberFormat="1" applyFont="1" applyFill="1" applyBorder="1" applyAlignment="1">
      <alignment horizontal="center"/>
    </xf>
    <xf numFmtId="43" fontId="28" fillId="2" borderId="1" xfId="1" applyFont="1" applyFill="1" applyBorder="1" applyAlignment="1"/>
    <xf numFmtId="43" fontId="28" fillId="2" borderId="3" xfId="1" applyFont="1" applyFill="1" applyBorder="1" applyAlignment="1"/>
    <xf numFmtId="43" fontId="31" fillId="10" borderId="1" xfId="0" applyNumberFormat="1" applyFont="1" applyFill="1" applyBorder="1"/>
    <xf numFmtId="0" fontId="4" fillId="3" borderId="1" xfId="1" applyNumberFormat="1" applyFont="1" applyFill="1" applyBorder="1" applyAlignment="1">
      <alignment horizontal="center"/>
    </xf>
    <xf numFmtId="43" fontId="31" fillId="2" borderId="1" xfId="2" applyFont="1" applyFill="1" applyBorder="1"/>
    <xf numFmtId="43" fontId="28" fillId="2" borderId="1" xfId="2" applyFont="1" applyFill="1" applyBorder="1" applyAlignment="1"/>
    <xf numFmtId="43" fontId="31" fillId="2" borderId="0" xfId="2" applyFont="1" applyFill="1" applyBorder="1"/>
    <xf numFmtId="43" fontId="32" fillId="2" borderId="1" xfId="2" applyFont="1" applyFill="1" applyBorder="1"/>
    <xf numFmtId="43" fontId="31" fillId="7" borderId="1" xfId="2" applyFont="1" applyFill="1" applyBorder="1"/>
    <xf numFmtId="43" fontId="28" fillId="2" borderId="1" xfId="2" applyFont="1" applyFill="1" applyBorder="1" applyAlignment="1">
      <alignment horizontal="center"/>
    </xf>
    <xf numFmtId="0" fontId="4" fillId="11" borderId="1" xfId="1" applyNumberFormat="1" applyFont="1" applyFill="1" applyBorder="1" applyAlignment="1">
      <alignment horizontal="center"/>
    </xf>
    <xf numFmtId="43" fontId="31" fillId="3" borderId="1" xfId="1" applyFont="1" applyFill="1" applyBorder="1"/>
    <xf numFmtId="0" fontId="11" fillId="0" borderId="1" xfId="1" applyNumberFormat="1" applyFont="1" applyBorder="1" applyAlignment="1">
      <alignment horizontal="center"/>
    </xf>
    <xf numFmtId="0" fontId="12" fillId="2" borderId="1" xfId="1" applyNumberFormat="1" applyFont="1" applyFill="1" applyBorder="1" applyAlignment="1">
      <alignment horizontal="center"/>
    </xf>
    <xf numFmtId="0" fontId="4" fillId="0" borderId="1" xfId="1" applyNumberFormat="1" applyFont="1" applyBorder="1" applyAlignment="1">
      <alignment horizontal="center"/>
    </xf>
    <xf numFmtId="43" fontId="28" fillId="2" borderId="1" xfId="1" applyFont="1" applyFill="1" applyBorder="1" applyAlignment="1">
      <alignment horizontal="right"/>
    </xf>
    <xf numFmtId="0" fontId="31" fillId="2" borderId="1" xfId="0" applyFont="1" applyFill="1" applyBorder="1" applyAlignment="1"/>
    <xf numFmtId="43" fontId="31" fillId="2" borderId="4" xfId="1" applyFont="1" applyFill="1" applyBorder="1"/>
    <xf numFmtId="43" fontId="31" fillId="2" borderId="6" xfId="1" applyFont="1" applyFill="1" applyBorder="1"/>
    <xf numFmtId="0" fontId="31" fillId="2" borderId="0" xfId="0" applyFont="1" applyFill="1" applyBorder="1" applyAlignment="1"/>
    <xf numFmtId="43" fontId="31" fillId="2" borderId="0" xfId="0" applyNumberFormat="1" applyFont="1" applyFill="1" applyBorder="1"/>
    <xf numFmtId="0" fontId="30" fillId="2" borderId="1" xfId="1" applyNumberFormat="1" applyFont="1" applyFill="1" applyBorder="1" applyAlignment="1">
      <alignment horizontal="center"/>
    </xf>
    <xf numFmtId="0" fontId="31" fillId="2" borderId="1" xfId="0" applyFont="1" applyFill="1" applyBorder="1" applyAlignment="1">
      <alignment horizontal="center"/>
    </xf>
    <xf numFmtId="0" fontId="31" fillId="2" borderId="1" xfId="0" applyFont="1" applyFill="1" applyBorder="1" applyAlignment="1">
      <alignment horizontal="center"/>
    </xf>
    <xf numFmtId="0" fontId="31" fillId="2" borderId="4" xfId="0" applyFont="1" applyFill="1" applyBorder="1" applyAlignment="1">
      <alignment horizontal="center"/>
    </xf>
    <xf numFmtId="0" fontId="31" fillId="2" borderId="5" xfId="0" applyFont="1" applyFill="1" applyBorder="1" applyAlignment="1">
      <alignment horizontal="center"/>
    </xf>
    <xf numFmtId="0" fontId="31" fillId="2" borderId="6" xfId="0" applyFont="1" applyFill="1" applyBorder="1" applyAlignment="1">
      <alignment horizontal="center"/>
    </xf>
    <xf numFmtId="0" fontId="31" fillId="2" borderId="9" xfId="0" applyFont="1" applyFill="1" applyBorder="1" applyAlignment="1">
      <alignment horizontal="center"/>
    </xf>
    <xf numFmtId="0" fontId="31" fillId="2" borderId="7" xfId="0" applyFont="1" applyFill="1" applyBorder="1"/>
    <xf numFmtId="43" fontId="30" fillId="2" borderId="7" xfId="1" applyFont="1" applyFill="1" applyBorder="1" applyAlignment="1">
      <alignment horizontal="center" wrapText="1"/>
    </xf>
    <xf numFmtId="0" fontId="31" fillId="2" borderId="4" xfId="0" applyFont="1" applyFill="1" applyBorder="1"/>
    <xf numFmtId="43" fontId="28" fillId="2" borderId="4" xfId="1" applyFont="1" applyFill="1" applyBorder="1"/>
    <xf numFmtId="43" fontId="31" fillId="2" borderId="3" xfId="0" applyNumberFormat="1" applyFont="1" applyFill="1" applyBorder="1"/>
    <xf numFmtId="0" fontId="28" fillId="2" borderId="0" xfId="2" applyNumberFormat="1" applyFont="1" applyFill="1" applyBorder="1" applyAlignment="1">
      <alignment horizontal="center" wrapText="1"/>
    </xf>
    <xf numFmtId="43" fontId="28" fillId="2" borderId="0" xfId="2" applyFont="1" applyFill="1" applyBorder="1" applyAlignment="1">
      <alignment horizontal="center" wrapText="1"/>
    </xf>
    <xf numFmtId="43" fontId="28" fillId="2" borderId="0" xfId="2" applyFont="1" applyFill="1" applyBorder="1" applyAlignment="1">
      <alignment horizontal="center"/>
    </xf>
    <xf numFmtId="43" fontId="28" fillId="2" borderId="0" xfId="2" applyFont="1" applyFill="1" applyBorder="1" applyAlignment="1">
      <alignment wrapText="1"/>
    </xf>
    <xf numFmtId="0" fontId="30" fillId="2" borderId="0" xfId="2" applyNumberFormat="1" applyFont="1" applyFill="1" applyBorder="1" applyAlignment="1">
      <alignment horizontal="center"/>
    </xf>
    <xf numFmtId="0" fontId="30" fillId="2" borderId="0" xfId="2" applyNumberFormat="1" applyFont="1" applyFill="1" applyBorder="1" applyAlignment="1">
      <alignment horizontal="center"/>
    </xf>
    <xf numFmtId="0" fontId="28" fillId="2" borderId="0" xfId="2" applyNumberFormat="1" applyFont="1" applyFill="1" applyBorder="1" applyAlignment="1">
      <alignment horizontal="center"/>
    </xf>
    <xf numFmtId="0" fontId="30" fillId="2" borderId="0" xfId="2" applyNumberFormat="1" applyFont="1" applyFill="1" applyBorder="1" applyAlignment="1">
      <alignment horizontal="center" wrapText="1"/>
    </xf>
    <xf numFmtId="43" fontId="30" fillId="2" borderId="0" xfId="2" applyFont="1" applyFill="1" applyBorder="1" applyAlignment="1">
      <alignment horizontal="center" wrapText="1"/>
    </xf>
    <xf numFmtId="43" fontId="30" fillId="2" borderId="0" xfId="2" applyFont="1" applyFill="1" applyBorder="1" applyAlignment="1">
      <alignment horizontal="center"/>
    </xf>
    <xf numFmtId="0" fontId="4" fillId="9" borderId="1" xfId="2" applyNumberFormat="1" applyFont="1" applyFill="1" applyBorder="1" applyAlignment="1">
      <alignment horizontal="center"/>
    </xf>
    <xf numFmtId="43" fontId="28" fillId="2" borderId="1" xfId="2" applyFont="1" applyFill="1" applyBorder="1"/>
    <xf numFmtId="0" fontId="4" fillId="2" borderId="1" xfId="2" applyNumberFormat="1" applyFont="1" applyFill="1" applyBorder="1" applyAlignment="1">
      <alignment horizontal="center"/>
    </xf>
    <xf numFmtId="43" fontId="28" fillId="2" borderId="3" xfId="2" applyFont="1" applyFill="1" applyBorder="1" applyAlignment="1"/>
    <xf numFmtId="0" fontId="4" fillId="3" borderId="1" xfId="2" applyNumberFormat="1" applyFont="1" applyFill="1" applyBorder="1" applyAlignment="1">
      <alignment horizontal="center"/>
    </xf>
    <xf numFmtId="0" fontId="4" fillId="11" borderId="1" xfId="2" applyNumberFormat="1" applyFont="1" applyFill="1" applyBorder="1" applyAlignment="1">
      <alignment horizontal="center"/>
    </xf>
    <xf numFmtId="43" fontId="31" fillId="3" borderId="1" xfId="2" applyFont="1" applyFill="1" applyBorder="1"/>
    <xf numFmtId="0" fontId="11" fillId="0" borderId="1" xfId="2" applyNumberFormat="1" applyFont="1" applyBorder="1" applyAlignment="1">
      <alignment horizontal="center"/>
    </xf>
    <xf numFmtId="0" fontId="12" fillId="2" borderId="1" xfId="2" applyNumberFormat="1" applyFont="1" applyFill="1" applyBorder="1" applyAlignment="1">
      <alignment horizontal="center"/>
    </xf>
    <xf numFmtId="0" fontId="4" fillId="0" borderId="1" xfId="2" applyNumberFormat="1" applyFont="1" applyBorder="1" applyAlignment="1">
      <alignment horizontal="center"/>
    </xf>
    <xf numFmtId="43" fontId="28" fillId="2" borderId="1" xfId="2" applyFont="1" applyFill="1" applyBorder="1" applyAlignment="1">
      <alignment horizontal="right"/>
    </xf>
    <xf numFmtId="43" fontId="31" fillId="2" borderId="4" xfId="2" applyFont="1" applyFill="1" applyBorder="1"/>
    <xf numFmtId="43" fontId="31" fillId="2" borderId="6" xfId="2" applyFont="1" applyFill="1" applyBorder="1"/>
    <xf numFmtId="43" fontId="31" fillId="2" borderId="3" xfId="2" applyFont="1" applyFill="1" applyBorder="1"/>
    <xf numFmtId="0" fontId="18" fillId="2" borderId="0" xfId="0" applyFont="1" applyFill="1" applyAlignment="1">
      <alignment wrapText="1"/>
    </xf>
    <xf numFmtId="0" fontId="18" fillId="2" borderId="0" xfId="0" applyFont="1" applyFill="1" applyAlignment="1">
      <alignment horizontal="center" wrapText="1"/>
    </xf>
    <xf numFmtId="43" fontId="18" fillId="2" borderId="2" xfId="1" applyFont="1" applyFill="1" applyBorder="1" applyAlignment="1">
      <alignment horizontal="center" wrapText="1"/>
    </xf>
    <xf numFmtId="43" fontId="18" fillId="2" borderId="0" xfId="1" applyFont="1" applyFill="1" applyAlignment="1">
      <alignment horizontal="center" wrapText="1"/>
    </xf>
    <xf numFmtId="0" fontId="18" fillId="2" borderId="2" xfId="0" applyFont="1" applyFill="1" applyBorder="1" applyAlignment="1">
      <alignment horizontal="center" wrapText="1"/>
    </xf>
    <xf numFmtId="0" fontId="18" fillId="2" borderId="2" xfId="0" applyFont="1" applyFill="1" applyBorder="1" applyAlignment="1">
      <alignment wrapText="1"/>
    </xf>
    <xf numFmtId="0" fontId="18" fillId="2" borderId="2" xfId="0" applyFont="1" applyFill="1" applyBorder="1" applyAlignment="1"/>
    <xf numFmtId="0" fontId="18" fillId="2" borderId="0" xfId="0" applyFont="1" applyFill="1" applyAlignment="1"/>
    <xf numFmtId="0" fontId="18" fillId="2" borderId="2" xfId="0" applyFont="1" applyFill="1" applyBorder="1" applyAlignment="1">
      <alignment horizontal="center"/>
    </xf>
    <xf numFmtId="0" fontId="18" fillId="2" borderId="0" xfId="0" applyFont="1" applyFill="1" applyBorder="1" applyAlignment="1">
      <alignment horizontal="center"/>
    </xf>
    <xf numFmtId="0" fontId="18" fillId="2" borderId="2" xfId="0" applyFont="1" applyFill="1" applyBorder="1" applyAlignment="1">
      <alignment horizontal="center"/>
    </xf>
    <xf numFmtId="43" fontId="18" fillId="2" borderId="0" xfId="1" applyFont="1" applyFill="1" applyAlignment="1">
      <alignment wrapText="1"/>
    </xf>
    <xf numFmtId="0" fontId="18" fillId="2" borderId="1" xfId="0" applyFont="1" applyFill="1" applyBorder="1" applyAlignment="1">
      <alignment horizontal="center" wrapText="1"/>
    </xf>
    <xf numFmtId="43" fontId="18" fillId="2" borderId="1" xfId="1" applyFont="1" applyFill="1" applyBorder="1" applyAlignment="1">
      <alignment horizontal="center" wrapText="1"/>
    </xf>
    <xf numFmtId="0" fontId="18" fillId="2" borderId="0" xfId="0" applyFont="1" applyFill="1" applyBorder="1" applyAlignment="1">
      <alignment horizontal="center" wrapText="1"/>
    </xf>
    <xf numFmtId="0" fontId="18" fillId="2" borderId="1" xfId="0" applyFont="1" applyFill="1" applyBorder="1" applyAlignment="1">
      <alignment horizontal="center" wrapText="1"/>
    </xf>
    <xf numFmtId="43" fontId="18" fillId="2" borderId="1" xfId="1" applyFont="1" applyFill="1" applyBorder="1" applyAlignment="1">
      <alignment horizontal="center"/>
    </xf>
    <xf numFmtId="43" fontId="18" fillId="2" borderId="0" xfId="1" applyFont="1" applyFill="1" applyBorder="1" applyAlignment="1">
      <alignment horizontal="center"/>
    </xf>
    <xf numFmtId="43" fontId="18" fillId="2" borderId="1" xfId="2" applyFont="1" applyFill="1" applyBorder="1" applyAlignment="1">
      <alignment horizontal="center"/>
    </xf>
    <xf numFmtId="0" fontId="18" fillId="2" borderId="0" xfId="0" applyFont="1" applyFill="1" applyAlignment="1">
      <alignment horizontal="center"/>
    </xf>
    <xf numFmtId="43" fontId="18" fillId="2" borderId="1" xfId="1" applyFont="1" applyFill="1" applyBorder="1"/>
    <xf numFmtId="164" fontId="25" fillId="2" borderId="1" xfId="1" applyNumberFormat="1" applyFont="1" applyFill="1" applyBorder="1"/>
    <xf numFmtId="43" fontId="18" fillId="4" borderId="1" xfId="1" applyFont="1" applyFill="1" applyBorder="1"/>
    <xf numFmtId="43" fontId="18" fillId="2" borderId="1" xfId="2" applyFont="1" applyFill="1" applyBorder="1"/>
    <xf numFmtId="43" fontId="18" fillId="12" borderId="1" xfId="2" applyFont="1" applyFill="1" applyBorder="1"/>
    <xf numFmtId="43" fontId="18" fillId="2" borderId="0" xfId="1" applyFont="1" applyFill="1" applyBorder="1"/>
    <xf numFmtId="43" fontId="18" fillId="2" borderId="1" xfId="0" applyNumberFormat="1" applyFont="1" applyFill="1" applyBorder="1"/>
    <xf numFmtId="0" fontId="18" fillId="2" borderId="0" xfId="0" applyFont="1" applyFill="1"/>
    <xf numFmtId="43" fontId="18" fillId="2" borderId="0" xfId="0" applyNumberFormat="1" applyFont="1" applyFill="1"/>
    <xf numFmtId="43" fontId="18" fillId="2" borderId="0" xfId="3" applyFont="1" applyFill="1"/>
    <xf numFmtId="43" fontId="18" fillId="2" borderId="1" xfId="3" applyFont="1" applyFill="1" applyBorder="1"/>
    <xf numFmtId="43" fontId="18" fillId="2" borderId="0" xfId="3" applyFont="1" applyFill="1" applyBorder="1"/>
    <xf numFmtId="164" fontId="18" fillId="2" borderId="1" xfId="1" applyNumberFormat="1" applyFont="1" applyFill="1" applyBorder="1"/>
    <xf numFmtId="43" fontId="18" fillId="13" borderId="1" xfId="1" applyFont="1" applyFill="1" applyBorder="1"/>
    <xf numFmtId="43" fontId="18" fillId="3" borderId="1" xfId="1" applyFont="1" applyFill="1" applyBorder="1"/>
    <xf numFmtId="43" fontId="18" fillId="13" borderId="1" xfId="1" applyFont="1" applyFill="1" applyBorder="1" applyAlignment="1">
      <alignment horizontal="center"/>
    </xf>
    <xf numFmtId="43" fontId="18" fillId="14" borderId="1" xfId="2" applyFont="1" applyFill="1" applyBorder="1" applyAlignment="1">
      <alignment horizontal="center"/>
    </xf>
    <xf numFmtId="43" fontId="18" fillId="4" borderId="1" xfId="2" applyFont="1" applyFill="1" applyBorder="1"/>
    <xf numFmtId="43" fontId="18" fillId="14" borderId="1" xfId="1" applyFont="1" applyFill="1" applyBorder="1"/>
    <xf numFmtId="43" fontId="18" fillId="12" borderId="1" xfId="1" applyFont="1" applyFill="1" applyBorder="1"/>
    <xf numFmtId="43" fontId="18" fillId="10" borderId="1" xfId="1" applyFont="1" applyFill="1" applyBorder="1"/>
    <xf numFmtId="43" fontId="18" fillId="10" borderId="1" xfId="2" applyFont="1" applyFill="1" applyBorder="1" applyAlignment="1">
      <alignment horizontal="center"/>
    </xf>
    <xf numFmtId="43" fontId="18" fillId="7" borderId="1" xfId="1" applyFont="1" applyFill="1" applyBorder="1"/>
    <xf numFmtId="4" fontId="18" fillId="2" borderId="1" xfId="0" applyNumberFormat="1" applyFont="1" applyFill="1" applyBorder="1"/>
    <xf numFmtId="43" fontId="18" fillId="14" borderId="1" xfId="2" applyFont="1" applyFill="1" applyBorder="1"/>
    <xf numFmtId="43" fontId="18" fillId="13" borderId="1" xfId="2" applyFont="1" applyFill="1" applyBorder="1"/>
    <xf numFmtId="43" fontId="25" fillId="2" borderId="1" xfId="2" applyFont="1" applyFill="1" applyBorder="1"/>
    <xf numFmtId="43" fontId="25" fillId="2" borderId="1" xfId="2" applyFont="1" applyFill="1" applyBorder="1" applyAlignment="1"/>
    <xf numFmtId="0" fontId="6" fillId="2" borderId="1" xfId="0" applyNumberFormat="1" applyFont="1" applyFill="1" applyBorder="1" applyAlignment="1">
      <alignment horizontal="center"/>
    </xf>
    <xf numFmtId="0" fontId="6" fillId="2" borderId="4" xfId="0" applyNumberFormat="1" applyFont="1" applyFill="1" applyBorder="1" applyAlignment="1">
      <alignment horizontal="center"/>
    </xf>
    <xf numFmtId="0" fontId="6" fillId="2" borderId="4" xfId="1" applyNumberFormat="1" applyFont="1" applyFill="1" applyBorder="1" applyAlignment="1">
      <alignment horizontal="center"/>
    </xf>
    <xf numFmtId="43" fontId="18" fillId="15" borderId="1" xfId="1" applyFont="1" applyFill="1" applyBorder="1"/>
    <xf numFmtId="0" fontId="6" fillId="2" borderId="0" xfId="1" applyNumberFormat="1" applyFont="1" applyFill="1" applyBorder="1" applyAlignment="1">
      <alignment horizontal="center" wrapText="1"/>
    </xf>
    <xf numFmtId="43" fontId="18" fillId="2" borderId="1" xfId="1" applyFont="1" applyFill="1" applyBorder="1" applyAlignment="1"/>
    <xf numFmtId="0" fontId="6" fillId="2" borderId="0" xfId="1" applyNumberFormat="1" applyFont="1" applyFill="1" applyBorder="1" applyAlignment="1">
      <alignment horizontal="center"/>
    </xf>
    <xf numFmtId="43" fontId="18" fillId="12" borderId="1" xfId="2" applyFont="1" applyFill="1" applyBorder="1" applyAlignment="1">
      <alignment horizontal="center"/>
    </xf>
    <xf numFmtId="0" fontId="25" fillId="2" borderId="1" xfId="3" applyNumberFormat="1" applyFont="1" applyFill="1" applyBorder="1" applyAlignment="1">
      <alignment horizontal="left" wrapText="1"/>
    </xf>
    <xf numFmtId="0" fontId="18" fillId="2" borderId="1" xfId="1" applyNumberFormat="1" applyFont="1" applyFill="1" applyBorder="1" applyAlignment="1">
      <alignment horizontal="left"/>
    </xf>
    <xf numFmtId="43" fontId="25" fillId="2" borderId="1" xfId="3" applyFont="1" applyFill="1" applyBorder="1" applyAlignment="1"/>
    <xf numFmtId="43" fontId="18" fillId="10" borderId="1" xfId="2" applyFont="1" applyFill="1" applyBorder="1"/>
    <xf numFmtId="43" fontId="25" fillId="2" borderId="1" xfId="3" applyFont="1" applyFill="1" applyBorder="1"/>
    <xf numFmtId="43" fontId="18" fillId="4" borderId="1" xfId="2" applyFont="1" applyFill="1" applyBorder="1" applyAlignment="1">
      <alignment horizontal="center"/>
    </xf>
    <xf numFmtId="43" fontId="18" fillId="3" borderId="1" xfId="2" applyFont="1" applyFill="1" applyBorder="1"/>
    <xf numFmtId="0" fontId="6" fillId="2" borderId="6" xfId="1" applyNumberFormat="1" applyFont="1" applyFill="1" applyBorder="1" applyAlignment="1">
      <alignment horizontal="center" wrapText="1"/>
    </xf>
    <xf numFmtId="0" fontId="6" fillId="2" borderId="0" xfId="1" applyNumberFormat="1" applyFont="1" applyFill="1" applyAlignment="1">
      <alignment horizontal="center"/>
    </xf>
    <xf numFmtId="0" fontId="18" fillId="2" borderId="1" xfId="1" applyNumberFormat="1" applyFont="1" applyFill="1" applyBorder="1" applyAlignment="1"/>
    <xf numFmtId="43" fontId="33" fillId="2" borderId="0" xfId="3" applyFont="1" applyFill="1" applyAlignment="1">
      <alignment horizontal="center"/>
    </xf>
    <xf numFmtId="0" fontId="2" fillId="2" borderId="1" xfId="1" applyNumberFormat="1" applyFont="1" applyFill="1" applyBorder="1" applyAlignment="1">
      <alignment horizontal="center"/>
    </xf>
    <xf numFmtId="0" fontId="18" fillId="2" borderId="4" xfId="0" applyFont="1" applyFill="1" applyBorder="1" applyAlignment="1"/>
    <xf numFmtId="43" fontId="18" fillId="7" borderId="1" xfId="2" applyFont="1" applyFill="1" applyBorder="1"/>
    <xf numFmtId="0" fontId="25" fillId="2" borderId="1" xfId="0" applyFont="1" applyFill="1" applyBorder="1"/>
    <xf numFmtId="43" fontId="18" fillId="13" borderId="1" xfId="2" applyFont="1" applyFill="1" applyBorder="1" applyAlignment="1">
      <alignment horizontal="center"/>
    </xf>
    <xf numFmtId="43" fontId="25" fillId="7" borderId="1" xfId="3" applyFont="1" applyFill="1" applyBorder="1"/>
    <xf numFmtId="0" fontId="18" fillId="2" borderId="1" xfId="0" applyNumberFormat="1" applyFont="1" applyFill="1" applyBorder="1"/>
    <xf numFmtId="43" fontId="18" fillId="2" borderId="0" xfId="1" applyFont="1" applyFill="1"/>
    <xf numFmtId="43" fontId="18" fillId="2" borderId="0" xfId="2" applyFont="1" applyFill="1"/>
    <xf numFmtId="164" fontId="18" fillId="2" borderId="0" xfId="0" applyNumberFormat="1" applyFont="1" applyFill="1"/>
    <xf numFmtId="0" fontId="18" fillId="2" borderId="1" xfId="0" applyFont="1" applyFill="1" applyBorder="1" applyAlignment="1"/>
    <xf numFmtId="0" fontId="18" fillId="2" borderId="0" xfId="0" applyFont="1" applyFill="1" applyBorder="1"/>
    <xf numFmtId="43" fontId="18" fillId="2" borderId="0" xfId="2" applyFont="1" applyFill="1" applyBorder="1"/>
    <xf numFmtId="43" fontId="18" fillId="2" borderId="1" xfId="3" applyFont="1" applyFill="1" applyBorder="1" applyAlignment="1">
      <alignment horizontal="center"/>
    </xf>
    <xf numFmtId="43" fontId="18" fillId="2" borderId="1" xfId="3" applyFont="1" applyFill="1" applyBorder="1" applyAlignment="1"/>
    <xf numFmtId="43" fontId="18" fillId="2" borderId="0" xfId="3" applyFont="1" applyFill="1" applyAlignment="1">
      <alignment wrapText="1"/>
    </xf>
    <xf numFmtId="43" fontId="18" fillId="2" borderId="0" xfId="3" applyFont="1" applyFill="1" applyBorder="1" applyAlignment="1">
      <alignment horizontal="center"/>
    </xf>
    <xf numFmtId="43" fontId="18" fillId="2" borderId="0" xfId="2" applyFont="1" applyFill="1" applyBorder="1" applyAlignment="1">
      <alignment horizontal="center"/>
    </xf>
    <xf numFmtId="0" fontId="18" fillId="2" borderId="1" xfId="0" applyFont="1" applyFill="1" applyBorder="1" applyAlignment="1">
      <alignment wrapText="1"/>
    </xf>
    <xf numFmtId="43" fontId="18" fillId="2" borderId="0" xfId="0" applyNumberFormat="1" applyFont="1" applyFill="1" applyBorder="1"/>
    <xf numFmtId="43" fontId="18" fillId="2" borderId="2" xfId="2" applyFont="1" applyFill="1" applyBorder="1" applyAlignment="1">
      <alignment horizontal="center"/>
    </xf>
    <xf numFmtId="43" fontId="18" fillId="2" borderId="0" xfId="2" applyFont="1" applyFill="1" applyAlignment="1">
      <alignment horizontal="center"/>
    </xf>
    <xf numFmtId="43" fontId="18" fillId="2" borderId="0" xfId="2" applyFont="1" applyFill="1" applyAlignment="1">
      <alignment horizontal="center" wrapText="1"/>
    </xf>
    <xf numFmtId="43" fontId="18" fillId="2" borderId="0" xfId="2" applyFont="1" applyFill="1" applyBorder="1" applyAlignment="1">
      <alignment horizontal="center" wrapText="1"/>
    </xf>
    <xf numFmtId="43" fontId="18" fillId="2" borderId="1" xfId="2" applyFont="1" applyFill="1" applyBorder="1" applyAlignment="1">
      <alignment horizontal="center" wrapText="1"/>
    </xf>
    <xf numFmtId="0" fontId="18" fillId="2" borderId="1" xfId="0" applyFont="1" applyFill="1" applyBorder="1" applyAlignment="1">
      <alignment horizontal="center"/>
    </xf>
    <xf numFmtId="0" fontId="18" fillId="2" borderId="10" xfId="0" applyFont="1" applyFill="1" applyBorder="1" applyAlignment="1">
      <alignment horizontal="center" wrapText="1"/>
    </xf>
    <xf numFmtId="4" fontId="18" fillId="2" borderId="0" xfId="0" applyNumberFormat="1" applyFont="1" applyFill="1" applyBorder="1"/>
    <xf numFmtId="43" fontId="18" fillId="12" borderId="1" xfId="0" applyNumberFormat="1" applyFont="1" applyFill="1" applyBorder="1"/>
    <xf numFmtId="43" fontId="18" fillId="13" borderId="1" xfId="0" applyNumberFormat="1" applyFont="1" applyFill="1" applyBorder="1"/>
    <xf numFmtId="4" fontId="18" fillId="2" borderId="1" xfId="2" applyNumberFormat="1" applyFont="1" applyFill="1" applyBorder="1"/>
    <xf numFmtId="43" fontId="18" fillId="2" borderId="1" xfId="2" applyFont="1" applyFill="1" applyBorder="1" applyAlignment="1"/>
    <xf numFmtId="43" fontId="18" fillId="2" borderId="1" xfId="0" applyNumberFormat="1" applyFont="1" applyFill="1" applyBorder="1" applyAlignment="1"/>
    <xf numFmtId="43" fontId="18" fillId="2" borderId="0" xfId="2" applyFont="1" applyFill="1" applyAlignment="1"/>
    <xf numFmtId="43" fontId="18" fillId="14" borderId="0" xfId="2" applyFont="1" applyFill="1" applyBorder="1" applyAlignment="1"/>
    <xf numFmtId="43" fontId="18" fillId="2" borderId="0" xfId="2" applyFont="1" applyFill="1" applyBorder="1" applyAlignment="1"/>
    <xf numFmtId="43" fontId="18" fillId="2" borderId="0" xfId="0" applyNumberFormat="1" applyFont="1" applyFill="1" applyBorder="1" applyAlignment="1"/>
    <xf numFmtId="43" fontId="18" fillId="14" borderId="1" xfId="0" applyNumberFormat="1" applyFont="1" applyFill="1" applyBorder="1"/>
    <xf numFmtId="0" fontId="25" fillId="2" borderId="1" xfId="2" applyNumberFormat="1" applyFont="1" applyFill="1" applyBorder="1"/>
    <xf numFmtId="43" fontId="18" fillId="7" borderId="1" xfId="0" applyNumberFormat="1" applyFont="1" applyFill="1" applyBorder="1"/>
    <xf numFmtId="43" fontId="18" fillId="10" borderId="1" xfId="0" applyNumberFormat="1" applyFont="1" applyFill="1" applyBorder="1"/>
    <xf numFmtId="43" fontId="18" fillId="4" borderId="1" xfId="0" applyNumberFormat="1" applyFont="1" applyFill="1" applyBorder="1"/>
    <xf numFmtId="164" fontId="34" fillId="2" borderId="1" xfId="4" applyFont="1" applyFill="1" applyBorder="1"/>
    <xf numFmtId="0" fontId="18" fillId="2" borderId="3" xfId="0" applyFont="1" applyFill="1" applyBorder="1"/>
    <xf numFmtId="4" fontId="18" fillId="2" borderId="3" xfId="0" applyNumberFormat="1" applyFont="1" applyFill="1" applyBorder="1"/>
    <xf numFmtId="43" fontId="18" fillId="2" borderId="3" xfId="2" applyFont="1" applyFill="1" applyBorder="1"/>
    <xf numFmtId="0" fontId="18" fillId="2" borderId="1" xfId="2" applyNumberFormat="1" applyFont="1" applyFill="1" applyBorder="1"/>
    <xf numFmtId="0" fontId="18" fillId="2" borderId="7" xfId="0" applyFont="1" applyFill="1" applyBorder="1"/>
    <xf numFmtId="43" fontId="18" fillId="2" borderId="7" xfId="2" applyFont="1" applyFill="1" applyBorder="1"/>
    <xf numFmtId="43" fontId="18" fillId="6" borderId="1" xfId="2" applyFont="1" applyFill="1" applyBorder="1"/>
    <xf numFmtId="4" fontId="18" fillId="2" borderId="1" xfId="2" applyNumberFormat="1" applyFont="1" applyFill="1" applyBorder="1" applyAlignment="1"/>
    <xf numFmtId="43" fontId="18" fillId="2" borderId="0" xfId="3" applyFont="1" applyFill="1" applyBorder="1" applyAlignment="1"/>
    <xf numFmtId="43" fontId="18" fillId="2" borderId="0" xfId="3" applyFont="1" applyFill="1" applyAlignment="1"/>
    <xf numFmtId="43" fontId="35" fillId="2" borderId="1" xfId="3" quotePrefix="1" applyFont="1" applyFill="1" applyBorder="1" applyAlignment="1">
      <alignment horizontal="left" wrapText="1"/>
    </xf>
    <xf numFmtId="0" fontId="18" fillId="2" borderId="1" xfId="2" applyNumberFormat="1" applyFont="1" applyFill="1" applyBorder="1" applyAlignment="1"/>
    <xf numFmtId="164" fontId="18" fillId="2" borderId="1" xfId="2" applyNumberFormat="1" applyFont="1" applyFill="1" applyBorder="1"/>
    <xf numFmtId="0" fontId="18" fillId="2" borderId="0" xfId="0" applyNumberFormat="1" applyFont="1" applyFill="1"/>
    <xf numFmtId="43" fontId="18" fillId="2" borderId="0" xfId="1" applyFont="1" applyFill="1" applyBorder="1" applyAlignment="1">
      <alignment wrapText="1"/>
    </xf>
    <xf numFmtId="0" fontId="18" fillId="2" borderId="0" xfId="1" applyNumberFormat="1" applyFont="1" applyFill="1" applyBorder="1" applyAlignment="1">
      <alignment wrapText="1"/>
    </xf>
    <xf numFmtId="43" fontId="18" fillId="2" borderId="2" xfId="1" applyFont="1" applyFill="1" applyBorder="1" applyAlignment="1">
      <alignment horizontal="center" wrapText="1"/>
    </xf>
    <xf numFmtId="0" fontId="18" fillId="2" borderId="11" xfId="0" applyFont="1" applyFill="1" applyBorder="1" applyAlignment="1">
      <alignment horizontal="center" wrapText="1"/>
    </xf>
    <xf numFmtId="0" fontId="18" fillId="2" borderId="0" xfId="0" applyFont="1" applyFill="1" applyAlignment="1">
      <alignment wrapText="1"/>
    </xf>
    <xf numFmtId="0" fontId="18" fillId="2" borderId="1" xfId="0" applyFont="1" applyFill="1" applyBorder="1" applyAlignment="1">
      <alignment wrapText="1"/>
    </xf>
    <xf numFmtId="43" fontId="18" fillId="2" borderId="1" xfId="1" applyFont="1" applyFill="1" applyBorder="1" applyAlignment="1">
      <alignment wrapText="1"/>
    </xf>
    <xf numFmtId="43" fontId="18" fillId="2" borderId="0" xfId="1" applyFont="1" applyFill="1" applyBorder="1" applyAlignment="1">
      <alignment horizontal="center" wrapText="1"/>
    </xf>
    <xf numFmtId="0" fontId="18" fillId="2" borderId="1" xfId="1" applyNumberFormat="1" applyFont="1" applyFill="1" applyBorder="1" applyAlignment="1">
      <alignment wrapText="1"/>
    </xf>
    <xf numFmtId="0" fontId="18" fillId="2" borderId="4" xfId="0" applyFont="1" applyFill="1" applyBorder="1" applyAlignment="1">
      <alignment horizontal="center" wrapText="1"/>
    </xf>
    <xf numFmtId="0" fontId="18" fillId="2" borderId="5" xfId="0" applyFont="1" applyFill="1" applyBorder="1" applyAlignment="1">
      <alignment horizontal="center" wrapText="1"/>
    </xf>
    <xf numFmtId="0" fontId="18" fillId="2" borderId="6" xfId="0" applyFont="1" applyFill="1" applyBorder="1" applyAlignment="1">
      <alignment horizontal="center" wrapText="1"/>
    </xf>
    <xf numFmtId="0" fontId="18" fillId="2" borderId="3" xfId="1" applyNumberFormat="1" applyFont="1" applyFill="1" applyBorder="1" applyAlignment="1">
      <alignment horizontal="center"/>
    </xf>
    <xf numFmtId="43" fontId="18" fillId="2" borderId="6" xfId="2" applyFont="1" applyFill="1" applyBorder="1" applyAlignment="1">
      <alignment horizontal="center"/>
    </xf>
    <xf numFmtId="43" fontId="18" fillId="2" borderId="6" xfId="1" applyFont="1" applyFill="1" applyBorder="1" applyAlignment="1">
      <alignment horizontal="center"/>
    </xf>
    <xf numFmtId="43" fontId="18" fillId="2" borderId="4" xfId="1" applyFont="1" applyFill="1" applyBorder="1" applyAlignment="1">
      <alignment horizontal="center"/>
    </xf>
    <xf numFmtId="43" fontId="18" fillId="2" borderId="6" xfId="2" applyFont="1" applyFill="1" applyBorder="1" applyAlignment="1"/>
    <xf numFmtId="43" fontId="25" fillId="2" borderId="0" xfId="3" applyFont="1" applyFill="1"/>
    <xf numFmtId="43" fontId="18" fillId="2" borderId="6" xfId="2" applyFont="1" applyFill="1" applyBorder="1"/>
    <xf numFmtId="43" fontId="18" fillId="2" borderId="0" xfId="0" applyNumberFormat="1" applyFont="1" applyFill="1" applyAlignment="1">
      <alignment horizontal="center"/>
    </xf>
    <xf numFmtId="43" fontId="36" fillId="2" borderId="1" xfId="2" applyFont="1" applyFill="1" applyBorder="1"/>
    <xf numFmtId="4" fontId="18" fillId="2" borderId="1" xfId="1" applyNumberFormat="1" applyFont="1" applyFill="1" applyBorder="1"/>
    <xf numFmtId="43" fontId="18" fillId="6" borderId="1" xfId="1" applyFont="1" applyFill="1" applyBorder="1"/>
    <xf numFmtId="43" fontId="18" fillId="2" borderId="1" xfId="1" applyFont="1" applyFill="1" applyBorder="1" applyAlignment="1">
      <alignment horizontal="left"/>
    </xf>
    <xf numFmtId="4" fontId="25" fillId="2" borderId="1" xfId="0" applyNumberFormat="1" applyFont="1" applyFill="1" applyBorder="1"/>
    <xf numFmtId="4" fontId="18" fillId="2" borderId="0" xfId="0" applyNumberFormat="1" applyFont="1" applyFill="1"/>
    <xf numFmtId="0" fontId="18" fillId="2" borderId="1" xfId="1" applyNumberFormat="1" applyFont="1" applyFill="1" applyBorder="1"/>
    <xf numFmtId="43" fontId="18" fillId="2" borderId="4" xfId="3" applyFont="1" applyFill="1" applyBorder="1" applyAlignment="1">
      <alignment horizontal="center"/>
    </xf>
    <xf numFmtId="43" fontId="18" fillId="2" borderId="6" xfId="3" applyFont="1" applyFill="1" applyBorder="1" applyAlignment="1"/>
    <xf numFmtId="43" fontId="18" fillId="14" borderId="1" xfId="1" applyFont="1" applyFill="1" applyBorder="1" applyAlignment="1">
      <alignment horizontal="center"/>
    </xf>
    <xf numFmtId="43" fontId="18" fillId="2" borderId="0" xfId="0" applyNumberFormat="1" applyFont="1" applyFill="1" applyAlignment="1"/>
    <xf numFmtId="43" fontId="18" fillId="6" borderId="1" xfId="0" applyNumberFormat="1" applyFont="1" applyFill="1" applyBorder="1"/>
    <xf numFmtId="43" fontId="25" fillId="12" borderId="1" xfId="1" applyFont="1" applyFill="1" applyBorder="1"/>
    <xf numFmtId="0" fontId="18" fillId="2" borderId="0" xfId="1" applyNumberFormat="1" applyFont="1" applyFill="1" applyBorder="1"/>
    <xf numFmtId="0" fontId="18" fillId="2" borderId="0" xfId="1" applyNumberFormat="1" applyFont="1" applyFill="1"/>
    <xf numFmtId="0" fontId="18" fillId="2" borderId="0" xfId="0" applyNumberFormat="1" applyFont="1" applyFill="1" applyAlignment="1">
      <alignment wrapText="1"/>
    </xf>
    <xf numFmtId="0" fontId="18" fillId="2" borderId="0" xfId="0" applyFont="1" applyFill="1" applyBorder="1" applyAlignment="1">
      <alignment wrapText="1"/>
    </xf>
    <xf numFmtId="43" fontId="18" fillId="2" borderId="0" xfId="3" applyFont="1" applyFill="1" applyBorder="1" applyAlignment="1">
      <alignment wrapText="1"/>
    </xf>
    <xf numFmtId="43" fontId="18" fillId="2" borderId="0" xfId="0" applyNumberFormat="1" applyFont="1" applyFill="1" applyBorder="1" applyAlignment="1">
      <alignment wrapText="1"/>
    </xf>
    <xf numFmtId="0" fontId="18" fillId="2" borderId="1" xfId="0" applyNumberFormat="1" applyFont="1" applyFill="1" applyBorder="1" applyAlignment="1">
      <alignment wrapText="1"/>
    </xf>
    <xf numFmtId="0" fontId="18" fillId="2" borderId="1" xfId="0" applyNumberFormat="1" applyFont="1" applyFill="1" applyBorder="1" applyAlignment="1">
      <alignment horizontal="center"/>
    </xf>
    <xf numFmtId="0" fontId="18" fillId="2" borderId="7" xfId="0" applyNumberFormat="1" applyFont="1" applyFill="1" applyBorder="1"/>
    <xf numFmtId="43" fontId="18" fillId="2" borderId="7" xfId="1" applyFont="1" applyFill="1" applyBorder="1"/>
    <xf numFmtId="43" fontId="18" fillId="2" borderId="11" xfId="1" applyFont="1" applyFill="1" applyBorder="1"/>
    <xf numFmtId="43" fontId="18" fillId="2" borderId="11" xfId="1" applyFont="1" applyFill="1" applyBorder="1" applyAlignment="1">
      <alignment horizontal="center"/>
    </xf>
    <xf numFmtId="43" fontId="18" fillId="2" borderId="7" xfId="1" applyFont="1" applyFill="1" applyBorder="1" applyAlignment="1"/>
    <xf numFmtId="43" fontId="18" fillId="2" borderId="7" xfId="1" applyFont="1" applyFill="1" applyBorder="1" applyAlignment="1">
      <alignment horizontal="center"/>
    </xf>
    <xf numFmtId="43" fontId="18" fillId="2" borderId="6" xfId="1" applyFont="1" applyFill="1" applyBorder="1"/>
    <xf numFmtId="4" fontId="18" fillId="2" borderId="6" xfId="0" applyNumberFormat="1" applyFont="1" applyFill="1" applyBorder="1"/>
    <xf numFmtId="0" fontId="18" fillId="2" borderId="6" xfId="0" applyNumberFormat="1" applyFont="1" applyFill="1" applyBorder="1"/>
    <xf numFmtId="0" fontId="18" fillId="2" borderId="0" xfId="0" applyNumberFormat="1" applyFont="1" applyFill="1" applyBorder="1"/>
    <xf numFmtId="164" fontId="18" fillId="2" borderId="0" xfId="0" applyNumberFormat="1" applyFont="1" applyFill="1" applyBorder="1"/>
    <xf numFmtId="43" fontId="18" fillId="2" borderId="0" xfId="1" applyFont="1" applyFill="1" applyBorder="1" applyAlignment="1"/>
    <xf numFmtId="4" fontId="37" fillId="2" borderId="0" xfId="0" applyNumberFormat="1" applyFont="1" applyFill="1" applyBorder="1"/>
    <xf numFmtId="43" fontId="18" fillId="12" borderId="1" xfId="3" applyFont="1" applyFill="1" applyBorder="1"/>
    <xf numFmtId="43" fontId="18" fillId="4" borderId="1" xfId="3" applyFont="1" applyFill="1" applyBorder="1"/>
    <xf numFmtId="43" fontId="18" fillId="14" borderId="1" xfId="3" applyFont="1" applyFill="1" applyBorder="1"/>
    <xf numFmtId="43" fontId="18" fillId="13" borderId="1" xfId="3" applyFont="1" applyFill="1" applyBorder="1"/>
    <xf numFmtId="43" fontId="18" fillId="10" borderId="1" xfId="3" applyFont="1" applyFill="1" applyBorder="1"/>
    <xf numFmtId="43" fontId="18" fillId="3" borderId="1" xfId="3" applyFont="1" applyFill="1" applyBorder="1"/>
    <xf numFmtId="43" fontId="18" fillId="7" borderId="1" xfId="3" applyFont="1" applyFill="1" applyBorder="1"/>
    <xf numFmtId="43" fontId="18" fillId="2" borderId="1" xfId="3" applyFont="1" applyFill="1" applyBorder="1" applyAlignment="1">
      <alignment horizontal="center" wrapText="1"/>
    </xf>
    <xf numFmtId="0" fontId="6" fillId="2" borderId="6" xfId="3" applyNumberFormat="1" applyFont="1" applyFill="1" applyBorder="1" applyAlignment="1">
      <alignment horizontal="center"/>
    </xf>
    <xf numFmtId="43" fontId="18" fillId="6" borderId="1" xfId="3" applyFont="1" applyFill="1" applyBorder="1"/>
    <xf numFmtId="0" fontId="6" fillId="2" borderId="1" xfId="3" applyNumberFormat="1" applyFont="1" applyFill="1" applyBorder="1" applyAlignment="1">
      <alignment horizontal="center" wrapText="1"/>
    </xf>
    <xf numFmtId="0" fontId="6" fillId="2" borderId="1" xfId="3" applyNumberFormat="1" applyFont="1" applyFill="1" applyBorder="1" applyAlignment="1">
      <alignment horizontal="center"/>
    </xf>
    <xf numFmtId="43" fontId="18" fillId="2" borderId="0" xfId="3" applyFont="1" applyFill="1" applyBorder="1" applyAlignment="1">
      <alignment horizontal="center" wrapText="1"/>
    </xf>
    <xf numFmtId="43" fontId="18" fillId="2" borderId="6" xfId="3" applyFont="1" applyFill="1" applyBorder="1" applyAlignment="1">
      <alignment horizontal="center"/>
    </xf>
    <xf numFmtId="43" fontId="18" fillId="2" borderId="6" xfId="3" applyFont="1" applyFill="1" applyBorder="1"/>
    <xf numFmtId="43" fontId="18" fillId="14" borderId="6" xfId="3" applyFont="1" applyFill="1" applyBorder="1"/>
    <xf numFmtId="43" fontId="18" fillId="12" borderId="6" xfId="3" applyFont="1" applyFill="1" applyBorder="1"/>
    <xf numFmtId="43" fontId="18" fillId="7" borderId="6" xfId="3" applyFont="1" applyFill="1" applyBorder="1"/>
    <xf numFmtId="43" fontId="18" fillId="10" borderId="6" xfId="3" applyFont="1" applyFill="1" applyBorder="1"/>
    <xf numFmtId="43" fontId="18" fillId="13" borderId="6" xfId="3" applyFont="1" applyFill="1" applyBorder="1"/>
    <xf numFmtId="43" fontId="18" fillId="4" borderId="6" xfId="3" applyFont="1" applyFill="1" applyBorder="1"/>
    <xf numFmtId="43" fontId="18" fillId="3" borderId="6" xfId="3" applyFont="1" applyFill="1" applyBorder="1"/>
    <xf numFmtId="0" fontId="6" fillId="8" borderId="1" xfId="3" applyNumberFormat="1" applyFont="1" applyFill="1" applyBorder="1" applyAlignment="1">
      <alignment horizontal="center"/>
    </xf>
    <xf numFmtId="43" fontId="18" fillId="6" borderId="6" xfId="3" applyFont="1" applyFill="1" applyBorder="1"/>
    <xf numFmtId="0" fontId="6" fillId="8" borderId="1" xfId="3" applyNumberFormat="1" applyFont="1" applyFill="1" applyBorder="1" applyAlignment="1">
      <alignment horizontal="center" wrapText="1"/>
    </xf>
    <xf numFmtId="0" fontId="18" fillId="2" borderId="0" xfId="0" applyFont="1" applyFill="1" applyBorder="1" applyAlignment="1"/>
    <xf numFmtId="0" fontId="18" fillId="2" borderId="0" xfId="0" applyFont="1" applyFill="1" applyAlignment="1">
      <alignment horizontal="left"/>
    </xf>
    <xf numFmtId="0" fontId="18" fillId="2" borderId="1" xfId="0" applyFont="1" applyFill="1" applyBorder="1" applyAlignment="1">
      <alignment horizontal="left"/>
    </xf>
    <xf numFmtId="0" fontId="18" fillId="2" borderId="3" xfId="0" applyFont="1" applyFill="1" applyBorder="1" applyAlignment="1">
      <alignment horizontal="left"/>
    </xf>
    <xf numFmtId="43" fontId="31" fillId="2" borderId="1" xfId="5" applyFont="1" applyFill="1" applyBorder="1" applyAlignment="1">
      <alignment wrapText="1"/>
    </xf>
    <xf numFmtId="0" fontId="18" fillId="2" borderId="0" xfId="0" applyFont="1" applyFill="1" applyBorder="1" applyAlignment="1">
      <alignment horizontal="left"/>
    </xf>
    <xf numFmtId="43" fontId="18" fillId="2" borderId="0" xfId="0" applyNumberFormat="1" applyFont="1" applyFill="1" applyBorder="1" applyAlignment="1">
      <alignment horizontal="center"/>
    </xf>
    <xf numFmtId="0" fontId="18" fillId="2" borderId="6" xfId="0" applyFont="1" applyFill="1" applyBorder="1" applyAlignment="1">
      <alignment horizontal="center"/>
    </xf>
    <xf numFmtId="0" fontId="18" fillId="2" borderId="3" xfId="0" applyFont="1" applyFill="1" applyBorder="1" applyAlignment="1">
      <alignment horizontal="center"/>
    </xf>
    <xf numFmtId="0" fontId="18" fillId="2" borderId="6" xfId="0" applyNumberFormat="1" applyFont="1" applyFill="1" applyBorder="1" applyAlignment="1">
      <alignment horizontal="left"/>
    </xf>
    <xf numFmtId="43" fontId="18" fillId="2" borderId="3" xfId="0" applyNumberFormat="1" applyFont="1" applyFill="1" applyBorder="1" applyAlignment="1"/>
    <xf numFmtId="43" fontId="18" fillId="2" borderId="7" xfId="0" applyNumberFormat="1" applyFont="1" applyFill="1" applyBorder="1" applyAlignment="1"/>
    <xf numFmtId="0" fontId="39" fillId="2" borderId="6" xfId="0" applyFont="1" applyFill="1" applyBorder="1" applyAlignment="1">
      <alignment wrapText="1"/>
    </xf>
    <xf numFmtId="0" fontId="39" fillId="2" borderId="0" xfId="0" applyFont="1" applyFill="1" applyBorder="1" applyAlignment="1">
      <alignment wrapText="1"/>
    </xf>
    <xf numFmtId="0" fontId="18" fillId="2" borderId="3" xfId="0" applyFont="1" applyFill="1" applyBorder="1" applyAlignment="1"/>
    <xf numFmtId="43" fontId="18" fillId="2" borderId="10" xfId="0" applyNumberFormat="1" applyFont="1" applyFill="1" applyBorder="1" applyAlignment="1"/>
    <xf numFmtId="43" fontId="18" fillId="2" borderId="4" xfId="2" applyFont="1" applyFill="1" applyBorder="1" applyAlignment="1"/>
    <xf numFmtId="0" fontId="18" fillId="2" borderId="1" xfId="0" applyFont="1" applyFill="1" applyBorder="1" applyAlignment="1">
      <alignment horizontal="left" wrapText="1"/>
    </xf>
    <xf numFmtId="0" fontId="18" fillId="2" borderId="7" xfId="0" applyFont="1" applyFill="1" applyBorder="1" applyAlignment="1"/>
    <xf numFmtId="0" fontId="26" fillId="2" borderId="0" xfId="0" applyFont="1" applyFill="1" applyBorder="1"/>
    <xf numFmtId="0" fontId="25" fillId="2" borderId="0" xfId="0" applyFont="1" applyFill="1" applyBorder="1"/>
    <xf numFmtId="14" fontId="25" fillId="2" borderId="0" xfId="0" applyNumberFormat="1" applyFont="1" applyFill="1" applyBorder="1" applyAlignment="1">
      <alignment horizontal="left" wrapText="1"/>
    </xf>
    <xf numFmtId="0" fontId="18" fillId="2" borderId="4" xfId="0" applyFont="1" applyFill="1" applyBorder="1" applyAlignment="1">
      <alignment horizontal="center"/>
    </xf>
    <xf numFmtId="43" fontId="18" fillId="2" borderId="4" xfId="3" applyFont="1" applyFill="1" applyBorder="1" applyAlignment="1"/>
    <xf numFmtId="0" fontId="18" fillId="2" borderId="8" xfId="0" applyFont="1" applyFill="1" applyBorder="1" applyAlignment="1">
      <alignment horizontal="center"/>
    </xf>
    <xf numFmtId="43" fontId="18" fillId="2" borderId="4" xfId="0" applyNumberFormat="1" applyFont="1" applyFill="1" applyBorder="1" applyAlignment="1"/>
    <xf numFmtId="43" fontId="18" fillId="2" borderId="8" xfId="0" applyNumberFormat="1" applyFont="1" applyFill="1" applyBorder="1" applyAlignment="1"/>
    <xf numFmtId="0" fontId="18" fillId="2" borderId="12" xfId="0" applyFont="1" applyFill="1" applyBorder="1" applyAlignment="1">
      <alignment horizontal="center"/>
    </xf>
    <xf numFmtId="0" fontId="18" fillId="2" borderId="6" xfId="0" applyFont="1" applyFill="1" applyBorder="1" applyAlignment="1">
      <alignment horizontal="left"/>
    </xf>
    <xf numFmtId="0" fontId="18" fillId="2" borderId="12" xfId="0" applyFont="1" applyFill="1" applyBorder="1" applyAlignment="1">
      <alignment horizontal="left"/>
    </xf>
    <xf numFmtId="43" fontId="31" fillId="2" borderId="6" xfId="5" applyFont="1" applyFill="1" applyBorder="1" applyAlignment="1">
      <alignment wrapText="1"/>
    </xf>
    <xf numFmtId="0" fontId="26" fillId="2" borderId="1" xfId="0" applyFont="1" applyFill="1" applyBorder="1"/>
    <xf numFmtId="14" fontId="25" fillId="2" borderId="1" xfId="0" applyNumberFormat="1" applyFont="1" applyFill="1" applyBorder="1" applyAlignment="1">
      <alignment horizontal="left" wrapText="1"/>
    </xf>
  </cellXfs>
  <cellStyles count="6">
    <cellStyle name="Comma 2 3" xfId="3"/>
    <cellStyle name="Comma 3" xfId="2"/>
    <cellStyle name="Comma 4" xfId="1"/>
    <cellStyle name="Comma 5" xfId="4"/>
    <cellStyle name="Comma 6" xfId="5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53</xdr:row>
      <xdr:rowOff>0</xdr:rowOff>
    </xdr:from>
    <xdr:to>
      <xdr:col>30</xdr:col>
      <xdr:colOff>17424</xdr:colOff>
      <xdr:row>89</xdr:row>
      <xdr:rowOff>113386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7875" y="10801350"/>
          <a:ext cx="13009524" cy="731428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19%20Project%20Accoun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eds assessment 2014"/>
      <sheetName val="needs assessment 2015"/>
      <sheetName val="SHIP AUD"/>
      <sheetName val="SHIP 2018 With Alloc"/>
      <sheetName val=" SHIP FMIS 2019"/>
      <sheetName val="Sheet7"/>
      <sheetName val="SHIP 2019 monthly "/>
      <sheetName val="SHIP OPENING BAL"/>
      <sheetName val="univ alloc.fmis"/>
      <sheetName val="Univ Comm Fund"/>
      <sheetName val="UNIV 2019"/>
      <sheetName val="Lamond 2019"/>
      <sheetName val="UNIV. LIB.2019"/>
      <sheetName val="2013 ALLOCATIONS "/>
      <sheetName val="2019 Library summary"/>
      <sheetName val="poly  com. adj for fmis"/>
      <sheetName val="POLY commited funds to date"/>
      <sheetName val="lamond poly"/>
      <sheetName val="POLY DISB 2019"/>
      <sheetName val="Sheet6"/>
      <sheetName val="for printing"/>
      <sheetName val="POLY LIB. 2019"/>
      <sheetName val="2014 new allocations"/>
      <sheetName val="coe  alloc. fmis"/>
      <sheetName val="COE commited funds to date"/>
      <sheetName val="COE DISB 2019"/>
      <sheetName val="lamond coe 2015"/>
      <sheetName val="Sheet1"/>
      <sheetName val="COE  LIB. 2019"/>
      <sheetName val="MONTHLY ASTD 2019"/>
      <sheetName val="for fmis staff training  2019"/>
      <sheetName val="JAN"/>
      <sheetName val="FEB"/>
      <sheetName val="MAR"/>
      <sheetName val="APR"/>
      <sheetName val="MAY"/>
      <sheetName val="SUMMARY 2019 NEW"/>
      <sheetName val="JUNE"/>
      <sheetName val="SSE&amp;T 2019"/>
      <sheetName val="Sheet2"/>
      <sheetName val="MOE commited funds to date"/>
      <sheetName val="fmis moe"/>
      <sheetName val="MOE 2016 FMIS"/>
      <sheetName val="lamond moe"/>
      <sheetName val="MINISTRY OF EDU. LIB.2016"/>
      <sheetName val="MOE AUD"/>
      <sheetName val="MONOTECHNICS 2016"/>
      <sheetName val="lamond monotechnics"/>
      <sheetName val="fmis mono"/>
      <sheetName val="MONOTECH. LIB. 2016"/>
      <sheetName val="MONOTECHNICS AUD"/>
      <sheetName val="SUBEB 2016"/>
      <sheetName val="PROJECT ACCT 2016"/>
      <sheetName val="LAMOND SUBEB"/>
      <sheetName val="Sheet3"/>
      <sheetName val="Sheet5"/>
      <sheetName val="SUBEB LIB.2016"/>
      <sheetName val="Sheet4"/>
      <sheetName val="SUBEB commited funds to date"/>
      <sheetName val="SUBEB AUD"/>
      <sheetName val="LIB OTHERS 2014"/>
      <sheetName val="overpayment"/>
      <sheetName val="summary of overpayment"/>
      <sheetName val="SUMMARY OF DISBURSEMENTS 2017"/>
      <sheetName val="overpa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D6">
            <v>59027776.670000002</v>
          </cell>
          <cell r="E6">
            <v>20000000</v>
          </cell>
          <cell r="F6">
            <v>40000000</v>
          </cell>
          <cell r="G6">
            <v>100000</v>
          </cell>
          <cell r="H6">
            <v>50000000</v>
          </cell>
          <cell r="I6">
            <v>0</v>
          </cell>
          <cell r="J6">
            <v>25500000</v>
          </cell>
          <cell r="K6">
            <v>25500000</v>
          </cell>
          <cell r="L6">
            <v>0</v>
          </cell>
          <cell r="M6">
            <v>40000000</v>
          </cell>
          <cell r="N6">
            <v>0</v>
          </cell>
          <cell r="O6">
            <v>40000000</v>
          </cell>
          <cell r="P6">
            <v>0</v>
          </cell>
          <cell r="Q6">
            <v>44200000</v>
          </cell>
          <cell r="R6">
            <v>56950000</v>
          </cell>
          <cell r="S6">
            <v>48450000</v>
          </cell>
          <cell r="T6">
            <v>0</v>
          </cell>
          <cell r="U6">
            <v>0</v>
          </cell>
          <cell r="V6">
            <v>0</v>
          </cell>
          <cell r="W6">
            <v>175000000</v>
          </cell>
          <cell r="Y6">
            <v>0</v>
          </cell>
          <cell r="Z6">
            <v>350000000</v>
          </cell>
          <cell r="AA6">
            <v>0</v>
          </cell>
          <cell r="AB6">
            <v>500000000</v>
          </cell>
          <cell r="AC6">
            <v>356000000</v>
          </cell>
          <cell r="AD6">
            <v>20000000</v>
          </cell>
          <cell r="AE6">
            <v>552000000</v>
          </cell>
          <cell r="AF6">
            <v>20000000</v>
          </cell>
          <cell r="AG6">
            <v>250000000</v>
          </cell>
          <cell r="AH6">
            <v>100000000</v>
          </cell>
          <cell r="AI6">
            <v>15000000</v>
          </cell>
          <cell r="AJ6">
            <v>2000000</v>
          </cell>
          <cell r="AK6">
            <v>10000000</v>
          </cell>
          <cell r="AL6">
            <v>500000000</v>
          </cell>
          <cell r="AM6">
            <v>565410000</v>
          </cell>
          <cell r="AN6">
            <v>15000000</v>
          </cell>
          <cell r="AO6">
            <v>15000000</v>
          </cell>
          <cell r="AP6">
            <v>10000000</v>
          </cell>
          <cell r="AQ6">
            <v>0</v>
          </cell>
          <cell r="AR6">
            <v>300000000</v>
          </cell>
          <cell r="AS6">
            <v>300000000</v>
          </cell>
          <cell r="AT6">
            <v>120000000</v>
          </cell>
          <cell r="AU6">
            <v>10000000</v>
          </cell>
          <cell r="AV6">
            <v>5000000</v>
          </cell>
          <cell r="AW6">
            <v>10000000</v>
          </cell>
          <cell r="AX6">
            <v>0</v>
          </cell>
          <cell r="AY6">
            <v>350000000</v>
          </cell>
          <cell r="AZ6">
            <v>175823700</v>
          </cell>
          <cell r="BA6">
            <v>20000000</v>
          </cell>
          <cell r="BB6">
            <v>5000000</v>
          </cell>
          <cell r="BC6">
            <v>10000000</v>
          </cell>
          <cell r="BD6">
            <v>0</v>
          </cell>
        </row>
        <row r="7">
          <cell r="D7">
            <v>59027776.670000002</v>
          </cell>
          <cell r="E7">
            <v>20000000</v>
          </cell>
          <cell r="F7">
            <v>40000000</v>
          </cell>
          <cell r="G7">
            <v>0</v>
          </cell>
          <cell r="H7">
            <v>50000000</v>
          </cell>
          <cell r="I7">
            <v>21250000</v>
          </cell>
          <cell r="J7">
            <v>21900000</v>
          </cell>
          <cell r="K7">
            <v>30000000</v>
          </cell>
          <cell r="L7">
            <v>0</v>
          </cell>
          <cell r="M7">
            <v>40000000</v>
          </cell>
          <cell r="N7">
            <v>0</v>
          </cell>
          <cell r="O7">
            <v>34000000</v>
          </cell>
          <cell r="P7">
            <v>0</v>
          </cell>
          <cell r="Q7">
            <v>34840000</v>
          </cell>
          <cell r="R7">
            <v>44890000</v>
          </cell>
          <cell r="S7">
            <v>38190000</v>
          </cell>
          <cell r="T7">
            <v>0</v>
          </cell>
          <cell r="U7">
            <v>140992200</v>
          </cell>
          <cell r="V7">
            <v>0</v>
          </cell>
          <cell r="W7">
            <v>175000000</v>
          </cell>
          <cell r="Y7">
            <v>130000000</v>
          </cell>
          <cell r="Z7">
            <v>350000000</v>
          </cell>
          <cell r="AA7">
            <v>10000000</v>
          </cell>
          <cell r="AB7">
            <v>0</v>
          </cell>
          <cell r="AC7">
            <v>356000000</v>
          </cell>
          <cell r="AD7">
            <v>20000000</v>
          </cell>
          <cell r="AE7">
            <v>552000000</v>
          </cell>
          <cell r="AF7">
            <v>20000000</v>
          </cell>
          <cell r="AG7">
            <v>300000000</v>
          </cell>
          <cell r="AH7">
            <v>100000000</v>
          </cell>
          <cell r="AI7">
            <v>15000000</v>
          </cell>
          <cell r="AJ7">
            <v>2000000</v>
          </cell>
          <cell r="AK7">
            <v>10000000</v>
          </cell>
          <cell r="AL7">
            <v>750000000</v>
          </cell>
          <cell r="AM7">
            <v>565410000</v>
          </cell>
          <cell r="AN7">
            <v>15000000</v>
          </cell>
          <cell r="AO7">
            <v>15000000</v>
          </cell>
          <cell r="AP7">
            <v>10000000</v>
          </cell>
          <cell r="AQ7">
            <v>0</v>
          </cell>
          <cell r="AR7">
            <v>300000000</v>
          </cell>
          <cell r="AS7">
            <v>300000000</v>
          </cell>
          <cell r="AT7">
            <v>120000000</v>
          </cell>
          <cell r="AU7">
            <v>10000000</v>
          </cell>
          <cell r="AV7">
            <v>5000000</v>
          </cell>
          <cell r="AW7">
            <v>10000000</v>
          </cell>
          <cell r="AX7">
            <v>0</v>
          </cell>
          <cell r="AY7">
            <v>350000000</v>
          </cell>
          <cell r="AZ7">
            <v>175823700</v>
          </cell>
          <cell r="BA7">
            <v>20000000</v>
          </cell>
          <cell r="BB7">
            <v>5000000</v>
          </cell>
          <cell r="BC7">
            <v>10000000</v>
          </cell>
          <cell r="BD7">
            <v>0</v>
          </cell>
        </row>
        <row r="8">
          <cell r="D8">
            <v>59027776.670000002</v>
          </cell>
          <cell r="E8">
            <v>20000000</v>
          </cell>
          <cell r="F8">
            <v>40000000</v>
          </cell>
          <cell r="G8">
            <v>2217000</v>
          </cell>
          <cell r="H8">
            <v>50000000</v>
          </cell>
          <cell r="I8">
            <v>25000000</v>
          </cell>
          <cell r="J8">
            <v>30000000</v>
          </cell>
          <cell r="K8">
            <v>30000000</v>
          </cell>
          <cell r="L8">
            <v>0</v>
          </cell>
          <cell r="M8">
            <v>40000000</v>
          </cell>
          <cell r="N8">
            <v>0</v>
          </cell>
          <cell r="O8">
            <v>40000000</v>
          </cell>
          <cell r="P8">
            <v>0</v>
          </cell>
          <cell r="Q8">
            <v>52000000</v>
          </cell>
          <cell r="R8">
            <v>67000000</v>
          </cell>
          <cell r="S8">
            <v>57000000</v>
          </cell>
          <cell r="T8">
            <v>0</v>
          </cell>
          <cell r="U8">
            <v>193140000</v>
          </cell>
          <cell r="V8">
            <v>85000000</v>
          </cell>
          <cell r="W8">
            <v>175000000</v>
          </cell>
          <cell r="Y8">
            <v>0</v>
          </cell>
          <cell r="Z8">
            <v>350000000</v>
          </cell>
          <cell r="AA8">
            <v>50000000</v>
          </cell>
          <cell r="AB8">
            <v>0</v>
          </cell>
          <cell r="AC8">
            <v>356000000</v>
          </cell>
          <cell r="AD8">
            <v>20000000</v>
          </cell>
          <cell r="AE8">
            <v>552000000</v>
          </cell>
          <cell r="AF8">
            <v>20000000</v>
          </cell>
          <cell r="AG8">
            <v>0</v>
          </cell>
          <cell r="AH8">
            <v>100000000</v>
          </cell>
          <cell r="AI8">
            <v>15000000</v>
          </cell>
          <cell r="AJ8">
            <v>2000000</v>
          </cell>
          <cell r="AK8">
            <v>10000000</v>
          </cell>
          <cell r="AL8">
            <v>300000000</v>
          </cell>
          <cell r="AM8">
            <v>565410000</v>
          </cell>
          <cell r="AN8">
            <v>15000000</v>
          </cell>
          <cell r="AO8">
            <v>15000000</v>
          </cell>
          <cell r="AP8">
            <v>10000000</v>
          </cell>
          <cell r="AQ8">
            <v>0</v>
          </cell>
          <cell r="AS8">
            <v>300000000</v>
          </cell>
          <cell r="AT8">
            <v>120000000</v>
          </cell>
          <cell r="AU8">
            <v>10000000</v>
          </cell>
          <cell r="AV8">
            <v>5000000</v>
          </cell>
          <cell r="AW8">
            <v>10000000</v>
          </cell>
          <cell r="AX8">
            <v>0</v>
          </cell>
          <cell r="AY8">
            <v>350000000</v>
          </cell>
          <cell r="AZ8">
            <v>175823700</v>
          </cell>
          <cell r="BA8">
            <v>20000000</v>
          </cell>
          <cell r="BB8">
            <v>5000000</v>
          </cell>
          <cell r="BC8">
            <v>10000000</v>
          </cell>
          <cell r="BD8">
            <v>0</v>
          </cell>
        </row>
        <row r="9">
          <cell r="D9">
            <v>59027776.670000002</v>
          </cell>
          <cell r="E9">
            <v>20000000</v>
          </cell>
          <cell r="F9">
            <v>40000000</v>
          </cell>
          <cell r="G9">
            <v>346000</v>
          </cell>
          <cell r="H9">
            <v>50000000</v>
          </cell>
          <cell r="I9">
            <v>25000000</v>
          </cell>
          <cell r="J9">
            <v>30000000</v>
          </cell>
          <cell r="K9">
            <v>25500000</v>
          </cell>
          <cell r="L9">
            <v>0</v>
          </cell>
          <cell r="M9">
            <v>34000000</v>
          </cell>
          <cell r="N9">
            <v>0</v>
          </cell>
          <cell r="O9">
            <v>40000000</v>
          </cell>
          <cell r="P9">
            <v>0</v>
          </cell>
          <cell r="Q9">
            <v>52000000</v>
          </cell>
          <cell r="R9">
            <v>67000000</v>
          </cell>
          <cell r="S9">
            <v>57000000</v>
          </cell>
          <cell r="T9">
            <v>0</v>
          </cell>
          <cell r="U9">
            <v>193140000</v>
          </cell>
          <cell r="V9">
            <v>580000000</v>
          </cell>
          <cell r="W9">
            <v>175000000</v>
          </cell>
          <cell r="Y9">
            <v>950000000</v>
          </cell>
          <cell r="Z9">
            <v>350000000</v>
          </cell>
          <cell r="AA9">
            <v>572000000</v>
          </cell>
          <cell r="AB9">
            <v>250000000</v>
          </cell>
          <cell r="AC9">
            <v>356000000</v>
          </cell>
          <cell r="AD9">
            <v>20000000</v>
          </cell>
          <cell r="AE9">
            <v>552000000</v>
          </cell>
          <cell r="AF9">
            <v>20000000</v>
          </cell>
          <cell r="AG9">
            <v>200000000</v>
          </cell>
          <cell r="AH9">
            <v>100000000</v>
          </cell>
          <cell r="AI9">
            <v>15000000</v>
          </cell>
          <cell r="AJ9">
            <v>2000000</v>
          </cell>
          <cell r="AK9">
            <v>10000000</v>
          </cell>
          <cell r="AL9">
            <v>5910000000</v>
          </cell>
          <cell r="AM9">
            <v>565410000</v>
          </cell>
          <cell r="AN9">
            <v>15000000</v>
          </cell>
          <cell r="AO9">
            <v>15000000</v>
          </cell>
          <cell r="AP9">
            <v>10000000</v>
          </cell>
          <cell r="AQ9">
            <v>0</v>
          </cell>
          <cell r="AS9">
            <v>300000000</v>
          </cell>
          <cell r="AT9">
            <v>120000000</v>
          </cell>
          <cell r="AU9">
            <v>10000000</v>
          </cell>
          <cell r="AV9">
            <v>5000000</v>
          </cell>
          <cell r="AW9">
            <v>10000000</v>
          </cell>
          <cell r="AX9">
            <v>0</v>
          </cell>
          <cell r="AY9">
            <v>350000000</v>
          </cell>
          <cell r="AZ9">
            <v>175823700</v>
          </cell>
          <cell r="BA9">
            <v>20000000</v>
          </cell>
          <cell r="BB9">
            <v>5000000</v>
          </cell>
          <cell r="BC9">
            <v>10000000</v>
          </cell>
          <cell r="BD9">
            <v>0</v>
          </cell>
        </row>
        <row r="10">
          <cell r="D10">
            <v>59027776.670000002</v>
          </cell>
          <cell r="E10">
            <v>20000000</v>
          </cell>
          <cell r="F10">
            <v>40000000</v>
          </cell>
          <cell r="G10">
            <v>466000</v>
          </cell>
          <cell r="H10">
            <v>50000000</v>
          </cell>
          <cell r="I10">
            <v>21250000</v>
          </cell>
          <cell r="J10">
            <v>30000000</v>
          </cell>
          <cell r="K10">
            <v>30000000</v>
          </cell>
          <cell r="L10">
            <v>0</v>
          </cell>
          <cell r="M10">
            <v>40000000</v>
          </cell>
          <cell r="N10">
            <v>0</v>
          </cell>
          <cell r="O10">
            <v>40000000</v>
          </cell>
          <cell r="P10">
            <v>0</v>
          </cell>
          <cell r="Q10">
            <v>52000000</v>
          </cell>
          <cell r="R10">
            <v>56950000</v>
          </cell>
          <cell r="S10">
            <v>48450000</v>
          </cell>
          <cell r="T10">
            <v>0</v>
          </cell>
          <cell r="U10">
            <v>164169000</v>
          </cell>
          <cell r="V10">
            <v>12750000</v>
          </cell>
          <cell r="W10">
            <v>175000000</v>
          </cell>
          <cell r="Y10">
            <v>0</v>
          </cell>
          <cell r="Z10">
            <v>350000000</v>
          </cell>
          <cell r="AA10">
            <v>0</v>
          </cell>
          <cell r="AB10">
            <v>0</v>
          </cell>
          <cell r="AC10">
            <v>356000000</v>
          </cell>
          <cell r="AD10">
            <v>20000000</v>
          </cell>
          <cell r="AE10">
            <v>552000000</v>
          </cell>
          <cell r="AF10">
            <v>20000000</v>
          </cell>
          <cell r="AG10">
            <v>0</v>
          </cell>
          <cell r="AH10">
            <v>100000000</v>
          </cell>
          <cell r="AI10">
            <v>15000000</v>
          </cell>
          <cell r="AJ10">
            <v>2000000</v>
          </cell>
          <cell r="AK10">
            <v>10000000</v>
          </cell>
          <cell r="AL10">
            <v>0</v>
          </cell>
          <cell r="AM10">
            <v>565410000</v>
          </cell>
          <cell r="AN10">
            <v>15000000</v>
          </cell>
          <cell r="AO10">
            <v>15000000</v>
          </cell>
          <cell r="AP10">
            <v>10000000</v>
          </cell>
          <cell r="AQ10">
            <v>0</v>
          </cell>
          <cell r="AS10">
            <v>300000000</v>
          </cell>
          <cell r="AT10">
            <v>120000000</v>
          </cell>
          <cell r="AU10">
            <v>10000000</v>
          </cell>
          <cell r="AV10">
            <v>5000000</v>
          </cell>
          <cell r="AW10">
            <v>10000000</v>
          </cell>
          <cell r="AX10">
            <v>0</v>
          </cell>
          <cell r="AY10">
            <v>350000000</v>
          </cell>
          <cell r="AZ10">
            <v>175823700</v>
          </cell>
          <cell r="BA10">
            <v>20000000</v>
          </cell>
          <cell r="BB10">
            <v>5000000</v>
          </cell>
          <cell r="BC10">
            <v>10000000</v>
          </cell>
          <cell r="BD10">
            <v>0</v>
          </cell>
        </row>
        <row r="11">
          <cell r="D11">
            <v>59027776.670000002</v>
          </cell>
          <cell r="E11">
            <v>20000000</v>
          </cell>
          <cell r="F11">
            <v>40000000</v>
          </cell>
          <cell r="G11">
            <v>0</v>
          </cell>
          <cell r="H11">
            <v>50000000</v>
          </cell>
          <cell r="I11">
            <v>25000000</v>
          </cell>
          <cell r="J11">
            <v>30000000</v>
          </cell>
          <cell r="K11">
            <v>30000000</v>
          </cell>
          <cell r="L11">
            <v>0</v>
          </cell>
          <cell r="M11">
            <v>22000000</v>
          </cell>
          <cell r="N11">
            <v>0</v>
          </cell>
          <cell r="O11">
            <v>40000000</v>
          </cell>
          <cell r="P11">
            <v>0</v>
          </cell>
          <cell r="Q11">
            <v>52000000</v>
          </cell>
          <cell r="R11">
            <v>67000000</v>
          </cell>
          <cell r="S11">
            <v>30210000</v>
          </cell>
          <cell r="T11">
            <v>0</v>
          </cell>
          <cell r="U11">
            <v>172359000</v>
          </cell>
          <cell r="V11">
            <v>0</v>
          </cell>
          <cell r="W11">
            <v>175000000</v>
          </cell>
          <cell r="Y11">
            <v>0</v>
          </cell>
          <cell r="Z11">
            <v>350000000</v>
          </cell>
          <cell r="AA11">
            <v>0</v>
          </cell>
          <cell r="AB11">
            <v>0</v>
          </cell>
          <cell r="AC11">
            <v>356000000</v>
          </cell>
          <cell r="AD11">
            <v>20000000</v>
          </cell>
          <cell r="AE11">
            <v>552000000</v>
          </cell>
          <cell r="AF11">
            <v>20000000</v>
          </cell>
          <cell r="AG11">
            <v>0</v>
          </cell>
          <cell r="AH11">
            <v>100000000</v>
          </cell>
          <cell r="AI11">
            <v>15000000</v>
          </cell>
          <cell r="AJ11">
            <v>2000000</v>
          </cell>
          <cell r="AK11">
            <v>10000000</v>
          </cell>
          <cell r="AL11">
            <v>0</v>
          </cell>
          <cell r="AM11">
            <v>565410000</v>
          </cell>
          <cell r="AN11">
            <v>15000000</v>
          </cell>
          <cell r="AO11">
            <v>15000000</v>
          </cell>
          <cell r="AP11">
            <v>10000000</v>
          </cell>
          <cell r="AQ11">
            <v>0</v>
          </cell>
          <cell r="AS11">
            <v>300000000</v>
          </cell>
          <cell r="AT11">
            <v>120000000</v>
          </cell>
          <cell r="AU11">
            <v>10000000</v>
          </cell>
          <cell r="AV11">
            <v>5000000</v>
          </cell>
          <cell r="AW11">
            <v>10000000</v>
          </cell>
          <cell r="AX11">
            <v>0</v>
          </cell>
          <cell r="AY11">
            <v>350000000</v>
          </cell>
          <cell r="AZ11">
            <v>175823700</v>
          </cell>
          <cell r="BA11">
            <v>20000000</v>
          </cell>
          <cell r="BB11">
            <v>5000000</v>
          </cell>
          <cell r="BC11">
            <v>10000000</v>
          </cell>
          <cell r="BD11">
            <v>0</v>
          </cell>
        </row>
        <row r="12">
          <cell r="D12">
            <v>59027776.670000002</v>
          </cell>
          <cell r="E12">
            <v>20000000</v>
          </cell>
          <cell r="F12">
            <v>40000000</v>
          </cell>
          <cell r="G12">
            <v>1031000</v>
          </cell>
          <cell r="H12">
            <v>50000000</v>
          </cell>
          <cell r="I12">
            <v>25000000</v>
          </cell>
          <cell r="J12">
            <v>30000000</v>
          </cell>
          <cell r="K12">
            <v>30000000</v>
          </cell>
          <cell r="L12">
            <v>0</v>
          </cell>
          <cell r="M12">
            <v>40000000</v>
          </cell>
          <cell r="N12">
            <v>7400000</v>
          </cell>
          <cell r="O12">
            <v>40000000</v>
          </cell>
          <cell r="P12">
            <v>0</v>
          </cell>
          <cell r="Q12">
            <v>52000000</v>
          </cell>
          <cell r="R12">
            <v>67000000</v>
          </cell>
          <cell r="S12">
            <v>57000000</v>
          </cell>
          <cell r="T12">
            <v>0</v>
          </cell>
          <cell r="U12">
            <v>193140000</v>
          </cell>
          <cell r="V12">
            <v>0</v>
          </cell>
          <cell r="W12">
            <v>175000000</v>
          </cell>
          <cell r="Y12">
            <v>30000000</v>
          </cell>
          <cell r="Z12">
            <v>350000000</v>
          </cell>
          <cell r="AA12">
            <v>0</v>
          </cell>
          <cell r="AB12">
            <v>0</v>
          </cell>
          <cell r="AC12">
            <v>356000000</v>
          </cell>
          <cell r="AD12">
            <v>20000000</v>
          </cell>
          <cell r="AE12">
            <v>552000000</v>
          </cell>
          <cell r="AF12">
            <v>20000000</v>
          </cell>
          <cell r="AG12">
            <v>300000000</v>
          </cell>
          <cell r="AH12">
            <v>100000000</v>
          </cell>
          <cell r="AI12">
            <v>15000000</v>
          </cell>
          <cell r="AJ12">
            <v>2000000</v>
          </cell>
          <cell r="AK12">
            <v>10000000</v>
          </cell>
          <cell r="AL12">
            <v>1000000000</v>
          </cell>
          <cell r="AM12">
            <v>565410000</v>
          </cell>
          <cell r="AN12">
            <v>15000000</v>
          </cell>
          <cell r="AO12">
            <v>15000000</v>
          </cell>
          <cell r="AP12">
            <v>10000000</v>
          </cell>
          <cell r="AQ12">
            <v>0</v>
          </cell>
          <cell r="AS12">
            <v>300000000</v>
          </cell>
          <cell r="AT12">
            <v>120000000</v>
          </cell>
          <cell r="AU12">
            <v>10000000</v>
          </cell>
          <cell r="AV12">
            <v>5000000</v>
          </cell>
          <cell r="AW12">
            <v>10000000</v>
          </cell>
          <cell r="AX12">
            <v>0</v>
          </cell>
          <cell r="AY12">
            <v>350000000</v>
          </cell>
          <cell r="AZ12">
            <v>175823700</v>
          </cell>
          <cell r="BA12">
            <v>20000000</v>
          </cell>
          <cell r="BB12">
            <v>5000000</v>
          </cell>
          <cell r="BC12">
            <v>10000000</v>
          </cell>
          <cell r="BD12">
            <v>0</v>
          </cell>
        </row>
        <row r="13">
          <cell r="D13">
            <v>59027776.670000002</v>
          </cell>
          <cell r="E13">
            <v>20000000</v>
          </cell>
          <cell r="F13">
            <v>40000000</v>
          </cell>
          <cell r="G13">
            <v>0</v>
          </cell>
          <cell r="H13">
            <v>50000000</v>
          </cell>
          <cell r="I13">
            <v>23000000</v>
          </cell>
          <cell r="J13">
            <v>30000000</v>
          </cell>
          <cell r="K13">
            <v>30000000</v>
          </cell>
          <cell r="L13">
            <v>0</v>
          </cell>
          <cell r="M13">
            <v>40000000</v>
          </cell>
          <cell r="N13">
            <v>0</v>
          </cell>
          <cell r="O13">
            <v>40000000</v>
          </cell>
          <cell r="P13">
            <v>0</v>
          </cell>
          <cell r="Q13">
            <v>52000000</v>
          </cell>
          <cell r="R13">
            <v>67000000</v>
          </cell>
          <cell r="S13">
            <v>33060000</v>
          </cell>
          <cell r="T13">
            <v>0</v>
          </cell>
          <cell r="U13">
            <v>112021200</v>
          </cell>
          <cell r="V13">
            <v>0</v>
          </cell>
          <cell r="W13">
            <v>175000000</v>
          </cell>
          <cell r="Y13">
            <v>120000000</v>
          </cell>
          <cell r="Z13">
            <v>350000000</v>
          </cell>
          <cell r="AA13">
            <v>0</v>
          </cell>
          <cell r="AB13">
            <v>0</v>
          </cell>
          <cell r="AC13">
            <v>356000000</v>
          </cell>
          <cell r="AD13">
            <v>20000000</v>
          </cell>
          <cell r="AE13">
            <v>552000000</v>
          </cell>
          <cell r="AF13">
            <v>20000000</v>
          </cell>
          <cell r="AG13">
            <v>530000000</v>
          </cell>
          <cell r="AH13">
            <v>100000000</v>
          </cell>
          <cell r="AI13">
            <v>15000000</v>
          </cell>
          <cell r="AJ13">
            <v>2000000</v>
          </cell>
          <cell r="AK13">
            <v>10000000</v>
          </cell>
          <cell r="AL13">
            <v>1400000000</v>
          </cell>
          <cell r="AM13">
            <v>565410000</v>
          </cell>
          <cell r="AN13">
            <v>15000000</v>
          </cell>
          <cell r="AO13">
            <v>15000000</v>
          </cell>
          <cell r="AP13">
            <v>10000000</v>
          </cell>
          <cell r="AQ13">
            <v>729381777.36000001</v>
          </cell>
          <cell r="AS13">
            <v>300000000</v>
          </cell>
          <cell r="AT13">
            <v>120000000</v>
          </cell>
          <cell r="AU13">
            <v>10000000</v>
          </cell>
          <cell r="AV13">
            <v>5000000</v>
          </cell>
          <cell r="AW13">
            <v>10000000</v>
          </cell>
          <cell r="AX13">
            <v>0</v>
          </cell>
          <cell r="AY13">
            <v>350000000</v>
          </cell>
          <cell r="AZ13">
            <v>175823700</v>
          </cell>
          <cell r="BA13">
            <v>20000000</v>
          </cell>
          <cell r="BB13">
            <v>5000000</v>
          </cell>
          <cell r="BC13">
            <v>10000000</v>
          </cell>
          <cell r="BD13">
            <v>0</v>
          </cell>
        </row>
        <row r="14">
          <cell r="D14">
            <v>59027776.670000002</v>
          </cell>
          <cell r="E14">
            <v>20000000</v>
          </cell>
          <cell r="F14">
            <v>40000000</v>
          </cell>
          <cell r="G14">
            <v>1010000</v>
          </cell>
          <cell r="H14">
            <v>42500000</v>
          </cell>
          <cell r="I14">
            <v>25000000</v>
          </cell>
          <cell r="J14">
            <v>30000000</v>
          </cell>
          <cell r="K14">
            <v>30000000</v>
          </cell>
          <cell r="L14">
            <v>0</v>
          </cell>
          <cell r="M14">
            <v>40000000</v>
          </cell>
          <cell r="N14">
            <v>0</v>
          </cell>
          <cell r="O14">
            <v>40000000</v>
          </cell>
          <cell r="P14">
            <v>0</v>
          </cell>
          <cell r="Q14">
            <v>52000000</v>
          </cell>
          <cell r="R14">
            <v>67000000</v>
          </cell>
          <cell r="S14">
            <v>37050000</v>
          </cell>
          <cell r="T14">
            <v>0</v>
          </cell>
          <cell r="U14">
            <v>125541000</v>
          </cell>
          <cell r="V14">
            <v>0</v>
          </cell>
          <cell r="W14">
            <v>175000000</v>
          </cell>
          <cell r="Y14">
            <v>0</v>
          </cell>
          <cell r="Z14">
            <v>350000000</v>
          </cell>
          <cell r="AA14">
            <v>0</v>
          </cell>
          <cell r="AB14">
            <v>0</v>
          </cell>
          <cell r="AC14">
            <v>356000000</v>
          </cell>
          <cell r="AD14">
            <v>20000000</v>
          </cell>
          <cell r="AE14">
            <v>552000000</v>
          </cell>
          <cell r="AF14">
            <v>20000000</v>
          </cell>
          <cell r="AG14">
            <v>500000000</v>
          </cell>
          <cell r="AH14">
            <v>100000000</v>
          </cell>
          <cell r="AI14">
            <v>15000000</v>
          </cell>
          <cell r="AJ14">
            <v>2000000</v>
          </cell>
          <cell r="AK14">
            <v>10000000</v>
          </cell>
          <cell r="AL14">
            <v>1850000000</v>
          </cell>
          <cell r="AM14">
            <v>565410000</v>
          </cell>
          <cell r="AN14">
            <v>15000000</v>
          </cell>
          <cell r="AO14">
            <v>15000000</v>
          </cell>
          <cell r="AP14">
            <v>10000000</v>
          </cell>
          <cell r="AQ14">
            <v>0</v>
          </cell>
          <cell r="AS14">
            <v>300000000</v>
          </cell>
          <cell r="AT14">
            <v>120000000</v>
          </cell>
          <cell r="AU14">
            <v>10000000</v>
          </cell>
          <cell r="AV14">
            <v>5000000</v>
          </cell>
          <cell r="AW14">
            <v>10000000</v>
          </cell>
          <cell r="AX14">
            <v>0</v>
          </cell>
          <cell r="AY14">
            <v>350000000</v>
          </cell>
          <cell r="AZ14">
            <v>175823700</v>
          </cell>
          <cell r="BA14">
            <v>20000000</v>
          </cell>
          <cell r="BB14">
            <v>5000000</v>
          </cell>
          <cell r="BC14">
            <v>10000000</v>
          </cell>
          <cell r="BD14">
            <v>0</v>
          </cell>
        </row>
        <row r="15">
          <cell r="D15">
            <v>59001497.670000002</v>
          </cell>
          <cell r="E15">
            <v>20000000</v>
          </cell>
          <cell r="F15">
            <v>40000000</v>
          </cell>
          <cell r="G15">
            <v>0</v>
          </cell>
          <cell r="H15">
            <v>50000000</v>
          </cell>
          <cell r="I15">
            <v>25000000</v>
          </cell>
          <cell r="J15">
            <v>30000000</v>
          </cell>
          <cell r="K15">
            <v>30000000</v>
          </cell>
          <cell r="L15">
            <v>35400000</v>
          </cell>
          <cell r="M15">
            <v>40000000</v>
          </cell>
          <cell r="N15">
            <v>0</v>
          </cell>
          <cell r="O15">
            <v>40000000</v>
          </cell>
          <cell r="P15">
            <v>0</v>
          </cell>
          <cell r="Q15">
            <v>52000000</v>
          </cell>
          <cell r="R15">
            <v>67000000</v>
          </cell>
          <cell r="S15">
            <v>57000000</v>
          </cell>
          <cell r="T15">
            <v>0</v>
          </cell>
          <cell r="U15">
            <v>193140000</v>
          </cell>
          <cell r="V15">
            <v>405000000</v>
          </cell>
          <cell r="W15">
            <v>175000000</v>
          </cell>
          <cell r="Y15">
            <v>0</v>
          </cell>
          <cell r="Z15">
            <v>350000000</v>
          </cell>
          <cell r="AA15">
            <v>0</v>
          </cell>
          <cell r="AB15">
            <v>600000000</v>
          </cell>
          <cell r="AC15">
            <v>356000000</v>
          </cell>
          <cell r="AD15">
            <v>20000000</v>
          </cell>
          <cell r="AE15">
            <v>552000000</v>
          </cell>
          <cell r="AF15">
            <v>20000000</v>
          </cell>
          <cell r="AG15">
            <v>600000000</v>
          </cell>
          <cell r="AH15">
            <v>100000000</v>
          </cell>
          <cell r="AI15">
            <v>15000000</v>
          </cell>
          <cell r="AJ15">
            <v>2000000</v>
          </cell>
          <cell r="AK15">
            <v>10000000</v>
          </cell>
          <cell r="AL15">
            <v>3000000000</v>
          </cell>
          <cell r="AM15">
            <v>565410000</v>
          </cell>
          <cell r="AN15">
            <v>15000000</v>
          </cell>
          <cell r="AO15">
            <v>15000000</v>
          </cell>
          <cell r="AP15">
            <v>10000000</v>
          </cell>
          <cell r="AQ15">
            <v>0</v>
          </cell>
          <cell r="AR15">
            <v>300000000</v>
          </cell>
          <cell r="AS15">
            <v>300000000</v>
          </cell>
          <cell r="AT15">
            <v>120000000</v>
          </cell>
          <cell r="AU15">
            <v>10000000</v>
          </cell>
          <cell r="AV15">
            <v>5000000</v>
          </cell>
          <cell r="AW15">
            <v>10000000</v>
          </cell>
          <cell r="AX15">
            <v>0</v>
          </cell>
          <cell r="AY15">
            <v>350000000</v>
          </cell>
          <cell r="AZ15">
            <v>175823700</v>
          </cell>
          <cell r="BA15">
            <v>20000000</v>
          </cell>
          <cell r="BB15">
            <v>5000000</v>
          </cell>
          <cell r="BC15">
            <v>10000000</v>
          </cell>
          <cell r="BD15">
            <v>0</v>
          </cell>
        </row>
        <row r="16">
          <cell r="D16">
            <v>59027776.670000002</v>
          </cell>
          <cell r="E16">
            <v>20000000</v>
          </cell>
          <cell r="F16">
            <v>40000000</v>
          </cell>
          <cell r="G16">
            <v>0</v>
          </cell>
          <cell r="H16">
            <v>42500000</v>
          </cell>
          <cell r="I16">
            <v>21250000</v>
          </cell>
          <cell r="J16">
            <v>25500000</v>
          </cell>
          <cell r="K16">
            <v>25500000</v>
          </cell>
          <cell r="L16">
            <v>0</v>
          </cell>
          <cell r="M16">
            <v>34000000</v>
          </cell>
          <cell r="N16">
            <v>0</v>
          </cell>
          <cell r="O16">
            <v>40000000</v>
          </cell>
          <cell r="P16">
            <v>4250000</v>
          </cell>
          <cell r="Q16">
            <v>52000000</v>
          </cell>
          <cell r="R16">
            <v>67000000</v>
          </cell>
          <cell r="S16">
            <v>57000000</v>
          </cell>
          <cell r="T16">
            <v>0</v>
          </cell>
          <cell r="U16">
            <v>113952600</v>
          </cell>
          <cell r="V16">
            <v>0</v>
          </cell>
          <cell r="W16">
            <v>175000000</v>
          </cell>
          <cell r="Y16">
            <v>1000000000</v>
          </cell>
          <cell r="Z16">
            <v>350000000</v>
          </cell>
          <cell r="AA16">
            <v>0</v>
          </cell>
          <cell r="AB16">
            <v>0</v>
          </cell>
          <cell r="AC16">
            <v>356000000</v>
          </cell>
          <cell r="AD16">
            <v>20000000</v>
          </cell>
          <cell r="AE16">
            <v>552000000</v>
          </cell>
          <cell r="AF16">
            <v>20000000</v>
          </cell>
          <cell r="AG16">
            <v>400000000</v>
          </cell>
          <cell r="AH16">
            <v>100000000</v>
          </cell>
          <cell r="AI16">
            <v>15000000</v>
          </cell>
          <cell r="AJ16">
            <v>2000000</v>
          </cell>
          <cell r="AK16">
            <v>10000000</v>
          </cell>
          <cell r="AL16">
            <v>250000000</v>
          </cell>
          <cell r="AM16">
            <v>565410000</v>
          </cell>
          <cell r="AN16">
            <v>15000000</v>
          </cell>
          <cell r="AO16">
            <v>15000000</v>
          </cell>
          <cell r="AP16">
            <v>10000000</v>
          </cell>
          <cell r="AQ16">
            <v>0</v>
          </cell>
          <cell r="AS16">
            <v>300000000</v>
          </cell>
          <cell r="AT16">
            <v>120000000</v>
          </cell>
          <cell r="AU16">
            <v>10000000</v>
          </cell>
          <cell r="AV16">
            <v>5000000</v>
          </cell>
          <cell r="AW16">
            <v>10000000</v>
          </cell>
          <cell r="AX16">
            <v>0</v>
          </cell>
          <cell r="AY16">
            <v>350000000</v>
          </cell>
          <cell r="AZ16">
            <v>175823700</v>
          </cell>
          <cell r="BA16">
            <v>20000000</v>
          </cell>
          <cell r="BB16">
            <v>5000000</v>
          </cell>
          <cell r="BC16">
            <v>10000000</v>
          </cell>
          <cell r="BD16">
            <v>0</v>
          </cell>
        </row>
        <row r="17">
          <cell r="D17">
            <v>59027776.670000002</v>
          </cell>
          <cell r="E17">
            <v>20000000</v>
          </cell>
          <cell r="F17">
            <v>40000000</v>
          </cell>
          <cell r="G17">
            <v>71000</v>
          </cell>
          <cell r="H17">
            <v>50000000</v>
          </cell>
          <cell r="I17">
            <v>25000000</v>
          </cell>
          <cell r="J17">
            <v>30000000</v>
          </cell>
          <cell r="K17">
            <v>30000000</v>
          </cell>
          <cell r="L17">
            <v>0</v>
          </cell>
          <cell r="M17">
            <v>40000000</v>
          </cell>
          <cell r="N17">
            <v>0</v>
          </cell>
          <cell r="O17">
            <v>40000000</v>
          </cell>
          <cell r="P17">
            <v>0</v>
          </cell>
          <cell r="Q17">
            <v>52000000</v>
          </cell>
          <cell r="R17">
            <v>67000000</v>
          </cell>
          <cell r="S17">
            <v>48450000</v>
          </cell>
          <cell r="T17">
            <v>0</v>
          </cell>
          <cell r="U17">
            <v>164169000</v>
          </cell>
          <cell r="V17">
            <v>31500000</v>
          </cell>
          <cell r="W17">
            <v>175000000</v>
          </cell>
          <cell r="Y17">
            <v>0</v>
          </cell>
          <cell r="Z17">
            <v>350000000</v>
          </cell>
          <cell r="AA17">
            <v>0</v>
          </cell>
          <cell r="AB17">
            <v>0</v>
          </cell>
          <cell r="AC17">
            <v>356000000</v>
          </cell>
          <cell r="AD17">
            <v>20000000</v>
          </cell>
          <cell r="AE17">
            <v>552000000</v>
          </cell>
          <cell r="AF17">
            <v>20000000</v>
          </cell>
          <cell r="AG17">
            <v>0</v>
          </cell>
          <cell r="AH17">
            <v>100000000</v>
          </cell>
          <cell r="AI17">
            <v>15000000</v>
          </cell>
          <cell r="AJ17">
            <v>2000000</v>
          </cell>
          <cell r="AK17">
            <v>10000000</v>
          </cell>
          <cell r="AL17">
            <v>0</v>
          </cell>
          <cell r="AM17">
            <v>565410000</v>
          </cell>
          <cell r="AN17">
            <v>15000000</v>
          </cell>
          <cell r="AO17">
            <v>15000000</v>
          </cell>
          <cell r="AP17">
            <v>10000000</v>
          </cell>
          <cell r="AQ17">
            <v>0</v>
          </cell>
          <cell r="AR17">
            <v>300000000</v>
          </cell>
          <cell r="AS17">
            <v>300000000</v>
          </cell>
          <cell r="AT17">
            <v>120000000</v>
          </cell>
          <cell r="AU17">
            <v>10000000</v>
          </cell>
          <cell r="AV17">
            <v>5000000</v>
          </cell>
          <cell r="AW17">
            <v>10000000</v>
          </cell>
          <cell r="AX17">
            <v>0</v>
          </cell>
          <cell r="AY17">
            <v>350000000</v>
          </cell>
          <cell r="AZ17">
            <v>175823700</v>
          </cell>
          <cell r="BA17">
            <v>20000000</v>
          </cell>
          <cell r="BB17">
            <v>5000000</v>
          </cell>
          <cell r="BC17">
            <v>10000000</v>
          </cell>
          <cell r="BD17">
            <v>0</v>
          </cell>
        </row>
        <row r="18">
          <cell r="D18">
            <v>59027776.670000002</v>
          </cell>
          <cell r="E18">
            <v>20000000</v>
          </cell>
          <cell r="F18">
            <v>40000000</v>
          </cell>
          <cell r="G18">
            <v>500000</v>
          </cell>
          <cell r="H18">
            <v>49332474.579999998</v>
          </cell>
          <cell r="I18">
            <v>25000000</v>
          </cell>
          <cell r="J18">
            <v>30000000</v>
          </cell>
          <cell r="K18">
            <v>30000000</v>
          </cell>
          <cell r="L18">
            <v>0</v>
          </cell>
          <cell r="M18">
            <v>40000000</v>
          </cell>
          <cell r="N18">
            <v>0</v>
          </cell>
          <cell r="O18">
            <v>40000000</v>
          </cell>
          <cell r="P18">
            <v>0</v>
          </cell>
          <cell r="Q18">
            <v>52000000</v>
          </cell>
          <cell r="R18">
            <v>67000000</v>
          </cell>
          <cell r="S18">
            <v>57000000</v>
          </cell>
          <cell r="T18">
            <v>250000000</v>
          </cell>
          <cell r="U18">
            <v>193140000</v>
          </cell>
          <cell r="V18">
            <v>124250000</v>
          </cell>
          <cell r="W18">
            <v>175000000</v>
          </cell>
          <cell r="Y18">
            <v>10000000</v>
          </cell>
          <cell r="Z18">
            <v>350000000</v>
          </cell>
          <cell r="AA18">
            <v>30000000</v>
          </cell>
          <cell r="AB18">
            <v>0</v>
          </cell>
          <cell r="AC18">
            <v>356000000</v>
          </cell>
          <cell r="AD18">
            <v>20000000</v>
          </cell>
          <cell r="AE18">
            <v>552000000</v>
          </cell>
          <cell r="AF18">
            <v>20000000</v>
          </cell>
          <cell r="AG18">
            <v>500000000</v>
          </cell>
          <cell r="AH18">
            <v>100000000</v>
          </cell>
          <cell r="AI18">
            <v>15000000</v>
          </cell>
          <cell r="AJ18">
            <v>2000000</v>
          </cell>
          <cell r="AK18">
            <v>10000000</v>
          </cell>
          <cell r="AL18">
            <v>700000000</v>
          </cell>
          <cell r="AM18">
            <v>565410000</v>
          </cell>
          <cell r="AN18">
            <v>15000000</v>
          </cell>
          <cell r="AO18">
            <v>15000000</v>
          </cell>
          <cell r="AP18">
            <v>10000000</v>
          </cell>
          <cell r="AQ18">
            <v>0</v>
          </cell>
          <cell r="AR18">
            <v>300000000</v>
          </cell>
          <cell r="AS18">
            <v>300000000</v>
          </cell>
          <cell r="AT18">
            <v>240000000</v>
          </cell>
          <cell r="AU18">
            <v>10000000</v>
          </cell>
          <cell r="AV18">
            <v>5000000</v>
          </cell>
          <cell r="AW18">
            <v>10000000</v>
          </cell>
          <cell r="AX18">
            <v>0</v>
          </cell>
          <cell r="AY18">
            <v>350000000</v>
          </cell>
          <cell r="AZ18">
            <v>175823700</v>
          </cell>
          <cell r="BA18">
            <v>20000000</v>
          </cell>
          <cell r="BB18">
            <v>5000000</v>
          </cell>
          <cell r="BC18">
            <v>10000000</v>
          </cell>
          <cell r="BD18">
            <v>0</v>
          </cell>
        </row>
        <row r="19">
          <cell r="D19">
            <v>59027776.670000002</v>
          </cell>
          <cell r="E19">
            <v>20000000</v>
          </cell>
          <cell r="F19">
            <v>40000000</v>
          </cell>
          <cell r="G19">
            <v>0</v>
          </cell>
          <cell r="H19">
            <v>50000000</v>
          </cell>
          <cell r="I19">
            <v>19250000</v>
          </cell>
          <cell r="J19">
            <v>30000000</v>
          </cell>
          <cell r="K19">
            <v>30000000</v>
          </cell>
          <cell r="L19">
            <v>0</v>
          </cell>
          <cell r="M19">
            <v>40000000</v>
          </cell>
          <cell r="N19">
            <v>0</v>
          </cell>
          <cell r="O19">
            <v>40000000</v>
          </cell>
          <cell r="P19">
            <v>0</v>
          </cell>
          <cell r="Q19">
            <v>52000000</v>
          </cell>
          <cell r="R19">
            <v>67000000</v>
          </cell>
          <cell r="S19">
            <v>33630000</v>
          </cell>
          <cell r="T19">
            <v>610000000</v>
          </cell>
          <cell r="U19">
            <v>113952600</v>
          </cell>
          <cell r="V19">
            <v>0</v>
          </cell>
          <cell r="W19">
            <v>175000000</v>
          </cell>
          <cell r="Y19">
            <v>2000000000</v>
          </cell>
          <cell r="Z19">
            <v>350000000</v>
          </cell>
          <cell r="AA19">
            <v>0</v>
          </cell>
          <cell r="AB19">
            <v>0</v>
          </cell>
          <cell r="AC19">
            <v>356000000</v>
          </cell>
          <cell r="AD19">
            <v>20000000</v>
          </cell>
          <cell r="AE19">
            <v>552000000</v>
          </cell>
          <cell r="AF19">
            <v>20000000</v>
          </cell>
          <cell r="AG19">
            <v>250000000</v>
          </cell>
          <cell r="AH19">
            <v>100000000</v>
          </cell>
          <cell r="AI19">
            <v>15000000</v>
          </cell>
          <cell r="AJ19">
            <v>2000000</v>
          </cell>
          <cell r="AK19">
            <v>10000000</v>
          </cell>
          <cell r="AL19">
            <v>2340000000</v>
          </cell>
          <cell r="AM19">
            <v>565410000</v>
          </cell>
          <cell r="AN19">
            <v>15000000</v>
          </cell>
          <cell r="AO19">
            <v>15000000</v>
          </cell>
          <cell r="AP19">
            <v>10000000</v>
          </cell>
          <cell r="AQ19">
            <v>0</v>
          </cell>
          <cell r="AS19">
            <v>300000000</v>
          </cell>
          <cell r="AT19">
            <v>120000000</v>
          </cell>
          <cell r="AU19">
            <v>10000000</v>
          </cell>
          <cell r="AV19">
            <v>5000000</v>
          </cell>
          <cell r="AW19">
            <v>10000000</v>
          </cell>
          <cell r="AX19">
            <v>0</v>
          </cell>
          <cell r="AY19">
            <v>350000000</v>
          </cell>
          <cell r="AZ19">
            <v>175823700</v>
          </cell>
          <cell r="BA19">
            <v>20000000</v>
          </cell>
          <cell r="BB19">
            <v>5000000</v>
          </cell>
          <cell r="BC19">
            <v>10000000</v>
          </cell>
          <cell r="BD19">
            <v>0</v>
          </cell>
        </row>
        <row r="20">
          <cell r="D20">
            <v>59027776.670000002</v>
          </cell>
          <cell r="E20">
            <v>20000000</v>
          </cell>
          <cell r="F20">
            <v>40000000</v>
          </cell>
          <cell r="G20">
            <v>0</v>
          </cell>
          <cell r="H20">
            <v>50000000</v>
          </cell>
          <cell r="I20">
            <v>0</v>
          </cell>
          <cell r="J20">
            <v>30000000</v>
          </cell>
          <cell r="K20">
            <v>30000000</v>
          </cell>
          <cell r="L20">
            <v>0</v>
          </cell>
          <cell r="M20">
            <v>40000000</v>
          </cell>
          <cell r="N20">
            <v>0</v>
          </cell>
          <cell r="O20">
            <v>40000000</v>
          </cell>
          <cell r="P20">
            <v>0</v>
          </cell>
          <cell r="Q20">
            <v>52000000</v>
          </cell>
          <cell r="R20">
            <v>67000000</v>
          </cell>
          <cell r="S20">
            <v>57000000</v>
          </cell>
          <cell r="T20">
            <v>0</v>
          </cell>
          <cell r="U20">
            <v>193140000</v>
          </cell>
          <cell r="V20">
            <v>275000000</v>
          </cell>
          <cell r="W20">
            <v>175000000</v>
          </cell>
          <cell r="Y20">
            <v>0</v>
          </cell>
          <cell r="Z20">
            <v>350000000</v>
          </cell>
          <cell r="AA20">
            <v>200000000</v>
          </cell>
          <cell r="AB20">
            <v>0</v>
          </cell>
          <cell r="AC20">
            <v>356000000</v>
          </cell>
          <cell r="AD20">
            <v>20000000</v>
          </cell>
          <cell r="AE20">
            <v>552000000</v>
          </cell>
          <cell r="AF20">
            <v>20000000</v>
          </cell>
          <cell r="AG20">
            <v>250000000</v>
          </cell>
          <cell r="AH20">
            <v>100000000</v>
          </cell>
          <cell r="AI20">
            <v>15000000</v>
          </cell>
          <cell r="AJ20">
            <v>2000000</v>
          </cell>
          <cell r="AK20">
            <v>10000000</v>
          </cell>
          <cell r="AL20">
            <v>50000000</v>
          </cell>
          <cell r="AM20">
            <v>565410000</v>
          </cell>
          <cell r="AN20">
            <v>15000000</v>
          </cell>
          <cell r="AO20">
            <v>15000000</v>
          </cell>
          <cell r="AP20">
            <v>10000000</v>
          </cell>
          <cell r="AQ20">
            <v>0</v>
          </cell>
          <cell r="AS20">
            <v>300000000</v>
          </cell>
          <cell r="AT20">
            <v>120000000</v>
          </cell>
          <cell r="AU20">
            <v>10000000</v>
          </cell>
          <cell r="AV20">
            <v>5000000</v>
          </cell>
          <cell r="AW20">
            <v>10000000</v>
          </cell>
          <cell r="AX20">
            <v>0</v>
          </cell>
          <cell r="AY20">
            <v>350000000</v>
          </cell>
          <cell r="AZ20">
            <v>175823700</v>
          </cell>
          <cell r="BA20">
            <v>20000000</v>
          </cell>
          <cell r="BB20">
            <v>5000000</v>
          </cell>
          <cell r="BC20">
            <v>10000000</v>
          </cell>
          <cell r="BD20">
            <v>0</v>
          </cell>
        </row>
        <row r="21">
          <cell r="D21">
            <v>59027776.670000002</v>
          </cell>
          <cell r="E21">
            <v>20000000</v>
          </cell>
          <cell r="F21">
            <v>40000000</v>
          </cell>
          <cell r="G21">
            <v>0</v>
          </cell>
          <cell r="H21">
            <v>50000000</v>
          </cell>
          <cell r="I21">
            <v>25000000</v>
          </cell>
          <cell r="J21">
            <v>30000000</v>
          </cell>
          <cell r="K21">
            <v>30000000</v>
          </cell>
          <cell r="L21">
            <v>0</v>
          </cell>
          <cell r="M21">
            <v>40000000</v>
          </cell>
          <cell r="N21">
            <v>0</v>
          </cell>
          <cell r="O21">
            <v>40000000</v>
          </cell>
          <cell r="P21">
            <v>0</v>
          </cell>
          <cell r="Q21">
            <v>52000000</v>
          </cell>
          <cell r="R21">
            <v>67000000</v>
          </cell>
          <cell r="S21">
            <v>57000000</v>
          </cell>
          <cell r="T21">
            <v>138342820</v>
          </cell>
          <cell r="U21">
            <v>193140000</v>
          </cell>
          <cell r="V21">
            <v>0</v>
          </cell>
          <cell r="W21">
            <v>175000000</v>
          </cell>
          <cell r="Y21">
            <v>200000000</v>
          </cell>
          <cell r="Z21">
            <v>350000000</v>
          </cell>
          <cell r="AA21">
            <v>737000000</v>
          </cell>
          <cell r="AB21">
            <v>150000000</v>
          </cell>
          <cell r="AC21">
            <v>356000000</v>
          </cell>
          <cell r="AD21">
            <v>20000000</v>
          </cell>
          <cell r="AE21">
            <v>552000000</v>
          </cell>
          <cell r="AF21">
            <v>20000000</v>
          </cell>
          <cell r="AG21">
            <v>82400000</v>
          </cell>
          <cell r="AH21">
            <v>100000000</v>
          </cell>
          <cell r="AI21">
            <v>15000000</v>
          </cell>
          <cell r="AJ21">
            <v>2000000</v>
          </cell>
          <cell r="AK21">
            <v>10000000</v>
          </cell>
          <cell r="AL21">
            <v>1500000000</v>
          </cell>
          <cell r="AM21">
            <v>565410000</v>
          </cell>
          <cell r="AN21">
            <v>15000000</v>
          </cell>
          <cell r="AO21">
            <v>15000000</v>
          </cell>
          <cell r="AP21">
            <v>10000000</v>
          </cell>
          <cell r="AQ21">
            <v>0</v>
          </cell>
          <cell r="AR21">
            <v>300000000</v>
          </cell>
          <cell r="AS21">
            <v>300000000</v>
          </cell>
          <cell r="AT21">
            <v>120000000</v>
          </cell>
          <cell r="AU21">
            <v>10000000</v>
          </cell>
          <cell r="AV21">
            <v>5000000</v>
          </cell>
          <cell r="AW21">
            <v>10000000</v>
          </cell>
          <cell r="AX21">
            <v>0</v>
          </cell>
          <cell r="AY21">
            <v>350000000</v>
          </cell>
          <cell r="AZ21">
            <v>175823700</v>
          </cell>
          <cell r="BA21">
            <v>20000000</v>
          </cell>
          <cell r="BB21">
            <v>5000000</v>
          </cell>
          <cell r="BC21">
            <v>10000000</v>
          </cell>
          <cell r="BD21">
            <v>0</v>
          </cell>
        </row>
        <row r="22">
          <cell r="D22">
            <v>59027776.670000002</v>
          </cell>
          <cell r="E22">
            <v>20000000</v>
          </cell>
          <cell r="F22">
            <v>40000000</v>
          </cell>
          <cell r="G22">
            <v>103000</v>
          </cell>
          <cell r="H22">
            <v>50000000</v>
          </cell>
          <cell r="I22">
            <v>0</v>
          </cell>
          <cell r="J22">
            <v>30000000</v>
          </cell>
          <cell r="K22">
            <v>30000000</v>
          </cell>
          <cell r="L22">
            <v>55000000</v>
          </cell>
          <cell r="M22">
            <v>40000000</v>
          </cell>
          <cell r="N22">
            <v>0</v>
          </cell>
          <cell r="O22">
            <v>40000000</v>
          </cell>
          <cell r="P22">
            <v>0</v>
          </cell>
          <cell r="Q22">
            <v>52000000</v>
          </cell>
          <cell r="R22">
            <v>67000000</v>
          </cell>
          <cell r="S22">
            <v>48450000</v>
          </cell>
          <cell r="T22">
            <v>0</v>
          </cell>
          <cell r="U22">
            <v>164169000</v>
          </cell>
          <cell r="V22">
            <v>0</v>
          </cell>
          <cell r="W22">
            <v>175000000</v>
          </cell>
          <cell r="Y22">
            <v>400000000</v>
          </cell>
          <cell r="Z22">
            <v>350000000</v>
          </cell>
          <cell r="AA22">
            <v>0</v>
          </cell>
          <cell r="AB22">
            <v>0</v>
          </cell>
          <cell r="AC22">
            <v>356000000</v>
          </cell>
          <cell r="AD22">
            <v>20000000</v>
          </cell>
          <cell r="AE22">
            <v>552000000</v>
          </cell>
          <cell r="AF22">
            <v>20000000</v>
          </cell>
          <cell r="AG22">
            <v>650000000</v>
          </cell>
          <cell r="AH22">
            <v>100000000</v>
          </cell>
          <cell r="AI22">
            <v>15000000</v>
          </cell>
          <cell r="AJ22">
            <v>2000000</v>
          </cell>
          <cell r="AK22">
            <v>10000000</v>
          </cell>
          <cell r="AL22">
            <v>5300000000</v>
          </cell>
          <cell r="AM22">
            <v>565410000</v>
          </cell>
          <cell r="AN22">
            <v>15000000</v>
          </cell>
          <cell r="AO22">
            <v>15000000</v>
          </cell>
          <cell r="AP22">
            <v>10000000</v>
          </cell>
          <cell r="AQ22">
            <v>0</v>
          </cell>
          <cell r="AS22">
            <v>300000000</v>
          </cell>
          <cell r="AT22">
            <v>120000000</v>
          </cell>
          <cell r="AU22">
            <v>10000000</v>
          </cell>
          <cell r="AV22">
            <v>5000000</v>
          </cell>
          <cell r="AW22">
            <v>10000000</v>
          </cell>
          <cell r="AX22">
            <v>0</v>
          </cell>
          <cell r="AY22">
            <v>350000000</v>
          </cell>
          <cell r="AZ22">
            <v>175823700</v>
          </cell>
          <cell r="BA22">
            <v>20000000</v>
          </cell>
          <cell r="BB22">
            <v>5000000</v>
          </cell>
          <cell r="BC22">
            <v>10000000</v>
          </cell>
          <cell r="BD22">
            <v>0</v>
          </cell>
        </row>
        <row r="23">
          <cell r="D23">
            <v>0</v>
          </cell>
          <cell r="E23">
            <v>20000000</v>
          </cell>
          <cell r="F23">
            <v>40000000</v>
          </cell>
          <cell r="G23">
            <v>0</v>
          </cell>
          <cell r="H23">
            <v>50000000</v>
          </cell>
          <cell r="I23">
            <v>0</v>
          </cell>
          <cell r="J23">
            <v>30000000</v>
          </cell>
          <cell r="K23">
            <v>30000000</v>
          </cell>
          <cell r="L23">
            <v>0</v>
          </cell>
          <cell r="M23">
            <v>36312592.479999997</v>
          </cell>
          <cell r="N23">
            <v>0</v>
          </cell>
          <cell r="O23">
            <v>40000000</v>
          </cell>
          <cell r="P23">
            <v>0</v>
          </cell>
          <cell r="Q23">
            <v>52000000</v>
          </cell>
          <cell r="R23">
            <v>67000000</v>
          </cell>
          <cell r="S23">
            <v>57000000</v>
          </cell>
          <cell r="T23">
            <v>0</v>
          </cell>
          <cell r="U23">
            <v>193140000</v>
          </cell>
          <cell r="V23">
            <v>300000000</v>
          </cell>
          <cell r="W23">
            <v>175000000</v>
          </cell>
          <cell r="Y23">
            <v>0</v>
          </cell>
          <cell r="Z23">
            <v>350000000</v>
          </cell>
          <cell r="AA23">
            <v>0</v>
          </cell>
          <cell r="AB23">
            <v>0</v>
          </cell>
          <cell r="AC23">
            <v>356000000</v>
          </cell>
          <cell r="AD23">
            <v>20000000</v>
          </cell>
          <cell r="AE23">
            <v>552000000</v>
          </cell>
          <cell r="AF23">
            <v>20000000</v>
          </cell>
          <cell r="AG23">
            <v>600000000</v>
          </cell>
          <cell r="AH23">
            <v>100000000</v>
          </cell>
          <cell r="AI23">
            <v>15000000</v>
          </cell>
          <cell r="AJ23">
            <v>2000000</v>
          </cell>
          <cell r="AK23">
            <v>10000000</v>
          </cell>
          <cell r="AL23">
            <v>200000000</v>
          </cell>
          <cell r="AM23">
            <v>565410000</v>
          </cell>
          <cell r="AN23">
            <v>15000000</v>
          </cell>
          <cell r="AO23">
            <v>15000000</v>
          </cell>
          <cell r="AP23">
            <v>10000000</v>
          </cell>
          <cell r="AQ23">
            <v>0</v>
          </cell>
          <cell r="AS23">
            <v>300000000</v>
          </cell>
          <cell r="AT23">
            <v>120000000</v>
          </cell>
          <cell r="AU23">
            <v>10000000</v>
          </cell>
          <cell r="AV23">
            <v>5000000</v>
          </cell>
          <cell r="AW23">
            <v>10000000</v>
          </cell>
          <cell r="AX23">
            <v>0</v>
          </cell>
          <cell r="AY23">
            <v>350000000</v>
          </cell>
          <cell r="AZ23">
            <v>175823700</v>
          </cell>
          <cell r="BA23">
            <v>20000000</v>
          </cell>
          <cell r="BB23">
            <v>5000000</v>
          </cell>
          <cell r="BC23">
            <v>10000000</v>
          </cell>
          <cell r="BD23">
            <v>0</v>
          </cell>
        </row>
        <row r="24">
          <cell r="D24">
            <v>59027776.670000002</v>
          </cell>
          <cell r="E24">
            <v>20000000</v>
          </cell>
          <cell r="F24">
            <v>40000000</v>
          </cell>
          <cell r="G24">
            <v>3930000</v>
          </cell>
          <cell r="H24">
            <v>50000000</v>
          </cell>
          <cell r="I24">
            <v>25000000</v>
          </cell>
          <cell r="J24">
            <v>30000000</v>
          </cell>
          <cell r="K24">
            <v>30000000</v>
          </cell>
          <cell r="L24">
            <v>0</v>
          </cell>
          <cell r="M24">
            <v>40000000</v>
          </cell>
          <cell r="N24">
            <v>0</v>
          </cell>
          <cell r="O24">
            <v>40000000</v>
          </cell>
          <cell r="P24">
            <v>0</v>
          </cell>
          <cell r="Q24">
            <v>52000000</v>
          </cell>
          <cell r="R24">
            <v>56950000</v>
          </cell>
          <cell r="S24">
            <v>48450000</v>
          </cell>
          <cell r="T24">
            <v>0</v>
          </cell>
          <cell r="U24">
            <v>164169000</v>
          </cell>
          <cell r="V24">
            <v>0</v>
          </cell>
          <cell r="W24">
            <v>175000000</v>
          </cell>
          <cell r="Y24">
            <v>1400000000</v>
          </cell>
          <cell r="Z24">
            <v>350000000</v>
          </cell>
          <cell r="AA24">
            <v>0</v>
          </cell>
          <cell r="AB24">
            <v>650000000</v>
          </cell>
          <cell r="AC24">
            <v>356000000</v>
          </cell>
          <cell r="AD24">
            <v>20000000</v>
          </cell>
          <cell r="AE24">
            <v>552000000</v>
          </cell>
          <cell r="AF24">
            <v>20000000</v>
          </cell>
          <cell r="AG24">
            <v>250000000</v>
          </cell>
          <cell r="AH24">
            <v>100000000</v>
          </cell>
          <cell r="AI24">
            <v>15000000</v>
          </cell>
          <cell r="AJ24">
            <v>2000000</v>
          </cell>
          <cell r="AK24">
            <v>10000000</v>
          </cell>
          <cell r="AL24">
            <v>350000000</v>
          </cell>
          <cell r="AM24">
            <v>565410000</v>
          </cell>
          <cell r="AN24">
            <v>15000000</v>
          </cell>
          <cell r="AO24">
            <v>15000000</v>
          </cell>
          <cell r="AP24">
            <v>10000000</v>
          </cell>
          <cell r="AQ24">
            <v>0</v>
          </cell>
          <cell r="AS24">
            <v>300000000</v>
          </cell>
          <cell r="AT24">
            <v>120000000</v>
          </cell>
          <cell r="AU24">
            <v>10000000</v>
          </cell>
          <cell r="AV24">
            <v>5000000</v>
          </cell>
          <cell r="AW24">
            <v>10000000</v>
          </cell>
          <cell r="AX24">
            <v>0</v>
          </cell>
          <cell r="AY24">
            <v>350000000</v>
          </cell>
          <cell r="AZ24">
            <v>175823700</v>
          </cell>
          <cell r="BA24">
            <v>20000000</v>
          </cell>
          <cell r="BB24">
            <v>5000000</v>
          </cell>
          <cell r="BC24">
            <v>10000000</v>
          </cell>
          <cell r="BD24">
            <v>0</v>
          </cell>
        </row>
        <row r="25">
          <cell r="D25">
            <v>59027776.670000002</v>
          </cell>
          <cell r="E25">
            <v>20000000</v>
          </cell>
          <cell r="F25">
            <v>40000000</v>
          </cell>
          <cell r="G25">
            <v>0</v>
          </cell>
          <cell r="H25">
            <v>50000000</v>
          </cell>
          <cell r="I25">
            <v>0</v>
          </cell>
          <cell r="J25">
            <v>30000000</v>
          </cell>
          <cell r="K25">
            <v>30000000</v>
          </cell>
          <cell r="L25">
            <v>0</v>
          </cell>
          <cell r="M25">
            <v>40000000</v>
          </cell>
          <cell r="N25">
            <v>0</v>
          </cell>
          <cell r="O25">
            <v>40000000</v>
          </cell>
          <cell r="P25">
            <v>0</v>
          </cell>
          <cell r="Q25">
            <v>52000000</v>
          </cell>
          <cell r="R25">
            <v>67000000</v>
          </cell>
          <cell r="S25">
            <v>57000000</v>
          </cell>
          <cell r="T25">
            <v>0</v>
          </cell>
          <cell r="U25">
            <v>193140000</v>
          </cell>
          <cell r="V25">
            <v>0</v>
          </cell>
          <cell r="W25">
            <v>175000000</v>
          </cell>
          <cell r="Y25">
            <v>0</v>
          </cell>
          <cell r="Z25">
            <v>350000000</v>
          </cell>
          <cell r="AA25">
            <v>42000000</v>
          </cell>
          <cell r="AB25">
            <v>0</v>
          </cell>
          <cell r="AC25">
            <v>356000000</v>
          </cell>
          <cell r="AD25">
            <v>20000000</v>
          </cell>
          <cell r="AE25">
            <v>552000000</v>
          </cell>
          <cell r="AF25">
            <v>20000000</v>
          </cell>
          <cell r="AG25">
            <v>200000000</v>
          </cell>
          <cell r="AH25">
            <v>100000000</v>
          </cell>
          <cell r="AI25">
            <v>15000000</v>
          </cell>
          <cell r="AJ25">
            <v>2000000</v>
          </cell>
          <cell r="AK25">
            <v>10000000</v>
          </cell>
          <cell r="AL25">
            <v>200000000</v>
          </cell>
          <cell r="AM25">
            <v>565410000</v>
          </cell>
          <cell r="AN25">
            <v>15000000</v>
          </cell>
          <cell r="AO25">
            <v>15000000</v>
          </cell>
          <cell r="AP25">
            <v>10000000</v>
          </cell>
          <cell r="AQ25">
            <v>0</v>
          </cell>
          <cell r="AS25">
            <v>300000000</v>
          </cell>
          <cell r="AT25">
            <v>120000000</v>
          </cell>
          <cell r="AU25">
            <v>10000000</v>
          </cell>
          <cell r="AV25">
            <v>5000000</v>
          </cell>
          <cell r="AW25">
            <v>10000000</v>
          </cell>
          <cell r="AX25">
            <v>0</v>
          </cell>
          <cell r="AY25">
            <v>350000000</v>
          </cell>
          <cell r="AZ25">
            <v>175823700</v>
          </cell>
          <cell r="BA25">
            <v>20000000</v>
          </cell>
          <cell r="BB25">
            <v>5000000</v>
          </cell>
          <cell r="BC25">
            <v>10000000</v>
          </cell>
          <cell r="BD25">
            <v>0</v>
          </cell>
        </row>
        <row r="26">
          <cell r="D26">
            <v>53715276.090000004</v>
          </cell>
          <cell r="E26">
            <v>20000000</v>
          </cell>
          <cell r="F26">
            <v>40000000</v>
          </cell>
          <cell r="G26">
            <v>716000</v>
          </cell>
          <cell r="H26">
            <v>50000000</v>
          </cell>
          <cell r="I26">
            <v>21250000</v>
          </cell>
          <cell r="J26">
            <v>30000000</v>
          </cell>
          <cell r="K26">
            <v>30000000</v>
          </cell>
          <cell r="L26">
            <v>0</v>
          </cell>
          <cell r="M26">
            <v>40000000</v>
          </cell>
          <cell r="N26">
            <v>0</v>
          </cell>
          <cell r="O26">
            <v>40000000</v>
          </cell>
          <cell r="P26">
            <v>0</v>
          </cell>
          <cell r="Q26">
            <v>52000000</v>
          </cell>
          <cell r="R26">
            <v>67000000</v>
          </cell>
          <cell r="S26">
            <v>57000000</v>
          </cell>
          <cell r="T26">
            <v>0</v>
          </cell>
          <cell r="U26">
            <v>193140000</v>
          </cell>
          <cell r="V26">
            <v>1280500000</v>
          </cell>
          <cell r="W26">
            <v>175000000</v>
          </cell>
          <cell r="Y26">
            <v>445000000</v>
          </cell>
          <cell r="Z26">
            <v>350000000</v>
          </cell>
          <cell r="AA26">
            <v>0</v>
          </cell>
          <cell r="AB26">
            <v>150000000</v>
          </cell>
          <cell r="AC26">
            <v>356000000</v>
          </cell>
          <cell r="AD26">
            <v>20000000</v>
          </cell>
          <cell r="AE26">
            <v>552000000</v>
          </cell>
          <cell r="AF26">
            <v>20000000</v>
          </cell>
          <cell r="AG26">
            <v>350000000</v>
          </cell>
          <cell r="AH26">
            <v>100000000</v>
          </cell>
          <cell r="AI26">
            <v>15000000</v>
          </cell>
          <cell r="AJ26">
            <v>2000000</v>
          </cell>
          <cell r="AK26">
            <v>10000000</v>
          </cell>
          <cell r="AL26">
            <v>2300000000</v>
          </cell>
          <cell r="AM26">
            <v>565410000</v>
          </cell>
          <cell r="AN26">
            <v>15000000</v>
          </cell>
          <cell r="AO26">
            <v>15000000</v>
          </cell>
          <cell r="AP26">
            <v>10000000</v>
          </cell>
          <cell r="AQ26">
            <v>0</v>
          </cell>
          <cell r="AS26">
            <v>300000000</v>
          </cell>
          <cell r="AT26">
            <v>120000000</v>
          </cell>
          <cell r="AU26">
            <v>10000000</v>
          </cell>
          <cell r="AV26">
            <v>5000000</v>
          </cell>
          <cell r="AW26">
            <v>10000000</v>
          </cell>
          <cell r="AX26">
            <v>0</v>
          </cell>
          <cell r="AY26">
            <v>350000000</v>
          </cell>
          <cell r="AZ26">
            <v>175823700</v>
          </cell>
          <cell r="BA26">
            <v>20000000</v>
          </cell>
          <cell r="BB26">
            <v>5000000</v>
          </cell>
          <cell r="BC26">
            <v>10000000</v>
          </cell>
          <cell r="BD26">
            <v>0</v>
          </cell>
        </row>
        <row r="27">
          <cell r="D27">
            <v>0</v>
          </cell>
          <cell r="E27">
            <v>20000000</v>
          </cell>
          <cell r="F27">
            <v>40000000</v>
          </cell>
          <cell r="G27">
            <v>301000</v>
          </cell>
          <cell r="H27">
            <v>50000000</v>
          </cell>
          <cell r="I27">
            <v>25000000</v>
          </cell>
          <cell r="J27">
            <v>30000000</v>
          </cell>
          <cell r="K27">
            <v>30000000</v>
          </cell>
          <cell r="L27">
            <v>0</v>
          </cell>
          <cell r="M27">
            <v>40000000</v>
          </cell>
          <cell r="N27">
            <v>0</v>
          </cell>
          <cell r="O27">
            <v>40000000</v>
          </cell>
          <cell r="P27">
            <v>0</v>
          </cell>
          <cell r="Q27">
            <v>52000000</v>
          </cell>
          <cell r="R27">
            <v>67000000</v>
          </cell>
          <cell r="S27">
            <v>41610000</v>
          </cell>
          <cell r="T27">
            <v>0</v>
          </cell>
          <cell r="U27">
            <v>140992200</v>
          </cell>
          <cell r="V27">
            <v>250000000</v>
          </cell>
          <cell r="W27">
            <v>175000000</v>
          </cell>
          <cell r="Y27">
            <v>0</v>
          </cell>
          <cell r="Z27">
            <v>350000000</v>
          </cell>
          <cell r="AA27">
            <v>0</v>
          </cell>
          <cell r="AB27">
            <v>0</v>
          </cell>
          <cell r="AC27">
            <v>356000000</v>
          </cell>
          <cell r="AD27">
            <v>20000000</v>
          </cell>
          <cell r="AE27">
            <v>552000000</v>
          </cell>
          <cell r="AF27">
            <v>20000000</v>
          </cell>
          <cell r="AG27">
            <v>0</v>
          </cell>
          <cell r="AH27">
            <v>100000000</v>
          </cell>
          <cell r="AI27">
            <v>15000000</v>
          </cell>
          <cell r="AJ27">
            <v>2000000</v>
          </cell>
          <cell r="AK27">
            <v>10000000</v>
          </cell>
          <cell r="AL27">
            <v>0</v>
          </cell>
          <cell r="AM27">
            <v>565410000</v>
          </cell>
          <cell r="AN27">
            <v>15000000</v>
          </cell>
          <cell r="AO27">
            <v>15000000</v>
          </cell>
          <cell r="AP27">
            <v>10000000</v>
          </cell>
          <cell r="AQ27">
            <v>0</v>
          </cell>
          <cell r="AR27">
            <v>200000000</v>
          </cell>
          <cell r="AS27">
            <v>300000000</v>
          </cell>
          <cell r="AT27">
            <v>120000000</v>
          </cell>
          <cell r="AU27">
            <v>10000000</v>
          </cell>
          <cell r="AV27">
            <v>5000000</v>
          </cell>
          <cell r="AW27">
            <v>10000000</v>
          </cell>
          <cell r="AX27">
            <v>0</v>
          </cell>
          <cell r="AY27">
            <v>350000000</v>
          </cell>
          <cell r="AZ27">
            <v>175823700</v>
          </cell>
          <cell r="BA27">
            <v>20000000</v>
          </cell>
          <cell r="BB27">
            <v>5000000</v>
          </cell>
          <cell r="BC27">
            <v>10000000</v>
          </cell>
          <cell r="BD27">
            <v>0</v>
          </cell>
        </row>
        <row r="28">
          <cell r="D28">
            <v>59027776.670000002</v>
          </cell>
          <cell r="E28">
            <v>20000000</v>
          </cell>
          <cell r="F28">
            <v>40000000</v>
          </cell>
          <cell r="G28">
            <v>0</v>
          </cell>
          <cell r="H28">
            <v>50000000</v>
          </cell>
          <cell r="I28">
            <v>25000000</v>
          </cell>
          <cell r="J28">
            <v>30000000</v>
          </cell>
          <cell r="K28">
            <v>30000000</v>
          </cell>
          <cell r="L28">
            <v>0</v>
          </cell>
          <cell r="M28">
            <v>40000000</v>
          </cell>
          <cell r="N28">
            <v>0</v>
          </cell>
          <cell r="O28">
            <v>40000000</v>
          </cell>
          <cell r="P28">
            <v>0</v>
          </cell>
          <cell r="Q28">
            <v>52000000</v>
          </cell>
          <cell r="R28">
            <v>67000000</v>
          </cell>
          <cell r="S28">
            <v>57000000</v>
          </cell>
          <cell r="T28">
            <v>0</v>
          </cell>
          <cell r="U28">
            <v>193140000</v>
          </cell>
          <cell r="V28">
            <v>60000000</v>
          </cell>
          <cell r="W28">
            <v>175000000</v>
          </cell>
          <cell r="Y28">
            <v>0</v>
          </cell>
          <cell r="Z28">
            <v>350000000</v>
          </cell>
          <cell r="AA28">
            <v>0</v>
          </cell>
          <cell r="AB28">
            <v>0</v>
          </cell>
          <cell r="AC28">
            <v>356000000</v>
          </cell>
          <cell r="AD28">
            <v>20000000</v>
          </cell>
          <cell r="AE28">
            <v>552000000</v>
          </cell>
          <cell r="AF28">
            <v>20000000</v>
          </cell>
          <cell r="AG28">
            <v>500000000</v>
          </cell>
          <cell r="AH28">
            <v>100000000</v>
          </cell>
          <cell r="AI28">
            <v>15000000</v>
          </cell>
          <cell r="AJ28">
            <v>2000000</v>
          </cell>
          <cell r="AK28">
            <v>10000000</v>
          </cell>
          <cell r="AL28">
            <v>1200000000</v>
          </cell>
          <cell r="AM28">
            <v>565410000</v>
          </cell>
          <cell r="AN28">
            <v>15000000</v>
          </cell>
          <cell r="AO28">
            <v>15000000</v>
          </cell>
          <cell r="AP28">
            <v>10000000</v>
          </cell>
          <cell r="AQ28">
            <v>0</v>
          </cell>
          <cell r="AS28">
            <v>300000000</v>
          </cell>
          <cell r="AT28">
            <v>120000000</v>
          </cell>
          <cell r="AU28">
            <v>10000000</v>
          </cell>
          <cell r="AV28">
            <v>5000000</v>
          </cell>
          <cell r="AW28">
            <v>10000000</v>
          </cell>
          <cell r="AX28">
            <v>0</v>
          </cell>
          <cell r="AY28">
            <v>350000000</v>
          </cell>
          <cell r="AZ28">
            <v>175823700</v>
          </cell>
          <cell r="BA28">
            <v>20000000</v>
          </cell>
          <cell r="BB28">
            <v>5000000</v>
          </cell>
          <cell r="BC28">
            <v>10000000</v>
          </cell>
          <cell r="BD28">
            <v>0</v>
          </cell>
        </row>
        <row r="29">
          <cell r="D29">
            <v>59027776.670000002</v>
          </cell>
          <cell r="E29">
            <v>20000000</v>
          </cell>
          <cell r="F29">
            <v>40000000</v>
          </cell>
          <cell r="G29">
            <v>302000</v>
          </cell>
          <cell r="H29">
            <v>50000000</v>
          </cell>
          <cell r="I29">
            <v>25000000</v>
          </cell>
          <cell r="J29">
            <v>30000000</v>
          </cell>
          <cell r="K29">
            <v>30000000</v>
          </cell>
          <cell r="L29">
            <v>0</v>
          </cell>
          <cell r="M29">
            <v>40000000</v>
          </cell>
          <cell r="N29">
            <v>0</v>
          </cell>
          <cell r="O29">
            <v>40000000</v>
          </cell>
          <cell r="P29">
            <v>0</v>
          </cell>
          <cell r="Q29">
            <v>52000000</v>
          </cell>
          <cell r="R29">
            <v>67000000</v>
          </cell>
          <cell r="S29">
            <v>57000000</v>
          </cell>
          <cell r="T29">
            <v>0</v>
          </cell>
          <cell r="U29">
            <v>193140000</v>
          </cell>
          <cell r="V29">
            <v>200000000</v>
          </cell>
          <cell r="W29">
            <v>175000000</v>
          </cell>
          <cell r="Y29">
            <v>0</v>
          </cell>
          <cell r="Z29">
            <v>350000000</v>
          </cell>
          <cell r="AA29">
            <v>65000000</v>
          </cell>
          <cell r="AB29">
            <v>350000000</v>
          </cell>
          <cell r="AC29">
            <v>356000000</v>
          </cell>
          <cell r="AD29">
            <v>20000000</v>
          </cell>
          <cell r="AE29">
            <v>552000000</v>
          </cell>
          <cell r="AF29">
            <v>20000000</v>
          </cell>
          <cell r="AG29">
            <v>1300000000</v>
          </cell>
          <cell r="AH29">
            <v>100000000</v>
          </cell>
          <cell r="AI29">
            <v>15000000</v>
          </cell>
          <cell r="AJ29">
            <v>2000000</v>
          </cell>
          <cell r="AK29">
            <v>10000000</v>
          </cell>
          <cell r="AL29">
            <v>4186000000</v>
          </cell>
          <cell r="AM29">
            <v>565410000</v>
          </cell>
          <cell r="AN29">
            <v>15000000</v>
          </cell>
          <cell r="AO29">
            <v>15000000</v>
          </cell>
          <cell r="AP29">
            <v>10000000</v>
          </cell>
          <cell r="AQ29">
            <v>0</v>
          </cell>
          <cell r="AS29">
            <v>300000000</v>
          </cell>
          <cell r="AT29">
            <v>120000000</v>
          </cell>
          <cell r="AU29">
            <v>10000000</v>
          </cell>
          <cell r="AV29">
            <v>5000000</v>
          </cell>
          <cell r="AW29">
            <v>10000000</v>
          </cell>
          <cell r="AX29">
            <v>0</v>
          </cell>
          <cell r="AY29">
            <v>350000000</v>
          </cell>
          <cell r="AZ29">
            <v>175823700</v>
          </cell>
          <cell r="BA29">
            <v>20000000</v>
          </cell>
          <cell r="BB29">
            <v>5000000</v>
          </cell>
          <cell r="BC29">
            <v>10000000</v>
          </cell>
          <cell r="BD29">
            <v>0</v>
          </cell>
        </row>
        <row r="30">
          <cell r="D30">
            <v>0</v>
          </cell>
          <cell r="E30">
            <v>20000000</v>
          </cell>
          <cell r="F30">
            <v>40000000</v>
          </cell>
          <cell r="G30">
            <v>0</v>
          </cell>
          <cell r="H30">
            <v>50000000</v>
          </cell>
          <cell r="I30">
            <v>0</v>
          </cell>
          <cell r="J30">
            <v>30000000</v>
          </cell>
          <cell r="K30">
            <v>30000000</v>
          </cell>
          <cell r="L30">
            <v>0</v>
          </cell>
          <cell r="M30">
            <v>40000000</v>
          </cell>
          <cell r="N30">
            <v>0</v>
          </cell>
          <cell r="O30">
            <v>40000000</v>
          </cell>
          <cell r="P30">
            <v>0</v>
          </cell>
          <cell r="Q30">
            <v>52000000</v>
          </cell>
          <cell r="R30">
            <v>67000000</v>
          </cell>
          <cell r="S30">
            <v>57000000</v>
          </cell>
          <cell r="T30">
            <v>0</v>
          </cell>
          <cell r="U30">
            <v>193140000</v>
          </cell>
          <cell r="V30">
            <v>400000000</v>
          </cell>
          <cell r="W30">
            <v>175000000</v>
          </cell>
          <cell r="Y30">
            <v>750000000</v>
          </cell>
          <cell r="Z30">
            <v>350000000</v>
          </cell>
          <cell r="AA30">
            <v>100000000</v>
          </cell>
          <cell r="AB30">
            <v>350000000</v>
          </cell>
          <cell r="AC30">
            <v>356000000</v>
          </cell>
          <cell r="AD30">
            <v>20000000</v>
          </cell>
          <cell r="AE30">
            <v>0</v>
          </cell>
          <cell r="AF30">
            <v>0</v>
          </cell>
          <cell r="AG30">
            <v>300000000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700000000</v>
          </cell>
          <cell r="AM30">
            <v>565410000</v>
          </cell>
          <cell r="AN30">
            <v>15000000</v>
          </cell>
          <cell r="AO30">
            <v>15000000</v>
          </cell>
          <cell r="AP30">
            <v>10000000</v>
          </cell>
          <cell r="AQ30">
            <v>0</v>
          </cell>
          <cell r="AS30">
            <v>0</v>
          </cell>
          <cell r="AT30">
            <v>120000000</v>
          </cell>
          <cell r="AX30">
            <v>0</v>
          </cell>
          <cell r="AY30">
            <v>350000000</v>
          </cell>
          <cell r="AZ30">
            <v>175823700</v>
          </cell>
          <cell r="BA30">
            <v>20000000</v>
          </cell>
          <cell r="BB30">
            <v>5000000</v>
          </cell>
          <cell r="BC30">
            <v>10000000</v>
          </cell>
          <cell r="BD30">
            <v>0</v>
          </cell>
        </row>
        <row r="31">
          <cell r="D31">
            <v>0</v>
          </cell>
          <cell r="E31">
            <v>20000000</v>
          </cell>
          <cell r="F31">
            <v>40000000</v>
          </cell>
          <cell r="G31">
            <v>0</v>
          </cell>
          <cell r="H31">
            <v>50000000</v>
          </cell>
          <cell r="I31">
            <v>0</v>
          </cell>
          <cell r="J31">
            <v>30000000</v>
          </cell>
          <cell r="K31">
            <v>30000000</v>
          </cell>
          <cell r="L31">
            <v>0</v>
          </cell>
          <cell r="M31">
            <v>40000000</v>
          </cell>
          <cell r="N31">
            <v>0</v>
          </cell>
          <cell r="O31">
            <v>40000000</v>
          </cell>
          <cell r="P31">
            <v>0</v>
          </cell>
          <cell r="Q31">
            <v>52000000</v>
          </cell>
          <cell r="R31">
            <v>67000000</v>
          </cell>
          <cell r="S31">
            <v>57000000</v>
          </cell>
          <cell r="T31">
            <v>0</v>
          </cell>
          <cell r="U31">
            <v>193140000</v>
          </cell>
          <cell r="V31">
            <v>0</v>
          </cell>
          <cell r="W31">
            <v>175000000</v>
          </cell>
          <cell r="Y31">
            <v>0</v>
          </cell>
          <cell r="Z31">
            <v>350000000</v>
          </cell>
          <cell r="AA31">
            <v>100000000</v>
          </cell>
          <cell r="AB31">
            <v>0</v>
          </cell>
          <cell r="AC31">
            <v>356000000</v>
          </cell>
          <cell r="AD31">
            <v>20000000</v>
          </cell>
          <cell r="AE31">
            <v>552000000</v>
          </cell>
          <cell r="AF31">
            <v>20000000</v>
          </cell>
          <cell r="AG31">
            <v>500000000</v>
          </cell>
          <cell r="AH31">
            <v>100000000</v>
          </cell>
          <cell r="AI31">
            <v>15000000</v>
          </cell>
          <cell r="AJ31">
            <v>2000000</v>
          </cell>
          <cell r="AK31">
            <v>10000000</v>
          </cell>
          <cell r="AL31">
            <v>950000000</v>
          </cell>
          <cell r="AM31">
            <v>565410000</v>
          </cell>
          <cell r="AN31">
            <v>15000000</v>
          </cell>
          <cell r="AO31">
            <v>15000000</v>
          </cell>
          <cell r="AP31">
            <v>10000000</v>
          </cell>
          <cell r="AQ31">
            <v>0</v>
          </cell>
          <cell r="AR31">
            <v>200000000</v>
          </cell>
          <cell r="AS31">
            <v>300000000</v>
          </cell>
          <cell r="AT31">
            <v>120000000</v>
          </cell>
          <cell r="AU31">
            <v>10000000</v>
          </cell>
          <cell r="AV31">
            <v>5000000</v>
          </cell>
          <cell r="AW31">
            <v>10000000</v>
          </cell>
          <cell r="AX31">
            <v>0</v>
          </cell>
          <cell r="AY31">
            <v>350000000</v>
          </cell>
          <cell r="AZ31">
            <v>175823700</v>
          </cell>
          <cell r="BA31">
            <v>20000000</v>
          </cell>
          <cell r="BB31">
            <v>5000000</v>
          </cell>
          <cell r="BC31">
            <v>10000000</v>
          </cell>
          <cell r="BD31">
            <v>0</v>
          </cell>
        </row>
        <row r="32">
          <cell r="D32">
            <v>59027776.670000002</v>
          </cell>
          <cell r="E32">
            <v>20000000</v>
          </cell>
          <cell r="F32">
            <v>40000000</v>
          </cell>
          <cell r="G32">
            <v>589000</v>
          </cell>
          <cell r="H32">
            <v>50000000</v>
          </cell>
          <cell r="I32">
            <v>25000000</v>
          </cell>
          <cell r="J32">
            <v>30000000</v>
          </cell>
          <cell r="K32">
            <v>30000000</v>
          </cell>
          <cell r="L32">
            <v>0</v>
          </cell>
          <cell r="M32">
            <v>40000000</v>
          </cell>
          <cell r="N32">
            <v>0</v>
          </cell>
          <cell r="O32">
            <v>40000000</v>
          </cell>
          <cell r="P32">
            <v>0</v>
          </cell>
          <cell r="Q32">
            <v>52000000</v>
          </cell>
          <cell r="R32">
            <v>67000000</v>
          </cell>
          <cell r="S32">
            <v>57000000</v>
          </cell>
          <cell r="T32">
            <v>0</v>
          </cell>
          <cell r="U32">
            <v>0</v>
          </cell>
          <cell r="V32">
            <v>0</v>
          </cell>
          <cell r="W32">
            <v>175000000</v>
          </cell>
          <cell r="Y32">
            <v>0</v>
          </cell>
          <cell r="Z32">
            <v>350000000</v>
          </cell>
          <cell r="AA32">
            <v>108000000</v>
          </cell>
          <cell r="AB32">
            <v>0</v>
          </cell>
          <cell r="AC32">
            <v>356000000</v>
          </cell>
          <cell r="AD32">
            <v>20000000</v>
          </cell>
          <cell r="AE32">
            <v>552000000</v>
          </cell>
          <cell r="AF32">
            <v>20000000</v>
          </cell>
          <cell r="AG32">
            <v>0</v>
          </cell>
          <cell r="AH32">
            <v>100000000</v>
          </cell>
          <cell r="AI32">
            <v>15000000</v>
          </cell>
          <cell r="AJ32">
            <v>2000000</v>
          </cell>
          <cell r="AK32">
            <v>10000000</v>
          </cell>
          <cell r="AL32">
            <v>0</v>
          </cell>
          <cell r="AM32">
            <v>565410000</v>
          </cell>
          <cell r="AN32">
            <v>15000000</v>
          </cell>
          <cell r="AO32">
            <v>15000000</v>
          </cell>
          <cell r="AP32">
            <v>10000000</v>
          </cell>
          <cell r="AQ32">
            <v>0</v>
          </cell>
          <cell r="AR32">
            <v>300000000</v>
          </cell>
          <cell r="AS32">
            <v>300000000</v>
          </cell>
          <cell r="AT32">
            <v>120000000</v>
          </cell>
          <cell r="AU32">
            <v>10000000</v>
          </cell>
          <cell r="AV32">
            <v>5000000</v>
          </cell>
          <cell r="AW32">
            <v>10000000</v>
          </cell>
          <cell r="AX32">
            <v>0</v>
          </cell>
          <cell r="AY32">
            <v>350000000</v>
          </cell>
          <cell r="AZ32">
            <v>175823700</v>
          </cell>
          <cell r="BA32">
            <v>20000000</v>
          </cell>
          <cell r="BB32">
            <v>5000000</v>
          </cell>
          <cell r="BC32">
            <v>10000000</v>
          </cell>
          <cell r="BD32">
            <v>0</v>
          </cell>
        </row>
        <row r="33">
          <cell r="D33">
            <v>59027776.670000002</v>
          </cell>
          <cell r="E33">
            <v>20000000</v>
          </cell>
          <cell r="F33">
            <v>40000000</v>
          </cell>
          <cell r="G33">
            <v>473000</v>
          </cell>
          <cell r="H33">
            <v>50000000</v>
          </cell>
          <cell r="I33">
            <v>25000000</v>
          </cell>
          <cell r="J33">
            <v>30000000</v>
          </cell>
          <cell r="K33">
            <v>30000000</v>
          </cell>
          <cell r="L33">
            <v>0</v>
          </cell>
          <cell r="M33">
            <v>40000000</v>
          </cell>
          <cell r="N33">
            <v>0</v>
          </cell>
          <cell r="O33">
            <v>40000000</v>
          </cell>
          <cell r="P33">
            <v>0</v>
          </cell>
          <cell r="Q33">
            <v>44200000</v>
          </cell>
          <cell r="R33">
            <v>56950000</v>
          </cell>
          <cell r="S33">
            <v>57000000</v>
          </cell>
          <cell r="T33">
            <v>0</v>
          </cell>
          <cell r="U33">
            <v>193140000</v>
          </cell>
          <cell r="V33">
            <v>0</v>
          </cell>
          <cell r="W33">
            <v>175000000</v>
          </cell>
          <cell r="Y33">
            <v>50000000</v>
          </cell>
          <cell r="Z33">
            <v>350000000</v>
          </cell>
          <cell r="AA33">
            <v>0</v>
          </cell>
          <cell r="AB33">
            <v>0</v>
          </cell>
          <cell r="AC33">
            <v>356000000</v>
          </cell>
          <cell r="AD33">
            <v>20000000</v>
          </cell>
          <cell r="AE33">
            <v>552000000</v>
          </cell>
          <cell r="AF33">
            <v>20000000</v>
          </cell>
          <cell r="AG33">
            <v>0</v>
          </cell>
          <cell r="AH33">
            <v>100000000</v>
          </cell>
          <cell r="AI33">
            <v>15000000</v>
          </cell>
          <cell r="AJ33">
            <v>2000000</v>
          </cell>
          <cell r="AK33">
            <v>10000000</v>
          </cell>
          <cell r="AL33">
            <v>0</v>
          </cell>
          <cell r="AM33">
            <v>565410000</v>
          </cell>
          <cell r="AN33">
            <v>15000000</v>
          </cell>
          <cell r="AO33">
            <v>15000000</v>
          </cell>
          <cell r="AP33">
            <v>10000000</v>
          </cell>
          <cell r="AQ33">
            <v>0</v>
          </cell>
          <cell r="AR33">
            <v>300000000</v>
          </cell>
          <cell r="AS33">
            <v>300000000</v>
          </cell>
          <cell r="AT33">
            <v>120000000</v>
          </cell>
          <cell r="AU33">
            <v>10000000</v>
          </cell>
          <cell r="AV33">
            <v>5000000</v>
          </cell>
          <cell r="AW33">
            <v>10000000</v>
          </cell>
          <cell r="AX33">
            <v>0</v>
          </cell>
          <cell r="AY33">
            <v>350000000</v>
          </cell>
          <cell r="AZ33">
            <v>175823700</v>
          </cell>
          <cell r="BA33">
            <v>20000000</v>
          </cell>
          <cell r="BB33">
            <v>5000000</v>
          </cell>
          <cell r="BC33">
            <v>10000000</v>
          </cell>
          <cell r="BD33">
            <v>0</v>
          </cell>
        </row>
        <row r="34">
          <cell r="D34">
            <v>59027776.670000002</v>
          </cell>
          <cell r="E34">
            <v>20000000</v>
          </cell>
          <cell r="F34">
            <v>40000000</v>
          </cell>
          <cell r="G34">
            <v>376000</v>
          </cell>
          <cell r="H34">
            <v>50000000</v>
          </cell>
          <cell r="I34">
            <v>25000000</v>
          </cell>
          <cell r="J34">
            <v>30000000</v>
          </cell>
          <cell r="K34">
            <v>30000000</v>
          </cell>
          <cell r="L34">
            <v>0</v>
          </cell>
          <cell r="M34">
            <v>40000000</v>
          </cell>
          <cell r="N34">
            <v>0</v>
          </cell>
          <cell r="O34">
            <v>40000000</v>
          </cell>
          <cell r="P34">
            <v>100000000</v>
          </cell>
          <cell r="Q34">
            <v>52000000</v>
          </cell>
          <cell r="R34">
            <v>67000000</v>
          </cell>
          <cell r="S34">
            <v>48450000</v>
          </cell>
          <cell r="T34">
            <v>0</v>
          </cell>
          <cell r="U34">
            <v>164169000</v>
          </cell>
          <cell r="V34">
            <v>0</v>
          </cell>
          <cell r="W34">
            <v>175000000</v>
          </cell>
          <cell r="Y34">
            <v>0</v>
          </cell>
          <cell r="Z34">
            <v>350000000</v>
          </cell>
          <cell r="AA34">
            <v>0</v>
          </cell>
          <cell r="AB34">
            <v>600000000</v>
          </cell>
          <cell r="AC34">
            <v>0</v>
          </cell>
          <cell r="AD34">
            <v>0</v>
          </cell>
          <cell r="AE34">
            <v>552000000</v>
          </cell>
          <cell r="AF34">
            <v>20000000</v>
          </cell>
          <cell r="AG34">
            <v>200000000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2500000000</v>
          </cell>
          <cell r="AM34">
            <v>565410000</v>
          </cell>
          <cell r="AN34">
            <v>15000000</v>
          </cell>
          <cell r="AO34">
            <v>15000000</v>
          </cell>
          <cell r="AP34">
            <v>10000000</v>
          </cell>
          <cell r="AQ34">
            <v>0</v>
          </cell>
          <cell r="AS34">
            <v>0</v>
          </cell>
          <cell r="AT34">
            <v>120000000</v>
          </cell>
          <cell r="AX34">
            <v>0</v>
          </cell>
          <cell r="AY34">
            <v>350000000</v>
          </cell>
          <cell r="AZ34">
            <v>175823700</v>
          </cell>
          <cell r="BA34">
            <v>20000000</v>
          </cell>
          <cell r="BB34">
            <v>5000000</v>
          </cell>
          <cell r="BC34">
            <v>10000000</v>
          </cell>
          <cell r="BD34">
            <v>0</v>
          </cell>
        </row>
        <row r="35">
          <cell r="D35">
            <v>59027776.670000002</v>
          </cell>
          <cell r="E35">
            <v>20000000</v>
          </cell>
          <cell r="F35">
            <v>40000000</v>
          </cell>
          <cell r="G35">
            <v>1463000</v>
          </cell>
          <cell r="H35">
            <v>50000000</v>
          </cell>
          <cell r="I35">
            <v>0</v>
          </cell>
          <cell r="J35">
            <v>25500000</v>
          </cell>
          <cell r="K35">
            <v>25500000</v>
          </cell>
          <cell r="L35">
            <v>0</v>
          </cell>
          <cell r="M35">
            <v>34000000</v>
          </cell>
          <cell r="N35">
            <v>0</v>
          </cell>
          <cell r="O35">
            <v>40000000</v>
          </cell>
          <cell r="P35">
            <v>0</v>
          </cell>
          <cell r="Q35">
            <v>52000000</v>
          </cell>
          <cell r="R35">
            <v>46230000</v>
          </cell>
          <cell r="S35">
            <v>39330000</v>
          </cell>
          <cell r="T35">
            <v>0</v>
          </cell>
          <cell r="U35">
            <v>193140000</v>
          </cell>
          <cell r="V35">
            <v>250000000</v>
          </cell>
          <cell r="W35">
            <v>175000000</v>
          </cell>
          <cell r="Y35">
            <v>0</v>
          </cell>
          <cell r="Z35">
            <v>350000000</v>
          </cell>
          <cell r="AA35">
            <v>300000000</v>
          </cell>
          <cell r="AB35">
            <v>70000000</v>
          </cell>
          <cell r="AC35">
            <v>356000000</v>
          </cell>
          <cell r="AD35">
            <v>20000000</v>
          </cell>
          <cell r="AE35">
            <v>552000000</v>
          </cell>
          <cell r="AF35">
            <v>20000000</v>
          </cell>
          <cell r="AG35">
            <v>120000000</v>
          </cell>
          <cell r="AH35">
            <v>100000000</v>
          </cell>
          <cell r="AI35">
            <v>15000000</v>
          </cell>
          <cell r="AJ35">
            <v>2000000</v>
          </cell>
          <cell r="AK35">
            <v>10000000</v>
          </cell>
          <cell r="AL35">
            <v>0</v>
          </cell>
          <cell r="AM35">
            <v>565410000</v>
          </cell>
          <cell r="AN35">
            <v>15000000</v>
          </cell>
          <cell r="AO35">
            <v>15000000</v>
          </cell>
          <cell r="AP35">
            <v>10000000</v>
          </cell>
          <cell r="AQ35">
            <v>0</v>
          </cell>
          <cell r="AS35">
            <v>300000000</v>
          </cell>
          <cell r="AT35">
            <v>120000000</v>
          </cell>
          <cell r="AU35">
            <v>10000000</v>
          </cell>
          <cell r="AV35">
            <v>5000000</v>
          </cell>
          <cell r="AW35">
            <v>10000000</v>
          </cell>
          <cell r="AX35">
            <v>0</v>
          </cell>
          <cell r="AY35">
            <v>350000000</v>
          </cell>
          <cell r="AZ35">
            <v>175823700</v>
          </cell>
          <cell r="BA35">
            <v>20000000</v>
          </cell>
          <cell r="BB35">
            <v>5000000</v>
          </cell>
          <cell r="BC35">
            <v>10000000</v>
          </cell>
          <cell r="BD35">
            <v>0</v>
          </cell>
        </row>
        <row r="36">
          <cell r="D36">
            <v>59027776.670000002</v>
          </cell>
          <cell r="E36">
            <v>20000000</v>
          </cell>
          <cell r="F36">
            <v>40000000</v>
          </cell>
          <cell r="G36">
            <v>231000</v>
          </cell>
          <cell r="H36">
            <v>50000000</v>
          </cell>
          <cell r="I36">
            <v>0</v>
          </cell>
          <cell r="J36">
            <v>30000000</v>
          </cell>
          <cell r="K36">
            <v>30000000</v>
          </cell>
          <cell r="L36">
            <v>0</v>
          </cell>
          <cell r="M36">
            <v>40000000</v>
          </cell>
          <cell r="N36">
            <v>0</v>
          </cell>
          <cell r="O36">
            <v>40000000</v>
          </cell>
          <cell r="P36">
            <v>0</v>
          </cell>
          <cell r="Q36">
            <v>52000000</v>
          </cell>
          <cell r="R36">
            <v>67000000</v>
          </cell>
          <cell r="S36">
            <v>57000000</v>
          </cell>
          <cell r="T36">
            <v>0</v>
          </cell>
          <cell r="U36">
            <v>193140000</v>
          </cell>
          <cell r="V36">
            <v>0</v>
          </cell>
          <cell r="W36">
            <v>175000000</v>
          </cell>
          <cell r="Y36">
            <v>0</v>
          </cell>
          <cell r="Z36">
            <v>350000000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552000000</v>
          </cell>
          <cell r="AF36">
            <v>20000000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565410000</v>
          </cell>
          <cell r="AN36">
            <v>15000000</v>
          </cell>
          <cell r="AO36">
            <v>15000000</v>
          </cell>
          <cell r="AP36">
            <v>10000000</v>
          </cell>
          <cell r="AQ36">
            <v>0</v>
          </cell>
          <cell r="AS36">
            <v>0</v>
          </cell>
          <cell r="AT36">
            <v>120000000</v>
          </cell>
          <cell r="AX36">
            <v>0</v>
          </cell>
          <cell r="AY36">
            <v>350000000</v>
          </cell>
          <cell r="AZ36">
            <v>175823700</v>
          </cell>
          <cell r="BA36">
            <v>20000000</v>
          </cell>
          <cell r="BB36">
            <v>5000000</v>
          </cell>
          <cell r="BC36">
            <v>10000000</v>
          </cell>
          <cell r="BD36">
            <v>0</v>
          </cell>
        </row>
        <row r="37">
          <cell r="D37">
            <v>59027776.670000002</v>
          </cell>
          <cell r="E37">
            <v>20000000</v>
          </cell>
          <cell r="F37">
            <v>40000000</v>
          </cell>
          <cell r="G37">
            <v>592000</v>
          </cell>
          <cell r="H37">
            <v>50000000</v>
          </cell>
          <cell r="I37">
            <v>24988950</v>
          </cell>
          <cell r="J37">
            <v>30000000</v>
          </cell>
          <cell r="K37">
            <v>30000000</v>
          </cell>
          <cell r="L37">
            <v>0</v>
          </cell>
          <cell r="M37">
            <v>40000000</v>
          </cell>
          <cell r="N37">
            <v>0</v>
          </cell>
          <cell r="O37">
            <v>40000000</v>
          </cell>
          <cell r="P37">
            <v>0</v>
          </cell>
          <cell r="Q37">
            <v>52000000</v>
          </cell>
          <cell r="R37">
            <v>67000000</v>
          </cell>
          <cell r="S37">
            <v>30210000</v>
          </cell>
          <cell r="T37">
            <v>0</v>
          </cell>
          <cell r="U37">
            <v>102364200</v>
          </cell>
          <cell r="V37">
            <v>0</v>
          </cell>
          <cell r="W37">
            <v>175000000</v>
          </cell>
          <cell r="Y37">
            <v>0</v>
          </cell>
          <cell r="Z37">
            <v>350000000</v>
          </cell>
          <cell r="AA37">
            <v>0</v>
          </cell>
          <cell r="AB37">
            <v>200000000</v>
          </cell>
          <cell r="AC37">
            <v>356000000</v>
          </cell>
          <cell r="AD37">
            <v>20000000</v>
          </cell>
          <cell r="AE37">
            <v>552000000</v>
          </cell>
          <cell r="AF37">
            <v>20000000</v>
          </cell>
          <cell r="AG37">
            <v>0</v>
          </cell>
          <cell r="AH37">
            <v>100000000</v>
          </cell>
          <cell r="AI37">
            <v>15000000</v>
          </cell>
          <cell r="AJ37">
            <v>2000000</v>
          </cell>
          <cell r="AK37">
            <v>10000000</v>
          </cell>
          <cell r="AL37">
            <v>1000000000</v>
          </cell>
          <cell r="AM37">
            <v>565410000</v>
          </cell>
          <cell r="AN37">
            <v>15000000</v>
          </cell>
          <cell r="AO37">
            <v>15000000</v>
          </cell>
          <cell r="AP37">
            <v>10000000</v>
          </cell>
          <cell r="AQ37">
            <v>0</v>
          </cell>
          <cell r="AR37">
            <v>200000000</v>
          </cell>
          <cell r="AS37">
            <v>300000000</v>
          </cell>
          <cell r="AT37">
            <v>120000000</v>
          </cell>
          <cell r="AU37">
            <v>10000000</v>
          </cell>
          <cell r="AV37">
            <v>5000000</v>
          </cell>
          <cell r="AW37">
            <v>10000000</v>
          </cell>
          <cell r="AX37">
            <v>0</v>
          </cell>
          <cell r="AY37">
            <v>350000000</v>
          </cell>
          <cell r="AZ37">
            <v>175823700</v>
          </cell>
          <cell r="BA37">
            <v>20000000</v>
          </cell>
          <cell r="BB37">
            <v>5000000</v>
          </cell>
          <cell r="BC37">
            <v>10000000</v>
          </cell>
          <cell r="BD37">
            <v>0</v>
          </cell>
        </row>
        <row r="38">
          <cell r="D38">
            <v>0</v>
          </cell>
          <cell r="E38">
            <v>250000000</v>
          </cell>
          <cell r="F38">
            <v>40000000</v>
          </cell>
          <cell r="G38">
            <v>0</v>
          </cell>
          <cell r="H38">
            <v>50000000</v>
          </cell>
          <cell r="I38">
            <v>0</v>
          </cell>
          <cell r="J38">
            <v>30000000</v>
          </cell>
          <cell r="K38">
            <v>30000000</v>
          </cell>
          <cell r="L38">
            <v>0</v>
          </cell>
          <cell r="M38">
            <v>40000000</v>
          </cell>
          <cell r="N38">
            <v>0</v>
          </cell>
          <cell r="O38">
            <v>40000000</v>
          </cell>
          <cell r="P38">
            <v>0</v>
          </cell>
          <cell r="Q38">
            <v>27560000</v>
          </cell>
          <cell r="R38">
            <v>35510000</v>
          </cell>
          <cell r="S38">
            <v>30210000</v>
          </cell>
          <cell r="T38">
            <v>1955771279.4000001</v>
          </cell>
          <cell r="U38">
            <v>172364200</v>
          </cell>
          <cell r="V38">
            <v>855000000</v>
          </cell>
          <cell r="W38">
            <v>175000000</v>
          </cell>
          <cell r="Y38">
            <v>0</v>
          </cell>
          <cell r="Z38">
            <v>350000000</v>
          </cell>
          <cell r="AA38">
            <v>0</v>
          </cell>
          <cell r="AB38">
            <v>0</v>
          </cell>
          <cell r="AC38">
            <v>356000000</v>
          </cell>
          <cell r="AD38">
            <v>20000000</v>
          </cell>
          <cell r="AE38">
            <v>552000000</v>
          </cell>
          <cell r="AF38">
            <v>20000000</v>
          </cell>
          <cell r="AG38">
            <v>0</v>
          </cell>
          <cell r="AH38">
            <v>100000000</v>
          </cell>
          <cell r="AI38">
            <v>15000000</v>
          </cell>
          <cell r="AJ38">
            <v>2000000</v>
          </cell>
          <cell r="AK38">
            <v>10000000</v>
          </cell>
          <cell r="AL38">
            <v>500000000</v>
          </cell>
          <cell r="AM38">
            <v>565410000</v>
          </cell>
          <cell r="AN38">
            <v>15000000</v>
          </cell>
          <cell r="AO38">
            <v>15000000</v>
          </cell>
          <cell r="AP38">
            <v>10000000</v>
          </cell>
          <cell r="AQ38">
            <v>0</v>
          </cell>
          <cell r="AS38">
            <v>300000000</v>
          </cell>
          <cell r="AT38">
            <v>120000000</v>
          </cell>
          <cell r="AU38">
            <v>10000000</v>
          </cell>
          <cell r="AV38">
            <v>5000000</v>
          </cell>
          <cell r="AW38">
            <v>10000000</v>
          </cell>
          <cell r="AX38">
            <v>0</v>
          </cell>
          <cell r="AY38">
            <v>350000000</v>
          </cell>
          <cell r="AZ38">
            <v>175823700</v>
          </cell>
          <cell r="BA38">
            <v>20000000</v>
          </cell>
          <cell r="BB38">
            <v>5000000</v>
          </cell>
          <cell r="BC38">
            <v>10000000</v>
          </cell>
          <cell r="BD38">
            <v>0</v>
          </cell>
        </row>
        <row r="39">
          <cell r="D39">
            <v>59027776.670000002</v>
          </cell>
          <cell r="E39">
            <v>20000000</v>
          </cell>
          <cell r="F39">
            <v>40000000</v>
          </cell>
          <cell r="G39">
            <v>3750000</v>
          </cell>
          <cell r="H39">
            <v>50000000</v>
          </cell>
          <cell r="I39">
            <v>0</v>
          </cell>
          <cell r="J39">
            <v>30000000</v>
          </cell>
          <cell r="K39">
            <v>30000000</v>
          </cell>
          <cell r="L39">
            <v>0</v>
          </cell>
          <cell r="M39">
            <v>40000000</v>
          </cell>
          <cell r="N39">
            <v>0</v>
          </cell>
          <cell r="O39">
            <v>40000000</v>
          </cell>
          <cell r="P39">
            <v>0</v>
          </cell>
          <cell r="Q39">
            <v>52000000</v>
          </cell>
          <cell r="R39">
            <v>67000000</v>
          </cell>
          <cell r="S39">
            <v>57000000</v>
          </cell>
          <cell r="T39">
            <v>0</v>
          </cell>
          <cell r="U39">
            <v>193140000</v>
          </cell>
          <cell r="V39">
            <v>235000000</v>
          </cell>
          <cell r="W39">
            <v>175000000</v>
          </cell>
          <cell r="Y39">
            <v>750000000</v>
          </cell>
          <cell r="Z39">
            <v>350000000</v>
          </cell>
          <cell r="AA39">
            <v>0</v>
          </cell>
          <cell r="AB39">
            <v>0</v>
          </cell>
          <cell r="AC39">
            <v>356000000</v>
          </cell>
          <cell r="AD39">
            <v>20000000</v>
          </cell>
          <cell r="AE39">
            <v>552000000</v>
          </cell>
          <cell r="AF39">
            <v>20000000</v>
          </cell>
          <cell r="AG39">
            <v>0</v>
          </cell>
          <cell r="AH39">
            <v>100000000</v>
          </cell>
          <cell r="AI39">
            <v>15000000</v>
          </cell>
          <cell r="AJ39">
            <v>2000000</v>
          </cell>
          <cell r="AK39">
            <v>10000000</v>
          </cell>
          <cell r="AL39">
            <v>0</v>
          </cell>
          <cell r="AM39">
            <v>565410000</v>
          </cell>
          <cell r="AN39">
            <v>15000000</v>
          </cell>
          <cell r="AO39">
            <v>15000000</v>
          </cell>
          <cell r="AP39">
            <v>10000000</v>
          </cell>
          <cell r="AQ39">
            <v>0</v>
          </cell>
          <cell r="AR39">
            <v>200000000</v>
          </cell>
          <cell r="AS39">
            <v>300000000</v>
          </cell>
          <cell r="AT39">
            <v>120000000</v>
          </cell>
          <cell r="AU39">
            <v>10000000</v>
          </cell>
          <cell r="AV39">
            <v>5000000</v>
          </cell>
          <cell r="AW39">
            <v>10000000</v>
          </cell>
          <cell r="AX39">
            <v>0</v>
          </cell>
          <cell r="AY39">
            <v>350000000</v>
          </cell>
          <cell r="AZ39">
            <v>175823700</v>
          </cell>
          <cell r="BA39">
            <v>20000000</v>
          </cell>
          <cell r="BB39">
            <v>5000000</v>
          </cell>
          <cell r="BC39">
            <v>10000000</v>
          </cell>
          <cell r="BD39">
            <v>0</v>
          </cell>
        </row>
        <row r="40">
          <cell r="D40">
            <v>59027776.670000002</v>
          </cell>
          <cell r="E40">
            <v>20000000</v>
          </cell>
          <cell r="F40">
            <v>40000000</v>
          </cell>
          <cell r="G40">
            <v>0</v>
          </cell>
          <cell r="H40">
            <v>50000000</v>
          </cell>
          <cell r="I40">
            <v>0</v>
          </cell>
          <cell r="J40">
            <v>19800000</v>
          </cell>
          <cell r="K40">
            <v>30000000</v>
          </cell>
          <cell r="L40">
            <v>0</v>
          </cell>
          <cell r="M40">
            <v>40000000</v>
          </cell>
          <cell r="N40">
            <v>0</v>
          </cell>
          <cell r="O40">
            <v>40000000</v>
          </cell>
          <cell r="P40">
            <v>0</v>
          </cell>
          <cell r="Q40">
            <v>52000000</v>
          </cell>
          <cell r="R40">
            <v>67000000</v>
          </cell>
          <cell r="S40">
            <v>30780000.000000004</v>
          </cell>
          <cell r="T40">
            <v>0</v>
          </cell>
          <cell r="U40">
            <v>104295600</v>
          </cell>
          <cell r="V40">
            <v>0</v>
          </cell>
          <cell r="W40">
            <v>175000000</v>
          </cell>
          <cell r="Y40">
            <v>200000000</v>
          </cell>
          <cell r="Z40">
            <v>350000000</v>
          </cell>
          <cell r="AA40">
            <v>0</v>
          </cell>
          <cell r="AB40">
            <v>500000000</v>
          </cell>
          <cell r="AC40">
            <v>356000000</v>
          </cell>
          <cell r="AD40">
            <v>20000000</v>
          </cell>
          <cell r="AE40">
            <v>552000000</v>
          </cell>
          <cell r="AF40">
            <v>20000000</v>
          </cell>
          <cell r="AG40">
            <v>250000000</v>
          </cell>
          <cell r="AH40">
            <v>100000000</v>
          </cell>
          <cell r="AI40">
            <v>15000000</v>
          </cell>
          <cell r="AJ40">
            <v>2000000</v>
          </cell>
          <cell r="AK40">
            <v>10000000</v>
          </cell>
          <cell r="AL40">
            <v>0</v>
          </cell>
          <cell r="AM40">
            <v>565410000</v>
          </cell>
          <cell r="AN40">
            <v>15000000</v>
          </cell>
          <cell r="AO40">
            <v>15000000</v>
          </cell>
          <cell r="AP40">
            <v>10000000</v>
          </cell>
          <cell r="AQ40">
            <v>0</v>
          </cell>
          <cell r="AS40">
            <v>300000000</v>
          </cell>
          <cell r="AT40">
            <v>120000000</v>
          </cell>
          <cell r="AU40">
            <v>10000000</v>
          </cell>
          <cell r="AV40">
            <v>5000000</v>
          </cell>
          <cell r="AW40">
            <v>10000000</v>
          </cell>
          <cell r="AX40">
            <v>0</v>
          </cell>
          <cell r="AY40">
            <v>350000000</v>
          </cell>
          <cell r="AZ40">
            <v>175823700</v>
          </cell>
          <cell r="BA40">
            <v>20000000</v>
          </cell>
          <cell r="BB40">
            <v>5000000</v>
          </cell>
          <cell r="BC40">
            <v>10000000</v>
          </cell>
          <cell r="BD40">
            <v>0</v>
          </cell>
        </row>
        <row r="41">
          <cell r="D41">
            <v>59027776.670000002</v>
          </cell>
          <cell r="E41">
            <v>20000000</v>
          </cell>
          <cell r="F41">
            <v>40000000</v>
          </cell>
          <cell r="G41">
            <v>0</v>
          </cell>
          <cell r="H41">
            <v>50000000</v>
          </cell>
          <cell r="I41">
            <v>0</v>
          </cell>
          <cell r="J41">
            <v>30000000</v>
          </cell>
          <cell r="K41">
            <v>30000000</v>
          </cell>
          <cell r="L41">
            <v>0</v>
          </cell>
          <cell r="M41">
            <v>40000000</v>
          </cell>
          <cell r="N41">
            <v>0</v>
          </cell>
          <cell r="O41">
            <v>40000000</v>
          </cell>
          <cell r="P41">
            <v>0</v>
          </cell>
          <cell r="Q41">
            <v>52000000</v>
          </cell>
          <cell r="R41">
            <v>67000000</v>
          </cell>
          <cell r="S41">
            <v>57000000</v>
          </cell>
          <cell r="T41">
            <v>0</v>
          </cell>
          <cell r="U41">
            <v>193140000</v>
          </cell>
          <cell r="V41">
            <v>521250000</v>
          </cell>
          <cell r="W41">
            <v>175000000</v>
          </cell>
          <cell r="Y41">
            <v>0</v>
          </cell>
          <cell r="Z41">
            <v>350000000</v>
          </cell>
          <cell r="AA41">
            <v>1000000000</v>
          </cell>
          <cell r="AB41">
            <v>300000000</v>
          </cell>
          <cell r="AC41">
            <v>356000000</v>
          </cell>
          <cell r="AD41">
            <v>20000000</v>
          </cell>
          <cell r="AE41">
            <v>552000000</v>
          </cell>
          <cell r="AF41">
            <v>20000000</v>
          </cell>
          <cell r="AG41">
            <v>250000000</v>
          </cell>
          <cell r="AH41">
            <v>100000000</v>
          </cell>
          <cell r="AI41">
            <v>15000000</v>
          </cell>
          <cell r="AJ41">
            <v>2000000</v>
          </cell>
          <cell r="AK41">
            <v>10000000</v>
          </cell>
          <cell r="AL41">
            <v>2400000000</v>
          </cell>
          <cell r="AM41">
            <v>565410000</v>
          </cell>
          <cell r="AN41">
            <v>15000000</v>
          </cell>
          <cell r="AO41">
            <v>15000000</v>
          </cell>
          <cell r="AP41">
            <v>10000000</v>
          </cell>
          <cell r="AQ41">
            <v>0</v>
          </cell>
          <cell r="AR41">
            <v>300000000</v>
          </cell>
          <cell r="AS41">
            <v>300000000</v>
          </cell>
          <cell r="AT41">
            <v>120000000</v>
          </cell>
          <cell r="AU41">
            <v>10000000</v>
          </cell>
          <cell r="AV41">
            <v>5000000</v>
          </cell>
          <cell r="AW41">
            <v>10000000</v>
          </cell>
          <cell r="AX41">
            <v>450000000</v>
          </cell>
          <cell r="AY41">
            <v>350000000</v>
          </cell>
          <cell r="AZ41">
            <v>175823700</v>
          </cell>
          <cell r="BA41">
            <v>20000000</v>
          </cell>
          <cell r="BB41">
            <v>5000000</v>
          </cell>
          <cell r="BC41">
            <v>10000000</v>
          </cell>
          <cell r="BD41">
            <v>0</v>
          </cell>
        </row>
        <row r="42">
          <cell r="D42">
            <v>59027776.670000002</v>
          </cell>
          <cell r="E42">
            <v>20000000</v>
          </cell>
          <cell r="F42">
            <v>40000000</v>
          </cell>
          <cell r="G42">
            <v>71000</v>
          </cell>
          <cell r="H42">
            <v>50000000</v>
          </cell>
          <cell r="I42">
            <v>0</v>
          </cell>
          <cell r="J42">
            <v>30000000</v>
          </cell>
          <cell r="K42">
            <v>30000000</v>
          </cell>
          <cell r="L42">
            <v>0</v>
          </cell>
          <cell r="M42">
            <v>0</v>
          </cell>
          <cell r="N42">
            <v>0</v>
          </cell>
          <cell r="O42">
            <v>34000000</v>
          </cell>
          <cell r="P42">
            <v>0</v>
          </cell>
          <cell r="Q42">
            <v>44200000</v>
          </cell>
          <cell r="R42">
            <v>56950000</v>
          </cell>
          <cell r="S42">
            <v>57000000</v>
          </cell>
          <cell r="T42">
            <v>0</v>
          </cell>
          <cell r="U42">
            <v>193140000</v>
          </cell>
          <cell r="V42">
            <v>50000000</v>
          </cell>
          <cell r="W42">
            <v>175000000</v>
          </cell>
          <cell r="Y42">
            <v>200000000</v>
          </cell>
          <cell r="Z42">
            <v>350000000</v>
          </cell>
          <cell r="AA42">
            <v>0</v>
          </cell>
          <cell r="AB42">
            <v>450000000</v>
          </cell>
          <cell r="AC42">
            <v>356000000</v>
          </cell>
          <cell r="AD42">
            <v>20000000</v>
          </cell>
          <cell r="AE42">
            <v>552000000</v>
          </cell>
          <cell r="AF42">
            <v>20000000</v>
          </cell>
          <cell r="AG42">
            <v>200000000</v>
          </cell>
          <cell r="AH42">
            <v>100000000</v>
          </cell>
          <cell r="AI42">
            <v>15000000</v>
          </cell>
          <cell r="AJ42">
            <v>2000000</v>
          </cell>
          <cell r="AK42">
            <v>10000000</v>
          </cell>
          <cell r="AL42">
            <v>800000000</v>
          </cell>
          <cell r="AM42">
            <v>565410000</v>
          </cell>
          <cell r="AN42">
            <v>15000000</v>
          </cell>
          <cell r="AO42">
            <v>15000000</v>
          </cell>
          <cell r="AP42">
            <v>10000000</v>
          </cell>
          <cell r="AQ42">
            <v>0</v>
          </cell>
          <cell r="AR42">
            <v>300000000</v>
          </cell>
          <cell r="AS42">
            <v>300000000</v>
          </cell>
          <cell r="AT42">
            <v>120000000</v>
          </cell>
          <cell r="AU42">
            <v>10000000</v>
          </cell>
          <cell r="AV42">
            <v>5000000</v>
          </cell>
          <cell r="AW42">
            <v>10000000</v>
          </cell>
          <cell r="AX42">
            <v>0</v>
          </cell>
          <cell r="AY42">
            <v>350000000</v>
          </cell>
          <cell r="AZ42">
            <v>175823700</v>
          </cell>
          <cell r="BA42">
            <v>20000000</v>
          </cell>
          <cell r="BB42">
            <v>5000000</v>
          </cell>
          <cell r="BC42">
            <v>10000000</v>
          </cell>
          <cell r="BD42">
            <v>0</v>
          </cell>
        </row>
        <row r="43">
          <cell r="D43">
            <v>59027776.670000002</v>
          </cell>
          <cell r="E43">
            <v>20000000</v>
          </cell>
          <cell r="F43">
            <v>40000000</v>
          </cell>
          <cell r="G43">
            <v>0</v>
          </cell>
          <cell r="H43">
            <v>50000000</v>
          </cell>
          <cell r="I43">
            <v>25000000</v>
          </cell>
          <cell r="J43">
            <v>30000000</v>
          </cell>
          <cell r="K43">
            <v>30000000</v>
          </cell>
          <cell r="L43">
            <v>0</v>
          </cell>
          <cell r="M43">
            <v>40000000</v>
          </cell>
          <cell r="N43">
            <v>0</v>
          </cell>
          <cell r="O43">
            <v>40000000</v>
          </cell>
          <cell r="P43">
            <v>0</v>
          </cell>
          <cell r="Q43">
            <v>52000000</v>
          </cell>
          <cell r="R43">
            <v>67000000</v>
          </cell>
          <cell r="S43">
            <v>56999000</v>
          </cell>
          <cell r="T43">
            <v>0</v>
          </cell>
          <cell r="U43">
            <v>193140000</v>
          </cell>
          <cell r="V43">
            <v>0</v>
          </cell>
          <cell r="W43">
            <v>175000000</v>
          </cell>
          <cell r="Y43">
            <v>0</v>
          </cell>
          <cell r="Z43">
            <v>350000000</v>
          </cell>
          <cell r="AA43">
            <v>0</v>
          </cell>
          <cell r="AB43">
            <v>250000000</v>
          </cell>
          <cell r="AC43">
            <v>356000000</v>
          </cell>
          <cell r="AD43">
            <v>20000000</v>
          </cell>
          <cell r="AE43">
            <v>552000000</v>
          </cell>
          <cell r="AF43">
            <v>20000000</v>
          </cell>
          <cell r="AG43">
            <v>500000000</v>
          </cell>
          <cell r="AH43">
            <v>100000000</v>
          </cell>
          <cell r="AI43">
            <v>15000000</v>
          </cell>
          <cell r="AJ43">
            <v>2000000</v>
          </cell>
          <cell r="AK43">
            <v>10000000</v>
          </cell>
          <cell r="AL43">
            <v>2550000000</v>
          </cell>
          <cell r="AM43">
            <v>565410000</v>
          </cell>
          <cell r="AN43">
            <v>15000000</v>
          </cell>
          <cell r="AO43">
            <v>15000000</v>
          </cell>
          <cell r="AP43">
            <v>10000000</v>
          </cell>
          <cell r="AQ43">
            <v>0</v>
          </cell>
          <cell r="AS43">
            <v>300000000</v>
          </cell>
          <cell r="AT43">
            <v>120000000</v>
          </cell>
          <cell r="AU43">
            <v>10000000</v>
          </cell>
          <cell r="AV43">
            <v>5000000</v>
          </cell>
          <cell r="AW43">
            <v>10000000</v>
          </cell>
          <cell r="AX43">
            <v>0</v>
          </cell>
          <cell r="AY43">
            <v>350000000</v>
          </cell>
          <cell r="AZ43">
            <v>175823700</v>
          </cell>
          <cell r="BA43">
            <v>20000000</v>
          </cell>
          <cell r="BB43">
            <v>5000000</v>
          </cell>
          <cell r="BC43">
            <v>10000000</v>
          </cell>
          <cell r="BD43">
            <v>0</v>
          </cell>
        </row>
        <row r="44">
          <cell r="D44">
            <v>59027776.670000002</v>
          </cell>
          <cell r="E44">
            <v>20000000</v>
          </cell>
          <cell r="F44">
            <v>40000000</v>
          </cell>
          <cell r="G44">
            <v>0</v>
          </cell>
          <cell r="H44">
            <v>50000000</v>
          </cell>
          <cell r="I44">
            <v>0</v>
          </cell>
          <cell r="J44">
            <v>30000000</v>
          </cell>
          <cell r="K44">
            <v>30000000</v>
          </cell>
          <cell r="L44">
            <v>0</v>
          </cell>
          <cell r="M44">
            <v>40000000</v>
          </cell>
          <cell r="N44">
            <v>0</v>
          </cell>
          <cell r="O44">
            <v>40000000</v>
          </cell>
          <cell r="P44">
            <v>0</v>
          </cell>
          <cell r="Q44">
            <v>52000000</v>
          </cell>
          <cell r="R44">
            <v>67000000</v>
          </cell>
          <cell r="S44">
            <v>57000000</v>
          </cell>
          <cell r="T44">
            <v>0</v>
          </cell>
          <cell r="U44">
            <v>193140000</v>
          </cell>
          <cell r="V44">
            <v>150270700</v>
          </cell>
          <cell r="W44">
            <v>175000000</v>
          </cell>
          <cell r="Y44">
            <v>0</v>
          </cell>
          <cell r="Z44">
            <v>350000000</v>
          </cell>
          <cell r="AA44">
            <v>0</v>
          </cell>
          <cell r="AB44">
            <v>0</v>
          </cell>
          <cell r="AC44">
            <v>356000000</v>
          </cell>
          <cell r="AD44">
            <v>20000000</v>
          </cell>
          <cell r="AE44">
            <v>552000000</v>
          </cell>
          <cell r="AF44">
            <v>20000000</v>
          </cell>
          <cell r="AG44">
            <v>0</v>
          </cell>
          <cell r="AH44">
            <v>100000000</v>
          </cell>
          <cell r="AI44">
            <v>15000000</v>
          </cell>
          <cell r="AJ44">
            <v>2000000</v>
          </cell>
          <cell r="AK44">
            <v>10000000</v>
          </cell>
          <cell r="AL44">
            <v>0</v>
          </cell>
          <cell r="AM44">
            <v>565410000</v>
          </cell>
          <cell r="AN44">
            <v>15000000</v>
          </cell>
          <cell r="AO44">
            <v>15000000</v>
          </cell>
          <cell r="AP44">
            <v>10000000</v>
          </cell>
          <cell r="AQ44">
            <v>0</v>
          </cell>
          <cell r="AS44">
            <v>300000000</v>
          </cell>
          <cell r="AT44">
            <v>120000000</v>
          </cell>
          <cell r="AU44">
            <v>10000000</v>
          </cell>
          <cell r="AV44">
            <v>5000000</v>
          </cell>
          <cell r="AW44">
            <v>10000000</v>
          </cell>
          <cell r="AX44">
            <v>0</v>
          </cell>
          <cell r="AY44">
            <v>350000000</v>
          </cell>
          <cell r="AZ44">
            <v>175823700</v>
          </cell>
          <cell r="BA44">
            <v>20000000</v>
          </cell>
          <cell r="BB44">
            <v>5000000</v>
          </cell>
          <cell r="BC44">
            <v>10000000</v>
          </cell>
          <cell r="BD44">
            <v>0</v>
          </cell>
        </row>
        <row r="45">
          <cell r="D45">
            <v>59027776.670000002</v>
          </cell>
          <cell r="E45">
            <v>20000000</v>
          </cell>
          <cell r="F45">
            <v>40000000</v>
          </cell>
          <cell r="G45">
            <v>60000</v>
          </cell>
          <cell r="H45">
            <v>50000000</v>
          </cell>
          <cell r="I45">
            <v>0</v>
          </cell>
          <cell r="J45">
            <v>30000000</v>
          </cell>
          <cell r="K45">
            <v>30000000</v>
          </cell>
          <cell r="L45">
            <v>0</v>
          </cell>
          <cell r="M45">
            <v>40000000</v>
          </cell>
          <cell r="N45">
            <v>0</v>
          </cell>
          <cell r="O45">
            <v>40000000</v>
          </cell>
          <cell r="P45">
            <v>0</v>
          </cell>
          <cell r="Q45">
            <v>52000000</v>
          </cell>
          <cell r="R45">
            <v>67000000</v>
          </cell>
          <cell r="S45">
            <v>57000000</v>
          </cell>
          <cell r="T45">
            <v>0</v>
          </cell>
          <cell r="U45">
            <v>193140000</v>
          </cell>
          <cell r="V45">
            <v>350000000</v>
          </cell>
          <cell r="W45">
            <v>175000000</v>
          </cell>
          <cell r="Y45">
            <v>200000000</v>
          </cell>
          <cell r="Z45">
            <v>350000000</v>
          </cell>
          <cell r="AA45">
            <v>0</v>
          </cell>
          <cell r="AB45">
            <v>500000000</v>
          </cell>
          <cell r="AC45">
            <v>356000000</v>
          </cell>
          <cell r="AD45">
            <v>20000000</v>
          </cell>
          <cell r="AE45">
            <v>552000000</v>
          </cell>
          <cell r="AF45">
            <v>20000000</v>
          </cell>
          <cell r="AG45">
            <v>0</v>
          </cell>
          <cell r="AH45">
            <v>100000000</v>
          </cell>
          <cell r="AI45">
            <v>15000000</v>
          </cell>
          <cell r="AJ45">
            <v>2000000</v>
          </cell>
          <cell r="AK45">
            <v>10000000</v>
          </cell>
          <cell r="AL45">
            <v>600000000</v>
          </cell>
          <cell r="AM45">
            <v>565410000</v>
          </cell>
          <cell r="AN45">
            <v>15000000</v>
          </cell>
          <cell r="AO45">
            <v>15000000</v>
          </cell>
          <cell r="AP45">
            <v>10000000</v>
          </cell>
          <cell r="AQ45">
            <v>0</v>
          </cell>
          <cell r="AS45">
            <v>300000000</v>
          </cell>
          <cell r="AT45">
            <v>120000000</v>
          </cell>
          <cell r="AU45">
            <v>10000000</v>
          </cell>
          <cell r="AV45">
            <v>5000000</v>
          </cell>
          <cell r="AW45">
            <v>10000000</v>
          </cell>
          <cell r="AX45">
            <v>0</v>
          </cell>
          <cell r="AY45">
            <v>350000000</v>
          </cell>
          <cell r="AZ45">
            <v>175823700</v>
          </cell>
          <cell r="BA45">
            <v>20000000</v>
          </cell>
          <cell r="BB45">
            <v>5000000</v>
          </cell>
          <cell r="BC45">
            <v>10000000</v>
          </cell>
          <cell r="BD45">
            <v>0</v>
          </cell>
        </row>
        <row r="46">
          <cell r="D46">
            <v>59027776.670000002</v>
          </cell>
          <cell r="E46">
            <v>20000000</v>
          </cell>
          <cell r="F46">
            <v>40000000</v>
          </cell>
          <cell r="G46">
            <v>0</v>
          </cell>
          <cell r="H46">
            <v>50000000</v>
          </cell>
          <cell r="I46">
            <v>0</v>
          </cell>
          <cell r="J46">
            <v>30000000</v>
          </cell>
          <cell r="K46">
            <v>30000000</v>
          </cell>
          <cell r="L46">
            <v>0</v>
          </cell>
          <cell r="M46">
            <v>40000000</v>
          </cell>
          <cell r="N46">
            <v>0</v>
          </cell>
          <cell r="O46">
            <v>40000000</v>
          </cell>
          <cell r="P46">
            <v>0</v>
          </cell>
          <cell r="Q46">
            <v>52000000</v>
          </cell>
          <cell r="R46">
            <v>67000000</v>
          </cell>
          <cell r="S46">
            <v>57000000</v>
          </cell>
          <cell r="T46">
            <v>0</v>
          </cell>
          <cell r="U46">
            <v>193140000</v>
          </cell>
          <cell r="V46">
            <v>0</v>
          </cell>
          <cell r="W46">
            <v>175000000</v>
          </cell>
          <cell r="Y46">
            <v>0</v>
          </cell>
          <cell r="Z46">
            <v>350000000</v>
          </cell>
          <cell r="AA46">
            <v>0</v>
          </cell>
          <cell r="AB46">
            <v>0</v>
          </cell>
          <cell r="AC46">
            <v>356000000</v>
          </cell>
          <cell r="AD46">
            <v>20000000</v>
          </cell>
          <cell r="AE46">
            <v>552000000</v>
          </cell>
          <cell r="AF46">
            <v>20000000</v>
          </cell>
          <cell r="AG46">
            <v>300000000</v>
          </cell>
          <cell r="AH46">
            <v>100000000</v>
          </cell>
          <cell r="AI46">
            <v>15000000</v>
          </cell>
          <cell r="AJ46">
            <v>2000000</v>
          </cell>
          <cell r="AK46">
            <v>10000000</v>
          </cell>
          <cell r="AL46">
            <v>3450000000</v>
          </cell>
          <cell r="AM46">
            <v>565410000</v>
          </cell>
          <cell r="AN46">
            <v>15000000</v>
          </cell>
          <cell r="AO46">
            <v>15000000</v>
          </cell>
          <cell r="AP46">
            <v>10000000</v>
          </cell>
          <cell r="AQ46">
            <v>0</v>
          </cell>
          <cell r="AS46">
            <v>300000000</v>
          </cell>
          <cell r="AT46">
            <v>120000000</v>
          </cell>
          <cell r="AU46">
            <v>10000000</v>
          </cell>
          <cell r="AV46">
            <v>5000000</v>
          </cell>
          <cell r="AW46">
            <v>10000000</v>
          </cell>
          <cell r="AX46">
            <v>0</v>
          </cell>
          <cell r="AY46">
            <v>350000000</v>
          </cell>
          <cell r="AZ46">
            <v>175823700</v>
          </cell>
          <cell r="BA46">
            <v>20000000</v>
          </cell>
          <cell r="BB46">
            <v>5000000</v>
          </cell>
          <cell r="BC46">
            <v>10000000</v>
          </cell>
          <cell r="BD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30000000</v>
          </cell>
          <cell r="K47">
            <v>30000000</v>
          </cell>
          <cell r="L47">
            <v>0</v>
          </cell>
          <cell r="M47">
            <v>40000000</v>
          </cell>
          <cell r="N47">
            <v>0</v>
          </cell>
          <cell r="O47">
            <v>40000000</v>
          </cell>
          <cell r="P47">
            <v>0</v>
          </cell>
          <cell r="Q47">
            <v>52000000</v>
          </cell>
          <cell r="R47">
            <v>67000000</v>
          </cell>
          <cell r="S47">
            <v>48450000</v>
          </cell>
          <cell r="T47">
            <v>0</v>
          </cell>
          <cell r="U47">
            <v>164169000</v>
          </cell>
          <cell r="V47">
            <v>200000000</v>
          </cell>
          <cell r="W47">
            <v>175000000</v>
          </cell>
          <cell r="Y47">
            <v>0</v>
          </cell>
          <cell r="Z47">
            <v>350000000</v>
          </cell>
          <cell r="AA47">
            <v>0</v>
          </cell>
          <cell r="AB47">
            <v>0</v>
          </cell>
          <cell r="AC47">
            <v>356000000</v>
          </cell>
          <cell r="AD47">
            <v>20000000</v>
          </cell>
          <cell r="AE47">
            <v>552000000</v>
          </cell>
          <cell r="AF47">
            <v>20000000</v>
          </cell>
          <cell r="AG47">
            <v>400000000</v>
          </cell>
          <cell r="AH47">
            <v>100000000</v>
          </cell>
          <cell r="AI47">
            <v>15000000</v>
          </cell>
          <cell r="AJ47">
            <v>2000000</v>
          </cell>
          <cell r="AK47">
            <v>10000000</v>
          </cell>
          <cell r="AL47">
            <v>800000000</v>
          </cell>
          <cell r="AM47">
            <v>565410000</v>
          </cell>
          <cell r="AN47">
            <v>15000000</v>
          </cell>
          <cell r="AO47">
            <v>15000000</v>
          </cell>
          <cell r="AP47">
            <v>10000000</v>
          </cell>
          <cell r="AQ47">
            <v>0</v>
          </cell>
          <cell r="AR47">
            <v>200000000</v>
          </cell>
          <cell r="AS47">
            <v>300000000</v>
          </cell>
          <cell r="AT47">
            <v>120000000</v>
          </cell>
          <cell r="AU47">
            <v>10000000</v>
          </cell>
          <cell r="AV47">
            <v>5000000</v>
          </cell>
          <cell r="AW47">
            <v>10000000</v>
          </cell>
          <cell r="AX47">
            <v>0</v>
          </cell>
          <cell r="AY47">
            <v>350000000</v>
          </cell>
          <cell r="AZ47">
            <v>175823700</v>
          </cell>
          <cell r="BA47">
            <v>20000000</v>
          </cell>
          <cell r="BB47">
            <v>5000000</v>
          </cell>
          <cell r="BC47">
            <v>10000000</v>
          </cell>
          <cell r="BD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30000000</v>
          </cell>
          <cell r="K48">
            <v>30000000</v>
          </cell>
          <cell r="L48">
            <v>0</v>
          </cell>
          <cell r="M48">
            <v>40000000</v>
          </cell>
          <cell r="N48">
            <v>0</v>
          </cell>
          <cell r="O48">
            <v>40000000</v>
          </cell>
          <cell r="P48">
            <v>75000000</v>
          </cell>
          <cell r="Q48">
            <v>52000000</v>
          </cell>
          <cell r="R48">
            <v>67000000</v>
          </cell>
          <cell r="S48">
            <v>57000000</v>
          </cell>
          <cell r="T48">
            <v>0</v>
          </cell>
          <cell r="U48">
            <v>193140000</v>
          </cell>
          <cell r="V48">
            <v>500000000</v>
          </cell>
          <cell r="W48">
            <v>175000000</v>
          </cell>
          <cell r="Y48">
            <v>0</v>
          </cell>
          <cell r="Z48">
            <v>350000000</v>
          </cell>
          <cell r="AA48">
            <v>0</v>
          </cell>
          <cell r="AB48">
            <v>0</v>
          </cell>
          <cell r="AC48">
            <v>356000000</v>
          </cell>
          <cell r="AD48">
            <v>20000000</v>
          </cell>
          <cell r="AE48">
            <v>552000000</v>
          </cell>
          <cell r="AF48">
            <v>20000000</v>
          </cell>
          <cell r="AG48">
            <v>150000000</v>
          </cell>
          <cell r="AH48">
            <v>100000000</v>
          </cell>
          <cell r="AI48">
            <v>15000000</v>
          </cell>
          <cell r="AJ48">
            <v>2000000</v>
          </cell>
          <cell r="AK48">
            <v>10000000</v>
          </cell>
          <cell r="AL48">
            <v>0</v>
          </cell>
          <cell r="AM48">
            <v>565410000</v>
          </cell>
          <cell r="AN48">
            <v>15000000</v>
          </cell>
          <cell r="AO48">
            <v>15000000</v>
          </cell>
          <cell r="AP48">
            <v>10000000</v>
          </cell>
          <cell r="AQ48">
            <v>0</v>
          </cell>
          <cell r="AR48">
            <v>0</v>
          </cell>
          <cell r="AS48">
            <v>300000000</v>
          </cell>
          <cell r="AT48">
            <v>120000000</v>
          </cell>
          <cell r="AU48">
            <v>10000000</v>
          </cell>
          <cell r="AV48">
            <v>5000000</v>
          </cell>
          <cell r="AW48">
            <v>10000000</v>
          </cell>
          <cell r="AX48">
            <v>0</v>
          </cell>
          <cell r="AY48">
            <v>350000000</v>
          </cell>
          <cell r="AZ48">
            <v>175823700</v>
          </cell>
          <cell r="BA48">
            <v>20000000</v>
          </cell>
          <cell r="BB48">
            <v>5000000</v>
          </cell>
          <cell r="BC48">
            <v>10000000</v>
          </cell>
          <cell r="BD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40000000</v>
          </cell>
          <cell r="N49">
            <v>0</v>
          </cell>
          <cell r="O49">
            <v>40000000</v>
          </cell>
          <cell r="P49">
            <v>0</v>
          </cell>
          <cell r="Q49">
            <v>52000000</v>
          </cell>
          <cell r="R49">
            <v>67000000</v>
          </cell>
          <cell r="S49">
            <v>57000000</v>
          </cell>
          <cell r="T49">
            <v>0</v>
          </cell>
          <cell r="U49">
            <v>193140000</v>
          </cell>
          <cell r="V49">
            <v>470000000</v>
          </cell>
          <cell r="W49">
            <v>175000000</v>
          </cell>
          <cell r="Y49">
            <v>60000000</v>
          </cell>
          <cell r="Z49">
            <v>350000000</v>
          </cell>
          <cell r="AA49">
            <v>292000000</v>
          </cell>
          <cell r="AB49">
            <v>20000000</v>
          </cell>
          <cell r="AC49">
            <v>356000000</v>
          </cell>
          <cell r="AD49">
            <v>20000000</v>
          </cell>
          <cell r="AE49">
            <v>552000000</v>
          </cell>
          <cell r="AF49">
            <v>20000000</v>
          </cell>
          <cell r="AG49">
            <v>300000000</v>
          </cell>
          <cell r="AH49">
            <v>100000000</v>
          </cell>
          <cell r="AI49">
            <v>15000000</v>
          </cell>
          <cell r="AJ49">
            <v>2000000</v>
          </cell>
          <cell r="AK49">
            <v>10000000</v>
          </cell>
          <cell r="AL49">
            <v>4830000000</v>
          </cell>
          <cell r="AM49">
            <v>565410000</v>
          </cell>
          <cell r="AN49">
            <v>15000000</v>
          </cell>
          <cell r="AO49">
            <v>15000000</v>
          </cell>
          <cell r="AP49">
            <v>10000000</v>
          </cell>
          <cell r="AQ49">
            <v>0</v>
          </cell>
          <cell r="AS49">
            <v>300000000</v>
          </cell>
          <cell r="AT49">
            <v>120000000</v>
          </cell>
          <cell r="AU49">
            <v>10000000</v>
          </cell>
          <cell r="AV49">
            <v>5000000</v>
          </cell>
          <cell r="AW49">
            <v>10000000</v>
          </cell>
          <cell r="AX49">
            <v>0</v>
          </cell>
          <cell r="AY49">
            <v>350000000</v>
          </cell>
          <cell r="AZ49">
            <v>175823700</v>
          </cell>
          <cell r="BA49">
            <v>20000000</v>
          </cell>
          <cell r="BB49">
            <v>5000000</v>
          </cell>
          <cell r="BC49">
            <v>10000000</v>
          </cell>
          <cell r="BD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40000000</v>
          </cell>
          <cell r="N50">
            <v>0</v>
          </cell>
          <cell r="O50">
            <v>40000000</v>
          </cell>
          <cell r="P50">
            <v>0</v>
          </cell>
          <cell r="Q50">
            <v>52000000</v>
          </cell>
          <cell r="R50">
            <v>67000000</v>
          </cell>
          <cell r="S50">
            <v>57000000</v>
          </cell>
          <cell r="T50">
            <v>0</v>
          </cell>
          <cell r="U50">
            <v>193140000</v>
          </cell>
          <cell r="V50">
            <v>0</v>
          </cell>
          <cell r="W50">
            <v>175000000</v>
          </cell>
          <cell r="Y50">
            <v>0</v>
          </cell>
          <cell r="Z50">
            <v>350000000</v>
          </cell>
          <cell r="AA50">
            <v>0</v>
          </cell>
          <cell r="AB50">
            <v>0</v>
          </cell>
          <cell r="AC50">
            <v>356000000</v>
          </cell>
          <cell r="AD50">
            <v>20000000</v>
          </cell>
          <cell r="AE50">
            <v>552000000</v>
          </cell>
          <cell r="AF50">
            <v>20000000</v>
          </cell>
          <cell r="AG50">
            <v>500000000</v>
          </cell>
          <cell r="AH50">
            <v>100000000</v>
          </cell>
          <cell r="AI50">
            <v>15000000</v>
          </cell>
          <cell r="AJ50">
            <v>2000000</v>
          </cell>
          <cell r="AK50">
            <v>10000000</v>
          </cell>
          <cell r="AL50">
            <v>1010000000</v>
          </cell>
          <cell r="AM50">
            <v>565410000</v>
          </cell>
          <cell r="AN50">
            <v>15000000</v>
          </cell>
          <cell r="AO50">
            <v>15000000</v>
          </cell>
          <cell r="AP50">
            <v>10000000</v>
          </cell>
          <cell r="AQ50">
            <v>0</v>
          </cell>
          <cell r="AS50">
            <v>300000000</v>
          </cell>
          <cell r="AT50">
            <v>120000000</v>
          </cell>
          <cell r="AU50">
            <v>10000000</v>
          </cell>
          <cell r="AV50">
            <v>5000000</v>
          </cell>
          <cell r="AW50">
            <v>10000000</v>
          </cell>
          <cell r="AX50">
            <v>0</v>
          </cell>
          <cell r="AY50">
            <v>350000000</v>
          </cell>
          <cell r="AZ50">
            <v>175823700</v>
          </cell>
          <cell r="BA50">
            <v>20000000</v>
          </cell>
          <cell r="BB50">
            <v>5000000</v>
          </cell>
          <cell r="BC50">
            <v>10000000</v>
          </cell>
          <cell r="BD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40000000</v>
          </cell>
          <cell r="P51">
            <v>0</v>
          </cell>
          <cell r="Q51">
            <v>52000000</v>
          </cell>
          <cell r="R51">
            <v>67000000</v>
          </cell>
          <cell r="S51">
            <v>57000000</v>
          </cell>
          <cell r="T51">
            <v>0</v>
          </cell>
          <cell r="U51">
            <v>193140000</v>
          </cell>
          <cell r="V51">
            <v>450000000</v>
          </cell>
          <cell r="W51">
            <v>175000000</v>
          </cell>
          <cell r="Y51">
            <v>0</v>
          </cell>
          <cell r="Z51">
            <v>350000000</v>
          </cell>
          <cell r="AA51">
            <v>650000000</v>
          </cell>
          <cell r="AB51">
            <v>300000000</v>
          </cell>
          <cell r="AC51">
            <v>356000000</v>
          </cell>
          <cell r="AD51">
            <v>20000000</v>
          </cell>
          <cell r="AE51">
            <v>552000000</v>
          </cell>
          <cell r="AF51">
            <v>20000000</v>
          </cell>
          <cell r="AG51">
            <v>0</v>
          </cell>
          <cell r="AH51">
            <v>100000000</v>
          </cell>
          <cell r="AI51">
            <v>15000000</v>
          </cell>
          <cell r="AJ51">
            <v>2000000</v>
          </cell>
          <cell r="AK51">
            <v>10000000</v>
          </cell>
          <cell r="AL51">
            <v>3300000000</v>
          </cell>
          <cell r="AM51">
            <v>565410000</v>
          </cell>
          <cell r="AN51">
            <v>15000000</v>
          </cell>
          <cell r="AO51">
            <v>15000000</v>
          </cell>
          <cell r="AP51">
            <v>10000000</v>
          </cell>
          <cell r="AQ51">
            <v>0</v>
          </cell>
          <cell r="AS51">
            <v>300000000</v>
          </cell>
          <cell r="AT51">
            <v>120000000</v>
          </cell>
          <cell r="AU51">
            <v>10000000</v>
          </cell>
          <cell r="AV51">
            <v>5000000</v>
          </cell>
          <cell r="AW51">
            <v>10000000</v>
          </cell>
          <cell r="AX51">
            <v>0</v>
          </cell>
          <cell r="AY51">
            <v>350000000</v>
          </cell>
          <cell r="AZ51">
            <v>175823700</v>
          </cell>
          <cell r="BA51">
            <v>20000000</v>
          </cell>
          <cell r="BB51">
            <v>5000000</v>
          </cell>
          <cell r="BC51">
            <v>10000000</v>
          </cell>
          <cell r="BD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40000000</v>
          </cell>
          <cell r="P52">
            <v>0</v>
          </cell>
          <cell r="Q52">
            <v>52000000</v>
          </cell>
          <cell r="R52">
            <v>67000000</v>
          </cell>
          <cell r="S52">
            <v>57000000</v>
          </cell>
          <cell r="T52">
            <v>0</v>
          </cell>
          <cell r="U52">
            <v>193140000</v>
          </cell>
          <cell r="V52">
            <v>550000000</v>
          </cell>
          <cell r="W52">
            <v>175000000</v>
          </cell>
          <cell r="Y52">
            <v>500000000</v>
          </cell>
          <cell r="Z52">
            <v>350000000</v>
          </cell>
          <cell r="AA52">
            <v>50000000</v>
          </cell>
          <cell r="AB52">
            <v>0</v>
          </cell>
          <cell r="AC52">
            <v>356000000</v>
          </cell>
          <cell r="AD52">
            <v>20000000</v>
          </cell>
          <cell r="AE52">
            <v>552000000</v>
          </cell>
          <cell r="AF52">
            <v>20000000</v>
          </cell>
          <cell r="AG52">
            <v>100000000</v>
          </cell>
          <cell r="AH52">
            <v>100000000</v>
          </cell>
          <cell r="AI52">
            <v>15000000</v>
          </cell>
          <cell r="AJ52">
            <v>2000000</v>
          </cell>
          <cell r="AK52">
            <v>10000000</v>
          </cell>
          <cell r="AL52">
            <v>800000000</v>
          </cell>
          <cell r="AM52">
            <v>565410000</v>
          </cell>
          <cell r="AN52">
            <v>15000000</v>
          </cell>
          <cell r="AO52">
            <v>15000000</v>
          </cell>
          <cell r="AP52">
            <v>10000000</v>
          </cell>
          <cell r="AQ52">
            <v>0</v>
          </cell>
          <cell r="AR52">
            <v>300000000</v>
          </cell>
          <cell r="AS52">
            <v>300000000</v>
          </cell>
          <cell r="AT52">
            <v>120000000</v>
          </cell>
          <cell r="AU52">
            <v>10000000</v>
          </cell>
          <cell r="AV52">
            <v>5000000</v>
          </cell>
          <cell r="AW52">
            <v>10000000</v>
          </cell>
          <cell r="AX52">
            <v>0</v>
          </cell>
          <cell r="AY52">
            <v>350000000</v>
          </cell>
          <cell r="AZ52">
            <v>175823700</v>
          </cell>
          <cell r="BA52">
            <v>20000000</v>
          </cell>
          <cell r="BB52">
            <v>5000000</v>
          </cell>
          <cell r="BC52">
            <v>10000000</v>
          </cell>
          <cell r="BD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40000000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175000000</v>
          </cell>
          <cell r="Y53">
            <v>0</v>
          </cell>
          <cell r="Z53">
            <v>350000000</v>
          </cell>
          <cell r="AA53">
            <v>0</v>
          </cell>
          <cell r="AB53">
            <v>0</v>
          </cell>
          <cell r="AC53">
            <v>356000000</v>
          </cell>
          <cell r="AD53">
            <v>20000000</v>
          </cell>
          <cell r="AE53">
            <v>552000000</v>
          </cell>
          <cell r="AF53">
            <v>20000000</v>
          </cell>
          <cell r="AG53">
            <v>200000000</v>
          </cell>
          <cell r="AH53">
            <v>100000000</v>
          </cell>
          <cell r="AI53">
            <v>15000000</v>
          </cell>
          <cell r="AJ53">
            <v>2000000</v>
          </cell>
          <cell r="AK53">
            <v>10000000</v>
          </cell>
          <cell r="AL53">
            <v>0</v>
          </cell>
          <cell r="AM53">
            <v>565410000</v>
          </cell>
          <cell r="AN53">
            <v>15000000</v>
          </cell>
          <cell r="AO53">
            <v>15000000</v>
          </cell>
          <cell r="AP53">
            <v>10000000</v>
          </cell>
          <cell r="AQ53">
            <v>0</v>
          </cell>
          <cell r="AR53">
            <v>300000000</v>
          </cell>
          <cell r="AS53">
            <v>300000000</v>
          </cell>
          <cell r="AT53">
            <v>240000000</v>
          </cell>
          <cell r="AU53">
            <v>10000000</v>
          </cell>
          <cell r="AV53">
            <v>5000000</v>
          </cell>
          <cell r="AW53">
            <v>10000000</v>
          </cell>
          <cell r="AX53">
            <v>0</v>
          </cell>
          <cell r="AY53">
            <v>350000000</v>
          </cell>
          <cell r="AZ53">
            <v>175823700</v>
          </cell>
          <cell r="BA53">
            <v>20000000</v>
          </cell>
          <cell r="BB53">
            <v>5000000</v>
          </cell>
          <cell r="BC53">
            <v>10000000</v>
          </cell>
          <cell r="BD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40000000</v>
          </cell>
          <cell r="P54">
            <v>0</v>
          </cell>
          <cell r="Q54">
            <v>52000000</v>
          </cell>
          <cell r="R54">
            <v>67000000</v>
          </cell>
          <cell r="S54">
            <v>57000000</v>
          </cell>
          <cell r="T54">
            <v>0</v>
          </cell>
          <cell r="U54">
            <v>164169000</v>
          </cell>
          <cell r="V54">
            <v>0</v>
          </cell>
          <cell r="W54">
            <v>175000000</v>
          </cell>
          <cell r="Y54">
            <v>470000000</v>
          </cell>
          <cell r="Z54">
            <v>350000000</v>
          </cell>
          <cell r="AA54">
            <v>292000000</v>
          </cell>
          <cell r="AB54">
            <v>10000000</v>
          </cell>
          <cell r="AC54">
            <v>356000000</v>
          </cell>
          <cell r="AD54">
            <v>20000000</v>
          </cell>
          <cell r="AE54">
            <v>552000000</v>
          </cell>
          <cell r="AF54">
            <v>20000000</v>
          </cell>
          <cell r="AG54">
            <v>200000000</v>
          </cell>
          <cell r="AH54">
            <v>100000000</v>
          </cell>
          <cell r="AI54">
            <v>15000000</v>
          </cell>
          <cell r="AJ54">
            <v>2000000</v>
          </cell>
          <cell r="AK54">
            <v>10000000</v>
          </cell>
          <cell r="AL54">
            <v>220000000</v>
          </cell>
          <cell r="AM54">
            <v>565410000</v>
          </cell>
          <cell r="AN54">
            <v>15000000</v>
          </cell>
          <cell r="AO54">
            <v>15000000</v>
          </cell>
          <cell r="AP54">
            <v>10000000</v>
          </cell>
          <cell r="AQ54">
            <v>0</v>
          </cell>
          <cell r="AR54">
            <v>300000000</v>
          </cell>
          <cell r="AS54">
            <v>300000000</v>
          </cell>
          <cell r="AT54">
            <v>120000000</v>
          </cell>
          <cell r="AU54">
            <v>10000000</v>
          </cell>
          <cell r="AV54">
            <v>5000000</v>
          </cell>
          <cell r="AW54">
            <v>10000000</v>
          </cell>
          <cell r="AX54">
            <v>0</v>
          </cell>
          <cell r="AY54">
            <v>350000000</v>
          </cell>
          <cell r="AZ54">
            <v>175823700</v>
          </cell>
          <cell r="BA54">
            <v>20000000</v>
          </cell>
          <cell r="BB54">
            <v>5000000</v>
          </cell>
          <cell r="BC54">
            <v>10000000</v>
          </cell>
          <cell r="BD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40000000</v>
          </cell>
          <cell r="P55">
            <v>0</v>
          </cell>
          <cell r="Q55">
            <v>52000000</v>
          </cell>
          <cell r="R55">
            <v>67000000</v>
          </cell>
          <cell r="S55">
            <v>57000000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Y55">
            <v>0</v>
          </cell>
          <cell r="Z55">
            <v>0</v>
          </cell>
          <cell r="AA55">
            <v>42000000</v>
          </cell>
          <cell r="AB55">
            <v>361000000</v>
          </cell>
          <cell r="AC55">
            <v>356000000</v>
          </cell>
          <cell r="AD55">
            <v>20000000</v>
          </cell>
          <cell r="AE55">
            <v>0</v>
          </cell>
          <cell r="AF55">
            <v>0</v>
          </cell>
          <cell r="AG55">
            <v>200000000</v>
          </cell>
          <cell r="AH55">
            <v>100000000</v>
          </cell>
          <cell r="AI55">
            <v>15000000</v>
          </cell>
          <cell r="AJ55">
            <v>2000000</v>
          </cell>
          <cell r="AK55">
            <v>10000000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>
            <v>0</v>
          </cell>
          <cell r="AR55">
            <v>300000000</v>
          </cell>
          <cell r="AS55">
            <v>300000000</v>
          </cell>
          <cell r="AT55">
            <v>120000000</v>
          </cell>
          <cell r="AU55">
            <v>10000000</v>
          </cell>
          <cell r="AV55">
            <v>5000000</v>
          </cell>
          <cell r="AW55">
            <v>10000000</v>
          </cell>
          <cell r="AX55">
            <v>0</v>
          </cell>
          <cell r="AY55">
            <v>0</v>
          </cell>
          <cell r="AZ55">
            <v>175823700</v>
          </cell>
          <cell r="BD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52000000</v>
          </cell>
          <cell r="R56">
            <v>67000000</v>
          </cell>
          <cell r="S56">
            <v>57000000</v>
          </cell>
          <cell r="T56">
            <v>35185417</v>
          </cell>
          <cell r="U56">
            <v>193140000</v>
          </cell>
          <cell r="V56">
            <v>280000000</v>
          </cell>
          <cell r="W56">
            <v>175000000</v>
          </cell>
          <cell r="Y56">
            <v>0</v>
          </cell>
          <cell r="Z56">
            <v>350000000</v>
          </cell>
          <cell r="AA56">
            <v>230000000</v>
          </cell>
          <cell r="AB56">
            <v>230000000</v>
          </cell>
          <cell r="AC56">
            <v>356000000</v>
          </cell>
          <cell r="AD56">
            <v>20000000</v>
          </cell>
          <cell r="AE56">
            <v>552000000</v>
          </cell>
          <cell r="AF56">
            <v>20000000</v>
          </cell>
          <cell r="AG56">
            <v>300000000</v>
          </cell>
          <cell r="AH56">
            <v>100000000</v>
          </cell>
          <cell r="AI56">
            <v>15000000</v>
          </cell>
          <cell r="AJ56">
            <v>2000000</v>
          </cell>
          <cell r="AK56">
            <v>10000000</v>
          </cell>
          <cell r="AL56">
            <v>600000000</v>
          </cell>
          <cell r="AM56">
            <v>565410000</v>
          </cell>
          <cell r="AN56">
            <v>15000000</v>
          </cell>
          <cell r="AO56">
            <v>15000000</v>
          </cell>
          <cell r="AP56">
            <v>10000000</v>
          </cell>
          <cell r="AQ56">
            <v>0</v>
          </cell>
          <cell r="AR56">
            <v>300000000</v>
          </cell>
          <cell r="AS56">
            <v>300000000</v>
          </cell>
          <cell r="AT56">
            <v>120000000</v>
          </cell>
          <cell r="AU56">
            <v>10000000</v>
          </cell>
          <cell r="AV56">
            <v>5000000</v>
          </cell>
          <cell r="AW56">
            <v>10000000</v>
          </cell>
          <cell r="AX56">
            <v>0</v>
          </cell>
          <cell r="AY56">
            <v>350000000</v>
          </cell>
          <cell r="AZ56">
            <v>175823700</v>
          </cell>
          <cell r="BA56">
            <v>20000000</v>
          </cell>
          <cell r="BB56">
            <v>5000000</v>
          </cell>
          <cell r="BC56">
            <v>10000000</v>
          </cell>
          <cell r="BD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52000000</v>
          </cell>
          <cell r="R57">
            <v>67000000</v>
          </cell>
          <cell r="S57">
            <v>57000000</v>
          </cell>
          <cell r="T57">
            <v>300000000</v>
          </cell>
          <cell r="U57">
            <v>193140000</v>
          </cell>
          <cell r="V57">
            <v>0</v>
          </cell>
          <cell r="W57">
            <v>175000000</v>
          </cell>
          <cell r="Y57">
            <v>200000000</v>
          </cell>
          <cell r="Z57">
            <v>350000000</v>
          </cell>
          <cell r="AA57">
            <v>42000000</v>
          </cell>
          <cell r="AB57">
            <v>100000000</v>
          </cell>
          <cell r="AC57">
            <v>356000000</v>
          </cell>
          <cell r="AD57">
            <v>20000000</v>
          </cell>
          <cell r="AE57">
            <v>552000000</v>
          </cell>
          <cell r="AF57">
            <v>20000000</v>
          </cell>
          <cell r="AG57">
            <v>100000000</v>
          </cell>
          <cell r="AH57">
            <v>100000000</v>
          </cell>
          <cell r="AI57">
            <v>15000000</v>
          </cell>
          <cell r="AJ57">
            <v>2000000</v>
          </cell>
          <cell r="AK57">
            <v>10000000</v>
          </cell>
          <cell r="AL57">
            <v>1190000000</v>
          </cell>
          <cell r="AM57">
            <v>565410000</v>
          </cell>
          <cell r="AN57">
            <v>15000000</v>
          </cell>
          <cell r="AO57">
            <v>15000000</v>
          </cell>
          <cell r="AP57">
            <v>10000000</v>
          </cell>
          <cell r="AQ57">
            <v>0</v>
          </cell>
          <cell r="AS57">
            <v>300000000</v>
          </cell>
          <cell r="AT57">
            <v>120000000</v>
          </cell>
          <cell r="AU57">
            <v>10000000</v>
          </cell>
          <cell r="AV57">
            <v>5000000</v>
          </cell>
          <cell r="AW57">
            <v>10000000</v>
          </cell>
          <cell r="AX57">
            <v>0</v>
          </cell>
          <cell r="AY57">
            <v>350000000</v>
          </cell>
          <cell r="AZ57">
            <v>175823700</v>
          </cell>
          <cell r="BA57">
            <v>20000000</v>
          </cell>
          <cell r="BB57">
            <v>5000000</v>
          </cell>
          <cell r="BC57">
            <v>10000000</v>
          </cell>
          <cell r="BD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500000000</v>
          </cell>
          <cell r="R58">
            <v>67000000</v>
          </cell>
          <cell r="S58">
            <v>57000000</v>
          </cell>
          <cell r="T58">
            <v>0</v>
          </cell>
          <cell r="U58">
            <v>193140000</v>
          </cell>
          <cell r="V58">
            <v>127500000</v>
          </cell>
          <cell r="W58">
            <v>175000000</v>
          </cell>
          <cell r="Y58">
            <v>0</v>
          </cell>
          <cell r="Z58">
            <v>350000000</v>
          </cell>
          <cell r="AA58">
            <v>217000000</v>
          </cell>
          <cell r="AB58">
            <v>120000000</v>
          </cell>
          <cell r="AC58">
            <v>356000000</v>
          </cell>
          <cell r="AD58">
            <v>20000000</v>
          </cell>
          <cell r="AE58">
            <v>552000000</v>
          </cell>
          <cell r="AF58">
            <v>20000000</v>
          </cell>
          <cell r="AG58">
            <v>130000000</v>
          </cell>
          <cell r="AH58">
            <v>100000000</v>
          </cell>
          <cell r="AI58">
            <v>15000000</v>
          </cell>
          <cell r="AJ58">
            <v>2000000</v>
          </cell>
          <cell r="AK58">
            <v>10000000</v>
          </cell>
          <cell r="AL58">
            <v>0</v>
          </cell>
          <cell r="AM58">
            <v>565410000</v>
          </cell>
          <cell r="AN58">
            <v>15000000</v>
          </cell>
          <cell r="AO58">
            <v>15000000</v>
          </cell>
          <cell r="AP58">
            <v>10000000</v>
          </cell>
          <cell r="AQ58">
            <v>0</v>
          </cell>
          <cell r="AR58">
            <v>300000000</v>
          </cell>
          <cell r="AS58">
            <v>300000000</v>
          </cell>
          <cell r="AT58">
            <v>120000000</v>
          </cell>
          <cell r="AU58">
            <v>10000000</v>
          </cell>
          <cell r="AV58">
            <v>5000000</v>
          </cell>
          <cell r="AW58">
            <v>10000000</v>
          </cell>
          <cell r="AX58">
            <v>0</v>
          </cell>
          <cell r="AY58">
            <v>350000000</v>
          </cell>
          <cell r="AZ58">
            <v>175823700</v>
          </cell>
          <cell r="BA58">
            <v>20000000</v>
          </cell>
          <cell r="BB58">
            <v>5000000</v>
          </cell>
          <cell r="BC58">
            <v>10000000</v>
          </cell>
          <cell r="BD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44200000</v>
          </cell>
          <cell r="R59">
            <v>56950000</v>
          </cell>
          <cell r="S59">
            <v>48450000</v>
          </cell>
          <cell r="T59">
            <v>0</v>
          </cell>
          <cell r="U59">
            <v>164169000</v>
          </cell>
          <cell r="V59">
            <v>0</v>
          </cell>
          <cell r="W59">
            <v>175000000</v>
          </cell>
          <cell r="Y59">
            <v>0</v>
          </cell>
          <cell r="Z59">
            <v>350000000</v>
          </cell>
          <cell r="AA59">
            <v>74000000</v>
          </cell>
          <cell r="AB59">
            <v>0</v>
          </cell>
          <cell r="AC59">
            <v>356000000</v>
          </cell>
          <cell r="AD59">
            <v>20000000</v>
          </cell>
          <cell r="AE59">
            <v>552000000</v>
          </cell>
          <cell r="AF59">
            <v>20000000</v>
          </cell>
          <cell r="AG59">
            <v>0</v>
          </cell>
          <cell r="AH59">
            <v>100000000</v>
          </cell>
          <cell r="AI59">
            <v>15000000</v>
          </cell>
          <cell r="AJ59">
            <v>2000000</v>
          </cell>
          <cell r="AK59">
            <v>10000000</v>
          </cell>
          <cell r="AL59">
            <v>0</v>
          </cell>
          <cell r="AM59">
            <v>565410000</v>
          </cell>
          <cell r="AN59">
            <v>15000000</v>
          </cell>
          <cell r="AO59">
            <v>15000000</v>
          </cell>
          <cell r="AP59">
            <v>10000000</v>
          </cell>
          <cell r="AQ59">
            <v>0</v>
          </cell>
          <cell r="AS59">
            <v>300000000</v>
          </cell>
          <cell r="AT59">
            <v>120000000</v>
          </cell>
          <cell r="AU59">
            <v>10000000</v>
          </cell>
          <cell r="AV59">
            <v>5000000</v>
          </cell>
          <cell r="AW59">
            <v>10000000</v>
          </cell>
          <cell r="AX59">
            <v>0</v>
          </cell>
          <cell r="AY59">
            <v>350000000</v>
          </cell>
          <cell r="AZ59">
            <v>175823700</v>
          </cell>
          <cell r="BA59">
            <v>20000000</v>
          </cell>
          <cell r="BB59">
            <v>5000000</v>
          </cell>
          <cell r="BC59">
            <v>10000000</v>
          </cell>
          <cell r="BD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67000000</v>
          </cell>
          <cell r="S60">
            <v>57000000</v>
          </cell>
          <cell r="T60">
            <v>0</v>
          </cell>
          <cell r="U60">
            <v>193140000</v>
          </cell>
          <cell r="V60">
            <v>100000000</v>
          </cell>
          <cell r="W60">
            <v>175000000</v>
          </cell>
          <cell r="Y60">
            <v>0</v>
          </cell>
          <cell r="Z60">
            <v>350000000</v>
          </cell>
          <cell r="AA60">
            <v>42000000</v>
          </cell>
          <cell r="AB60">
            <v>0</v>
          </cell>
          <cell r="AC60">
            <v>356000000</v>
          </cell>
          <cell r="AD60">
            <v>20000000</v>
          </cell>
          <cell r="AE60">
            <v>552000000</v>
          </cell>
          <cell r="AF60">
            <v>20000000</v>
          </cell>
          <cell r="AG60">
            <v>221000000</v>
          </cell>
          <cell r="AH60">
            <v>100000000</v>
          </cell>
          <cell r="AI60">
            <v>15000000</v>
          </cell>
          <cell r="AJ60">
            <v>2000000</v>
          </cell>
          <cell r="AK60">
            <v>10000000</v>
          </cell>
          <cell r="AL60">
            <v>150000000</v>
          </cell>
          <cell r="AM60">
            <v>565410000</v>
          </cell>
          <cell r="AN60">
            <v>15000000</v>
          </cell>
          <cell r="AO60">
            <v>15000000</v>
          </cell>
          <cell r="AP60">
            <v>10000000</v>
          </cell>
          <cell r="AQ60">
            <v>0</v>
          </cell>
          <cell r="AS60">
            <v>300000000</v>
          </cell>
          <cell r="AT60">
            <v>120000000</v>
          </cell>
          <cell r="AU60">
            <v>10000000</v>
          </cell>
          <cell r="AV60">
            <v>5000000</v>
          </cell>
          <cell r="AW60">
            <v>10000000</v>
          </cell>
          <cell r="AX60">
            <v>0</v>
          </cell>
          <cell r="AY60">
            <v>350000000</v>
          </cell>
          <cell r="AZ60">
            <v>175823700</v>
          </cell>
          <cell r="BA60">
            <v>20000000</v>
          </cell>
          <cell r="BB60">
            <v>5000000</v>
          </cell>
          <cell r="BC60">
            <v>10000000</v>
          </cell>
          <cell r="BD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45940000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Q61">
            <v>0</v>
          </cell>
          <cell r="AX61">
            <v>0</v>
          </cell>
          <cell r="AY61">
            <v>0</v>
          </cell>
          <cell r="BD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193140000</v>
          </cell>
          <cell r="V62">
            <v>250000000</v>
          </cell>
          <cell r="W62">
            <v>175000000</v>
          </cell>
          <cell r="Y62">
            <v>250000000</v>
          </cell>
          <cell r="Z62">
            <v>350000000</v>
          </cell>
          <cell r="AA62">
            <v>0</v>
          </cell>
          <cell r="AB62">
            <v>300000000</v>
          </cell>
          <cell r="AC62">
            <v>356000000</v>
          </cell>
          <cell r="AD62">
            <v>20000000</v>
          </cell>
          <cell r="AE62">
            <v>552000000</v>
          </cell>
          <cell r="AF62">
            <v>20000000</v>
          </cell>
          <cell r="AG62">
            <v>400000000</v>
          </cell>
          <cell r="AH62">
            <v>100000000</v>
          </cell>
          <cell r="AI62">
            <v>15000000</v>
          </cell>
          <cell r="AJ62">
            <v>2000000</v>
          </cell>
          <cell r="AK62">
            <v>10000000</v>
          </cell>
          <cell r="AL62">
            <v>1000000000</v>
          </cell>
          <cell r="AM62">
            <v>565410000</v>
          </cell>
          <cell r="AN62">
            <v>15000000</v>
          </cell>
          <cell r="AO62">
            <v>15000000</v>
          </cell>
          <cell r="AP62">
            <v>10000000</v>
          </cell>
          <cell r="AQ62">
            <v>0</v>
          </cell>
          <cell r="AR62">
            <v>300000000</v>
          </cell>
          <cell r="AS62">
            <v>300000000</v>
          </cell>
          <cell r="AT62">
            <v>120000000</v>
          </cell>
          <cell r="AU62">
            <v>10000000</v>
          </cell>
          <cell r="AV62">
            <v>5000000</v>
          </cell>
          <cell r="AW62">
            <v>10000000</v>
          </cell>
          <cell r="AX62">
            <v>0</v>
          </cell>
          <cell r="AY62">
            <v>350000000</v>
          </cell>
          <cell r="AZ62">
            <v>175823700</v>
          </cell>
          <cell r="BA62">
            <v>20000000</v>
          </cell>
          <cell r="BB62">
            <v>5000000</v>
          </cell>
          <cell r="BC62">
            <v>10000000</v>
          </cell>
          <cell r="BD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34000000</v>
          </cell>
          <cell r="P63">
            <v>0</v>
          </cell>
          <cell r="Q63">
            <v>44200000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175000000</v>
          </cell>
          <cell r="Y63">
            <v>0</v>
          </cell>
          <cell r="Z63">
            <v>350000000</v>
          </cell>
          <cell r="AA63">
            <v>217000000</v>
          </cell>
          <cell r="AB63">
            <v>0</v>
          </cell>
          <cell r="AC63">
            <v>356000000</v>
          </cell>
          <cell r="AD63">
            <v>20000000</v>
          </cell>
          <cell r="AE63">
            <v>552000000</v>
          </cell>
          <cell r="AF63">
            <v>20000000</v>
          </cell>
          <cell r="AG63">
            <v>550000000</v>
          </cell>
          <cell r="AH63">
            <v>100000000</v>
          </cell>
          <cell r="AI63">
            <v>15000000</v>
          </cell>
          <cell r="AJ63">
            <v>2000000</v>
          </cell>
          <cell r="AK63">
            <v>10000000</v>
          </cell>
          <cell r="AL63">
            <v>1000000000</v>
          </cell>
          <cell r="AM63">
            <v>565410000</v>
          </cell>
          <cell r="AN63">
            <v>15000000</v>
          </cell>
          <cell r="AO63">
            <v>15000000</v>
          </cell>
          <cell r="AP63">
            <v>10000000</v>
          </cell>
          <cell r="AQ63">
            <v>0</v>
          </cell>
          <cell r="AS63">
            <v>300000000</v>
          </cell>
          <cell r="AT63">
            <v>120000000</v>
          </cell>
          <cell r="AU63">
            <v>10000000</v>
          </cell>
          <cell r="AV63">
            <v>5000000</v>
          </cell>
          <cell r="AW63">
            <v>10000000</v>
          </cell>
          <cell r="AX63">
            <v>0</v>
          </cell>
          <cell r="AY63">
            <v>350000000</v>
          </cell>
          <cell r="AZ63">
            <v>175823700</v>
          </cell>
          <cell r="BA63">
            <v>20000000</v>
          </cell>
          <cell r="BB63">
            <v>5000000</v>
          </cell>
          <cell r="BC63">
            <v>10000000</v>
          </cell>
          <cell r="BD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175000000</v>
          </cell>
          <cell r="Y64">
            <v>0</v>
          </cell>
          <cell r="Z64">
            <v>350000000</v>
          </cell>
          <cell r="AA64">
            <v>380000000</v>
          </cell>
          <cell r="AB64">
            <v>230000000</v>
          </cell>
          <cell r="AC64">
            <v>356000000</v>
          </cell>
          <cell r="AD64">
            <v>20000000</v>
          </cell>
          <cell r="AE64">
            <v>552000000</v>
          </cell>
          <cell r="AF64">
            <v>20000000</v>
          </cell>
          <cell r="AG64">
            <v>580000000</v>
          </cell>
          <cell r="AH64">
            <v>100000000</v>
          </cell>
          <cell r="AI64">
            <v>15000000</v>
          </cell>
          <cell r="AJ64">
            <v>2000000</v>
          </cell>
          <cell r="AK64">
            <v>10000000</v>
          </cell>
          <cell r="AL64">
            <v>3250000000</v>
          </cell>
          <cell r="AM64">
            <v>565410000</v>
          </cell>
          <cell r="AN64">
            <v>15000000</v>
          </cell>
          <cell r="AO64">
            <v>15000000</v>
          </cell>
          <cell r="AP64">
            <v>10000000</v>
          </cell>
          <cell r="AQ64">
            <v>0</v>
          </cell>
          <cell r="AS64">
            <v>300000000</v>
          </cell>
          <cell r="AT64">
            <v>120000000</v>
          </cell>
          <cell r="AU64">
            <v>10000000</v>
          </cell>
          <cell r="AV64">
            <v>5000000</v>
          </cell>
          <cell r="AW64">
            <v>10000000</v>
          </cell>
          <cell r="AX64">
            <v>0</v>
          </cell>
          <cell r="AY64">
            <v>350000000</v>
          </cell>
          <cell r="AZ64">
            <v>175823700</v>
          </cell>
          <cell r="BA64">
            <v>20000000</v>
          </cell>
          <cell r="BB64">
            <v>5000000</v>
          </cell>
          <cell r="BC64">
            <v>10000000</v>
          </cell>
          <cell r="BD64">
            <v>120021258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125000000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356000000</v>
          </cell>
          <cell r="AD65">
            <v>20000000</v>
          </cell>
          <cell r="AE65">
            <v>0</v>
          </cell>
          <cell r="AF65">
            <v>0</v>
          </cell>
          <cell r="AG65">
            <v>500000000</v>
          </cell>
          <cell r="AH65">
            <v>100000000</v>
          </cell>
          <cell r="AI65">
            <v>15000000</v>
          </cell>
          <cell r="AJ65">
            <v>2000000</v>
          </cell>
          <cell r="AK65">
            <v>10000000</v>
          </cell>
          <cell r="AL65">
            <v>20000000</v>
          </cell>
          <cell r="AM65">
            <v>0</v>
          </cell>
          <cell r="AN65">
            <v>0</v>
          </cell>
          <cell r="AO65">
            <v>0</v>
          </cell>
          <cell r="AQ65">
            <v>0</v>
          </cell>
          <cell r="AS65">
            <v>300000000</v>
          </cell>
          <cell r="AT65">
            <v>120000000</v>
          </cell>
          <cell r="AU65">
            <v>10000000</v>
          </cell>
          <cell r="AV65">
            <v>5000000</v>
          </cell>
          <cell r="AW65">
            <v>10000000</v>
          </cell>
          <cell r="AX65">
            <v>0</v>
          </cell>
          <cell r="AY65">
            <v>0</v>
          </cell>
          <cell r="AZ65">
            <v>175823700</v>
          </cell>
          <cell r="BD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Y66">
            <v>0</v>
          </cell>
          <cell r="Z66">
            <v>350000000</v>
          </cell>
          <cell r="AA66">
            <v>642000000</v>
          </cell>
          <cell r="AB66">
            <v>260000000</v>
          </cell>
          <cell r="AC66">
            <v>356000000</v>
          </cell>
          <cell r="AD66">
            <v>20000000</v>
          </cell>
          <cell r="AE66">
            <v>552000000</v>
          </cell>
          <cell r="AF66">
            <v>20000000</v>
          </cell>
          <cell r="AG66">
            <v>1300000000</v>
          </cell>
          <cell r="AH66">
            <v>100000000</v>
          </cell>
          <cell r="AI66">
            <v>15000000</v>
          </cell>
          <cell r="AJ66">
            <v>2000000</v>
          </cell>
          <cell r="AK66">
            <v>10000000</v>
          </cell>
          <cell r="AL66">
            <v>5050000000</v>
          </cell>
          <cell r="AM66">
            <v>565410000</v>
          </cell>
          <cell r="AN66">
            <v>15000000</v>
          </cell>
          <cell r="AO66">
            <v>15000000</v>
          </cell>
          <cell r="AP66">
            <v>10000000</v>
          </cell>
          <cell r="AQ66">
            <v>0</v>
          </cell>
          <cell r="AS66">
            <v>300000000</v>
          </cell>
          <cell r="AT66">
            <v>120000000</v>
          </cell>
          <cell r="AU66">
            <v>10000000</v>
          </cell>
          <cell r="AV66">
            <v>5000000</v>
          </cell>
          <cell r="AW66">
            <v>10000000</v>
          </cell>
          <cell r="AX66">
            <v>0</v>
          </cell>
          <cell r="AY66">
            <v>350000000</v>
          </cell>
          <cell r="AZ66">
            <v>175823700</v>
          </cell>
          <cell r="BA66">
            <v>20000000</v>
          </cell>
          <cell r="BB66">
            <v>5000000</v>
          </cell>
          <cell r="BC66">
            <v>10000000</v>
          </cell>
          <cell r="BD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1411860554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356000000</v>
          </cell>
          <cell r="AD67">
            <v>20000000</v>
          </cell>
          <cell r="AE67">
            <v>552000000</v>
          </cell>
          <cell r="AF67">
            <v>20000000</v>
          </cell>
          <cell r="AG67">
            <v>400000000</v>
          </cell>
          <cell r="AH67">
            <v>100000000</v>
          </cell>
          <cell r="AI67">
            <v>15000000</v>
          </cell>
          <cell r="AJ67">
            <v>2000000</v>
          </cell>
          <cell r="AK67">
            <v>10000000</v>
          </cell>
          <cell r="AL67">
            <v>100000000</v>
          </cell>
          <cell r="AM67">
            <v>565410000</v>
          </cell>
          <cell r="AN67">
            <v>15000000</v>
          </cell>
          <cell r="AO67">
            <v>15000000</v>
          </cell>
          <cell r="AP67">
            <v>10000000</v>
          </cell>
          <cell r="AQ67">
            <v>0</v>
          </cell>
          <cell r="AS67">
            <v>300000000</v>
          </cell>
          <cell r="AT67">
            <v>240000000</v>
          </cell>
          <cell r="AU67">
            <v>10000000</v>
          </cell>
          <cell r="AV67">
            <v>5000000</v>
          </cell>
          <cell r="AW67">
            <v>10000000</v>
          </cell>
          <cell r="AX67">
            <v>0</v>
          </cell>
          <cell r="AY67">
            <v>350000000</v>
          </cell>
          <cell r="AZ67">
            <v>175823700</v>
          </cell>
          <cell r="BA67">
            <v>20000000</v>
          </cell>
          <cell r="BB67">
            <v>5000000</v>
          </cell>
          <cell r="BC67">
            <v>10000000</v>
          </cell>
          <cell r="BD67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1411860554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356000000</v>
          </cell>
          <cell r="AD68">
            <v>20000000</v>
          </cell>
          <cell r="AE68">
            <v>552000000</v>
          </cell>
          <cell r="AF68">
            <v>20000000</v>
          </cell>
          <cell r="AG68">
            <v>0</v>
          </cell>
          <cell r="AH68">
            <v>100000000</v>
          </cell>
          <cell r="AI68">
            <v>15000000</v>
          </cell>
          <cell r="AJ68">
            <v>2000000</v>
          </cell>
          <cell r="AK68">
            <v>10000000</v>
          </cell>
          <cell r="AL68">
            <v>0</v>
          </cell>
          <cell r="AM68">
            <v>565410000</v>
          </cell>
          <cell r="AN68">
            <v>15000000</v>
          </cell>
          <cell r="AO68">
            <v>15000000</v>
          </cell>
          <cell r="AP68">
            <v>10000000</v>
          </cell>
          <cell r="AQ68">
            <v>0</v>
          </cell>
          <cell r="AS68">
            <v>300000000</v>
          </cell>
          <cell r="AT68">
            <v>120000000</v>
          </cell>
          <cell r="AU68">
            <v>10000000</v>
          </cell>
          <cell r="AV68">
            <v>5000000</v>
          </cell>
          <cell r="AW68">
            <v>10000000</v>
          </cell>
          <cell r="AX68">
            <v>0</v>
          </cell>
          <cell r="AY68">
            <v>350000000</v>
          </cell>
          <cell r="AZ68">
            <v>175823700</v>
          </cell>
          <cell r="BA68">
            <v>20000000</v>
          </cell>
          <cell r="BB68">
            <v>5000000</v>
          </cell>
          <cell r="BC68">
            <v>10000000</v>
          </cell>
          <cell r="BD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1411860554</v>
          </cell>
          <cell r="Y69">
            <v>0</v>
          </cell>
          <cell r="Z69">
            <v>0</v>
          </cell>
          <cell r="AA69">
            <v>142000000</v>
          </cell>
          <cell r="AB69">
            <v>202000000</v>
          </cell>
          <cell r="AC69">
            <v>356000000</v>
          </cell>
          <cell r="AD69">
            <v>20000000</v>
          </cell>
          <cell r="AE69">
            <v>552000000</v>
          </cell>
          <cell r="AF69">
            <v>20000000</v>
          </cell>
          <cell r="AG69">
            <v>345000000</v>
          </cell>
          <cell r="AH69">
            <v>100000000</v>
          </cell>
          <cell r="AI69">
            <v>15000000</v>
          </cell>
          <cell r="AJ69">
            <v>2000000</v>
          </cell>
          <cell r="AK69">
            <v>10000000</v>
          </cell>
          <cell r="AL69">
            <v>4000000000</v>
          </cell>
          <cell r="AM69">
            <v>565410000</v>
          </cell>
          <cell r="AN69">
            <v>15000000</v>
          </cell>
          <cell r="AO69">
            <v>15000000</v>
          </cell>
          <cell r="AP69">
            <v>10000000</v>
          </cell>
          <cell r="AQ69">
            <v>0</v>
          </cell>
          <cell r="AS69">
            <v>300000000</v>
          </cell>
          <cell r="AT69">
            <v>120000000</v>
          </cell>
          <cell r="AU69">
            <v>10000000</v>
          </cell>
          <cell r="AV69">
            <v>5000000</v>
          </cell>
          <cell r="AW69">
            <v>10000000</v>
          </cell>
          <cell r="AX69">
            <v>0</v>
          </cell>
          <cell r="AY69">
            <v>350000000</v>
          </cell>
          <cell r="AZ69">
            <v>175823700</v>
          </cell>
          <cell r="BA69">
            <v>20000000</v>
          </cell>
          <cell r="BB69">
            <v>5000000</v>
          </cell>
          <cell r="BC69">
            <v>10000000</v>
          </cell>
          <cell r="BD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1411860554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356000000</v>
          </cell>
          <cell r="AD70">
            <v>20000000</v>
          </cell>
          <cell r="AE70">
            <v>552000000</v>
          </cell>
          <cell r="AF70">
            <v>20000000</v>
          </cell>
          <cell r="AG70">
            <v>1000000000</v>
          </cell>
          <cell r="AH70">
            <v>100000000</v>
          </cell>
          <cell r="AI70">
            <v>15000000</v>
          </cell>
          <cell r="AJ70">
            <v>2000000</v>
          </cell>
          <cell r="AK70">
            <v>10000000</v>
          </cell>
          <cell r="AL70">
            <v>25000000</v>
          </cell>
          <cell r="AM70">
            <v>565410000</v>
          </cell>
          <cell r="AN70">
            <v>15000000</v>
          </cell>
          <cell r="AO70">
            <v>15000000</v>
          </cell>
          <cell r="AP70">
            <v>10000000</v>
          </cell>
          <cell r="AQ70">
            <v>0</v>
          </cell>
          <cell r="AS70">
            <v>300000000</v>
          </cell>
          <cell r="AT70">
            <v>120000000</v>
          </cell>
          <cell r="AU70">
            <v>10000000</v>
          </cell>
          <cell r="AV70">
            <v>5000000</v>
          </cell>
          <cell r="AW70">
            <v>10000000</v>
          </cell>
          <cell r="AX70">
            <v>0</v>
          </cell>
          <cell r="AY70">
            <v>350000000</v>
          </cell>
          <cell r="AZ70">
            <v>175823700</v>
          </cell>
          <cell r="BA70">
            <v>20000000</v>
          </cell>
          <cell r="BB70">
            <v>5000000</v>
          </cell>
          <cell r="BC70">
            <v>10000000</v>
          </cell>
          <cell r="BD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1411860554</v>
          </cell>
          <cell r="Y71">
            <v>0</v>
          </cell>
          <cell r="Z71">
            <v>0</v>
          </cell>
          <cell r="AA71">
            <v>0</v>
          </cell>
          <cell r="AB71">
            <v>150000000</v>
          </cell>
          <cell r="AC71">
            <v>356000000</v>
          </cell>
          <cell r="AD71">
            <v>20000000</v>
          </cell>
          <cell r="AE71">
            <v>552000000</v>
          </cell>
          <cell r="AF71">
            <v>20000000</v>
          </cell>
          <cell r="AG71">
            <v>500000000</v>
          </cell>
          <cell r="AH71">
            <v>100000000</v>
          </cell>
          <cell r="AI71">
            <v>15000000</v>
          </cell>
          <cell r="AJ71">
            <v>2000000</v>
          </cell>
          <cell r="AK71">
            <v>10000000</v>
          </cell>
          <cell r="AL71">
            <v>1750000000</v>
          </cell>
          <cell r="AM71">
            <v>565410000</v>
          </cell>
          <cell r="AN71">
            <v>15000000</v>
          </cell>
          <cell r="AO71">
            <v>15000000</v>
          </cell>
          <cell r="AP71">
            <v>10000000</v>
          </cell>
          <cell r="AQ71">
            <v>0</v>
          </cell>
          <cell r="AS71">
            <v>300000000</v>
          </cell>
          <cell r="AT71">
            <v>120000000</v>
          </cell>
          <cell r="AU71">
            <v>10000000</v>
          </cell>
          <cell r="AV71">
            <v>5000000</v>
          </cell>
          <cell r="AW71">
            <v>10000000</v>
          </cell>
          <cell r="AX71">
            <v>0</v>
          </cell>
          <cell r="AY71">
            <v>350000000</v>
          </cell>
          <cell r="AZ71">
            <v>175823700</v>
          </cell>
          <cell r="BA71">
            <v>20000000</v>
          </cell>
          <cell r="BB71">
            <v>5000000</v>
          </cell>
          <cell r="BC71">
            <v>10000000</v>
          </cell>
          <cell r="BD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1411860554</v>
          </cell>
          <cell r="Y72">
            <v>0</v>
          </cell>
          <cell r="Z72">
            <v>0</v>
          </cell>
          <cell r="AA72">
            <v>30000000</v>
          </cell>
          <cell r="AB72">
            <v>100000000</v>
          </cell>
          <cell r="AC72">
            <v>356000000</v>
          </cell>
          <cell r="AD72">
            <v>20000000</v>
          </cell>
          <cell r="AE72">
            <v>552000000</v>
          </cell>
          <cell r="AF72">
            <v>20000000</v>
          </cell>
          <cell r="AG72">
            <v>205000000</v>
          </cell>
          <cell r="AH72">
            <v>100000000</v>
          </cell>
          <cell r="AI72">
            <v>15000000</v>
          </cell>
          <cell r="AJ72">
            <v>2000000</v>
          </cell>
          <cell r="AK72">
            <v>10000000</v>
          </cell>
          <cell r="AL72">
            <v>500000000</v>
          </cell>
          <cell r="AM72">
            <v>565410000</v>
          </cell>
          <cell r="AN72">
            <v>15000000</v>
          </cell>
          <cell r="AO72">
            <v>15000000</v>
          </cell>
          <cell r="AP72">
            <v>10000000</v>
          </cell>
          <cell r="AQ72">
            <v>0</v>
          </cell>
          <cell r="AS72">
            <v>300000000</v>
          </cell>
          <cell r="AT72">
            <v>120000000</v>
          </cell>
          <cell r="AU72">
            <v>10000000</v>
          </cell>
          <cell r="AV72">
            <v>5000000</v>
          </cell>
          <cell r="AW72">
            <v>10000000</v>
          </cell>
          <cell r="AX72">
            <v>0</v>
          </cell>
          <cell r="AY72">
            <v>350000000</v>
          </cell>
          <cell r="AZ72">
            <v>175823700</v>
          </cell>
          <cell r="BA72">
            <v>20000000</v>
          </cell>
          <cell r="BB72">
            <v>5000000</v>
          </cell>
          <cell r="BC72">
            <v>10000000</v>
          </cell>
          <cell r="BD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1411860554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356000000</v>
          </cell>
          <cell r="AD73">
            <v>20000000</v>
          </cell>
          <cell r="AE73">
            <v>552000000</v>
          </cell>
          <cell r="AF73">
            <v>20000000</v>
          </cell>
          <cell r="AG73">
            <v>250000000</v>
          </cell>
          <cell r="AH73">
            <v>100000000</v>
          </cell>
          <cell r="AI73">
            <v>15000000</v>
          </cell>
          <cell r="AJ73">
            <v>2000000</v>
          </cell>
          <cell r="AK73">
            <v>10000000</v>
          </cell>
          <cell r="AL73">
            <v>0</v>
          </cell>
          <cell r="AM73">
            <v>565410000</v>
          </cell>
          <cell r="AN73">
            <v>15000000</v>
          </cell>
          <cell r="AO73">
            <v>15000000</v>
          </cell>
          <cell r="AP73">
            <v>10000000</v>
          </cell>
          <cell r="AQ73">
            <v>0</v>
          </cell>
          <cell r="AS73">
            <v>300000000</v>
          </cell>
          <cell r="AT73">
            <v>120000000</v>
          </cell>
          <cell r="AU73">
            <v>10000000</v>
          </cell>
          <cell r="AV73">
            <v>5000000</v>
          </cell>
          <cell r="AW73">
            <v>10000000</v>
          </cell>
          <cell r="AX73">
            <v>0</v>
          </cell>
          <cell r="AY73">
            <v>350000000</v>
          </cell>
          <cell r="AZ73">
            <v>175823700</v>
          </cell>
          <cell r="BA73">
            <v>20000000</v>
          </cell>
          <cell r="BB73">
            <v>5000000</v>
          </cell>
          <cell r="BC73">
            <v>10000000</v>
          </cell>
          <cell r="BD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1411860554</v>
          </cell>
          <cell r="Y74">
            <v>0</v>
          </cell>
          <cell r="Z74">
            <v>0</v>
          </cell>
          <cell r="AA74">
            <v>42000000</v>
          </cell>
          <cell r="AB74">
            <v>0</v>
          </cell>
          <cell r="AC74">
            <v>356000000</v>
          </cell>
          <cell r="AD74">
            <v>20000000</v>
          </cell>
          <cell r="AE74">
            <v>552000000</v>
          </cell>
          <cell r="AF74">
            <v>20000000</v>
          </cell>
          <cell r="AG74">
            <v>10000000</v>
          </cell>
          <cell r="AH74">
            <v>100000000</v>
          </cell>
          <cell r="AI74">
            <v>15000000</v>
          </cell>
          <cell r="AJ74">
            <v>2000000</v>
          </cell>
          <cell r="AK74">
            <v>10000000</v>
          </cell>
          <cell r="AL74">
            <v>0</v>
          </cell>
          <cell r="AM74">
            <v>565410000</v>
          </cell>
          <cell r="AN74">
            <v>15000000</v>
          </cell>
          <cell r="AO74">
            <v>15000000</v>
          </cell>
          <cell r="AP74">
            <v>10000000</v>
          </cell>
          <cell r="AQ74">
            <v>0</v>
          </cell>
          <cell r="AS74">
            <v>300000000</v>
          </cell>
          <cell r="AT74">
            <v>120000000</v>
          </cell>
          <cell r="AU74">
            <v>10000000</v>
          </cell>
          <cell r="AV74">
            <v>5000000</v>
          </cell>
          <cell r="AW74">
            <v>10000000</v>
          </cell>
          <cell r="AX74">
            <v>0</v>
          </cell>
          <cell r="AY74">
            <v>350000000</v>
          </cell>
          <cell r="AZ74">
            <v>175823700</v>
          </cell>
          <cell r="BA74">
            <v>20000000</v>
          </cell>
          <cell r="BB74">
            <v>5000000</v>
          </cell>
          <cell r="BC74">
            <v>10000000</v>
          </cell>
          <cell r="BD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1411860554</v>
          </cell>
          <cell r="Y75">
            <v>0</v>
          </cell>
          <cell r="Z75">
            <v>0</v>
          </cell>
          <cell r="AA75">
            <v>0</v>
          </cell>
          <cell r="AB75">
            <v>150000000</v>
          </cell>
          <cell r="AC75">
            <v>356000000</v>
          </cell>
          <cell r="AD75">
            <v>20000000</v>
          </cell>
          <cell r="AE75">
            <v>552000000</v>
          </cell>
          <cell r="AF75">
            <v>20000000</v>
          </cell>
          <cell r="AG75">
            <v>100000000</v>
          </cell>
          <cell r="AH75">
            <v>100000000</v>
          </cell>
          <cell r="AI75">
            <v>15000000</v>
          </cell>
          <cell r="AJ75">
            <v>2000000</v>
          </cell>
          <cell r="AK75">
            <v>10000000</v>
          </cell>
          <cell r="AL75">
            <v>2100000000</v>
          </cell>
          <cell r="AM75">
            <v>565410000</v>
          </cell>
          <cell r="AN75">
            <v>15000000</v>
          </cell>
          <cell r="AO75">
            <v>15000000</v>
          </cell>
          <cell r="AP75">
            <v>10000000</v>
          </cell>
          <cell r="AQ75">
            <v>0</v>
          </cell>
          <cell r="AS75">
            <v>300000000</v>
          </cell>
          <cell r="AT75">
            <v>120000000</v>
          </cell>
          <cell r="AU75">
            <v>10000000</v>
          </cell>
          <cell r="AV75">
            <v>5000000</v>
          </cell>
          <cell r="AW75">
            <v>10000000</v>
          </cell>
          <cell r="AX75">
            <v>0</v>
          </cell>
          <cell r="AY75">
            <v>350000000</v>
          </cell>
          <cell r="AZ75">
            <v>175823700</v>
          </cell>
          <cell r="BA75">
            <v>20000000</v>
          </cell>
          <cell r="BB75">
            <v>5000000</v>
          </cell>
          <cell r="BC75">
            <v>10000000</v>
          </cell>
          <cell r="BD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Y76">
            <v>0</v>
          </cell>
          <cell r="Z76">
            <v>0</v>
          </cell>
          <cell r="AA76">
            <v>0</v>
          </cell>
          <cell r="AB76">
            <v>300000000</v>
          </cell>
          <cell r="AC76">
            <v>1401581158.6400001</v>
          </cell>
          <cell r="AD76">
            <v>0</v>
          </cell>
          <cell r="AE76">
            <v>552000000</v>
          </cell>
          <cell r="AF76">
            <v>20000000</v>
          </cell>
          <cell r="AG76">
            <v>250000000</v>
          </cell>
          <cell r="AH76">
            <v>100000000</v>
          </cell>
          <cell r="AI76">
            <v>15000000</v>
          </cell>
          <cell r="AJ76">
            <v>2000000</v>
          </cell>
          <cell r="AK76">
            <v>10000000</v>
          </cell>
          <cell r="AL76">
            <v>1850000000</v>
          </cell>
          <cell r="AM76">
            <v>565410000</v>
          </cell>
          <cell r="AN76">
            <v>15000000</v>
          </cell>
          <cell r="AO76">
            <v>15000000</v>
          </cell>
          <cell r="AP76">
            <v>10000000</v>
          </cell>
          <cell r="AQ76">
            <v>0</v>
          </cell>
          <cell r="AS76">
            <v>300000000</v>
          </cell>
          <cell r="AT76">
            <v>120000000</v>
          </cell>
          <cell r="AU76">
            <v>10000000</v>
          </cell>
          <cell r="AV76">
            <v>5000000</v>
          </cell>
          <cell r="AW76">
            <v>10000000</v>
          </cell>
          <cell r="AX76">
            <v>0</v>
          </cell>
          <cell r="AY76">
            <v>350000000</v>
          </cell>
          <cell r="AZ76">
            <v>175823700</v>
          </cell>
          <cell r="BA76">
            <v>20000000</v>
          </cell>
          <cell r="BB76">
            <v>5000000</v>
          </cell>
          <cell r="BC76">
            <v>10000000</v>
          </cell>
          <cell r="BD76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1401581158.6400001</v>
          </cell>
          <cell r="AD77">
            <v>0</v>
          </cell>
          <cell r="AE77">
            <v>552000000</v>
          </cell>
          <cell r="AF77">
            <v>20000000</v>
          </cell>
          <cell r="AG77">
            <v>200000000</v>
          </cell>
          <cell r="AH77">
            <v>100000000</v>
          </cell>
          <cell r="AI77">
            <v>15000000</v>
          </cell>
          <cell r="AJ77">
            <v>2000000</v>
          </cell>
          <cell r="AK77">
            <v>10000000</v>
          </cell>
          <cell r="AL77">
            <v>0</v>
          </cell>
          <cell r="AM77">
            <v>565410000</v>
          </cell>
          <cell r="AN77">
            <v>15000000</v>
          </cell>
          <cell r="AO77">
            <v>15000000</v>
          </cell>
          <cell r="AP77">
            <v>10000000</v>
          </cell>
          <cell r="AQ77">
            <v>0</v>
          </cell>
          <cell r="AS77">
            <v>300000000</v>
          </cell>
          <cell r="AT77">
            <v>120000000</v>
          </cell>
          <cell r="AU77">
            <v>10000000</v>
          </cell>
          <cell r="AV77">
            <v>5000000</v>
          </cell>
          <cell r="AW77">
            <v>10000000</v>
          </cell>
          <cell r="AX77">
            <v>0</v>
          </cell>
          <cell r="AY77">
            <v>350000000</v>
          </cell>
          <cell r="AZ77">
            <v>175823700</v>
          </cell>
          <cell r="BA77">
            <v>20000000</v>
          </cell>
          <cell r="BB77">
            <v>5000000</v>
          </cell>
          <cell r="BC77">
            <v>10000000</v>
          </cell>
          <cell r="BD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1401581158.6400001</v>
          </cell>
          <cell r="AD78">
            <v>0</v>
          </cell>
          <cell r="AE78">
            <v>552000000</v>
          </cell>
          <cell r="AF78">
            <v>20000000</v>
          </cell>
          <cell r="AG78">
            <v>300000000</v>
          </cell>
          <cell r="AH78">
            <v>100000000</v>
          </cell>
          <cell r="AI78">
            <v>15000000</v>
          </cell>
          <cell r="AJ78">
            <v>2000000</v>
          </cell>
          <cell r="AK78">
            <v>10000000</v>
          </cell>
          <cell r="AL78">
            <v>300000000</v>
          </cell>
          <cell r="AM78">
            <v>565410000</v>
          </cell>
          <cell r="AN78">
            <v>15000000</v>
          </cell>
          <cell r="AO78">
            <v>15000000</v>
          </cell>
          <cell r="AP78">
            <v>10000000</v>
          </cell>
          <cell r="AQ78">
            <v>0</v>
          </cell>
          <cell r="AS78">
            <v>300000000</v>
          </cell>
          <cell r="AT78">
            <v>120000000</v>
          </cell>
          <cell r="AU78">
            <v>10000000</v>
          </cell>
          <cell r="AV78">
            <v>5000000</v>
          </cell>
          <cell r="AW78">
            <v>10000000</v>
          </cell>
          <cell r="AX78">
            <v>0</v>
          </cell>
          <cell r="AY78">
            <v>350000000</v>
          </cell>
          <cell r="AZ78">
            <v>175823700</v>
          </cell>
          <cell r="BA78">
            <v>20000000</v>
          </cell>
          <cell r="BB78">
            <v>5000000</v>
          </cell>
          <cell r="BC78">
            <v>10000000</v>
          </cell>
          <cell r="BD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552000000</v>
          </cell>
          <cell r="AF79">
            <v>20000000</v>
          </cell>
          <cell r="AG79">
            <v>250000000</v>
          </cell>
          <cell r="AH79">
            <v>100000000</v>
          </cell>
          <cell r="AI79">
            <v>15000000</v>
          </cell>
          <cell r="AJ79">
            <v>2000000</v>
          </cell>
          <cell r="AK79">
            <v>10000000</v>
          </cell>
          <cell r="AL79">
            <v>1000000000</v>
          </cell>
          <cell r="AM79">
            <v>565410000</v>
          </cell>
          <cell r="AN79">
            <v>15000000</v>
          </cell>
          <cell r="AO79">
            <v>15000000</v>
          </cell>
          <cell r="AP79">
            <v>10000000</v>
          </cell>
          <cell r="AQ79">
            <v>0</v>
          </cell>
          <cell r="AS79">
            <v>300000000</v>
          </cell>
          <cell r="AT79">
            <v>120000000</v>
          </cell>
          <cell r="AU79">
            <v>10000000</v>
          </cell>
          <cell r="AV79">
            <v>5000000</v>
          </cell>
          <cell r="AW79">
            <v>10000000</v>
          </cell>
          <cell r="AX79">
            <v>0</v>
          </cell>
          <cell r="AY79">
            <v>350000000</v>
          </cell>
          <cell r="AZ79">
            <v>175823700</v>
          </cell>
          <cell r="BA79">
            <v>20000000</v>
          </cell>
          <cell r="BB79">
            <v>5000000</v>
          </cell>
          <cell r="BC79">
            <v>10000000</v>
          </cell>
          <cell r="BD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356000000</v>
          </cell>
          <cell r="AD80">
            <v>20000000</v>
          </cell>
          <cell r="AE80">
            <v>552000000</v>
          </cell>
          <cell r="AF80">
            <v>20000000</v>
          </cell>
          <cell r="AG80">
            <v>1000000000</v>
          </cell>
          <cell r="AH80">
            <v>100000000</v>
          </cell>
          <cell r="AI80">
            <v>15000000</v>
          </cell>
          <cell r="AJ80">
            <v>2000000</v>
          </cell>
          <cell r="AK80">
            <v>10000000</v>
          </cell>
          <cell r="AL80">
            <v>6800000000</v>
          </cell>
          <cell r="AM80">
            <v>565410000</v>
          </cell>
          <cell r="AN80">
            <v>15000000</v>
          </cell>
          <cell r="AO80">
            <v>15000000</v>
          </cell>
          <cell r="AP80">
            <v>10000000</v>
          </cell>
          <cell r="AQ80">
            <v>0</v>
          </cell>
          <cell r="AS80">
            <v>300000000</v>
          </cell>
          <cell r="AT80">
            <v>120000000</v>
          </cell>
          <cell r="AU80">
            <v>10000000</v>
          </cell>
          <cell r="AV80">
            <v>5000000</v>
          </cell>
          <cell r="AW80">
            <v>10000000</v>
          </cell>
          <cell r="AX80">
            <v>0</v>
          </cell>
          <cell r="AY80">
            <v>350000000</v>
          </cell>
          <cell r="AZ80">
            <v>175823700</v>
          </cell>
          <cell r="BA80">
            <v>20000000</v>
          </cell>
          <cell r="BB80">
            <v>5000000</v>
          </cell>
          <cell r="BC80">
            <v>10000000</v>
          </cell>
          <cell r="BD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Y81">
            <v>0</v>
          </cell>
          <cell r="Z81">
            <v>1385662901.4100001</v>
          </cell>
          <cell r="AA81">
            <v>0</v>
          </cell>
          <cell r="AB81">
            <v>0</v>
          </cell>
          <cell r="AC81">
            <v>356000000</v>
          </cell>
          <cell r="AD81">
            <v>20000000</v>
          </cell>
          <cell r="AE81">
            <v>552000000</v>
          </cell>
          <cell r="AF81">
            <v>20000000</v>
          </cell>
          <cell r="AG81">
            <v>0</v>
          </cell>
          <cell r="AH81">
            <v>100000000</v>
          </cell>
          <cell r="AI81">
            <v>15000000</v>
          </cell>
          <cell r="AJ81">
            <v>2000000</v>
          </cell>
          <cell r="AK81">
            <v>10000000</v>
          </cell>
          <cell r="AL81">
            <v>0</v>
          </cell>
          <cell r="AM81">
            <v>565410000</v>
          </cell>
          <cell r="AN81">
            <v>15000000</v>
          </cell>
          <cell r="AO81">
            <v>15000000</v>
          </cell>
          <cell r="AP81">
            <v>10000000</v>
          </cell>
          <cell r="AQ81">
            <v>0</v>
          </cell>
          <cell r="AS81">
            <v>300000000</v>
          </cell>
          <cell r="AT81">
            <v>120000000</v>
          </cell>
          <cell r="AU81">
            <v>10000000</v>
          </cell>
          <cell r="AV81">
            <v>5000000</v>
          </cell>
          <cell r="AW81">
            <v>10000000</v>
          </cell>
          <cell r="AX81">
            <v>0</v>
          </cell>
          <cell r="AY81">
            <v>350000000</v>
          </cell>
          <cell r="AZ81">
            <v>175823700</v>
          </cell>
          <cell r="BA81">
            <v>20000000</v>
          </cell>
          <cell r="BB81">
            <v>5000000</v>
          </cell>
          <cell r="BC81">
            <v>10000000</v>
          </cell>
          <cell r="BD81">
            <v>0</v>
          </cell>
        </row>
        <row r="82">
          <cell r="U82">
            <v>0</v>
          </cell>
          <cell r="V82">
            <v>0</v>
          </cell>
          <cell r="AB82">
            <v>300000000</v>
          </cell>
          <cell r="AE82">
            <v>552000000</v>
          </cell>
          <cell r="AF82">
            <v>20000000</v>
          </cell>
          <cell r="AG82">
            <v>350000000</v>
          </cell>
          <cell r="AH82">
            <v>100000000</v>
          </cell>
          <cell r="AI82">
            <v>15000000</v>
          </cell>
          <cell r="AJ82">
            <v>2000000</v>
          </cell>
          <cell r="AK82">
            <v>10000000</v>
          </cell>
          <cell r="AL82">
            <v>1150000000</v>
          </cell>
          <cell r="AM82">
            <v>0</v>
          </cell>
          <cell r="AN82">
            <v>0</v>
          </cell>
          <cell r="AO82">
            <v>0</v>
          </cell>
          <cell r="AQ82">
            <v>0</v>
          </cell>
          <cell r="AR82">
            <v>300000000</v>
          </cell>
          <cell r="AS82">
            <v>300000000</v>
          </cell>
          <cell r="AT82">
            <v>120000000</v>
          </cell>
          <cell r="AU82">
            <v>10000000</v>
          </cell>
          <cell r="AV82">
            <v>5000000</v>
          </cell>
          <cell r="AW82">
            <v>10000000</v>
          </cell>
          <cell r="AX82">
            <v>0</v>
          </cell>
          <cell r="AY82">
            <v>0</v>
          </cell>
          <cell r="AZ82">
            <v>175823700</v>
          </cell>
          <cell r="BD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25000000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Q83">
            <v>0</v>
          </cell>
          <cell r="AX83">
            <v>0</v>
          </cell>
          <cell r="AY83">
            <v>0</v>
          </cell>
          <cell r="BD83">
            <v>0</v>
          </cell>
        </row>
        <row r="84">
          <cell r="AH84">
            <v>100000000</v>
          </cell>
          <cell r="AI84">
            <v>15000000</v>
          </cell>
          <cell r="AJ84">
            <v>2000000</v>
          </cell>
          <cell r="AK84">
            <v>10000000</v>
          </cell>
          <cell r="AM84">
            <v>565410000</v>
          </cell>
          <cell r="AN84">
            <v>15000000</v>
          </cell>
          <cell r="AO84">
            <v>15000000</v>
          </cell>
          <cell r="AP84">
            <v>10000000</v>
          </cell>
          <cell r="AQ84">
            <v>0</v>
          </cell>
          <cell r="AR84">
            <v>200000000</v>
          </cell>
          <cell r="AS84">
            <v>300000000</v>
          </cell>
          <cell r="AT84">
            <v>120000000</v>
          </cell>
          <cell r="AU84">
            <v>10000000</v>
          </cell>
          <cell r="AV84">
            <v>5000000</v>
          </cell>
          <cell r="AW84">
            <v>10000000</v>
          </cell>
          <cell r="AX84">
            <v>0</v>
          </cell>
          <cell r="AY84">
            <v>350000000</v>
          </cell>
          <cell r="AZ84">
            <v>175823700</v>
          </cell>
          <cell r="BA84">
            <v>20000000</v>
          </cell>
          <cell r="BB84">
            <v>5000000</v>
          </cell>
          <cell r="BC84">
            <v>10000000</v>
          </cell>
          <cell r="BD84">
            <v>0</v>
          </cell>
        </row>
        <row r="85">
          <cell r="AY85">
            <v>2000000000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</row>
        <row r="86">
          <cell r="BA86">
            <v>1480000000</v>
          </cell>
          <cell r="BB86">
            <v>370000000</v>
          </cell>
          <cell r="BC86">
            <v>740000000</v>
          </cell>
        </row>
        <row r="108">
          <cell r="D108">
            <v>2975000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6500000</v>
          </cell>
          <cell r="K108">
            <v>10000000</v>
          </cell>
          <cell r="L108">
            <v>10000000</v>
          </cell>
          <cell r="M108">
            <v>17000000</v>
          </cell>
          <cell r="N108">
            <v>25000000</v>
          </cell>
          <cell r="O108">
            <v>53000000</v>
          </cell>
          <cell r="P108">
            <v>60000000</v>
          </cell>
          <cell r="S108">
            <v>34000000</v>
          </cell>
          <cell r="T108">
            <v>30000000</v>
          </cell>
          <cell r="U108">
            <v>20000000</v>
          </cell>
        </row>
        <row r="109">
          <cell r="D109">
            <v>3500000</v>
          </cell>
          <cell r="E109">
            <v>3500000</v>
          </cell>
          <cell r="F109">
            <v>3500000</v>
          </cell>
          <cell r="G109">
            <v>3500000</v>
          </cell>
          <cell r="H109">
            <v>5000000</v>
          </cell>
          <cell r="I109">
            <v>5000000</v>
          </cell>
          <cell r="J109">
            <v>6500000</v>
          </cell>
          <cell r="K109">
            <v>8500000</v>
          </cell>
          <cell r="L109">
            <v>8500000</v>
          </cell>
          <cell r="M109">
            <v>20000000</v>
          </cell>
          <cell r="N109">
            <v>25000000</v>
          </cell>
          <cell r="O109">
            <v>53000000</v>
          </cell>
          <cell r="P109">
            <v>60000000</v>
          </cell>
          <cell r="S109">
            <v>34000000</v>
          </cell>
          <cell r="T109">
            <v>30000000</v>
          </cell>
          <cell r="U109">
            <v>20000000</v>
          </cell>
        </row>
        <row r="110">
          <cell r="D110">
            <v>3500000</v>
          </cell>
          <cell r="E110">
            <v>3500000</v>
          </cell>
          <cell r="F110">
            <v>3500000</v>
          </cell>
          <cell r="G110">
            <v>2975000</v>
          </cell>
          <cell r="H110">
            <v>5000000</v>
          </cell>
          <cell r="I110">
            <v>5000000</v>
          </cell>
          <cell r="J110">
            <v>6500000</v>
          </cell>
          <cell r="K110">
            <v>10000000</v>
          </cell>
          <cell r="L110">
            <v>8500000</v>
          </cell>
          <cell r="M110">
            <v>17000000</v>
          </cell>
          <cell r="N110">
            <v>25000000</v>
          </cell>
          <cell r="O110">
            <v>53000000</v>
          </cell>
          <cell r="P110">
            <v>60000000</v>
          </cell>
          <cell r="S110">
            <v>34000000</v>
          </cell>
          <cell r="T110">
            <v>30000000</v>
          </cell>
          <cell r="U110">
            <v>20000000</v>
          </cell>
        </row>
        <row r="111">
          <cell r="D111">
            <v>3500000</v>
          </cell>
          <cell r="E111">
            <v>3500000</v>
          </cell>
          <cell r="F111">
            <v>3500000</v>
          </cell>
          <cell r="G111">
            <v>3500000</v>
          </cell>
          <cell r="H111">
            <v>5000000</v>
          </cell>
          <cell r="I111">
            <v>5000000</v>
          </cell>
          <cell r="J111">
            <v>6500000</v>
          </cell>
          <cell r="K111">
            <v>8500000</v>
          </cell>
          <cell r="L111">
            <v>10000000</v>
          </cell>
          <cell r="M111">
            <v>20000000</v>
          </cell>
          <cell r="N111">
            <v>25000000</v>
          </cell>
          <cell r="O111">
            <v>53000000</v>
          </cell>
          <cell r="P111">
            <v>60000000</v>
          </cell>
          <cell r="S111">
            <v>34000000</v>
          </cell>
          <cell r="T111">
            <v>30000000</v>
          </cell>
          <cell r="U111">
            <v>20000000</v>
          </cell>
        </row>
        <row r="112">
          <cell r="D112">
            <v>3500000</v>
          </cell>
          <cell r="E112">
            <v>3500000</v>
          </cell>
          <cell r="F112">
            <v>3500000</v>
          </cell>
          <cell r="G112">
            <v>3500000</v>
          </cell>
          <cell r="H112">
            <v>5000000</v>
          </cell>
          <cell r="I112">
            <v>5000000</v>
          </cell>
          <cell r="J112">
            <v>5525000</v>
          </cell>
          <cell r="K112">
            <v>10000000</v>
          </cell>
          <cell r="L112">
            <v>10000000</v>
          </cell>
          <cell r="M112">
            <v>20000000</v>
          </cell>
          <cell r="N112">
            <v>25000000</v>
          </cell>
          <cell r="O112">
            <v>53000000</v>
          </cell>
          <cell r="P112">
            <v>60000000</v>
          </cell>
          <cell r="S112">
            <v>34000000</v>
          </cell>
          <cell r="T112">
            <v>30000000</v>
          </cell>
          <cell r="U112">
            <v>20000000</v>
          </cell>
        </row>
        <row r="113">
          <cell r="D113">
            <v>3500000</v>
          </cell>
          <cell r="E113">
            <v>2975000</v>
          </cell>
          <cell r="F113">
            <v>2975000</v>
          </cell>
          <cell r="G113">
            <v>2975000</v>
          </cell>
          <cell r="H113">
            <v>4250000</v>
          </cell>
          <cell r="I113">
            <v>4250000</v>
          </cell>
          <cell r="J113">
            <v>5525000</v>
          </cell>
          <cell r="K113">
            <v>0</v>
          </cell>
          <cell r="L113">
            <v>0</v>
          </cell>
          <cell r="M113">
            <v>0</v>
          </cell>
          <cell r="N113">
            <v>25000000</v>
          </cell>
          <cell r="O113">
            <v>53000000</v>
          </cell>
          <cell r="P113">
            <v>60000000</v>
          </cell>
          <cell r="S113">
            <v>34000000</v>
          </cell>
          <cell r="T113">
            <v>30000000</v>
          </cell>
          <cell r="U113">
            <v>20000000</v>
          </cell>
        </row>
        <row r="114">
          <cell r="D114">
            <v>3500000</v>
          </cell>
          <cell r="E114">
            <v>3500000</v>
          </cell>
          <cell r="F114">
            <v>3500000</v>
          </cell>
          <cell r="G114">
            <v>3500000</v>
          </cell>
          <cell r="H114">
            <v>5000000</v>
          </cell>
          <cell r="I114">
            <v>5000000</v>
          </cell>
          <cell r="J114">
            <v>6500000</v>
          </cell>
          <cell r="K114">
            <v>10000000</v>
          </cell>
          <cell r="L114">
            <v>0</v>
          </cell>
          <cell r="M114">
            <v>0</v>
          </cell>
          <cell r="N114">
            <v>25000000</v>
          </cell>
          <cell r="O114">
            <v>53000000</v>
          </cell>
          <cell r="P114">
            <v>60000000</v>
          </cell>
          <cell r="S114">
            <v>34000000</v>
          </cell>
          <cell r="T114">
            <v>30000000</v>
          </cell>
          <cell r="U114">
            <v>20000000</v>
          </cell>
        </row>
        <row r="115">
          <cell r="D115">
            <v>3500000</v>
          </cell>
          <cell r="E115">
            <v>3500000</v>
          </cell>
          <cell r="F115">
            <v>3500000</v>
          </cell>
          <cell r="G115">
            <v>3500000</v>
          </cell>
          <cell r="H115">
            <v>5000000</v>
          </cell>
          <cell r="I115">
            <v>5000000</v>
          </cell>
          <cell r="J115">
            <v>6500000</v>
          </cell>
          <cell r="K115">
            <v>10000000</v>
          </cell>
          <cell r="L115">
            <v>10000000</v>
          </cell>
          <cell r="M115">
            <v>20000000</v>
          </cell>
          <cell r="N115">
            <v>25000000</v>
          </cell>
          <cell r="O115">
            <v>53000000</v>
          </cell>
          <cell r="P115">
            <v>60000000</v>
          </cell>
          <cell r="S115">
            <v>34000000</v>
          </cell>
          <cell r="T115">
            <v>30000000</v>
          </cell>
          <cell r="U115">
            <v>20000000</v>
          </cell>
        </row>
        <row r="116">
          <cell r="D116">
            <v>3500000</v>
          </cell>
          <cell r="E116">
            <v>3500000</v>
          </cell>
          <cell r="F116">
            <v>3500000</v>
          </cell>
          <cell r="G116">
            <v>2975000</v>
          </cell>
          <cell r="H116">
            <v>4250000</v>
          </cell>
          <cell r="I116">
            <v>4250000</v>
          </cell>
          <cell r="J116">
            <v>6500000</v>
          </cell>
          <cell r="K116">
            <v>10000000</v>
          </cell>
          <cell r="L116">
            <v>10000000</v>
          </cell>
          <cell r="M116">
            <v>20000000</v>
          </cell>
          <cell r="N116">
            <v>25000000</v>
          </cell>
          <cell r="O116">
            <v>53000000</v>
          </cell>
          <cell r="P116">
            <v>60000000</v>
          </cell>
          <cell r="S116">
            <v>34000000</v>
          </cell>
          <cell r="T116">
            <v>30000000</v>
          </cell>
          <cell r="U116">
            <v>20000000</v>
          </cell>
        </row>
        <row r="117">
          <cell r="D117">
            <v>3500000</v>
          </cell>
          <cell r="E117">
            <v>3500000</v>
          </cell>
          <cell r="F117">
            <v>3500000</v>
          </cell>
          <cell r="G117">
            <v>3500000</v>
          </cell>
          <cell r="H117">
            <v>5000000</v>
          </cell>
          <cell r="I117">
            <v>5000000</v>
          </cell>
          <cell r="J117">
            <v>5525000</v>
          </cell>
          <cell r="K117">
            <v>8500000</v>
          </cell>
          <cell r="L117">
            <v>8500000</v>
          </cell>
          <cell r="M117">
            <v>20000000</v>
          </cell>
          <cell r="N117">
            <v>25000000</v>
          </cell>
          <cell r="O117">
            <v>53000000</v>
          </cell>
          <cell r="P117">
            <v>60000000</v>
          </cell>
          <cell r="S117">
            <v>34000000</v>
          </cell>
          <cell r="T117">
            <v>30000000</v>
          </cell>
          <cell r="U117">
            <v>20000000</v>
          </cell>
        </row>
        <row r="118">
          <cell r="D118">
            <v>3500000</v>
          </cell>
          <cell r="E118">
            <v>3500000</v>
          </cell>
          <cell r="F118">
            <v>3500000</v>
          </cell>
          <cell r="G118">
            <v>3500000</v>
          </cell>
          <cell r="H118">
            <v>4250000</v>
          </cell>
          <cell r="I118">
            <v>4250000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25000000</v>
          </cell>
          <cell r="O118">
            <v>53000000</v>
          </cell>
          <cell r="P118">
            <v>60000000</v>
          </cell>
          <cell r="S118">
            <v>34000000</v>
          </cell>
          <cell r="T118">
            <v>30000000</v>
          </cell>
          <cell r="U118">
            <v>20000000</v>
          </cell>
        </row>
        <row r="119">
          <cell r="D119">
            <v>3500000</v>
          </cell>
          <cell r="E119">
            <v>3500000</v>
          </cell>
          <cell r="F119">
            <v>3500000</v>
          </cell>
          <cell r="G119">
            <v>3500000</v>
          </cell>
          <cell r="H119">
            <v>5000000</v>
          </cell>
          <cell r="I119">
            <v>5000000</v>
          </cell>
          <cell r="J119">
            <v>6500000</v>
          </cell>
          <cell r="K119">
            <v>10000000</v>
          </cell>
          <cell r="L119">
            <v>10000000</v>
          </cell>
          <cell r="M119">
            <v>20000000</v>
          </cell>
          <cell r="N119">
            <v>25000000</v>
          </cell>
          <cell r="O119">
            <v>53000000</v>
          </cell>
          <cell r="P119">
            <v>60000000</v>
          </cell>
          <cell r="S119">
            <v>34000000</v>
          </cell>
          <cell r="T119">
            <v>30000000</v>
          </cell>
          <cell r="U119">
            <v>20000000</v>
          </cell>
        </row>
        <row r="120">
          <cell r="D120">
            <v>3500000</v>
          </cell>
          <cell r="E120">
            <v>3500000</v>
          </cell>
          <cell r="F120">
            <v>3500000</v>
          </cell>
          <cell r="G120">
            <v>3500000</v>
          </cell>
          <cell r="H120">
            <v>5000000</v>
          </cell>
          <cell r="I120">
            <v>5000000</v>
          </cell>
          <cell r="J120">
            <v>6500000</v>
          </cell>
          <cell r="K120">
            <v>10000000</v>
          </cell>
          <cell r="L120">
            <v>10000000</v>
          </cell>
          <cell r="M120">
            <v>20000000</v>
          </cell>
          <cell r="N120">
            <v>25000000</v>
          </cell>
          <cell r="O120">
            <v>53000000</v>
          </cell>
          <cell r="P120">
            <v>60000000</v>
          </cell>
          <cell r="S120">
            <v>34000000</v>
          </cell>
          <cell r="T120">
            <v>30000000</v>
          </cell>
          <cell r="U120">
            <v>20000000</v>
          </cell>
        </row>
        <row r="121">
          <cell r="D121">
            <v>3500000</v>
          </cell>
          <cell r="E121">
            <v>3500000</v>
          </cell>
          <cell r="F121">
            <v>3500000</v>
          </cell>
          <cell r="G121">
            <v>3500000</v>
          </cell>
          <cell r="H121">
            <v>5000000</v>
          </cell>
          <cell r="I121">
            <v>5000000</v>
          </cell>
          <cell r="J121">
            <v>6500000</v>
          </cell>
          <cell r="K121">
            <v>8500000</v>
          </cell>
          <cell r="L121">
            <v>8500000</v>
          </cell>
          <cell r="M121">
            <v>17000000</v>
          </cell>
          <cell r="N121">
            <v>25000000</v>
          </cell>
          <cell r="O121">
            <v>53000000</v>
          </cell>
          <cell r="P121">
            <v>60000000</v>
          </cell>
          <cell r="S121">
            <v>34000000</v>
          </cell>
          <cell r="T121">
            <v>30000000</v>
          </cell>
          <cell r="U121">
            <v>20000000</v>
          </cell>
        </row>
        <row r="122">
          <cell r="D122">
            <v>3500000</v>
          </cell>
          <cell r="E122">
            <v>3500000</v>
          </cell>
          <cell r="F122">
            <v>3500000</v>
          </cell>
          <cell r="G122">
            <v>3500000</v>
          </cell>
          <cell r="H122">
            <v>5000000</v>
          </cell>
          <cell r="I122">
            <v>5000000</v>
          </cell>
          <cell r="J122">
            <v>6500000</v>
          </cell>
          <cell r="K122">
            <v>8500000</v>
          </cell>
          <cell r="L122">
            <v>10000000</v>
          </cell>
          <cell r="M122">
            <v>20000000</v>
          </cell>
          <cell r="N122">
            <v>25000000</v>
          </cell>
          <cell r="O122">
            <v>53000000</v>
          </cell>
          <cell r="P122">
            <v>60000000</v>
          </cell>
          <cell r="S122">
            <v>34000000</v>
          </cell>
          <cell r="T122">
            <v>30000000</v>
          </cell>
          <cell r="U122">
            <v>20000000</v>
          </cell>
        </row>
        <row r="123">
          <cell r="D123">
            <v>3500000</v>
          </cell>
          <cell r="E123">
            <v>3500000</v>
          </cell>
          <cell r="F123">
            <v>3500000</v>
          </cell>
          <cell r="G123">
            <v>3500000</v>
          </cell>
          <cell r="H123">
            <v>5000000</v>
          </cell>
          <cell r="I123">
            <v>5000000</v>
          </cell>
          <cell r="J123">
            <v>6500000</v>
          </cell>
          <cell r="K123">
            <v>10000000</v>
          </cell>
          <cell r="L123">
            <v>10000000</v>
          </cell>
          <cell r="M123">
            <v>20000000</v>
          </cell>
          <cell r="N123">
            <v>25000000</v>
          </cell>
          <cell r="O123">
            <v>53000000</v>
          </cell>
          <cell r="P123">
            <v>60000000</v>
          </cell>
          <cell r="S123">
            <v>34000000</v>
          </cell>
          <cell r="T123">
            <v>30000000</v>
          </cell>
          <cell r="U123">
            <v>20000000</v>
          </cell>
        </row>
        <row r="124">
          <cell r="D124">
            <v>3500000</v>
          </cell>
          <cell r="E124">
            <v>3500000</v>
          </cell>
          <cell r="F124">
            <v>3500000</v>
          </cell>
          <cell r="G124">
            <v>3500000</v>
          </cell>
          <cell r="H124">
            <v>5000000</v>
          </cell>
          <cell r="I124">
            <v>5000000</v>
          </cell>
          <cell r="J124">
            <v>6500000</v>
          </cell>
          <cell r="K124">
            <v>10000000</v>
          </cell>
          <cell r="L124">
            <v>0</v>
          </cell>
          <cell r="M124">
            <v>0</v>
          </cell>
          <cell r="N124">
            <v>25000000</v>
          </cell>
          <cell r="O124">
            <v>53000000</v>
          </cell>
          <cell r="P124">
            <v>60000000</v>
          </cell>
          <cell r="S124">
            <v>34000000</v>
          </cell>
          <cell r="T124">
            <v>30000000</v>
          </cell>
          <cell r="U124">
            <v>20000000</v>
          </cell>
        </row>
        <row r="125">
          <cell r="D125">
            <v>3500000</v>
          </cell>
          <cell r="E125">
            <v>3500000</v>
          </cell>
          <cell r="F125">
            <v>3500000</v>
          </cell>
          <cell r="G125">
            <v>3500000</v>
          </cell>
          <cell r="H125">
            <v>5000000</v>
          </cell>
          <cell r="I125">
            <v>5000000</v>
          </cell>
          <cell r="J125">
            <v>6500000</v>
          </cell>
          <cell r="K125">
            <v>10000000</v>
          </cell>
          <cell r="L125">
            <v>10000000</v>
          </cell>
          <cell r="M125">
            <v>20000000</v>
          </cell>
          <cell r="N125">
            <v>25000000</v>
          </cell>
          <cell r="O125">
            <v>53000000</v>
          </cell>
          <cell r="P125">
            <v>60000000</v>
          </cell>
          <cell r="S125">
            <v>34000000</v>
          </cell>
          <cell r="T125">
            <v>30000000</v>
          </cell>
          <cell r="U125">
            <v>20000000</v>
          </cell>
        </row>
        <row r="126">
          <cell r="D126">
            <v>3500000</v>
          </cell>
          <cell r="E126">
            <v>3500000</v>
          </cell>
          <cell r="F126">
            <v>3500000</v>
          </cell>
          <cell r="G126">
            <v>3500000</v>
          </cell>
          <cell r="H126">
            <v>5000000</v>
          </cell>
          <cell r="I126">
            <v>5000000</v>
          </cell>
          <cell r="J126">
            <v>6500000</v>
          </cell>
          <cell r="K126">
            <v>10000000</v>
          </cell>
          <cell r="L126">
            <v>8500000</v>
          </cell>
          <cell r="M126">
            <v>17000000</v>
          </cell>
          <cell r="N126">
            <v>25000000</v>
          </cell>
          <cell r="O126">
            <v>53000000</v>
          </cell>
          <cell r="P126">
            <v>60000000</v>
          </cell>
          <cell r="S126">
            <v>34000000</v>
          </cell>
          <cell r="T126">
            <v>30000000</v>
          </cell>
          <cell r="U126">
            <v>20000000</v>
          </cell>
        </row>
        <row r="127">
          <cell r="D127">
            <v>3500000</v>
          </cell>
          <cell r="E127">
            <v>3500000</v>
          </cell>
          <cell r="F127">
            <v>3500000</v>
          </cell>
          <cell r="G127">
            <v>3500000</v>
          </cell>
          <cell r="H127">
            <v>5000000</v>
          </cell>
          <cell r="I127">
            <v>5000000</v>
          </cell>
          <cell r="J127">
            <v>6500000</v>
          </cell>
          <cell r="K127">
            <v>10000000</v>
          </cell>
          <cell r="L127">
            <v>10000000</v>
          </cell>
          <cell r="M127">
            <v>20000000</v>
          </cell>
          <cell r="N127">
            <v>25000000</v>
          </cell>
          <cell r="O127">
            <v>53000000</v>
          </cell>
          <cell r="P127">
            <v>60000000</v>
          </cell>
          <cell r="S127">
            <v>34000000</v>
          </cell>
          <cell r="T127">
            <v>30000000</v>
          </cell>
          <cell r="U127">
            <v>20000000</v>
          </cell>
        </row>
        <row r="128">
          <cell r="D128">
            <v>3500000</v>
          </cell>
          <cell r="E128">
            <v>3500000</v>
          </cell>
          <cell r="F128">
            <v>2975000</v>
          </cell>
          <cell r="G128">
            <v>2975000</v>
          </cell>
          <cell r="H128">
            <v>4250000</v>
          </cell>
          <cell r="I128">
            <v>4250000</v>
          </cell>
          <cell r="J128">
            <v>5525000</v>
          </cell>
          <cell r="K128">
            <v>8500000</v>
          </cell>
          <cell r="L128">
            <v>10000000</v>
          </cell>
          <cell r="M128">
            <v>20000000</v>
          </cell>
          <cell r="N128">
            <v>25000000</v>
          </cell>
          <cell r="O128">
            <v>53000000</v>
          </cell>
          <cell r="P128">
            <v>60000000</v>
          </cell>
          <cell r="S128">
            <v>34000000</v>
          </cell>
          <cell r="T128">
            <v>30000000</v>
          </cell>
          <cell r="U128">
            <v>20000000</v>
          </cell>
        </row>
        <row r="129">
          <cell r="D129">
            <v>3500000</v>
          </cell>
          <cell r="E129">
            <v>3500000</v>
          </cell>
          <cell r="F129">
            <v>3500000</v>
          </cell>
          <cell r="G129">
            <v>3500000</v>
          </cell>
          <cell r="H129">
            <v>5000000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25000000</v>
          </cell>
          <cell r="O129">
            <v>53000000</v>
          </cell>
          <cell r="P129">
            <v>60000000</v>
          </cell>
          <cell r="S129">
            <v>34000000</v>
          </cell>
          <cell r="T129">
            <v>30000000</v>
          </cell>
          <cell r="U129">
            <v>20000000</v>
          </cell>
        </row>
        <row r="130">
          <cell r="D130">
            <v>3500000</v>
          </cell>
          <cell r="E130">
            <v>2975000</v>
          </cell>
          <cell r="F130">
            <v>2975000</v>
          </cell>
          <cell r="G130">
            <v>2975000</v>
          </cell>
          <cell r="H130">
            <v>4250000</v>
          </cell>
          <cell r="I130">
            <v>5000000</v>
          </cell>
          <cell r="J130">
            <v>6500000</v>
          </cell>
          <cell r="K130">
            <v>10000000</v>
          </cell>
          <cell r="L130">
            <v>10000000</v>
          </cell>
          <cell r="M130">
            <v>20000000</v>
          </cell>
          <cell r="N130">
            <v>25000000</v>
          </cell>
          <cell r="O130">
            <v>53000000</v>
          </cell>
          <cell r="P130">
            <v>60000000</v>
          </cell>
          <cell r="S130">
            <v>34000000</v>
          </cell>
          <cell r="T130">
            <v>30000000</v>
          </cell>
          <cell r="U130">
            <v>20000000</v>
          </cell>
        </row>
        <row r="131">
          <cell r="D131">
            <v>3500000</v>
          </cell>
          <cell r="E131">
            <v>3500000</v>
          </cell>
          <cell r="F131">
            <v>3500000</v>
          </cell>
          <cell r="G131">
            <v>3500000</v>
          </cell>
          <cell r="H131">
            <v>5000000</v>
          </cell>
          <cell r="I131">
            <v>5000000</v>
          </cell>
          <cell r="J131">
            <v>6500000</v>
          </cell>
          <cell r="K131">
            <v>10000000</v>
          </cell>
          <cell r="L131">
            <v>10000000</v>
          </cell>
          <cell r="M131">
            <v>20000000</v>
          </cell>
          <cell r="N131">
            <v>25000000</v>
          </cell>
          <cell r="O131">
            <v>53000000</v>
          </cell>
          <cell r="P131">
            <v>60000000</v>
          </cell>
          <cell r="S131">
            <v>34000000</v>
          </cell>
          <cell r="T131">
            <v>30000000</v>
          </cell>
          <cell r="U131">
            <v>20000000</v>
          </cell>
        </row>
        <row r="132">
          <cell r="D132">
            <v>3500000</v>
          </cell>
          <cell r="E132">
            <v>3500000</v>
          </cell>
          <cell r="F132">
            <v>3500000</v>
          </cell>
          <cell r="G132">
            <v>3500000</v>
          </cell>
          <cell r="H132">
            <v>5000000</v>
          </cell>
          <cell r="I132">
            <v>5000000</v>
          </cell>
          <cell r="J132">
            <v>6500000</v>
          </cell>
          <cell r="K132">
            <v>10000000</v>
          </cell>
          <cell r="L132">
            <v>8500000</v>
          </cell>
          <cell r="M132">
            <v>17000000</v>
          </cell>
          <cell r="N132">
            <v>25000000</v>
          </cell>
          <cell r="O132">
            <v>53000000</v>
          </cell>
          <cell r="P132">
            <v>60000000</v>
          </cell>
          <cell r="S132">
            <v>34000000</v>
          </cell>
          <cell r="T132">
            <v>0</v>
          </cell>
          <cell r="U132">
            <v>20000000</v>
          </cell>
        </row>
        <row r="133">
          <cell r="D133">
            <v>3500000</v>
          </cell>
          <cell r="E133">
            <v>3500000</v>
          </cell>
          <cell r="F133">
            <v>3500000</v>
          </cell>
          <cell r="G133">
            <v>3500000</v>
          </cell>
          <cell r="H133">
            <v>5000000</v>
          </cell>
          <cell r="I133">
            <v>5000000</v>
          </cell>
          <cell r="J133">
            <v>6500000</v>
          </cell>
          <cell r="K133">
            <v>10000000</v>
          </cell>
          <cell r="L133">
            <v>10000000</v>
          </cell>
          <cell r="M133">
            <v>20000000</v>
          </cell>
          <cell r="N133">
            <v>25000000</v>
          </cell>
          <cell r="O133">
            <v>53000000</v>
          </cell>
          <cell r="P133">
            <v>60000000</v>
          </cell>
          <cell r="S133">
            <v>34000000</v>
          </cell>
          <cell r="T133">
            <v>30000000</v>
          </cell>
          <cell r="U133">
            <v>20000000</v>
          </cell>
        </row>
        <row r="134">
          <cell r="D134">
            <v>3500000</v>
          </cell>
          <cell r="E134">
            <v>2975000</v>
          </cell>
          <cell r="F134">
            <v>3500000</v>
          </cell>
          <cell r="G134">
            <v>3500000</v>
          </cell>
          <cell r="H134">
            <v>4250000</v>
          </cell>
          <cell r="I134">
            <v>4250000</v>
          </cell>
          <cell r="J134">
            <v>5525000</v>
          </cell>
          <cell r="K134">
            <v>0</v>
          </cell>
          <cell r="L134">
            <v>0</v>
          </cell>
          <cell r="M134">
            <v>0</v>
          </cell>
          <cell r="N134">
            <v>25000000</v>
          </cell>
          <cell r="O134">
            <v>53000000</v>
          </cell>
          <cell r="P134">
            <v>60000000</v>
          </cell>
          <cell r="S134">
            <v>34000000</v>
          </cell>
          <cell r="T134">
            <v>30000000</v>
          </cell>
          <cell r="U134">
            <v>20000000</v>
          </cell>
        </row>
        <row r="135">
          <cell r="D135">
            <v>3500000</v>
          </cell>
          <cell r="E135">
            <v>3500000</v>
          </cell>
          <cell r="F135">
            <v>3500000</v>
          </cell>
          <cell r="G135">
            <v>3500000</v>
          </cell>
          <cell r="H135">
            <v>4250000</v>
          </cell>
          <cell r="I135">
            <v>4250000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25000000</v>
          </cell>
          <cell r="O135">
            <v>53000000</v>
          </cell>
          <cell r="P135">
            <v>60000000</v>
          </cell>
          <cell r="S135">
            <v>34000000</v>
          </cell>
          <cell r="T135">
            <v>30000000</v>
          </cell>
          <cell r="U135">
            <v>20000000</v>
          </cell>
        </row>
        <row r="136">
          <cell r="D136">
            <v>3500000</v>
          </cell>
          <cell r="E136">
            <v>3500000</v>
          </cell>
          <cell r="F136">
            <v>3500000</v>
          </cell>
          <cell r="G136">
            <v>3500000</v>
          </cell>
          <cell r="H136">
            <v>5000000</v>
          </cell>
          <cell r="I136">
            <v>5000000</v>
          </cell>
          <cell r="J136">
            <v>6500000</v>
          </cell>
          <cell r="K136">
            <v>10000000</v>
          </cell>
          <cell r="L136">
            <v>8500000</v>
          </cell>
          <cell r="M136">
            <v>17000000</v>
          </cell>
          <cell r="N136">
            <v>25000000</v>
          </cell>
          <cell r="O136">
            <v>53000000</v>
          </cell>
          <cell r="P136">
            <v>0</v>
          </cell>
          <cell r="S136">
            <v>34000000</v>
          </cell>
          <cell r="T136">
            <v>0</v>
          </cell>
          <cell r="U136">
            <v>20000000</v>
          </cell>
        </row>
        <row r="137">
          <cell r="D137">
            <v>3500000</v>
          </cell>
          <cell r="E137">
            <v>3500000</v>
          </cell>
          <cell r="F137">
            <v>3500000</v>
          </cell>
          <cell r="G137">
            <v>3500000</v>
          </cell>
          <cell r="H137">
            <v>5000000</v>
          </cell>
          <cell r="I137">
            <v>5000000</v>
          </cell>
          <cell r="J137">
            <v>6500000</v>
          </cell>
          <cell r="K137">
            <v>10000000</v>
          </cell>
          <cell r="L137">
            <v>10000000</v>
          </cell>
          <cell r="M137">
            <v>20000000</v>
          </cell>
          <cell r="N137">
            <v>25000000</v>
          </cell>
          <cell r="O137">
            <v>53000000</v>
          </cell>
          <cell r="P137">
            <v>60000000</v>
          </cell>
          <cell r="S137">
            <v>34000000</v>
          </cell>
          <cell r="T137">
            <v>30000000</v>
          </cell>
          <cell r="U137">
            <v>20000000</v>
          </cell>
        </row>
        <row r="138">
          <cell r="D138">
            <v>3500000</v>
          </cell>
          <cell r="E138">
            <v>3500000</v>
          </cell>
          <cell r="F138">
            <v>3500000</v>
          </cell>
          <cell r="G138">
            <v>3500000</v>
          </cell>
          <cell r="H138">
            <v>5000000</v>
          </cell>
          <cell r="I138">
            <v>5000000</v>
          </cell>
          <cell r="J138">
            <v>6500000</v>
          </cell>
          <cell r="K138">
            <v>10000000</v>
          </cell>
          <cell r="L138">
            <v>0</v>
          </cell>
          <cell r="M138">
            <v>0</v>
          </cell>
          <cell r="N138">
            <v>25000000</v>
          </cell>
          <cell r="O138">
            <v>53000000</v>
          </cell>
          <cell r="P138">
            <v>0</v>
          </cell>
          <cell r="S138">
            <v>34000000</v>
          </cell>
          <cell r="T138">
            <v>0</v>
          </cell>
          <cell r="U138">
            <v>20000000</v>
          </cell>
        </row>
        <row r="139">
          <cell r="D139">
            <v>3500000</v>
          </cell>
          <cell r="E139">
            <v>3500000</v>
          </cell>
          <cell r="F139">
            <v>2975000</v>
          </cell>
          <cell r="G139">
            <v>2975000</v>
          </cell>
          <cell r="H139">
            <v>4250000</v>
          </cell>
          <cell r="I139">
            <v>5000000</v>
          </cell>
          <cell r="J139">
            <v>6500000</v>
          </cell>
          <cell r="K139">
            <v>10000000</v>
          </cell>
          <cell r="L139">
            <v>10000000</v>
          </cell>
          <cell r="M139">
            <v>0</v>
          </cell>
          <cell r="N139">
            <v>25000000</v>
          </cell>
          <cell r="O139">
            <v>53000000</v>
          </cell>
          <cell r="P139">
            <v>60000000</v>
          </cell>
          <cell r="S139">
            <v>34000000</v>
          </cell>
          <cell r="T139">
            <v>30000000</v>
          </cell>
          <cell r="U139">
            <v>20000000</v>
          </cell>
        </row>
        <row r="140">
          <cell r="D140">
            <v>3500000</v>
          </cell>
          <cell r="E140">
            <v>3500000</v>
          </cell>
          <cell r="F140">
            <v>3500000</v>
          </cell>
          <cell r="G140">
            <v>2550000</v>
          </cell>
          <cell r="H140">
            <v>4250000</v>
          </cell>
          <cell r="I140">
            <v>4250000</v>
          </cell>
          <cell r="J140">
            <v>6500000</v>
          </cell>
          <cell r="K140">
            <v>10000000</v>
          </cell>
          <cell r="L140">
            <v>10000000</v>
          </cell>
          <cell r="M140">
            <v>20000000</v>
          </cell>
          <cell r="N140">
            <v>25000000</v>
          </cell>
          <cell r="O140">
            <v>53000000</v>
          </cell>
          <cell r="P140">
            <v>60000000</v>
          </cell>
          <cell r="S140">
            <v>34000000</v>
          </cell>
          <cell r="T140">
            <v>30000000</v>
          </cell>
          <cell r="U140">
            <v>20000000</v>
          </cell>
        </row>
        <row r="141">
          <cell r="D141">
            <v>3500000</v>
          </cell>
          <cell r="E141">
            <v>3500000</v>
          </cell>
          <cell r="F141">
            <v>3500000</v>
          </cell>
          <cell r="G141">
            <v>3500000</v>
          </cell>
          <cell r="H141">
            <v>5000000</v>
          </cell>
          <cell r="I141">
            <v>5000000</v>
          </cell>
          <cell r="J141">
            <v>6500000</v>
          </cell>
          <cell r="K141">
            <v>10000000</v>
          </cell>
          <cell r="L141">
            <v>10000000</v>
          </cell>
          <cell r="M141">
            <v>20000000</v>
          </cell>
          <cell r="N141">
            <v>25000000</v>
          </cell>
          <cell r="O141">
            <v>53000000</v>
          </cell>
          <cell r="P141">
            <v>60000000</v>
          </cell>
          <cell r="S141">
            <v>34000000</v>
          </cell>
          <cell r="T141">
            <v>30000000</v>
          </cell>
          <cell r="U141">
            <v>20000000</v>
          </cell>
        </row>
        <row r="142">
          <cell r="D142">
            <v>3500000</v>
          </cell>
          <cell r="E142">
            <v>3500000</v>
          </cell>
          <cell r="F142">
            <v>3500000</v>
          </cell>
          <cell r="G142">
            <v>3500000</v>
          </cell>
          <cell r="H142">
            <v>5000000</v>
          </cell>
          <cell r="I142">
            <v>5000000</v>
          </cell>
          <cell r="J142">
            <v>5525000</v>
          </cell>
          <cell r="K142">
            <v>8500000</v>
          </cell>
          <cell r="L142">
            <v>8500000</v>
          </cell>
          <cell r="M142">
            <v>17000000</v>
          </cell>
          <cell r="N142">
            <v>25000000</v>
          </cell>
          <cell r="O142">
            <v>53000000</v>
          </cell>
          <cell r="P142">
            <v>60000000</v>
          </cell>
          <cell r="S142">
            <v>34000000</v>
          </cell>
          <cell r="T142">
            <v>30000000</v>
          </cell>
          <cell r="U142">
            <v>20000000</v>
          </cell>
        </row>
        <row r="143">
          <cell r="D143">
            <v>3500000</v>
          </cell>
          <cell r="E143">
            <v>3500000</v>
          </cell>
          <cell r="F143">
            <v>3500000</v>
          </cell>
          <cell r="G143">
            <v>3500000</v>
          </cell>
          <cell r="H143">
            <v>5000000</v>
          </cell>
          <cell r="I143">
            <v>5000000</v>
          </cell>
          <cell r="J143">
            <v>6500000</v>
          </cell>
          <cell r="K143">
            <v>10000000</v>
          </cell>
          <cell r="L143">
            <v>10000000</v>
          </cell>
          <cell r="M143">
            <v>20000000</v>
          </cell>
          <cell r="N143">
            <v>25000000</v>
          </cell>
          <cell r="O143">
            <v>53000000</v>
          </cell>
          <cell r="P143">
            <v>60000000</v>
          </cell>
          <cell r="S143">
            <v>34000000</v>
          </cell>
          <cell r="T143">
            <v>30000000</v>
          </cell>
          <cell r="U143">
            <v>20000000</v>
          </cell>
        </row>
        <row r="144">
          <cell r="D144">
            <v>3500000</v>
          </cell>
          <cell r="E144">
            <v>3500000</v>
          </cell>
          <cell r="F144">
            <v>3500000</v>
          </cell>
          <cell r="G144">
            <v>3500000</v>
          </cell>
          <cell r="H144">
            <v>5000000</v>
          </cell>
          <cell r="I144">
            <v>5000000</v>
          </cell>
          <cell r="J144">
            <v>6500000</v>
          </cell>
          <cell r="K144">
            <v>10000000</v>
          </cell>
          <cell r="L144">
            <v>10000000</v>
          </cell>
          <cell r="M144">
            <v>20000000</v>
          </cell>
          <cell r="N144">
            <v>25000000</v>
          </cell>
          <cell r="O144">
            <v>53000000</v>
          </cell>
          <cell r="P144">
            <v>60000000</v>
          </cell>
          <cell r="S144">
            <v>34000000</v>
          </cell>
          <cell r="T144">
            <v>30000000</v>
          </cell>
          <cell r="U144">
            <v>20000000</v>
          </cell>
        </row>
        <row r="145">
          <cell r="D145">
            <v>3500000</v>
          </cell>
          <cell r="E145">
            <v>3500000</v>
          </cell>
          <cell r="F145">
            <v>3500000</v>
          </cell>
          <cell r="G145">
            <v>3500000</v>
          </cell>
          <cell r="H145">
            <v>5000000</v>
          </cell>
          <cell r="I145">
            <v>5000000</v>
          </cell>
          <cell r="J145">
            <v>6500000</v>
          </cell>
          <cell r="K145">
            <v>10000000</v>
          </cell>
          <cell r="L145">
            <v>8500000</v>
          </cell>
          <cell r="M145">
            <v>17000000</v>
          </cell>
          <cell r="N145">
            <v>25000000</v>
          </cell>
          <cell r="O145">
            <v>53000000</v>
          </cell>
          <cell r="P145">
            <v>60000000</v>
          </cell>
          <cell r="S145">
            <v>34000000</v>
          </cell>
          <cell r="T145">
            <v>30000000</v>
          </cell>
          <cell r="U145">
            <v>20000000</v>
          </cell>
        </row>
        <row r="146">
          <cell r="D146">
            <v>3150000</v>
          </cell>
          <cell r="E146">
            <v>3500000</v>
          </cell>
          <cell r="F146">
            <v>3500000</v>
          </cell>
          <cell r="G146">
            <v>3500000</v>
          </cell>
          <cell r="H146">
            <v>5000000</v>
          </cell>
          <cell r="I146">
            <v>5000000</v>
          </cell>
          <cell r="J146">
            <v>6500000</v>
          </cell>
          <cell r="K146">
            <v>10000000</v>
          </cell>
          <cell r="L146">
            <v>4500000</v>
          </cell>
          <cell r="M146">
            <v>0</v>
          </cell>
          <cell r="N146">
            <v>25000000</v>
          </cell>
          <cell r="O146">
            <v>53000000</v>
          </cell>
          <cell r="P146">
            <v>60000000</v>
          </cell>
          <cell r="S146">
            <v>34000000</v>
          </cell>
          <cell r="T146">
            <v>30000000</v>
          </cell>
          <cell r="U146">
            <v>20000000</v>
          </cell>
        </row>
        <row r="147">
          <cell r="D147">
            <v>3500000</v>
          </cell>
          <cell r="E147">
            <v>3500000</v>
          </cell>
          <cell r="F147">
            <v>3500000</v>
          </cell>
          <cell r="G147">
            <v>3500000</v>
          </cell>
          <cell r="H147">
            <v>5000000</v>
          </cell>
          <cell r="I147">
            <v>5000000</v>
          </cell>
          <cell r="J147">
            <v>6500000</v>
          </cell>
          <cell r="K147">
            <v>10000000</v>
          </cell>
          <cell r="L147">
            <v>10000000</v>
          </cell>
          <cell r="M147">
            <v>18600000</v>
          </cell>
          <cell r="N147">
            <v>25000000</v>
          </cell>
          <cell r="O147">
            <v>53000000</v>
          </cell>
          <cell r="P147">
            <v>60000000</v>
          </cell>
          <cell r="S147">
            <v>34000000</v>
          </cell>
          <cell r="T147">
            <v>30000000</v>
          </cell>
          <cell r="U147">
            <v>20000000</v>
          </cell>
        </row>
        <row r="148">
          <cell r="D148">
            <v>3500000</v>
          </cell>
          <cell r="E148">
            <v>3500000</v>
          </cell>
          <cell r="F148">
            <v>3500000</v>
          </cell>
          <cell r="G148">
            <v>3500000</v>
          </cell>
          <cell r="H148">
            <v>5000000</v>
          </cell>
          <cell r="I148">
            <v>5000000</v>
          </cell>
          <cell r="J148">
            <v>6500000</v>
          </cell>
          <cell r="K148">
            <v>10000000</v>
          </cell>
          <cell r="L148">
            <v>10000000</v>
          </cell>
          <cell r="M148">
            <v>20000000</v>
          </cell>
          <cell r="N148">
            <v>25000000</v>
          </cell>
          <cell r="O148">
            <v>53000000</v>
          </cell>
          <cell r="P148">
            <v>60000000</v>
          </cell>
          <cell r="S148">
            <v>34000000</v>
          </cell>
          <cell r="T148">
            <v>30000000</v>
          </cell>
          <cell r="U148">
            <v>20000000</v>
          </cell>
        </row>
        <row r="149">
          <cell r="D149">
            <v>0</v>
          </cell>
          <cell r="E149">
            <v>0</v>
          </cell>
          <cell r="F149">
            <v>3500000</v>
          </cell>
          <cell r="G149">
            <v>3500000</v>
          </cell>
          <cell r="H149">
            <v>5000000</v>
          </cell>
          <cell r="I149">
            <v>5000000</v>
          </cell>
          <cell r="J149">
            <v>6500000</v>
          </cell>
          <cell r="K149">
            <v>10000000</v>
          </cell>
          <cell r="L149">
            <v>10000000</v>
          </cell>
          <cell r="M149">
            <v>17000000</v>
          </cell>
          <cell r="N149">
            <v>25000000</v>
          </cell>
          <cell r="O149">
            <v>53000000</v>
          </cell>
          <cell r="P149">
            <v>60000000</v>
          </cell>
          <cell r="S149">
            <v>34000000</v>
          </cell>
          <cell r="T149">
            <v>30000000</v>
          </cell>
          <cell r="U149">
            <v>20000000</v>
          </cell>
        </row>
        <row r="150">
          <cell r="D150">
            <v>0</v>
          </cell>
          <cell r="E150">
            <v>0</v>
          </cell>
          <cell r="F150">
            <v>3500000</v>
          </cell>
          <cell r="G150">
            <v>3500000</v>
          </cell>
          <cell r="H150">
            <v>5000000</v>
          </cell>
          <cell r="I150">
            <v>5000000</v>
          </cell>
          <cell r="J150">
            <v>6500000</v>
          </cell>
          <cell r="K150">
            <v>10000000</v>
          </cell>
          <cell r="L150">
            <v>10000000</v>
          </cell>
          <cell r="M150">
            <v>20000000</v>
          </cell>
          <cell r="N150">
            <v>25000000</v>
          </cell>
          <cell r="O150">
            <v>53000000</v>
          </cell>
          <cell r="P150">
            <v>60000000</v>
          </cell>
          <cell r="S150">
            <v>34000000</v>
          </cell>
          <cell r="T150">
            <v>30000000</v>
          </cell>
          <cell r="U150">
            <v>20000000</v>
          </cell>
        </row>
        <row r="151"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5000000</v>
          </cell>
          <cell r="I151">
            <v>5000000</v>
          </cell>
          <cell r="J151">
            <v>6500000</v>
          </cell>
          <cell r="K151">
            <v>10000000</v>
          </cell>
          <cell r="L151">
            <v>10000000</v>
          </cell>
          <cell r="M151">
            <v>20000000</v>
          </cell>
          <cell r="N151">
            <v>25000000</v>
          </cell>
          <cell r="O151">
            <v>53000000</v>
          </cell>
          <cell r="P151">
            <v>60000000</v>
          </cell>
          <cell r="S151">
            <v>34000000</v>
          </cell>
          <cell r="T151">
            <v>30000000</v>
          </cell>
          <cell r="U151">
            <v>20000000</v>
          </cell>
        </row>
        <row r="152"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5000000</v>
          </cell>
          <cell r="I152">
            <v>5000000</v>
          </cell>
          <cell r="J152">
            <v>6500000</v>
          </cell>
          <cell r="K152">
            <v>10000000</v>
          </cell>
          <cell r="L152">
            <v>10000000</v>
          </cell>
          <cell r="M152">
            <v>0</v>
          </cell>
          <cell r="N152">
            <v>25000000</v>
          </cell>
          <cell r="O152">
            <v>53000000</v>
          </cell>
          <cell r="P152">
            <v>60000000</v>
          </cell>
          <cell r="S152">
            <v>34000000</v>
          </cell>
          <cell r="T152">
            <v>30000000</v>
          </cell>
          <cell r="U152">
            <v>20000000</v>
          </cell>
        </row>
        <row r="153"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5000000</v>
          </cell>
          <cell r="J153">
            <v>6500000</v>
          </cell>
          <cell r="K153">
            <v>10000000</v>
          </cell>
          <cell r="L153">
            <v>10000000</v>
          </cell>
          <cell r="M153">
            <v>20000000</v>
          </cell>
          <cell r="N153">
            <v>25000000</v>
          </cell>
          <cell r="O153">
            <v>53000000</v>
          </cell>
          <cell r="P153">
            <v>60000000</v>
          </cell>
          <cell r="S153">
            <v>34000000</v>
          </cell>
          <cell r="T153">
            <v>30000000</v>
          </cell>
          <cell r="U153">
            <v>20000000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5000000</v>
          </cell>
          <cell r="J154">
            <v>6500000</v>
          </cell>
          <cell r="K154">
            <v>8500000</v>
          </cell>
          <cell r="L154">
            <v>9918115.6500000004</v>
          </cell>
          <cell r="M154">
            <v>18444197.300000001</v>
          </cell>
          <cell r="N154">
            <v>25000000</v>
          </cell>
          <cell r="O154">
            <v>53000000</v>
          </cell>
          <cell r="P154">
            <v>60000000</v>
          </cell>
          <cell r="S154">
            <v>34000000</v>
          </cell>
          <cell r="T154">
            <v>30000000</v>
          </cell>
          <cell r="U154">
            <v>20000000</v>
          </cell>
        </row>
        <row r="155"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5000000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25000000</v>
          </cell>
          <cell r="O155">
            <v>53000000</v>
          </cell>
          <cell r="P155">
            <v>60000000</v>
          </cell>
          <cell r="S155">
            <v>34000000</v>
          </cell>
          <cell r="T155">
            <v>30000000</v>
          </cell>
          <cell r="U155">
            <v>20000000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5000000</v>
          </cell>
          <cell r="J156">
            <v>6500000</v>
          </cell>
          <cell r="K156">
            <v>10000000</v>
          </cell>
          <cell r="L156">
            <v>10000000</v>
          </cell>
          <cell r="M156">
            <v>20000000</v>
          </cell>
          <cell r="N156">
            <v>25000000</v>
          </cell>
          <cell r="O156">
            <v>53000000</v>
          </cell>
          <cell r="P156">
            <v>60000000</v>
          </cell>
          <cell r="S156">
            <v>34000000</v>
          </cell>
          <cell r="T156">
            <v>30000000</v>
          </cell>
          <cell r="U156">
            <v>20000000</v>
          </cell>
        </row>
        <row r="157"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5000000</v>
          </cell>
          <cell r="J157">
            <v>6500000</v>
          </cell>
          <cell r="K157">
            <v>10000000</v>
          </cell>
          <cell r="L157">
            <v>10000000</v>
          </cell>
          <cell r="M157">
            <v>0</v>
          </cell>
          <cell r="N157">
            <v>0</v>
          </cell>
          <cell r="O157">
            <v>0</v>
          </cell>
          <cell r="P157">
            <v>60000000</v>
          </cell>
          <cell r="S157">
            <v>0</v>
          </cell>
          <cell r="T157">
            <v>30000000</v>
          </cell>
        </row>
        <row r="158"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6500000</v>
          </cell>
          <cell r="K158">
            <v>10000000</v>
          </cell>
          <cell r="L158">
            <v>10000000</v>
          </cell>
          <cell r="M158">
            <v>20000000</v>
          </cell>
          <cell r="N158">
            <v>25000000</v>
          </cell>
          <cell r="O158">
            <v>53000000</v>
          </cell>
          <cell r="P158">
            <v>60000000</v>
          </cell>
          <cell r="S158">
            <v>34000000</v>
          </cell>
          <cell r="T158">
            <v>30000000</v>
          </cell>
          <cell r="U158">
            <v>20000000</v>
          </cell>
        </row>
        <row r="159"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6500000</v>
          </cell>
          <cell r="K159">
            <v>10000000</v>
          </cell>
          <cell r="L159">
            <v>10000000</v>
          </cell>
          <cell r="M159">
            <v>20000000</v>
          </cell>
          <cell r="N159">
            <v>25000000</v>
          </cell>
          <cell r="O159">
            <v>53000000</v>
          </cell>
          <cell r="P159">
            <v>60000000</v>
          </cell>
          <cell r="S159">
            <v>34000000</v>
          </cell>
          <cell r="T159">
            <v>30000000</v>
          </cell>
          <cell r="U159">
            <v>20000000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10000000</v>
          </cell>
          <cell r="L160">
            <v>10000000</v>
          </cell>
          <cell r="M160">
            <v>20000000</v>
          </cell>
          <cell r="N160">
            <v>25000000</v>
          </cell>
          <cell r="O160">
            <v>53000000</v>
          </cell>
          <cell r="P160">
            <v>60000000</v>
          </cell>
          <cell r="S160">
            <v>34000000</v>
          </cell>
          <cell r="T160">
            <v>30000000</v>
          </cell>
          <cell r="U160">
            <v>20000000</v>
          </cell>
        </row>
        <row r="161"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6500000</v>
          </cell>
          <cell r="K161">
            <v>10000000</v>
          </cell>
          <cell r="L161">
            <v>10000000</v>
          </cell>
          <cell r="M161">
            <v>20000000</v>
          </cell>
          <cell r="N161">
            <v>25000000</v>
          </cell>
          <cell r="O161">
            <v>53000000</v>
          </cell>
          <cell r="P161">
            <v>60000000</v>
          </cell>
          <cell r="S161">
            <v>34000000</v>
          </cell>
          <cell r="T161">
            <v>30000000</v>
          </cell>
          <cell r="U161">
            <v>20000000</v>
          </cell>
        </row>
        <row r="162"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10000000</v>
          </cell>
          <cell r="L162">
            <v>10000000</v>
          </cell>
          <cell r="M162">
            <v>20000000</v>
          </cell>
          <cell r="N162">
            <v>25000000</v>
          </cell>
          <cell r="O162">
            <v>53000000</v>
          </cell>
          <cell r="P162">
            <v>60000000</v>
          </cell>
          <cell r="S162">
            <v>34000000</v>
          </cell>
          <cell r="T162">
            <v>30000000</v>
          </cell>
          <cell r="U162">
            <v>20000000</v>
          </cell>
        </row>
        <row r="163"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S163">
            <v>0</v>
          </cell>
        </row>
        <row r="164"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20000000</v>
          </cell>
          <cell r="N164">
            <v>25000000</v>
          </cell>
          <cell r="O164">
            <v>53000000</v>
          </cell>
          <cell r="P164">
            <v>60000000</v>
          </cell>
          <cell r="S164">
            <v>34000000</v>
          </cell>
          <cell r="T164">
            <v>30000000</v>
          </cell>
          <cell r="U164">
            <v>20000000</v>
          </cell>
        </row>
        <row r="165"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5000000</v>
          </cell>
          <cell r="J165">
            <v>6500000</v>
          </cell>
          <cell r="K165">
            <v>0</v>
          </cell>
          <cell r="L165">
            <v>0</v>
          </cell>
          <cell r="M165">
            <v>0</v>
          </cell>
          <cell r="N165">
            <v>25000000</v>
          </cell>
          <cell r="O165">
            <v>53000000</v>
          </cell>
          <cell r="P165">
            <v>60000000</v>
          </cell>
          <cell r="S165">
            <v>34000000</v>
          </cell>
          <cell r="T165">
            <v>30000000</v>
          </cell>
          <cell r="U165">
            <v>20000000</v>
          </cell>
        </row>
        <row r="166"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25000000</v>
          </cell>
          <cell r="O166">
            <v>53000000</v>
          </cell>
          <cell r="P166">
            <v>60000000</v>
          </cell>
          <cell r="S166">
            <v>34000000</v>
          </cell>
          <cell r="T166">
            <v>30000000</v>
          </cell>
          <cell r="U166">
            <v>20000000</v>
          </cell>
        </row>
        <row r="167"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P167">
            <v>60000000</v>
          </cell>
          <cell r="S167">
            <v>0</v>
          </cell>
          <cell r="T167">
            <v>30000000</v>
          </cell>
        </row>
        <row r="168"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53000000</v>
          </cell>
          <cell r="P168">
            <v>60000000</v>
          </cell>
          <cell r="S168">
            <v>34000000</v>
          </cell>
          <cell r="T168">
            <v>30000000</v>
          </cell>
          <cell r="U168">
            <v>20000000</v>
          </cell>
        </row>
        <row r="169"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60000000</v>
          </cell>
          <cell r="S169">
            <v>34000000</v>
          </cell>
          <cell r="T169">
            <v>30000000</v>
          </cell>
          <cell r="U169">
            <v>20000000</v>
          </cell>
        </row>
        <row r="170"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60000000</v>
          </cell>
          <cell r="S170">
            <v>34000000</v>
          </cell>
          <cell r="T170">
            <v>30000000</v>
          </cell>
          <cell r="U170">
            <v>20000000</v>
          </cell>
        </row>
        <row r="171"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6756176.5700000003</v>
          </cell>
          <cell r="P171">
            <v>60000000</v>
          </cell>
          <cell r="S171">
            <v>34000000</v>
          </cell>
          <cell r="T171">
            <v>30000000</v>
          </cell>
          <cell r="U171">
            <v>20000000</v>
          </cell>
        </row>
        <row r="172"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60000000</v>
          </cell>
          <cell r="S172">
            <v>34000000</v>
          </cell>
          <cell r="T172">
            <v>30000000</v>
          </cell>
          <cell r="U172">
            <v>20000000</v>
          </cell>
        </row>
        <row r="173">
          <cell r="D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60000000</v>
          </cell>
          <cell r="S173">
            <v>34000000</v>
          </cell>
          <cell r="T173">
            <v>30000000</v>
          </cell>
          <cell r="U173">
            <v>20000000</v>
          </cell>
        </row>
        <row r="174"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60000000</v>
          </cell>
          <cell r="S174">
            <v>34000000</v>
          </cell>
          <cell r="T174">
            <v>30000000</v>
          </cell>
          <cell r="U174">
            <v>20000000</v>
          </cell>
        </row>
        <row r="175"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60000000</v>
          </cell>
          <cell r="S175">
            <v>34000000</v>
          </cell>
          <cell r="T175">
            <v>30000000</v>
          </cell>
          <cell r="U175">
            <v>20000000</v>
          </cell>
        </row>
        <row r="176"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160000000</v>
          </cell>
          <cell r="P176">
            <v>60000000</v>
          </cell>
          <cell r="S176">
            <v>34000000</v>
          </cell>
          <cell r="T176">
            <v>30000000</v>
          </cell>
          <cell r="U176">
            <v>20000000</v>
          </cell>
        </row>
        <row r="177"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60000000</v>
          </cell>
          <cell r="S177">
            <v>34000000</v>
          </cell>
          <cell r="T177">
            <v>30000000</v>
          </cell>
          <cell r="U177">
            <v>20000000</v>
          </cell>
        </row>
        <row r="178"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S178">
            <v>34000000</v>
          </cell>
          <cell r="T178">
            <v>30000000</v>
          </cell>
          <cell r="U178">
            <v>20000000</v>
          </cell>
        </row>
        <row r="179"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S179">
            <v>34000000</v>
          </cell>
          <cell r="T179">
            <v>30000000</v>
          </cell>
          <cell r="U179">
            <v>20000000</v>
          </cell>
        </row>
        <row r="180"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S180">
            <v>34000000</v>
          </cell>
          <cell r="T180">
            <v>30000000</v>
          </cell>
          <cell r="U180">
            <v>20000000</v>
          </cell>
        </row>
        <row r="181"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S181">
            <v>34000000</v>
          </cell>
          <cell r="T181">
            <v>30000000</v>
          </cell>
          <cell r="U181">
            <v>20000000</v>
          </cell>
        </row>
        <row r="182"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60000000</v>
          </cell>
          <cell r="S182">
            <v>34000000</v>
          </cell>
          <cell r="T182">
            <v>30000000</v>
          </cell>
          <cell r="U182">
            <v>20000000</v>
          </cell>
        </row>
        <row r="183"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60000000</v>
          </cell>
          <cell r="S183">
            <v>34000000</v>
          </cell>
          <cell r="T183">
            <v>30000000</v>
          </cell>
          <cell r="U183">
            <v>20000000</v>
          </cell>
        </row>
        <row r="184">
          <cell r="D184">
            <v>0</v>
          </cell>
          <cell r="S184">
            <v>0</v>
          </cell>
          <cell r="T184">
            <v>30000000</v>
          </cell>
        </row>
        <row r="185">
          <cell r="D185">
            <v>0</v>
          </cell>
          <cell r="S185">
            <v>34000000</v>
          </cell>
          <cell r="T185">
            <v>30000000</v>
          </cell>
          <cell r="U185">
            <v>20000000</v>
          </cell>
        </row>
        <row r="186">
          <cell r="U186">
            <v>0</v>
          </cell>
        </row>
        <row r="187">
          <cell r="T187">
            <v>2220000000</v>
          </cell>
        </row>
      </sheetData>
      <sheetData sheetId="10">
        <row r="12">
          <cell r="D12">
            <v>59027776.770000003</v>
          </cell>
          <cell r="E12">
            <v>20000000</v>
          </cell>
          <cell r="F12">
            <v>40000000</v>
          </cell>
          <cell r="G12">
            <v>100000</v>
          </cell>
          <cell r="H12">
            <v>50000000</v>
          </cell>
          <cell r="I12">
            <v>0</v>
          </cell>
          <cell r="J12">
            <v>25500000</v>
          </cell>
          <cell r="K12">
            <v>25500000</v>
          </cell>
          <cell r="L12">
            <v>0</v>
          </cell>
          <cell r="M12">
            <v>40000000</v>
          </cell>
          <cell r="N12">
            <v>0</v>
          </cell>
          <cell r="O12">
            <v>40000000</v>
          </cell>
          <cell r="P12">
            <v>0</v>
          </cell>
          <cell r="Q12">
            <v>44200000</v>
          </cell>
          <cell r="R12">
            <v>56950000</v>
          </cell>
          <cell r="S12">
            <v>48450000</v>
          </cell>
          <cell r="T12">
            <v>0</v>
          </cell>
          <cell r="U12">
            <v>0</v>
          </cell>
          <cell r="V12">
            <v>0</v>
          </cell>
          <cell r="W12">
            <v>156008457.78</v>
          </cell>
          <cell r="X12">
            <v>43500000</v>
          </cell>
          <cell r="Y12">
            <v>0</v>
          </cell>
          <cell r="Z12">
            <v>312016915.56</v>
          </cell>
          <cell r="AA12">
            <v>0</v>
          </cell>
          <cell r="AB12">
            <v>500000000</v>
          </cell>
          <cell r="AC12">
            <v>317365776.96959996</v>
          </cell>
          <cell r="AD12">
            <v>11600000</v>
          </cell>
          <cell r="AE12">
            <v>492095249.69319999</v>
          </cell>
          <cell r="AF12">
            <v>11600000</v>
          </cell>
          <cell r="AG12">
            <v>250000000</v>
          </cell>
          <cell r="AH12">
            <v>25600000</v>
          </cell>
          <cell r="AI12">
            <v>15000000</v>
          </cell>
          <cell r="AJ12">
            <v>0</v>
          </cell>
          <cell r="AK12">
            <v>5800000</v>
          </cell>
          <cell r="AL12">
            <v>500000000</v>
          </cell>
          <cell r="AM12">
            <v>0</v>
          </cell>
          <cell r="AN12">
            <v>15000000</v>
          </cell>
          <cell r="AO12">
            <v>0</v>
          </cell>
          <cell r="AP12">
            <v>0</v>
          </cell>
          <cell r="AQ12">
            <v>0</v>
          </cell>
          <cell r="AR12">
            <v>255000000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</row>
        <row r="13">
          <cell r="D13">
            <v>59027776.670000002</v>
          </cell>
          <cell r="E13">
            <v>20000000</v>
          </cell>
          <cell r="F13">
            <v>40000000</v>
          </cell>
          <cell r="G13">
            <v>0</v>
          </cell>
          <cell r="H13">
            <v>50000000</v>
          </cell>
          <cell r="I13">
            <v>21250000</v>
          </cell>
          <cell r="J13">
            <v>21900000</v>
          </cell>
          <cell r="K13">
            <v>30000000</v>
          </cell>
          <cell r="L13">
            <v>0</v>
          </cell>
          <cell r="M13">
            <v>40000000</v>
          </cell>
          <cell r="N13">
            <v>0</v>
          </cell>
          <cell r="O13">
            <v>34000000</v>
          </cell>
          <cell r="P13">
            <v>0</v>
          </cell>
          <cell r="Q13">
            <v>34840000</v>
          </cell>
          <cell r="R13">
            <v>44890000</v>
          </cell>
          <cell r="S13">
            <v>38190000</v>
          </cell>
          <cell r="T13">
            <v>0</v>
          </cell>
          <cell r="U13">
            <v>140992200</v>
          </cell>
          <cell r="V13">
            <v>0</v>
          </cell>
          <cell r="W13">
            <v>148750000</v>
          </cell>
          <cell r="X13">
            <v>63750000</v>
          </cell>
          <cell r="Y13">
            <v>108400000</v>
          </cell>
          <cell r="Z13">
            <v>297500000</v>
          </cell>
          <cell r="AA13">
            <v>8500000</v>
          </cell>
          <cell r="AB13">
            <v>0</v>
          </cell>
          <cell r="AC13">
            <v>302600000</v>
          </cell>
          <cell r="AD13">
            <v>17000000</v>
          </cell>
          <cell r="AE13">
            <v>298080000</v>
          </cell>
          <cell r="AF13">
            <v>0</v>
          </cell>
          <cell r="AG13">
            <v>300000000</v>
          </cell>
          <cell r="AH13">
            <v>54000000</v>
          </cell>
          <cell r="AI13">
            <v>7500000</v>
          </cell>
          <cell r="AJ13">
            <v>0</v>
          </cell>
          <cell r="AK13">
            <v>0</v>
          </cell>
          <cell r="AL13">
            <v>642000000</v>
          </cell>
          <cell r="AM13">
            <v>305321400</v>
          </cell>
          <cell r="AN13">
            <v>7500000</v>
          </cell>
          <cell r="AO13">
            <v>0</v>
          </cell>
          <cell r="AP13">
            <v>0</v>
          </cell>
          <cell r="AQ13">
            <v>0</v>
          </cell>
          <cell r="AR13">
            <v>255000000</v>
          </cell>
          <cell r="AS13">
            <v>0</v>
          </cell>
          <cell r="AT13">
            <v>79200000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</row>
        <row r="14">
          <cell r="D14">
            <v>59027776.670000002</v>
          </cell>
          <cell r="E14">
            <v>20000000</v>
          </cell>
          <cell r="F14">
            <v>40000000</v>
          </cell>
          <cell r="G14">
            <v>2217000</v>
          </cell>
          <cell r="H14">
            <v>50000000</v>
          </cell>
          <cell r="I14">
            <v>25000000</v>
          </cell>
          <cell r="J14">
            <v>30000000</v>
          </cell>
          <cell r="K14">
            <v>30000000</v>
          </cell>
          <cell r="L14">
            <v>0</v>
          </cell>
          <cell r="M14">
            <v>40000000</v>
          </cell>
          <cell r="N14">
            <v>0</v>
          </cell>
          <cell r="O14">
            <v>40000000</v>
          </cell>
          <cell r="P14">
            <v>0</v>
          </cell>
          <cell r="Q14">
            <v>52000000</v>
          </cell>
          <cell r="R14">
            <v>67000000</v>
          </cell>
          <cell r="S14">
            <v>57000000</v>
          </cell>
          <cell r="T14">
            <v>0</v>
          </cell>
          <cell r="U14">
            <v>193140000</v>
          </cell>
          <cell r="V14">
            <v>85000000</v>
          </cell>
          <cell r="W14">
            <v>175000000</v>
          </cell>
          <cell r="X14">
            <v>63750000</v>
          </cell>
          <cell r="Z14">
            <v>199500000</v>
          </cell>
          <cell r="AA14">
            <v>42500000</v>
          </cell>
          <cell r="AB14">
            <v>0</v>
          </cell>
          <cell r="AC14">
            <v>302600000</v>
          </cell>
          <cell r="AD14">
            <v>17000000</v>
          </cell>
          <cell r="AE14">
            <v>292560000</v>
          </cell>
          <cell r="AF14">
            <v>17000000</v>
          </cell>
          <cell r="AG14">
            <v>0</v>
          </cell>
          <cell r="AH14">
            <v>53000000</v>
          </cell>
          <cell r="AI14">
            <v>0</v>
          </cell>
          <cell r="AJ14">
            <v>0</v>
          </cell>
          <cell r="AK14">
            <v>8500000</v>
          </cell>
          <cell r="AL14">
            <v>300000000</v>
          </cell>
          <cell r="AM14">
            <v>299667300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</row>
        <row r="15">
          <cell r="D15">
            <v>59027776.670000002</v>
          </cell>
          <cell r="E15">
            <v>20000000</v>
          </cell>
          <cell r="F15">
            <v>40000000</v>
          </cell>
          <cell r="G15">
            <v>346000</v>
          </cell>
          <cell r="H15">
            <v>50000000</v>
          </cell>
          <cell r="I15">
            <v>25000000</v>
          </cell>
          <cell r="J15">
            <v>30000000</v>
          </cell>
          <cell r="K15">
            <v>25500000</v>
          </cell>
          <cell r="L15">
            <v>0</v>
          </cell>
          <cell r="M15">
            <v>34000000</v>
          </cell>
          <cell r="N15">
            <v>0</v>
          </cell>
          <cell r="O15">
            <v>40000000</v>
          </cell>
          <cell r="P15">
            <v>0</v>
          </cell>
          <cell r="Q15">
            <v>52000000</v>
          </cell>
          <cell r="R15">
            <v>67000000</v>
          </cell>
          <cell r="S15">
            <v>57000000</v>
          </cell>
          <cell r="T15">
            <v>0</v>
          </cell>
          <cell r="U15">
            <v>193140000</v>
          </cell>
          <cell r="V15">
            <v>580000000</v>
          </cell>
          <cell r="W15">
            <v>175000000</v>
          </cell>
          <cell r="X15">
            <v>75000000</v>
          </cell>
          <cell r="Y15">
            <v>950000000</v>
          </cell>
          <cell r="Z15">
            <v>350000000</v>
          </cell>
          <cell r="AA15">
            <v>572000000</v>
          </cell>
          <cell r="AB15">
            <v>250000000</v>
          </cell>
          <cell r="AC15">
            <v>356000000</v>
          </cell>
          <cell r="AD15">
            <v>0</v>
          </cell>
          <cell r="AE15">
            <v>552000000</v>
          </cell>
          <cell r="AF15">
            <v>0</v>
          </cell>
          <cell r="AG15">
            <v>200000000</v>
          </cell>
          <cell r="AH15">
            <v>85000000</v>
          </cell>
          <cell r="AI15">
            <v>0</v>
          </cell>
          <cell r="AJ15">
            <v>0</v>
          </cell>
          <cell r="AK15">
            <v>0</v>
          </cell>
          <cell r="AL15">
            <v>5557000000</v>
          </cell>
          <cell r="AM15">
            <v>480598500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120000000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</row>
        <row r="16">
          <cell r="D16">
            <v>59027776.670000002</v>
          </cell>
          <cell r="E16">
            <v>20000000</v>
          </cell>
          <cell r="F16">
            <v>40000000</v>
          </cell>
          <cell r="G16">
            <v>466000</v>
          </cell>
          <cell r="H16">
            <v>50000000</v>
          </cell>
          <cell r="I16">
            <v>21250000</v>
          </cell>
          <cell r="J16">
            <v>30000000</v>
          </cell>
          <cell r="K16">
            <v>30000000</v>
          </cell>
          <cell r="L16">
            <v>0</v>
          </cell>
          <cell r="M16">
            <v>40000000</v>
          </cell>
          <cell r="N16">
            <v>0</v>
          </cell>
          <cell r="O16">
            <v>40000000</v>
          </cell>
          <cell r="P16">
            <v>0</v>
          </cell>
          <cell r="Q16">
            <v>52000000</v>
          </cell>
          <cell r="R16">
            <v>56950000</v>
          </cell>
          <cell r="S16">
            <v>48450000</v>
          </cell>
          <cell r="T16">
            <v>0</v>
          </cell>
          <cell r="U16">
            <v>164169000</v>
          </cell>
          <cell r="V16">
            <v>12750000</v>
          </cell>
          <cell r="W16">
            <v>0</v>
          </cell>
          <cell r="X16">
            <v>0</v>
          </cell>
          <cell r="Y16">
            <v>0</v>
          </cell>
          <cell r="Z16">
            <v>297500000</v>
          </cell>
          <cell r="AA16">
            <v>0</v>
          </cell>
          <cell r="AB16">
            <v>0</v>
          </cell>
          <cell r="AC16">
            <v>302600000</v>
          </cell>
          <cell r="AD16">
            <v>0</v>
          </cell>
          <cell r="AE16">
            <v>469200000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</row>
        <row r="17">
          <cell r="D17">
            <v>59027776.600000001</v>
          </cell>
          <cell r="E17">
            <v>20000000</v>
          </cell>
          <cell r="F17">
            <v>40000000</v>
          </cell>
          <cell r="G17">
            <v>0</v>
          </cell>
          <cell r="H17">
            <v>50000000</v>
          </cell>
          <cell r="I17">
            <v>25000000</v>
          </cell>
          <cell r="J17">
            <v>30000000</v>
          </cell>
          <cell r="K17">
            <v>30000000</v>
          </cell>
          <cell r="L17">
            <v>0</v>
          </cell>
          <cell r="M17">
            <v>22000000</v>
          </cell>
          <cell r="N17">
            <v>0</v>
          </cell>
          <cell r="O17">
            <v>40000000</v>
          </cell>
          <cell r="P17">
            <v>0</v>
          </cell>
          <cell r="Q17">
            <v>52000000</v>
          </cell>
          <cell r="R17">
            <v>67000000</v>
          </cell>
          <cell r="S17">
            <v>30210000</v>
          </cell>
          <cell r="T17">
            <v>0</v>
          </cell>
          <cell r="U17">
            <v>172359000</v>
          </cell>
          <cell r="V17">
            <v>0</v>
          </cell>
          <cell r="W17">
            <v>148750000</v>
          </cell>
          <cell r="X17">
            <v>63750000</v>
          </cell>
          <cell r="Y17">
            <v>0</v>
          </cell>
          <cell r="Z17">
            <v>297500000</v>
          </cell>
          <cell r="AA17">
            <v>0</v>
          </cell>
          <cell r="AB17">
            <v>0</v>
          </cell>
          <cell r="AC17">
            <v>302600000</v>
          </cell>
          <cell r="AD17">
            <v>17000000</v>
          </cell>
          <cell r="AE17">
            <v>469200000</v>
          </cell>
          <cell r="AF17">
            <v>17000000</v>
          </cell>
          <cell r="AG17">
            <v>0</v>
          </cell>
          <cell r="AH17">
            <v>64000000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361862400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75600000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</row>
        <row r="18">
          <cell r="D18">
            <v>59027776.350000001</v>
          </cell>
          <cell r="E18">
            <v>20000000</v>
          </cell>
          <cell r="F18">
            <v>40000000</v>
          </cell>
          <cell r="G18">
            <v>1031000</v>
          </cell>
          <cell r="H18">
            <v>50000000</v>
          </cell>
          <cell r="I18">
            <v>25000000</v>
          </cell>
          <cell r="J18">
            <v>30000000</v>
          </cell>
          <cell r="K18">
            <v>30000000</v>
          </cell>
          <cell r="L18">
            <v>0</v>
          </cell>
          <cell r="M18">
            <v>40000000</v>
          </cell>
          <cell r="N18">
            <v>7400000</v>
          </cell>
          <cell r="O18">
            <v>40000000</v>
          </cell>
          <cell r="P18">
            <v>0</v>
          </cell>
          <cell r="Q18">
            <v>52000000</v>
          </cell>
          <cell r="R18">
            <v>67000000</v>
          </cell>
          <cell r="S18">
            <v>57000000</v>
          </cell>
          <cell r="T18">
            <v>0</v>
          </cell>
          <cell r="U18">
            <v>193140000</v>
          </cell>
          <cell r="V18">
            <v>0</v>
          </cell>
          <cell r="W18">
            <v>175000000</v>
          </cell>
          <cell r="X18">
            <v>75000000</v>
          </cell>
          <cell r="Y18">
            <v>30000000</v>
          </cell>
          <cell r="Z18">
            <v>199500000</v>
          </cell>
          <cell r="AA18">
            <v>0</v>
          </cell>
          <cell r="AB18">
            <v>0</v>
          </cell>
          <cell r="AC18">
            <v>202920000</v>
          </cell>
          <cell r="AD18">
            <v>13400000</v>
          </cell>
          <cell r="AE18">
            <v>314640000</v>
          </cell>
          <cell r="AF18">
            <v>13400000</v>
          </cell>
          <cell r="AG18">
            <v>300000000</v>
          </cell>
          <cell r="AH18">
            <v>57000000</v>
          </cell>
          <cell r="AI18">
            <v>0</v>
          </cell>
          <cell r="AJ18">
            <v>0</v>
          </cell>
          <cell r="AK18">
            <v>0</v>
          </cell>
          <cell r="AL18">
            <v>850000000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78000000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</row>
        <row r="19">
          <cell r="D19">
            <v>59027777.030000001</v>
          </cell>
          <cell r="E19">
            <v>20000000</v>
          </cell>
          <cell r="F19">
            <v>40000000</v>
          </cell>
          <cell r="G19">
            <v>0</v>
          </cell>
          <cell r="H19">
            <v>50000000</v>
          </cell>
          <cell r="I19">
            <v>23000000</v>
          </cell>
          <cell r="J19">
            <v>30000000</v>
          </cell>
          <cell r="K19">
            <v>30000000</v>
          </cell>
          <cell r="L19">
            <v>0</v>
          </cell>
          <cell r="M19">
            <v>40000000</v>
          </cell>
          <cell r="N19">
            <v>0</v>
          </cell>
          <cell r="O19">
            <v>40000000</v>
          </cell>
          <cell r="P19">
            <v>0</v>
          </cell>
          <cell r="Q19">
            <v>52000000</v>
          </cell>
          <cell r="R19">
            <v>67000000</v>
          </cell>
          <cell r="S19">
            <v>33060000</v>
          </cell>
          <cell r="T19">
            <v>0</v>
          </cell>
          <cell r="U19">
            <v>112021200</v>
          </cell>
          <cell r="V19">
            <v>0</v>
          </cell>
          <cell r="W19">
            <v>148750000</v>
          </cell>
          <cell r="X19">
            <v>75000000</v>
          </cell>
          <cell r="Y19">
            <v>120000000</v>
          </cell>
          <cell r="Z19">
            <v>297500000</v>
          </cell>
          <cell r="AA19">
            <v>0</v>
          </cell>
          <cell r="AB19">
            <v>0</v>
          </cell>
          <cell r="AC19">
            <v>302600000</v>
          </cell>
          <cell r="AD19">
            <v>20000000</v>
          </cell>
          <cell r="AE19">
            <v>469200000</v>
          </cell>
          <cell r="AF19">
            <v>0</v>
          </cell>
          <cell r="AG19">
            <v>530000000</v>
          </cell>
          <cell r="AH19">
            <v>85000000</v>
          </cell>
          <cell r="AI19">
            <v>0</v>
          </cell>
          <cell r="AJ19">
            <v>0</v>
          </cell>
          <cell r="AK19">
            <v>0</v>
          </cell>
          <cell r="AL19">
            <v>1340000000</v>
          </cell>
          <cell r="AM19">
            <v>480598500</v>
          </cell>
          <cell r="AN19">
            <v>0</v>
          </cell>
          <cell r="AO19">
            <v>0</v>
          </cell>
          <cell r="AP19">
            <v>0</v>
          </cell>
          <cell r="AQ19">
            <v>619974510.75999999</v>
          </cell>
          <cell r="AR19">
            <v>0</v>
          </cell>
          <cell r="AS19">
            <v>0</v>
          </cell>
          <cell r="AT19">
            <v>73200000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</row>
        <row r="20">
          <cell r="D20">
            <v>59027776.659999996</v>
          </cell>
          <cell r="E20">
            <v>20000000</v>
          </cell>
          <cell r="F20">
            <v>40000000</v>
          </cell>
          <cell r="G20">
            <v>1010000</v>
          </cell>
          <cell r="H20">
            <v>42500000</v>
          </cell>
          <cell r="I20">
            <v>25000000</v>
          </cell>
          <cell r="J20">
            <v>30000000</v>
          </cell>
          <cell r="K20">
            <v>30000000</v>
          </cell>
          <cell r="L20">
            <v>0</v>
          </cell>
          <cell r="M20">
            <v>40000000</v>
          </cell>
          <cell r="N20">
            <v>0</v>
          </cell>
          <cell r="O20">
            <v>40000000</v>
          </cell>
          <cell r="P20">
            <v>0</v>
          </cell>
          <cell r="Q20">
            <v>52000000</v>
          </cell>
          <cell r="R20">
            <v>67000000</v>
          </cell>
          <cell r="S20">
            <v>37050000</v>
          </cell>
          <cell r="T20">
            <v>0</v>
          </cell>
          <cell r="U20">
            <v>125541000</v>
          </cell>
          <cell r="V20">
            <v>0</v>
          </cell>
          <cell r="W20">
            <v>148750000</v>
          </cell>
          <cell r="X20">
            <v>63750000</v>
          </cell>
          <cell r="Y20">
            <v>0</v>
          </cell>
          <cell r="Z20">
            <v>297500000</v>
          </cell>
          <cell r="AA20">
            <v>0</v>
          </cell>
          <cell r="AB20">
            <v>0</v>
          </cell>
          <cell r="AC20">
            <v>195800000</v>
          </cell>
          <cell r="AD20">
            <v>0</v>
          </cell>
          <cell r="AE20">
            <v>303600000</v>
          </cell>
          <cell r="AF20">
            <v>0</v>
          </cell>
          <cell r="AG20">
            <v>500000000</v>
          </cell>
          <cell r="AH20">
            <v>55000000</v>
          </cell>
          <cell r="AI20">
            <v>7950000</v>
          </cell>
          <cell r="AJ20">
            <v>0</v>
          </cell>
          <cell r="AK20">
            <v>0</v>
          </cell>
          <cell r="AL20">
            <v>1850000000</v>
          </cell>
          <cell r="AM20">
            <v>310975500</v>
          </cell>
          <cell r="AN20">
            <v>7950000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78000000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</row>
        <row r="21">
          <cell r="D21">
            <v>59001497.670000002</v>
          </cell>
          <cell r="E21">
            <v>20000000</v>
          </cell>
          <cell r="F21">
            <v>40000000</v>
          </cell>
          <cell r="G21">
            <v>0</v>
          </cell>
          <cell r="H21">
            <v>50000000</v>
          </cell>
          <cell r="I21">
            <v>25000000</v>
          </cell>
          <cell r="J21">
            <v>30000000</v>
          </cell>
          <cell r="K21">
            <v>30000000</v>
          </cell>
          <cell r="L21">
            <v>35400000</v>
          </cell>
          <cell r="M21">
            <v>40000000</v>
          </cell>
          <cell r="N21">
            <v>0</v>
          </cell>
          <cell r="O21">
            <v>40000000</v>
          </cell>
          <cell r="P21">
            <v>0</v>
          </cell>
          <cell r="Q21">
            <v>52000000</v>
          </cell>
          <cell r="R21">
            <v>67000000</v>
          </cell>
          <cell r="S21">
            <v>57000000</v>
          </cell>
          <cell r="T21">
            <v>0</v>
          </cell>
          <cell r="U21">
            <v>193140000</v>
          </cell>
          <cell r="V21">
            <v>405000000</v>
          </cell>
          <cell r="W21">
            <v>175000000</v>
          </cell>
          <cell r="X21">
            <v>75000000</v>
          </cell>
          <cell r="Y21">
            <v>0</v>
          </cell>
          <cell r="Z21">
            <v>350000000</v>
          </cell>
          <cell r="AA21">
            <v>0</v>
          </cell>
          <cell r="AB21">
            <v>600000000</v>
          </cell>
          <cell r="AC21">
            <v>302600000</v>
          </cell>
          <cell r="AD21">
            <v>17000000</v>
          </cell>
          <cell r="AE21">
            <v>552000000</v>
          </cell>
          <cell r="AF21">
            <v>17000000</v>
          </cell>
          <cell r="AG21">
            <v>600000000</v>
          </cell>
          <cell r="AH21">
            <v>100000000</v>
          </cell>
          <cell r="AI21">
            <v>0</v>
          </cell>
          <cell r="AJ21">
            <v>1700000</v>
          </cell>
          <cell r="AK21">
            <v>8500000</v>
          </cell>
          <cell r="AL21">
            <v>2970000000</v>
          </cell>
          <cell r="AM21">
            <v>565410000</v>
          </cell>
          <cell r="AN21">
            <v>0</v>
          </cell>
          <cell r="AO21">
            <v>0</v>
          </cell>
          <cell r="AP21">
            <v>8500000</v>
          </cell>
          <cell r="AQ21">
            <v>0</v>
          </cell>
          <cell r="AR21">
            <v>300000000</v>
          </cell>
          <cell r="AS21">
            <v>0</v>
          </cell>
          <cell r="AT21">
            <v>85200000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</row>
        <row r="22">
          <cell r="D22">
            <v>59027776.670000002</v>
          </cell>
          <cell r="E22">
            <v>20000000</v>
          </cell>
          <cell r="F22">
            <v>40000000</v>
          </cell>
          <cell r="G22">
            <v>0</v>
          </cell>
          <cell r="H22">
            <v>42500000</v>
          </cell>
          <cell r="I22">
            <v>21250000</v>
          </cell>
          <cell r="J22">
            <v>25500000</v>
          </cell>
          <cell r="K22">
            <v>25500000</v>
          </cell>
          <cell r="L22">
            <v>0</v>
          </cell>
          <cell r="M22">
            <v>34000000</v>
          </cell>
          <cell r="N22">
            <v>0</v>
          </cell>
          <cell r="O22">
            <v>40000000</v>
          </cell>
          <cell r="P22">
            <v>4250000</v>
          </cell>
          <cell r="Q22">
            <v>52000000</v>
          </cell>
          <cell r="R22">
            <v>67000000</v>
          </cell>
          <cell r="S22">
            <v>57000000</v>
          </cell>
          <cell r="T22">
            <v>0</v>
          </cell>
          <cell r="U22">
            <v>113952600</v>
          </cell>
          <cell r="V22">
            <v>0</v>
          </cell>
          <cell r="W22">
            <v>103250000</v>
          </cell>
          <cell r="X22">
            <v>0</v>
          </cell>
          <cell r="Y22">
            <v>520000000</v>
          </cell>
          <cell r="Z22">
            <v>206500000</v>
          </cell>
          <cell r="AA22">
            <v>0</v>
          </cell>
          <cell r="AB22">
            <v>0</v>
          </cell>
          <cell r="AC22">
            <v>185120000</v>
          </cell>
          <cell r="AD22">
            <v>0</v>
          </cell>
          <cell r="AE22">
            <v>287040000</v>
          </cell>
          <cell r="AF22">
            <v>0</v>
          </cell>
          <cell r="AG22">
            <v>320000000</v>
          </cell>
          <cell r="AH22">
            <v>52000000</v>
          </cell>
          <cell r="AI22">
            <v>0</v>
          </cell>
          <cell r="AJ22">
            <v>0</v>
          </cell>
          <cell r="AK22">
            <v>0</v>
          </cell>
          <cell r="AL22">
            <v>250000000</v>
          </cell>
          <cell r="AM22">
            <v>294013200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81600000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</row>
        <row r="23">
          <cell r="D23">
            <v>59027776.670000002</v>
          </cell>
          <cell r="E23">
            <v>20000000</v>
          </cell>
          <cell r="F23">
            <v>40000000</v>
          </cell>
          <cell r="G23">
            <v>71000</v>
          </cell>
          <cell r="H23">
            <v>50000000</v>
          </cell>
          <cell r="I23">
            <v>25000000</v>
          </cell>
          <cell r="J23">
            <v>30000000</v>
          </cell>
          <cell r="K23">
            <v>30000000</v>
          </cell>
          <cell r="L23">
            <v>0</v>
          </cell>
          <cell r="M23">
            <v>40000000</v>
          </cell>
          <cell r="N23">
            <v>0</v>
          </cell>
          <cell r="O23">
            <v>40000000</v>
          </cell>
          <cell r="P23">
            <v>0</v>
          </cell>
          <cell r="Q23">
            <v>52000000</v>
          </cell>
          <cell r="R23">
            <v>67000000</v>
          </cell>
          <cell r="S23">
            <v>48450000</v>
          </cell>
          <cell r="T23">
            <v>0</v>
          </cell>
          <cell r="U23">
            <v>164169000</v>
          </cell>
          <cell r="V23">
            <v>31500000</v>
          </cell>
          <cell r="W23">
            <v>175000000</v>
          </cell>
          <cell r="X23">
            <v>75000000</v>
          </cell>
          <cell r="Y23">
            <v>0</v>
          </cell>
          <cell r="Z23">
            <v>350000000</v>
          </cell>
          <cell r="AA23">
            <v>0</v>
          </cell>
          <cell r="AB23">
            <v>0</v>
          </cell>
          <cell r="AC23">
            <v>227840000</v>
          </cell>
          <cell r="AD23">
            <v>17000000</v>
          </cell>
          <cell r="AE23">
            <v>353280000</v>
          </cell>
          <cell r="AF23">
            <v>17000000</v>
          </cell>
          <cell r="AG23">
            <v>0</v>
          </cell>
          <cell r="AH23">
            <v>64000000</v>
          </cell>
          <cell r="AI23">
            <v>8400000</v>
          </cell>
          <cell r="AJ23">
            <v>0</v>
          </cell>
          <cell r="AK23">
            <v>8500000</v>
          </cell>
          <cell r="AL23">
            <v>0</v>
          </cell>
          <cell r="AM23">
            <v>361862400</v>
          </cell>
          <cell r="AN23">
            <v>8400000</v>
          </cell>
          <cell r="AO23">
            <v>0</v>
          </cell>
          <cell r="AP23">
            <v>8500000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</row>
        <row r="24">
          <cell r="D24">
            <v>59027776.670000002</v>
          </cell>
          <cell r="E24">
            <v>20000000</v>
          </cell>
          <cell r="F24">
            <v>40000000</v>
          </cell>
          <cell r="G24">
            <v>500000</v>
          </cell>
          <cell r="H24">
            <v>49332474.579999998</v>
          </cell>
          <cell r="I24">
            <v>25000000</v>
          </cell>
          <cell r="J24">
            <v>30000000</v>
          </cell>
          <cell r="K24">
            <v>30000000</v>
          </cell>
          <cell r="L24">
            <v>0</v>
          </cell>
          <cell r="M24">
            <v>40000000</v>
          </cell>
          <cell r="N24">
            <v>0</v>
          </cell>
          <cell r="O24">
            <v>40000000</v>
          </cell>
          <cell r="P24">
            <v>0</v>
          </cell>
          <cell r="Q24">
            <v>52000000</v>
          </cell>
          <cell r="R24">
            <v>67000000</v>
          </cell>
          <cell r="S24">
            <v>57000000</v>
          </cell>
          <cell r="T24">
            <v>250000000</v>
          </cell>
          <cell r="U24">
            <v>193140000</v>
          </cell>
          <cell r="V24">
            <v>124250000</v>
          </cell>
          <cell r="W24">
            <v>175000000</v>
          </cell>
          <cell r="X24">
            <v>75000000</v>
          </cell>
          <cell r="Y24">
            <v>10000000</v>
          </cell>
          <cell r="Z24">
            <v>350000000</v>
          </cell>
          <cell r="AA24">
            <v>30000000</v>
          </cell>
          <cell r="AB24">
            <v>0</v>
          </cell>
          <cell r="AC24">
            <v>220720000</v>
          </cell>
          <cell r="AD24">
            <v>0</v>
          </cell>
          <cell r="AE24">
            <v>342240000</v>
          </cell>
          <cell r="AF24">
            <v>0</v>
          </cell>
          <cell r="AG24">
            <v>350000000</v>
          </cell>
          <cell r="AH24">
            <v>62000000</v>
          </cell>
          <cell r="AI24">
            <v>7800000</v>
          </cell>
          <cell r="AJ24">
            <v>0</v>
          </cell>
          <cell r="AK24">
            <v>0</v>
          </cell>
          <cell r="AL24">
            <v>545000000</v>
          </cell>
          <cell r="AM24">
            <v>350554200</v>
          </cell>
          <cell r="AN24">
            <v>7800000</v>
          </cell>
          <cell r="AO24">
            <v>0</v>
          </cell>
          <cell r="AP24">
            <v>0</v>
          </cell>
          <cell r="AQ24">
            <v>0</v>
          </cell>
          <cell r="AR24">
            <v>300000000</v>
          </cell>
          <cell r="AS24">
            <v>0</v>
          </cell>
          <cell r="AT24">
            <v>182400000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</row>
        <row r="25">
          <cell r="D25">
            <v>59027776.670000002</v>
          </cell>
          <cell r="E25">
            <v>20000000</v>
          </cell>
          <cell r="F25">
            <v>40000000</v>
          </cell>
          <cell r="G25">
            <v>0</v>
          </cell>
          <cell r="H25">
            <v>50000000</v>
          </cell>
          <cell r="I25">
            <v>19250000</v>
          </cell>
          <cell r="J25">
            <v>30000000</v>
          </cell>
          <cell r="K25">
            <v>30000000</v>
          </cell>
          <cell r="L25">
            <v>0</v>
          </cell>
          <cell r="M25">
            <v>40000000</v>
          </cell>
          <cell r="N25">
            <v>0</v>
          </cell>
          <cell r="O25">
            <v>40000000</v>
          </cell>
          <cell r="P25">
            <v>0</v>
          </cell>
          <cell r="Q25">
            <v>52000000</v>
          </cell>
          <cell r="R25">
            <v>67000000</v>
          </cell>
          <cell r="S25">
            <v>33630000</v>
          </cell>
          <cell r="T25">
            <v>610000000</v>
          </cell>
          <cell r="U25">
            <v>113952600</v>
          </cell>
          <cell r="W25">
            <v>103250000</v>
          </cell>
          <cell r="X25">
            <v>44250000</v>
          </cell>
          <cell r="Y25">
            <v>1700000000</v>
          </cell>
          <cell r="Z25">
            <v>206500000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250000000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2340000000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</row>
        <row r="26">
          <cell r="D26">
            <v>59027776.670000002</v>
          </cell>
          <cell r="E26">
            <v>20000000</v>
          </cell>
          <cell r="F26">
            <v>40000000</v>
          </cell>
          <cell r="G26">
            <v>0</v>
          </cell>
          <cell r="H26">
            <v>50000000</v>
          </cell>
          <cell r="I26">
            <v>0</v>
          </cell>
          <cell r="J26">
            <v>30000000</v>
          </cell>
          <cell r="K26">
            <v>30000000</v>
          </cell>
          <cell r="L26">
            <v>0</v>
          </cell>
          <cell r="M26">
            <v>40000000</v>
          </cell>
          <cell r="N26">
            <v>0</v>
          </cell>
          <cell r="O26">
            <v>40000000</v>
          </cell>
          <cell r="P26">
            <v>0</v>
          </cell>
          <cell r="Q26">
            <v>52000000</v>
          </cell>
          <cell r="R26">
            <v>67000000</v>
          </cell>
          <cell r="S26">
            <v>57000000</v>
          </cell>
          <cell r="T26">
            <v>0</v>
          </cell>
          <cell r="U26">
            <v>193140000</v>
          </cell>
          <cell r="V26">
            <v>275000000</v>
          </cell>
          <cell r="W26">
            <v>175000000</v>
          </cell>
          <cell r="X26">
            <v>75000000</v>
          </cell>
          <cell r="Y26">
            <v>0</v>
          </cell>
          <cell r="Z26">
            <v>350000000</v>
          </cell>
          <cell r="AA26">
            <v>200000000</v>
          </cell>
          <cell r="AB26">
            <v>0</v>
          </cell>
          <cell r="AC26">
            <v>356000000</v>
          </cell>
          <cell r="AD26">
            <v>0</v>
          </cell>
          <cell r="AE26">
            <v>552000000</v>
          </cell>
          <cell r="AF26">
            <v>20000000</v>
          </cell>
          <cell r="AG26">
            <v>250000000</v>
          </cell>
          <cell r="AH26">
            <v>0</v>
          </cell>
          <cell r="AI26">
            <v>15000000</v>
          </cell>
          <cell r="AJ26">
            <v>0</v>
          </cell>
          <cell r="AK26">
            <v>0</v>
          </cell>
          <cell r="AL26">
            <v>50000000</v>
          </cell>
          <cell r="AM26">
            <v>480598500</v>
          </cell>
          <cell r="AN26">
            <v>15000000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</row>
        <row r="27">
          <cell r="D27">
            <v>59027776.670000002</v>
          </cell>
          <cell r="E27">
            <v>20000000</v>
          </cell>
          <cell r="F27">
            <v>40000000</v>
          </cell>
          <cell r="G27">
            <v>0</v>
          </cell>
          <cell r="H27">
            <v>50000000</v>
          </cell>
          <cell r="I27">
            <v>25000000</v>
          </cell>
          <cell r="J27">
            <v>30000000</v>
          </cell>
          <cell r="K27">
            <v>30000000</v>
          </cell>
          <cell r="L27">
            <v>0</v>
          </cell>
          <cell r="M27">
            <v>40000000</v>
          </cell>
          <cell r="N27">
            <v>0</v>
          </cell>
          <cell r="O27">
            <v>40000000</v>
          </cell>
          <cell r="P27">
            <v>0</v>
          </cell>
          <cell r="Q27">
            <v>52000000</v>
          </cell>
          <cell r="R27">
            <v>67000000</v>
          </cell>
          <cell r="S27">
            <v>57000000</v>
          </cell>
          <cell r="T27">
            <v>138342820</v>
          </cell>
          <cell r="U27">
            <v>193140000</v>
          </cell>
          <cell r="V27">
            <v>0</v>
          </cell>
          <cell r="W27">
            <v>175000000</v>
          </cell>
          <cell r="X27">
            <v>75000000</v>
          </cell>
          <cell r="Y27">
            <v>200000000</v>
          </cell>
          <cell r="Z27">
            <v>350000000</v>
          </cell>
          <cell r="AA27">
            <v>671450000</v>
          </cell>
          <cell r="AB27">
            <v>150000000</v>
          </cell>
          <cell r="AC27">
            <v>227840000</v>
          </cell>
          <cell r="AD27">
            <v>17000000</v>
          </cell>
          <cell r="AE27">
            <v>353280000</v>
          </cell>
          <cell r="AF27">
            <v>17000000</v>
          </cell>
          <cell r="AG27">
            <v>79400000</v>
          </cell>
          <cell r="AH27">
            <v>64000000</v>
          </cell>
          <cell r="AI27">
            <v>15000000</v>
          </cell>
          <cell r="AJ27">
            <v>0</v>
          </cell>
          <cell r="AK27">
            <v>8500000</v>
          </cell>
          <cell r="AL27">
            <v>1380000000</v>
          </cell>
          <cell r="AM27">
            <v>0</v>
          </cell>
          <cell r="AN27">
            <v>15000000</v>
          </cell>
          <cell r="AO27">
            <v>0</v>
          </cell>
          <cell r="AP27">
            <v>8500000</v>
          </cell>
          <cell r="AQ27">
            <v>0</v>
          </cell>
          <cell r="AR27">
            <v>255000000</v>
          </cell>
          <cell r="AS27">
            <v>0</v>
          </cell>
          <cell r="AT27">
            <v>63600000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</row>
        <row r="28">
          <cell r="D28">
            <v>59027776.600000001</v>
          </cell>
          <cell r="E28">
            <v>20000000</v>
          </cell>
          <cell r="F28">
            <v>40000000</v>
          </cell>
          <cell r="G28">
            <v>103000</v>
          </cell>
          <cell r="H28">
            <v>50000000</v>
          </cell>
          <cell r="I28">
            <v>0</v>
          </cell>
          <cell r="J28">
            <v>30000000</v>
          </cell>
          <cell r="K28">
            <v>30000000</v>
          </cell>
          <cell r="L28">
            <v>55000000</v>
          </cell>
          <cell r="M28">
            <v>40000000</v>
          </cell>
          <cell r="N28">
            <v>0</v>
          </cell>
          <cell r="O28">
            <v>40000000</v>
          </cell>
          <cell r="P28">
            <v>0</v>
          </cell>
          <cell r="Q28">
            <v>52000000</v>
          </cell>
          <cell r="R28">
            <v>67000000</v>
          </cell>
          <cell r="S28">
            <v>48450000</v>
          </cell>
          <cell r="T28">
            <v>0</v>
          </cell>
          <cell r="U28">
            <v>164169000</v>
          </cell>
          <cell r="V28">
            <v>0</v>
          </cell>
          <cell r="W28">
            <v>175000000</v>
          </cell>
          <cell r="X28">
            <v>75000000</v>
          </cell>
          <cell r="Y28">
            <v>400000000</v>
          </cell>
          <cell r="Z28">
            <v>350000000</v>
          </cell>
          <cell r="AA28">
            <v>0</v>
          </cell>
          <cell r="AB28">
            <v>0</v>
          </cell>
          <cell r="AC28">
            <v>302600000</v>
          </cell>
          <cell r="AD28">
            <v>13600000</v>
          </cell>
          <cell r="AE28">
            <v>469200000</v>
          </cell>
          <cell r="AF28">
            <v>13600000</v>
          </cell>
          <cell r="AG28">
            <v>650000000</v>
          </cell>
          <cell r="AH28">
            <v>85000000</v>
          </cell>
          <cell r="AI28">
            <v>8850000</v>
          </cell>
          <cell r="AJ28">
            <v>0</v>
          </cell>
          <cell r="AK28">
            <v>6800000</v>
          </cell>
          <cell r="AL28">
            <v>4805669699.6700001</v>
          </cell>
          <cell r="AM28">
            <v>480598500</v>
          </cell>
          <cell r="AN28">
            <v>8850000</v>
          </cell>
          <cell r="AO28">
            <v>0</v>
          </cell>
          <cell r="AP28">
            <v>6800000</v>
          </cell>
          <cell r="AQ28">
            <v>0</v>
          </cell>
          <cell r="AR28">
            <v>0</v>
          </cell>
          <cell r="AS28">
            <v>0</v>
          </cell>
          <cell r="AT28">
            <v>66000000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</row>
        <row r="29">
          <cell r="D29">
            <v>0</v>
          </cell>
          <cell r="E29">
            <v>20000000</v>
          </cell>
          <cell r="F29">
            <v>40000000</v>
          </cell>
          <cell r="G29">
            <v>0</v>
          </cell>
          <cell r="H29">
            <v>50000000</v>
          </cell>
          <cell r="I29">
            <v>0</v>
          </cell>
          <cell r="J29">
            <v>30000000</v>
          </cell>
          <cell r="K29">
            <v>30000000</v>
          </cell>
          <cell r="L29">
            <v>0</v>
          </cell>
          <cell r="M29">
            <v>36312592.479999997</v>
          </cell>
          <cell r="N29">
            <v>0</v>
          </cell>
          <cell r="O29">
            <v>40000000</v>
          </cell>
          <cell r="P29">
            <v>0</v>
          </cell>
          <cell r="Q29">
            <v>52000000</v>
          </cell>
          <cell r="R29">
            <v>67000000</v>
          </cell>
          <cell r="S29">
            <v>57000000</v>
          </cell>
          <cell r="T29">
            <v>0</v>
          </cell>
          <cell r="U29">
            <v>193140000</v>
          </cell>
          <cell r="V29">
            <v>307500000</v>
          </cell>
          <cell r="W29">
            <v>148750000</v>
          </cell>
          <cell r="X29">
            <v>37500000</v>
          </cell>
          <cell r="Y29">
            <v>0</v>
          </cell>
          <cell r="Z29">
            <v>297500000</v>
          </cell>
          <cell r="AA29">
            <v>0</v>
          </cell>
          <cell r="AB29">
            <v>0</v>
          </cell>
          <cell r="AC29">
            <v>302600000</v>
          </cell>
          <cell r="AD29">
            <v>16200000</v>
          </cell>
          <cell r="AE29">
            <v>469200000</v>
          </cell>
          <cell r="AF29">
            <v>16200000</v>
          </cell>
          <cell r="AG29">
            <v>600000000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200000000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</row>
        <row r="30">
          <cell r="D30">
            <v>59027776.670000002</v>
          </cell>
          <cell r="E30">
            <v>20000000</v>
          </cell>
          <cell r="F30">
            <v>40000000</v>
          </cell>
          <cell r="G30">
            <v>3930000</v>
          </cell>
          <cell r="H30">
            <v>50000000</v>
          </cell>
          <cell r="I30">
            <v>25000000</v>
          </cell>
          <cell r="J30">
            <v>30000000</v>
          </cell>
          <cell r="K30">
            <v>30000000</v>
          </cell>
          <cell r="L30">
            <v>0</v>
          </cell>
          <cell r="M30">
            <v>40000000</v>
          </cell>
          <cell r="N30">
            <v>0</v>
          </cell>
          <cell r="O30">
            <v>40000000</v>
          </cell>
          <cell r="P30">
            <v>0</v>
          </cell>
          <cell r="Q30">
            <v>52000000</v>
          </cell>
          <cell r="R30">
            <v>56950000</v>
          </cell>
          <cell r="S30">
            <v>48450000</v>
          </cell>
          <cell r="T30">
            <v>0</v>
          </cell>
          <cell r="U30">
            <v>164169000</v>
          </cell>
          <cell r="V30">
            <v>0</v>
          </cell>
          <cell r="W30">
            <v>175000000</v>
          </cell>
          <cell r="X30">
            <v>75000000</v>
          </cell>
          <cell r="Y30">
            <v>1400000000</v>
          </cell>
          <cell r="Z30">
            <v>350000000</v>
          </cell>
          <cell r="AA30">
            <v>0</v>
          </cell>
          <cell r="AB30">
            <v>650000000</v>
          </cell>
          <cell r="AC30">
            <v>356000000</v>
          </cell>
          <cell r="AD30">
            <v>12200000</v>
          </cell>
          <cell r="AE30">
            <v>552000000</v>
          </cell>
          <cell r="AF30">
            <v>12200000</v>
          </cell>
          <cell r="AG30">
            <v>250000000</v>
          </cell>
          <cell r="AH30">
            <v>100000000</v>
          </cell>
          <cell r="AI30">
            <v>7500000</v>
          </cell>
          <cell r="AJ30">
            <v>0</v>
          </cell>
          <cell r="AK30">
            <v>6100000</v>
          </cell>
          <cell r="AL30">
            <v>350000000</v>
          </cell>
          <cell r="AM30">
            <v>480598500</v>
          </cell>
          <cell r="AN30">
            <v>7500000</v>
          </cell>
          <cell r="AO30">
            <v>0</v>
          </cell>
          <cell r="AP30">
            <v>6100000</v>
          </cell>
          <cell r="AQ30">
            <v>0</v>
          </cell>
          <cell r="AR30">
            <v>0</v>
          </cell>
          <cell r="AS30">
            <v>0</v>
          </cell>
          <cell r="AT30">
            <v>84000000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</row>
        <row r="31">
          <cell r="D31">
            <v>59027776.670000002</v>
          </cell>
          <cell r="E31">
            <v>20000000</v>
          </cell>
          <cell r="F31">
            <v>40000000</v>
          </cell>
          <cell r="G31">
            <v>0</v>
          </cell>
          <cell r="H31">
            <v>50000000</v>
          </cell>
          <cell r="I31">
            <v>0</v>
          </cell>
          <cell r="J31">
            <v>30000000</v>
          </cell>
          <cell r="K31">
            <v>30000000</v>
          </cell>
          <cell r="L31">
            <v>0</v>
          </cell>
          <cell r="M31">
            <v>40000000</v>
          </cell>
          <cell r="N31">
            <v>0</v>
          </cell>
          <cell r="O31">
            <v>40000000</v>
          </cell>
          <cell r="P31">
            <v>0</v>
          </cell>
          <cell r="Q31">
            <v>52000000</v>
          </cell>
          <cell r="R31">
            <v>67000000</v>
          </cell>
          <cell r="S31">
            <v>57000000</v>
          </cell>
          <cell r="T31">
            <v>0</v>
          </cell>
          <cell r="U31">
            <v>193140000</v>
          </cell>
          <cell r="V31">
            <v>0</v>
          </cell>
          <cell r="W31">
            <v>148750000</v>
          </cell>
          <cell r="X31">
            <v>75000000</v>
          </cell>
          <cell r="Y31">
            <v>0</v>
          </cell>
          <cell r="Z31">
            <v>297500000</v>
          </cell>
          <cell r="AA31">
            <v>42000000</v>
          </cell>
          <cell r="AB31">
            <v>0</v>
          </cell>
          <cell r="AC31">
            <v>302600000</v>
          </cell>
          <cell r="AD31">
            <v>17000000</v>
          </cell>
          <cell r="AE31">
            <v>336720000</v>
          </cell>
          <cell r="AF31">
            <v>17000000</v>
          </cell>
          <cell r="AG31">
            <v>200000000</v>
          </cell>
          <cell r="AH31">
            <v>61000000</v>
          </cell>
          <cell r="AI31">
            <v>7650000</v>
          </cell>
          <cell r="AJ31">
            <v>0</v>
          </cell>
          <cell r="AK31">
            <v>0</v>
          </cell>
          <cell r="AL31">
            <v>108000000</v>
          </cell>
          <cell r="AM31">
            <v>344900100</v>
          </cell>
          <cell r="AN31">
            <v>7650000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81600000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</row>
        <row r="32">
          <cell r="D32">
            <v>53715276.090000004</v>
          </cell>
          <cell r="E32">
            <v>20000000</v>
          </cell>
          <cell r="F32">
            <v>40000000</v>
          </cell>
          <cell r="G32">
            <v>716000</v>
          </cell>
          <cell r="H32">
            <v>50000000</v>
          </cell>
          <cell r="I32">
            <v>21250000</v>
          </cell>
          <cell r="J32">
            <v>30000000</v>
          </cell>
          <cell r="K32">
            <v>30000000</v>
          </cell>
          <cell r="L32">
            <v>0</v>
          </cell>
          <cell r="M32">
            <v>40000000</v>
          </cell>
          <cell r="N32">
            <v>0</v>
          </cell>
          <cell r="O32">
            <v>40000000</v>
          </cell>
          <cell r="P32">
            <v>0</v>
          </cell>
          <cell r="Q32">
            <v>52000000</v>
          </cell>
          <cell r="R32">
            <v>67000000</v>
          </cell>
          <cell r="S32">
            <v>57000000</v>
          </cell>
          <cell r="T32">
            <v>0</v>
          </cell>
          <cell r="U32">
            <v>193140000</v>
          </cell>
          <cell r="V32">
            <v>1280500000</v>
          </cell>
          <cell r="W32">
            <v>175000000</v>
          </cell>
          <cell r="X32">
            <v>75000000</v>
          </cell>
          <cell r="Y32">
            <v>427000000</v>
          </cell>
          <cell r="Z32">
            <v>350000000</v>
          </cell>
          <cell r="AA32">
            <v>0</v>
          </cell>
          <cell r="AB32">
            <v>150000000</v>
          </cell>
          <cell r="AC32">
            <v>356000000</v>
          </cell>
          <cell r="AD32">
            <v>17000000</v>
          </cell>
          <cell r="AE32">
            <v>552000000</v>
          </cell>
          <cell r="AF32">
            <v>17000000</v>
          </cell>
          <cell r="AG32">
            <v>350000000</v>
          </cell>
          <cell r="AH32">
            <v>85000000</v>
          </cell>
          <cell r="AI32">
            <v>8400000</v>
          </cell>
          <cell r="AJ32">
            <v>0</v>
          </cell>
          <cell r="AK32">
            <v>8500000</v>
          </cell>
          <cell r="AL32">
            <v>2270000000</v>
          </cell>
          <cell r="AM32">
            <v>480598500</v>
          </cell>
          <cell r="AN32">
            <v>8400000</v>
          </cell>
          <cell r="AO32">
            <v>0</v>
          </cell>
          <cell r="AP32">
            <v>8500000</v>
          </cell>
          <cell r="AQ32">
            <v>0</v>
          </cell>
          <cell r="AR32">
            <v>0</v>
          </cell>
          <cell r="AS32">
            <v>0</v>
          </cell>
          <cell r="AT32">
            <v>82800000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</row>
        <row r="33">
          <cell r="D33">
            <v>0</v>
          </cell>
          <cell r="E33">
            <v>20000000</v>
          </cell>
          <cell r="F33">
            <v>40000000</v>
          </cell>
          <cell r="G33">
            <v>301000</v>
          </cell>
          <cell r="H33">
            <v>50000000</v>
          </cell>
          <cell r="I33">
            <v>25000000</v>
          </cell>
          <cell r="J33">
            <v>30000000</v>
          </cell>
          <cell r="K33">
            <v>30000000</v>
          </cell>
          <cell r="L33">
            <v>0</v>
          </cell>
          <cell r="M33">
            <v>40000000</v>
          </cell>
          <cell r="N33">
            <v>0</v>
          </cell>
          <cell r="O33">
            <v>40000000</v>
          </cell>
          <cell r="P33">
            <v>0</v>
          </cell>
          <cell r="Q33">
            <v>52000000</v>
          </cell>
          <cell r="R33">
            <v>67000000</v>
          </cell>
          <cell r="S33">
            <v>41610000</v>
          </cell>
          <cell r="T33">
            <v>0</v>
          </cell>
          <cell r="U33">
            <v>140992200</v>
          </cell>
          <cell r="V33">
            <v>250000000</v>
          </cell>
          <cell r="W33">
            <v>175000000</v>
          </cell>
          <cell r="X33">
            <v>49500000</v>
          </cell>
          <cell r="Y33">
            <v>0</v>
          </cell>
          <cell r="Z33">
            <v>297500000</v>
          </cell>
          <cell r="AA33">
            <v>0</v>
          </cell>
          <cell r="AB33">
            <v>0</v>
          </cell>
          <cell r="AC33">
            <v>302600000</v>
          </cell>
          <cell r="AD33">
            <v>13200000</v>
          </cell>
          <cell r="AE33">
            <v>469200000</v>
          </cell>
          <cell r="AF33">
            <v>13200000</v>
          </cell>
          <cell r="AG33">
            <v>0</v>
          </cell>
          <cell r="AH33">
            <v>85000000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170000000</v>
          </cell>
          <cell r="AS33">
            <v>0</v>
          </cell>
          <cell r="AT33">
            <v>81600000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</row>
        <row r="34">
          <cell r="D34">
            <v>59027777.340000004</v>
          </cell>
          <cell r="E34">
            <v>20000000</v>
          </cell>
          <cell r="F34">
            <v>40000000</v>
          </cell>
          <cell r="G34">
            <v>0</v>
          </cell>
          <cell r="H34">
            <v>50000000</v>
          </cell>
          <cell r="I34">
            <v>25000000</v>
          </cell>
          <cell r="J34">
            <v>30000000</v>
          </cell>
          <cell r="K34">
            <v>30000000</v>
          </cell>
          <cell r="L34">
            <v>0</v>
          </cell>
          <cell r="M34">
            <v>40000000</v>
          </cell>
          <cell r="N34">
            <v>0</v>
          </cell>
          <cell r="O34">
            <v>40000000</v>
          </cell>
          <cell r="P34">
            <v>0</v>
          </cell>
          <cell r="Q34">
            <v>52000000</v>
          </cell>
          <cell r="R34">
            <v>67000000</v>
          </cell>
          <cell r="S34">
            <v>57000000</v>
          </cell>
          <cell r="T34">
            <v>0</v>
          </cell>
          <cell r="U34">
            <v>193140000</v>
          </cell>
          <cell r="V34">
            <v>60000000</v>
          </cell>
          <cell r="W34">
            <v>148750000</v>
          </cell>
          <cell r="X34">
            <v>63750000</v>
          </cell>
          <cell r="Y34">
            <v>0</v>
          </cell>
          <cell r="Z34">
            <v>297500000</v>
          </cell>
          <cell r="AA34">
            <v>0</v>
          </cell>
          <cell r="AB34">
            <v>0</v>
          </cell>
          <cell r="AC34">
            <v>302600000</v>
          </cell>
          <cell r="AD34">
            <v>17000000</v>
          </cell>
          <cell r="AE34">
            <v>469200000</v>
          </cell>
          <cell r="AF34">
            <v>17000000</v>
          </cell>
          <cell r="AG34">
            <v>500000000</v>
          </cell>
          <cell r="AH34">
            <v>85000000</v>
          </cell>
          <cell r="AI34">
            <v>0</v>
          </cell>
          <cell r="AJ34">
            <v>0</v>
          </cell>
          <cell r="AK34">
            <v>8500000</v>
          </cell>
          <cell r="AL34">
            <v>1120000000</v>
          </cell>
          <cell r="AM34">
            <v>480598500</v>
          </cell>
          <cell r="AN34">
            <v>0</v>
          </cell>
          <cell r="AO34">
            <v>0</v>
          </cell>
          <cell r="AP34">
            <v>8500000</v>
          </cell>
          <cell r="AQ34">
            <v>0</v>
          </cell>
          <cell r="AR34">
            <v>0</v>
          </cell>
          <cell r="AS34">
            <v>0</v>
          </cell>
          <cell r="AT34">
            <v>90000000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</row>
        <row r="35">
          <cell r="D35">
            <v>59027776.670000002</v>
          </cell>
          <cell r="E35">
            <v>20000000</v>
          </cell>
          <cell r="F35">
            <v>40000000</v>
          </cell>
          <cell r="G35">
            <v>302000</v>
          </cell>
          <cell r="H35">
            <v>50000000</v>
          </cell>
          <cell r="I35">
            <v>25000000</v>
          </cell>
          <cell r="J35">
            <v>30000000</v>
          </cell>
          <cell r="K35">
            <v>30000000</v>
          </cell>
          <cell r="L35">
            <v>0</v>
          </cell>
          <cell r="M35">
            <v>40000000</v>
          </cell>
          <cell r="N35">
            <v>0</v>
          </cell>
          <cell r="O35">
            <v>40000000</v>
          </cell>
          <cell r="P35">
            <v>0</v>
          </cell>
          <cell r="Q35">
            <v>52000000</v>
          </cell>
          <cell r="R35">
            <v>67000000</v>
          </cell>
          <cell r="S35">
            <v>57000000</v>
          </cell>
          <cell r="T35">
            <v>0</v>
          </cell>
          <cell r="U35">
            <v>193140000</v>
          </cell>
          <cell r="V35">
            <v>200000000</v>
          </cell>
          <cell r="W35">
            <v>94500000</v>
          </cell>
          <cell r="X35">
            <v>0</v>
          </cell>
          <cell r="Y35">
            <v>0</v>
          </cell>
          <cell r="Z35">
            <v>189000000</v>
          </cell>
          <cell r="AA35">
            <v>65000000</v>
          </cell>
          <cell r="AB35">
            <v>350000000</v>
          </cell>
          <cell r="AC35">
            <v>192240000</v>
          </cell>
          <cell r="AD35">
            <v>0</v>
          </cell>
          <cell r="AE35">
            <v>552000000</v>
          </cell>
          <cell r="AF35">
            <v>0</v>
          </cell>
          <cell r="AG35">
            <v>1212500000</v>
          </cell>
          <cell r="AH35">
            <v>85000000</v>
          </cell>
          <cell r="AI35">
            <v>0</v>
          </cell>
          <cell r="AJ35">
            <v>0</v>
          </cell>
          <cell r="AK35">
            <v>0</v>
          </cell>
          <cell r="AL35">
            <v>4178100000</v>
          </cell>
          <cell r="AM35">
            <v>480598500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81600000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</row>
        <row r="36">
          <cell r="D36">
            <v>0</v>
          </cell>
          <cell r="E36">
            <v>20000000</v>
          </cell>
          <cell r="F36">
            <v>40000000</v>
          </cell>
          <cell r="G36">
            <v>0</v>
          </cell>
          <cell r="H36">
            <v>50000000</v>
          </cell>
          <cell r="I36">
            <v>0</v>
          </cell>
          <cell r="J36">
            <v>30000000</v>
          </cell>
          <cell r="K36">
            <v>30000000</v>
          </cell>
          <cell r="L36">
            <v>0</v>
          </cell>
          <cell r="M36">
            <v>40000000</v>
          </cell>
          <cell r="N36">
            <v>0</v>
          </cell>
          <cell r="O36">
            <v>40000000</v>
          </cell>
          <cell r="P36">
            <v>0</v>
          </cell>
          <cell r="Q36">
            <v>52000000</v>
          </cell>
          <cell r="R36">
            <v>67000000</v>
          </cell>
          <cell r="S36">
            <v>57000000</v>
          </cell>
          <cell r="T36">
            <v>0</v>
          </cell>
          <cell r="U36">
            <v>193140000</v>
          </cell>
          <cell r="V36">
            <v>400000000</v>
          </cell>
          <cell r="W36">
            <v>175000000</v>
          </cell>
          <cell r="X36">
            <v>75000000</v>
          </cell>
          <cell r="Y36">
            <v>742500000</v>
          </cell>
          <cell r="Z36">
            <v>350000000</v>
          </cell>
          <cell r="AA36">
            <v>100000000</v>
          </cell>
          <cell r="AB36">
            <v>350000000</v>
          </cell>
          <cell r="AC36">
            <v>302600000</v>
          </cell>
          <cell r="AD36">
            <v>17000000</v>
          </cell>
          <cell r="AE36">
            <v>0</v>
          </cell>
          <cell r="AF36">
            <v>0</v>
          </cell>
          <cell r="AG36">
            <v>300000000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700000000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67200000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</row>
        <row r="37">
          <cell r="D37">
            <v>0</v>
          </cell>
          <cell r="E37">
            <v>20000000</v>
          </cell>
          <cell r="F37">
            <v>40000000</v>
          </cell>
          <cell r="G37">
            <v>0</v>
          </cell>
          <cell r="H37">
            <v>50000000</v>
          </cell>
          <cell r="I37">
            <v>0</v>
          </cell>
          <cell r="J37">
            <v>30000000</v>
          </cell>
          <cell r="K37">
            <v>30000000</v>
          </cell>
          <cell r="L37">
            <v>0</v>
          </cell>
          <cell r="M37">
            <v>40000000</v>
          </cell>
          <cell r="N37">
            <v>0</v>
          </cell>
          <cell r="O37">
            <v>40000000</v>
          </cell>
          <cell r="P37">
            <v>0</v>
          </cell>
          <cell r="Q37">
            <v>52000000</v>
          </cell>
          <cell r="R37">
            <v>67000000</v>
          </cell>
          <cell r="S37">
            <v>57000000</v>
          </cell>
          <cell r="T37">
            <v>0</v>
          </cell>
          <cell r="U37">
            <v>193140000</v>
          </cell>
          <cell r="V37">
            <v>0</v>
          </cell>
          <cell r="W37">
            <v>175000000</v>
          </cell>
          <cell r="X37">
            <v>75000000</v>
          </cell>
          <cell r="Y37">
            <v>0</v>
          </cell>
          <cell r="Z37">
            <v>350000000</v>
          </cell>
          <cell r="AA37">
            <v>100000000</v>
          </cell>
          <cell r="AB37">
            <v>0</v>
          </cell>
          <cell r="AC37">
            <v>206480000</v>
          </cell>
          <cell r="AD37">
            <v>20000000</v>
          </cell>
          <cell r="AE37">
            <v>320160000</v>
          </cell>
          <cell r="AF37">
            <v>20000000</v>
          </cell>
          <cell r="AG37">
            <v>425000000</v>
          </cell>
          <cell r="AH37">
            <v>58000000</v>
          </cell>
          <cell r="AI37">
            <v>0</v>
          </cell>
          <cell r="AJ37">
            <v>0</v>
          </cell>
          <cell r="AK37">
            <v>10000000</v>
          </cell>
          <cell r="AL37">
            <v>815000000</v>
          </cell>
          <cell r="AM37">
            <v>327937800</v>
          </cell>
          <cell r="AN37">
            <v>0</v>
          </cell>
          <cell r="AO37">
            <v>0</v>
          </cell>
          <cell r="AP37">
            <v>10000000</v>
          </cell>
          <cell r="AQ37">
            <v>0</v>
          </cell>
          <cell r="AR37">
            <v>200000000</v>
          </cell>
          <cell r="AS37">
            <v>0</v>
          </cell>
          <cell r="AT37">
            <v>80400000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</row>
        <row r="38">
          <cell r="D38">
            <v>59027776.68</v>
          </cell>
          <cell r="E38">
            <v>20000000</v>
          </cell>
          <cell r="F38">
            <v>40000000</v>
          </cell>
          <cell r="G38">
            <v>589000</v>
          </cell>
          <cell r="H38">
            <v>50000000</v>
          </cell>
          <cell r="I38">
            <v>25000000</v>
          </cell>
          <cell r="J38">
            <v>30000000</v>
          </cell>
          <cell r="K38">
            <v>30000000</v>
          </cell>
          <cell r="L38">
            <v>0</v>
          </cell>
          <cell r="M38">
            <v>40000000</v>
          </cell>
          <cell r="N38">
            <v>0</v>
          </cell>
          <cell r="O38">
            <v>40000000</v>
          </cell>
          <cell r="P38">
            <v>0</v>
          </cell>
          <cell r="Q38">
            <v>52000000</v>
          </cell>
          <cell r="R38">
            <v>67000000</v>
          </cell>
          <cell r="S38">
            <v>57000000</v>
          </cell>
          <cell r="T38">
            <v>0</v>
          </cell>
          <cell r="U38">
            <v>0</v>
          </cell>
          <cell r="V38">
            <v>0</v>
          </cell>
          <cell r="W38">
            <v>148750000</v>
          </cell>
          <cell r="X38">
            <v>75000000</v>
          </cell>
          <cell r="Y38">
            <v>0</v>
          </cell>
          <cell r="Z38">
            <v>297500000</v>
          </cell>
          <cell r="AA38">
            <v>91800000</v>
          </cell>
          <cell r="AB38">
            <v>0</v>
          </cell>
          <cell r="AC38">
            <v>302600000</v>
          </cell>
          <cell r="AD38">
            <v>20000000</v>
          </cell>
          <cell r="AE38">
            <v>469200000</v>
          </cell>
          <cell r="AF38">
            <v>20000000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10000000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189000000</v>
          </cell>
          <cell r="AS38">
            <v>0</v>
          </cell>
          <cell r="AT38">
            <v>120000000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</row>
        <row r="39">
          <cell r="D39">
            <v>59027776.670000002</v>
          </cell>
          <cell r="E39">
            <v>20000000</v>
          </cell>
          <cell r="F39">
            <v>40000000</v>
          </cell>
          <cell r="G39">
            <v>473000</v>
          </cell>
          <cell r="H39">
            <v>50000000</v>
          </cell>
          <cell r="I39">
            <v>25000000</v>
          </cell>
          <cell r="J39">
            <v>30000000</v>
          </cell>
          <cell r="K39">
            <v>30000000</v>
          </cell>
          <cell r="L39">
            <v>0</v>
          </cell>
          <cell r="M39">
            <v>40000000</v>
          </cell>
          <cell r="N39">
            <v>0</v>
          </cell>
          <cell r="O39">
            <v>40000000</v>
          </cell>
          <cell r="P39">
            <v>0</v>
          </cell>
          <cell r="Q39">
            <v>44200000</v>
          </cell>
          <cell r="R39">
            <v>56950000</v>
          </cell>
          <cell r="S39">
            <v>57000000</v>
          </cell>
          <cell r="T39">
            <v>0</v>
          </cell>
          <cell r="U39">
            <v>193140000</v>
          </cell>
          <cell r="V39">
            <v>0</v>
          </cell>
          <cell r="W39">
            <v>148750000</v>
          </cell>
          <cell r="X39">
            <v>63750000</v>
          </cell>
          <cell r="Y39">
            <v>50000000</v>
          </cell>
          <cell r="Z39">
            <v>297500000</v>
          </cell>
          <cell r="AA39">
            <v>0</v>
          </cell>
          <cell r="AB39">
            <v>0</v>
          </cell>
          <cell r="AC39">
            <v>302600000</v>
          </cell>
          <cell r="AD39">
            <v>17000000</v>
          </cell>
          <cell r="AE39">
            <v>292560000</v>
          </cell>
          <cell r="AF39">
            <v>0</v>
          </cell>
          <cell r="AG39">
            <v>0</v>
          </cell>
          <cell r="AH39">
            <v>53000000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299667300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150000000</v>
          </cell>
          <cell r="AS39">
            <v>0</v>
          </cell>
          <cell r="AT39">
            <v>80400000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</row>
        <row r="40">
          <cell r="D40">
            <v>59027776.670000002</v>
          </cell>
          <cell r="E40">
            <v>20000000</v>
          </cell>
          <cell r="F40">
            <v>40000000</v>
          </cell>
          <cell r="G40">
            <v>376000</v>
          </cell>
          <cell r="H40">
            <v>50000000</v>
          </cell>
          <cell r="I40">
            <v>25000000</v>
          </cell>
          <cell r="J40">
            <v>30000000</v>
          </cell>
          <cell r="K40">
            <v>30000000</v>
          </cell>
          <cell r="L40">
            <v>0</v>
          </cell>
          <cell r="M40">
            <v>40000000</v>
          </cell>
          <cell r="N40">
            <v>0</v>
          </cell>
          <cell r="O40">
            <v>40000000</v>
          </cell>
          <cell r="P40">
            <v>100000000</v>
          </cell>
          <cell r="Q40">
            <v>52000000</v>
          </cell>
          <cell r="R40">
            <v>67000000</v>
          </cell>
          <cell r="S40">
            <v>48450000</v>
          </cell>
          <cell r="T40">
            <v>0</v>
          </cell>
          <cell r="U40">
            <v>164169000</v>
          </cell>
          <cell r="V40">
            <v>0</v>
          </cell>
          <cell r="W40">
            <v>175000000</v>
          </cell>
          <cell r="X40">
            <v>75000000</v>
          </cell>
          <cell r="Y40">
            <v>0</v>
          </cell>
          <cell r="Z40">
            <v>350000000</v>
          </cell>
          <cell r="AA40">
            <v>0</v>
          </cell>
          <cell r="AB40">
            <v>562500000</v>
          </cell>
          <cell r="AD40">
            <v>0</v>
          </cell>
          <cell r="AE40">
            <v>506721000</v>
          </cell>
          <cell r="AF40">
            <v>17000000</v>
          </cell>
          <cell r="AG40">
            <v>200000000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2500000000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80400000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</row>
        <row r="41">
          <cell r="D41">
            <v>59027776.670000002</v>
          </cell>
          <cell r="E41">
            <v>20000000</v>
          </cell>
          <cell r="F41">
            <v>40000000</v>
          </cell>
          <cell r="G41">
            <v>1463000</v>
          </cell>
          <cell r="H41">
            <v>50000000</v>
          </cell>
          <cell r="I41">
            <v>0</v>
          </cell>
          <cell r="J41">
            <v>25500000</v>
          </cell>
          <cell r="K41">
            <v>25500000</v>
          </cell>
          <cell r="L41">
            <v>0</v>
          </cell>
          <cell r="M41">
            <v>34000000</v>
          </cell>
          <cell r="N41">
            <v>0</v>
          </cell>
          <cell r="O41">
            <v>40000000</v>
          </cell>
          <cell r="P41">
            <v>0</v>
          </cell>
          <cell r="Q41">
            <v>52000000</v>
          </cell>
          <cell r="R41">
            <v>46230000</v>
          </cell>
          <cell r="S41">
            <v>39330000</v>
          </cell>
          <cell r="T41">
            <v>0</v>
          </cell>
          <cell r="U41">
            <v>193140000</v>
          </cell>
          <cell r="V41">
            <v>250000000</v>
          </cell>
          <cell r="W41">
            <v>175000000</v>
          </cell>
          <cell r="X41">
            <v>75000000</v>
          </cell>
          <cell r="Y41">
            <v>0</v>
          </cell>
          <cell r="Z41">
            <v>350000000</v>
          </cell>
          <cell r="AA41">
            <v>300000000</v>
          </cell>
          <cell r="AB41">
            <v>62500000</v>
          </cell>
          <cell r="AC41">
            <v>302600000</v>
          </cell>
          <cell r="AD41">
            <v>20000000</v>
          </cell>
          <cell r="AE41">
            <v>552000000</v>
          </cell>
          <cell r="AF41">
            <v>0</v>
          </cell>
          <cell r="AG41">
            <v>102000000</v>
          </cell>
          <cell r="AH41">
            <v>56000000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316629600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</row>
        <row r="42">
          <cell r="D42">
            <v>59027776.670000002</v>
          </cell>
          <cell r="E42">
            <v>20000000</v>
          </cell>
          <cell r="F42">
            <v>40000000</v>
          </cell>
          <cell r="G42">
            <v>231000</v>
          </cell>
          <cell r="H42">
            <v>50000000</v>
          </cell>
          <cell r="I42">
            <v>0</v>
          </cell>
          <cell r="J42">
            <v>30000000</v>
          </cell>
          <cell r="K42">
            <v>30000000</v>
          </cell>
          <cell r="L42">
            <v>0</v>
          </cell>
          <cell r="M42">
            <v>40000000</v>
          </cell>
          <cell r="N42">
            <v>0</v>
          </cell>
          <cell r="O42">
            <v>40000000</v>
          </cell>
          <cell r="P42">
            <v>0</v>
          </cell>
          <cell r="Q42">
            <v>52000000</v>
          </cell>
          <cell r="R42">
            <v>67000000</v>
          </cell>
          <cell r="S42">
            <v>57000000</v>
          </cell>
          <cell r="T42">
            <v>0</v>
          </cell>
          <cell r="U42">
            <v>193140000</v>
          </cell>
          <cell r="V42">
            <v>0</v>
          </cell>
          <cell r="W42">
            <v>175000000</v>
          </cell>
          <cell r="X42">
            <v>63750000</v>
          </cell>
          <cell r="Y42">
            <v>0</v>
          </cell>
          <cell r="Z42">
            <v>350000000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325680000</v>
          </cell>
          <cell r="AF42">
            <v>17000000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333591900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102000000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</row>
        <row r="43">
          <cell r="D43">
            <v>59027777.140000001</v>
          </cell>
          <cell r="E43">
            <v>20000000</v>
          </cell>
          <cell r="F43">
            <v>40000000</v>
          </cell>
          <cell r="G43">
            <v>592000</v>
          </cell>
          <cell r="H43">
            <v>50000000</v>
          </cell>
          <cell r="I43">
            <v>24988950</v>
          </cell>
          <cell r="J43">
            <v>30000000</v>
          </cell>
          <cell r="K43">
            <v>30000000</v>
          </cell>
          <cell r="L43">
            <v>0</v>
          </cell>
          <cell r="M43">
            <v>40000000</v>
          </cell>
          <cell r="N43">
            <v>0</v>
          </cell>
          <cell r="O43">
            <v>40000000</v>
          </cell>
          <cell r="P43">
            <v>0</v>
          </cell>
          <cell r="Q43">
            <v>52000000</v>
          </cell>
          <cell r="R43">
            <v>67000000</v>
          </cell>
          <cell r="S43">
            <v>30210000</v>
          </cell>
          <cell r="T43">
            <v>0</v>
          </cell>
          <cell r="U43">
            <v>102364200</v>
          </cell>
          <cell r="V43">
            <v>0</v>
          </cell>
          <cell r="W43">
            <v>148750000</v>
          </cell>
          <cell r="X43">
            <v>63750000</v>
          </cell>
          <cell r="Y43">
            <v>0</v>
          </cell>
          <cell r="Z43">
            <v>297500000</v>
          </cell>
          <cell r="AA43">
            <v>0</v>
          </cell>
          <cell r="AB43">
            <v>200000000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1000000000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</row>
        <row r="44">
          <cell r="D44">
            <v>0</v>
          </cell>
          <cell r="E44">
            <v>250000000</v>
          </cell>
          <cell r="F44">
            <v>40000000</v>
          </cell>
          <cell r="G44">
            <v>0</v>
          </cell>
          <cell r="H44">
            <v>50000000</v>
          </cell>
          <cell r="I44">
            <v>0</v>
          </cell>
          <cell r="J44">
            <v>30000000</v>
          </cell>
          <cell r="K44">
            <v>30000000</v>
          </cell>
          <cell r="L44">
            <v>0</v>
          </cell>
          <cell r="M44">
            <v>40000000</v>
          </cell>
          <cell r="N44">
            <v>0</v>
          </cell>
          <cell r="O44">
            <v>40000000</v>
          </cell>
          <cell r="P44">
            <v>0</v>
          </cell>
          <cell r="Q44">
            <v>27560000</v>
          </cell>
          <cell r="R44">
            <v>35510000</v>
          </cell>
          <cell r="S44">
            <v>30210000</v>
          </cell>
          <cell r="T44">
            <v>1955771279.4000001</v>
          </cell>
          <cell r="U44">
            <v>172364200</v>
          </cell>
          <cell r="V44">
            <v>855000000</v>
          </cell>
          <cell r="W44">
            <v>175000000</v>
          </cell>
          <cell r="Y44">
            <v>0</v>
          </cell>
          <cell r="Z44">
            <v>350000000</v>
          </cell>
          <cell r="AA44">
            <v>0</v>
          </cell>
          <cell r="AB44">
            <v>0</v>
          </cell>
          <cell r="AC44">
            <v>356000000</v>
          </cell>
          <cell r="AD44">
            <v>20000000</v>
          </cell>
          <cell r="AE44">
            <v>0</v>
          </cell>
          <cell r="AF44">
            <v>20000000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500000000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102000000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</row>
        <row r="45">
          <cell r="D45">
            <v>59027776.670000002</v>
          </cell>
          <cell r="E45">
            <v>20000000</v>
          </cell>
          <cell r="F45">
            <v>40000000</v>
          </cell>
          <cell r="G45">
            <v>3750000</v>
          </cell>
          <cell r="H45">
            <v>50000000</v>
          </cell>
          <cell r="I45">
            <v>0</v>
          </cell>
          <cell r="J45">
            <v>30000000</v>
          </cell>
          <cell r="K45">
            <v>30000000</v>
          </cell>
          <cell r="L45">
            <v>0</v>
          </cell>
          <cell r="M45">
            <v>40000000</v>
          </cell>
          <cell r="N45">
            <v>0</v>
          </cell>
          <cell r="O45">
            <v>40000000</v>
          </cell>
          <cell r="P45">
            <v>0</v>
          </cell>
          <cell r="Q45">
            <v>52000000</v>
          </cell>
          <cell r="R45">
            <v>67000000</v>
          </cell>
          <cell r="S45">
            <v>57000000</v>
          </cell>
          <cell r="T45">
            <v>0</v>
          </cell>
          <cell r="U45">
            <v>193140000</v>
          </cell>
          <cell r="V45">
            <v>235000000</v>
          </cell>
          <cell r="W45">
            <v>175000000</v>
          </cell>
          <cell r="X45">
            <v>75000000</v>
          </cell>
          <cell r="Y45">
            <v>500000000</v>
          </cell>
          <cell r="Z45">
            <v>350000000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2000000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170000000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</row>
        <row r="46">
          <cell r="D46">
            <v>59027776.939999998</v>
          </cell>
          <cell r="E46">
            <v>20000000</v>
          </cell>
          <cell r="F46">
            <v>40000000</v>
          </cell>
          <cell r="G46">
            <v>0</v>
          </cell>
          <cell r="H46">
            <v>50000000</v>
          </cell>
          <cell r="I46">
            <v>0</v>
          </cell>
          <cell r="J46">
            <v>19800000</v>
          </cell>
          <cell r="K46">
            <v>30000000</v>
          </cell>
          <cell r="L46">
            <v>0</v>
          </cell>
          <cell r="M46">
            <v>40000000</v>
          </cell>
          <cell r="N46">
            <v>0</v>
          </cell>
          <cell r="O46">
            <v>40000000</v>
          </cell>
          <cell r="P46">
            <v>0</v>
          </cell>
          <cell r="Q46">
            <v>52000000</v>
          </cell>
          <cell r="R46">
            <v>67000000</v>
          </cell>
          <cell r="S46">
            <v>30780000.000000004</v>
          </cell>
          <cell r="T46">
            <v>0</v>
          </cell>
          <cell r="U46">
            <v>104295600</v>
          </cell>
          <cell r="V46">
            <v>0</v>
          </cell>
          <cell r="W46">
            <v>148749790</v>
          </cell>
          <cell r="X46">
            <v>75000000</v>
          </cell>
          <cell r="Y46">
            <v>200000000</v>
          </cell>
          <cell r="Z46">
            <v>297500000</v>
          </cell>
          <cell r="AA46">
            <v>0</v>
          </cell>
          <cell r="AB46">
            <v>500000000</v>
          </cell>
          <cell r="AC46">
            <v>302600000</v>
          </cell>
          <cell r="AD46">
            <v>20000000</v>
          </cell>
          <cell r="AE46">
            <v>314640000</v>
          </cell>
          <cell r="AF46">
            <v>0</v>
          </cell>
          <cell r="AG46">
            <v>212500000</v>
          </cell>
          <cell r="AH46">
            <v>57000000</v>
          </cell>
          <cell r="AI46">
            <v>0</v>
          </cell>
          <cell r="AJ46">
            <v>1700000</v>
          </cell>
          <cell r="AK46">
            <v>0</v>
          </cell>
          <cell r="AL46">
            <v>0</v>
          </cell>
          <cell r="AM46">
            <v>322283700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81600000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</row>
        <row r="47">
          <cell r="D47">
            <v>59027776.670000002</v>
          </cell>
          <cell r="E47">
            <v>20000000</v>
          </cell>
          <cell r="F47">
            <v>40000000</v>
          </cell>
          <cell r="G47">
            <v>0</v>
          </cell>
          <cell r="H47">
            <v>50000000</v>
          </cell>
          <cell r="I47">
            <v>0</v>
          </cell>
          <cell r="J47">
            <v>30000000</v>
          </cell>
          <cell r="K47">
            <v>30000000</v>
          </cell>
          <cell r="L47">
            <v>0</v>
          </cell>
          <cell r="M47">
            <v>40000000</v>
          </cell>
          <cell r="N47">
            <v>0</v>
          </cell>
          <cell r="O47">
            <v>40000000</v>
          </cell>
          <cell r="P47">
            <v>0</v>
          </cell>
          <cell r="Q47">
            <v>52000000</v>
          </cell>
          <cell r="R47">
            <v>67000000</v>
          </cell>
          <cell r="S47">
            <v>57000000</v>
          </cell>
          <cell r="T47">
            <v>0</v>
          </cell>
          <cell r="U47">
            <v>193140000</v>
          </cell>
          <cell r="V47">
            <v>521250000</v>
          </cell>
          <cell r="W47">
            <v>148750000</v>
          </cell>
          <cell r="X47">
            <v>63750000</v>
          </cell>
          <cell r="Y47">
            <v>0</v>
          </cell>
          <cell r="Z47">
            <v>350000000</v>
          </cell>
          <cell r="AA47">
            <v>1000000000</v>
          </cell>
          <cell r="AB47">
            <v>255000000</v>
          </cell>
          <cell r="AC47">
            <v>356000000</v>
          </cell>
          <cell r="AD47">
            <v>0</v>
          </cell>
          <cell r="AE47">
            <v>552000000</v>
          </cell>
          <cell r="AF47">
            <v>0</v>
          </cell>
          <cell r="AG47">
            <v>132500000</v>
          </cell>
          <cell r="AH47">
            <v>64000000</v>
          </cell>
          <cell r="AI47">
            <v>12750000</v>
          </cell>
          <cell r="AJ47">
            <v>0</v>
          </cell>
          <cell r="AK47">
            <v>0</v>
          </cell>
          <cell r="AL47">
            <v>2367500000</v>
          </cell>
          <cell r="AM47">
            <v>361862400</v>
          </cell>
          <cell r="AN47">
            <v>12750000</v>
          </cell>
          <cell r="AO47">
            <v>0</v>
          </cell>
          <cell r="AP47">
            <v>0</v>
          </cell>
          <cell r="AQ47">
            <v>0</v>
          </cell>
          <cell r="AR47">
            <v>225000000</v>
          </cell>
          <cell r="AS47">
            <v>0</v>
          </cell>
          <cell r="AT47">
            <v>75000000</v>
          </cell>
          <cell r="AU47">
            <v>0</v>
          </cell>
          <cell r="AV47">
            <v>0</v>
          </cell>
          <cell r="AW47">
            <v>0</v>
          </cell>
          <cell r="AX47">
            <v>319500000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</row>
        <row r="48">
          <cell r="D48">
            <v>59027776.670000002</v>
          </cell>
          <cell r="E48">
            <v>20000000</v>
          </cell>
          <cell r="F48">
            <v>40000000</v>
          </cell>
          <cell r="G48">
            <v>71000</v>
          </cell>
          <cell r="H48">
            <v>50000000</v>
          </cell>
          <cell r="I48">
            <v>0</v>
          </cell>
          <cell r="J48">
            <v>30000000</v>
          </cell>
          <cell r="K48">
            <v>30000000</v>
          </cell>
          <cell r="L48">
            <v>0</v>
          </cell>
          <cell r="M48">
            <v>0</v>
          </cell>
          <cell r="N48">
            <v>0</v>
          </cell>
          <cell r="O48">
            <v>34000000</v>
          </cell>
          <cell r="P48">
            <v>0</v>
          </cell>
          <cell r="Q48">
            <v>44200000</v>
          </cell>
          <cell r="R48">
            <v>56950000</v>
          </cell>
          <cell r="S48">
            <v>57000000</v>
          </cell>
          <cell r="T48">
            <v>0</v>
          </cell>
          <cell r="U48">
            <v>193140000</v>
          </cell>
          <cell r="V48">
            <v>50000000</v>
          </cell>
          <cell r="W48">
            <v>175000000</v>
          </cell>
          <cell r="X48">
            <v>63750000</v>
          </cell>
          <cell r="Y48">
            <v>162000000</v>
          </cell>
          <cell r="Z48">
            <v>350000000</v>
          </cell>
          <cell r="AA48">
            <v>0</v>
          </cell>
          <cell r="AB48">
            <v>450000000</v>
          </cell>
          <cell r="AC48">
            <v>302600000</v>
          </cell>
          <cell r="AD48">
            <v>0</v>
          </cell>
          <cell r="AE48">
            <v>469200000</v>
          </cell>
          <cell r="AG48">
            <v>200000000</v>
          </cell>
          <cell r="AH48">
            <v>0</v>
          </cell>
          <cell r="AI48">
            <v>0</v>
          </cell>
          <cell r="AJ48">
            <v>1700000</v>
          </cell>
          <cell r="AK48">
            <v>0</v>
          </cell>
          <cell r="AL48">
            <v>800000000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255000000</v>
          </cell>
          <cell r="AS48">
            <v>0</v>
          </cell>
          <cell r="AT48">
            <v>120000000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</row>
        <row r="49">
          <cell r="D49">
            <v>59027776.68</v>
          </cell>
          <cell r="E49">
            <v>20000000</v>
          </cell>
          <cell r="F49">
            <v>40000000</v>
          </cell>
          <cell r="G49">
            <v>0</v>
          </cell>
          <cell r="H49">
            <v>50000000</v>
          </cell>
          <cell r="I49">
            <v>25000000</v>
          </cell>
          <cell r="J49">
            <v>30000000</v>
          </cell>
          <cell r="K49">
            <v>30000000</v>
          </cell>
          <cell r="L49">
            <v>0</v>
          </cell>
          <cell r="M49">
            <v>40000000</v>
          </cell>
          <cell r="N49">
            <v>0</v>
          </cell>
          <cell r="O49">
            <v>40000000</v>
          </cell>
          <cell r="P49">
            <v>0</v>
          </cell>
          <cell r="Q49">
            <v>52000000</v>
          </cell>
          <cell r="R49">
            <v>67000000</v>
          </cell>
          <cell r="S49">
            <v>56999000</v>
          </cell>
          <cell r="T49">
            <v>0</v>
          </cell>
          <cell r="U49">
            <v>193140000</v>
          </cell>
          <cell r="V49">
            <v>0</v>
          </cell>
          <cell r="W49">
            <v>175000000</v>
          </cell>
          <cell r="X49">
            <v>75000000</v>
          </cell>
          <cell r="Y49">
            <v>0</v>
          </cell>
          <cell r="Z49">
            <v>350000000</v>
          </cell>
          <cell r="AA49">
            <v>0</v>
          </cell>
          <cell r="AB49">
            <v>250000000</v>
          </cell>
          <cell r="AC49">
            <v>329300000</v>
          </cell>
          <cell r="AD49">
            <v>0</v>
          </cell>
          <cell r="AE49">
            <v>510600000</v>
          </cell>
          <cell r="AF49">
            <v>0</v>
          </cell>
          <cell r="AG49">
            <v>500000000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2467500000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86400000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</row>
        <row r="50">
          <cell r="D50">
            <v>59027776.670000002</v>
          </cell>
          <cell r="E50">
            <v>20000000</v>
          </cell>
          <cell r="F50">
            <v>40000000</v>
          </cell>
          <cell r="G50">
            <v>0</v>
          </cell>
          <cell r="H50">
            <v>50000000</v>
          </cell>
          <cell r="I50">
            <v>0</v>
          </cell>
          <cell r="J50">
            <v>30000000</v>
          </cell>
          <cell r="K50">
            <v>30000000</v>
          </cell>
          <cell r="L50">
            <v>0</v>
          </cell>
          <cell r="M50">
            <v>40000000</v>
          </cell>
          <cell r="N50">
            <v>0</v>
          </cell>
          <cell r="O50">
            <v>40000000</v>
          </cell>
          <cell r="P50">
            <v>0</v>
          </cell>
          <cell r="Q50">
            <v>52000000</v>
          </cell>
          <cell r="R50">
            <v>67000000</v>
          </cell>
          <cell r="S50">
            <v>57000000</v>
          </cell>
          <cell r="T50">
            <v>0</v>
          </cell>
          <cell r="U50">
            <v>193140000</v>
          </cell>
          <cell r="V50">
            <v>150270700</v>
          </cell>
          <cell r="W50">
            <v>175000000</v>
          </cell>
          <cell r="X50">
            <v>75000000</v>
          </cell>
          <cell r="Y50">
            <v>0</v>
          </cell>
          <cell r="Z50">
            <v>350000000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1700000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</row>
        <row r="51">
          <cell r="D51">
            <v>59027776.670000002</v>
          </cell>
          <cell r="E51">
            <v>20000000</v>
          </cell>
          <cell r="F51">
            <v>40000000</v>
          </cell>
          <cell r="G51">
            <v>60000</v>
          </cell>
          <cell r="H51">
            <v>50000000</v>
          </cell>
          <cell r="I51">
            <v>0</v>
          </cell>
          <cell r="J51">
            <v>30000000</v>
          </cell>
          <cell r="K51">
            <v>30000000</v>
          </cell>
          <cell r="L51">
            <v>0</v>
          </cell>
          <cell r="M51">
            <v>40000000</v>
          </cell>
          <cell r="N51">
            <v>0</v>
          </cell>
          <cell r="O51">
            <v>40000000</v>
          </cell>
          <cell r="P51">
            <v>0</v>
          </cell>
          <cell r="Q51">
            <v>52000000</v>
          </cell>
          <cell r="R51">
            <v>67000000</v>
          </cell>
          <cell r="S51">
            <v>57000000</v>
          </cell>
          <cell r="T51">
            <v>0</v>
          </cell>
          <cell r="U51">
            <v>193140000</v>
          </cell>
          <cell r="V51">
            <v>350000000</v>
          </cell>
          <cell r="W51">
            <v>175000000</v>
          </cell>
          <cell r="X51">
            <v>75000000</v>
          </cell>
          <cell r="Y51">
            <v>200000000</v>
          </cell>
          <cell r="Z51">
            <v>297500000</v>
          </cell>
          <cell r="AA51">
            <v>0</v>
          </cell>
          <cell r="AB51">
            <v>425000000</v>
          </cell>
          <cell r="AC51">
            <v>302600000</v>
          </cell>
          <cell r="AD51">
            <v>17000000</v>
          </cell>
          <cell r="AE51">
            <v>469200000</v>
          </cell>
          <cell r="AF51">
            <v>17000000</v>
          </cell>
          <cell r="AH51">
            <v>0</v>
          </cell>
          <cell r="AI51">
            <v>0</v>
          </cell>
          <cell r="AJ51">
            <v>0</v>
          </cell>
          <cell r="AK51">
            <v>8500000</v>
          </cell>
          <cell r="AL51">
            <v>510000000</v>
          </cell>
          <cell r="AM51">
            <v>0</v>
          </cell>
          <cell r="AN51">
            <v>0</v>
          </cell>
          <cell r="AO51">
            <v>0</v>
          </cell>
          <cell r="AP51">
            <v>8500000</v>
          </cell>
          <cell r="AQ51">
            <v>0</v>
          </cell>
          <cell r="AR51">
            <v>0</v>
          </cell>
          <cell r="AS51">
            <v>0</v>
          </cell>
          <cell r="AT51">
            <v>74400000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</row>
        <row r="52">
          <cell r="D52">
            <v>59027776.670000002</v>
          </cell>
          <cell r="E52">
            <v>20000000</v>
          </cell>
          <cell r="F52">
            <v>40000000</v>
          </cell>
          <cell r="G52">
            <v>0</v>
          </cell>
          <cell r="H52">
            <v>50000000</v>
          </cell>
          <cell r="I52">
            <v>0</v>
          </cell>
          <cell r="J52">
            <v>30000000</v>
          </cell>
          <cell r="K52">
            <v>30000000</v>
          </cell>
          <cell r="L52">
            <v>0</v>
          </cell>
          <cell r="M52">
            <v>40000000</v>
          </cell>
          <cell r="N52">
            <v>0</v>
          </cell>
          <cell r="O52">
            <v>40000000</v>
          </cell>
          <cell r="P52">
            <v>0</v>
          </cell>
          <cell r="Q52">
            <v>52000000</v>
          </cell>
          <cell r="R52">
            <v>67000000</v>
          </cell>
          <cell r="S52">
            <v>57000000</v>
          </cell>
          <cell r="T52">
            <v>0</v>
          </cell>
          <cell r="U52">
            <v>193140000</v>
          </cell>
          <cell r="V52">
            <v>0</v>
          </cell>
          <cell r="W52">
            <v>175000000</v>
          </cell>
          <cell r="X52">
            <v>56250000</v>
          </cell>
          <cell r="Y52">
            <v>0</v>
          </cell>
          <cell r="Z52">
            <v>350000000</v>
          </cell>
          <cell r="AA52">
            <v>0</v>
          </cell>
          <cell r="AB52">
            <v>0</v>
          </cell>
          <cell r="AC52">
            <v>356000000</v>
          </cell>
          <cell r="AD52">
            <v>0</v>
          </cell>
          <cell r="AE52">
            <v>353937894.76999998</v>
          </cell>
          <cell r="AF52">
            <v>0</v>
          </cell>
          <cell r="AG52">
            <v>270000000</v>
          </cell>
          <cell r="AH52">
            <v>64118929.230000004</v>
          </cell>
          <cell r="AI52">
            <v>0</v>
          </cell>
          <cell r="AJ52">
            <v>0</v>
          </cell>
          <cell r="AK52">
            <v>0</v>
          </cell>
          <cell r="AL52">
            <v>2599500000</v>
          </cell>
          <cell r="AM52">
            <v>362536531.97000003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30000000</v>
          </cell>
          <cell r="K53">
            <v>30000000</v>
          </cell>
          <cell r="L53">
            <v>0</v>
          </cell>
          <cell r="M53">
            <v>40000000</v>
          </cell>
          <cell r="N53">
            <v>0</v>
          </cell>
          <cell r="O53">
            <v>40000000</v>
          </cell>
          <cell r="P53">
            <v>0</v>
          </cell>
          <cell r="Q53">
            <v>52000000</v>
          </cell>
          <cell r="R53">
            <v>67000000</v>
          </cell>
          <cell r="S53">
            <v>48450000</v>
          </cell>
          <cell r="T53">
            <v>0</v>
          </cell>
          <cell r="U53">
            <v>164169000</v>
          </cell>
          <cell r="V53">
            <v>200000000</v>
          </cell>
          <cell r="W53">
            <v>175000000</v>
          </cell>
          <cell r="X53">
            <v>37500000</v>
          </cell>
          <cell r="Y53">
            <v>0</v>
          </cell>
          <cell r="Z53">
            <v>297500000</v>
          </cell>
          <cell r="AA53">
            <v>0</v>
          </cell>
          <cell r="AB53">
            <v>0</v>
          </cell>
          <cell r="AC53">
            <v>195800000</v>
          </cell>
          <cell r="AD53">
            <v>17000000</v>
          </cell>
          <cell r="AE53">
            <v>303600000</v>
          </cell>
          <cell r="AF53">
            <v>17000000</v>
          </cell>
          <cell r="AG53">
            <v>0</v>
          </cell>
          <cell r="AH53">
            <v>55000000</v>
          </cell>
          <cell r="AI53">
            <v>7500000</v>
          </cell>
          <cell r="AJ53">
            <v>0</v>
          </cell>
          <cell r="AK53">
            <v>8500000</v>
          </cell>
          <cell r="AL53">
            <v>672500000</v>
          </cell>
          <cell r="AM53">
            <v>310975500</v>
          </cell>
          <cell r="AN53">
            <v>7500000</v>
          </cell>
          <cell r="AO53">
            <v>0</v>
          </cell>
          <cell r="AP53">
            <v>8500000</v>
          </cell>
          <cell r="AQ53">
            <v>0</v>
          </cell>
          <cell r="AR53">
            <v>170000000</v>
          </cell>
          <cell r="AS53">
            <v>0</v>
          </cell>
          <cell r="AT53">
            <v>63600000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30000000</v>
          </cell>
          <cell r="K54">
            <v>30000000</v>
          </cell>
          <cell r="L54">
            <v>0</v>
          </cell>
          <cell r="M54">
            <v>40000000</v>
          </cell>
          <cell r="N54">
            <v>0</v>
          </cell>
          <cell r="O54">
            <v>40000000</v>
          </cell>
          <cell r="P54">
            <v>75000000</v>
          </cell>
          <cell r="Q54">
            <v>52000000</v>
          </cell>
          <cell r="R54">
            <v>67000000</v>
          </cell>
          <cell r="S54">
            <v>57000000</v>
          </cell>
          <cell r="T54">
            <v>0</v>
          </cell>
          <cell r="U54">
            <v>193140000</v>
          </cell>
          <cell r="V54">
            <v>500000000</v>
          </cell>
          <cell r="W54">
            <v>175000000</v>
          </cell>
          <cell r="X54">
            <v>75000000</v>
          </cell>
          <cell r="Y54">
            <v>0</v>
          </cell>
          <cell r="Z54">
            <v>350000000</v>
          </cell>
          <cell r="AA54">
            <v>0</v>
          </cell>
          <cell r="AB54">
            <v>0</v>
          </cell>
          <cell r="AC54">
            <v>199360000.00000003</v>
          </cell>
          <cell r="AD54">
            <v>20000000</v>
          </cell>
          <cell r="AE54">
            <v>309120000</v>
          </cell>
          <cell r="AF54">
            <v>11800000</v>
          </cell>
          <cell r="AG54">
            <v>127500000</v>
          </cell>
          <cell r="AH54">
            <v>56000000.000000007</v>
          </cell>
          <cell r="AI54">
            <v>9150000</v>
          </cell>
          <cell r="AJ54">
            <v>0</v>
          </cell>
          <cell r="AK54">
            <v>5900000</v>
          </cell>
          <cell r="AL54">
            <v>0</v>
          </cell>
          <cell r="AM54">
            <v>316629600.00000006</v>
          </cell>
          <cell r="AN54">
            <v>9150000</v>
          </cell>
          <cell r="AO54">
            <v>0</v>
          </cell>
          <cell r="AP54">
            <v>5900000</v>
          </cell>
          <cell r="AQ54">
            <v>0</v>
          </cell>
          <cell r="AR54">
            <v>0</v>
          </cell>
          <cell r="AS54">
            <v>0</v>
          </cell>
          <cell r="AT54">
            <v>87600000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40000000</v>
          </cell>
          <cell r="N55">
            <v>0</v>
          </cell>
          <cell r="O55">
            <v>40000000</v>
          </cell>
          <cell r="P55">
            <v>0</v>
          </cell>
          <cell r="Q55">
            <v>52000000</v>
          </cell>
          <cell r="R55">
            <v>67000000</v>
          </cell>
          <cell r="S55">
            <v>57000000</v>
          </cell>
          <cell r="T55">
            <v>0</v>
          </cell>
          <cell r="U55">
            <v>193140000</v>
          </cell>
          <cell r="V55">
            <v>470000000</v>
          </cell>
          <cell r="W55">
            <v>161400508.24000001</v>
          </cell>
          <cell r="X55">
            <v>75000000</v>
          </cell>
          <cell r="Y55">
            <v>60000000</v>
          </cell>
          <cell r="Z55">
            <v>322801017</v>
          </cell>
          <cell r="AA55">
            <v>292000000</v>
          </cell>
          <cell r="AB55">
            <v>20000000</v>
          </cell>
          <cell r="AC55">
            <v>328272618</v>
          </cell>
          <cell r="AD55">
            <v>17000000</v>
          </cell>
          <cell r="AE55">
            <v>320160000</v>
          </cell>
          <cell r="AF55">
            <v>17000000</v>
          </cell>
          <cell r="AG55">
            <v>300000000</v>
          </cell>
          <cell r="AH55">
            <v>58000000</v>
          </cell>
          <cell r="AI55">
            <v>7500000</v>
          </cell>
          <cell r="AJ55">
            <v>0</v>
          </cell>
          <cell r="AK55">
            <v>8500000</v>
          </cell>
          <cell r="AL55">
            <v>3991000000</v>
          </cell>
          <cell r="AM55">
            <v>327937800</v>
          </cell>
          <cell r="AN55">
            <v>7500000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81600000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40000000</v>
          </cell>
          <cell r="N56">
            <v>0</v>
          </cell>
          <cell r="O56">
            <v>40000000</v>
          </cell>
          <cell r="P56">
            <v>0</v>
          </cell>
          <cell r="Q56">
            <v>52000000</v>
          </cell>
          <cell r="R56">
            <v>67000000</v>
          </cell>
          <cell r="S56">
            <v>57000000</v>
          </cell>
          <cell r="T56">
            <v>0</v>
          </cell>
          <cell r="U56">
            <v>193140000</v>
          </cell>
          <cell r="V56">
            <v>0</v>
          </cell>
          <cell r="W56">
            <v>148750000</v>
          </cell>
          <cell r="X56">
            <v>63750000</v>
          </cell>
          <cell r="Y56">
            <v>0</v>
          </cell>
          <cell r="Z56">
            <v>297500000</v>
          </cell>
          <cell r="AA56">
            <v>0</v>
          </cell>
          <cell r="AB56">
            <v>0</v>
          </cell>
          <cell r="AC56">
            <v>302600000</v>
          </cell>
          <cell r="AD56">
            <v>17000000</v>
          </cell>
          <cell r="AE56">
            <v>0</v>
          </cell>
          <cell r="AF56">
            <v>0</v>
          </cell>
          <cell r="AG56">
            <v>500000000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930100000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40000000</v>
          </cell>
          <cell r="P57">
            <v>0</v>
          </cell>
          <cell r="Q57">
            <v>52000000</v>
          </cell>
          <cell r="R57">
            <v>67000000</v>
          </cell>
          <cell r="S57">
            <v>57000000</v>
          </cell>
          <cell r="T57">
            <v>0</v>
          </cell>
          <cell r="U57">
            <v>193140000</v>
          </cell>
          <cell r="V57">
            <v>450000000</v>
          </cell>
          <cell r="W57">
            <v>175000000</v>
          </cell>
          <cell r="X57">
            <v>75000000</v>
          </cell>
          <cell r="Y57">
            <v>0</v>
          </cell>
          <cell r="Z57">
            <v>350000000</v>
          </cell>
          <cell r="AA57">
            <v>650000000</v>
          </cell>
          <cell r="AB57">
            <v>300000000</v>
          </cell>
          <cell r="AC57">
            <v>356000000</v>
          </cell>
          <cell r="AD57">
            <v>0</v>
          </cell>
          <cell r="AE57">
            <v>353280000</v>
          </cell>
          <cell r="AF57">
            <v>0</v>
          </cell>
          <cell r="AG57">
            <v>0</v>
          </cell>
          <cell r="AH57">
            <v>64000000</v>
          </cell>
          <cell r="AI57">
            <v>0</v>
          </cell>
          <cell r="AJ57">
            <v>0</v>
          </cell>
          <cell r="AK57">
            <v>0</v>
          </cell>
          <cell r="AL57">
            <v>3300000000</v>
          </cell>
          <cell r="AM57">
            <v>361862400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120000000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40000000</v>
          </cell>
          <cell r="P58">
            <v>0</v>
          </cell>
          <cell r="Q58">
            <v>52000000</v>
          </cell>
          <cell r="R58">
            <v>67000000</v>
          </cell>
          <cell r="S58">
            <v>57000000</v>
          </cell>
          <cell r="T58">
            <v>0</v>
          </cell>
          <cell r="U58">
            <v>193140000</v>
          </cell>
          <cell r="V58">
            <v>550000000</v>
          </cell>
          <cell r="W58">
            <v>175000000</v>
          </cell>
          <cell r="X58">
            <v>75000000</v>
          </cell>
          <cell r="Y58">
            <v>500000000</v>
          </cell>
          <cell r="Z58">
            <v>350000000</v>
          </cell>
          <cell r="AA58">
            <v>50000000</v>
          </cell>
          <cell r="AB58">
            <v>0</v>
          </cell>
          <cell r="AC58">
            <v>224280000</v>
          </cell>
          <cell r="AD58">
            <v>17000000</v>
          </cell>
          <cell r="AE58">
            <v>347760000</v>
          </cell>
          <cell r="AF58">
            <v>17000000</v>
          </cell>
          <cell r="AG58">
            <v>100000000</v>
          </cell>
          <cell r="AH58">
            <v>63000000</v>
          </cell>
          <cell r="AI58">
            <v>12750000</v>
          </cell>
          <cell r="AJ58">
            <v>0</v>
          </cell>
          <cell r="AK58">
            <v>8500000</v>
          </cell>
          <cell r="AL58">
            <v>800000000</v>
          </cell>
          <cell r="AM58">
            <v>356208300</v>
          </cell>
          <cell r="AN58">
            <v>12750000</v>
          </cell>
          <cell r="AO58">
            <v>0</v>
          </cell>
          <cell r="AP58">
            <v>8500000</v>
          </cell>
          <cell r="AQ58">
            <v>0</v>
          </cell>
          <cell r="AR58">
            <v>255000000</v>
          </cell>
          <cell r="AS58">
            <v>0</v>
          </cell>
          <cell r="AT58">
            <v>102000000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40000000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175000000</v>
          </cell>
          <cell r="X59">
            <v>75000000</v>
          </cell>
          <cell r="Y59">
            <v>0</v>
          </cell>
          <cell r="Z59">
            <v>350000000</v>
          </cell>
          <cell r="AA59">
            <v>0</v>
          </cell>
          <cell r="AB59">
            <v>0</v>
          </cell>
          <cell r="AC59">
            <v>356000000</v>
          </cell>
          <cell r="AD59">
            <v>10600000</v>
          </cell>
          <cell r="AE59">
            <v>331200000</v>
          </cell>
          <cell r="AF59">
            <v>10600000</v>
          </cell>
          <cell r="AG59">
            <v>200000000</v>
          </cell>
          <cell r="AH59">
            <v>60000000</v>
          </cell>
          <cell r="AI59">
            <v>7800000</v>
          </cell>
          <cell r="AJ59">
            <v>0</v>
          </cell>
          <cell r="AK59">
            <v>5300000</v>
          </cell>
          <cell r="AL59">
            <v>0</v>
          </cell>
          <cell r="AM59">
            <v>339246000</v>
          </cell>
          <cell r="AN59">
            <v>7800000</v>
          </cell>
          <cell r="AO59">
            <v>0</v>
          </cell>
          <cell r="AP59">
            <v>5300000</v>
          </cell>
          <cell r="AQ59">
            <v>0</v>
          </cell>
          <cell r="AR59">
            <v>255000000</v>
          </cell>
          <cell r="AS59">
            <v>0</v>
          </cell>
          <cell r="AT59">
            <v>182400000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40000000</v>
          </cell>
          <cell r="P60">
            <v>0</v>
          </cell>
          <cell r="Q60">
            <v>52000000</v>
          </cell>
          <cell r="R60">
            <v>67000000</v>
          </cell>
          <cell r="S60">
            <v>57000000</v>
          </cell>
          <cell r="T60">
            <v>0</v>
          </cell>
          <cell r="U60">
            <v>164169000</v>
          </cell>
          <cell r="V60">
            <v>0</v>
          </cell>
          <cell r="W60">
            <v>175000000</v>
          </cell>
          <cell r="X60">
            <v>46500000</v>
          </cell>
          <cell r="Y60">
            <v>429500000</v>
          </cell>
          <cell r="Z60">
            <v>350000000</v>
          </cell>
          <cell r="AA60">
            <v>285700000</v>
          </cell>
          <cell r="AB60">
            <v>8500000</v>
          </cell>
          <cell r="AC60">
            <v>356000000</v>
          </cell>
          <cell r="AD60">
            <v>12400000</v>
          </cell>
          <cell r="AE60">
            <v>353280000</v>
          </cell>
          <cell r="AF60">
            <v>12400000</v>
          </cell>
          <cell r="AG60">
            <v>180000000</v>
          </cell>
          <cell r="AH60">
            <v>64000000</v>
          </cell>
          <cell r="AI60">
            <v>0</v>
          </cell>
          <cell r="AJ60">
            <v>0</v>
          </cell>
          <cell r="AK60">
            <v>6200000</v>
          </cell>
          <cell r="AL60">
            <v>220000000</v>
          </cell>
          <cell r="AM60">
            <v>361862400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255000000</v>
          </cell>
          <cell r="AS60">
            <v>0</v>
          </cell>
          <cell r="AT60">
            <v>102000000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40000000</v>
          </cell>
          <cell r="P61">
            <v>0</v>
          </cell>
          <cell r="Q61">
            <v>52000000</v>
          </cell>
          <cell r="R61">
            <v>67000000</v>
          </cell>
          <cell r="S61">
            <v>57000000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42000000</v>
          </cell>
          <cell r="AB61">
            <v>361000000</v>
          </cell>
          <cell r="AC61">
            <v>356000000</v>
          </cell>
          <cell r="AD61">
            <v>20000000</v>
          </cell>
          <cell r="AE61">
            <v>0</v>
          </cell>
          <cell r="AF61">
            <v>0</v>
          </cell>
          <cell r="AG61">
            <v>170000000</v>
          </cell>
          <cell r="AH61">
            <v>85000000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255000000</v>
          </cell>
          <cell r="AS61">
            <v>0</v>
          </cell>
          <cell r="AT61">
            <v>72000000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52000000</v>
          </cell>
          <cell r="R62">
            <v>67000000</v>
          </cell>
          <cell r="S62">
            <v>57000000</v>
          </cell>
          <cell r="T62">
            <v>35185417</v>
          </cell>
          <cell r="U62">
            <v>193140000</v>
          </cell>
          <cell r="V62">
            <v>280000000</v>
          </cell>
          <cell r="W62">
            <v>175000000</v>
          </cell>
          <cell r="X62">
            <v>75000000</v>
          </cell>
          <cell r="Y62">
            <v>0</v>
          </cell>
          <cell r="Z62">
            <v>350000000</v>
          </cell>
          <cell r="AA62">
            <v>230000000</v>
          </cell>
          <cell r="AB62">
            <v>230000000</v>
          </cell>
          <cell r="AC62">
            <v>356000000</v>
          </cell>
          <cell r="AD62">
            <v>20000000</v>
          </cell>
          <cell r="AE62">
            <v>314640000</v>
          </cell>
          <cell r="AF62">
            <v>0</v>
          </cell>
          <cell r="AG62">
            <v>300000000</v>
          </cell>
          <cell r="AH62">
            <v>57000000</v>
          </cell>
          <cell r="AI62">
            <v>0</v>
          </cell>
          <cell r="AJ62">
            <v>0</v>
          </cell>
          <cell r="AK62">
            <v>0</v>
          </cell>
          <cell r="AL62">
            <v>595500000</v>
          </cell>
          <cell r="AM62">
            <v>322283700</v>
          </cell>
          <cell r="AO62">
            <v>0</v>
          </cell>
          <cell r="AP62">
            <v>0</v>
          </cell>
          <cell r="AQ62">
            <v>0</v>
          </cell>
          <cell r="AR62">
            <v>198000000</v>
          </cell>
          <cell r="AS62">
            <v>0</v>
          </cell>
          <cell r="AT62">
            <v>82800000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52000000</v>
          </cell>
          <cell r="R63">
            <v>67000000</v>
          </cell>
          <cell r="S63">
            <v>57000000</v>
          </cell>
          <cell r="T63">
            <v>300000000</v>
          </cell>
          <cell r="U63">
            <v>193140000</v>
          </cell>
          <cell r="V63">
            <v>0</v>
          </cell>
          <cell r="W63">
            <v>175000000</v>
          </cell>
          <cell r="X63">
            <v>75000000</v>
          </cell>
          <cell r="Y63">
            <v>200000000</v>
          </cell>
          <cell r="Z63">
            <v>350000000</v>
          </cell>
          <cell r="AA63">
            <v>42000000</v>
          </cell>
          <cell r="AB63">
            <v>100000000</v>
          </cell>
          <cell r="AC63">
            <v>356000000</v>
          </cell>
          <cell r="AD63">
            <v>20000000</v>
          </cell>
          <cell r="AE63">
            <v>552000000</v>
          </cell>
          <cell r="AF63">
            <v>17000000</v>
          </cell>
          <cell r="AG63">
            <v>100000000</v>
          </cell>
          <cell r="AH63">
            <v>54000000</v>
          </cell>
          <cell r="AI63">
            <v>8250000</v>
          </cell>
          <cell r="AJ63">
            <v>0</v>
          </cell>
          <cell r="AK63">
            <v>8500000</v>
          </cell>
          <cell r="AL63">
            <v>1087000000</v>
          </cell>
          <cell r="AM63">
            <v>305321400</v>
          </cell>
          <cell r="AN63">
            <v>8250000</v>
          </cell>
          <cell r="AO63">
            <v>0</v>
          </cell>
          <cell r="AP63">
            <v>8500000</v>
          </cell>
          <cell r="AQ63">
            <v>0</v>
          </cell>
          <cell r="AR63">
            <v>0</v>
          </cell>
          <cell r="AS63">
            <v>0</v>
          </cell>
          <cell r="AT63">
            <v>79200000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500000000</v>
          </cell>
          <cell r="R64">
            <v>67000000</v>
          </cell>
          <cell r="S64">
            <v>57000000</v>
          </cell>
          <cell r="T64">
            <v>0</v>
          </cell>
          <cell r="U64">
            <v>193140000</v>
          </cell>
          <cell r="V64">
            <v>127500000</v>
          </cell>
          <cell r="W64">
            <v>175000000</v>
          </cell>
          <cell r="X64">
            <v>42000000</v>
          </cell>
          <cell r="Y64">
            <v>0</v>
          </cell>
          <cell r="Z64">
            <v>192710000</v>
          </cell>
          <cell r="AA64">
            <v>184450000</v>
          </cell>
          <cell r="AB64">
            <v>120000000</v>
          </cell>
          <cell r="AC64">
            <v>356000000</v>
          </cell>
          <cell r="AD64">
            <v>11200000</v>
          </cell>
          <cell r="AE64">
            <v>552000000</v>
          </cell>
          <cell r="AF64">
            <v>11200000</v>
          </cell>
          <cell r="AG64">
            <v>121300000</v>
          </cell>
          <cell r="AH64">
            <v>55060000</v>
          </cell>
          <cell r="AI64">
            <v>7800000</v>
          </cell>
          <cell r="AJ64">
            <v>2000000</v>
          </cell>
          <cell r="AK64">
            <v>5600000</v>
          </cell>
          <cell r="AL64">
            <v>0</v>
          </cell>
          <cell r="AM64">
            <v>311321900</v>
          </cell>
          <cell r="AN64">
            <v>7800000</v>
          </cell>
          <cell r="AO64">
            <v>0</v>
          </cell>
          <cell r="AP64">
            <v>0</v>
          </cell>
          <cell r="AQ64">
            <v>0</v>
          </cell>
          <cell r="AR64">
            <v>300000000</v>
          </cell>
          <cell r="AS64">
            <v>0</v>
          </cell>
          <cell r="AT64">
            <v>92400000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44200000</v>
          </cell>
          <cell r="R65">
            <v>56950000</v>
          </cell>
          <cell r="S65">
            <v>48450000</v>
          </cell>
          <cell r="T65">
            <v>0</v>
          </cell>
          <cell r="U65">
            <v>164169000</v>
          </cell>
          <cell r="V65">
            <v>0</v>
          </cell>
          <cell r="W65">
            <v>175000000</v>
          </cell>
          <cell r="X65">
            <v>0</v>
          </cell>
          <cell r="Y65">
            <v>0</v>
          </cell>
          <cell r="Z65">
            <v>350000000</v>
          </cell>
          <cell r="AA65">
            <v>62900000</v>
          </cell>
          <cell r="AB65">
            <v>0</v>
          </cell>
          <cell r="AC65">
            <v>224280000</v>
          </cell>
          <cell r="AD65">
            <v>0</v>
          </cell>
          <cell r="AE65">
            <v>347760000</v>
          </cell>
          <cell r="AF65">
            <v>0</v>
          </cell>
          <cell r="AG65">
            <v>0</v>
          </cell>
          <cell r="AH65">
            <v>63000000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356208300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67000000</v>
          </cell>
          <cell r="S66">
            <v>57000000</v>
          </cell>
          <cell r="T66">
            <v>0</v>
          </cell>
          <cell r="U66">
            <v>193140000</v>
          </cell>
          <cell r="V66">
            <v>100000000</v>
          </cell>
          <cell r="W66">
            <v>175000000</v>
          </cell>
          <cell r="X66">
            <v>75000000</v>
          </cell>
          <cell r="Y66">
            <v>0</v>
          </cell>
          <cell r="Z66">
            <v>350000000</v>
          </cell>
          <cell r="AA66">
            <v>42000000</v>
          </cell>
          <cell r="AB66">
            <v>0</v>
          </cell>
          <cell r="AC66">
            <v>302600000</v>
          </cell>
          <cell r="AD66">
            <v>20000000</v>
          </cell>
          <cell r="AE66">
            <v>469200000</v>
          </cell>
          <cell r="AF66">
            <v>20000000</v>
          </cell>
          <cell r="AG66">
            <v>221000000</v>
          </cell>
          <cell r="AH66">
            <v>59000000</v>
          </cell>
          <cell r="AI66">
            <v>7950000</v>
          </cell>
          <cell r="AJ66">
            <v>0</v>
          </cell>
          <cell r="AK66">
            <v>8500000</v>
          </cell>
          <cell r="AL66">
            <v>150000000</v>
          </cell>
          <cell r="AM66">
            <v>333591900</v>
          </cell>
          <cell r="AN66">
            <v>7950000</v>
          </cell>
          <cell r="AO66">
            <v>0</v>
          </cell>
          <cell r="AP66">
            <v>8500000</v>
          </cell>
          <cell r="AQ66">
            <v>0</v>
          </cell>
          <cell r="AR66">
            <v>0</v>
          </cell>
          <cell r="AS66">
            <v>0</v>
          </cell>
          <cell r="AT66">
            <v>84000000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45940000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193140000</v>
          </cell>
          <cell r="V68">
            <v>250000000</v>
          </cell>
          <cell r="W68">
            <v>175000000</v>
          </cell>
          <cell r="X68">
            <v>75000000</v>
          </cell>
          <cell r="Y68">
            <v>250000000</v>
          </cell>
          <cell r="Z68">
            <v>297500000</v>
          </cell>
          <cell r="AA68">
            <v>0</v>
          </cell>
          <cell r="AB68">
            <v>292500000</v>
          </cell>
          <cell r="AC68">
            <v>302600000</v>
          </cell>
          <cell r="AD68">
            <v>0</v>
          </cell>
          <cell r="AE68">
            <v>469200000</v>
          </cell>
          <cell r="AF68">
            <v>0</v>
          </cell>
          <cell r="AG68">
            <v>400000000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917500000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300000000</v>
          </cell>
          <cell r="AS68">
            <v>0</v>
          </cell>
          <cell r="AT68">
            <v>80400000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34000000</v>
          </cell>
          <cell r="P69">
            <v>0</v>
          </cell>
          <cell r="Q69">
            <v>44200000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175000000</v>
          </cell>
          <cell r="X69">
            <v>75000000</v>
          </cell>
          <cell r="Y69">
            <v>0</v>
          </cell>
          <cell r="Z69">
            <v>350000000</v>
          </cell>
          <cell r="AA69">
            <v>184450000</v>
          </cell>
          <cell r="AB69">
            <v>0</v>
          </cell>
          <cell r="AC69">
            <v>227840000</v>
          </cell>
          <cell r="AD69">
            <v>17000000</v>
          </cell>
          <cell r="AE69">
            <v>353280000</v>
          </cell>
          <cell r="AF69">
            <v>17000000</v>
          </cell>
          <cell r="AG69">
            <v>475000000</v>
          </cell>
          <cell r="AH69">
            <v>64000000</v>
          </cell>
          <cell r="AI69">
            <v>7600000</v>
          </cell>
          <cell r="AJ69">
            <v>0</v>
          </cell>
          <cell r="AK69">
            <v>8500000</v>
          </cell>
          <cell r="AL69">
            <v>785000000</v>
          </cell>
          <cell r="AM69">
            <v>361862400</v>
          </cell>
          <cell r="AN69">
            <v>7600000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102000000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175000000</v>
          </cell>
          <cell r="X70">
            <v>75000000</v>
          </cell>
          <cell r="Y70">
            <v>0</v>
          </cell>
          <cell r="Z70">
            <v>350000000</v>
          </cell>
          <cell r="AA70">
            <v>380000000</v>
          </cell>
          <cell r="AB70">
            <v>176000000</v>
          </cell>
          <cell r="AC70">
            <v>356000000</v>
          </cell>
          <cell r="AD70">
            <v>20000000</v>
          </cell>
          <cell r="AE70">
            <v>552000000</v>
          </cell>
          <cell r="AF70">
            <v>0</v>
          </cell>
          <cell r="AG70">
            <v>568000000</v>
          </cell>
          <cell r="AH70">
            <v>100000000</v>
          </cell>
          <cell r="AI70">
            <v>0</v>
          </cell>
          <cell r="AJ70">
            <v>1700000</v>
          </cell>
          <cell r="AK70">
            <v>0</v>
          </cell>
          <cell r="AL70">
            <v>2940000000</v>
          </cell>
          <cell r="AM70">
            <v>565410000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159000000</v>
          </cell>
          <cell r="AT70">
            <v>88800000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185500000</v>
          </cell>
          <cell r="AZ70">
            <v>0</v>
          </cell>
          <cell r="BA70">
            <v>0</v>
          </cell>
          <cell r="BB70">
            <v>0</v>
          </cell>
          <cell r="BC70">
            <v>63611266.740000002</v>
          </cell>
          <cell r="BD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125000000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356000000</v>
          </cell>
          <cell r="AD71">
            <v>17000000</v>
          </cell>
          <cell r="AE71">
            <v>0</v>
          </cell>
          <cell r="AF71">
            <v>0</v>
          </cell>
          <cell r="AG71">
            <v>500000000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20000000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102000000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350000000</v>
          </cell>
          <cell r="AA72">
            <v>642000000</v>
          </cell>
          <cell r="AB72">
            <v>260000000</v>
          </cell>
          <cell r="AC72">
            <v>356000000</v>
          </cell>
          <cell r="AD72">
            <v>17000000</v>
          </cell>
          <cell r="AE72">
            <v>469200000</v>
          </cell>
          <cell r="AF72">
            <v>17000000</v>
          </cell>
          <cell r="AG72">
            <v>1187500000</v>
          </cell>
          <cell r="AH72">
            <v>85000000</v>
          </cell>
          <cell r="AI72">
            <v>7650000</v>
          </cell>
          <cell r="AJ72">
            <v>0</v>
          </cell>
          <cell r="AK72">
            <v>8500000</v>
          </cell>
          <cell r="AL72">
            <v>4967500000</v>
          </cell>
          <cell r="AM72">
            <v>480598500</v>
          </cell>
          <cell r="AN72">
            <v>7650000</v>
          </cell>
          <cell r="AO72">
            <v>0</v>
          </cell>
          <cell r="AP72">
            <v>8500000</v>
          </cell>
          <cell r="AQ72">
            <v>0</v>
          </cell>
          <cell r="AR72">
            <v>0</v>
          </cell>
          <cell r="AS72">
            <v>0</v>
          </cell>
          <cell r="AT72">
            <v>86400000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1411861053.8999999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356000000</v>
          </cell>
          <cell r="AD73">
            <v>17000000</v>
          </cell>
          <cell r="AE73">
            <v>469200000</v>
          </cell>
          <cell r="AF73">
            <v>17000000</v>
          </cell>
          <cell r="AG73">
            <v>340000000</v>
          </cell>
          <cell r="AH73">
            <v>85000000</v>
          </cell>
          <cell r="AI73">
            <v>7650000</v>
          </cell>
          <cell r="AJ73">
            <v>0</v>
          </cell>
          <cell r="AK73">
            <v>8500000</v>
          </cell>
          <cell r="AL73">
            <v>100000000</v>
          </cell>
          <cell r="AM73">
            <v>480598500</v>
          </cell>
          <cell r="AN73">
            <v>7650000</v>
          </cell>
          <cell r="AO73">
            <v>0</v>
          </cell>
          <cell r="AP73">
            <v>8500000</v>
          </cell>
          <cell r="AQ73">
            <v>0</v>
          </cell>
          <cell r="AR73">
            <v>0</v>
          </cell>
          <cell r="AS73">
            <v>0</v>
          </cell>
          <cell r="AT73">
            <v>204000000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1367814791.5599999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302600000</v>
          </cell>
          <cell r="AD74">
            <v>17000000</v>
          </cell>
          <cell r="AE74">
            <v>347760000</v>
          </cell>
          <cell r="AF74">
            <v>17000000</v>
          </cell>
          <cell r="AG74">
            <v>0</v>
          </cell>
          <cell r="AH74">
            <v>63000000</v>
          </cell>
          <cell r="AI74">
            <v>8400000</v>
          </cell>
          <cell r="AJ74">
            <v>0</v>
          </cell>
          <cell r="AK74">
            <v>8500000</v>
          </cell>
          <cell r="AL74">
            <v>0</v>
          </cell>
          <cell r="AM74">
            <v>356208300</v>
          </cell>
          <cell r="AN74">
            <v>8400000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1408273186.9700003</v>
          </cell>
          <cell r="X75">
            <v>0</v>
          </cell>
          <cell r="Y75">
            <v>0</v>
          </cell>
          <cell r="Z75">
            <v>0</v>
          </cell>
          <cell r="AA75">
            <v>142000000</v>
          </cell>
          <cell r="AB75">
            <v>202000000</v>
          </cell>
          <cell r="AC75">
            <v>356000000</v>
          </cell>
          <cell r="AD75">
            <v>17000000</v>
          </cell>
          <cell r="AE75">
            <v>552000000</v>
          </cell>
          <cell r="AF75">
            <v>17000000</v>
          </cell>
          <cell r="AG75">
            <v>344250000</v>
          </cell>
          <cell r="AH75">
            <v>64000000</v>
          </cell>
          <cell r="AI75">
            <v>12750000</v>
          </cell>
          <cell r="AJ75">
            <v>0</v>
          </cell>
          <cell r="AK75">
            <v>0</v>
          </cell>
          <cell r="AL75">
            <v>4000000000</v>
          </cell>
          <cell r="AM75">
            <v>361862400</v>
          </cell>
          <cell r="AN75">
            <v>7800000</v>
          </cell>
          <cell r="AO75">
            <v>0</v>
          </cell>
          <cell r="AP75">
            <v>0</v>
          </cell>
          <cell r="AQ75">
            <v>0</v>
          </cell>
          <cell r="AR75">
            <v>91200000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1390231241.8299999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356000000</v>
          </cell>
          <cell r="AD76">
            <v>0</v>
          </cell>
          <cell r="AE76">
            <v>469200000</v>
          </cell>
          <cell r="AF76">
            <v>0</v>
          </cell>
          <cell r="AG76">
            <v>850000000</v>
          </cell>
          <cell r="AH76">
            <v>0</v>
          </cell>
          <cell r="AI76">
            <v>7500000</v>
          </cell>
          <cell r="AJ76">
            <v>0</v>
          </cell>
          <cell r="AK76">
            <v>0</v>
          </cell>
          <cell r="AL76">
            <v>25000000</v>
          </cell>
          <cell r="AM76">
            <v>0</v>
          </cell>
          <cell r="AN76">
            <v>7500000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79200000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1361835259.2700002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135000000</v>
          </cell>
          <cell r="AC77">
            <v>356000000</v>
          </cell>
          <cell r="AD77">
            <v>0</v>
          </cell>
          <cell r="AE77">
            <v>469200000</v>
          </cell>
          <cell r="AF77">
            <v>0</v>
          </cell>
          <cell r="AG77">
            <v>425000000</v>
          </cell>
          <cell r="AH77">
            <v>85000000</v>
          </cell>
          <cell r="AI77">
            <v>0</v>
          </cell>
          <cell r="AJ77">
            <v>0</v>
          </cell>
          <cell r="AK77">
            <v>0</v>
          </cell>
          <cell r="AL77">
            <v>1525000000</v>
          </cell>
          <cell r="AM77">
            <v>480598500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92400000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1411860553.8</v>
          </cell>
          <cell r="X78">
            <v>0</v>
          </cell>
          <cell r="Y78">
            <v>0</v>
          </cell>
          <cell r="Z78">
            <v>0</v>
          </cell>
          <cell r="AA78">
            <v>30000000</v>
          </cell>
          <cell r="AB78">
            <v>100000000</v>
          </cell>
          <cell r="AC78">
            <v>356000000</v>
          </cell>
          <cell r="AD78">
            <v>20000000</v>
          </cell>
          <cell r="AE78">
            <v>469200000</v>
          </cell>
          <cell r="AF78">
            <v>20000000</v>
          </cell>
          <cell r="AG78">
            <v>205000000</v>
          </cell>
          <cell r="AH78">
            <v>58000000</v>
          </cell>
          <cell r="AI78">
            <v>15000000</v>
          </cell>
          <cell r="AJ78">
            <v>1700000</v>
          </cell>
          <cell r="AK78">
            <v>10000000</v>
          </cell>
          <cell r="AL78">
            <v>500000000</v>
          </cell>
          <cell r="AM78">
            <v>327937800</v>
          </cell>
          <cell r="AN78">
            <v>15000000</v>
          </cell>
          <cell r="AO78">
            <v>0</v>
          </cell>
          <cell r="AP78">
            <v>10000000</v>
          </cell>
          <cell r="AQ78">
            <v>0</v>
          </cell>
          <cell r="AR78">
            <v>0</v>
          </cell>
          <cell r="AS78">
            <v>0</v>
          </cell>
          <cell r="AT78">
            <v>102000000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1187061207.9400001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356000000</v>
          </cell>
          <cell r="AD79">
            <v>11800000</v>
          </cell>
          <cell r="AE79">
            <v>331200000</v>
          </cell>
          <cell r="AF79">
            <v>20000000</v>
          </cell>
          <cell r="AG79">
            <v>212500000</v>
          </cell>
          <cell r="AH79">
            <v>60000000</v>
          </cell>
          <cell r="AI79">
            <v>15000000</v>
          </cell>
          <cell r="AJ79">
            <v>1700000</v>
          </cell>
          <cell r="AK79">
            <v>10000000</v>
          </cell>
          <cell r="AL79">
            <v>0</v>
          </cell>
          <cell r="AM79">
            <v>339246000</v>
          </cell>
          <cell r="AN79">
            <v>15000000</v>
          </cell>
          <cell r="AO79">
            <v>0</v>
          </cell>
          <cell r="AP79">
            <v>10000000</v>
          </cell>
          <cell r="AQ79">
            <v>0</v>
          </cell>
          <cell r="AR79">
            <v>0</v>
          </cell>
          <cell r="AS79">
            <v>0</v>
          </cell>
          <cell r="AT79">
            <v>82800000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1235955115.02</v>
          </cell>
          <cell r="X80">
            <v>0</v>
          </cell>
          <cell r="Y80">
            <v>0</v>
          </cell>
          <cell r="Z80">
            <v>0</v>
          </cell>
          <cell r="AA80">
            <v>21000000</v>
          </cell>
          <cell r="AB80">
            <v>0</v>
          </cell>
          <cell r="AC80">
            <v>302600000</v>
          </cell>
          <cell r="AD80">
            <v>20000000</v>
          </cell>
          <cell r="AE80">
            <v>469200000</v>
          </cell>
          <cell r="AF80">
            <v>20000000</v>
          </cell>
          <cell r="AG80">
            <v>10000000</v>
          </cell>
          <cell r="AH80">
            <v>85000000</v>
          </cell>
          <cell r="AI80">
            <v>15000000</v>
          </cell>
          <cell r="AJ80">
            <v>0</v>
          </cell>
          <cell r="AK80">
            <v>10000000</v>
          </cell>
          <cell r="AM80">
            <v>480598500</v>
          </cell>
          <cell r="AN80">
            <v>15000000</v>
          </cell>
          <cell r="AO80">
            <v>0</v>
          </cell>
          <cell r="AP80">
            <v>10000000</v>
          </cell>
          <cell r="AQ80">
            <v>0</v>
          </cell>
          <cell r="AR80">
            <v>0</v>
          </cell>
          <cell r="AS80">
            <v>0</v>
          </cell>
          <cell r="AT80">
            <v>78000000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1411860553.9999998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142650000</v>
          </cell>
          <cell r="AC81">
            <v>356000000</v>
          </cell>
          <cell r="AD81">
            <v>12400000</v>
          </cell>
          <cell r="AE81">
            <v>358800000</v>
          </cell>
          <cell r="AF81">
            <v>0</v>
          </cell>
          <cell r="AG81">
            <v>100000000</v>
          </cell>
          <cell r="AH81">
            <v>65000000</v>
          </cell>
          <cell r="AI81">
            <v>0</v>
          </cell>
          <cell r="AJ81">
            <v>1700000</v>
          </cell>
          <cell r="AK81">
            <v>0</v>
          </cell>
          <cell r="AL81">
            <v>1570000000</v>
          </cell>
          <cell r="AM81">
            <v>367516500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73200000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255000000</v>
          </cell>
          <cell r="AC82">
            <v>1384994762.7399998</v>
          </cell>
          <cell r="AD82">
            <v>0</v>
          </cell>
          <cell r="AE82">
            <v>552000000</v>
          </cell>
          <cell r="AF82">
            <v>16000000</v>
          </cell>
          <cell r="AG82">
            <v>250000000</v>
          </cell>
          <cell r="AH82">
            <v>56000000</v>
          </cell>
          <cell r="AI82">
            <v>15000000</v>
          </cell>
          <cell r="AJ82">
            <v>0</v>
          </cell>
          <cell r="AK82">
            <v>8000000</v>
          </cell>
          <cell r="AL82">
            <v>1775000000</v>
          </cell>
          <cell r="AM82">
            <v>316629600</v>
          </cell>
          <cell r="AN82">
            <v>15000000</v>
          </cell>
          <cell r="AO82">
            <v>0</v>
          </cell>
          <cell r="AP82">
            <v>8000000</v>
          </cell>
          <cell r="AQ82">
            <v>0</v>
          </cell>
          <cell r="AR82">
            <v>0</v>
          </cell>
          <cell r="AS82">
            <v>0</v>
          </cell>
          <cell r="AT82">
            <v>75600000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1387081748.5599999</v>
          </cell>
          <cell r="AD83">
            <v>0</v>
          </cell>
          <cell r="AE83">
            <v>550000000</v>
          </cell>
          <cell r="AF83">
            <v>17000000</v>
          </cell>
          <cell r="AG83">
            <v>200000000</v>
          </cell>
          <cell r="AH83">
            <v>62000000</v>
          </cell>
          <cell r="AI83">
            <v>8400000</v>
          </cell>
          <cell r="AJ83">
            <v>0</v>
          </cell>
          <cell r="AK83">
            <v>8500000</v>
          </cell>
          <cell r="AL83">
            <v>0</v>
          </cell>
          <cell r="AM83">
            <v>350554200</v>
          </cell>
          <cell r="AN83">
            <v>8400000</v>
          </cell>
          <cell r="AO83">
            <v>0</v>
          </cell>
          <cell r="AP83">
            <v>8500000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1172904599.6600001</v>
          </cell>
          <cell r="AD84">
            <v>0</v>
          </cell>
          <cell r="AE84">
            <v>510600000</v>
          </cell>
          <cell r="AF84">
            <v>17000000</v>
          </cell>
          <cell r="AG84">
            <v>300000000</v>
          </cell>
          <cell r="AH84">
            <v>58000000</v>
          </cell>
          <cell r="AI84">
            <v>8250000</v>
          </cell>
          <cell r="AJ84">
            <v>0</v>
          </cell>
          <cell r="AK84">
            <v>8500000</v>
          </cell>
          <cell r="AL84">
            <v>300000000</v>
          </cell>
          <cell r="AM84">
            <v>327937800</v>
          </cell>
          <cell r="AN84">
            <v>8250000</v>
          </cell>
          <cell r="AO84">
            <v>0</v>
          </cell>
          <cell r="AP84">
            <v>8500000</v>
          </cell>
          <cell r="AQ84">
            <v>0</v>
          </cell>
          <cell r="AR84">
            <v>0</v>
          </cell>
          <cell r="AS84">
            <v>0</v>
          </cell>
          <cell r="AT84">
            <v>85200000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552000000</v>
          </cell>
          <cell r="AF85">
            <v>17000000</v>
          </cell>
          <cell r="AG85">
            <v>250000000</v>
          </cell>
          <cell r="AH85">
            <v>100000000</v>
          </cell>
          <cell r="AI85">
            <v>12750000</v>
          </cell>
          <cell r="AJ85">
            <v>0</v>
          </cell>
          <cell r="AK85">
            <v>8500000</v>
          </cell>
          <cell r="AL85">
            <v>880000000</v>
          </cell>
          <cell r="AM85">
            <v>565410000</v>
          </cell>
          <cell r="AN85">
            <v>12750000</v>
          </cell>
          <cell r="AO85">
            <v>0</v>
          </cell>
          <cell r="AP85">
            <v>8500000</v>
          </cell>
          <cell r="AQ85">
            <v>0</v>
          </cell>
          <cell r="AR85">
            <v>0</v>
          </cell>
          <cell r="AS85">
            <v>0</v>
          </cell>
          <cell r="AT85">
            <v>81600000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356000000</v>
          </cell>
          <cell r="AD86">
            <v>20000000</v>
          </cell>
          <cell r="AE86">
            <v>276000000</v>
          </cell>
          <cell r="AF86">
            <v>20000000</v>
          </cell>
          <cell r="AG86">
            <v>1000000000</v>
          </cell>
          <cell r="AH86">
            <v>50000000</v>
          </cell>
          <cell r="AI86">
            <v>7650000</v>
          </cell>
          <cell r="AJ86">
            <v>0</v>
          </cell>
          <cell r="AK86">
            <v>10000000</v>
          </cell>
          <cell r="AL86">
            <v>6680000000</v>
          </cell>
          <cell r="AM86">
            <v>282705000</v>
          </cell>
          <cell r="AN86">
            <v>7650000</v>
          </cell>
          <cell r="AO86">
            <v>0</v>
          </cell>
          <cell r="AP86">
            <v>10000000</v>
          </cell>
          <cell r="AQ86">
            <v>0</v>
          </cell>
          <cell r="AR86">
            <v>0</v>
          </cell>
          <cell r="AS86">
            <v>0</v>
          </cell>
          <cell r="AT86">
            <v>97200000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1141274117.97</v>
          </cell>
          <cell r="AA87">
            <v>0</v>
          </cell>
          <cell r="AB87">
            <v>0</v>
          </cell>
          <cell r="AC87">
            <v>356000000</v>
          </cell>
          <cell r="AD87">
            <v>0</v>
          </cell>
          <cell r="AE87">
            <v>469200000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81600000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300000000</v>
          </cell>
          <cell r="AC88">
            <v>0</v>
          </cell>
          <cell r="AD88">
            <v>0</v>
          </cell>
          <cell r="AE88">
            <v>552000000</v>
          </cell>
          <cell r="AF88">
            <v>12600000</v>
          </cell>
          <cell r="AG88">
            <v>350000000</v>
          </cell>
          <cell r="AH88">
            <v>85000000</v>
          </cell>
          <cell r="AI88">
            <v>12750000</v>
          </cell>
          <cell r="AJ88">
            <v>0</v>
          </cell>
          <cell r="AK88">
            <v>6300000</v>
          </cell>
          <cell r="AL88">
            <v>1150000000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255000000</v>
          </cell>
          <cell r="AS88">
            <v>0</v>
          </cell>
          <cell r="AT88">
            <v>85200000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25000000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</row>
        <row r="90">
          <cell r="AA90">
            <v>0</v>
          </cell>
          <cell r="AH90">
            <v>58000000</v>
          </cell>
          <cell r="AI90">
            <v>8700000</v>
          </cell>
          <cell r="AJ90">
            <v>0</v>
          </cell>
          <cell r="AK90">
            <v>10000000</v>
          </cell>
          <cell r="AL90">
            <v>0</v>
          </cell>
          <cell r="AM90">
            <v>327937800</v>
          </cell>
          <cell r="AN90">
            <v>8700000</v>
          </cell>
          <cell r="AO90">
            <v>0</v>
          </cell>
          <cell r="AP90">
            <v>0</v>
          </cell>
          <cell r="AQ90">
            <v>0</v>
          </cell>
          <cell r="AR90">
            <v>170000000</v>
          </cell>
          <cell r="AS90">
            <v>0</v>
          </cell>
          <cell r="AT90">
            <v>102000000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</row>
        <row r="91">
          <cell r="AY91">
            <v>1120000000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</row>
        <row r="92">
          <cell r="AZ92">
            <v>0</v>
          </cell>
          <cell r="BA92">
            <v>0</v>
          </cell>
          <cell r="BB92">
            <v>0</v>
          </cell>
          <cell r="BC92">
            <v>63611266.740000002</v>
          </cell>
          <cell r="BD92">
            <v>0</v>
          </cell>
        </row>
      </sheetData>
      <sheetData sheetId="11"/>
      <sheetData sheetId="12">
        <row r="13">
          <cell r="D13">
            <v>2975000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6500000</v>
          </cell>
          <cell r="K13">
            <v>10000000</v>
          </cell>
          <cell r="L13">
            <v>10000000</v>
          </cell>
          <cell r="M13">
            <v>17000000</v>
          </cell>
          <cell r="N13">
            <v>25000000</v>
          </cell>
          <cell r="O13">
            <v>53000000</v>
          </cell>
          <cell r="P13">
            <v>51000000</v>
          </cell>
          <cell r="Q13">
            <v>85000000</v>
          </cell>
          <cell r="R13">
            <v>42500000</v>
          </cell>
          <cell r="S13">
            <v>28900000</v>
          </cell>
          <cell r="T13">
            <v>0</v>
          </cell>
          <cell r="U13">
            <v>0</v>
          </cell>
        </row>
        <row r="14">
          <cell r="D14">
            <v>3500000</v>
          </cell>
          <cell r="E14">
            <v>3500000</v>
          </cell>
          <cell r="F14">
            <v>3500000</v>
          </cell>
          <cell r="G14">
            <v>3500000</v>
          </cell>
          <cell r="H14">
            <v>5000000</v>
          </cell>
          <cell r="I14">
            <v>5000000</v>
          </cell>
          <cell r="J14">
            <v>6500000</v>
          </cell>
          <cell r="K14">
            <v>8500000</v>
          </cell>
          <cell r="L14">
            <v>8500000</v>
          </cell>
          <cell r="M14">
            <v>20000000</v>
          </cell>
          <cell r="N14">
            <v>25000000</v>
          </cell>
          <cell r="O14">
            <v>53000000</v>
          </cell>
          <cell r="P14">
            <v>51000000</v>
          </cell>
          <cell r="Q14">
            <v>85000000</v>
          </cell>
          <cell r="R14">
            <v>42500000</v>
          </cell>
          <cell r="S14">
            <v>28900000</v>
          </cell>
          <cell r="T14">
            <v>0</v>
          </cell>
          <cell r="U14">
            <v>0</v>
          </cell>
        </row>
        <row r="15">
          <cell r="D15">
            <v>3500000</v>
          </cell>
          <cell r="E15">
            <v>3500000</v>
          </cell>
          <cell r="F15">
            <v>3500000</v>
          </cell>
          <cell r="G15">
            <v>2975000</v>
          </cell>
          <cell r="H15">
            <v>5000000</v>
          </cell>
          <cell r="I15">
            <v>5000000</v>
          </cell>
          <cell r="J15">
            <v>6500000</v>
          </cell>
          <cell r="K15">
            <v>10000000</v>
          </cell>
          <cell r="L15">
            <v>8500000</v>
          </cell>
          <cell r="M15">
            <v>17000000</v>
          </cell>
          <cell r="N15">
            <v>25000000</v>
          </cell>
          <cell r="O15">
            <v>45050000</v>
          </cell>
          <cell r="P15">
            <v>51000000</v>
          </cell>
          <cell r="Q15">
            <v>85000000</v>
          </cell>
          <cell r="R15">
            <v>42500000</v>
          </cell>
          <cell r="S15">
            <v>0</v>
          </cell>
          <cell r="T15">
            <v>0</v>
          </cell>
          <cell r="U15">
            <v>0</v>
          </cell>
        </row>
        <row r="16">
          <cell r="D16">
            <v>3500000</v>
          </cell>
          <cell r="E16">
            <v>3500000</v>
          </cell>
          <cell r="F16">
            <v>3500000</v>
          </cell>
          <cell r="G16">
            <v>3500000</v>
          </cell>
          <cell r="H16">
            <v>5000000</v>
          </cell>
          <cell r="I16">
            <v>5000000</v>
          </cell>
          <cell r="J16">
            <v>6500000</v>
          </cell>
          <cell r="K16">
            <v>8500000</v>
          </cell>
          <cell r="L16">
            <v>10000000</v>
          </cell>
          <cell r="M16">
            <v>20000000</v>
          </cell>
          <cell r="N16">
            <v>21250000</v>
          </cell>
          <cell r="O16">
            <v>45050000</v>
          </cell>
          <cell r="P16">
            <v>51000000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</row>
        <row r="17">
          <cell r="D17">
            <v>3500000</v>
          </cell>
          <cell r="E17">
            <v>3500000</v>
          </cell>
          <cell r="F17">
            <v>3500000</v>
          </cell>
          <cell r="G17">
            <v>3500000</v>
          </cell>
          <cell r="H17">
            <v>5000000</v>
          </cell>
          <cell r="I17">
            <v>5000000</v>
          </cell>
          <cell r="J17">
            <v>5525000</v>
          </cell>
          <cell r="K17">
            <v>10000000</v>
          </cell>
          <cell r="L17">
            <v>10000000</v>
          </cell>
          <cell r="M17">
            <v>20000000</v>
          </cell>
          <cell r="N17">
            <v>25000000</v>
          </cell>
          <cell r="O17">
            <v>45050000</v>
          </cell>
          <cell r="P17">
            <v>51000000</v>
          </cell>
          <cell r="Q17">
            <v>85000000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</row>
        <row r="18">
          <cell r="D18">
            <v>3500000</v>
          </cell>
          <cell r="E18">
            <v>2975000</v>
          </cell>
          <cell r="F18">
            <v>2975000</v>
          </cell>
          <cell r="G18">
            <v>2975000</v>
          </cell>
          <cell r="H18">
            <v>4250000</v>
          </cell>
          <cell r="I18">
            <v>4250000</v>
          </cell>
          <cell r="J18">
            <v>5525000</v>
          </cell>
          <cell r="K18">
            <v>0</v>
          </cell>
          <cell r="L18">
            <v>0</v>
          </cell>
          <cell r="M18">
            <v>0</v>
          </cell>
          <cell r="N18">
            <v>25000000</v>
          </cell>
          <cell r="O18">
            <v>53000000</v>
          </cell>
          <cell r="P18">
            <v>60000000</v>
          </cell>
          <cell r="Q18">
            <v>85000000</v>
          </cell>
          <cell r="R18">
            <v>42500000</v>
          </cell>
          <cell r="S18">
            <v>28900000</v>
          </cell>
          <cell r="T18">
            <v>0</v>
          </cell>
          <cell r="U18">
            <v>0</v>
          </cell>
        </row>
        <row r="19">
          <cell r="D19">
            <v>3500000</v>
          </cell>
          <cell r="E19">
            <v>3500000</v>
          </cell>
          <cell r="F19">
            <v>3500000</v>
          </cell>
          <cell r="G19">
            <v>3500000</v>
          </cell>
          <cell r="H19">
            <v>5000000</v>
          </cell>
          <cell r="I19">
            <v>5000000</v>
          </cell>
          <cell r="J19">
            <v>6500000</v>
          </cell>
          <cell r="K19">
            <v>10000000</v>
          </cell>
          <cell r="L19">
            <v>0</v>
          </cell>
          <cell r="M19">
            <v>0</v>
          </cell>
          <cell r="N19">
            <v>21250000</v>
          </cell>
          <cell r="O19">
            <v>45050000</v>
          </cell>
          <cell r="P19">
            <v>51000000</v>
          </cell>
          <cell r="Q19">
            <v>85000000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</row>
        <row r="20">
          <cell r="D20">
            <v>3500000</v>
          </cell>
          <cell r="E20">
            <v>3500000</v>
          </cell>
          <cell r="F20">
            <v>3500000</v>
          </cell>
          <cell r="G20">
            <v>3500000</v>
          </cell>
          <cell r="H20">
            <v>5000000</v>
          </cell>
          <cell r="I20">
            <v>5000000</v>
          </cell>
          <cell r="J20">
            <v>6500000</v>
          </cell>
          <cell r="K20">
            <v>10000000</v>
          </cell>
          <cell r="L20">
            <v>10000000</v>
          </cell>
          <cell r="M20">
            <v>20000000</v>
          </cell>
          <cell r="N20">
            <v>21250000</v>
          </cell>
          <cell r="O20">
            <v>45050000</v>
          </cell>
          <cell r="P20">
            <v>51000000</v>
          </cell>
          <cell r="Q20">
            <v>85000000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</row>
        <row r="21">
          <cell r="D21">
            <v>3500000</v>
          </cell>
          <cell r="E21">
            <v>3500000</v>
          </cell>
          <cell r="F21">
            <v>3500000</v>
          </cell>
          <cell r="G21">
            <v>2975000</v>
          </cell>
          <cell r="H21">
            <v>4250000</v>
          </cell>
          <cell r="I21">
            <v>4250000</v>
          </cell>
          <cell r="J21">
            <v>6500000</v>
          </cell>
          <cell r="K21">
            <v>10000000</v>
          </cell>
          <cell r="L21">
            <v>10000000</v>
          </cell>
          <cell r="M21">
            <v>20000000</v>
          </cell>
          <cell r="N21">
            <v>21250000</v>
          </cell>
          <cell r="O21">
            <v>45050000</v>
          </cell>
          <cell r="P21">
            <v>51000000</v>
          </cell>
          <cell r="Q21">
            <v>85000000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</row>
        <row r="22">
          <cell r="D22">
            <v>3500000</v>
          </cell>
          <cell r="E22">
            <v>3500000</v>
          </cell>
          <cell r="F22">
            <v>3500000</v>
          </cell>
          <cell r="G22">
            <v>3500000</v>
          </cell>
          <cell r="H22">
            <v>5000000</v>
          </cell>
          <cell r="I22">
            <v>5000000</v>
          </cell>
          <cell r="J22">
            <v>5525000</v>
          </cell>
          <cell r="K22">
            <v>8500000</v>
          </cell>
          <cell r="L22">
            <v>8500000</v>
          </cell>
          <cell r="M22">
            <v>20000000</v>
          </cell>
          <cell r="N22">
            <v>25000000</v>
          </cell>
          <cell r="O22">
            <v>53000000</v>
          </cell>
          <cell r="P22">
            <v>51000000</v>
          </cell>
          <cell r="Q22">
            <v>85000000</v>
          </cell>
          <cell r="R22">
            <v>42500000</v>
          </cell>
          <cell r="S22">
            <v>28900000</v>
          </cell>
          <cell r="T22">
            <v>0</v>
          </cell>
          <cell r="U22">
            <v>0</v>
          </cell>
        </row>
        <row r="23">
          <cell r="D23">
            <v>3500000</v>
          </cell>
          <cell r="E23">
            <v>3500000</v>
          </cell>
          <cell r="F23">
            <v>3500000</v>
          </cell>
          <cell r="G23">
            <v>3500000</v>
          </cell>
          <cell r="H23">
            <v>4250000</v>
          </cell>
          <cell r="I23">
            <v>4250000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</row>
        <row r="24">
          <cell r="D24">
            <v>3500000</v>
          </cell>
          <cell r="E24">
            <v>3500000</v>
          </cell>
          <cell r="F24">
            <v>3500000</v>
          </cell>
          <cell r="G24">
            <v>3500000</v>
          </cell>
          <cell r="H24">
            <v>5000000</v>
          </cell>
          <cell r="I24">
            <v>5000000</v>
          </cell>
          <cell r="J24">
            <v>6500000</v>
          </cell>
          <cell r="K24">
            <v>10000000</v>
          </cell>
          <cell r="L24">
            <v>10000000</v>
          </cell>
          <cell r="M24">
            <v>20000000</v>
          </cell>
          <cell r="N24">
            <v>25000000</v>
          </cell>
          <cell r="O24">
            <v>45050000</v>
          </cell>
          <cell r="P24">
            <v>51000000</v>
          </cell>
          <cell r="Q24">
            <v>85000000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</row>
        <row r="25">
          <cell r="D25">
            <v>3500000</v>
          </cell>
          <cell r="E25">
            <v>3500000</v>
          </cell>
          <cell r="F25">
            <v>3500000</v>
          </cell>
          <cell r="G25">
            <v>3500000</v>
          </cell>
          <cell r="H25">
            <v>5000000</v>
          </cell>
          <cell r="I25">
            <v>5000000</v>
          </cell>
          <cell r="J25">
            <v>6500000</v>
          </cell>
          <cell r="K25">
            <v>10000000</v>
          </cell>
          <cell r="L25">
            <v>10000000</v>
          </cell>
          <cell r="M25">
            <v>20000000</v>
          </cell>
          <cell r="N25">
            <v>25000000</v>
          </cell>
          <cell r="O25">
            <v>45050000</v>
          </cell>
          <cell r="P25">
            <v>51000000</v>
          </cell>
          <cell r="Q25">
            <v>85000000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</row>
        <row r="26">
          <cell r="D26">
            <v>3500000</v>
          </cell>
          <cell r="E26">
            <v>3500000</v>
          </cell>
          <cell r="F26">
            <v>3500000</v>
          </cell>
          <cell r="G26">
            <v>3500000</v>
          </cell>
          <cell r="H26">
            <v>5000000</v>
          </cell>
          <cell r="I26">
            <v>5000000</v>
          </cell>
          <cell r="J26">
            <v>6500000</v>
          </cell>
          <cell r="K26">
            <v>8500000</v>
          </cell>
          <cell r="L26">
            <v>8500000</v>
          </cell>
          <cell r="M26">
            <v>17000000</v>
          </cell>
          <cell r="N26">
            <v>25000000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</row>
        <row r="27">
          <cell r="D27">
            <v>3500000</v>
          </cell>
          <cell r="E27">
            <v>3500000</v>
          </cell>
          <cell r="F27">
            <v>3500000</v>
          </cell>
          <cell r="G27">
            <v>3500000</v>
          </cell>
          <cell r="H27">
            <v>5000000</v>
          </cell>
          <cell r="I27">
            <v>5000000</v>
          </cell>
          <cell r="J27">
            <v>6500000</v>
          </cell>
          <cell r="K27">
            <v>8500000</v>
          </cell>
          <cell r="L27">
            <v>10000000</v>
          </cell>
          <cell r="M27">
            <v>20000000</v>
          </cell>
          <cell r="N27">
            <v>25000000</v>
          </cell>
          <cell r="O27">
            <v>53000000</v>
          </cell>
          <cell r="P27">
            <v>60000000</v>
          </cell>
          <cell r="Q27">
            <v>100000000</v>
          </cell>
          <cell r="R27">
            <v>50000000</v>
          </cell>
          <cell r="S27">
            <v>34000000</v>
          </cell>
          <cell r="T27">
            <v>0</v>
          </cell>
          <cell r="U27">
            <v>0</v>
          </cell>
        </row>
        <row r="28">
          <cell r="D28">
            <v>3500000</v>
          </cell>
          <cell r="E28">
            <v>3500000</v>
          </cell>
          <cell r="F28">
            <v>3500000</v>
          </cell>
          <cell r="G28">
            <v>3500000</v>
          </cell>
          <cell r="H28">
            <v>5000000</v>
          </cell>
          <cell r="I28">
            <v>5000000</v>
          </cell>
          <cell r="J28">
            <v>6500000</v>
          </cell>
          <cell r="K28">
            <v>10000000</v>
          </cell>
          <cell r="L28">
            <v>10000000</v>
          </cell>
          <cell r="M28">
            <v>20000000</v>
          </cell>
          <cell r="N28">
            <v>21250000</v>
          </cell>
          <cell r="O28">
            <v>45050000</v>
          </cell>
          <cell r="P28">
            <v>51000000</v>
          </cell>
          <cell r="Q28">
            <v>85000000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D29">
            <v>3500000</v>
          </cell>
          <cell r="E29">
            <v>3500000</v>
          </cell>
          <cell r="F29">
            <v>3500000</v>
          </cell>
          <cell r="G29">
            <v>3500000</v>
          </cell>
          <cell r="H29">
            <v>5000000</v>
          </cell>
          <cell r="I29">
            <v>5000000</v>
          </cell>
          <cell r="J29">
            <v>6500000</v>
          </cell>
          <cell r="K29">
            <v>10000000</v>
          </cell>
          <cell r="L29">
            <v>0</v>
          </cell>
          <cell r="M29">
            <v>0</v>
          </cell>
          <cell r="N29">
            <v>25000000</v>
          </cell>
          <cell r="O29">
            <v>53000000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</row>
        <row r="30">
          <cell r="D30">
            <v>3500000</v>
          </cell>
          <cell r="E30">
            <v>3500000</v>
          </cell>
          <cell r="F30">
            <v>3500000</v>
          </cell>
          <cell r="G30">
            <v>3500000</v>
          </cell>
          <cell r="H30">
            <v>5000000</v>
          </cell>
          <cell r="I30">
            <v>5000000</v>
          </cell>
          <cell r="J30">
            <v>6500000</v>
          </cell>
          <cell r="K30">
            <v>10000000</v>
          </cell>
          <cell r="L30">
            <v>10000000</v>
          </cell>
          <cell r="M30">
            <v>20000000</v>
          </cell>
          <cell r="N30">
            <v>25000000</v>
          </cell>
          <cell r="O30">
            <v>53000000</v>
          </cell>
          <cell r="P30">
            <v>60000000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</row>
        <row r="31">
          <cell r="D31">
            <v>3500000</v>
          </cell>
          <cell r="E31">
            <v>3500000</v>
          </cell>
          <cell r="F31">
            <v>3500000</v>
          </cell>
          <cell r="G31">
            <v>3500000</v>
          </cell>
          <cell r="H31">
            <v>5000000</v>
          </cell>
          <cell r="I31">
            <v>5000000</v>
          </cell>
          <cell r="J31">
            <v>6500000</v>
          </cell>
          <cell r="K31">
            <v>10000000</v>
          </cell>
          <cell r="L31">
            <v>8500000</v>
          </cell>
          <cell r="M31">
            <v>17000000</v>
          </cell>
          <cell r="N31">
            <v>25000000</v>
          </cell>
          <cell r="O31">
            <v>53000000</v>
          </cell>
          <cell r="P31">
            <v>60000000</v>
          </cell>
          <cell r="Q31">
            <v>100000000</v>
          </cell>
          <cell r="R31">
            <v>42500000</v>
          </cell>
          <cell r="S31">
            <v>28900000</v>
          </cell>
          <cell r="T31">
            <v>0</v>
          </cell>
          <cell r="U31">
            <v>0</v>
          </cell>
        </row>
        <row r="32">
          <cell r="D32">
            <v>3500000</v>
          </cell>
          <cell r="E32">
            <v>3500000</v>
          </cell>
          <cell r="F32">
            <v>3500000</v>
          </cell>
          <cell r="G32">
            <v>3500000</v>
          </cell>
          <cell r="H32">
            <v>5000000</v>
          </cell>
          <cell r="I32">
            <v>5000000</v>
          </cell>
          <cell r="J32">
            <v>6500000</v>
          </cell>
          <cell r="K32">
            <v>10000000</v>
          </cell>
          <cell r="L32">
            <v>10000000</v>
          </cell>
          <cell r="M32">
            <v>20000000</v>
          </cell>
          <cell r="N32">
            <v>25000000</v>
          </cell>
          <cell r="O32">
            <v>53000000</v>
          </cell>
          <cell r="P32">
            <v>51000000</v>
          </cell>
          <cell r="Q32">
            <v>85000000</v>
          </cell>
          <cell r="R32">
            <v>42500000</v>
          </cell>
          <cell r="S32">
            <v>0</v>
          </cell>
          <cell r="T32">
            <v>0</v>
          </cell>
          <cell r="U32">
            <v>0</v>
          </cell>
        </row>
        <row r="33">
          <cell r="D33">
            <v>3500000</v>
          </cell>
          <cell r="E33">
            <v>3500000</v>
          </cell>
          <cell r="F33">
            <v>2975000</v>
          </cell>
          <cell r="G33">
            <v>2975000</v>
          </cell>
          <cell r="H33">
            <v>4250000</v>
          </cell>
          <cell r="I33">
            <v>4250000</v>
          </cell>
          <cell r="J33">
            <v>5525000</v>
          </cell>
          <cell r="K33">
            <v>8500000</v>
          </cell>
          <cell r="L33">
            <v>10000000</v>
          </cell>
          <cell r="M33">
            <v>20000000</v>
          </cell>
          <cell r="N33">
            <v>25000000</v>
          </cell>
          <cell r="O33">
            <v>45050000</v>
          </cell>
          <cell r="P33">
            <v>51000000</v>
          </cell>
          <cell r="Q33">
            <v>85000000</v>
          </cell>
          <cell r="R33">
            <v>42500000</v>
          </cell>
          <cell r="S33">
            <v>0</v>
          </cell>
          <cell r="T33">
            <v>0</v>
          </cell>
          <cell r="U33">
            <v>0</v>
          </cell>
        </row>
        <row r="34">
          <cell r="D34">
            <v>3500000</v>
          </cell>
          <cell r="E34">
            <v>3500000</v>
          </cell>
          <cell r="F34">
            <v>3500000</v>
          </cell>
          <cell r="G34">
            <v>3500000</v>
          </cell>
          <cell r="H34">
            <v>5000000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21250000</v>
          </cell>
          <cell r="O34">
            <v>45050000</v>
          </cell>
          <cell r="P34">
            <v>51000000</v>
          </cell>
          <cell r="Q34">
            <v>85000000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</row>
        <row r="35">
          <cell r="D35">
            <v>3500000</v>
          </cell>
          <cell r="E35">
            <v>2975000</v>
          </cell>
          <cell r="F35">
            <v>2975000</v>
          </cell>
          <cell r="G35">
            <v>2975000</v>
          </cell>
          <cell r="H35">
            <v>4250000</v>
          </cell>
          <cell r="I35">
            <v>5000000</v>
          </cell>
          <cell r="J35">
            <v>6500000</v>
          </cell>
          <cell r="K35">
            <v>10000000</v>
          </cell>
          <cell r="L35">
            <v>10000000</v>
          </cell>
          <cell r="M35">
            <v>20000000</v>
          </cell>
          <cell r="N35">
            <v>25000000</v>
          </cell>
          <cell r="O35">
            <v>45050000</v>
          </cell>
          <cell r="P35">
            <v>51000000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</row>
        <row r="36">
          <cell r="D36">
            <v>3500000</v>
          </cell>
          <cell r="E36">
            <v>3500000</v>
          </cell>
          <cell r="F36">
            <v>3500000</v>
          </cell>
          <cell r="G36">
            <v>3500000</v>
          </cell>
          <cell r="H36">
            <v>5000000</v>
          </cell>
          <cell r="I36">
            <v>5000000</v>
          </cell>
          <cell r="J36">
            <v>6500000</v>
          </cell>
          <cell r="K36">
            <v>10000000</v>
          </cell>
          <cell r="L36">
            <v>10000000</v>
          </cell>
          <cell r="M36">
            <v>20000000</v>
          </cell>
          <cell r="N36">
            <v>21250000</v>
          </cell>
          <cell r="O36">
            <v>45050000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</row>
        <row r="37">
          <cell r="D37">
            <v>3500000</v>
          </cell>
          <cell r="E37">
            <v>3500000</v>
          </cell>
          <cell r="F37">
            <v>3500000</v>
          </cell>
          <cell r="G37">
            <v>3500000</v>
          </cell>
          <cell r="H37">
            <v>5000000</v>
          </cell>
          <cell r="I37">
            <v>5000000</v>
          </cell>
          <cell r="J37">
            <v>6500000</v>
          </cell>
          <cell r="K37">
            <v>10000000</v>
          </cell>
          <cell r="L37">
            <v>8500000</v>
          </cell>
          <cell r="M37">
            <v>17000000</v>
          </cell>
          <cell r="N37">
            <v>21250000</v>
          </cell>
          <cell r="O37">
            <v>45050000</v>
          </cell>
          <cell r="P37">
            <v>51000000</v>
          </cell>
          <cell r="Q37">
            <v>0</v>
          </cell>
          <cell r="R37">
            <v>0</v>
          </cell>
          <cell r="S37">
            <v>28900000</v>
          </cell>
          <cell r="T37">
            <v>0</v>
          </cell>
          <cell r="U37">
            <v>0</v>
          </cell>
        </row>
        <row r="38">
          <cell r="D38">
            <v>3500000</v>
          </cell>
          <cell r="E38">
            <v>3500000</v>
          </cell>
          <cell r="F38">
            <v>3500000</v>
          </cell>
          <cell r="G38">
            <v>3500000</v>
          </cell>
          <cell r="H38">
            <v>5000000</v>
          </cell>
          <cell r="I38">
            <v>5000000</v>
          </cell>
          <cell r="J38">
            <v>6500000</v>
          </cell>
          <cell r="K38">
            <v>10000000</v>
          </cell>
          <cell r="L38">
            <v>10000000</v>
          </cell>
          <cell r="M38">
            <v>20000000</v>
          </cell>
          <cell r="N38">
            <v>25000000</v>
          </cell>
          <cell r="O38">
            <v>53000000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</row>
        <row r="39">
          <cell r="D39">
            <v>3500000</v>
          </cell>
          <cell r="E39">
            <v>2975000</v>
          </cell>
          <cell r="F39">
            <v>3500000</v>
          </cell>
          <cell r="G39">
            <v>3500000</v>
          </cell>
          <cell r="H39">
            <v>4250000</v>
          </cell>
          <cell r="I39">
            <v>4250000</v>
          </cell>
          <cell r="J39">
            <v>5525000</v>
          </cell>
          <cell r="K39">
            <v>0</v>
          </cell>
          <cell r="L39">
            <v>0</v>
          </cell>
          <cell r="M39">
            <v>0</v>
          </cell>
          <cell r="N39">
            <v>25000000</v>
          </cell>
          <cell r="O39">
            <v>53000000</v>
          </cell>
          <cell r="P39">
            <v>60000000</v>
          </cell>
          <cell r="Q39">
            <v>100000000</v>
          </cell>
          <cell r="R39">
            <v>42500000</v>
          </cell>
          <cell r="S39">
            <v>28900000</v>
          </cell>
          <cell r="T39">
            <v>0</v>
          </cell>
          <cell r="U39">
            <v>0</v>
          </cell>
        </row>
        <row r="40">
          <cell r="D40">
            <v>3500000</v>
          </cell>
          <cell r="E40">
            <v>3500000</v>
          </cell>
          <cell r="F40">
            <v>3500000</v>
          </cell>
          <cell r="G40">
            <v>3500000</v>
          </cell>
          <cell r="H40">
            <v>4250000</v>
          </cell>
          <cell r="I40">
            <v>4250000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21250000</v>
          </cell>
          <cell r="O40">
            <v>45050000</v>
          </cell>
          <cell r="P40">
            <v>51000000</v>
          </cell>
          <cell r="Q40">
            <v>85000000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</row>
        <row r="41">
          <cell r="D41">
            <v>3500000</v>
          </cell>
          <cell r="E41">
            <v>3500000</v>
          </cell>
          <cell r="F41">
            <v>3500000</v>
          </cell>
          <cell r="G41">
            <v>3500000</v>
          </cell>
          <cell r="H41">
            <v>5000000</v>
          </cell>
          <cell r="I41">
            <v>5000000</v>
          </cell>
          <cell r="J41">
            <v>6500000</v>
          </cell>
          <cell r="K41">
            <v>10000000</v>
          </cell>
          <cell r="L41">
            <v>8500000</v>
          </cell>
          <cell r="M41">
            <v>17000000</v>
          </cell>
          <cell r="N41">
            <v>21250000</v>
          </cell>
          <cell r="O41">
            <v>53000000</v>
          </cell>
          <cell r="P41">
            <v>0</v>
          </cell>
          <cell r="Q41">
            <v>100000000</v>
          </cell>
          <cell r="R41">
            <v>0</v>
          </cell>
          <cell r="S41">
            <v>28900000</v>
          </cell>
          <cell r="T41">
            <v>0</v>
          </cell>
          <cell r="U41">
            <v>0</v>
          </cell>
        </row>
        <row r="42">
          <cell r="D42">
            <v>3500000</v>
          </cell>
          <cell r="E42">
            <v>3500000</v>
          </cell>
          <cell r="F42">
            <v>3500000</v>
          </cell>
          <cell r="G42">
            <v>3500000</v>
          </cell>
          <cell r="H42">
            <v>5000000</v>
          </cell>
          <cell r="I42">
            <v>5000000</v>
          </cell>
          <cell r="J42">
            <v>6500000</v>
          </cell>
          <cell r="K42">
            <v>10000000</v>
          </cell>
          <cell r="L42">
            <v>10000000</v>
          </cell>
          <cell r="M42">
            <v>20000000</v>
          </cell>
          <cell r="N42">
            <v>25000000</v>
          </cell>
          <cell r="O42">
            <v>53000000</v>
          </cell>
          <cell r="P42">
            <v>51000000</v>
          </cell>
          <cell r="Q42">
            <v>85000000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</row>
        <row r="43">
          <cell r="D43">
            <v>3500000</v>
          </cell>
          <cell r="E43">
            <v>3500000</v>
          </cell>
          <cell r="F43">
            <v>3500000</v>
          </cell>
          <cell r="G43">
            <v>3500000</v>
          </cell>
          <cell r="H43">
            <v>5000000</v>
          </cell>
          <cell r="I43">
            <v>5000000</v>
          </cell>
          <cell r="J43">
            <v>6500000</v>
          </cell>
          <cell r="K43">
            <v>10000000</v>
          </cell>
          <cell r="L43">
            <v>0</v>
          </cell>
          <cell r="M43">
            <v>0</v>
          </cell>
          <cell r="N43">
            <v>21250000</v>
          </cell>
          <cell r="O43">
            <v>45050000</v>
          </cell>
          <cell r="P43">
            <v>0</v>
          </cell>
          <cell r="Q43">
            <v>85000000</v>
          </cell>
          <cell r="R43">
            <v>0</v>
          </cell>
          <cell r="S43">
            <v>28900000</v>
          </cell>
          <cell r="T43">
            <v>0</v>
          </cell>
          <cell r="U43">
            <v>0</v>
          </cell>
        </row>
        <row r="44">
          <cell r="D44">
            <v>3500000</v>
          </cell>
          <cell r="E44">
            <v>3500000</v>
          </cell>
          <cell r="F44">
            <v>2975000</v>
          </cell>
          <cell r="G44">
            <v>2975000</v>
          </cell>
          <cell r="H44">
            <v>4250000</v>
          </cell>
          <cell r="I44">
            <v>5000000</v>
          </cell>
          <cell r="J44">
            <v>6500000</v>
          </cell>
          <cell r="K44">
            <v>10000000</v>
          </cell>
          <cell r="L44">
            <v>10000000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</row>
        <row r="45">
          <cell r="D45">
            <v>3500000</v>
          </cell>
          <cell r="E45">
            <v>3500000</v>
          </cell>
          <cell r="F45">
            <v>3500000</v>
          </cell>
          <cell r="G45">
            <v>2550000</v>
          </cell>
          <cell r="H45">
            <v>4250000</v>
          </cell>
          <cell r="I45">
            <v>4250000</v>
          </cell>
          <cell r="J45">
            <v>6500000</v>
          </cell>
          <cell r="K45">
            <v>10000000</v>
          </cell>
          <cell r="L45">
            <v>10000000</v>
          </cell>
          <cell r="M45">
            <v>20000000</v>
          </cell>
          <cell r="N45">
            <v>25000000</v>
          </cell>
          <cell r="O45">
            <v>53000000</v>
          </cell>
          <cell r="P45">
            <v>60000000</v>
          </cell>
          <cell r="Q45">
            <v>100000000</v>
          </cell>
          <cell r="R45">
            <v>50000000</v>
          </cell>
          <cell r="S45">
            <v>34000000</v>
          </cell>
          <cell r="T45">
            <v>0</v>
          </cell>
          <cell r="U45">
            <v>0</v>
          </cell>
        </row>
        <row r="46">
          <cell r="D46">
            <v>3500000</v>
          </cell>
          <cell r="E46">
            <v>3500000</v>
          </cell>
          <cell r="F46">
            <v>3500000</v>
          </cell>
          <cell r="G46">
            <v>3500000</v>
          </cell>
          <cell r="H46">
            <v>5000000</v>
          </cell>
          <cell r="I46">
            <v>5000000</v>
          </cell>
          <cell r="J46">
            <v>6500000</v>
          </cell>
          <cell r="K46">
            <v>10000000</v>
          </cell>
          <cell r="L46">
            <v>10000000</v>
          </cell>
          <cell r="M46">
            <v>20000000</v>
          </cell>
          <cell r="N46">
            <v>21250000</v>
          </cell>
          <cell r="O46">
            <v>45050000</v>
          </cell>
          <cell r="P46">
            <v>51000000</v>
          </cell>
          <cell r="Q46">
            <v>85000000</v>
          </cell>
          <cell r="R46">
            <v>42500000</v>
          </cell>
          <cell r="S46">
            <v>0</v>
          </cell>
          <cell r="T46">
            <v>0</v>
          </cell>
          <cell r="U46">
            <v>0</v>
          </cell>
        </row>
        <row r="47">
          <cell r="D47">
            <v>3500000</v>
          </cell>
          <cell r="E47">
            <v>3500000</v>
          </cell>
          <cell r="F47">
            <v>3500000</v>
          </cell>
          <cell r="G47">
            <v>3500000</v>
          </cell>
          <cell r="H47">
            <v>5000000</v>
          </cell>
          <cell r="I47">
            <v>5000000</v>
          </cell>
          <cell r="J47">
            <v>5525000</v>
          </cell>
          <cell r="K47">
            <v>8500000</v>
          </cell>
          <cell r="L47">
            <v>8500000</v>
          </cell>
          <cell r="M47">
            <v>17000000</v>
          </cell>
          <cell r="N47">
            <v>21250000</v>
          </cell>
          <cell r="O47">
            <v>45050000</v>
          </cell>
          <cell r="P47">
            <v>51000000</v>
          </cell>
          <cell r="Q47">
            <v>85000000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</row>
        <row r="48">
          <cell r="D48">
            <v>3500000</v>
          </cell>
          <cell r="E48">
            <v>3500000</v>
          </cell>
          <cell r="F48">
            <v>3500000</v>
          </cell>
          <cell r="G48">
            <v>3500000</v>
          </cell>
          <cell r="H48">
            <v>5000000</v>
          </cell>
          <cell r="I48">
            <v>5000000</v>
          </cell>
          <cell r="J48">
            <v>6500000</v>
          </cell>
          <cell r="K48">
            <v>10000000</v>
          </cell>
          <cell r="L48">
            <v>10000000</v>
          </cell>
          <cell r="M48">
            <v>20000000</v>
          </cell>
          <cell r="N48">
            <v>25000000</v>
          </cell>
          <cell r="O48">
            <v>53000000</v>
          </cell>
          <cell r="P48">
            <v>51000000</v>
          </cell>
          <cell r="Q48">
            <v>85000000</v>
          </cell>
          <cell r="R48">
            <v>42500000</v>
          </cell>
          <cell r="S48">
            <v>0</v>
          </cell>
          <cell r="T48">
            <v>0</v>
          </cell>
          <cell r="U48">
            <v>0</v>
          </cell>
        </row>
        <row r="49">
          <cell r="D49">
            <v>3500000</v>
          </cell>
          <cell r="E49">
            <v>3500000</v>
          </cell>
          <cell r="F49">
            <v>3500000</v>
          </cell>
          <cell r="G49">
            <v>3500000</v>
          </cell>
          <cell r="H49">
            <v>5000000</v>
          </cell>
          <cell r="I49">
            <v>5000000</v>
          </cell>
          <cell r="J49">
            <v>6500000</v>
          </cell>
          <cell r="K49">
            <v>10000000</v>
          </cell>
          <cell r="L49">
            <v>10000000</v>
          </cell>
          <cell r="M49">
            <v>20000000</v>
          </cell>
          <cell r="N49">
            <v>21250000</v>
          </cell>
          <cell r="O49">
            <v>45050000</v>
          </cell>
          <cell r="P49">
            <v>51000000</v>
          </cell>
          <cell r="Q49">
            <v>85000000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</row>
        <row r="50">
          <cell r="D50">
            <v>3500000</v>
          </cell>
          <cell r="E50">
            <v>3500000</v>
          </cell>
          <cell r="F50">
            <v>3500000</v>
          </cell>
          <cell r="G50">
            <v>3500000</v>
          </cell>
          <cell r="H50">
            <v>5000000</v>
          </cell>
          <cell r="I50">
            <v>5000000</v>
          </cell>
          <cell r="J50">
            <v>6500000</v>
          </cell>
          <cell r="K50">
            <v>10000000</v>
          </cell>
          <cell r="L50">
            <v>8500000</v>
          </cell>
          <cell r="M50">
            <v>17000000</v>
          </cell>
          <cell r="N50">
            <v>25000000</v>
          </cell>
          <cell r="O50">
            <v>53000000</v>
          </cell>
          <cell r="P50">
            <v>51000000</v>
          </cell>
          <cell r="Q50">
            <v>85000000</v>
          </cell>
          <cell r="R50">
            <v>42500000</v>
          </cell>
          <cell r="S50">
            <v>28900000</v>
          </cell>
          <cell r="T50">
            <v>0</v>
          </cell>
          <cell r="U50">
            <v>0</v>
          </cell>
        </row>
        <row r="51">
          <cell r="D51">
            <v>3150000</v>
          </cell>
          <cell r="E51">
            <v>3500000</v>
          </cell>
          <cell r="F51">
            <v>3500000</v>
          </cell>
          <cell r="G51">
            <v>3500000</v>
          </cell>
          <cell r="H51">
            <v>5000000</v>
          </cell>
          <cell r="I51">
            <v>5000000</v>
          </cell>
          <cell r="J51">
            <v>6500000</v>
          </cell>
          <cell r="K51">
            <v>10000000</v>
          </cell>
          <cell r="L51">
            <v>4500000</v>
          </cell>
          <cell r="M51">
            <v>0</v>
          </cell>
          <cell r="N51">
            <v>25000000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</row>
        <row r="52">
          <cell r="D52">
            <v>3500000</v>
          </cell>
          <cell r="E52">
            <v>3500000</v>
          </cell>
          <cell r="F52">
            <v>3500000</v>
          </cell>
          <cell r="G52">
            <v>3500000</v>
          </cell>
          <cell r="H52">
            <v>5000000</v>
          </cell>
          <cell r="I52">
            <v>5000000</v>
          </cell>
          <cell r="J52">
            <v>6500000</v>
          </cell>
          <cell r="K52">
            <v>10000000</v>
          </cell>
          <cell r="L52">
            <v>10000000</v>
          </cell>
          <cell r="M52">
            <v>18600000</v>
          </cell>
          <cell r="N52">
            <v>21250000</v>
          </cell>
          <cell r="O52">
            <v>45050000</v>
          </cell>
          <cell r="P52">
            <v>51000000</v>
          </cell>
          <cell r="Q52">
            <v>85000000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</row>
        <row r="53">
          <cell r="D53">
            <v>3500000</v>
          </cell>
          <cell r="E53">
            <v>3500000</v>
          </cell>
          <cell r="F53">
            <v>3500000</v>
          </cell>
          <cell r="G53">
            <v>3500000</v>
          </cell>
          <cell r="H53">
            <v>5000000</v>
          </cell>
          <cell r="I53">
            <v>5000000</v>
          </cell>
          <cell r="J53">
            <v>6500000</v>
          </cell>
          <cell r="K53">
            <v>10000000</v>
          </cell>
          <cell r="L53">
            <v>10000000</v>
          </cell>
          <cell r="M53">
            <v>20000000</v>
          </cell>
          <cell r="N53">
            <v>25000000</v>
          </cell>
          <cell r="O53">
            <v>53000000</v>
          </cell>
          <cell r="P53">
            <v>3500000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</row>
        <row r="54">
          <cell r="D54">
            <v>0</v>
          </cell>
          <cell r="E54">
            <v>0</v>
          </cell>
          <cell r="F54">
            <v>3500000</v>
          </cell>
          <cell r="G54">
            <v>3500000</v>
          </cell>
          <cell r="H54">
            <v>5000000</v>
          </cell>
          <cell r="I54">
            <v>5000000</v>
          </cell>
          <cell r="J54">
            <v>6500000</v>
          </cell>
          <cell r="K54">
            <v>10000000</v>
          </cell>
          <cell r="L54">
            <v>10000000</v>
          </cell>
          <cell r="M54">
            <v>17000000</v>
          </cell>
          <cell r="N54">
            <v>21250000</v>
          </cell>
          <cell r="O54">
            <v>45050000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</row>
        <row r="55">
          <cell r="D55">
            <v>0</v>
          </cell>
          <cell r="E55">
            <v>0</v>
          </cell>
          <cell r="F55">
            <v>3500000</v>
          </cell>
          <cell r="G55">
            <v>3500000</v>
          </cell>
          <cell r="H55">
            <v>5000000</v>
          </cell>
          <cell r="I55">
            <v>5000000</v>
          </cell>
          <cell r="J55">
            <v>6500000</v>
          </cell>
          <cell r="K55">
            <v>10000000</v>
          </cell>
          <cell r="L55">
            <v>10000000</v>
          </cell>
          <cell r="M55">
            <v>20000000</v>
          </cell>
          <cell r="N55">
            <v>25000000</v>
          </cell>
          <cell r="O55">
            <v>53000000</v>
          </cell>
          <cell r="P55">
            <v>60000000</v>
          </cell>
          <cell r="Q55">
            <v>100000000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5000000</v>
          </cell>
          <cell r="I56">
            <v>5000000</v>
          </cell>
          <cell r="J56">
            <v>6500000</v>
          </cell>
          <cell r="K56">
            <v>10000000</v>
          </cell>
          <cell r="L56">
            <v>10000000</v>
          </cell>
          <cell r="M56">
            <v>20000000</v>
          </cell>
          <cell r="N56">
            <v>25000000</v>
          </cell>
          <cell r="O56">
            <v>53000000</v>
          </cell>
          <cell r="P56">
            <v>60000000</v>
          </cell>
          <cell r="Q56">
            <v>100000000</v>
          </cell>
          <cell r="R56">
            <v>42500000</v>
          </cell>
          <cell r="S56">
            <v>28900000</v>
          </cell>
          <cell r="T56">
            <v>0</v>
          </cell>
          <cell r="U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5000000</v>
          </cell>
          <cell r="I57">
            <v>5000000</v>
          </cell>
          <cell r="J57">
            <v>6500000</v>
          </cell>
          <cell r="K57">
            <v>10000000</v>
          </cell>
          <cell r="L57">
            <v>10000000</v>
          </cell>
          <cell r="M57">
            <v>0</v>
          </cell>
          <cell r="N57">
            <v>21250000</v>
          </cell>
          <cell r="O57">
            <v>45050000</v>
          </cell>
          <cell r="P57">
            <v>51000000</v>
          </cell>
          <cell r="Q57">
            <v>85000000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5000000</v>
          </cell>
          <cell r="J58">
            <v>6500000</v>
          </cell>
          <cell r="K58">
            <v>10000000</v>
          </cell>
          <cell r="L58">
            <v>10000000</v>
          </cell>
          <cell r="M58">
            <v>20000000</v>
          </cell>
          <cell r="N58">
            <v>25000000</v>
          </cell>
          <cell r="O58">
            <v>53000000</v>
          </cell>
          <cell r="P58">
            <v>42136865.799999997</v>
          </cell>
          <cell r="Q58">
            <v>100000000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5000000</v>
          </cell>
          <cell r="J59">
            <v>6500000</v>
          </cell>
          <cell r="K59">
            <v>8500000</v>
          </cell>
          <cell r="L59">
            <v>9918115.6500000004</v>
          </cell>
          <cell r="M59">
            <v>18444197.300000001</v>
          </cell>
          <cell r="N59">
            <v>25000000</v>
          </cell>
          <cell r="O59">
            <v>53000000</v>
          </cell>
          <cell r="P59">
            <v>60000000</v>
          </cell>
          <cell r="Q59">
            <v>100000000</v>
          </cell>
          <cell r="R59">
            <v>42500000</v>
          </cell>
          <cell r="S59">
            <v>28900000</v>
          </cell>
          <cell r="T59">
            <v>0</v>
          </cell>
          <cell r="U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5000000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25000000</v>
          </cell>
          <cell r="O60">
            <v>53000000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5000000</v>
          </cell>
          <cell r="J61">
            <v>6500000</v>
          </cell>
          <cell r="K61">
            <v>10000000</v>
          </cell>
          <cell r="L61">
            <v>10000000</v>
          </cell>
          <cell r="M61">
            <v>20000000</v>
          </cell>
          <cell r="N61">
            <v>25000000</v>
          </cell>
          <cell r="O61">
            <v>53000000</v>
          </cell>
          <cell r="P61">
            <v>60000000</v>
          </cell>
          <cell r="Q61">
            <v>85000000</v>
          </cell>
          <cell r="R61">
            <v>42500000</v>
          </cell>
          <cell r="S61">
            <v>28900000</v>
          </cell>
          <cell r="T61">
            <v>0</v>
          </cell>
          <cell r="U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5000000</v>
          </cell>
          <cell r="J62">
            <v>6500000</v>
          </cell>
          <cell r="K62">
            <v>10000000</v>
          </cell>
          <cell r="L62">
            <v>10000000</v>
          </cell>
          <cell r="M62">
            <v>0</v>
          </cell>
          <cell r="N62">
            <v>0</v>
          </cell>
          <cell r="O62">
            <v>0</v>
          </cell>
          <cell r="P62">
            <v>60000000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6500000</v>
          </cell>
          <cell r="K63">
            <v>10000000</v>
          </cell>
          <cell r="L63">
            <v>10000000</v>
          </cell>
          <cell r="M63">
            <v>20000000</v>
          </cell>
          <cell r="N63">
            <v>25000000</v>
          </cell>
          <cell r="O63">
            <v>53000000</v>
          </cell>
          <cell r="P63">
            <v>60000000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6500000</v>
          </cell>
          <cell r="K64">
            <v>10000000</v>
          </cell>
          <cell r="L64">
            <v>10000000</v>
          </cell>
          <cell r="M64">
            <v>20000000</v>
          </cell>
          <cell r="N64">
            <v>25000000</v>
          </cell>
          <cell r="O64">
            <v>53000000</v>
          </cell>
          <cell r="P64">
            <v>60000000</v>
          </cell>
          <cell r="Q64">
            <v>100000000</v>
          </cell>
          <cell r="R64">
            <v>42500000</v>
          </cell>
          <cell r="S64">
            <v>28900000</v>
          </cell>
          <cell r="T64">
            <v>0</v>
          </cell>
          <cell r="U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10000000</v>
          </cell>
          <cell r="L65">
            <v>10000000</v>
          </cell>
          <cell r="M65">
            <v>20000000</v>
          </cell>
          <cell r="N65">
            <v>25000000</v>
          </cell>
          <cell r="O65">
            <v>53000000</v>
          </cell>
          <cell r="P65">
            <v>60000000</v>
          </cell>
          <cell r="Q65">
            <v>100000000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6500000</v>
          </cell>
          <cell r="K66">
            <v>10000000</v>
          </cell>
          <cell r="L66">
            <v>10000000</v>
          </cell>
          <cell r="M66">
            <v>20000000</v>
          </cell>
          <cell r="N66">
            <v>21250000</v>
          </cell>
          <cell r="O66">
            <v>45050000</v>
          </cell>
          <cell r="P66">
            <v>51000000</v>
          </cell>
          <cell r="Q66">
            <v>85000000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10000000</v>
          </cell>
          <cell r="L67">
            <v>10000000</v>
          </cell>
          <cell r="M67">
            <v>20000000</v>
          </cell>
          <cell r="N67">
            <v>25000000</v>
          </cell>
          <cell r="O67">
            <v>53000000</v>
          </cell>
          <cell r="P67">
            <v>51000000</v>
          </cell>
          <cell r="Q67">
            <v>85000000</v>
          </cell>
          <cell r="R67">
            <v>42500000</v>
          </cell>
          <cell r="S67">
            <v>28900000</v>
          </cell>
          <cell r="T67">
            <v>0</v>
          </cell>
          <cell r="U67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20000000</v>
          </cell>
          <cell r="N69">
            <v>25000000</v>
          </cell>
          <cell r="O69">
            <v>53000000</v>
          </cell>
          <cell r="P69">
            <v>60000000</v>
          </cell>
          <cell r="Q69">
            <v>100000000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5000000</v>
          </cell>
          <cell r="J70">
            <v>6500000</v>
          </cell>
          <cell r="K70">
            <v>0</v>
          </cell>
          <cell r="L70">
            <v>0</v>
          </cell>
          <cell r="M70">
            <v>0</v>
          </cell>
          <cell r="N70">
            <v>25000000</v>
          </cell>
          <cell r="O70">
            <v>53000000</v>
          </cell>
          <cell r="P70">
            <v>60000000</v>
          </cell>
          <cell r="Q70">
            <v>100000000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25000000</v>
          </cell>
          <cell r="O71">
            <v>53000000</v>
          </cell>
          <cell r="P71">
            <v>60000000</v>
          </cell>
          <cell r="Q71">
            <v>100000000</v>
          </cell>
          <cell r="R71">
            <v>42500000</v>
          </cell>
          <cell r="S71">
            <v>0</v>
          </cell>
          <cell r="T71">
            <v>0</v>
          </cell>
          <cell r="U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60000000</v>
          </cell>
          <cell r="Q72">
            <v>0</v>
          </cell>
          <cell r="R72">
            <v>50000000</v>
          </cell>
          <cell r="S72">
            <v>0</v>
          </cell>
          <cell r="T72">
            <v>0</v>
          </cell>
          <cell r="U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53000000</v>
          </cell>
          <cell r="P73">
            <v>60000000</v>
          </cell>
          <cell r="Q73">
            <v>85000000</v>
          </cell>
          <cell r="R73">
            <v>42500000</v>
          </cell>
          <cell r="S73">
            <v>28900000</v>
          </cell>
          <cell r="T73">
            <v>0</v>
          </cell>
          <cell r="U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60000000</v>
          </cell>
          <cell r="Q74">
            <v>85000000</v>
          </cell>
          <cell r="R74">
            <v>42500000</v>
          </cell>
          <cell r="S74">
            <v>28900000</v>
          </cell>
          <cell r="T74">
            <v>0</v>
          </cell>
          <cell r="U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60000000</v>
          </cell>
          <cell r="Q75">
            <v>100000000</v>
          </cell>
          <cell r="R75">
            <v>42500000</v>
          </cell>
          <cell r="S75">
            <v>28900000</v>
          </cell>
          <cell r="T75">
            <v>0</v>
          </cell>
          <cell r="U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6756176.5600000005</v>
          </cell>
          <cell r="P76">
            <v>60000000</v>
          </cell>
          <cell r="Q76">
            <v>85000000</v>
          </cell>
          <cell r="R76">
            <v>50000000</v>
          </cell>
          <cell r="S76">
            <v>0</v>
          </cell>
          <cell r="T76">
            <v>0</v>
          </cell>
          <cell r="U76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60000000</v>
          </cell>
          <cell r="Q77">
            <v>100000000</v>
          </cell>
          <cell r="R77">
            <v>50000000</v>
          </cell>
          <cell r="S77">
            <v>0</v>
          </cell>
          <cell r="T77">
            <v>0</v>
          </cell>
          <cell r="U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60000000</v>
          </cell>
          <cell r="Q78">
            <v>85000000</v>
          </cell>
          <cell r="R78">
            <v>42500000</v>
          </cell>
          <cell r="S78">
            <v>28900000</v>
          </cell>
          <cell r="T78">
            <v>0</v>
          </cell>
          <cell r="U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60000000</v>
          </cell>
          <cell r="Q79">
            <v>100000000</v>
          </cell>
          <cell r="R79">
            <v>50000000</v>
          </cell>
          <cell r="S79">
            <v>34000000</v>
          </cell>
          <cell r="T79">
            <v>0</v>
          </cell>
          <cell r="U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60000000</v>
          </cell>
          <cell r="Q80">
            <v>100000000</v>
          </cell>
          <cell r="R80">
            <v>50000000</v>
          </cell>
          <cell r="S80">
            <v>34000000</v>
          </cell>
          <cell r="T80">
            <v>0</v>
          </cell>
          <cell r="U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160000000</v>
          </cell>
          <cell r="P81">
            <v>60000000</v>
          </cell>
          <cell r="Q81">
            <v>85000000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60000000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100000000</v>
          </cell>
          <cell r="R83">
            <v>50000000</v>
          </cell>
          <cell r="S83">
            <v>34000000</v>
          </cell>
          <cell r="T83">
            <v>0</v>
          </cell>
          <cell r="U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100000000</v>
          </cell>
          <cell r="R84">
            <v>50000000</v>
          </cell>
          <cell r="S84">
            <v>28900000</v>
          </cell>
          <cell r="T84">
            <v>0</v>
          </cell>
          <cell r="U84">
            <v>0</v>
          </cell>
        </row>
        <row r="85">
          <cell r="P85">
            <v>0</v>
          </cell>
          <cell r="Q85">
            <v>100000000</v>
          </cell>
          <cell r="R85">
            <v>50000000</v>
          </cell>
          <cell r="S85">
            <v>0</v>
          </cell>
          <cell r="T85">
            <v>0</v>
          </cell>
          <cell r="U85">
            <v>0</v>
          </cell>
        </row>
        <row r="86">
          <cell r="P86">
            <v>0</v>
          </cell>
          <cell r="Q86">
            <v>100000000</v>
          </cell>
          <cell r="R86">
            <v>42500000</v>
          </cell>
          <cell r="S86">
            <v>28900000</v>
          </cell>
          <cell r="T86">
            <v>0</v>
          </cell>
          <cell r="U86">
            <v>0</v>
          </cell>
        </row>
        <row r="87"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</row>
        <row r="88">
          <cell r="P88">
            <v>60000000</v>
          </cell>
          <cell r="Q88">
            <v>100000000</v>
          </cell>
          <cell r="R88">
            <v>50000000</v>
          </cell>
          <cell r="S88">
            <v>0</v>
          </cell>
          <cell r="T88">
            <v>0</v>
          </cell>
          <cell r="U88">
            <v>0</v>
          </cell>
        </row>
        <row r="89">
          <cell r="Q89">
            <v>100000000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</row>
        <row r="91">
          <cell r="U91">
            <v>0</v>
          </cell>
        </row>
        <row r="92">
          <cell r="T92">
            <v>0</v>
          </cell>
          <cell r="U92">
            <v>0</v>
          </cell>
        </row>
      </sheetData>
      <sheetData sheetId="13"/>
      <sheetData sheetId="14"/>
      <sheetData sheetId="15">
        <row r="9">
          <cell r="AE9">
            <v>80000000</v>
          </cell>
          <cell r="AF9">
            <v>8000000</v>
          </cell>
          <cell r="AG9">
            <v>2000000</v>
          </cell>
          <cell r="AH9">
            <v>10000000</v>
          </cell>
          <cell r="AI9">
            <v>1000000000</v>
          </cell>
        </row>
        <row r="10">
          <cell r="S10">
            <v>0</v>
          </cell>
          <cell r="AE10">
            <v>80000000</v>
          </cell>
          <cell r="AF10">
            <v>8000000</v>
          </cell>
          <cell r="AG10">
            <v>2000000</v>
          </cell>
          <cell r="AH10">
            <v>10000000</v>
          </cell>
          <cell r="AI10">
            <v>500000000</v>
          </cell>
        </row>
        <row r="11">
          <cell r="AE11">
            <v>80000000</v>
          </cell>
          <cell r="AF11">
            <v>8000000</v>
          </cell>
          <cell r="AG11">
            <v>2000000</v>
          </cell>
          <cell r="AH11">
            <v>10000000</v>
          </cell>
          <cell r="AI11">
            <v>1050000000</v>
          </cell>
        </row>
        <row r="12">
          <cell r="S12">
            <v>100000000</v>
          </cell>
          <cell r="AE12">
            <v>80000000</v>
          </cell>
          <cell r="AF12">
            <v>8000000</v>
          </cell>
          <cell r="AG12">
            <v>2000000</v>
          </cell>
          <cell r="AH12">
            <v>10000000</v>
          </cell>
          <cell r="AI12">
            <v>1500000000</v>
          </cell>
        </row>
        <row r="13">
          <cell r="S13">
            <v>250000000</v>
          </cell>
          <cell r="AE13">
            <v>80000000</v>
          </cell>
          <cell r="AF13">
            <v>8000000</v>
          </cell>
          <cell r="AG13">
            <v>2000000</v>
          </cell>
          <cell r="AH13">
            <v>10000000</v>
          </cell>
          <cell r="AI13">
            <v>220000000</v>
          </cell>
        </row>
        <row r="14">
          <cell r="S14">
            <v>685000000</v>
          </cell>
          <cell r="AE14">
            <v>80000000</v>
          </cell>
          <cell r="AF14">
            <v>8000000</v>
          </cell>
          <cell r="AG14">
            <v>2000000</v>
          </cell>
          <cell r="AH14">
            <v>10000000</v>
          </cell>
          <cell r="AI14">
            <v>1200000000</v>
          </cell>
        </row>
        <row r="15">
          <cell r="S15">
            <v>0</v>
          </cell>
          <cell r="AE15">
            <v>80000000</v>
          </cell>
          <cell r="AF15">
            <v>8000000</v>
          </cell>
          <cell r="AG15">
            <v>2000000</v>
          </cell>
          <cell r="AH15">
            <v>10000000</v>
          </cell>
          <cell r="AI15">
            <v>1000000000</v>
          </cell>
        </row>
        <row r="16">
          <cell r="S16">
            <v>0</v>
          </cell>
          <cell r="AE16">
            <v>80000000</v>
          </cell>
          <cell r="AF16">
            <v>8000000</v>
          </cell>
          <cell r="AG16">
            <v>2000000</v>
          </cell>
          <cell r="AH16">
            <v>10000000</v>
          </cell>
          <cell r="AI16">
            <v>0</v>
          </cell>
        </row>
        <row r="17">
          <cell r="S17">
            <v>0</v>
          </cell>
          <cell r="AE17">
            <v>80000000</v>
          </cell>
          <cell r="AF17">
            <v>8000000</v>
          </cell>
          <cell r="AG17">
            <v>2000000</v>
          </cell>
          <cell r="AH17">
            <v>10000000</v>
          </cell>
          <cell r="AI17">
            <v>0</v>
          </cell>
        </row>
        <row r="18">
          <cell r="S18">
            <v>0</v>
          </cell>
          <cell r="AE18">
            <v>80000000</v>
          </cell>
          <cell r="AF18">
            <v>8000000</v>
          </cell>
          <cell r="AG18">
            <v>2000000</v>
          </cell>
          <cell r="AH18">
            <v>10000000</v>
          </cell>
          <cell r="AI18">
            <v>300000000</v>
          </cell>
        </row>
        <row r="19">
          <cell r="S19">
            <v>50000000</v>
          </cell>
          <cell r="AE19">
            <v>80000000</v>
          </cell>
          <cell r="AF19">
            <v>8000000</v>
          </cell>
          <cell r="AG19">
            <v>2000000</v>
          </cell>
          <cell r="AH19">
            <v>10000000</v>
          </cell>
          <cell r="AI19">
            <v>3600000000</v>
          </cell>
        </row>
        <row r="20">
          <cell r="S20">
            <v>310000000</v>
          </cell>
          <cell r="AE20">
            <v>80000000</v>
          </cell>
          <cell r="AF20">
            <v>8000000</v>
          </cell>
          <cell r="AG20">
            <v>2000000</v>
          </cell>
          <cell r="AH20">
            <v>10000000</v>
          </cell>
          <cell r="AI20">
            <v>2550000000</v>
          </cell>
        </row>
        <row r="21">
          <cell r="S21">
            <v>150000000</v>
          </cell>
          <cell r="AE21">
            <v>80000000</v>
          </cell>
          <cell r="AF21">
            <v>8000000</v>
          </cell>
          <cell r="AG21">
            <v>2000000</v>
          </cell>
          <cell r="AH21">
            <v>10000000</v>
          </cell>
          <cell r="AI21">
            <v>1000000000</v>
          </cell>
        </row>
        <row r="22">
          <cell r="S22">
            <v>148000000</v>
          </cell>
          <cell r="AE22">
            <v>80000000</v>
          </cell>
          <cell r="AF22">
            <v>8000000</v>
          </cell>
          <cell r="AG22">
            <v>2000000</v>
          </cell>
          <cell r="AH22">
            <v>10000000</v>
          </cell>
          <cell r="AI22">
            <v>0</v>
          </cell>
        </row>
        <row r="23">
          <cell r="S23">
            <v>100000000</v>
          </cell>
          <cell r="AE23">
            <v>80000000</v>
          </cell>
          <cell r="AF23">
            <v>8000000</v>
          </cell>
          <cell r="AG23">
            <v>2000000</v>
          </cell>
          <cell r="AH23">
            <v>10000000</v>
          </cell>
          <cell r="AI23">
            <v>0</v>
          </cell>
        </row>
        <row r="24">
          <cell r="S24">
            <v>0</v>
          </cell>
          <cell r="AE24">
            <v>80000000</v>
          </cell>
          <cell r="AF24">
            <v>8000000</v>
          </cell>
          <cell r="AG24">
            <v>2000000</v>
          </cell>
          <cell r="AH24">
            <v>10000000</v>
          </cell>
          <cell r="AI24">
            <v>200000000</v>
          </cell>
        </row>
        <row r="25">
          <cell r="S25">
            <v>70000000</v>
          </cell>
          <cell r="AE25">
            <v>80000000</v>
          </cell>
          <cell r="AF25">
            <v>8000000</v>
          </cell>
          <cell r="AG25">
            <v>2000000</v>
          </cell>
          <cell r="AH25">
            <v>10000000</v>
          </cell>
          <cell r="AI25">
            <v>2200000000</v>
          </cell>
        </row>
        <row r="26">
          <cell r="AE26">
            <v>80000000</v>
          </cell>
          <cell r="AF26">
            <v>8000000</v>
          </cell>
          <cell r="AG26">
            <v>2000000</v>
          </cell>
          <cell r="AH26">
            <v>10000000</v>
          </cell>
          <cell r="AI26">
            <v>1000000000</v>
          </cell>
        </row>
        <row r="27">
          <cell r="S27">
            <v>450000000</v>
          </cell>
          <cell r="AE27">
            <v>80000000</v>
          </cell>
          <cell r="AF27">
            <v>8000000</v>
          </cell>
          <cell r="AG27">
            <v>2000000</v>
          </cell>
          <cell r="AH27">
            <v>10000000</v>
          </cell>
          <cell r="AI27">
            <v>0</v>
          </cell>
        </row>
        <row r="28">
          <cell r="S28">
            <v>0</v>
          </cell>
          <cell r="AE28">
            <v>80000000</v>
          </cell>
          <cell r="AF28">
            <v>8000000</v>
          </cell>
          <cell r="AG28">
            <v>2000000</v>
          </cell>
          <cell r="AH28">
            <v>10000000</v>
          </cell>
          <cell r="AI28">
            <v>1000000000</v>
          </cell>
        </row>
        <row r="29">
          <cell r="S29">
            <v>0</v>
          </cell>
          <cell r="AE29">
            <v>80000000</v>
          </cell>
          <cell r="AF29">
            <v>8000000</v>
          </cell>
          <cell r="AG29">
            <v>2000000</v>
          </cell>
          <cell r="AH29">
            <v>10000000</v>
          </cell>
          <cell r="AI29">
            <v>2500000000</v>
          </cell>
        </row>
        <row r="30">
          <cell r="S30">
            <v>0</v>
          </cell>
          <cell r="AE30">
            <v>80000000</v>
          </cell>
          <cell r="AF30">
            <v>8000000</v>
          </cell>
          <cell r="AG30">
            <v>2000000</v>
          </cell>
          <cell r="AH30">
            <v>10000000</v>
          </cell>
          <cell r="AI30">
            <v>100000000</v>
          </cell>
        </row>
        <row r="31">
          <cell r="S31">
            <v>1100000000</v>
          </cell>
          <cell r="AE31">
            <v>80000000</v>
          </cell>
          <cell r="AF31">
            <v>8000000</v>
          </cell>
          <cell r="AG31">
            <v>2000000</v>
          </cell>
          <cell r="AH31">
            <v>10000000</v>
          </cell>
          <cell r="AI31">
            <v>4000000000</v>
          </cell>
        </row>
        <row r="32">
          <cell r="AE32">
            <v>80000000</v>
          </cell>
          <cell r="AF32">
            <v>8000000</v>
          </cell>
          <cell r="AG32">
            <v>2000000</v>
          </cell>
          <cell r="AH32">
            <v>10000000</v>
          </cell>
          <cell r="AI32">
            <v>4150000000</v>
          </cell>
        </row>
        <row r="33">
          <cell r="S33">
            <v>400000000</v>
          </cell>
          <cell r="AE33">
            <v>80000000</v>
          </cell>
          <cell r="AF33">
            <v>8000000</v>
          </cell>
          <cell r="AG33">
            <v>2000000</v>
          </cell>
          <cell r="AH33">
            <v>10000000</v>
          </cell>
          <cell r="AI33">
            <v>1400000000</v>
          </cell>
        </row>
        <row r="34">
          <cell r="S34">
            <v>0</v>
          </cell>
          <cell r="AE34">
            <v>80000000</v>
          </cell>
          <cell r="AF34">
            <v>8000000</v>
          </cell>
          <cell r="AG34">
            <v>2000000</v>
          </cell>
          <cell r="AH34">
            <v>10000000</v>
          </cell>
          <cell r="AI34">
            <v>0</v>
          </cell>
        </row>
        <row r="35">
          <cell r="S35">
            <v>180000000</v>
          </cell>
          <cell r="AE35">
            <v>80000000</v>
          </cell>
          <cell r="AF35">
            <v>8000000</v>
          </cell>
          <cell r="AG35">
            <v>2000000</v>
          </cell>
          <cell r="AH35">
            <v>10000000</v>
          </cell>
          <cell r="AI35">
            <v>200000000</v>
          </cell>
        </row>
        <row r="36">
          <cell r="S36">
            <v>520000000</v>
          </cell>
          <cell r="AE36">
            <v>80000000</v>
          </cell>
          <cell r="AF36">
            <v>8000000</v>
          </cell>
          <cell r="AG36">
            <v>2000000</v>
          </cell>
          <cell r="AH36">
            <v>10000000</v>
          </cell>
          <cell r="AI36">
            <v>1510000000</v>
          </cell>
        </row>
        <row r="37">
          <cell r="S37">
            <v>10000000</v>
          </cell>
          <cell r="AE37">
            <v>80000000</v>
          </cell>
          <cell r="AF37">
            <v>8000000</v>
          </cell>
          <cell r="AG37">
            <v>2000000</v>
          </cell>
          <cell r="AH37">
            <v>10000000</v>
          </cell>
          <cell r="AI37">
            <v>50000000</v>
          </cell>
        </row>
        <row r="38">
          <cell r="AE38">
            <v>80000000</v>
          </cell>
          <cell r="AF38">
            <v>8000000</v>
          </cell>
          <cell r="AG38">
            <v>2000000</v>
          </cell>
          <cell r="AH38">
            <v>10000000</v>
          </cell>
          <cell r="AI38">
            <v>500000000</v>
          </cell>
        </row>
        <row r="39">
          <cell r="AE39">
            <v>80000000</v>
          </cell>
          <cell r="AF39">
            <v>8000000</v>
          </cell>
          <cell r="AG39">
            <v>2000000</v>
          </cell>
          <cell r="AH39">
            <v>10000000</v>
          </cell>
          <cell r="AI39">
            <v>1400000000</v>
          </cell>
        </row>
        <row r="40">
          <cell r="S40">
            <v>175000000</v>
          </cell>
          <cell r="AE40">
            <v>80000000</v>
          </cell>
          <cell r="AF40">
            <v>8000000</v>
          </cell>
          <cell r="AG40">
            <v>2000000</v>
          </cell>
          <cell r="AH40">
            <v>10000000</v>
          </cell>
          <cell r="AI40">
            <v>550000000</v>
          </cell>
        </row>
        <row r="41">
          <cell r="S41">
            <v>25000000</v>
          </cell>
          <cell r="AE41">
            <v>80000000</v>
          </cell>
          <cell r="AF41">
            <v>8000000</v>
          </cell>
          <cell r="AG41">
            <v>2000000</v>
          </cell>
          <cell r="AH41">
            <v>10000000</v>
          </cell>
          <cell r="AI41">
            <v>4410000000</v>
          </cell>
        </row>
        <row r="42">
          <cell r="S42">
            <v>0</v>
          </cell>
          <cell r="AE42">
            <v>80000000</v>
          </cell>
          <cell r="AF42">
            <v>8000000</v>
          </cell>
          <cell r="AG42">
            <v>2000000</v>
          </cell>
          <cell r="AH42">
            <v>10000000</v>
          </cell>
          <cell r="AI42">
            <v>250000000</v>
          </cell>
        </row>
        <row r="43">
          <cell r="S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</row>
        <row r="44">
          <cell r="S44">
            <v>0</v>
          </cell>
          <cell r="AE44">
            <v>80000000</v>
          </cell>
          <cell r="AF44">
            <v>8000000</v>
          </cell>
          <cell r="AG44">
            <v>2000000</v>
          </cell>
          <cell r="AH44">
            <v>10000000</v>
          </cell>
          <cell r="AI44">
            <v>150000000</v>
          </cell>
        </row>
        <row r="45">
          <cell r="S45">
            <v>150000000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75000000</v>
          </cell>
        </row>
        <row r="46">
          <cell r="S46">
            <v>200000000</v>
          </cell>
          <cell r="AE46">
            <v>80000000</v>
          </cell>
          <cell r="AF46">
            <v>8000000</v>
          </cell>
          <cell r="AG46">
            <v>2000000</v>
          </cell>
          <cell r="AH46">
            <v>10000000</v>
          </cell>
          <cell r="AI46">
            <v>150000000</v>
          </cell>
        </row>
        <row r="47">
          <cell r="S47">
            <v>0</v>
          </cell>
          <cell r="AE47">
            <v>80000000</v>
          </cell>
          <cell r="AF47">
            <v>8000000</v>
          </cell>
          <cell r="AG47">
            <v>2000000</v>
          </cell>
          <cell r="AH47">
            <v>10000000</v>
          </cell>
          <cell r="AI47">
            <v>810000000</v>
          </cell>
        </row>
        <row r="48">
          <cell r="S48">
            <v>0</v>
          </cell>
          <cell r="AE48">
            <v>80000000</v>
          </cell>
          <cell r="AF48">
            <v>8000000</v>
          </cell>
          <cell r="AG48">
            <v>2000000</v>
          </cell>
          <cell r="AH48">
            <v>10000000</v>
          </cell>
          <cell r="AI48">
            <v>50000000</v>
          </cell>
        </row>
        <row r="49">
          <cell r="S49">
            <v>500000000</v>
          </cell>
          <cell r="AE49">
            <v>80000000</v>
          </cell>
          <cell r="AF49">
            <v>8000000</v>
          </cell>
          <cell r="AG49">
            <v>2000000</v>
          </cell>
          <cell r="AH49">
            <v>10000000</v>
          </cell>
          <cell r="AI49">
            <v>3500000000</v>
          </cell>
        </row>
        <row r="50">
          <cell r="S50">
            <v>75000000</v>
          </cell>
          <cell r="AE50">
            <v>80000000</v>
          </cell>
          <cell r="AF50">
            <v>8000000</v>
          </cell>
          <cell r="AG50">
            <v>2000000</v>
          </cell>
          <cell r="AH50">
            <v>10000000</v>
          </cell>
          <cell r="AI50">
            <v>1250000000</v>
          </cell>
        </row>
        <row r="51">
          <cell r="S51">
            <v>0</v>
          </cell>
          <cell r="AE51">
            <v>80000000</v>
          </cell>
          <cell r="AF51">
            <v>8000000</v>
          </cell>
          <cell r="AG51">
            <v>2000000</v>
          </cell>
          <cell r="AH51">
            <v>10000000</v>
          </cell>
          <cell r="AI51">
            <v>4750000000</v>
          </cell>
        </row>
        <row r="52">
          <cell r="S52">
            <v>20000000</v>
          </cell>
          <cell r="AE52">
            <v>80000000</v>
          </cell>
          <cell r="AF52">
            <v>8000000</v>
          </cell>
          <cell r="AG52">
            <v>2000000</v>
          </cell>
          <cell r="AH52">
            <v>10000000</v>
          </cell>
          <cell r="AI52">
            <v>2370000000</v>
          </cell>
        </row>
        <row r="53">
          <cell r="S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450000000</v>
          </cell>
        </row>
        <row r="54">
          <cell r="S54">
            <v>75000000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</row>
        <row r="55">
          <cell r="S55">
            <v>0</v>
          </cell>
          <cell r="AE55">
            <v>80000000</v>
          </cell>
          <cell r="AF55">
            <v>8000000</v>
          </cell>
          <cell r="AG55">
            <v>2000000</v>
          </cell>
          <cell r="AH55">
            <v>10000000</v>
          </cell>
          <cell r="AI55">
            <v>3000000000</v>
          </cell>
        </row>
        <row r="56">
          <cell r="S56">
            <v>50000000</v>
          </cell>
          <cell r="AE56">
            <v>80000000</v>
          </cell>
          <cell r="AF56">
            <v>8000000</v>
          </cell>
          <cell r="AG56">
            <v>2000000</v>
          </cell>
          <cell r="AH56">
            <v>10000000</v>
          </cell>
          <cell r="AI56">
            <v>500000000</v>
          </cell>
        </row>
        <row r="57">
          <cell r="S57">
            <v>100000000</v>
          </cell>
          <cell r="AE57">
            <v>80000000</v>
          </cell>
          <cell r="AF57">
            <v>8000000</v>
          </cell>
          <cell r="AG57">
            <v>2000000</v>
          </cell>
          <cell r="AH57">
            <v>10000000</v>
          </cell>
          <cell r="AI57">
            <v>0</v>
          </cell>
        </row>
        <row r="58">
          <cell r="S58">
            <v>200000000</v>
          </cell>
          <cell r="AE58">
            <v>80000000</v>
          </cell>
          <cell r="AF58">
            <v>8000000</v>
          </cell>
          <cell r="AG58">
            <v>2000000</v>
          </cell>
          <cell r="AH58">
            <v>10000000</v>
          </cell>
          <cell r="AI58">
            <v>410000000</v>
          </cell>
        </row>
        <row r="59">
          <cell r="S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</row>
        <row r="60">
          <cell r="S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</row>
        <row r="61">
          <cell r="S61">
            <v>0</v>
          </cell>
          <cell r="AE61">
            <v>80000000</v>
          </cell>
          <cell r="AF61">
            <v>8000000</v>
          </cell>
          <cell r="AG61">
            <v>2000000</v>
          </cell>
          <cell r="AH61">
            <v>10000000</v>
          </cell>
          <cell r="AI61">
            <v>3300000000</v>
          </cell>
        </row>
        <row r="62">
          <cell r="S62">
            <v>0</v>
          </cell>
          <cell r="AE62">
            <v>80000000</v>
          </cell>
          <cell r="AF62">
            <v>8000000</v>
          </cell>
          <cell r="AG62">
            <v>2000000</v>
          </cell>
          <cell r="AH62">
            <v>10000000</v>
          </cell>
          <cell r="AI62">
            <v>0</v>
          </cell>
        </row>
        <row r="63">
          <cell r="S63">
            <v>0</v>
          </cell>
          <cell r="AE63">
            <v>80000000</v>
          </cell>
          <cell r="AF63">
            <v>8000000</v>
          </cell>
          <cell r="AG63">
            <v>2000000</v>
          </cell>
          <cell r="AH63">
            <v>10000000</v>
          </cell>
          <cell r="AI63">
            <v>0</v>
          </cell>
        </row>
        <row r="64">
          <cell r="S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</row>
        <row r="65">
          <cell r="S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</row>
        <row r="66">
          <cell r="S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</row>
        <row r="70">
          <cell r="AI70">
            <v>0</v>
          </cell>
        </row>
        <row r="71">
          <cell r="AI71">
            <v>0</v>
          </cell>
        </row>
        <row r="72">
          <cell r="AI72">
            <v>0</v>
          </cell>
        </row>
        <row r="73">
          <cell r="AI73">
            <v>0</v>
          </cell>
        </row>
        <row r="74">
          <cell r="AI74">
            <v>0</v>
          </cell>
        </row>
      </sheetData>
      <sheetData sheetId="16">
        <row r="9">
          <cell r="K9">
            <v>20000000</v>
          </cell>
          <cell r="S9">
            <v>126060000</v>
          </cell>
          <cell r="U9">
            <v>169900000</v>
          </cell>
          <cell r="V9">
            <v>10000000</v>
          </cell>
          <cell r="W9">
            <v>200000000</v>
          </cell>
          <cell r="X9">
            <v>210000000</v>
          </cell>
          <cell r="Y9">
            <v>40000000</v>
          </cell>
          <cell r="Z9">
            <v>150000000</v>
          </cell>
          <cell r="AA9">
            <v>243000000</v>
          </cell>
          <cell r="AC9">
            <v>371000000</v>
          </cell>
          <cell r="AD9">
            <v>20000000</v>
          </cell>
          <cell r="AE9">
            <v>810000000</v>
          </cell>
          <cell r="AK9">
            <v>380632000</v>
          </cell>
          <cell r="AL9">
            <v>8000000</v>
          </cell>
          <cell r="AM9">
            <v>10000000</v>
          </cell>
          <cell r="AN9">
            <v>10000000</v>
          </cell>
          <cell r="AO9">
            <v>0</v>
          </cell>
          <cell r="AP9">
            <v>205000000</v>
          </cell>
          <cell r="AQ9">
            <v>75000000</v>
          </cell>
          <cell r="AR9">
            <v>7000000</v>
          </cell>
          <cell r="AS9">
            <v>6300000</v>
          </cell>
          <cell r="AT9">
            <v>7500000</v>
          </cell>
          <cell r="AU9">
            <v>245000000</v>
          </cell>
          <cell r="AV9">
            <v>119074602</v>
          </cell>
          <cell r="AW9">
            <v>13000000</v>
          </cell>
          <cell r="AX9">
            <v>8628900</v>
          </cell>
          <cell r="AY9">
            <v>5000000</v>
          </cell>
          <cell r="AZ9">
            <v>0</v>
          </cell>
        </row>
        <row r="10">
          <cell r="K10">
            <v>20000000</v>
          </cell>
          <cell r="U10">
            <v>169900000</v>
          </cell>
          <cell r="V10">
            <v>10000000</v>
          </cell>
          <cell r="W10">
            <v>0</v>
          </cell>
          <cell r="X10">
            <v>210000000</v>
          </cell>
          <cell r="Y10">
            <v>42000000</v>
          </cell>
          <cell r="Z10">
            <v>10000000</v>
          </cell>
          <cell r="AA10">
            <v>243000000</v>
          </cell>
          <cell r="AC10">
            <v>371000000</v>
          </cell>
          <cell r="AD10">
            <v>20000000</v>
          </cell>
          <cell r="AE10">
            <v>100000000</v>
          </cell>
          <cell r="AK10">
            <v>380632000</v>
          </cell>
          <cell r="AL10">
            <v>8000000</v>
          </cell>
          <cell r="AM10">
            <v>10000000</v>
          </cell>
          <cell r="AN10">
            <v>10000000</v>
          </cell>
          <cell r="AO10">
            <v>0</v>
          </cell>
          <cell r="AP10">
            <v>205000000</v>
          </cell>
          <cell r="AQ10">
            <v>75000000</v>
          </cell>
          <cell r="AR10">
            <v>7000000</v>
          </cell>
          <cell r="AS10">
            <v>6300000</v>
          </cell>
          <cell r="AT10">
            <v>7500000</v>
          </cell>
          <cell r="AU10">
            <v>245000000</v>
          </cell>
          <cell r="AV10">
            <v>119074602</v>
          </cell>
          <cell r="AW10">
            <v>13000000</v>
          </cell>
          <cell r="AX10">
            <v>8628900</v>
          </cell>
          <cell r="AY10">
            <v>5000000</v>
          </cell>
          <cell r="AZ10">
            <v>0</v>
          </cell>
        </row>
        <row r="11">
          <cell r="K11">
            <v>20000000</v>
          </cell>
          <cell r="S11">
            <v>126060000</v>
          </cell>
          <cell r="U11">
            <v>169900000</v>
          </cell>
          <cell r="V11">
            <v>10000000</v>
          </cell>
          <cell r="W11">
            <v>0</v>
          </cell>
          <cell r="X11">
            <v>210000000</v>
          </cell>
          <cell r="Y11">
            <v>100000000</v>
          </cell>
          <cell r="Z11">
            <v>0</v>
          </cell>
          <cell r="AA11">
            <v>243000000</v>
          </cell>
          <cell r="AC11">
            <v>371000000</v>
          </cell>
          <cell r="AD11">
            <v>20000000</v>
          </cell>
          <cell r="AE11">
            <v>100000000</v>
          </cell>
          <cell r="AK11">
            <v>380632000</v>
          </cell>
          <cell r="AL11">
            <v>8000000</v>
          </cell>
          <cell r="AM11">
            <v>10000000</v>
          </cell>
          <cell r="AN11">
            <v>10000000</v>
          </cell>
          <cell r="AO11">
            <v>150000000</v>
          </cell>
          <cell r="AP11">
            <v>205000000</v>
          </cell>
          <cell r="AQ11">
            <v>75000000</v>
          </cell>
          <cell r="AR11">
            <v>7000000</v>
          </cell>
          <cell r="AS11">
            <v>6300000</v>
          </cell>
          <cell r="AT11">
            <v>7500000</v>
          </cell>
          <cell r="AU11">
            <v>245000000</v>
          </cell>
          <cell r="AV11">
            <v>119074602</v>
          </cell>
          <cell r="AW11">
            <v>13000000</v>
          </cell>
          <cell r="AX11">
            <v>8628900</v>
          </cell>
          <cell r="AY11">
            <v>5000000</v>
          </cell>
          <cell r="AZ11">
            <v>0</v>
          </cell>
        </row>
        <row r="12">
          <cell r="K12">
            <v>20000000</v>
          </cell>
          <cell r="S12">
            <v>126060000</v>
          </cell>
          <cell r="U12">
            <v>169900000</v>
          </cell>
          <cell r="V12">
            <v>10000000</v>
          </cell>
          <cell r="W12">
            <v>730000000</v>
          </cell>
          <cell r="X12">
            <v>210000000</v>
          </cell>
          <cell r="Y12">
            <v>68000000</v>
          </cell>
          <cell r="Z12">
            <v>100000000</v>
          </cell>
          <cell r="AA12">
            <v>243000000</v>
          </cell>
          <cell r="AC12">
            <v>371000000</v>
          </cell>
          <cell r="AD12">
            <v>20000000</v>
          </cell>
          <cell r="AE12">
            <v>261000000</v>
          </cell>
          <cell r="AK12">
            <v>380632000</v>
          </cell>
          <cell r="AL12">
            <v>8000000</v>
          </cell>
          <cell r="AM12">
            <v>10000000</v>
          </cell>
          <cell r="AN12">
            <v>10000000</v>
          </cell>
          <cell r="AO12">
            <v>0</v>
          </cell>
          <cell r="AP12">
            <v>205000000</v>
          </cell>
          <cell r="AQ12">
            <v>75000000</v>
          </cell>
          <cell r="AR12">
            <v>7000000</v>
          </cell>
          <cell r="AS12">
            <v>6300000</v>
          </cell>
          <cell r="AT12">
            <v>7500000</v>
          </cell>
          <cell r="AU12">
            <v>245000000</v>
          </cell>
          <cell r="AV12">
            <v>119074602</v>
          </cell>
          <cell r="AW12">
            <v>13000000</v>
          </cell>
          <cell r="AX12">
            <v>8628900</v>
          </cell>
          <cell r="AY12">
            <v>5000000</v>
          </cell>
          <cell r="AZ12">
            <v>0</v>
          </cell>
        </row>
        <row r="13">
          <cell r="K13">
            <v>20000000</v>
          </cell>
          <cell r="S13">
            <v>126060000</v>
          </cell>
          <cell r="U13">
            <v>169900000</v>
          </cell>
          <cell r="V13">
            <v>10000000</v>
          </cell>
          <cell r="W13">
            <v>0</v>
          </cell>
          <cell r="X13">
            <v>210000000</v>
          </cell>
          <cell r="Y13">
            <v>0</v>
          </cell>
          <cell r="Z13">
            <v>0</v>
          </cell>
          <cell r="AA13">
            <v>243000000</v>
          </cell>
          <cell r="AC13">
            <v>371000000</v>
          </cell>
          <cell r="AD13">
            <v>20000000</v>
          </cell>
          <cell r="AE13">
            <v>213000000</v>
          </cell>
          <cell r="AK13">
            <v>380632000</v>
          </cell>
          <cell r="AL13">
            <v>8000000</v>
          </cell>
          <cell r="AM13">
            <v>10000000</v>
          </cell>
          <cell r="AN13">
            <v>10000000</v>
          </cell>
          <cell r="AO13">
            <v>150000000</v>
          </cell>
          <cell r="AP13">
            <v>205000000</v>
          </cell>
          <cell r="AQ13">
            <v>75000000</v>
          </cell>
          <cell r="AR13">
            <v>7000000</v>
          </cell>
          <cell r="AS13">
            <v>6300000</v>
          </cell>
          <cell r="AT13">
            <v>7500000</v>
          </cell>
          <cell r="AU13">
            <v>245000000</v>
          </cell>
          <cell r="AV13">
            <v>119074602</v>
          </cell>
          <cell r="AW13">
            <v>13000000</v>
          </cell>
          <cell r="AX13">
            <v>8628900</v>
          </cell>
          <cell r="AY13">
            <v>5000000</v>
          </cell>
          <cell r="AZ13">
            <v>0</v>
          </cell>
        </row>
        <row r="14">
          <cell r="K14">
            <v>20000000</v>
          </cell>
          <cell r="S14">
            <v>126060000</v>
          </cell>
          <cell r="U14">
            <v>169900000</v>
          </cell>
          <cell r="V14">
            <v>10000000</v>
          </cell>
          <cell r="W14">
            <v>50000000</v>
          </cell>
          <cell r="X14">
            <v>210000000</v>
          </cell>
          <cell r="Y14">
            <v>300000000</v>
          </cell>
          <cell r="Z14">
            <v>0</v>
          </cell>
          <cell r="AA14">
            <v>243000000</v>
          </cell>
          <cell r="AC14">
            <v>371000000</v>
          </cell>
          <cell r="AD14">
            <v>20000000</v>
          </cell>
          <cell r="AE14">
            <v>650000000</v>
          </cell>
          <cell r="AK14">
            <v>380632000</v>
          </cell>
          <cell r="AL14">
            <v>8000000</v>
          </cell>
          <cell r="AM14">
            <v>10000000</v>
          </cell>
          <cell r="AN14">
            <v>10000000</v>
          </cell>
          <cell r="AO14">
            <v>150000000</v>
          </cell>
          <cell r="AP14">
            <v>205000000</v>
          </cell>
          <cell r="AQ14">
            <v>75000000</v>
          </cell>
          <cell r="AR14">
            <v>7000000</v>
          </cell>
          <cell r="AS14">
            <v>6300000</v>
          </cell>
          <cell r="AT14">
            <v>7500000</v>
          </cell>
          <cell r="AU14">
            <v>245000000</v>
          </cell>
          <cell r="AV14">
            <v>119074602</v>
          </cell>
          <cell r="AW14">
            <v>13000000</v>
          </cell>
          <cell r="AX14">
            <v>8628900</v>
          </cell>
          <cell r="AY14">
            <v>5000000</v>
          </cell>
          <cell r="AZ14">
            <v>0</v>
          </cell>
        </row>
        <row r="15">
          <cell r="K15">
            <v>20000000</v>
          </cell>
          <cell r="U15">
            <v>169900000</v>
          </cell>
          <cell r="V15">
            <v>10000000</v>
          </cell>
          <cell r="W15">
            <v>232000000</v>
          </cell>
          <cell r="X15">
            <v>210000000</v>
          </cell>
          <cell r="Y15">
            <v>217000000</v>
          </cell>
          <cell r="Z15">
            <v>0</v>
          </cell>
          <cell r="AA15">
            <v>243000000</v>
          </cell>
          <cell r="AC15">
            <v>371000000</v>
          </cell>
          <cell r="AD15">
            <v>20000000</v>
          </cell>
          <cell r="AE15">
            <v>380000000</v>
          </cell>
          <cell r="AK15">
            <v>380632000</v>
          </cell>
          <cell r="AL15">
            <v>8000000</v>
          </cell>
          <cell r="AM15">
            <v>10000000</v>
          </cell>
          <cell r="AN15">
            <v>10000000</v>
          </cell>
          <cell r="AO15">
            <v>0</v>
          </cell>
          <cell r="AP15">
            <v>205000000</v>
          </cell>
          <cell r="AQ15">
            <v>75000000</v>
          </cell>
          <cell r="AR15">
            <v>7000000</v>
          </cell>
          <cell r="AS15">
            <v>6300000</v>
          </cell>
          <cell r="AT15">
            <v>7500000</v>
          </cell>
          <cell r="AU15">
            <v>245000000</v>
          </cell>
          <cell r="AV15">
            <v>119074602</v>
          </cell>
          <cell r="AW15">
            <v>13000000</v>
          </cell>
          <cell r="AX15">
            <v>8628900</v>
          </cell>
          <cell r="AY15">
            <v>5000000</v>
          </cell>
          <cell r="AZ15">
            <v>0</v>
          </cell>
        </row>
        <row r="16">
          <cell r="K16">
            <v>20000000</v>
          </cell>
          <cell r="S16">
            <v>126060000</v>
          </cell>
          <cell r="U16">
            <v>169900000</v>
          </cell>
          <cell r="V16">
            <v>10000000</v>
          </cell>
          <cell r="W16">
            <v>0</v>
          </cell>
          <cell r="X16">
            <v>210000000</v>
          </cell>
          <cell r="Y16">
            <v>0</v>
          </cell>
          <cell r="Z16">
            <v>0</v>
          </cell>
          <cell r="AA16">
            <v>243000000</v>
          </cell>
          <cell r="AC16">
            <v>371000000</v>
          </cell>
          <cell r="AD16">
            <v>20000000</v>
          </cell>
          <cell r="AE16">
            <v>200000000</v>
          </cell>
          <cell r="AK16">
            <v>380632000</v>
          </cell>
          <cell r="AL16">
            <v>8000000</v>
          </cell>
          <cell r="AM16">
            <v>10000000</v>
          </cell>
          <cell r="AN16">
            <v>10000000</v>
          </cell>
          <cell r="AO16">
            <v>150000000</v>
          </cell>
          <cell r="AP16">
            <v>205000000</v>
          </cell>
          <cell r="AQ16">
            <v>75000000</v>
          </cell>
          <cell r="AR16">
            <v>7000000</v>
          </cell>
          <cell r="AS16">
            <v>6300000</v>
          </cell>
          <cell r="AT16">
            <v>7500000</v>
          </cell>
          <cell r="AU16">
            <v>245000000</v>
          </cell>
          <cell r="AV16">
            <v>119074602</v>
          </cell>
          <cell r="AW16">
            <v>13000000</v>
          </cell>
          <cell r="AX16">
            <v>8628900</v>
          </cell>
          <cell r="AY16">
            <v>5000000</v>
          </cell>
          <cell r="AZ16">
            <v>0</v>
          </cell>
        </row>
        <row r="17">
          <cell r="K17">
            <v>20000000</v>
          </cell>
          <cell r="S17">
            <v>126060000</v>
          </cell>
          <cell r="U17">
            <v>169900000</v>
          </cell>
          <cell r="V17">
            <v>10000000</v>
          </cell>
          <cell r="W17">
            <v>0</v>
          </cell>
          <cell r="X17">
            <v>210000000</v>
          </cell>
          <cell r="Y17">
            <v>300000000</v>
          </cell>
          <cell r="Z17">
            <v>0</v>
          </cell>
          <cell r="AA17">
            <v>243000000</v>
          </cell>
          <cell r="AC17">
            <v>371000000</v>
          </cell>
          <cell r="AD17">
            <v>20000000</v>
          </cell>
          <cell r="AE17">
            <v>100000000</v>
          </cell>
          <cell r="AK17">
            <v>380632000</v>
          </cell>
          <cell r="AL17">
            <v>8000000</v>
          </cell>
          <cell r="AM17">
            <v>10000000</v>
          </cell>
          <cell r="AN17">
            <v>10000000</v>
          </cell>
          <cell r="AO17">
            <v>0</v>
          </cell>
          <cell r="AP17">
            <v>205000000</v>
          </cell>
          <cell r="AQ17">
            <v>75000000</v>
          </cell>
          <cell r="AR17">
            <v>7000000</v>
          </cell>
          <cell r="AS17">
            <v>6300000</v>
          </cell>
          <cell r="AT17">
            <v>7500000</v>
          </cell>
          <cell r="AU17">
            <v>245000000</v>
          </cell>
          <cell r="AV17">
            <v>119074602</v>
          </cell>
          <cell r="AW17">
            <v>13000000</v>
          </cell>
          <cell r="AX17">
            <v>8628900</v>
          </cell>
          <cell r="AY17">
            <v>5000000</v>
          </cell>
          <cell r="AZ17">
            <v>0</v>
          </cell>
        </row>
        <row r="18">
          <cell r="K18">
            <v>20000000</v>
          </cell>
          <cell r="S18">
            <v>126060000</v>
          </cell>
          <cell r="U18">
            <v>169900000</v>
          </cell>
          <cell r="V18">
            <v>10000000</v>
          </cell>
          <cell r="W18">
            <v>10000000</v>
          </cell>
          <cell r="X18">
            <v>210000000</v>
          </cell>
          <cell r="Y18">
            <v>0</v>
          </cell>
          <cell r="Z18">
            <v>0</v>
          </cell>
          <cell r="AA18">
            <v>243000000</v>
          </cell>
          <cell r="AC18">
            <v>371000000</v>
          </cell>
          <cell r="AD18">
            <v>20000000</v>
          </cell>
          <cell r="AE18">
            <v>550000000</v>
          </cell>
          <cell r="AK18">
            <v>380632000</v>
          </cell>
          <cell r="AL18">
            <v>8000000</v>
          </cell>
          <cell r="AM18">
            <v>10000000</v>
          </cell>
          <cell r="AN18">
            <v>10000000</v>
          </cell>
          <cell r="AO18">
            <v>0</v>
          </cell>
          <cell r="AP18">
            <v>205000000</v>
          </cell>
          <cell r="AQ18">
            <v>75000000</v>
          </cell>
          <cell r="AR18">
            <v>7000000</v>
          </cell>
          <cell r="AS18">
            <v>6300000</v>
          </cell>
          <cell r="AT18">
            <v>7500000</v>
          </cell>
          <cell r="AU18">
            <v>245000000</v>
          </cell>
          <cell r="AV18">
            <v>119074602</v>
          </cell>
          <cell r="AW18">
            <v>13000000</v>
          </cell>
          <cell r="AX18">
            <v>8628900</v>
          </cell>
          <cell r="AY18">
            <v>5000000</v>
          </cell>
          <cell r="AZ18">
            <v>0</v>
          </cell>
        </row>
        <row r="19">
          <cell r="K19">
            <v>20000000</v>
          </cell>
          <cell r="U19">
            <v>169900000</v>
          </cell>
          <cell r="V19">
            <v>10000000</v>
          </cell>
          <cell r="W19">
            <v>0</v>
          </cell>
          <cell r="X19">
            <v>210000000</v>
          </cell>
          <cell r="Y19">
            <v>0</v>
          </cell>
          <cell r="Z19">
            <v>50000000</v>
          </cell>
          <cell r="AA19">
            <v>243000000</v>
          </cell>
          <cell r="AC19">
            <v>371000000</v>
          </cell>
          <cell r="AD19">
            <v>20000000</v>
          </cell>
          <cell r="AE19">
            <v>100000000</v>
          </cell>
          <cell r="AK19">
            <v>380632000</v>
          </cell>
          <cell r="AL19">
            <v>8000000</v>
          </cell>
          <cell r="AM19">
            <v>10000000</v>
          </cell>
          <cell r="AN19">
            <v>10000000</v>
          </cell>
          <cell r="AO19">
            <v>0</v>
          </cell>
          <cell r="AP19">
            <v>205000000</v>
          </cell>
          <cell r="AQ19">
            <v>75000000</v>
          </cell>
          <cell r="AR19">
            <v>7000000</v>
          </cell>
          <cell r="AS19">
            <v>6300000</v>
          </cell>
          <cell r="AT19">
            <v>7500000</v>
          </cell>
          <cell r="AU19">
            <v>245000000</v>
          </cell>
          <cell r="AV19">
            <v>119074602</v>
          </cell>
          <cell r="AW19">
            <v>13000000</v>
          </cell>
          <cell r="AX19">
            <v>8628900</v>
          </cell>
          <cell r="AY19">
            <v>5000000</v>
          </cell>
          <cell r="AZ19">
            <v>0</v>
          </cell>
        </row>
        <row r="20">
          <cell r="K20">
            <v>20000000</v>
          </cell>
          <cell r="S20">
            <v>126060000</v>
          </cell>
          <cell r="U20">
            <v>169900000</v>
          </cell>
          <cell r="V20">
            <v>10000000</v>
          </cell>
          <cell r="W20">
            <v>0</v>
          </cell>
          <cell r="X20">
            <v>210000000</v>
          </cell>
          <cell r="Y20">
            <v>375000000</v>
          </cell>
          <cell r="Z20">
            <v>0</v>
          </cell>
          <cell r="AA20">
            <v>243000000</v>
          </cell>
          <cell r="AC20">
            <v>371000000</v>
          </cell>
          <cell r="AD20">
            <v>20000000</v>
          </cell>
          <cell r="AE20">
            <v>200000000</v>
          </cell>
          <cell r="AK20">
            <v>380632000</v>
          </cell>
          <cell r="AL20">
            <v>8000000</v>
          </cell>
          <cell r="AM20">
            <v>10000000</v>
          </cell>
          <cell r="AN20">
            <v>10000000</v>
          </cell>
          <cell r="AO20">
            <v>0</v>
          </cell>
          <cell r="AP20">
            <v>205000000</v>
          </cell>
          <cell r="AQ20">
            <v>75000000</v>
          </cell>
          <cell r="AR20">
            <v>7000000</v>
          </cell>
          <cell r="AS20">
            <v>6300000</v>
          </cell>
          <cell r="AT20">
            <v>7500000</v>
          </cell>
          <cell r="AU20">
            <v>245000000</v>
          </cell>
          <cell r="AV20">
            <v>119074602</v>
          </cell>
          <cell r="AW20">
            <v>13000000</v>
          </cell>
          <cell r="AX20">
            <v>8628900</v>
          </cell>
          <cell r="AY20">
            <v>5000000</v>
          </cell>
          <cell r="AZ20">
            <v>0</v>
          </cell>
        </row>
        <row r="21">
          <cell r="K21">
            <v>20000000</v>
          </cell>
          <cell r="S21">
            <v>126060000</v>
          </cell>
          <cell r="U21">
            <v>169900000</v>
          </cell>
          <cell r="V21">
            <v>10000000</v>
          </cell>
          <cell r="W21">
            <v>0</v>
          </cell>
          <cell r="X21">
            <v>210000000</v>
          </cell>
          <cell r="Y21">
            <v>192000000</v>
          </cell>
          <cell r="Z21">
            <v>250000000</v>
          </cell>
          <cell r="AA21">
            <v>243000000</v>
          </cell>
          <cell r="AC21">
            <v>371000000</v>
          </cell>
          <cell r="AD21">
            <v>20000000</v>
          </cell>
          <cell r="AE21">
            <v>300000000</v>
          </cell>
          <cell r="AK21">
            <v>380632000</v>
          </cell>
          <cell r="AL21">
            <v>8000000</v>
          </cell>
          <cell r="AM21">
            <v>10000000</v>
          </cell>
          <cell r="AN21">
            <v>10000000</v>
          </cell>
          <cell r="AO21">
            <v>0</v>
          </cell>
          <cell r="AP21">
            <v>205000000</v>
          </cell>
          <cell r="AQ21">
            <v>75000000</v>
          </cell>
          <cell r="AR21">
            <v>7000000</v>
          </cell>
          <cell r="AS21">
            <v>6300000</v>
          </cell>
          <cell r="AT21">
            <v>7500000</v>
          </cell>
          <cell r="AU21">
            <v>245000000</v>
          </cell>
          <cell r="AV21">
            <v>119074602</v>
          </cell>
          <cell r="AW21">
            <v>13000000</v>
          </cell>
          <cell r="AX21">
            <v>8628900</v>
          </cell>
          <cell r="AY21">
            <v>5000000</v>
          </cell>
          <cell r="AZ21">
            <v>0</v>
          </cell>
        </row>
        <row r="22">
          <cell r="K22">
            <v>20000000</v>
          </cell>
          <cell r="S22">
            <v>126060000</v>
          </cell>
          <cell r="U22">
            <v>169900000</v>
          </cell>
          <cell r="V22">
            <v>10000000</v>
          </cell>
          <cell r="W22">
            <v>0</v>
          </cell>
          <cell r="X22">
            <v>210000000</v>
          </cell>
          <cell r="Y22">
            <v>0</v>
          </cell>
          <cell r="Z22">
            <v>0</v>
          </cell>
          <cell r="AA22">
            <v>243000000</v>
          </cell>
          <cell r="AC22">
            <v>371000000</v>
          </cell>
          <cell r="AD22">
            <v>20000000</v>
          </cell>
          <cell r="AE22">
            <v>0</v>
          </cell>
          <cell r="AK22">
            <v>380632000</v>
          </cell>
          <cell r="AL22">
            <v>8000000</v>
          </cell>
          <cell r="AM22">
            <v>10000000</v>
          </cell>
          <cell r="AN22">
            <v>10000000</v>
          </cell>
          <cell r="AO22">
            <v>150000000</v>
          </cell>
          <cell r="AP22">
            <v>205000000</v>
          </cell>
          <cell r="AQ22">
            <v>75000000</v>
          </cell>
          <cell r="AR22">
            <v>7000000</v>
          </cell>
          <cell r="AS22">
            <v>6300000</v>
          </cell>
          <cell r="AT22">
            <v>7500000</v>
          </cell>
          <cell r="AU22">
            <v>245000000</v>
          </cell>
          <cell r="AV22">
            <v>119074602</v>
          </cell>
          <cell r="AW22">
            <v>13000000</v>
          </cell>
          <cell r="AX22">
            <v>8628900</v>
          </cell>
          <cell r="AY22">
            <v>5000000</v>
          </cell>
          <cell r="AZ22">
            <v>0</v>
          </cell>
        </row>
        <row r="23">
          <cell r="K23">
            <v>20000000</v>
          </cell>
          <cell r="S23">
            <v>126060000</v>
          </cell>
          <cell r="U23">
            <v>169900000</v>
          </cell>
          <cell r="V23">
            <v>10000000</v>
          </cell>
          <cell r="W23">
            <v>0</v>
          </cell>
          <cell r="X23">
            <v>210000000</v>
          </cell>
          <cell r="Y23">
            <v>0</v>
          </cell>
          <cell r="Z23">
            <v>0</v>
          </cell>
          <cell r="AA23">
            <v>243000000</v>
          </cell>
          <cell r="AC23">
            <v>371000000</v>
          </cell>
          <cell r="AD23">
            <v>20000000</v>
          </cell>
          <cell r="AE23">
            <v>211000000</v>
          </cell>
          <cell r="AK23">
            <v>380632000</v>
          </cell>
          <cell r="AL23">
            <v>8000000</v>
          </cell>
          <cell r="AM23">
            <v>10000000</v>
          </cell>
          <cell r="AN23">
            <v>10000000</v>
          </cell>
          <cell r="AO23">
            <v>0</v>
          </cell>
          <cell r="AP23">
            <v>205000000</v>
          </cell>
          <cell r="AQ23">
            <v>75000000</v>
          </cell>
          <cell r="AR23">
            <v>7000000</v>
          </cell>
          <cell r="AS23">
            <v>6300000</v>
          </cell>
          <cell r="AT23">
            <v>7500000</v>
          </cell>
          <cell r="AU23">
            <v>245000000</v>
          </cell>
          <cell r="AV23">
            <v>119074602</v>
          </cell>
          <cell r="AW23">
            <v>13000000</v>
          </cell>
          <cell r="AX23">
            <v>8628900</v>
          </cell>
          <cell r="AY23">
            <v>5000000</v>
          </cell>
          <cell r="AZ23">
            <v>0</v>
          </cell>
        </row>
        <row r="24">
          <cell r="K24">
            <v>20000000</v>
          </cell>
          <cell r="S24">
            <v>126060000</v>
          </cell>
          <cell r="U24">
            <v>169900000</v>
          </cell>
          <cell r="V24">
            <v>10000000</v>
          </cell>
          <cell r="W24">
            <v>0</v>
          </cell>
          <cell r="X24">
            <v>210000000</v>
          </cell>
          <cell r="Y24">
            <v>0</v>
          </cell>
          <cell r="Z24">
            <v>0</v>
          </cell>
          <cell r="AA24">
            <v>243000000</v>
          </cell>
          <cell r="AC24">
            <v>371000000</v>
          </cell>
          <cell r="AD24">
            <v>20000000</v>
          </cell>
          <cell r="AE24">
            <v>150000000</v>
          </cell>
          <cell r="AK24">
            <v>380632000</v>
          </cell>
          <cell r="AL24">
            <v>8000000</v>
          </cell>
          <cell r="AM24">
            <v>10000000</v>
          </cell>
          <cell r="AN24">
            <v>10000000</v>
          </cell>
          <cell r="AO24">
            <v>0</v>
          </cell>
          <cell r="AP24">
            <v>205000000</v>
          </cell>
          <cell r="AQ24">
            <v>75000000</v>
          </cell>
          <cell r="AR24">
            <v>7000000</v>
          </cell>
          <cell r="AS24">
            <v>6300000</v>
          </cell>
          <cell r="AT24">
            <v>7500000</v>
          </cell>
          <cell r="AU24">
            <v>245000000</v>
          </cell>
          <cell r="AV24">
            <v>119074602</v>
          </cell>
          <cell r="AW24">
            <v>13000000</v>
          </cell>
          <cell r="AX24">
            <v>8628900</v>
          </cell>
          <cell r="AY24">
            <v>5000000</v>
          </cell>
          <cell r="AZ24">
            <v>0</v>
          </cell>
        </row>
        <row r="25">
          <cell r="K25">
            <v>20000000</v>
          </cell>
          <cell r="S25">
            <v>126060000</v>
          </cell>
          <cell r="U25">
            <v>169900000</v>
          </cell>
          <cell r="V25">
            <v>10000000</v>
          </cell>
          <cell r="W25">
            <v>0</v>
          </cell>
          <cell r="X25">
            <v>210000000</v>
          </cell>
          <cell r="Y25">
            <v>42000000</v>
          </cell>
          <cell r="Z25">
            <v>0</v>
          </cell>
          <cell r="AA25">
            <v>243000000</v>
          </cell>
          <cell r="AC25">
            <v>371000000</v>
          </cell>
          <cell r="AD25">
            <v>20000000</v>
          </cell>
          <cell r="AE25">
            <v>130000000</v>
          </cell>
          <cell r="AK25">
            <v>380632000</v>
          </cell>
          <cell r="AL25">
            <v>8000000</v>
          </cell>
          <cell r="AM25">
            <v>10000000</v>
          </cell>
          <cell r="AN25">
            <v>10000000</v>
          </cell>
          <cell r="AO25">
            <v>150000000</v>
          </cell>
          <cell r="AP25">
            <v>205000000</v>
          </cell>
          <cell r="AQ25">
            <v>75000000</v>
          </cell>
          <cell r="AR25">
            <v>7000000</v>
          </cell>
          <cell r="AS25">
            <v>6300000</v>
          </cell>
          <cell r="AT25">
            <v>7500000</v>
          </cell>
          <cell r="AU25">
            <v>245000000</v>
          </cell>
          <cell r="AV25">
            <v>119074602</v>
          </cell>
          <cell r="AW25">
            <v>13000000</v>
          </cell>
          <cell r="AX25">
            <v>8628900</v>
          </cell>
          <cell r="AY25">
            <v>5000000</v>
          </cell>
          <cell r="AZ25">
            <v>0</v>
          </cell>
        </row>
        <row r="26">
          <cell r="S26">
            <v>126060000</v>
          </cell>
          <cell r="U26">
            <v>169900000</v>
          </cell>
          <cell r="V26">
            <v>10000000</v>
          </cell>
          <cell r="W26">
            <v>500000000</v>
          </cell>
          <cell r="X26">
            <v>210000000</v>
          </cell>
          <cell r="Y26">
            <v>0</v>
          </cell>
          <cell r="Z26">
            <v>100000000</v>
          </cell>
          <cell r="AA26">
            <v>243000000</v>
          </cell>
          <cell r="AC26">
            <v>371000000</v>
          </cell>
          <cell r="AD26">
            <v>20000000</v>
          </cell>
          <cell r="AE26">
            <v>200000000</v>
          </cell>
          <cell r="AK26">
            <v>380632000</v>
          </cell>
          <cell r="AL26">
            <v>8000000</v>
          </cell>
          <cell r="AM26">
            <v>10000000</v>
          </cell>
          <cell r="AN26">
            <v>10000000</v>
          </cell>
          <cell r="AO26">
            <v>0</v>
          </cell>
          <cell r="AP26">
            <v>205000000</v>
          </cell>
          <cell r="AQ26">
            <v>75000000</v>
          </cell>
          <cell r="AR26">
            <v>7000000</v>
          </cell>
          <cell r="AS26">
            <v>6300000</v>
          </cell>
          <cell r="AT26">
            <v>7500000</v>
          </cell>
          <cell r="AU26">
            <v>245000000</v>
          </cell>
          <cell r="AV26">
            <v>119074602</v>
          </cell>
          <cell r="AW26">
            <v>13000000</v>
          </cell>
          <cell r="AX26">
            <v>8628900</v>
          </cell>
          <cell r="AY26">
            <v>5000000</v>
          </cell>
          <cell r="AZ26">
            <v>0</v>
          </cell>
        </row>
        <row r="27">
          <cell r="K27">
            <v>20000000</v>
          </cell>
          <cell r="S27">
            <v>126060000</v>
          </cell>
          <cell r="U27">
            <v>169900000</v>
          </cell>
          <cell r="V27">
            <v>10000000</v>
          </cell>
          <cell r="W27">
            <v>0</v>
          </cell>
          <cell r="X27">
            <v>210000000</v>
          </cell>
          <cell r="Y27">
            <v>67000000</v>
          </cell>
          <cell r="Z27">
            <v>110000000</v>
          </cell>
          <cell r="AA27">
            <v>243000000</v>
          </cell>
          <cell r="AC27">
            <v>371000000</v>
          </cell>
          <cell r="AD27">
            <v>20000000</v>
          </cell>
          <cell r="AE27">
            <v>0</v>
          </cell>
          <cell r="AK27">
            <v>380632000</v>
          </cell>
          <cell r="AL27">
            <v>8000000</v>
          </cell>
          <cell r="AM27">
            <v>10000000</v>
          </cell>
          <cell r="AN27">
            <v>10000000</v>
          </cell>
          <cell r="AO27">
            <v>150000000</v>
          </cell>
          <cell r="AP27">
            <v>205000000</v>
          </cell>
          <cell r="AQ27">
            <v>75000000</v>
          </cell>
          <cell r="AR27">
            <v>7000000</v>
          </cell>
          <cell r="AS27">
            <v>6300000</v>
          </cell>
          <cell r="AT27">
            <v>7500000</v>
          </cell>
          <cell r="AU27">
            <v>245000000</v>
          </cell>
          <cell r="AV27">
            <v>119074602</v>
          </cell>
          <cell r="AW27">
            <v>13000000</v>
          </cell>
          <cell r="AX27">
            <v>8628900</v>
          </cell>
          <cell r="AY27">
            <v>5000000</v>
          </cell>
          <cell r="AZ27">
            <v>0</v>
          </cell>
        </row>
        <row r="28">
          <cell r="K28">
            <v>20000000</v>
          </cell>
          <cell r="S28">
            <v>126060000</v>
          </cell>
          <cell r="U28">
            <v>169900000</v>
          </cell>
          <cell r="V28">
            <v>10000000</v>
          </cell>
          <cell r="W28">
            <v>320000000</v>
          </cell>
          <cell r="X28">
            <v>210000000</v>
          </cell>
          <cell r="Y28">
            <v>50000000</v>
          </cell>
          <cell r="Z28">
            <v>0</v>
          </cell>
          <cell r="AA28">
            <v>243000000</v>
          </cell>
          <cell r="AC28">
            <v>371000000</v>
          </cell>
          <cell r="AD28">
            <v>20000000</v>
          </cell>
          <cell r="AE28">
            <v>80000000</v>
          </cell>
          <cell r="AK28">
            <v>380632000</v>
          </cell>
          <cell r="AL28">
            <v>8000000</v>
          </cell>
          <cell r="AM28">
            <v>10000000</v>
          </cell>
          <cell r="AN28">
            <v>10000000</v>
          </cell>
          <cell r="AO28">
            <v>0</v>
          </cell>
          <cell r="AP28">
            <v>205000000</v>
          </cell>
          <cell r="AQ28">
            <v>75000000</v>
          </cell>
          <cell r="AR28">
            <v>7000000</v>
          </cell>
          <cell r="AS28">
            <v>6300000</v>
          </cell>
          <cell r="AT28">
            <v>7500000</v>
          </cell>
          <cell r="AU28">
            <v>245000000</v>
          </cell>
          <cell r="AV28">
            <v>119074602</v>
          </cell>
          <cell r="AW28">
            <v>13000000</v>
          </cell>
          <cell r="AX28">
            <v>8628900</v>
          </cell>
          <cell r="AY28">
            <v>5000000</v>
          </cell>
          <cell r="AZ28">
            <v>0</v>
          </cell>
        </row>
        <row r="29">
          <cell r="K29">
            <v>20000000</v>
          </cell>
          <cell r="S29">
            <v>126060000</v>
          </cell>
          <cell r="U29">
            <v>169900000</v>
          </cell>
          <cell r="V29">
            <v>10000000</v>
          </cell>
          <cell r="W29">
            <v>250000000</v>
          </cell>
          <cell r="X29">
            <v>210000000</v>
          </cell>
          <cell r="Y29">
            <v>0</v>
          </cell>
          <cell r="Z29">
            <v>0</v>
          </cell>
          <cell r="AA29">
            <v>243000000</v>
          </cell>
          <cell r="AC29">
            <v>371000000</v>
          </cell>
          <cell r="AD29">
            <v>20000000</v>
          </cell>
          <cell r="AE29">
            <v>300000000</v>
          </cell>
          <cell r="AK29">
            <v>380632000</v>
          </cell>
          <cell r="AL29">
            <v>8000000</v>
          </cell>
          <cell r="AM29">
            <v>10000000</v>
          </cell>
          <cell r="AN29">
            <v>10000000</v>
          </cell>
          <cell r="AO29">
            <v>0</v>
          </cell>
          <cell r="AP29">
            <v>205000000</v>
          </cell>
          <cell r="AQ29">
            <v>75000000</v>
          </cell>
          <cell r="AR29">
            <v>7000000</v>
          </cell>
          <cell r="AS29">
            <v>6300000</v>
          </cell>
          <cell r="AT29">
            <v>7500000</v>
          </cell>
          <cell r="AU29">
            <v>245000000</v>
          </cell>
          <cell r="AV29">
            <v>119074602</v>
          </cell>
          <cell r="AW29">
            <v>13000000</v>
          </cell>
          <cell r="AX29">
            <v>8628900</v>
          </cell>
          <cell r="AY29">
            <v>5000000</v>
          </cell>
          <cell r="AZ29">
            <v>60087813.5</v>
          </cell>
        </row>
        <row r="30">
          <cell r="K30">
            <v>20000000</v>
          </cell>
          <cell r="U30">
            <v>169900000</v>
          </cell>
          <cell r="V30">
            <v>10000000</v>
          </cell>
          <cell r="W30">
            <v>0</v>
          </cell>
          <cell r="X30">
            <v>210000000</v>
          </cell>
          <cell r="Y30">
            <v>0</v>
          </cell>
          <cell r="Z30">
            <v>0</v>
          </cell>
          <cell r="AA30">
            <v>243000000</v>
          </cell>
          <cell r="AC30">
            <v>371000000</v>
          </cell>
          <cell r="AD30">
            <v>20000000</v>
          </cell>
          <cell r="AE30">
            <v>200000000</v>
          </cell>
          <cell r="AK30">
            <v>380632000</v>
          </cell>
          <cell r="AL30">
            <v>8000000</v>
          </cell>
          <cell r="AM30">
            <v>10000000</v>
          </cell>
          <cell r="AN30">
            <v>10000000</v>
          </cell>
          <cell r="AO30">
            <v>150000000</v>
          </cell>
          <cell r="AP30">
            <v>205000000</v>
          </cell>
          <cell r="AQ30">
            <v>75000000</v>
          </cell>
          <cell r="AR30">
            <v>7000000</v>
          </cell>
          <cell r="AS30">
            <v>6300000</v>
          </cell>
          <cell r="AT30">
            <v>7500000</v>
          </cell>
          <cell r="AU30">
            <v>245000000</v>
          </cell>
          <cell r="AV30">
            <v>119074602</v>
          </cell>
          <cell r="AW30">
            <v>13000000</v>
          </cell>
          <cell r="AX30">
            <v>8628900</v>
          </cell>
          <cell r="AY30">
            <v>5000000</v>
          </cell>
          <cell r="AZ30">
            <v>0</v>
          </cell>
        </row>
        <row r="31">
          <cell r="K31">
            <v>20000000</v>
          </cell>
          <cell r="S31">
            <v>126060000</v>
          </cell>
          <cell r="U31">
            <v>169900000</v>
          </cell>
          <cell r="V31">
            <v>10000000</v>
          </cell>
          <cell r="W31">
            <v>150000000</v>
          </cell>
          <cell r="X31">
            <v>210000000</v>
          </cell>
          <cell r="Y31">
            <v>750000000</v>
          </cell>
          <cell r="AA31">
            <v>243000000</v>
          </cell>
          <cell r="AC31">
            <v>371000000</v>
          </cell>
          <cell r="AD31">
            <v>20000000</v>
          </cell>
          <cell r="AE31">
            <v>60000000</v>
          </cell>
          <cell r="AK31">
            <v>380632000</v>
          </cell>
          <cell r="AL31">
            <v>8000000</v>
          </cell>
          <cell r="AM31">
            <v>10000000</v>
          </cell>
          <cell r="AN31">
            <v>10000000</v>
          </cell>
          <cell r="AO31">
            <v>0</v>
          </cell>
          <cell r="AP31">
            <v>205000000</v>
          </cell>
          <cell r="AQ31">
            <v>75000000</v>
          </cell>
          <cell r="AR31">
            <v>7000000</v>
          </cell>
          <cell r="AS31">
            <v>6300000</v>
          </cell>
          <cell r="AT31">
            <v>7500000</v>
          </cell>
          <cell r="AU31">
            <v>245000000</v>
          </cell>
          <cell r="AV31">
            <v>119074602</v>
          </cell>
          <cell r="AW31">
            <v>13000000</v>
          </cell>
          <cell r="AX31">
            <v>8628900</v>
          </cell>
          <cell r="AY31">
            <v>5000000</v>
          </cell>
          <cell r="AZ31">
            <v>0</v>
          </cell>
        </row>
        <row r="32">
          <cell r="K32">
            <v>20000000</v>
          </cell>
          <cell r="S32">
            <v>126060000</v>
          </cell>
          <cell r="U32">
            <v>169900000</v>
          </cell>
          <cell r="V32">
            <v>10000000</v>
          </cell>
          <cell r="W32">
            <v>0</v>
          </cell>
          <cell r="X32">
            <v>210000000</v>
          </cell>
          <cell r="Y32">
            <v>350000000</v>
          </cell>
          <cell r="Z32">
            <v>100000000</v>
          </cell>
          <cell r="AA32">
            <v>243000000</v>
          </cell>
          <cell r="AC32">
            <v>371000000</v>
          </cell>
          <cell r="AD32">
            <v>20000000</v>
          </cell>
          <cell r="AE32">
            <v>150000000</v>
          </cell>
          <cell r="AK32">
            <v>380632000</v>
          </cell>
          <cell r="AL32">
            <v>8000000</v>
          </cell>
          <cell r="AM32">
            <v>10000000</v>
          </cell>
          <cell r="AN32">
            <v>10000000</v>
          </cell>
          <cell r="AO32">
            <v>0</v>
          </cell>
          <cell r="AP32">
            <v>205000000</v>
          </cell>
          <cell r="AQ32">
            <v>75000000</v>
          </cell>
          <cell r="AR32">
            <v>7000000</v>
          </cell>
          <cell r="AS32">
            <v>6300000</v>
          </cell>
          <cell r="AT32">
            <v>7500000</v>
          </cell>
          <cell r="AU32">
            <v>245000000</v>
          </cell>
          <cell r="AV32">
            <v>119074602</v>
          </cell>
          <cell r="AW32">
            <v>13000000</v>
          </cell>
          <cell r="AX32">
            <v>8628900</v>
          </cell>
          <cell r="AY32">
            <v>5000000</v>
          </cell>
          <cell r="AZ32">
            <v>0</v>
          </cell>
        </row>
        <row r="33">
          <cell r="K33">
            <v>20000000</v>
          </cell>
          <cell r="S33">
            <v>126060000</v>
          </cell>
          <cell r="U33">
            <v>169900000</v>
          </cell>
          <cell r="V33">
            <v>10000000</v>
          </cell>
          <cell r="W33">
            <v>100000000</v>
          </cell>
          <cell r="X33">
            <v>210000000</v>
          </cell>
          <cell r="Y33">
            <v>750000000</v>
          </cell>
          <cell r="Z33">
            <v>150000000</v>
          </cell>
          <cell r="AA33">
            <v>243000000</v>
          </cell>
          <cell r="AC33">
            <v>371000000</v>
          </cell>
          <cell r="AD33">
            <v>20000000</v>
          </cell>
          <cell r="AE33">
            <v>105000000</v>
          </cell>
          <cell r="AK33">
            <v>380632000</v>
          </cell>
          <cell r="AL33">
            <v>8000000</v>
          </cell>
          <cell r="AM33">
            <v>10000000</v>
          </cell>
          <cell r="AN33">
            <v>10000000</v>
          </cell>
          <cell r="AO33">
            <v>0</v>
          </cell>
          <cell r="AP33">
            <v>205000000</v>
          </cell>
          <cell r="AQ33">
            <v>75000000</v>
          </cell>
          <cell r="AR33">
            <v>7000000</v>
          </cell>
          <cell r="AS33">
            <v>6300000</v>
          </cell>
          <cell r="AT33">
            <v>7500000</v>
          </cell>
          <cell r="AU33">
            <v>245000000</v>
          </cell>
          <cell r="AV33">
            <v>119074602</v>
          </cell>
          <cell r="AW33">
            <v>13000000</v>
          </cell>
          <cell r="AX33">
            <v>8628900</v>
          </cell>
          <cell r="AY33">
            <v>5000000</v>
          </cell>
          <cell r="AZ33">
            <v>0</v>
          </cell>
        </row>
        <row r="34">
          <cell r="K34">
            <v>20000000</v>
          </cell>
          <cell r="S34">
            <v>126060000</v>
          </cell>
          <cell r="U34">
            <v>169900000</v>
          </cell>
          <cell r="V34">
            <v>10000000</v>
          </cell>
          <cell r="W34">
            <v>0</v>
          </cell>
          <cell r="X34">
            <v>210000000</v>
          </cell>
          <cell r="Y34">
            <v>0</v>
          </cell>
          <cell r="Z34">
            <v>0</v>
          </cell>
          <cell r="AA34">
            <v>243000000</v>
          </cell>
          <cell r="AC34">
            <v>371000000</v>
          </cell>
          <cell r="AD34">
            <v>20000000</v>
          </cell>
          <cell r="AE34">
            <v>0</v>
          </cell>
          <cell r="AK34">
            <v>380632000</v>
          </cell>
          <cell r="AL34">
            <v>8000000</v>
          </cell>
          <cell r="AM34">
            <v>10000000</v>
          </cell>
          <cell r="AN34">
            <v>10000000</v>
          </cell>
          <cell r="AO34">
            <v>0</v>
          </cell>
          <cell r="AP34">
            <v>205000000</v>
          </cell>
          <cell r="AQ34">
            <v>75000000</v>
          </cell>
          <cell r="AR34">
            <v>7000000</v>
          </cell>
          <cell r="AS34">
            <v>6300000</v>
          </cell>
          <cell r="AT34">
            <v>7500000</v>
          </cell>
          <cell r="AU34">
            <v>245000000</v>
          </cell>
          <cell r="AV34">
            <v>119074602</v>
          </cell>
          <cell r="AW34">
            <v>13000000</v>
          </cell>
          <cell r="AX34">
            <v>8628900</v>
          </cell>
          <cell r="AY34">
            <v>5000000</v>
          </cell>
          <cell r="AZ34">
            <v>0</v>
          </cell>
        </row>
        <row r="35">
          <cell r="K35">
            <v>20000000</v>
          </cell>
          <cell r="R35">
            <v>10695699.43</v>
          </cell>
          <cell r="S35">
            <v>126060000</v>
          </cell>
          <cell r="U35">
            <v>169900000</v>
          </cell>
          <cell r="V35">
            <v>10000000</v>
          </cell>
          <cell r="W35">
            <v>500000000</v>
          </cell>
          <cell r="X35">
            <v>210000000</v>
          </cell>
          <cell r="Y35">
            <v>200000000</v>
          </cell>
          <cell r="Z35">
            <v>0</v>
          </cell>
          <cell r="AA35">
            <v>243000000</v>
          </cell>
          <cell r="AC35">
            <v>371000000</v>
          </cell>
          <cell r="AD35">
            <v>20000000</v>
          </cell>
          <cell r="AE35">
            <v>150000000</v>
          </cell>
          <cell r="AK35">
            <v>380632000</v>
          </cell>
          <cell r="AL35">
            <v>8000000</v>
          </cell>
          <cell r="AM35">
            <v>10000000</v>
          </cell>
          <cell r="AN35">
            <v>10000000</v>
          </cell>
          <cell r="AO35">
            <v>150000000</v>
          </cell>
          <cell r="AP35">
            <v>205000000</v>
          </cell>
          <cell r="AQ35">
            <v>75000000</v>
          </cell>
          <cell r="AR35">
            <v>7000000</v>
          </cell>
          <cell r="AS35">
            <v>6300000</v>
          </cell>
          <cell r="AT35">
            <v>7500000</v>
          </cell>
          <cell r="AU35">
            <v>245000000</v>
          </cell>
          <cell r="AV35">
            <v>119074602</v>
          </cell>
          <cell r="AW35">
            <v>13000000</v>
          </cell>
          <cell r="AX35">
            <v>8628900</v>
          </cell>
          <cell r="AY35">
            <v>5000000</v>
          </cell>
          <cell r="AZ35">
            <v>0</v>
          </cell>
        </row>
        <row r="36">
          <cell r="K36">
            <v>20000000</v>
          </cell>
          <cell r="S36">
            <v>126060000</v>
          </cell>
          <cell r="U36">
            <v>169900000</v>
          </cell>
          <cell r="V36">
            <v>10000000</v>
          </cell>
          <cell r="W36">
            <v>250000000</v>
          </cell>
          <cell r="X36">
            <v>210000000</v>
          </cell>
          <cell r="Y36">
            <v>30000000</v>
          </cell>
          <cell r="Z36">
            <v>240000000</v>
          </cell>
          <cell r="AA36">
            <v>243000000</v>
          </cell>
          <cell r="AC36">
            <v>371000000</v>
          </cell>
          <cell r="AD36">
            <v>20000000</v>
          </cell>
          <cell r="AE36">
            <v>55000000</v>
          </cell>
          <cell r="AK36">
            <v>380632000</v>
          </cell>
          <cell r="AL36">
            <v>8000000</v>
          </cell>
          <cell r="AM36">
            <v>10000000</v>
          </cell>
          <cell r="AN36">
            <v>10000000</v>
          </cell>
          <cell r="AO36">
            <v>150000000</v>
          </cell>
          <cell r="AP36">
            <v>205000000</v>
          </cell>
          <cell r="AQ36">
            <v>75000000</v>
          </cell>
          <cell r="AR36">
            <v>7000000</v>
          </cell>
          <cell r="AS36">
            <v>6300000</v>
          </cell>
          <cell r="AT36">
            <v>7500000</v>
          </cell>
          <cell r="AU36">
            <v>245000000</v>
          </cell>
          <cell r="AV36">
            <v>119074602</v>
          </cell>
          <cell r="AW36">
            <v>13000000</v>
          </cell>
          <cell r="AX36">
            <v>8628900</v>
          </cell>
          <cell r="AY36">
            <v>5000000</v>
          </cell>
          <cell r="AZ36">
            <v>0</v>
          </cell>
        </row>
        <row r="37">
          <cell r="K37">
            <v>20000000</v>
          </cell>
          <cell r="S37">
            <v>126060000</v>
          </cell>
          <cell r="U37">
            <v>169900000</v>
          </cell>
          <cell r="V37">
            <v>10000000</v>
          </cell>
          <cell r="W37">
            <v>0</v>
          </cell>
          <cell r="X37">
            <v>210000000</v>
          </cell>
          <cell r="Y37">
            <v>0</v>
          </cell>
          <cell r="Z37">
            <v>0</v>
          </cell>
          <cell r="AA37">
            <v>243000000</v>
          </cell>
          <cell r="AC37">
            <v>371000000</v>
          </cell>
          <cell r="AD37">
            <v>20000000</v>
          </cell>
          <cell r="AE37">
            <v>102000000</v>
          </cell>
          <cell r="AK37">
            <v>380632000</v>
          </cell>
          <cell r="AL37">
            <v>8000000</v>
          </cell>
          <cell r="AM37">
            <v>10000000</v>
          </cell>
          <cell r="AN37">
            <v>10000000</v>
          </cell>
          <cell r="AO37">
            <v>150000000</v>
          </cell>
          <cell r="AP37">
            <v>205000000</v>
          </cell>
          <cell r="AQ37">
            <v>75000000</v>
          </cell>
          <cell r="AR37">
            <v>7000000</v>
          </cell>
          <cell r="AS37">
            <v>6300000</v>
          </cell>
          <cell r="AT37">
            <v>7500000</v>
          </cell>
          <cell r="AU37">
            <v>245000000</v>
          </cell>
          <cell r="AV37">
            <v>119074602</v>
          </cell>
          <cell r="AW37">
            <v>13000000</v>
          </cell>
          <cell r="AX37">
            <v>8628900</v>
          </cell>
          <cell r="AY37">
            <v>5000000</v>
          </cell>
          <cell r="AZ37">
            <v>0</v>
          </cell>
        </row>
        <row r="38">
          <cell r="K38">
            <v>20000000</v>
          </cell>
          <cell r="S38">
            <v>126060000</v>
          </cell>
          <cell r="U38">
            <v>169900000</v>
          </cell>
          <cell r="V38">
            <v>10000000</v>
          </cell>
          <cell r="W38">
            <v>0</v>
          </cell>
          <cell r="X38">
            <v>210000000</v>
          </cell>
          <cell r="Y38">
            <v>200000000</v>
          </cell>
          <cell r="Z38">
            <v>30000000</v>
          </cell>
          <cell r="AA38">
            <v>243000000</v>
          </cell>
          <cell r="AC38">
            <v>371000000</v>
          </cell>
          <cell r="AD38">
            <v>20000000</v>
          </cell>
          <cell r="AE38">
            <v>100000000</v>
          </cell>
          <cell r="AK38">
            <v>380632000</v>
          </cell>
          <cell r="AL38">
            <v>8000000</v>
          </cell>
          <cell r="AM38">
            <v>10000000</v>
          </cell>
          <cell r="AN38">
            <v>10000000</v>
          </cell>
          <cell r="AO38">
            <v>0</v>
          </cell>
          <cell r="AP38">
            <v>205000000</v>
          </cell>
          <cell r="AQ38">
            <v>75000000</v>
          </cell>
          <cell r="AR38">
            <v>7000000</v>
          </cell>
          <cell r="AS38">
            <v>6300000</v>
          </cell>
          <cell r="AT38">
            <v>7500000</v>
          </cell>
          <cell r="AU38">
            <v>245000000</v>
          </cell>
          <cell r="AV38">
            <v>119074602</v>
          </cell>
          <cell r="AW38">
            <v>13000000</v>
          </cell>
          <cell r="AX38">
            <v>8628900</v>
          </cell>
          <cell r="AY38">
            <v>5000000</v>
          </cell>
          <cell r="AZ38">
            <v>0</v>
          </cell>
        </row>
        <row r="39">
          <cell r="K39">
            <v>20000000</v>
          </cell>
          <cell r="U39">
            <v>169900000</v>
          </cell>
          <cell r="V39">
            <v>10000000</v>
          </cell>
          <cell r="W39">
            <v>0</v>
          </cell>
          <cell r="X39">
            <v>210000000</v>
          </cell>
          <cell r="Y39">
            <v>0</v>
          </cell>
          <cell r="Z39">
            <v>300000000</v>
          </cell>
          <cell r="AA39">
            <v>243000000</v>
          </cell>
          <cell r="AC39">
            <v>371000000</v>
          </cell>
          <cell r="AD39">
            <v>20000000</v>
          </cell>
          <cell r="AE39">
            <v>100000000</v>
          </cell>
          <cell r="AK39">
            <v>380632000</v>
          </cell>
          <cell r="AL39">
            <v>8000000</v>
          </cell>
          <cell r="AM39">
            <v>10000000</v>
          </cell>
          <cell r="AN39">
            <v>10000000</v>
          </cell>
          <cell r="AO39">
            <v>0</v>
          </cell>
          <cell r="AP39">
            <v>205000000</v>
          </cell>
          <cell r="AQ39">
            <v>75000000</v>
          </cell>
          <cell r="AR39">
            <v>7000000</v>
          </cell>
          <cell r="AS39">
            <v>6300000</v>
          </cell>
          <cell r="AT39">
            <v>7500000</v>
          </cell>
          <cell r="AU39">
            <v>245000000</v>
          </cell>
          <cell r="AV39">
            <v>119074602</v>
          </cell>
          <cell r="AW39">
            <v>13000000</v>
          </cell>
          <cell r="AX39">
            <v>8628900</v>
          </cell>
          <cell r="AY39">
            <v>5000000</v>
          </cell>
          <cell r="AZ39">
            <v>0</v>
          </cell>
        </row>
        <row r="40">
          <cell r="K40">
            <v>20000000</v>
          </cell>
          <cell r="S40">
            <v>126060000</v>
          </cell>
          <cell r="U40">
            <v>169900000</v>
          </cell>
          <cell r="V40">
            <v>10000000</v>
          </cell>
          <cell r="W40">
            <v>0</v>
          </cell>
          <cell r="X40">
            <v>210000000</v>
          </cell>
          <cell r="Y40">
            <v>0</v>
          </cell>
          <cell r="Z40">
            <v>0</v>
          </cell>
          <cell r="AA40">
            <v>243000000</v>
          </cell>
          <cell r="AC40">
            <v>371000000</v>
          </cell>
          <cell r="AD40">
            <v>20000000</v>
          </cell>
          <cell r="AE40">
            <v>200000000</v>
          </cell>
          <cell r="AK40">
            <v>380632000</v>
          </cell>
          <cell r="AL40">
            <v>8000000</v>
          </cell>
          <cell r="AM40">
            <v>10000000</v>
          </cell>
          <cell r="AN40">
            <v>10000000</v>
          </cell>
          <cell r="AO40">
            <v>150000000</v>
          </cell>
          <cell r="AP40">
            <v>205000000</v>
          </cell>
          <cell r="AQ40">
            <v>150000000</v>
          </cell>
          <cell r="AR40">
            <v>7000000</v>
          </cell>
          <cell r="AS40">
            <v>6300000</v>
          </cell>
          <cell r="AT40">
            <v>7500000</v>
          </cell>
          <cell r="AU40">
            <v>245000000</v>
          </cell>
          <cell r="AV40">
            <v>119074602</v>
          </cell>
          <cell r="AW40">
            <v>13000000</v>
          </cell>
          <cell r="AX40">
            <v>8628900</v>
          </cell>
          <cell r="AY40">
            <v>5000000</v>
          </cell>
          <cell r="AZ40">
            <v>0</v>
          </cell>
        </row>
        <row r="41">
          <cell r="K41">
            <v>20000000</v>
          </cell>
          <cell r="S41">
            <v>126060000</v>
          </cell>
          <cell r="U41">
            <v>169900000</v>
          </cell>
          <cell r="V41">
            <v>10000000</v>
          </cell>
          <cell r="W41">
            <v>25000000</v>
          </cell>
          <cell r="X41">
            <v>210000000</v>
          </cell>
          <cell r="Y41">
            <v>80000000</v>
          </cell>
          <cell r="Z41">
            <v>12000000</v>
          </cell>
          <cell r="AA41">
            <v>243000000</v>
          </cell>
          <cell r="AC41">
            <v>371000000</v>
          </cell>
          <cell r="AD41">
            <v>20000000</v>
          </cell>
          <cell r="AE41">
            <v>10000000</v>
          </cell>
          <cell r="AK41">
            <v>380632000</v>
          </cell>
          <cell r="AL41">
            <v>8000000</v>
          </cell>
          <cell r="AM41">
            <v>10000000</v>
          </cell>
          <cell r="AN41">
            <v>10000000</v>
          </cell>
          <cell r="AO41">
            <v>150000000</v>
          </cell>
          <cell r="AP41">
            <v>205000000</v>
          </cell>
          <cell r="AQ41">
            <v>75000000</v>
          </cell>
          <cell r="AR41">
            <v>7000000</v>
          </cell>
          <cell r="AS41">
            <v>6300000</v>
          </cell>
          <cell r="AT41">
            <v>7500000</v>
          </cell>
          <cell r="AU41">
            <v>245000000</v>
          </cell>
          <cell r="AV41">
            <v>119074602</v>
          </cell>
          <cell r="AW41">
            <v>13000000</v>
          </cell>
          <cell r="AX41">
            <v>8628900</v>
          </cell>
          <cell r="AY41">
            <v>5000000</v>
          </cell>
          <cell r="AZ41">
            <v>0</v>
          </cell>
        </row>
        <row r="42">
          <cell r="S42">
            <v>126060000</v>
          </cell>
          <cell r="U42">
            <v>169900000</v>
          </cell>
          <cell r="V42">
            <v>10000000</v>
          </cell>
          <cell r="W42">
            <v>0</v>
          </cell>
          <cell r="X42">
            <v>210000000</v>
          </cell>
          <cell r="Y42">
            <v>200000000</v>
          </cell>
          <cell r="Z42">
            <v>300000000</v>
          </cell>
          <cell r="AA42">
            <v>243000000</v>
          </cell>
          <cell r="AC42">
            <v>371000000</v>
          </cell>
          <cell r="AD42">
            <v>20000000</v>
          </cell>
          <cell r="AE42">
            <v>150000000</v>
          </cell>
          <cell r="AK42">
            <v>380632000</v>
          </cell>
          <cell r="AL42">
            <v>8000000</v>
          </cell>
          <cell r="AM42">
            <v>10000000</v>
          </cell>
          <cell r="AN42">
            <v>10000000</v>
          </cell>
          <cell r="AO42">
            <v>0</v>
          </cell>
          <cell r="AP42">
            <v>205000000</v>
          </cell>
          <cell r="AQ42">
            <v>75000000</v>
          </cell>
          <cell r="AR42">
            <v>7000000</v>
          </cell>
          <cell r="AS42">
            <v>6300000</v>
          </cell>
          <cell r="AT42">
            <v>7500000</v>
          </cell>
          <cell r="AU42">
            <v>245000000</v>
          </cell>
          <cell r="AV42">
            <v>119074602</v>
          </cell>
          <cell r="AW42">
            <v>13000000</v>
          </cell>
          <cell r="AX42">
            <v>8628900</v>
          </cell>
          <cell r="AY42">
            <v>5000000</v>
          </cell>
          <cell r="AZ42">
            <v>0</v>
          </cell>
        </row>
        <row r="43">
          <cell r="K43">
            <v>20000000</v>
          </cell>
          <cell r="S43">
            <v>126060000</v>
          </cell>
          <cell r="U43">
            <v>169900000</v>
          </cell>
          <cell r="V43">
            <v>10000000</v>
          </cell>
          <cell r="W43">
            <v>0</v>
          </cell>
          <cell r="X43">
            <v>210000000</v>
          </cell>
          <cell r="Y43">
            <v>0</v>
          </cell>
          <cell r="Z43">
            <v>0</v>
          </cell>
          <cell r="AA43">
            <v>243000000</v>
          </cell>
          <cell r="AC43">
            <v>371000000</v>
          </cell>
          <cell r="AD43">
            <v>20000000</v>
          </cell>
          <cell r="AE43">
            <v>0</v>
          </cell>
          <cell r="AK43">
            <v>380632000</v>
          </cell>
          <cell r="AL43">
            <v>8000000</v>
          </cell>
          <cell r="AM43">
            <v>10000000</v>
          </cell>
          <cell r="AN43">
            <v>10000000</v>
          </cell>
          <cell r="AO43">
            <v>0</v>
          </cell>
          <cell r="AQ43">
            <v>75000000</v>
          </cell>
          <cell r="AU43">
            <v>245000000</v>
          </cell>
          <cell r="AV43">
            <v>119074602</v>
          </cell>
          <cell r="AW43">
            <v>13000000</v>
          </cell>
          <cell r="AX43">
            <v>8628900</v>
          </cell>
          <cell r="AY43">
            <v>5000000</v>
          </cell>
          <cell r="AZ43">
            <v>0</v>
          </cell>
        </row>
        <row r="44">
          <cell r="K44">
            <v>20000000</v>
          </cell>
          <cell r="S44">
            <v>126060000</v>
          </cell>
          <cell r="U44">
            <v>169900000</v>
          </cell>
          <cell r="V44">
            <v>10000000</v>
          </cell>
          <cell r="W44">
            <v>0</v>
          </cell>
          <cell r="X44">
            <v>210000000</v>
          </cell>
          <cell r="Y44">
            <v>100000000</v>
          </cell>
          <cell r="Z44">
            <v>40000000</v>
          </cell>
          <cell r="AA44">
            <v>243000000</v>
          </cell>
          <cell r="AC44">
            <v>371000000</v>
          </cell>
          <cell r="AD44">
            <v>20000000</v>
          </cell>
          <cell r="AE44">
            <v>200000000</v>
          </cell>
          <cell r="AK44">
            <v>380632000</v>
          </cell>
          <cell r="AL44">
            <v>8000000</v>
          </cell>
          <cell r="AM44">
            <v>10000000</v>
          </cell>
          <cell r="AN44">
            <v>10000000</v>
          </cell>
          <cell r="AO44">
            <v>0</v>
          </cell>
          <cell r="AP44">
            <v>205000000</v>
          </cell>
          <cell r="AQ44">
            <v>75000000</v>
          </cell>
          <cell r="AR44">
            <v>7000000</v>
          </cell>
          <cell r="AS44">
            <v>6300000</v>
          </cell>
          <cell r="AT44">
            <v>7500000</v>
          </cell>
          <cell r="AU44">
            <v>245000000</v>
          </cell>
          <cell r="AV44">
            <v>119074602</v>
          </cell>
          <cell r="AW44">
            <v>13000000</v>
          </cell>
          <cell r="AX44">
            <v>8628900</v>
          </cell>
          <cell r="AY44">
            <v>5000000</v>
          </cell>
          <cell r="AZ44">
            <v>0</v>
          </cell>
        </row>
        <row r="45">
          <cell r="K45">
            <v>20000000</v>
          </cell>
          <cell r="S45">
            <v>126060000</v>
          </cell>
          <cell r="U45">
            <v>0</v>
          </cell>
          <cell r="V45">
            <v>0</v>
          </cell>
          <cell r="W45">
            <v>0</v>
          </cell>
          <cell r="X45">
            <v>210000000</v>
          </cell>
          <cell r="Y45">
            <v>0</v>
          </cell>
          <cell r="Z45">
            <v>0</v>
          </cell>
          <cell r="AA45">
            <v>0</v>
          </cell>
          <cell r="AC45">
            <v>371000000</v>
          </cell>
          <cell r="AD45">
            <v>20000000</v>
          </cell>
          <cell r="AE45">
            <v>100000000</v>
          </cell>
          <cell r="AK45">
            <v>380632000</v>
          </cell>
          <cell r="AL45">
            <v>8000000</v>
          </cell>
          <cell r="AM45">
            <v>10000000</v>
          </cell>
          <cell r="AN45">
            <v>10000000</v>
          </cell>
          <cell r="AO45">
            <v>150000000</v>
          </cell>
          <cell r="AQ45">
            <v>75000000</v>
          </cell>
          <cell r="AU45">
            <v>245000000</v>
          </cell>
          <cell r="AV45">
            <v>119074602</v>
          </cell>
          <cell r="AW45">
            <v>13000000</v>
          </cell>
          <cell r="AX45">
            <v>8628900</v>
          </cell>
          <cell r="AY45">
            <v>5000000</v>
          </cell>
          <cell r="AZ45">
            <v>0</v>
          </cell>
        </row>
        <row r="46">
          <cell r="S46">
            <v>0</v>
          </cell>
          <cell r="U46">
            <v>169900000</v>
          </cell>
          <cell r="V46">
            <v>10000000</v>
          </cell>
          <cell r="W46">
            <v>220000000</v>
          </cell>
          <cell r="X46">
            <v>0</v>
          </cell>
          <cell r="Y46">
            <v>0</v>
          </cell>
          <cell r="Z46">
            <v>280000000</v>
          </cell>
          <cell r="AA46">
            <v>243000000</v>
          </cell>
          <cell r="AC46">
            <v>0</v>
          </cell>
          <cell r="AD46">
            <v>0</v>
          </cell>
          <cell r="AE46">
            <v>50000000</v>
          </cell>
          <cell r="AO46">
            <v>0</v>
          </cell>
          <cell r="AP46">
            <v>205000000</v>
          </cell>
          <cell r="AQ46">
            <v>75000000</v>
          </cell>
          <cell r="AR46">
            <v>7000000</v>
          </cell>
          <cell r="AS46">
            <v>6300000</v>
          </cell>
          <cell r="AT46">
            <v>7500000</v>
          </cell>
          <cell r="AV46">
            <v>119074602</v>
          </cell>
          <cell r="AZ46">
            <v>0</v>
          </cell>
        </row>
        <row r="47">
          <cell r="K47">
            <v>20000000</v>
          </cell>
          <cell r="U47">
            <v>169900000</v>
          </cell>
          <cell r="V47">
            <v>10000000</v>
          </cell>
          <cell r="W47">
            <v>0</v>
          </cell>
          <cell r="X47">
            <v>210000000</v>
          </cell>
          <cell r="Y47">
            <v>542000000</v>
          </cell>
          <cell r="Z47">
            <v>0</v>
          </cell>
          <cell r="AA47">
            <v>243000000</v>
          </cell>
          <cell r="AC47">
            <v>371000000</v>
          </cell>
          <cell r="AD47">
            <v>20000000</v>
          </cell>
          <cell r="AE47">
            <v>850000000</v>
          </cell>
          <cell r="AK47">
            <v>380632000</v>
          </cell>
          <cell r="AL47">
            <v>8000000</v>
          </cell>
          <cell r="AM47">
            <v>10000000</v>
          </cell>
          <cell r="AN47">
            <v>10000000</v>
          </cell>
          <cell r="AO47">
            <v>0</v>
          </cell>
          <cell r="AP47">
            <v>205000000</v>
          </cell>
          <cell r="AQ47">
            <v>75000000</v>
          </cell>
          <cell r="AR47">
            <v>7000000</v>
          </cell>
          <cell r="AS47">
            <v>6300000</v>
          </cell>
          <cell r="AT47">
            <v>7500000</v>
          </cell>
          <cell r="AU47">
            <v>245000000</v>
          </cell>
          <cell r="AV47">
            <v>119074602</v>
          </cell>
          <cell r="AW47">
            <v>13000000</v>
          </cell>
          <cell r="AX47">
            <v>8628900</v>
          </cell>
          <cell r="AY47">
            <v>5000000</v>
          </cell>
          <cell r="AZ47">
            <v>0</v>
          </cell>
        </row>
        <row r="48">
          <cell r="K48">
            <v>20000000</v>
          </cell>
          <cell r="S48">
            <v>126060000</v>
          </cell>
          <cell r="U48">
            <v>169900000</v>
          </cell>
          <cell r="V48">
            <v>10000000</v>
          </cell>
          <cell r="W48">
            <v>500000000</v>
          </cell>
          <cell r="X48">
            <v>210000000</v>
          </cell>
          <cell r="Y48">
            <v>0</v>
          </cell>
          <cell r="Z48">
            <v>0</v>
          </cell>
          <cell r="AA48">
            <v>243000000</v>
          </cell>
          <cell r="AC48">
            <v>371000000</v>
          </cell>
          <cell r="AD48">
            <v>20000000</v>
          </cell>
          <cell r="AE48">
            <v>50000000</v>
          </cell>
          <cell r="AK48">
            <v>380632000</v>
          </cell>
          <cell r="AL48">
            <v>8000000</v>
          </cell>
          <cell r="AM48">
            <v>10000000</v>
          </cell>
          <cell r="AN48">
            <v>10000000</v>
          </cell>
          <cell r="AO48">
            <v>150000000</v>
          </cell>
          <cell r="AP48">
            <v>205000000</v>
          </cell>
          <cell r="AQ48">
            <v>75000000</v>
          </cell>
          <cell r="AR48">
            <v>7000000</v>
          </cell>
          <cell r="AS48">
            <v>6300000</v>
          </cell>
          <cell r="AT48">
            <v>7500000</v>
          </cell>
          <cell r="AU48">
            <v>245000000</v>
          </cell>
          <cell r="AV48">
            <v>119074602</v>
          </cell>
          <cell r="AW48">
            <v>13000000</v>
          </cell>
          <cell r="AX48">
            <v>8628900</v>
          </cell>
          <cell r="AY48">
            <v>5000000</v>
          </cell>
          <cell r="AZ48">
            <v>0</v>
          </cell>
        </row>
        <row r="49">
          <cell r="K49">
            <v>20000000</v>
          </cell>
          <cell r="S49">
            <v>126060000</v>
          </cell>
          <cell r="U49">
            <v>169900000</v>
          </cell>
          <cell r="V49">
            <v>10000000</v>
          </cell>
          <cell r="W49">
            <v>0</v>
          </cell>
          <cell r="X49">
            <v>210000000</v>
          </cell>
          <cell r="Z49">
            <v>240000000</v>
          </cell>
          <cell r="AA49">
            <v>243000000</v>
          </cell>
          <cell r="AC49">
            <v>371000000</v>
          </cell>
          <cell r="AD49">
            <v>20000000</v>
          </cell>
          <cell r="AE49">
            <v>130000000</v>
          </cell>
          <cell r="AK49">
            <v>380632000</v>
          </cell>
          <cell r="AL49">
            <v>8000000</v>
          </cell>
          <cell r="AM49">
            <v>10000000</v>
          </cell>
          <cell r="AN49">
            <v>10000000</v>
          </cell>
          <cell r="AO49">
            <v>0</v>
          </cell>
          <cell r="AP49">
            <v>205000000</v>
          </cell>
          <cell r="AQ49">
            <v>75000000</v>
          </cell>
          <cell r="AR49">
            <v>7000000</v>
          </cell>
          <cell r="AS49">
            <v>6300000</v>
          </cell>
          <cell r="AT49">
            <v>7500000</v>
          </cell>
          <cell r="AU49">
            <v>245000000</v>
          </cell>
          <cell r="AV49">
            <v>119074602</v>
          </cell>
          <cell r="AW49">
            <v>13000000</v>
          </cell>
          <cell r="AX49">
            <v>8628900</v>
          </cell>
          <cell r="AY49">
            <v>5000000</v>
          </cell>
          <cell r="AZ49">
            <v>0</v>
          </cell>
        </row>
        <row r="50">
          <cell r="K50">
            <v>20000000</v>
          </cell>
          <cell r="S50">
            <v>126060000</v>
          </cell>
          <cell r="U50">
            <v>169900000</v>
          </cell>
          <cell r="V50">
            <v>10000000</v>
          </cell>
          <cell r="W50">
            <v>0</v>
          </cell>
          <cell r="X50">
            <v>210000000</v>
          </cell>
          <cell r="Y50">
            <v>0</v>
          </cell>
          <cell r="Z50">
            <v>0</v>
          </cell>
          <cell r="AA50">
            <v>243000000</v>
          </cell>
          <cell r="AC50">
            <v>371000000</v>
          </cell>
          <cell r="AD50">
            <v>20000000</v>
          </cell>
          <cell r="AE50">
            <v>490000000</v>
          </cell>
          <cell r="AK50">
            <v>380632000</v>
          </cell>
          <cell r="AL50">
            <v>8000000</v>
          </cell>
          <cell r="AM50">
            <v>10000000</v>
          </cell>
          <cell r="AN50">
            <v>10000000</v>
          </cell>
          <cell r="AO50">
            <v>0</v>
          </cell>
          <cell r="AP50">
            <v>205000000</v>
          </cell>
          <cell r="AQ50">
            <v>75000000</v>
          </cell>
          <cell r="AR50">
            <v>7000000</v>
          </cell>
          <cell r="AS50">
            <v>6300000</v>
          </cell>
          <cell r="AT50">
            <v>7500000</v>
          </cell>
          <cell r="AU50">
            <v>245000000</v>
          </cell>
          <cell r="AV50">
            <v>119074602</v>
          </cell>
          <cell r="AW50">
            <v>13000000</v>
          </cell>
          <cell r="AX50">
            <v>8628900</v>
          </cell>
          <cell r="AY50">
            <v>5000000</v>
          </cell>
          <cell r="AZ50">
            <v>0</v>
          </cell>
        </row>
        <row r="51">
          <cell r="K51">
            <v>20000000</v>
          </cell>
          <cell r="S51">
            <v>126060000</v>
          </cell>
          <cell r="U51">
            <v>169900000</v>
          </cell>
          <cell r="V51">
            <v>10000000</v>
          </cell>
          <cell r="W51">
            <v>500000000</v>
          </cell>
          <cell r="X51">
            <v>210000000</v>
          </cell>
          <cell r="Y51">
            <v>250000000</v>
          </cell>
          <cell r="Z51">
            <v>300000000</v>
          </cell>
          <cell r="AA51">
            <v>243000000</v>
          </cell>
          <cell r="AC51">
            <v>371000000</v>
          </cell>
          <cell r="AD51">
            <v>20000000</v>
          </cell>
          <cell r="AE51">
            <v>410000000</v>
          </cell>
          <cell r="AK51">
            <v>380632000</v>
          </cell>
          <cell r="AL51">
            <v>8000000</v>
          </cell>
          <cell r="AM51">
            <v>10000000</v>
          </cell>
          <cell r="AN51">
            <v>10000000</v>
          </cell>
          <cell r="AO51">
            <v>0</v>
          </cell>
          <cell r="AP51">
            <v>205000000</v>
          </cell>
          <cell r="AQ51">
            <v>75000000</v>
          </cell>
          <cell r="AR51">
            <v>7000000</v>
          </cell>
          <cell r="AS51">
            <v>6300000</v>
          </cell>
          <cell r="AT51">
            <v>7500000</v>
          </cell>
          <cell r="AU51">
            <v>245000000</v>
          </cell>
          <cell r="AV51">
            <v>119074602</v>
          </cell>
          <cell r="AW51">
            <v>13000000</v>
          </cell>
          <cell r="AX51">
            <v>8628900</v>
          </cell>
          <cell r="AY51">
            <v>5000000</v>
          </cell>
          <cell r="AZ51">
            <v>0</v>
          </cell>
        </row>
        <row r="52">
          <cell r="K52">
            <v>20000000</v>
          </cell>
          <cell r="S52">
            <v>126060000</v>
          </cell>
          <cell r="U52">
            <v>169900000</v>
          </cell>
          <cell r="V52">
            <v>10000000</v>
          </cell>
          <cell r="W52">
            <v>0</v>
          </cell>
          <cell r="X52">
            <v>210000000</v>
          </cell>
          <cell r="Y52">
            <v>42000000</v>
          </cell>
          <cell r="Z52">
            <v>50000000</v>
          </cell>
          <cell r="AA52">
            <v>243000000</v>
          </cell>
          <cell r="AC52">
            <v>371000000</v>
          </cell>
          <cell r="AD52">
            <v>20000000</v>
          </cell>
          <cell r="AE52">
            <v>210000000</v>
          </cell>
          <cell r="AK52">
            <v>380632000</v>
          </cell>
          <cell r="AL52">
            <v>8000000</v>
          </cell>
          <cell r="AM52">
            <v>10000000</v>
          </cell>
          <cell r="AN52">
            <v>10000000</v>
          </cell>
          <cell r="AO52">
            <v>0</v>
          </cell>
          <cell r="AP52">
            <v>205000000</v>
          </cell>
          <cell r="AQ52">
            <v>75000000</v>
          </cell>
          <cell r="AR52">
            <v>7000000</v>
          </cell>
          <cell r="AS52">
            <v>6300000</v>
          </cell>
          <cell r="AT52">
            <v>7500000</v>
          </cell>
          <cell r="AU52">
            <v>245000000</v>
          </cell>
          <cell r="AV52">
            <v>119074602</v>
          </cell>
          <cell r="AW52">
            <v>13000000</v>
          </cell>
          <cell r="AX52">
            <v>8628900</v>
          </cell>
          <cell r="AY52">
            <v>5000000</v>
          </cell>
          <cell r="AZ52">
            <v>0</v>
          </cell>
        </row>
        <row r="53">
          <cell r="K53">
            <v>20000000</v>
          </cell>
          <cell r="S53">
            <v>126060000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500000000</v>
          </cell>
          <cell r="Z53">
            <v>300000000</v>
          </cell>
          <cell r="AA53">
            <v>243000000</v>
          </cell>
          <cell r="AC53">
            <v>0</v>
          </cell>
          <cell r="AD53">
            <v>0</v>
          </cell>
          <cell r="AE53">
            <v>100000000</v>
          </cell>
          <cell r="AK53">
            <v>380632000</v>
          </cell>
          <cell r="AL53">
            <v>8000000</v>
          </cell>
          <cell r="AM53">
            <v>10000000</v>
          </cell>
          <cell r="AN53">
            <v>10000000</v>
          </cell>
          <cell r="AO53">
            <v>0</v>
          </cell>
          <cell r="AQ53">
            <v>75000000</v>
          </cell>
          <cell r="AV53">
            <v>119074602</v>
          </cell>
          <cell r="AZ53">
            <v>0</v>
          </cell>
        </row>
        <row r="54">
          <cell r="K54">
            <v>20000000</v>
          </cell>
          <cell r="S54">
            <v>0</v>
          </cell>
          <cell r="U54">
            <v>169900000</v>
          </cell>
          <cell r="V54">
            <v>10000000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C54">
            <v>371000000</v>
          </cell>
          <cell r="AD54">
            <v>20000000</v>
          </cell>
          <cell r="AE54">
            <v>150000000</v>
          </cell>
          <cell r="AO54">
            <v>0</v>
          </cell>
          <cell r="AP54">
            <v>205000000</v>
          </cell>
          <cell r="AQ54">
            <v>75000000</v>
          </cell>
          <cell r="AR54">
            <v>7000000</v>
          </cell>
          <cell r="AS54">
            <v>6300000</v>
          </cell>
          <cell r="AT54">
            <v>7500000</v>
          </cell>
          <cell r="AV54">
            <v>119074602</v>
          </cell>
          <cell r="AZ54">
            <v>0</v>
          </cell>
        </row>
        <row r="55">
          <cell r="K55">
            <v>20000000</v>
          </cell>
          <cell r="S55">
            <v>0</v>
          </cell>
          <cell r="U55">
            <v>0</v>
          </cell>
          <cell r="V55">
            <v>0</v>
          </cell>
          <cell r="W55">
            <v>0</v>
          </cell>
          <cell r="X55">
            <v>210000000</v>
          </cell>
          <cell r="Y55">
            <v>0</v>
          </cell>
          <cell r="Z55">
            <v>650000000</v>
          </cell>
          <cell r="AA55">
            <v>0</v>
          </cell>
          <cell r="AC55">
            <v>0</v>
          </cell>
          <cell r="AD55">
            <v>0</v>
          </cell>
          <cell r="AE55">
            <v>550000000</v>
          </cell>
          <cell r="AO55">
            <v>0</v>
          </cell>
          <cell r="AP55">
            <v>0</v>
          </cell>
          <cell r="AQ55">
            <v>75000000</v>
          </cell>
          <cell r="AR55">
            <v>0</v>
          </cell>
          <cell r="AS55">
            <v>0</v>
          </cell>
          <cell r="AT55">
            <v>0</v>
          </cell>
          <cell r="AU55">
            <v>245000000</v>
          </cell>
          <cell r="AV55">
            <v>119074602</v>
          </cell>
          <cell r="AW55">
            <v>13000000</v>
          </cell>
          <cell r="AX55">
            <v>8628900</v>
          </cell>
          <cell r="AY55">
            <v>5000000</v>
          </cell>
          <cell r="AZ55">
            <v>0</v>
          </cell>
        </row>
        <row r="56">
          <cell r="K56">
            <v>0</v>
          </cell>
          <cell r="S56">
            <v>126060000</v>
          </cell>
          <cell r="U56">
            <v>169900000</v>
          </cell>
          <cell r="V56">
            <v>10000000</v>
          </cell>
          <cell r="W56">
            <v>0</v>
          </cell>
          <cell r="X56">
            <v>210000000</v>
          </cell>
          <cell r="Y56">
            <v>0</v>
          </cell>
          <cell r="Z56">
            <v>0</v>
          </cell>
          <cell r="AA56">
            <v>243000000</v>
          </cell>
          <cell r="AC56">
            <v>371000000</v>
          </cell>
          <cell r="AD56">
            <v>20000000</v>
          </cell>
          <cell r="AE56">
            <v>100000000</v>
          </cell>
          <cell r="AK56">
            <v>380632000</v>
          </cell>
          <cell r="AL56">
            <v>8000000</v>
          </cell>
          <cell r="AM56">
            <v>10000000</v>
          </cell>
          <cell r="AN56">
            <v>10000000</v>
          </cell>
          <cell r="AO56">
            <v>150000000</v>
          </cell>
          <cell r="AP56">
            <v>205000000</v>
          </cell>
          <cell r="AQ56">
            <v>75000000</v>
          </cell>
          <cell r="AR56">
            <v>7000000</v>
          </cell>
          <cell r="AS56">
            <v>6300000</v>
          </cell>
          <cell r="AT56">
            <v>7500000</v>
          </cell>
          <cell r="AU56">
            <v>245000000</v>
          </cell>
          <cell r="AV56">
            <v>119074602</v>
          </cell>
          <cell r="AW56">
            <v>13000000</v>
          </cell>
          <cell r="AX56">
            <v>8628900</v>
          </cell>
          <cell r="AY56">
            <v>5000000</v>
          </cell>
          <cell r="AZ56">
            <v>0</v>
          </cell>
        </row>
        <row r="57">
          <cell r="K57">
            <v>0</v>
          </cell>
          <cell r="S57">
            <v>126060000</v>
          </cell>
          <cell r="U57">
            <v>169900000</v>
          </cell>
          <cell r="V57">
            <v>10000000</v>
          </cell>
          <cell r="W57">
            <v>500000000</v>
          </cell>
          <cell r="X57">
            <v>210000000</v>
          </cell>
          <cell r="Y57">
            <v>100000000</v>
          </cell>
          <cell r="Z57">
            <v>0</v>
          </cell>
          <cell r="AA57">
            <v>243000000</v>
          </cell>
          <cell r="AC57">
            <v>371000000</v>
          </cell>
          <cell r="AD57">
            <v>20000000</v>
          </cell>
          <cell r="AE57">
            <v>50000000</v>
          </cell>
          <cell r="AK57">
            <v>380632000</v>
          </cell>
          <cell r="AL57">
            <v>8000000</v>
          </cell>
          <cell r="AM57">
            <v>10000000</v>
          </cell>
          <cell r="AN57">
            <v>10000000</v>
          </cell>
          <cell r="AO57">
            <v>0</v>
          </cell>
          <cell r="AP57">
            <v>205000000</v>
          </cell>
          <cell r="AQ57">
            <v>75000000</v>
          </cell>
          <cell r="AR57">
            <v>7000000</v>
          </cell>
          <cell r="AS57">
            <v>6300000</v>
          </cell>
          <cell r="AT57">
            <v>7500000</v>
          </cell>
          <cell r="AU57">
            <v>245000000</v>
          </cell>
          <cell r="AV57">
            <v>119074602</v>
          </cell>
          <cell r="AW57">
            <v>13000000</v>
          </cell>
          <cell r="AX57">
            <v>8628900</v>
          </cell>
          <cell r="AY57">
            <v>5000000</v>
          </cell>
          <cell r="AZ57">
            <v>0</v>
          </cell>
        </row>
        <row r="58">
          <cell r="K58">
            <v>0</v>
          </cell>
          <cell r="S58">
            <v>126060000</v>
          </cell>
          <cell r="U58">
            <v>169900000</v>
          </cell>
          <cell r="V58">
            <v>10000000</v>
          </cell>
          <cell r="W58">
            <v>0</v>
          </cell>
          <cell r="X58">
            <v>210000000</v>
          </cell>
          <cell r="Y58">
            <v>150000000</v>
          </cell>
          <cell r="Z58">
            <v>0</v>
          </cell>
          <cell r="AA58">
            <v>243000000</v>
          </cell>
          <cell r="AC58">
            <v>371000000</v>
          </cell>
          <cell r="AD58">
            <v>20000000</v>
          </cell>
          <cell r="AE58">
            <v>350000000</v>
          </cell>
          <cell r="AK58">
            <v>380632000</v>
          </cell>
          <cell r="AL58">
            <v>8000000</v>
          </cell>
          <cell r="AM58">
            <v>10000000</v>
          </cell>
          <cell r="AN58">
            <v>10000000</v>
          </cell>
          <cell r="AO58">
            <v>150000000</v>
          </cell>
          <cell r="AP58">
            <v>205000000</v>
          </cell>
          <cell r="AQ58">
            <v>75000000</v>
          </cell>
          <cell r="AR58">
            <v>7000000</v>
          </cell>
          <cell r="AS58">
            <v>6300000</v>
          </cell>
          <cell r="AT58">
            <v>7500000</v>
          </cell>
          <cell r="AU58">
            <v>245000000</v>
          </cell>
          <cell r="AV58">
            <v>119074602</v>
          </cell>
          <cell r="AW58">
            <v>13000000</v>
          </cell>
          <cell r="AX58">
            <v>8628900</v>
          </cell>
          <cell r="AY58">
            <v>5000000</v>
          </cell>
          <cell r="AZ58">
            <v>0</v>
          </cell>
        </row>
        <row r="59">
          <cell r="K59">
            <v>0</v>
          </cell>
          <cell r="S59">
            <v>0</v>
          </cell>
          <cell r="U59">
            <v>169900000</v>
          </cell>
          <cell r="V59">
            <v>10000000</v>
          </cell>
          <cell r="W59">
            <v>0</v>
          </cell>
          <cell r="X59">
            <v>210000000</v>
          </cell>
          <cell r="Y59">
            <v>100000000</v>
          </cell>
          <cell r="Z59">
            <v>0</v>
          </cell>
          <cell r="AA59">
            <v>243000000</v>
          </cell>
          <cell r="AC59">
            <v>371000000</v>
          </cell>
          <cell r="AD59">
            <v>20000000</v>
          </cell>
          <cell r="AE59">
            <v>100000000</v>
          </cell>
          <cell r="AK59">
            <v>380632000</v>
          </cell>
          <cell r="AL59">
            <v>8000000</v>
          </cell>
          <cell r="AM59">
            <v>10000000</v>
          </cell>
          <cell r="AN59">
            <v>10000000</v>
          </cell>
          <cell r="AO59">
            <v>0</v>
          </cell>
          <cell r="AP59">
            <v>205000000</v>
          </cell>
          <cell r="AQ59">
            <v>75000000</v>
          </cell>
          <cell r="AR59">
            <v>7000000</v>
          </cell>
          <cell r="AS59">
            <v>6300000</v>
          </cell>
          <cell r="AT59">
            <v>7500000</v>
          </cell>
          <cell r="AU59">
            <v>245000000</v>
          </cell>
          <cell r="AV59">
            <v>119074602</v>
          </cell>
          <cell r="AW59">
            <v>13000000</v>
          </cell>
          <cell r="AX59">
            <v>8628900</v>
          </cell>
          <cell r="AY59">
            <v>5000000</v>
          </cell>
          <cell r="AZ59">
            <v>0</v>
          </cell>
        </row>
        <row r="60">
          <cell r="K60">
            <v>0</v>
          </cell>
          <cell r="S60">
            <v>0</v>
          </cell>
          <cell r="U60">
            <v>169900000</v>
          </cell>
          <cell r="V60">
            <v>10000000</v>
          </cell>
          <cell r="W60">
            <v>0</v>
          </cell>
          <cell r="X60">
            <v>210000000</v>
          </cell>
          <cell r="Y60">
            <v>0</v>
          </cell>
          <cell r="Z60">
            <v>100000000</v>
          </cell>
          <cell r="AA60">
            <v>243000000</v>
          </cell>
          <cell r="AC60">
            <v>371000000</v>
          </cell>
          <cell r="AD60">
            <v>20000000</v>
          </cell>
          <cell r="AE60">
            <v>150000000</v>
          </cell>
          <cell r="AK60">
            <v>380632000</v>
          </cell>
          <cell r="AL60">
            <v>8000000</v>
          </cell>
          <cell r="AM60">
            <v>10000000</v>
          </cell>
          <cell r="AN60">
            <v>10000000</v>
          </cell>
          <cell r="AO60">
            <v>150000000</v>
          </cell>
          <cell r="AP60">
            <v>205000000</v>
          </cell>
          <cell r="AQ60">
            <v>75000000</v>
          </cell>
          <cell r="AR60">
            <v>7000000</v>
          </cell>
          <cell r="AS60">
            <v>6300000</v>
          </cell>
          <cell r="AT60">
            <v>7500000</v>
          </cell>
          <cell r="AU60">
            <v>245000000</v>
          </cell>
          <cell r="AV60">
            <v>119074602</v>
          </cell>
          <cell r="AW60">
            <v>13000000</v>
          </cell>
          <cell r="AX60">
            <v>8628900</v>
          </cell>
          <cell r="AY60">
            <v>5000000</v>
          </cell>
          <cell r="AZ60">
            <v>0</v>
          </cell>
        </row>
        <row r="61">
          <cell r="K61">
            <v>0</v>
          </cell>
          <cell r="S61">
            <v>0</v>
          </cell>
          <cell r="U61">
            <v>169900000</v>
          </cell>
          <cell r="V61">
            <v>10000000</v>
          </cell>
          <cell r="W61">
            <v>450000000</v>
          </cell>
          <cell r="X61">
            <v>210000000</v>
          </cell>
          <cell r="Y61">
            <v>200000000</v>
          </cell>
          <cell r="Z61">
            <v>0</v>
          </cell>
          <cell r="AA61">
            <v>243000000</v>
          </cell>
          <cell r="AC61">
            <v>371000000</v>
          </cell>
          <cell r="AD61">
            <v>20000000</v>
          </cell>
          <cell r="AE61">
            <v>680000000</v>
          </cell>
          <cell r="AK61">
            <v>380632000</v>
          </cell>
          <cell r="AL61">
            <v>8000000</v>
          </cell>
          <cell r="AM61">
            <v>10000000</v>
          </cell>
          <cell r="AN61">
            <v>10000000</v>
          </cell>
          <cell r="AO61">
            <v>0</v>
          </cell>
          <cell r="AP61">
            <v>205000000</v>
          </cell>
          <cell r="AQ61">
            <v>75000000</v>
          </cell>
          <cell r="AR61">
            <v>7000000</v>
          </cell>
          <cell r="AS61">
            <v>6300000</v>
          </cell>
          <cell r="AT61">
            <v>7500000</v>
          </cell>
          <cell r="AU61">
            <v>245000000</v>
          </cell>
          <cell r="AV61">
            <v>119074602</v>
          </cell>
          <cell r="AW61">
            <v>13000000</v>
          </cell>
          <cell r="AX61">
            <v>8628900</v>
          </cell>
          <cell r="AY61">
            <v>5000000</v>
          </cell>
          <cell r="AZ61">
            <v>0</v>
          </cell>
        </row>
        <row r="62">
          <cell r="Z62">
            <v>0</v>
          </cell>
          <cell r="AC62">
            <v>1000000000</v>
          </cell>
          <cell r="AD62">
            <v>0</v>
          </cell>
          <cell r="AE62">
            <v>0</v>
          </cell>
          <cell r="AK62">
            <v>380632000</v>
          </cell>
          <cell r="AL62">
            <v>8000000</v>
          </cell>
          <cell r="AM62">
            <v>10000000</v>
          </cell>
          <cell r="AN62">
            <v>10000000</v>
          </cell>
          <cell r="AO62">
            <v>0</v>
          </cell>
          <cell r="AP62">
            <v>205000000</v>
          </cell>
          <cell r="AQ62">
            <v>75000000</v>
          </cell>
          <cell r="AR62">
            <v>7000000</v>
          </cell>
          <cell r="AS62">
            <v>6300000</v>
          </cell>
          <cell r="AT62">
            <v>7500000</v>
          </cell>
          <cell r="AU62">
            <v>245000000</v>
          </cell>
          <cell r="AV62">
            <v>119074602</v>
          </cell>
          <cell r="AW62">
            <v>13000000</v>
          </cell>
          <cell r="AX62">
            <v>8628900</v>
          </cell>
          <cell r="AY62">
            <v>5000000</v>
          </cell>
          <cell r="AZ62">
            <v>0</v>
          </cell>
        </row>
        <row r="63">
          <cell r="AK63">
            <v>1000000000</v>
          </cell>
          <cell r="AL63">
            <v>8000000</v>
          </cell>
          <cell r="AM63">
            <v>10000000</v>
          </cell>
          <cell r="AN63">
            <v>10000000</v>
          </cell>
          <cell r="AO63">
            <v>0</v>
          </cell>
          <cell r="AP63">
            <v>205000000</v>
          </cell>
          <cell r="AQ63">
            <v>75000000</v>
          </cell>
          <cell r="AR63">
            <v>7000000</v>
          </cell>
          <cell r="AS63">
            <v>6300000</v>
          </cell>
          <cell r="AT63">
            <v>7500000</v>
          </cell>
          <cell r="AU63">
            <v>245000000</v>
          </cell>
          <cell r="AV63">
            <v>119074602</v>
          </cell>
          <cell r="AW63">
            <v>13000000</v>
          </cell>
          <cell r="AX63">
            <v>8628900</v>
          </cell>
          <cell r="AY63">
            <v>5000000</v>
          </cell>
          <cell r="AZ63">
            <v>0</v>
          </cell>
        </row>
        <row r="64">
          <cell r="K64">
            <v>0</v>
          </cell>
          <cell r="X64">
            <v>0</v>
          </cell>
          <cell r="Z64">
            <v>0</v>
          </cell>
          <cell r="AA64">
            <v>0</v>
          </cell>
          <cell r="AC64">
            <v>0</v>
          </cell>
          <cell r="AD64">
            <v>0</v>
          </cell>
          <cell r="AE64">
            <v>200000000</v>
          </cell>
          <cell r="AK64">
            <v>380632000</v>
          </cell>
          <cell r="AL64">
            <v>8000000</v>
          </cell>
          <cell r="AM64">
            <v>10000000</v>
          </cell>
          <cell r="AN64">
            <v>10000000</v>
          </cell>
          <cell r="AO64">
            <v>0</v>
          </cell>
          <cell r="AU64">
            <v>245000000</v>
          </cell>
          <cell r="AV64">
            <v>0</v>
          </cell>
          <cell r="AW64">
            <v>13000000</v>
          </cell>
          <cell r="AX64">
            <v>8628900</v>
          </cell>
          <cell r="AY64">
            <v>5000000</v>
          </cell>
          <cell r="AZ64">
            <v>0</v>
          </cell>
        </row>
        <row r="65">
          <cell r="AK65">
            <v>380632000</v>
          </cell>
          <cell r="AL65">
            <v>8000000</v>
          </cell>
          <cell r="AM65">
            <v>10000000</v>
          </cell>
          <cell r="AN65">
            <v>10000000</v>
          </cell>
          <cell r="AO65">
            <v>0</v>
          </cell>
          <cell r="AP65">
            <v>205000000</v>
          </cell>
          <cell r="AQ65">
            <v>75000000</v>
          </cell>
          <cell r="AR65">
            <v>7000000</v>
          </cell>
          <cell r="AS65">
            <v>6300000</v>
          </cell>
          <cell r="AT65">
            <v>7500000</v>
          </cell>
          <cell r="AU65">
            <v>245000000</v>
          </cell>
          <cell r="AV65">
            <v>119074602</v>
          </cell>
          <cell r="AW65">
            <v>13000000</v>
          </cell>
          <cell r="AX65">
            <v>8628900</v>
          </cell>
          <cell r="AY65">
            <v>5000000</v>
          </cell>
          <cell r="AZ65">
            <v>0</v>
          </cell>
        </row>
        <row r="66">
          <cell r="AG66">
            <v>80000000</v>
          </cell>
          <cell r="AH66">
            <v>8000000</v>
          </cell>
          <cell r="AI66">
            <v>2000000</v>
          </cell>
          <cell r="AJ66">
            <v>10000000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205000000</v>
          </cell>
          <cell r="AQ66">
            <v>75000000</v>
          </cell>
          <cell r="AR66">
            <v>7000000</v>
          </cell>
          <cell r="AS66">
            <v>6300000</v>
          </cell>
          <cell r="AT66">
            <v>7500000</v>
          </cell>
          <cell r="AU66">
            <v>0</v>
          </cell>
          <cell r="AV66">
            <v>119074602</v>
          </cell>
          <cell r="AZ66">
            <v>0</v>
          </cell>
        </row>
        <row r="67">
          <cell r="K67">
            <v>20000000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Z67">
            <v>0</v>
          </cell>
        </row>
        <row r="68">
          <cell r="K68">
            <v>20000000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Z68">
            <v>0</v>
          </cell>
        </row>
        <row r="69">
          <cell r="K69">
            <v>20000000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Z69">
            <v>0</v>
          </cell>
        </row>
        <row r="70">
          <cell r="K70">
            <v>0</v>
          </cell>
          <cell r="L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Z70">
            <v>0</v>
          </cell>
        </row>
        <row r="71">
          <cell r="K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Z71">
            <v>0</v>
          </cell>
        </row>
        <row r="72">
          <cell r="K72">
            <v>0</v>
          </cell>
          <cell r="S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C72">
            <v>0</v>
          </cell>
          <cell r="AD72">
            <v>0</v>
          </cell>
          <cell r="AE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Z72">
            <v>0</v>
          </cell>
        </row>
        <row r="73">
          <cell r="K73">
            <v>0</v>
          </cell>
          <cell r="S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Z73">
            <v>0</v>
          </cell>
        </row>
        <row r="90">
          <cell r="P90">
            <v>50000000</v>
          </cell>
          <cell r="S90">
            <v>30000000</v>
          </cell>
          <cell r="T90">
            <v>25000000</v>
          </cell>
          <cell r="U90">
            <v>15000000</v>
          </cell>
        </row>
        <row r="91">
          <cell r="P91">
            <v>50000000</v>
          </cell>
          <cell r="S91">
            <v>30000000</v>
          </cell>
          <cell r="T91">
            <v>25000000</v>
          </cell>
          <cell r="U91">
            <v>15000000</v>
          </cell>
        </row>
        <row r="92">
          <cell r="P92">
            <v>50000000</v>
          </cell>
          <cell r="S92">
            <v>30000000</v>
          </cell>
          <cell r="T92">
            <v>25000000</v>
          </cell>
          <cell r="U92">
            <v>15000000</v>
          </cell>
        </row>
        <row r="93">
          <cell r="P93">
            <v>50000000</v>
          </cell>
          <cell r="S93">
            <v>30000000</v>
          </cell>
          <cell r="T93">
            <v>25000000</v>
          </cell>
          <cell r="U93">
            <v>15000000</v>
          </cell>
        </row>
        <row r="94">
          <cell r="P94">
            <v>50000000</v>
          </cell>
          <cell r="S94">
            <v>30000000</v>
          </cell>
          <cell r="T94">
            <v>25000000</v>
          </cell>
          <cell r="U94">
            <v>15000000</v>
          </cell>
        </row>
        <row r="95">
          <cell r="P95">
            <v>50000000</v>
          </cell>
          <cell r="S95">
            <v>30000000</v>
          </cell>
          <cell r="T95">
            <v>25000000</v>
          </cell>
          <cell r="U95">
            <v>15000000</v>
          </cell>
        </row>
        <row r="96">
          <cell r="P96">
            <v>50000000</v>
          </cell>
          <cell r="S96">
            <v>30000000</v>
          </cell>
          <cell r="T96">
            <v>25000000</v>
          </cell>
          <cell r="U96">
            <v>15000000</v>
          </cell>
        </row>
        <row r="97">
          <cell r="P97">
            <v>50000000</v>
          </cell>
          <cell r="S97">
            <v>30000000</v>
          </cell>
          <cell r="T97">
            <v>25000000</v>
          </cell>
          <cell r="U97">
            <v>15000000</v>
          </cell>
        </row>
        <row r="98">
          <cell r="P98">
            <v>50000000</v>
          </cell>
          <cell r="S98">
            <v>30000000</v>
          </cell>
          <cell r="T98">
            <v>25000000</v>
          </cell>
          <cell r="U98">
            <v>15000000</v>
          </cell>
        </row>
        <row r="99">
          <cell r="P99">
            <v>50000000</v>
          </cell>
          <cell r="S99">
            <v>30000000</v>
          </cell>
          <cell r="T99">
            <v>25000000</v>
          </cell>
          <cell r="U99">
            <v>15000000</v>
          </cell>
        </row>
        <row r="100">
          <cell r="P100">
            <v>50000000</v>
          </cell>
          <cell r="S100">
            <v>30000000</v>
          </cell>
          <cell r="T100">
            <v>25000000</v>
          </cell>
          <cell r="U100">
            <v>15000000</v>
          </cell>
        </row>
        <row r="101">
          <cell r="P101">
            <v>50000000</v>
          </cell>
          <cell r="S101">
            <v>30000000</v>
          </cell>
          <cell r="T101">
            <v>25000000</v>
          </cell>
          <cell r="U101">
            <v>15000000</v>
          </cell>
        </row>
        <row r="102">
          <cell r="P102">
            <v>50000000</v>
          </cell>
          <cell r="S102">
            <v>30000000</v>
          </cell>
          <cell r="T102">
            <v>25000000</v>
          </cell>
          <cell r="U102">
            <v>15000000</v>
          </cell>
        </row>
        <row r="103">
          <cell r="P103">
            <v>50000000</v>
          </cell>
          <cell r="S103">
            <v>30000000</v>
          </cell>
          <cell r="T103">
            <v>25000000</v>
          </cell>
          <cell r="U103">
            <v>15000000</v>
          </cell>
        </row>
        <row r="104">
          <cell r="P104">
            <v>50000000</v>
          </cell>
          <cell r="S104">
            <v>30000000</v>
          </cell>
          <cell r="T104">
            <v>25000000</v>
          </cell>
          <cell r="U104">
            <v>15000000</v>
          </cell>
        </row>
        <row r="105">
          <cell r="P105">
            <v>50000000</v>
          </cell>
          <cell r="S105">
            <v>30000000</v>
          </cell>
          <cell r="T105">
            <v>25000000</v>
          </cell>
          <cell r="U105">
            <v>15000000</v>
          </cell>
        </row>
        <row r="106">
          <cell r="P106">
            <v>50000000</v>
          </cell>
          <cell r="S106">
            <v>30000000</v>
          </cell>
          <cell r="T106">
            <v>25000000</v>
          </cell>
          <cell r="U106">
            <v>15000000</v>
          </cell>
        </row>
        <row r="107">
          <cell r="P107">
            <v>50000000</v>
          </cell>
          <cell r="S107">
            <v>30000000</v>
          </cell>
          <cell r="T107">
            <v>25000000</v>
          </cell>
          <cell r="U107">
            <v>15000000</v>
          </cell>
        </row>
        <row r="108">
          <cell r="P108">
            <v>50000000</v>
          </cell>
          <cell r="S108">
            <v>30000000</v>
          </cell>
          <cell r="T108">
            <v>25000000</v>
          </cell>
          <cell r="U108">
            <v>15000000</v>
          </cell>
        </row>
        <row r="109">
          <cell r="P109">
            <v>50000000</v>
          </cell>
          <cell r="S109">
            <v>30000000</v>
          </cell>
          <cell r="T109">
            <v>25000000</v>
          </cell>
          <cell r="U109">
            <v>15000000</v>
          </cell>
        </row>
        <row r="110">
          <cell r="P110">
            <v>50000000</v>
          </cell>
          <cell r="S110">
            <v>30000000</v>
          </cell>
          <cell r="T110">
            <v>25000000</v>
          </cell>
          <cell r="U110">
            <v>15000000</v>
          </cell>
        </row>
        <row r="111">
          <cell r="P111">
            <v>50000000</v>
          </cell>
          <cell r="S111">
            <v>30000000</v>
          </cell>
          <cell r="T111">
            <v>25000000</v>
          </cell>
          <cell r="U111">
            <v>15000000</v>
          </cell>
        </row>
        <row r="112">
          <cell r="P112">
            <v>50000000</v>
          </cell>
          <cell r="S112">
            <v>30000000</v>
          </cell>
          <cell r="T112">
            <v>25000000</v>
          </cell>
          <cell r="U112">
            <v>15000000</v>
          </cell>
        </row>
        <row r="113">
          <cell r="P113">
            <v>50000000</v>
          </cell>
          <cell r="S113">
            <v>30000000</v>
          </cell>
          <cell r="T113">
            <v>25000000</v>
          </cell>
          <cell r="U113">
            <v>15000000</v>
          </cell>
        </row>
        <row r="114">
          <cell r="P114">
            <v>50000000</v>
          </cell>
          <cell r="S114">
            <v>30000000</v>
          </cell>
          <cell r="T114">
            <v>25000000</v>
          </cell>
          <cell r="U114">
            <v>15000000</v>
          </cell>
        </row>
        <row r="115">
          <cell r="P115">
            <v>50000000</v>
          </cell>
          <cell r="S115">
            <v>30000000</v>
          </cell>
          <cell r="T115">
            <v>25000000</v>
          </cell>
          <cell r="U115">
            <v>15000000</v>
          </cell>
        </row>
        <row r="116">
          <cell r="P116">
            <v>50000000</v>
          </cell>
          <cell r="S116">
            <v>30000000</v>
          </cell>
          <cell r="T116">
            <v>25000000</v>
          </cell>
          <cell r="U116">
            <v>15000000</v>
          </cell>
        </row>
        <row r="117">
          <cell r="P117">
            <v>50000000</v>
          </cell>
          <cell r="S117">
            <v>30000000</v>
          </cell>
          <cell r="T117">
            <v>25000000</v>
          </cell>
          <cell r="U117">
            <v>15000000</v>
          </cell>
        </row>
        <row r="118">
          <cell r="P118">
            <v>50000000</v>
          </cell>
          <cell r="S118">
            <v>30000000</v>
          </cell>
          <cell r="T118">
            <v>25000000</v>
          </cell>
          <cell r="U118">
            <v>15000000</v>
          </cell>
        </row>
        <row r="119">
          <cell r="P119">
            <v>50000000</v>
          </cell>
          <cell r="S119">
            <v>30000000</v>
          </cell>
          <cell r="T119">
            <v>25000000</v>
          </cell>
          <cell r="U119">
            <v>15000000</v>
          </cell>
        </row>
        <row r="120">
          <cell r="P120">
            <v>50000000</v>
          </cell>
          <cell r="S120">
            <v>30000000</v>
          </cell>
          <cell r="T120">
            <v>25000000</v>
          </cell>
          <cell r="U120">
            <v>15000000</v>
          </cell>
        </row>
        <row r="121">
          <cell r="P121">
            <v>50000000</v>
          </cell>
          <cell r="S121">
            <v>30000000</v>
          </cell>
          <cell r="T121">
            <v>25000000</v>
          </cell>
          <cell r="U121">
            <v>15000000</v>
          </cell>
        </row>
        <row r="122">
          <cell r="P122">
            <v>50000000</v>
          </cell>
          <cell r="S122">
            <v>30000000</v>
          </cell>
          <cell r="T122">
            <v>25000000</v>
          </cell>
          <cell r="U122">
            <v>15000000</v>
          </cell>
        </row>
        <row r="123">
          <cell r="P123">
            <v>50000000</v>
          </cell>
          <cell r="S123">
            <v>30000000</v>
          </cell>
          <cell r="T123">
            <v>25000000</v>
          </cell>
          <cell r="U123">
            <v>15000000</v>
          </cell>
        </row>
        <row r="124">
          <cell r="P124">
            <v>50000000</v>
          </cell>
          <cell r="S124">
            <v>30000000</v>
          </cell>
          <cell r="T124">
            <v>0</v>
          </cell>
          <cell r="U124">
            <v>15000000</v>
          </cell>
        </row>
        <row r="125">
          <cell r="P125">
            <v>50000000</v>
          </cell>
          <cell r="S125">
            <v>30000000</v>
          </cell>
          <cell r="T125">
            <v>25000000</v>
          </cell>
          <cell r="U125">
            <v>15000000</v>
          </cell>
        </row>
        <row r="126">
          <cell r="P126">
            <v>0</v>
          </cell>
          <cell r="S126">
            <v>30000000</v>
          </cell>
          <cell r="T126">
            <v>0</v>
          </cell>
          <cell r="U126">
            <v>15000000</v>
          </cell>
        </row>
        <row r="127">
          <cell r="P127">
            <v>50000000</v>
          </cell>
          <cell r="S127">
            <v>0</v>
          </cell>
          <cell r="T127">
            <v>25000000</v>
          </cell>
        </row>
        <row r="128">
          <cell r="P128">
            <v>50000000</v>
          </cell>
          <cell r="S128">
            <v>30000000</v>
          </cell>
          <cell r="T128">
            <v>25000000</v>
          </cell>
          <cell r="U128">
            <v>15000000</v>
          </cell>
        </row>
        <row r="129">
          <cell r="P129">
            <v>50000000</v>
          </cell>
          <cell r="S129">
            <v>30000000</v>
          </cell>
          <cell r="T129">
            <v>25000000</v>
          </cell>
          <cell r="U129">
            <v>15000000</v>
          </cell>
        </row>
        <row r="130">
          <cell r="P130">
            <v>50000000</v>
          </cell>
          <cell r="S130">
            <v>30000000</v>
          </cell>
          <cell r="T130">
            <v>25000000</v>
          </cell>
          <cell r="U130">
            <v>15000000</v>
          </cell>
        </row>
        <row r="131">
          <cell r="P131">
            <v>50000000</v>
          </cell>
          <cell r="S131">
            <v>30000000</v>
          </cell>
          <cell r="T131">
            <v>25000000</v>
          </cell>
          <cell r="U131">
            <v>15000000</v>
          </cell>
        </row>
        <row r="132">
          <cell r="P132">
            <v>50000000</v>
          </cell>
          <cell r="S132">
            <v>30000000</v>
          </cell>
          <cell r="T132">
            <v>25000000</v>
          </cell>
          <cell r="U132">
            <v>15000000</v>
          </cell>
        </row>
        <row r="133">
          <cell r="P133">
            <v>50000000</v>
          </cell>
          <cell r="S133">
            <v>30000000</v>
          </cell>
          <cell r="T133">
            <v>25000000</v>
          </cell>
          <cell r="U133">
            <v>15000000</v>
          </cell>
        </row>
        <row r="134">
          <cell r="P134">
            <v>50000000</v>
          </cell>
          <cell r="S134">
            <v>30000000</v>
          </cell>
          <cell r="T134">
            <v>0</v>
          </cell>
        </row>
        <row r="135">
          <cell r="P135">
            <v>0</v>
          </cell>
          <cell r="S135">
            <v>0</v>
          </cell>
          <cell r="T135">
            <v>25000000</v>
          </cell>
        </row>
        <row r="136">
          <cell r="P136">
            <v>0</v>
          </cell>
          <cell r="S136">
            <v>0</v>
          </cell>
          <cell r="T136">
            <v>0</v>
          </cell>
          <cell r="U136">
            <v>15000000</v>
          </cell>
        </row>
        <row r="137">
          <cell r="P137">
            <v>50000000</v>
          </cell>
          <cell r="S137">
            <v>30000000</v>
          </cell>
          <cell r="T137">
            <v>25000000</v>
          </cell>
          <cell r="U137">
            <v>15000000</v>
          </cell>
        </row>
        <row r="138">
          <cell r="P138">
            <v>50000000</v>
          </cell>
          <cell r="S138">
            <v>30000000</v>
          </cell>
          <cell r="T138">
            <v>25000000</v>
          </cell>
          <cell r="U138">
            <v>15000000</v>
          </cell>
        </row>
        <row r="139">
          <cell r="P139">
            <v>50000000</v>
          </cell>
          <cell r="S139">
            <v>30000000</v>
          </cell>
          <cell r="T139">
            <v>25000000</v>
          </cell>
          <cell r="U139">
            <v>15000000</v>
          </cell>
        </row>
        <row r="140">
          <cell r="P140">
            <v>50000000</v>
          </cell>
          <cell r="S140">
            <v>30000000</v>
          </cell>
          <cell r="T140">
            <v>25000000</v>
          </cell>
          <cell r="U140">
            <v>15000000</v>
          </cell>
        </row>
        <row r="141">
          <cell r="P141">
            <v>50000000</v>
          </cell>
          <cell r="S141">
            <v>30000000</v>
          </cell>
          <cell r="T141">
            <v>25000000</v>
          </cell>
          <cell r="U141">
            <v>15000000</v>
          </cell>
        </row>
        <row r="142">
          <cell r="P142">
            <v>50000000</v>
          </cell>
          <cell r="S142">
            <v>30000000</v>
          </cell>
          <cell r="T142">
            <v>25000000</v>
          </cell>
          <cell r="U142">
            <v>15000000</v>
          </cell>
        </row>
        <row r="143">
          <cell r="S143">
            <v>30000000</v>
          </cell>
          <cell r="T143">
            <v>25000000</v>
          </cell>
          <cell r="U143">
            <v>15000000</v>
          </cell>
        </row>
        <row r="144">
          <cell r="S144">
            <v>30000000</v>
          </cell>
          <cell r="T144">
            <v>25000000</v>
          </cell>
          <cell r="U144">
            <v>15000000</v>
          </cell>
        </row>
        <row r="145">
          <cell r="S145">
            <v>30000000</v>
          </cell>
          <cell r="T145">
            <v>0</v>
          </cell>
          <cell r="U145">
            <v>15000000</v>
          </cell>
        </row>
        <row r="146">
          <cell r="S146">
            <v>30000000</v>
          </cell>
          <cell r="T146">
            <v>25000000</v>
          </cell>
          <cell r="U146">
            <v>15000000</v>
          </cell>
        </row>
        <row r="147">
          <cell r="S147">
            <v>0</v>
          </cell>
          <cell r="T147">
            <v>25000000</v>
          </cell>
          <cell r="U147">
            <v>0</v>
          </cell>
        </row>
        <row r="148">
          <cell r="P148">
            <v>0</v>
          </cell>
          <cell r="S148">
            <v>0</v>
          </cell>
          <cell r="T148">
            <v>0</v>
          </cell>
          <cell r="U148">
            <v>0</v>
          </cell>
        </row>
        <row r="149">
          <cell r="P149">
            <v>0</v>
          </cell>
          <cell r="S149">
            <v>0</v>
          </cell>
          <cell r="T149">
            <v>0</v>
          </cell>
          <cell r="U149">
            <v>0</v>
          </cell>
        </row>
        <row r="150">
          <cell r="P150">
            <v>0</v>
          </cell>
          <cell r="S150">
            <v>0</v>
          </cell>
          <cell r="T150">
            <v>0</v>
          </cell>
          <cell r="U150">
            <v>0</v>
          </cell>
        </row>
        <row r="151">
          <cell r="P151">
            <v>0</v>
          </cell>
          <cell r="S151">
            <v>0</v>
          </cell>
          <cell r="T151">
            <v>0</v>
          </cell>
          <cell r="U151">
            <v>0</v>
          </cell>
        </row>
        <row r="152">
          <cell r="P152">
            <v>0</v>
          </cell>
          <cell r="S152">
            <v>0</v>
          </cell>
          <cell r="T152">
            <v>0</v>
          </cell>
          <cell r="U152">
            <v>0</v>
          </cell>
        </row>
        <row r="153">
          <cell r="S153">
            <v>0</v>
          </cell>
          <cell r="T153">
            <v>0</v>
          </cell>
          <cell r="U153">
            <v>0</v>
          </cell>
        </row>
        <row r="154">
          <cell r="S154">
            <v>0</v>
          </cell>
          <cell r="T154">
            <v>0</v>
          </cell>
          <cell r="U154">
            <v>0</v>
          </cell>
        </row>
      </sheetData>
      <sheetData sheetId="17"/>
      <sheetData sheetId="18">
        <row r="13">
          <cell r="C13">
            <v>24709302</v>
          </cell>
          <cell r="D13">
            <v>10000000</v>
          </cell>
          <cell r="E13">
            <v>20000000</v>
          </cell>
          <cell r="F13">
            <v>25000000</v>
          </cell>
          <cell r="G13">
            <v>12000000</v>
          </cell>
          <cell r="H13">
            <v>12000000</v>
          </cell>
          <cell r="I13">
            <v>0</v>
          </cell>
          <cell r="J13">
            <v>20000000</v>
          </cell>
          <cell r="K13">
            <v>8500000</v>
          </cell>
          <cell r="L13">
            <v>20000000</v>
          </cell>
          <cell r="M13">
            <v>26000000</v>
          </cell>
          <cell r="N13">
            <v>45000000</v>
          </cell>
          <cell r="P13">
            <v>38340000</v>
          </cell>
          <cell r="Q13">
            <v>0</v>
          </cell>
          <cell r="R13">
            <v>126060000</v>
          </cell>
          <cell r="S13">
            <v>220000000</v>
          </cell>
          <cell r="T13">
            <v>107037000</v>
          </cell>
          <cell r="U13">
            <v>5100000</v>
          </cell>
          <cell r="V13">
            <v>170000000</v>
          </cell>
          <cell r="W13">
            <v>132300000</v>
          </cell>
          <cell r="X13">
            <v>40000000</v>
          </cell>
          <cell r="Y13">
            <v>150000000</v>
          </cell>
          <cell r="Z13">
            <v>153090000</v>
          </cell>
          <cell r="AA13">
            <v>5100000</v>
          </cell>
          <cell r="AB13">
            <v>233730000</v>
          </cell>
          <cell r="AC13">
            <v>0</v>
          </cell>
          <cell r="AD13">
            <v>810000000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573500000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63750000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</row>
        <row r="14">
          <cell r="C14">
            <v>24709302</v>
          </cell>
          <cell r="D14">
            <v>10000000</v>
          </cell>
          <cell r="E14">
            <v>20000000</v>
          </cell>
          <cell r="F14">
            <v>25000000</v>
          </cell>
          <cell r="G14">
            <v>12000000</v>
          </cell>
          <cell r="H14">
            <v>12000000</v>
          </cell>
          <cell r="I14">
            <v>0</v>
          </cell>
          <cell r="J14">
            <v>20000000</v>
          </cell>
          <cell r="K14">
            <v>8500000</v>
          </cell>
          <cell r="L14">
            <v>20000000</v>
          </cell>
          <cell r="M14">
            <v>26000000</v>
          </cell>
          <cell r="N14">
            <v>45000000</v>
          </cell>
          <cell r="P14">
            <v>38340000</v>
          </cell>
          <cell r="Q14">
            <v>0</v>
          </cell>
          <cell r="R14">
            <v>107151000</v>
          </cell>
          <cell r="S14">
            <v>0</v>
          </cell>
          <cell r="T14">
            <v>144415000</v>
          </cell>
          <cell r="U14">
            <v>8500000</v>
          </cell>
          <cell r="V14">
            <v>0</v>
          </cell>
          <cell r="W14">
            <v>178500000</v>
          </cell>
          <cell r="X14">
            <v>35700000</v>
          </cell>
          <cell r="Y14">
            <v>8500000</v>
          </cell>
          <cell r="Z14">
            <v>206550000</v>
          </cell>
          <cell r="AA14">
            <v>8500000</v>
          </cell>
          <cell r="AB14">
            <v>315350000</v>
          </cell>
          <cell r="AC14">
            <v>17000000</v>
          </cell>
          <cell r="AD14">
            <v>100000000</v>
          </cell>
          <cell r="AE14">
            <v>0</v>
          </cell>
          <cell r="AF14">
            <v>0</v>
          </cell>
          <cell r="AG14">
            <v>0</v>
          </cell>
          <cell r="AH14">
            <v>8500000</v>
          </cell>
          <cell r="AI14">
            <v>500000000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45750000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</row>
        <row r="15">
          <cell r="C15">
            <v>24709302</v>
          </cell>
          <cell r="D15">
            <v>10000000</v>
          </cell>
          <cell r="E15">
            <v>20000000</v>
          </cell>
          <cell r="F15">
            <v>25000000</v>
          </cell>
          <cell r="G15">
            <v>12000000</v>
          </cell>
          <cell r="H15">
            <v>12000000</v>
          </cell>
          <cell r="I15">
            <v>0</v>
          </cell>
          <cell r="J15">
            <v>20000000</v>
          </cell>
          <cell r="K15">
            <v>10000000</v>
          </cell>
          <cell r="L15">
            <v>20000000</v>
          </cell>
          <cell r="M15">
            <v>26000000</v>
          </cell>
          <cell r="N15">
            <v>45000000</v>
          </cell>
          <cell r="P15">
            <v>38340000</v>
          </cell>
          <cell r="Q15">
            <v>20000000</v>
          </cell>
          <cell r="R15">
            <v>126060000</v>
          </cell>
          <cell r="S15">
            <v>170000000</v>
          </cell>
          <cell r="T15">
            <v>144415000</v>
          </cell>
          <cell r="U15">
            <v>8500000</v>
          </cell>
          <cell r="V15">
            <v>0</v>
          </cell>
          <cell r="W15">
            <v>178500000</v>
          </cell>
          <cell r="X15">
            <v>100000000</v>
          </cell>
          <cell r="Y15">
            <v>0</v>
          </cell>
          <cell r="Z15">
            <v>206550000</v>
          </cell>
          <cell r="AA15">
            <v>8500000</v>
          </cell>
          <cell r="AB15">
            <v>315350000</v>
          </cell>
          <cell r="AC15">
            <v>17000000</v>
          </cell>
          <cell r="AD15">
            <v>100000000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952500000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52500000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</row>
        <row r="16">
          <cell r="C16">
            <v>24709302</v>
          </cell>
          <cell r="D16">
            <v>10000000</v>
          </cell>
          <cell r="E16">
            <v>20000000</v>
          </cell>
          <cell r="F16">
            <v>25000000</v>
          </cell>
          <cell r="G16">
            <v>12000000</v>
          </cell>
          <cell r="H16">
            <v>12000000</v>
          </cell>
          <cell r="I16">
            <v>0</v>
          </cell>
          <cell r="J16">
            <v>20000000</v>
          </cell>
          <cell r="K16">
            <v>10000000</v>
          </cell>
          <cell r="L16">
            <v>20000000</v>
          </cell>
          <cell r="M16">
            <v>26000000</v>
          </cell>
          <cell r="N16">
            <v>45000000</v>
          </cell>
          <cell r="P16">
            <v>38340000</v>
          </cell>
          <cell r="Q16">
            <v>77961638.200000003</v>
          </cell>
          <cell r="R16">
            <v>126060000</v>
          </cell>
          <cell r="S16">
            <v>100000000</v>
          </cell>
          <cell r="T16">
            <v>169900000</v>
          </cell>
          <cell r="U16">
            <v>10000000</v>
          </cell>
          <cell r="V16">
            <v>730000000</v>
          </cell>
          <cell r="W16">
            <v>210000000</v>
          </cell>
          <cell r="X16">
            <v>68000000</v>
          </cell>
          <cell r="Y16">
            <v>100000000</v>
          </cell>
          <cell r="Z16">
            <v>243000000</v>
          </cell>
          <cell r="AA16">
            <v>10000000</v>
          </cell>
          <cell r="AB16">
            <v>371000000</v>
          </cell>
          <cell r="AC16">
            <v>20000000</v>
          </cell>
          <cell r="AD16">
            <v>261000000</v>
          </cell>
          <cell r="AE16">
            <v>43200000</v>
          </cell>
          <cell r="AF16">
            <v>8000000</v>
          </cell>
          <cell r="AG16">
            <v>2000000</v>
          </cell>
          <cell r="AH16">
            <v>10000000</v>
          </cell>
          <cell r="AI16">
            <v>1485000000</v>
          </cell>
          <cell r="AJ16">
            <v>205541280</v>
          </cell>
          <cell r="AK16">
            <v>8000000</v>
          </cell>
          <cell r="AL16">
            <v>10000000</v>
          </cell>
          <cell r="AM16">
            <v>0</v>
          </cell>
          <cell r="AN16">
            <v>0</v>
          </cell>
          <cell r="AO16">
            <v>0</v>
          </cell>
          <cell r="AP16">
            <v>63500000</v>
          </cell>
          <cell r="AQ16">
            <v>0</v>
          </cell>
          <cell r="AR16">
            <v>5355000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7334565</v>
          </cell>
          <cell r="AX16">
            <v>0</v>
          </cell>
          <cell r="AY16">
            <v>0</v>
          </cell>
        </row>
        <row r="17">
          <cell r="C17">
            <v>24709302</v>
          </cell>
          <cell r="D17">
            <v>10000000</v>
          </cell>
          <cell r="E17">
            <v>20000000</v>
          </cell>
          <cell r="F17">
            <v>25000000</v>
          </cell>
          <cell r="G17">
            <v>12000000</v>
          </cell>
          <cell r="H17">
            <v>12000000</v>
          </cell>
          <cell r="I17">
            <v>0</v>
          </cell>
          <cell r="J17">
            <v>20000000</v>
          </cell>
          <cell r="K17">
            <v>10000000</v>
          </cell>
          <cell r="L17">
            <v>20000000</v>
          </cell>
          <cell r="M17">
            <v>26000000</v>
          </cell>
          <cell r="N17">
            <v>45000000</v>
          </cell>
          <cell r="P17">
            <v>38340000</v>
          </cell>
          <cell r="Q17">
            <v>0</v>
          </cell>
          <cell r="R17">
            <v>126060000</v>
          </cell>
          <cell r="S17">
            <v>250000000</v>
          </cell>
          <cell r="T17">
            <v>169900000</v>
          </cell>
          <cell r="U17">
            <v>8500000</v>
          </cell>
          <cell r="V17">
            <v>0</v>
          </cell>
          <cell r="W17">
            <v>210000000</v>
          </cell>
          <cell r="X17">
            <v>0</v>
          </cell>
          <cell r="Y17">
            <v>0</v>
          </cell>
          <cell r="Z17">
            <v>243000000</v>
          </cell>
          <cell r="AA17">
            <v>8500000</v>
          </cell>
          <cell r="AB17">
            <v>241150000</v>
          </cell>
          <cell r="AC17">
            <v>0</v>
          </cell>
          <cell r="AD17">
            <v>42500000</v>
          </cell>
          <cell r="AE17">
            <v>52000000</v>
          </cell>
          <cell r="AF17">
            <v>8000000</v>
          </cell>
          <cell r="AG17">
            <v>0</v>
          </cell>
          <cell r="AH17">
            <v>0</v>
          </cell>
          <cell r="AI17">
            <v>220000000</v>
          </cell>
          <cell r="AJ17">
            <v>247410800</v>
          </cell>
          <cell r="AK17">
            <v>8000000</v>
          </cell>
          <cell r="AL17">
            <v>0</v>
          </cell>
          <cell r="AM17">
            <v>0</v>
          </cell>
          <cell r="AN17">
            <v>127500000</v>
          </cell>
          <cell r="AO17">
            <v>0</v>
          </cell>
          <cell r="AP17">
            <v>40500000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</row>
        <row r="18">
          <cell r="C18">
            <v>24709302</v>
          </cell>
          <cell r="D18">
            <v>10000000</v>
          </cell>
          <cell r="E18">
            <v>20000000</v>
          </cell>
          <cell r="F18">
            <v>25000000</v>
          </cell>
          <cell r="G18">
            <v>12000000.01</v>
          </cell>
          <cell r="H18">
            <v>12000000</v>
          </cell>
          <cell r="I18">
            <v>0</v>
          </cell>
          <cell r="J18">
            <v>20000000</v>
          </cell>
          <cell r="K18">
            <v>10000000</v>
          </cell>
          <cell r="L18">
            <v>20000000</v>
          </cell>
          <cell r="M18">
            <v>26000000</v>
          </cell>
          <cell r="N18">
            <v>45000000</v>
          </cell>
          <cell r="P18">
            <v>38340000</v>
          </cell>
          <cell r="Q18">
            <v>0</v>
          </cell>
          <cell r="R18">
            <v>126060000</v>
          </cell>
          <cell r="S18">
            <v>685500000</v>
          </cell>
          <cell r="T18">
            <v>169900000</v>
          </cell>
          <cell r="U18">
            <v>10000000</v>
          </cell>
          <cell r="V18">
            <v>50000000</v>
          </cell>
          <cell r="W18">
            <v>210000000.0009931</v>
          </cell>
          <cell r="X18">
            <v>255000000</v>
          </cell>
          <cell r="Y18">
            <v>0</v>
          </cell>
          <cell r="Z18">
            <v>242999999.9990069</v>
          </cell>
          <cell r="AA18">
            <v>10000000</v>
          </cell>
          <cell r="AB18">
            <v>371000000</v>
          </cell>
          <cell r="AC18">
            <v>0</v>
          </cell>
          <cell r="AD18">
            <v>642500000</v>
          </cell>
          <cell r="AE18">
            <v>68000000</v>
          </cell>
          <cell r="AF18">
            <v>4240000</v>
          </cell>
          <cell r="AG18">
            <v>1700000</v>
          </cell>
          <cell r="AH18">
            <v>0</v>
          </cell>
          <cell r="AI18">
            <v>1200000000</v>
          </cell>
          <cell r="AJ18">
            <v>323537200</v>
          </cell>
          <cell r="AK18">
            <v>4240000</v>
          </cell>
          <cell r="AL18">
            <v>0</v>
          </cell>
          <cell r="AM18">
            <v>0</v>
          </cell>
          <cell r="AN18">
            <v>150000000</v>
          </cell>
          <cell r="AO18">
            <v>0</v>
          </cell>
          <cell r="AP18">
            <v>63750000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</row>
        <row r="19">
          <cell r="C19">
            <v>24708302</v>
          </cell>
          <cell r="D19">
            <v>10000000</v>
          </cell>
          <cell r="E19">
            <v>20000000</v>
          </cell>
          <cell r="F19">
            <v>25000000</v>
          </cell>
          <cell r="G19">
            <v>12000000</v>
          </cell>
          <cell r="H19">
            <v>12000000</v>
          </cell>
          <cell r="I19">
            <v>0</v>
          </cell>
          <cell r="J19">
            <v>20000000</v>
          </cell>
          <cell r="K19">
            <v>10000000</v>
          </cell>
          <cell r="L19">
            <v>20000000</v>
          </cell>
          <cell r="M19">
            <v>26000000</v>
          </cell>
          <cell r="N19">
            <v>45000000</v>
          </cell>
          <cell r="P19">
            <v>32589000</v>
          </cell>
          <cell r="Q19">
            <v>0</v>
          </cell>
          <cell r="R19">
            <v>107151000</v>
          </cell>
          <cell r="S19">
            <v>0</v>
          </cell>
          <cell r="T19">
            <v>169899999.99886811</v>
          </cell>
          <cell r="U19">
            <v>0</v>
          </cell>
          <cell r="V19">
            <v>120000000</v>
          </cell>
          <cell r="W19">
            <v>210000000.00113189</v>
          </cell>
          <cell r="X19">
            <v>217000000</v>
          </cell>
          <cell r="Y19">
            <v>0</v>
          </cell>
          <cell r="Z19">
            <v>243000000</v>
          </cell>
          <cell r="AA19">
            <v>0</v>
          </cell>
          <cell r="AB19">
            <v>196630000</v>
          </cell>
          <cell r="AC19">
            <v>0</v>
          </cell>
          <cell r="AD19">
            <v>380000000</v>
          </cell>
          <cell r="AE19">
            <v>42400000</v>
          </cell>
          <cell r="AF19">
            <v>4240000</v>
          </cell>
          <cell r="AG19">
            <v>0</v>
          </cell>
          <cell r="AH19">
            <v>0</v>
          </cell>
          <cell r="AI19">
            <v>1000000000</v>
          </cell>
          <cell r="AJ19">
            <v>201734960</v>
          </cell>
          <cell r="AK19">
            <v>4240000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75000000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</row>
        <row r="20">
          <cell r="C20">
            <v>24709302</v>
          </cell>
          <cell r="D20">
            <v>10000000</v>
          </cell>
          <cell r="E20">
            <v>20000000</v>
          </cell>
          <cell r="F20">
            <v>25000000</v>
          </cell>
          <cell r="G20">
            <v>10200000</v>
          </cell>
          <cell r="H20">
            <v>10200000</v>
          </cell>
          <cell r="I20">
            <v>0</v>
          </cell>
          <cell r="J20">
            <v>20000000</v>
          </cell>
          <cell r="K20">
            <v>8500000</v>
          </cell>
          <cell r="L20">
            <v>20000000</v>
          </cell>
          <cell r="M20">
            <v>26000000</v>
          </cell>
          <cell r="N20">
            <v>45000000</v>
          </cell>
          <cell r="P20">
            <v>38340000</v>
          </cell>
          <cell r="Q20">
            <v>0</v>
          </cell>
          <cell r="R20">
            <v>126060000</v>
          </cell>
          <cell r="S20">
            <v>0</v>
          </cell>
          <cell r="T20">
            <v>144134998.490794</v>
          </cell>
          <cell r="U20">
            <v>8500000</v>
          </cell>
          <cell r="V20">
            <v>0</v>
          </cell>
          <cell r="W20">
            <v>178376396.01569599</v>
          </cell>
          <cell r="X20">
            <v>0</v>
          </cell>
          <cell r="Y20">
            <v>0</v>
          </cell>
          <cell r="Z20">
            <v>206406972.53244799</v>
          </cell>
          <cell r="AA20">
            <v>8500000</v>
          </cell>
          <cell r="AB20">
            <v>315131632.96106201</v>
          </cell>
          <cell r="AC20">
            <v>17000000</v>
          </cell>
          <cell r="AD20">
            <v>193934708.09999999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150000000</v>
          </cell>
          <cell r="AO20">
            <v>0</v>
          </cell>
          <cell r="AP20">
            <v>75000000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</row>
        <row r="21">
          <cell r="C21">
            <v>24709302</v>
          </cell>
          <cell r="D21">
            <v>10000000</v>
          </cell>
          <cell r="E21">
            <v>20000000</v>
          </cell>
          <cell r="F21">
            <v>25000000</v>
          </cell>
          <cell r="G21">
            <v>12000000</v>
          </cell>
          <cell r="H21">
            <v>12000000</v>
          </cell>
          <cell r="I21">
            <v>0</v>
          </cell>
          <cell r="J21">
            <v>20000000</v>
          </cell>
          <cell r="K21">
            <v>10000000</v>
          </cell>
          <cell r="L21">
            <v>20000000</v>
          </cell>
          <cell r="M21">
            <v>26000000</v>
          </cell>
          <cell r="N21">
            <v>45000000</v>
          </cell>
          <cell r="P21">
            <v>38340000</v>
          </cell>
          <cell r="Q21">
            <v>0</v>
          </cell>
          <cell r="R21">
            <v>126060000</v>
          </cell>
          <cell r="S21">
            <v>0</v>
          </cell>
          <cell r="T21">
            <v>169900000</v>
          </cell>
          <cell r="U21">
            <v>8500000</v>
          </cell>
          <cell r="V21">
            <v>0</v>
          </cell>
          <cell r="W21">
            <v>210000000</v>
          </cell>
          <cell r="X21">
            <v>300000000</v>
          </cell>
          <cell r="Y21">
            <v>0</v>
          </cell>
          <cell r="Z21">
            <v>243000000</v>
          </cell>
          <cell r="AA21">
            <v>8500000</v>
          </cell>
          <cell r="AB21">
            <v>371000000</v>
          </cell>
          <cell r="AC21">
            <v>17000000</v>
          </cell>
          <cell r="AD21">
            <v>100000000</v>
          </cell>
          <cell r="AE21">
            <v>80000000</v>
          </cell>
          <cell r="AF21">
            <v>8000000</v>
          </cell>
          <cell r="AG21">
            <v>1700000</v>
          </cell>
          <cell r="AH21">
            <v>8500000</v>
          </cell>
          <cell r="AI21">
            <v>0</v>
          </cell>
          <cell r="AJ21">
            <v>380632000</v>
          </cell>
          <cell r="AK21">
            <v>8000000</v>
          </cell>
          <cell r="AL21">
            <v>8500000</v>
          </cell>
          <cell r="AM21">
            <v>0</v>
          </cell>
          <cell r="AN21">
            <v>0</v>
          </cell>
          <cell r="AO21">
            <v>0</v>
          </cell>
          <cell r="AP21">
            <v>75000000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</row>
        <row r="22">
          <cell r="C22">
            <v>24709302</v>
          </cell>
          <cell r="D22">
            <v>10000000</v>
          </cell>
          <cell r="E22">
            <v>20000000</v>
          </cell>
          <cell r="F22">
            <v>25000000</v>
          </cell>
          <cell r="G22">
            <v>12000000</v>
          </cell>
          <cell r="H22">
            <v>12000000</v>
          </cell>
          <cell r="I22">
            <v>0</v>
          </cell>
          <cell r="J22">
            <v>20000000</v>
          </cell>
          <cell r="K22">
            <v>8500000</v>
          </cell>
          <cell r="L22">
            <v>20000000</v>
          </cell>
          <cell r="M22">
            <v>26000000</v>
          </cell>
          <cell r="N22">
            <v>45000000</v>
          </cell>
          <cell r="P22">
            <v>38340000</v>
          </cell>
          <cell r="Q22">
            <v>0</v>
          </cell>
          <cell r="R22">
            <v>126060000</v>
          </cell>
          <cell r="S22">
            <v>0</v>
          </cell>
          <cell r="T22">
            <v>169900000</v>
          </cell>
          <cell r="U22">
            <v>0</v>
          </cell>
          <cell r="V22">
            <v>10000000</v>
          </cell>
          <cell r="W22">
            <v>210000000</v>
          </cell>
          <cell r="X22">
            <v>0</v>
          </cell>
          <cell r="Y22">
            <v>0</v>
          </cell>
          <cell r="Z22">
            <v>243000000</v>
          </cell>
          <cell r="AA22">
            <v>0</v>
          </cell>
          <cell r="AB22">
            <v>371000000</v>
          </cell>
          <cell r="AC22">
            <v>0</v>
          </cell>
          <cell r="AD22">
            <v>550000000</v>
          </cell>
          <cell r="AE22">
            <v>52800000</v>
          </cell>
          <cell r="AF22">
            <v>0</v>
          </cell>
          <cell r="AG22">
            <v>1700000</v>
          </cell>
          <cell r="AH22">
            <v>0</v>
          </cell>
          <cell r="AI22">
            <v>300000000</v>
          </cell>
          <cell r="AJ22">
            <v>251217120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54750000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</row>
        <row r="23">
          <cell r="C23">
            <v>24706514.399999999</v>
          </cell>
          <cell r="D23">
            <v>10000000</v>
          </cell>
          <cell r="E23">
            <v>20000000</v>
          </cell>
          <cell r="F23">
            <v>25000000</v>
          </cell>
          <cell r="G23">
            <v>12000000</v>
          </cell>
          <cell r="H23">
            <v>12000000</v>
          </cell>
          <cell r="I23">
            <v>0</v>
          </cell>
          <cell r="J23">
            <v>20000000</v>
          </cell>
          <cell r="K23">
            <v>8500000</v>
          </cell>
          <cell r="L23">
            <v>20000000</v>
          </cell>
          <cell r="M23">
            <v>26000000</v>
          </cell>
          <cell r="N23">
            <v>45000000</v>
          </cell>
          <cell r="P23">
            <v>32589000</v>
          </cell>
          <cell r="Q23">
            <v>0</v>
          </cell>
          <cell r="R23">
            <v>107151000</v>
          </cell>
          <cell r="S23">
            <v>50000000</v>
          </cell>
          <cell r="T23">
            <v>169900000</v>
          </cell>
          <cell r="U23">
            <v>10000000</v>
          </cell>
          <cell r="V23">
            <v>0</v>
          </cell>
          <cell r="W23">
            <v>210000000</v>
          </cell>
          <cell r="X23">
            <v>0</v>
          </cell>
          <cell r="Y23">
            <v>50000000</v>
          </cell>
          <cell r="Z23">
            <v>206550000</v>
          </cell>
          <cell r="AA23">
            <v>8500000</v>
          </cell>
          <cell r="AB23">
            <v>315350000</v>
          </cell>
          <cell r="AC23">
            <v>0</v>
          </cell>
          <cell r="AD23">
            <v>85000000</v>
          </cell>
          <cell r="AE23">
            <v>68000000</v>
          </cell>
          <cell r="AF23">
            <v>7360000</v>
          </cell>
          <cell r="AG23">
            <v>0</v>
          </cell>
          <cell r="AH23">
            <v>0</v>
          </cell>
          <cell r="AI23">
            <v>3517500000</v>
          </cell>
          <cell r="AJ23">
            <v>323537200</v>
          </cell>
          <cell r="AK23">
            <v>7360000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75000000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</row>
        <row r="24">
          <cell r="C24">
            <v>24709302</v>
          </cell>
          <cell r="D24">
            <v>10000000</v>
          </cell>
          <cell r="E24">
            <v>20000000</v>
          </cell>
          <cell r="F24">
            <v>25000000</v>
          </cell>
          <cell r="G24">
            <v>12000000</v>
          </cell>
          <cell r="H24">
            <v>12000000</v>
          </cell>
          <cell r="I24">
            <v>0</v>
          </cell>
          <cell r="J24">
            <v>20000000</v>
          </cell>
          <cell r="K24">
            <v>10000000</v>
          </cell>
          <cell r="L24">
            <v>20000000</v>
          </cell>
          <cell r="M24">
            <v>26000000</v>
          </cell>
          <cell r="N24">
            <v>45000000</v>
          </cell>
          <cell r="P24">
            <v>38340000</v>
          </cell>
          <cell r="Q24">
            <v>25000000</v>
          </cell>
          <cell r="R24">
            <v>126060000</v>
          </cell>
          <cell r="S24">
            <v>310000000</v>
          </cell>
          <cell r="T24">
            <v>169900000</v>
          </cell>
          <cell r="U24">
            <v>10000000</v>
          </cell>
          <cell r="V24">
            <v>0</v>
          </cell>
          <cell r="W24">
            <v>210000000</v>
          </cell>
          <cell r="X24">
            <v>375000000</v>
          </cell>
          <cell r="Y24">
            <v>0</v>
          </cell>
          <cell r="Z24">
            <v>243000000</v>
          </cell>
          <cell r="AA24">
            <v>10000000</v>
          </cell>
          <cell r="AB24">
            <v>371000000</v>
          </cell>
          <cell r="AC24">
            <v>20000000</v>
          </cell>
          <cell r="AD24">
            <v>200000000</v>
          </cell>
          <cell r="AE24">
            <v>68000000</v>
          </cell>
          <cell r="AF24">
            <v>6800000</v>
          </cell>
          <cell r="AG24">
            <v>0</v>
          </cell>
          <cell r="AH24">
            <v>10000000</v>
          </cell>
          <cell r="AI24">
            <v>2550000000</v>
          </cell>
          <cell r="AJ24">
            <v>323537200</v>
          </cell>
          <cell r="AK24">
            <v>6800000</v>
          </cell>
          <cell r="AL24">
            <v>10000000</v>
          </cell>
          <cell r="AM24">
            <v>0</v>
          </cell>
          <cell r="AN24">
            <v>0</v>
          </cell>
          <cell r="AO24">
            <v>0</v>
          </cell>
          <cell r="AP24">
            <v>63750000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</row>
        <row r="25">
          <cell r="C25">
            <v>24709302</v>
          </cell>
          <cell r="D25">
            <v>10000000</v>
          </cell>
          <cell r="E25">
            <v>20000000</v>
          </cell>
          <cell r="F25">
            <v>25000000</v>
          </cell>
          <cell r="G25">
            <v>12000000</v>
          </cell>
          <cell r="H25">
            <v>12000000</v>
          </cell>
          <cell r="I25">
            <v>55000000</v>
          </cell>
          <cell r="J25">
            <v>20000000</v>
          </cell>
          <cell r="K25">
            <v>10000000</v>
          </cell>
          <cell r="L25">
            <v>20000000</v>
          </cell>
          <cell r="M25">
            <v>26000000</v>
          </cell>
          <cell r="N25">
            <v>45000000</v>
          </cell>
          <cell r="P25">
            <v>38340000</v>
          </cell>
          <cell r="Q25">
            <v>0</v>
          </cell>
          <cell r="R25">
            <v>126060000</v>
          </cell>
          <cell r="S25">
            <v>150000000</v>
          </cell>
          <cell r="T25">
            <v>169900000</v>
          </cell>
          <cell r="U25">
            <v>8500000</v>
          </cell>
          <cell r="V25">
            <v>0</v>
          </cell>
          <cell r="W25">
            <v>210000000</v>
          </cell>
          <cell r="X25">
            <v>42000000</v>
          </cell>
          <cell r="Y25">
            <v>250000000</v>
          </cell>
          <cell r="Z25">
            <v>206550000</v>
          </cell>
          <cell r="AA25">
            <v>8500000</v>
          </cell>
          <cell r="AB25">
            <v>315350000</v>
          </cell>
          <cell r="AC25">
            <v>0</v>
          </cell>
          <cell r="AD25">
            <v>300000000</v>
          </cell>
          <cell r="AE25">
            <v>68000000</v>
          </cell>
          <cell r="AF25">
            <v>0</v>
          </cell>
          <cell r="AG25">
            <v>0</v>
          </cell>
          <cell r="AH25">
            <v>0</v>
          </cell>
          <cell r="AI25">
            <v>1000000000</v>
          </cell>
          <cell r="AJ25">
            <v>323537200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51000000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</row>
        <row r="26">
          <cell r="C26">
            <v>24709302</v>
          </cell>
          <cell r="D26">
            <v>10000000</v>
          </cell>
          <cell r="E26">
            <v>20000000</v>
          </cell>
          <cell r="F26">
            <v>25000000</v>
          </cell>
          <cell r="G26">
            <v>12000000</v>
          </cell>
          <cell r="H26">
            <v>12000000</v>
          </cell>
          <cell r="I26">
            <v>0</v>
          </cell>
          <cell r="J26">
            <v>20000000</v>
          </cell>
          <cell r="K26">
            <v>10000000</v>
          </cell>
          <cell r="L26">
            <v>20000000</v>
          </cell>
          <cell r="M26">
            <v>26000000</v>
          </cell>
          <cell r="N26">
            <v>45000000</v>
          </cell>
          <cell r="P26">
            <v>38340000</v>
          </cell>
          <cell r="Q26">
            <v>25000000</v>
          </cell>
          <cell r="R26">
            <v>126060000</v>
          </cell>
          <cell r="S26">
            <v>148000000</v>
          </cell>
          <cell r="T26">
            <v>88348000</v>
          </cell>
          <cell r="U26">
            <v>0</v>
          </cell>
          <cell r="V26">
            <v>0</v>
          </cell>
          <cell r="W26">
            <v>109200000</v>
          </cell>
          <cell r="X26">
            <v>0</v>
          </cell>
          <cell r="Y26">
            <v>0</v>
          </cell>
          <cell r="Z26">
            <v>126360000</v>
          </cell>
          <cell r="AA26">
            <v>0</v>
          </cell>
          <cell r="AB26">
            <v>192920000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1700000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127500000</v>
          </cell>
          <cell r="AO26">
            <v>0</v>
          </cell>
          <cell r="AP26">
            <v>50250000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</row>
        <row r="27">
          <cell r="C27">
            <v>24709302</v>
          </cell>
          <cell r="D27">
            <v>10000000</v>
          </cell>
          <cell r="E27">
            <v>20000000</v>
          </cell>
          <cell r="F27">
            <v>25000000</v>
          </cell>
          <cell r="G27">
            <v>12000000</v>
          </cell>
          <cell r="H27">
            <v>12000000</v>
          </cell>
          <cell r="I27">
            <v>0</v>
          </cell>
          <cell r="J27">
            <v>20000000</v>
          </cell>
          <cell r="K27">
            <v>10000000</v>
          </cell>
          <cell r="L27">
            <v>20000000</v>
          </cell>
          <cell r="M27">
            <v>26000000</v>
          </cell>
          <cell r="N27">
            <v>45000000</v>
          </cell>
          <cell r="P27">
            <v>38340000</v>
          </cell>
          <cell r="Q27">
            <v>10000000</v>
          </cell>
          <cell r="R27">
            <v>126060000</v>
          </cell>
          <cell r="S27">
            <v>100000000</v>
          </cell>
          <cell r="T27">
            <v>169900000</v>
          </cell>
          <cell r="U27">
            <v>0</v>
          </cell>
          <cell r="V27">
            <v>0</v>
          </cell>
          <cell r="W27">
            <v>210000000</v>
          </cell>
          <cell r="X27">
            <v>0</v>
          </cell>
          <cell r="Y27">
            <v>0</v>
          </cell>
          <cell r="Z27">
            <v>206550000</v>
          </cell>
          <cell r="AA27">
            <v>0</v>
          </cell>
          <cell r="AB27">
            <v>315350000</v>
          </cell>
          <cell r="AC27">
            <v>0</v>
          </cell>
          <cell r="AD27">
            <v>211000000</v>
          </cell>
          <cell r="AE27">
            <v>68000000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51750000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</row>
        <row r="28">
          <cell r="C28">
            <v>24709302</v>
          </cell>
          <cell r="D28">
            <v>10000000</v>
          </cell>
          <cell r="E28">
            <v>15000000</v>
          </cell>
          <cell r="F28">
            <v>25000000</v>
          </cell>
          <cell r="G28">
            <v>12000000</v>
          </cell>
          <cell r="H28">
            <v>12000000</v>
          </cell>
          <cell r="I28">
            <v>0</v>
          </cell>
          <cell r="J28">
            <v>20000000</v>
          </cell>
          <cell r="K28">
            <v>10000000</v>
          </cell>
          <cell r="L28">
            <v>20000000</v>
          </cell>
          <cell r="M28">
            <v>26000000</v>
          </cell>
          <cell r="N28">
            <v>45000000</v>
          </cell>
          <cell r="P28">
            <v>38340000</v>
          </cell>
          <cell r="Q28">
            <v>0</v>
          </cell>
          <cell r="R28">
            <v>126060000</v>
          </cell>
          <cell r="S28">
            <v>0</v>
          </cell>
          <cell r="T28">
            <v>169900000</v>
          </cell>
          <cell r="U28">
            <v>8500000</v>
          </cell>
          <cell r="V28">
            <v>0</v>
          </cell>
          <cell r="W28">
            <v>210000000</v>
          </cell>
          <cell r="X28">
            <v>0</v>
          </cell>
          <cell r="Y28">
            <v>0</v>
          </cell>
          <cell r="Z28">
            <v>157950000</v>
          </cell>
          <cell r="AA28">
            <v>8500000</v>
          </cell>
          <cell r="AB28">
            <v>241150000</v>
          </cell>
          <cell r="AC28">
            <v>17000000</v>
          </cell>
          <cell r="AD28">
            <v>150000000</v>
          </cell>
          <cell r="AE28">
            <v>52000000</v>
          </cell>
          <cell r="AF28">
            <v>4080000</v>
          </cell>
          <cell r="AG28">
            <v>1700000</v>
          </cell>
          <cell r="AH28">
            <v>0</v>
          </cell>
          <cell r="AI28">
            <v>200000000</v>
          </cell>
          <cell r="AJ28">
            <v>247410800</v>
          </cell>
          <cell r="AK28">
            <v>4080000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48750000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</row>
        <row r="29">
          <cell r="C29">
            <v>24709302</v>
          </cell>
          <cell r="D29">
            <v>10000000</v>
          </cell>
          <cell r="E29">
            <v>20000000</v>
          </cell>
          <cell r="F29">
            <v>25000000</v>
          </cell>
          <cell r="G29">
            <v>12000000</v>
          </cell>
          <cell r="H29">
            <v>12000000</v>
          </cell>
          <cell r="I29">
            <v>0</v>
          </cell>
          <cell r="J29">
            <v>20000000</v>
          </cell>
          <cell r="K29">
            <v>10000000</v>
          </cell>
          <cell r="L29">
            <v>20000000</v>
          </cell>
          <cell r="M29">
            <v>26000000</v>
          </cell>
          <cell r="N29">
            <v>45000000</v>
          </cell>
          <cell r="P29">
            <v>38340000</v>
          </cell>
          <cell r="Q29">
            <v>0</v>
          </cell>
          <cell r="R29">
            <v>126060000</v>
          </cell>
          <cell r="S29">
            <v>70000000</v>
          </cell>
          <cell r="T29">
            <v>169900000</v>
          </cell>
          <cell r="U29">
            <v>0</v>
          </cell>
          <cell r="V29">
            <v>0</v>
          </cell>
          <cell r="W29">
            <v>210000000</v>
          </cell>
          <cell r="X29">
            <v>42000000</v>
          </cell>
          <cell r="Y29">
            <v>0</v>
          </cell>
          <cell r="Z29">
            <v>243000000</v>
          </cell>
          <cell r="AA29">
            <v>0</v>
          </cell>
          <cell r="AB29">
            <v>371000000</v>
          </cell>
          <cell r="AC29">
            <v>0</v>
          </cell>
          <cell r="AD29">
            <v>130000000</v>
          </cell>
          <cell r="AE29">
            <v>49600000</v>
          </cell>
          <cell r="AF29">
            <v>0</v>
          </cell>
          <cell r="AG29">
            <v>0</v>
          </cell>
          <cell r="AH29">
            <v>0</v>
          </cell>
          <cell r="AI29">
            <v>2200000000</v>
          </cell>
          <cell r="AJ29">
            <v>235991840</v>
          </cell>
          <cell r="AK29">
            <v>0</v>
          </cell>
          <cell r="AL29">
            <v>0</v>
          </cell>
          <cell r="AM29">
            <v>0</v>
          </cell>
          <cell r="AN29">
            <v>127500000</v>
          </cell>
          <cell r="AO29">
            <v>0</v>
          </cell>
          <cell r="AP29">
            <v>53250000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</row>
        <row r="30">
          <cell r="C30">
            <v>24709302</v>
          </cell>
          <cell r="D30">
            <v>10000000</v>
          </cell>
          <cell r="E30">
            <v>20000000</v>
          </cell>
          <cell r="F30">
            <v>25000000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10000000</v>
          </cell>
          <cell r="L30">
            <v>20000000</v>
          </cell>
          <cell r="M30">
            <v>26000000</v>
          </cell>
          <cell r="N30">
            <v>45000000</v>
          </cell>
          <cell r="P30">
            <v>38340000</v>
          </cell>
          <cell r="Q30">
            <v>0</v>
          </cell>
          <cell r="R30">
            <v>126060000</v>
          </cell>
          <cell r="S30">
            <v>21250000</v>
          </cell>
          <cell r="T30">
            <v>169900000</v>
          </cell>
          <cell r="U30">
            <v>0</v>
          </cell>
          <cell r="V30">
            <v>500000000</v>
          </cell>
          <cell r="W30">
            <v>210000000</v>
          </cell>
          <cell r="X30">
            <v>0</v>
          </cell>
          <cell r="Y30">
            <v>100000000</v>
          </cell>
          <cell r="Z30">
            <v>206550000</v>
          </cell>
          <cell r="AA30">
            <v>0</v>
          </cell>
          <cell r="AB30">
            <v>315350000</v>
          </cell>
          <cell r="AC30">
            <v>0</v>
          </cell>
          <cell r="AD30">
            <v>200000000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1000000000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51750000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</row>
        <row r="31">
          <cell r="C31">
            <v>24709302</v>
          </cell>
          <cell r="D31">
            <v>10000000</v>
          </cell>
          <cell r="E31">
            <v>20000000</v>
          </cell>
          <cell r="F31">
            <v>25000000</v>
          </cell>
          <cell r="G31">
            <v>12000000</v>
          </cell>
          <cell r="H31">
            <v>12000000</v>
          </cell>
          <cell r="I31">
            <v>0</v>
          </cell>
          <cell r="J31">
            <v>20000000</v>
          </cell>
          <cell r="K31">
            <v>10000000</v>
          </cell>
          <cell r="L31">
            <v>20000000</v>
          </cell>
          <cell r="M31">
            <v>26000000</v>
          </cell>
          <cell r="N31">
            <v>45000000</v>
          </cell>
          <cell r="P31">
            <v>38340000</v>
          </cell>
          <cell r="Q31">
            <v>0</v>
          </cell>
          <cell r="R31">
            <v>126060000</v>
          </cell>
          <cell r="S31">
            <v>450000000</v>
          </cell>
          <cell r="T31">
            <v>168993173.06148702</v>
          </cell>
          <cell r="U31">
            <v>10000000</v>
          </cell>
          <cell r="V31">
            <v>0</v>
          </cell>
          <cell r="W31">
            <v>178398860.17017201</v>
          </cell>
          <cell r="X31">
            <v>60700000</v>
          </cell>
          <cell r="Y31">
            <v>110000000</v>
          </cell>
          <cell r="Z31">
            <v>206432966.76834199</v>
          </cell>
          <cell r="AA31">
            <v>10000000</v>
          </cell>
          <cell r="AB31">
            <v>215180000</v>
          </cell>
          <cell r="AC31">
            <v>20000000</v>
          </cell>
          <cell r="AD31">
            <v>0</v>
          </cell>
          <cell r="AE31">
            <v>46400000</v>
          </cell>
          <cell r="AF31">
            <v>6800000</v>
          </cell>
          <cell r="AG31">
            <v>0</v>
          </cell>
          <cell r="AH31">
            <v>10000000</v>
          </cell>
          <cell r="AI31">
            <v>0</v>
          </cell>
          <cell r="AJ31">
            <v>220766560</v>
          </cell>
          <cell r="AK31">
            <v>6800000</v>
          </cell>
          <cell r="AL31">
            <v>0</v>
          </cell>
          <cell r="AM31">
            <v>0</v>
          </cell>
          <cell r="AN31">
            <v>150000000</v>
          </cell>
          <cell r="AO31">
            <v>0</v>
          </cell>
          <cell r="AP31">
            <v>75000000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</row>
        <row r="32">
          <cell r="C32">
            <v>24709302</v>
          </cell>
          <cell r="D32">
            <v>10000000</v>
          </cell>
          <cell r="E32">
            <v>20000000</v>
          </cell>
          <cell r="F32">
            <v>25000000</v>
          </cell>
          <cell r="G32">
            <v>12000000</v>
          </cell>
          <cell r="H32">
            <v>12000000</v>
          </cell>
          <cell r="I32">
            <v>0</v>
          </cell>
          <cell r="J32">
            <v>20000000</v>
          </cell>
          <cell r="K32">
            <v>10000000</v>
          </cell>
          <cell r="L32">
            <v>20000000</v>
          </cell>
          <cell r="M32">
            <v>26000000</v>
          </cell>
          <cell r="N32">
            <v>45000000</v>
          </cell>
          <cell r="P32">
            <v>38340000</v>
          </cell>
          <cell r="R32">
            <v>126060000</v>
          </cell>
          <cell r="S32">
            <v>0</v>
          </cell>
          <cell r="T32">
            <v>169900000</v>
          </cell>
          <cell r="U32">
            <v>0</v>
          </cell>
          <cell r="V32">
            <v>320000000</v>
          </cell>
          <cell r="W32">
            <v>210000000</v>
          </cell>
          <cell r="X32">
            <v>50000000</v>
          </cell>
          <cell r="Y32">
            <v>0</v>
          </cell>
          <cell r="Z32">
            <v>243000000</v>
          </cell>
          <cell r="AA32">
            <v>0</v>
          </cell>
          <cell r="AB32">
            <v>371000000</v>
          </cell>
          <cell r="AC32">
            <v>0</v>
          </cell>
          <cell r="AD32">
            <v>80000000</v>
          </cell>
          <cell r="AE32">
            <v>55200000</v>
          </cell>
          <cell r="AF32">
            <v>4000000</v>
          </cell>
          <cell r="AG32">
            <v>0</v>
          </cell>
          <cell r="AH32">
            <v>0</v>
          </cell>
          <cell r="AI32">
            <v>1000000000</v>
          </cell>
          <cell r="AJ32">
            <v>262636080</v>
          </cell>
          <cell r="AK32">
            <v>4000000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57000000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</row>
        <row r="33">
          <cell r="C33">
            <v>24709302</v>
          </cell>
          <cell r="D33">
            <v>10000000</v>
          </cell>
          <cell r="E33">
            <v>20000000</v>
          </cell>
          <cell r="F33">
            <v>25107366.329999998</v>
          </cell>
          <cell r="G33">
            <v>12000000</v>
          </cell>
          <cell r="H33">
            <v>12000000</v>
          </cell>
          <cell r="I33">
            <v>0</v>
          </cell>
          <cell r="J33">
            <v>20000000</v>
          </cell>
          <cell r="K33">
            <v>10000000</v>
          </cell>
          <cell r="L33">
            <v>20000000</v>
          </cell>
          <cell r="M33">
            <v>26000000</v>
          </cell>
          <cell r="N33">
            <v>45000000</v>
          </cell>
          <cell r="P33">
            <v>38340000</v>
          </cell>
          <cell r="Q33">
            <v>0</v>
          </cell>
          <cell r="R33">
            <v>126060000</v>
          </cell>
          <cell r="S33">
            <v>0</v>
          </cell>
          <cell r="T33">
            <v>169900000</v>
          </cell>
          <cell r="U33">
            <v>0</v>
          </cell>
          <cell r="V33">
            <v>250000000</v>
          </cell>
          <cell r="W33">
            <v>210000000</v>
          </cell>
          <cell r="X33">
            <v>0</v>
          </cell>
          <cell r="Y33">
            <v>0</v>
          </cell>
          <cell r="Z33">
            <v>243000000</v>
          </cell>
          <cell r="AA33">
            <v>10000000</v>
          </cell>
          <cell r="AB33">
            <v>315350000</v>
          </cell>
          <cell r="AC33">
            <v>20000000</v>
          </cell>
          <cell r="AD33">
            <v>300000000</v>
          </cell>
          <cell r="AE33">
            <v>68000000</v>
          </cell>
          <cell r="AF33">
            <v>6800000</v>
          </cell>
          <cell r="AG33">
            <v>1700000</v>
          </cell>
          <cell r="AH33">
            <v>10000000</v>
          </cell>
          <cell r="AI33">
            <v>2417500000</v>
          </cell>
          <cell r="AJ33">
            <v>0</v>
          </cell>
          <cell r="AK33">
            <v>6800000</v>
          </cell>
          <cell r="AL33">
            <v>8500000</v>
          </cell>
          <cell r="AM33">
            <v>0</v>
          </cell>
          <cell r="AN33">
            <v>0</v>
          </cell>
          <cell r="AO33">
            <v>0</v>
          </cell>
          <cell r="AP33">
            <v>75000000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40258835.049999997</v>
          </cell>
        </row>
        <row r="34">
          <cell r="C34">
            <v>24709302</v>
          </cell>
          <cell r="D34">
            <v>10000000</v>
          </cell>
          <cell r="E34">
            <v>20000000</v>
          </cell>
          <cell r="F34">
            <v>25000000</v>
          </cell>
          <cell r="G34">
            <v>12000000</v>
          </cell>
          <cell r="H34">
            <v>12000000</v>
          </cell>
          <cell r="I34">
            <v>0</v>
          </cell>
          <cell r="J34">
            <v>20000000</v>
          </cell>
          <cell r="K34">
            <v>8500000</v>
          </cell>
          <cell r="L34">
            <v>20000000</v>
          </cell>
          <cell r="M34">
            <v>26000000</v>
          </cell>
          <cell r="N34">
            <v>45000000</v>
          </cell>
          <cell r="P34">
            <v>38340000</v>
          </cell>
          <cell r="Q34">
            <v>0</v>
          </cell>
          <cell r="R34">
            <v>124560000</v>
          </cell>
          <cell r="S34">
            <v>0</v>
          </cell>
          <cell r="T34">
            <v>169900000</v>
          </cell>
          <cell r="U34">
            <v>8500000</v>
          </cell>
          <cell r="V34">
            <v>0</v>
          </cell>
          <cell r="W34">
            <v>210000000</v>
          </cell>
          <cell r="X34">
            <v>0</v>
          </cell>
          <cell r="Y34">
            <v>0</v>
          </cell>
          <cell r="Z34">
            <v>243000000</v>
          </cell>
          <cell r="AA34">
            <v>8500000</v>
          </cell>
          <cell r="AB34">
            <v>371000000</v>
          </cell>
          <cell r="AC34">
            <v>17000000</v>
          </cell>
          <cell r="AD34">
            <v>200000000</v>
          </cell>
          <cell r="AE34">
            <v>68000000</v>
          </cell>
          <cell r="AF34">
            <v>0</v>
          </cell>
          <cell r="AG34">
            <v>0</v>
          </cell>
          <cell r="AH34">
            <v>0</v>
          </cell>
          <cell r="AI34">
            <v>100000000</v>
          </cell>
          <cell r="AJ34">
            <v>323537200</v>
          </cell>
          <cell r="AK34">
            <v>0</v>
          </cell>
          <cell r="AL34">
            <v>0</v>
          </cell>
          <cell r="AM34">
            <v>0</v>
          </cell>
          <cell r="AN34">
            <v>150000000</v>
          </cell>
          <cell r="AO34">
            <v>0</v>
          </cell>
          <cell r="AP34">
            <v>51000000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</row>
        <row r="35">
          <cell r="C35">
            <v>24709302</v>
          </cell>
          <cell r="D35">
            <v>10000000</v>
          </cell>
          <cell r="E35">
            <v>20000000</v>
          </cell>
          <cell r="F35">
            <v>24257892.66</v>
          </cell>
          <cell r="G35">
            <v>12000000</v>
          </cell>
          <cell r="H35">
            <v>12000000</v>
          </cell>
          <cell r="I35">
            <v>0</v>
          </cell>
          <cell r="J35">
            <v>20000000</v>
          </cell>
          <cell r="K35">
            <v>10000000</v>
          </cell>
          <cell r="L35">
            <v>20000000</v>
          </cell>
          <cell r="M35">
            <v>27950000</v>
          </cell>
          <cell r="N35">
            <v>42150000</v>
          </cell>
          <cell r="P35">
            <v>38340000</v>
          </cell>
          <cell r="Q35">
            <v>0</v>
          </cell>
          <cell r="R35">
            <v>126060000</v>
          </cell>
          <cell r="S35">
            <v>1100000000</v>
          </cell>
          <cell r="T35">
            <v>169900000</v>
          </cell>
          <cell r="U35">
            <v>10000000</v>
          </cell>
          <cell r="V35">
            <v>150000000</v>
          </cell>
          <cell r="W35">
            <v>210000000</v>
          </cell>
          <cell r="X35">
            <v>750000000</v>
          </cell>
          <cell r="Y35">
            <v>0</v>
          </cell>
          <cell r="Z35">
            <v>243000000</v>
          </cell>
          <cell r="AA35">
            <v>10000000</v>
          </cell>
          <cell r="AB35">
            <v>371000000</v>
          </cell>
          <cell r="AC35">
            <v>20000000</v>
          </cell>
          <cell r="AD35">
            <v>60000000</v>
          </cell>
          <cell r="AE35">
            <v>68000000</v>
          </cell>
          <cell r="AF35">
            <v>6800000</v>
          </cell>
          <cell r="AG35">
            <v>0</v>
          </cell>
          <cell r="AH35">
            <v>10000000</v>
          </cell>
          <cell r="AI35">
            <v>3367500000</v>
          </cell>
          <cell r="AJ35">
            <v>323537200</v>
          </cell>
          <cell r="AK35">
            <v>6800000</v>
          </cell>
          <cell r="AL35">
            <v>10000000</v>
          </cell>
          <cell r="AM35">
            <v>0</v>
          </cell>
          <cell r="AN35">
            <v>0</v>
          </cell>
          <cell r="AO35">
            <v>0</v>
          </cell>
          <cell r="AP35">
            <v>45000000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</row>
        <row r="36">
          <cell r="C36">
            <v>24706514.399999999</v>
          </cell>
          <cell r="D36">
            <v>10000000</v>
          </cell>
          <cell r="E36">
            <v>20000000</v>
          </cell>
          <cell r="F36">
            <v>25000000</v>
          </cell>
          <cell r="G36">
            <v>12000000</v>
          </cell>
          <cell r="H36">
            <v>12000000</v>
          </cell>
          <cell r="I36">
            <v>0</v>
          </cell>
          <cell r="J36">
            <v>20149002.510000002</v>
          </cell>
          <cell r="K36">
            <v>8500000</v>
          </cell>
          <cell r="L36">
            <v>20000000</v>
          </cell>
          <cell r="M36">
            <v>26000000</v>
          </cell>
          <cell r="N36">
            <v>45000000</v>
          </cell>
          <cell r="P36">
            <v>38340000</v>
          </cell>
          <cell r="Q36">
            <v>0</v>
          </cell>
          <cell r="R36">
            <v>126060000</v>
          </cell>
          <cell r="S36">
            <v>275000000</v>
          </cell>
          <cell r="T36">
            <v>144415000</v>
          </cell>
          <cell r="U36">
            <v>8500000</v>
          </cell>
          <cell r="V36">
            <v>0</v>
          </cell>
          <cell r="W36">
            <v>178500000</v>
          </cell>
          <cell r="X36">
            <v>350000000</v>
          </cell>
          <cell r="Y36">
            <v>100000000</v>
          </cell>
          <cell r="Z36">
            <v>206550000</v>
          </cell>
          <cell r="AA36">
            <v>8500000</v>
          </cell>
          <cell r="AB36">
            <v>422501000</v>
          </cell>
          <cell r="AC36">
            <v>17000000</v>
          </cell>
          <cell r="AD36">
            <v>150000000</v>
          </cell>
          <cell r="AE36">
            <v>54400000</v>
          </cell>
          <cell r="AF36">
            <v>6800000</v>
          </cell>
          <cell r="AG36">
            <v>1700000</v>
          </cell>
          <cell r="AH36">
            <v>8500000</v>
          </cell>
          <cell r="AI36">
            <v>3500500000</v>
          </cell>
          <cell r="AJ36">
            <v>258829760</v>
          </cell>
          <cell r="AK36">
            <v>6800000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50250000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</row>
        <row r="37">
          <cell r="C37">
            <v>24709302</v>
          </cell>
          <cell r="D37">
            <v>10000000</v>
          </cell>
          <cell r="E37">
            <v>20000000</v>
          </cell>
          <cell r="F37">
            <v>25000000</v>
          </cell>
          <cell r="G37">
            <v>11999999.449999999</v>
          </cell>
          <cell r="H37">
            <v>12000000</v>
          </cell>
          <cell r="I37">
            <v>0</v>
          </cell>
          <cell r="J37">
            <v>20000000</v>
          </cell>
          <cell r="K37">
            <v>10000000</v>
          </cell>
          <cell r="L37">
            <v>20000000</v>
          </cell>
          <cell r="M37">
            <v>26000000</v>
          </cell>
          <cell r="N37">
            <v>45000000</v>
          </cell>
          <cell r="P37">
            <v>38340000</v>
          </cell>
          <cell r="Q37">
            <v>0</v>
          </cell>
          <cell r="R37">
            <v>126060000</v>
          </cell>
          <cell r="S37">
            <v>400000000</v>
          </cell>
          <cell r="T37">
            <v>169900000</v>
          </cell>
          <cell r="U37">
            <v>10000000</v>
          </cell>
          <cell r="V37">
            <v>100000000</v>
          </cell>
          <cell r="W37">
            <v>210000000</v>
          </cell>
          <cell r="X37">
            <v>750000000</v>
          </cell>
          <cell r="Y37">
            <v>150000000</v>
          </cell>
          <cell r="Z37">
            <v>243000000</v>
          </cell>
          <cell r="AA37">
            <v>10000000</v>
          </cell>
          <cell r="AB37">
            <v>371000000</v>
          </cell>
          <cell r="AC37">
            <v>20000000</v>
          </cell>
          <cell r="AD37">
            <v>105000000</v>
          </cell>
          <cell r="AE37">
            <v>80000000</v>
          </cell>
          <cell r="AF37">
            <v>4000000</v>
          </cell>
          <cell r="AG37">
            <v>1700000</v>
          </cell>
          <cell r="AH37">
            <v>8500000</v>
          </cell>
          <cell r="AI37">
            <v>1280000000</v>
          </cell>
          <cell r="AJ37">
            <v>235991840</v>
          </cell>
          <cell r="AK37">
            <v>4000000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84750000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</row>
        <row r="38">
          <cell r="C38">
            <v>24709302</v>
          </cell>
          <cell r="D38">
            <v>10000000</v>
          </cell>
          <cell r="E38">
            <v>20000000</v>
          </cell>
          <cell r="F38">
            <v>25000000</v>
          </cell>
          <cell r="G38">
            <v>12000000</v>
          </cell>
          <cell r="H38">
            <v>12000000</v>
          </cell>
          <cell r="I38">
            <v>0</v>
          </cell>
          <cell r="J38">
            <v>20000000</v>
          </cell>
          <cell r="K38">
            <v>10000000</v>
          </cell>
          <cell r="L38">
            <v>20000000</v>
          </cell>
          <cell r="M38">
            <v>26000000</v>
          </cell>
          <cell r="N38">
            <v>45000000</v>
          </cell>
          <cell r="P38">
            <v>38340000</v>
          </cell>
          <cell r="Q38">
            <v>0</v>
          </cell>
          <cell r="R38">
            <v>126060000</v>
          </cell>
          <cell r="S38">
            <v>0</v>
          </cell>
          <cell r="T38">
            <v>169900000</v>
          </cell>
          <cell r="U38">
            <v>8500000</v>
          </cell>
          <cell r="V38">
            <v>0</v>
          </cell>
          <cell r="W38">
            <v>210000000</v>
          </cell>
          <cell r="X38">
            <v>0</v>
          </cell>
          <cell r="Y38">
            <v>0</v>
          </cell>
          <cell r="Z38">
            <v>243000000</v>
          </cell>
          <cell r="AA38">
            <v>8500000</v>
          </cell>
          <cell r="AB38">
            <v>204050000</v>
          </cell>
          <cell r="AC38">
            <v>0</v>
          </cell>
          <cell r="AD38">
            <v>0</v>
          </cell>
          <cell r="AE38">
            <v>44000000</v>
          </cell>
          <cell r="AF38">
            <v>4000000</v>
          </cell>
          <cell r="AG38">
            <v>0</v>
          </cell>
          <cell r="AH38">
            <v>0</v>
          </cell>
          <cell r="AI38">
            <v>0</v>
          </cell>
          <cell r="AJ38">
            <v>209347600</v>
          </cell>
          <cell r="AK38">
            <v>4000000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63750000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</row>
        <row r="39">
          <cell r="C39">
            <v>24714302</v>
          </cell>
          <cell r="D39">
            <v>10000000</v>
          </cell>
          <cell r="E39">
            <v>20000000</v>
          </cell>
          <cell r="F39">
            <v>25000000</v>
          </cell>
          <cell r="G39">
            <v>12000000</v>
          </cell>
          <cell r="H39">
            <v>12000000</v>
          </cell>
          <cell r="I39">
            <v>0</v>
          </cell>
          <cell r="J39">
            <v>20000000</v>
          </cell>
          <cell r="K39">
            <v>10000000</v>
          </cell>
          <cell r="L39">
            <v>20000000</v>
          </cell>
          <cell r="M39">
            <v>26000000</v>
          </cell>
          <cell r="N39">
            <v>45000000</v>
          </cell>
          <cell r="P39">
            <v>38340000</v>
          </cell>
          <cell r="Q39">
            <v>10695699.43</v>
          </cell>
          <cell r="R39">
            <v>126060000</v>
          </cell>
          <cell r="S39">
            <v>180000000</v>
          </cell>
          <cell r="T39">
            <v>169900000</v>
          </cell>
          <cell r="U39">
            <v>10000000</v>
          </cell>
          <cell r="V39">
            <v>500000000</v>
          </cell>
          <cell r="W39">
            <v>210000000</v>
          </cell>
          <cell r="X39">
            <v>200000000</v>
          </cell>
          <cell r="Y39">
            <v>0</v>
          </cell>
          <cell r="Z39">
            <v>243000000</v>
          </cell>
          <cell r="AA39">
            <v>10000000</v>
          </cell>
          <cell r="AB39">
            <v>371000000</v>
          </cell>
          <cell r="AC39">
            <v>20000000</v>
          </cell>
          <cell r="AD39">
            <v>150000000</v>
          </cell>
          <cell r="AE39">
            <v>52000000</v>
          </cell>
          <cell r="AF39">
            <v>6800000</v>
          </cell>
          <cell r="AG39">
            <v>0</v>
          </cell>
          <cell r="AH39">
            <v>10000000</v>
          </cell>
          <cell r="AI39">
            <v>200000000</v>
          </cell>
          <cell r="AJ39">
            <v>247410800</v>
          </cell>
          <cell r="AK39">
            <v>6800000</v>
          </cell>
          <cell r="AL39">
            <v>10000000</v>
          </cell>
          <cell r="AM39">
            <v>0</v>
          </cell>
          <cell r="AN39">
            <v>94500000</v>
          </cell>
          <cell r="AO39">
            <v>0</v>
          </cell>
          <cell r="AP39">
            <v>56250000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</row>
        <row r="40">
          <cell r="C40">
            <v>24709302</v>
          </cell>
          <cell r="D40">
            <v>10000000</v>
          </cell>
          <cell r="E40">
            <v>20000000</v>
          </cell>
          <cell r="F40">
            <v>25000000</v>
          </cell>
          <cell r="G40">
            <v>12000000</v>
          </cell>
          <cell r="H40">
            <v>12000000</v>
          </cell>
          <cell r="I40">
            <v>0</v>
          </cell>
          <cell r="J40">
            <v>20000000</v>
          </cell>
          <cell r="K40">
            <v>10000000</v>
          </cell>
          <cell r="L40">
            <v>20000000</v>
          </cell>
          <cell r="M40">
            <v>26000000</v>
          </cell>
          <cell r="N40">
            <v>45000000</v>
          </cell>
          <cell r="P40">
            <v>38340000</v>
          </cell>
          <cell r="R40">
            <v>126060000</v>
          </cell>
          <cell r="S40">
            <v>520000000</v>
          </cell>
          <cell r="T40">
            <v>169900000</v>
          </cell>
          <cell r="U40">
            <v>10000000</v>
          </cell>
          <cell r="V40">
            <v>250000000</v>
          </cell>
          <cell r="W40">
            <v>210000000</v>
          </cell>
          <cell r="X40">
            <v>30000000</v>
          </cell>
          <cell r="Y40">
            <v>240000000</v>
          </cell>
          <cell r="Z40">
            <v>243000000</v>
          </cell>
          <cell r="AA40">
            <v>10000000</v>
          </cell>
          <cell r="AB40">
            <v>371000000</v>
          </cell>
          <cell r="AC40">
            <v>20000000</v>
          </cell>
          <cell r="AD40">
            <v>55000000</v>
          </cell>
          <cell r="AE40">
            <v>56957225.090000004</v>
          </cell>
          <cell r="AF40">
            <v>8000000</v>
          </cell>
          <cell r="AG40">
            <v>1700000</v>
          </cell>
          <cell r="AH40">
            <v>0</v>
          </cell>
          <cell r="AI40">
            <v>1465000000</v>
          </cell>
          <cell r="AJ40">
            <v>270996781.27999997</v>
          </cell>
          <cell r="AK40">
            <v>8000000</v>
          </cell>
          <cell r="AL40">
            <v>0</v>
          </cell>
          <cell r="AM40">
            <v>0</v>
          </cell>
          <cell r="AN40">
            <v>99000000</v>
          </cell>
          <cell r="AO40">
            <v>0</v>
          </cell>
          <cell r="AP40">
            <v>51000000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</row>
        <row r="41">
          <cell r="C41">
            <v>24714302</v>
          </cell>
          <cell r="D41">
            <v>10000000</v>
          </cell>
          <cell r="E41">
            <v>20000000</v>
          </cell>
          <cell r="F41">
            <v>25000000</v>
          </cell>
          <cell r="G41">
            <v>12000000</v>
          </cell>
          <cell r="H41">
            <v>12000000</v>
          </cell>
          <cell r="I41">
            <v>0</v>
          </cell>
          <cell r="J41">
            <v>20000000</v>
          </cell>
          <cell r="K41">
            <v>10000000</v>
          </cell>
          <cell r="L41">
            <v>20000000</v>
          </cell>
          <cell r="M41">
            <v>26000000</v>
          </cell>
          <cell r="N41">
            <v>45000000</v>
          </cell>
          <cell r="P41">
            <v>38300000</v>
          </cell>
          <cell r="Q41">
            <v>29500000</v>
          </cell>
          <cell r="R41">
            <v>126060000</v>
          </cell>
          <cell r="S41">
            <v>10000000</v>
          </cell>
          <cell r="T41">
            <v>169900000</v>
          </cell>
          <cell r="U41">
            <v>0</v>
          </cell>
          <cell r="W41">
            <v>210000000</v>
          </cell>
          <cell r="X41">
            <v>0</v>
          </cell>
          <cell r="Y41">
            <v>0</v>
          </cell>
          <cell r="Z41">
            <v>243000000</v>
          </cell>
          <cell r="AA41">
            <v>10000000</v>
          </cell>
          <cell r="AB41">
            <v>336150000</v>
          </cell>
          <cell r="AC41">
            <v>20000000</v>
          </cell>
          <cell r="AD41">
            <v>102000000</v>
          </cell>
          <cell r="AE41">
            <v>47200000</v>
          </cell>
          <cell r="AF41">
            <v>0</v>
          </cell>
          <cell r="AG41">
            <v>0</v>
          </cell>
          <cell r="AH41">
            <v>10000000</v>
          </cell>
          <cell r="AI41">
            <v>48500000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127500000</v>
          </cell>
          <cell r="AO41">
            <v>0</v>
          </cell>
          <cell r="AP41">
            <v>39750000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</row>
        <row r="42">
          <cell r="C42">
            <v>24709302</v>
          </cell>
          <cell r="D42">
            <v>10000000</v>
          </cell>
          <cell r="E42">
            <v>20000000</v>
          </cell>
          <cell r="F42">
            <v>25000000</v>
          </cell>
          <cell r="G42">
            <v>12000000</v>
          </cell>
          <cell r="H42">
            <v>12000000</v>
          </cell>
          <cell r="I42">
            <v>0</v>
          </cell>
          <cell r="J42">
            <v>20000000</v>
          </cell>
          <cell r="K42">
            <v>10000000</v>
          </cell>
          <cell r="L42">
            <v>20000000</v>
          </cell>
          <cell r="M42">
            <v>26000000</v>
          </cell>
          <cell r="N42">
            <v>45000000</v>
          </cell>
          <cell r="P42">
            <v>38340000</v>
          </cell>
          <cell r="Q42">
            <v>0</v>
          </cell>
          <cell r="R42">
            <v>126060000</v>
          </cell>
          <cell r="S42">
            <v>50000000</v>
          </cell>
          <cell r="T42">
            <v>169900000</v>
          </cell>
          <cell r="U42">
            <v>0</v>
          </cell>
          <cell r="V42">
            <v>0</v>
          </cell>
          <cell r="W42">
            <v>210000000</v>
          </cell>
          <cell r="X42">
            <v>200000000</v>
          </cell>
          <cell r="Y42">
            <v>30000000</v>
          </cell>
          <cell r="Z42">
            <v>243000000</v>
          </cell>
          <cell r="AA42">
            <v>10000000</v>
          </cell>
          <cell r="AB42">
            <v>315350000</v>
          </cell>
          <cell r="AC42">
            <v>0</v>
          </cell>
          <cell r="AD42">
            <v>100000000</v>
          </cell>
          <cell r="AE42">
            <v>68000000</v>
          </cell>
          <cell r="AF42">
            <v>8000000</v>
          </cell>
          <cell r="AG42">
            <v>0</v>
          </cell>
          <cell r="AI42">
            <v>500000000</v>
          </cell>
          <cell r="AJ42">
            <v>323537200</v>
          </cell>
          <cell r="AK42">
            <v>8000000</v>
          </cell>
          <cell r="AM42">
            <v>0</v>
          </cell>
          <cell r="AN42">
            <v>0</v>
          </cell>
          <cell r="AO42">
            <v>0</v>
          </cell>
          <cell r="AP42">
            <v>75000000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</row>
        <row r="43">
          <cell r="C43">
            <v>24709302</v>
          </cell>
          <cell r="D43">
            <v>10000000</v>
          </cell>
          <cell r="E43">
            <v>20000000</v>
          </cell>
          <cell r="F43">
            <v>25000000</v>
          </cell>
          <cell r="G43">
            <v>12000000</v>
          </cell>
          <cell r="H43">
            <v>12000000</v>
          </cell>
          <cell r="I43">
            <v>0</v>
          </cell>
          <cell r="J43">
            <v>20000000</v>
          </cell>
          <cell r="K43">
            <v>10000000</v>
          </cell>
          <cell r="L43">
            <v>20000000</v>
          </cell>
          <cell r="M43">
            <v>26000000</v>
          </cell>
          <cell r="N43">
            <v>45000000</v>
          </cell>
          <cell r="P43">
            <v>38340000</v>
          </cell>
          <cell r="Q43">
            <v>0</v>
          </cell>
          <cell r="R43">
            <v>107151000</v>
          </cell>
          <cell r="S43">
            <v>267000000</v>
          </cell>
          <cell r="T43">
            <v>169900000</v>
          </cell>
          <cell r="U43">
            <v>10000000</v>
          </cell>
          <cell r="V43">
            <v>0</v>
          </cell>
          <cell r="W43">
            <v>210000000</v>
          </cell>
          <cell r="X43">
            <v>0</v>
          </cell>
          <cell r="Y43">
            <v>255000000</v>
          </cell>
          <cell r="Z43">
            <v>243000000</v>
          </cell>
          <cell r="AA43">
            <v>10000000</v>
          </cell>
          <cell r="AB43">
            <v>315350000</v>
          </cell>
          <cell r="AC43">
            <v>20000000</v>
          </cell>
          <cell r="AD43">
            <v>100000000</v>
          </cell>
          <cell r="AE43">
            <v>68000000</v>
          </cell>
          <cell r="AF43">
            <v>0</v>
          </cell>
          <cell r="AG43">
            <v>0</v>
          </cell>
          <cell r="AH43">
            <v>10000000</v>
          </cell>
          <cell r="AI43">
            <v>1400000000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51000000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</row>
        <row r="44">
          <cell r="C44">
            <v>24709302</v>
          </cell>
          <cell r="D44">
            <v>10000000</v>
          </cell>
          <cell r="E44">
            <v>20000000</v>
          </cell>
          <cell r="F44">
            <v>25000000</v>
          </cell>
          <cell r="G44">
            <v>12000000</v>
          </cell>
          <cell r="H44">
            <v>12000000</v>
          </cell>
          <cell r="I44">
            <v>0</v>
          </cell>
          <cell r="J44">
            <v>20000000</v>
          </cell>
          <cell r="K44">
            <v>10000000</v>
          </cell>
          <cell r="L44">
            <v>20000000</v>
          </cell>
          <cell r="M44">
            <v>26000000</v>
          </cell>
          <cell r="N44">
            <v>45000000</v>
          </cell>
          <cell r="P44">
            <v>38340000</v>
          </cell>
          <cell r="R44">
            <v>126060000</v>
          </cell>
          <cell r="S44">
            <v>175000000</v>
          </cell>
          <cell r="T44">
            <v>169900000</v>
          </cell>
          <cell r="U44">
            <v>0</v>
          </cell>
          <cell r="V44">
            <v>0</v>
          </cell>
          <cell r="W44">
            <v>210000000</v>
          </cell>
          <cell r="X44">
            <v>0</v>
          </cell>
          <cell r="Y44">
            <v>0</v>
          </cell>
          <cell r="Z44">
            <v>243000000</v>
          </cell>
          <cell r="AA44">
            <v>0</v>
          </cell>
          <cell r="AB44">
            <v>315350000</v>
          </cell>
          <cell r="AC44">
            <v>0</v>
          </cell>
          <cell r="AD44">
            <v>200000000</v>
          </cell>
          <cell r="AE44">
            <v>68000000</v>
          </cell>
          <cell r="AF44">
            <v>4400000</v>
          </cell>
          <cell r="AG44">
            <v>2000000</v>
          </cell>
          <cell r="AH44">
            <v>0</v>
          </cell>
          <cell r="AI44">
            <v>542500000</v>
          </cell>
          <cell r="AJ44">
            <v>323537200</v>
          </cell>
          <cell r="AK44">
            <v>4400000</v>
          </cell>
          <cell r="AL44">
            <v>0</v>
          </cell>
          <cell r="AM44">
            <v>0</v>
          </cell>
          <cell r="AN44">
            <v>127500000</v>
          </cell>
          <cell r="AO44">
            <v>0</v>
          </cell>
          <cell r="AP44">
            <v>75750000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</row>
        <row r="45">
          <cell r="C45">
            <v>24709302</v>
          </cell>
          <cell r="D45">
            <v>10000000</v>
          </cell>
          <cell r="E45">
            <v>20000000</v>
          </cell>
          <cell r="F45">
            <v>25000000</v>
          </cell>
          <cell r="G45">
            <v>12000000</v>
          </cell>
          <cell r="H45">
            <v>12000000</v>
          </cell>
          <cell r="I45">
            <v>0</v>
          </cell>
          <cell r="J45">
            <v>20000000</v>
          </cell>
          <cell r="K45">
            <v>10000000</v>
          </cell>
          <cell r="L45">
            <v>20000000</v>
          </cell>
          <cell r="M45">
            <v>26000000</v>
          </cell>
          <cell r="N45">
            <v>45000000</v>
          </cell>
          <cell r="P45">
            <v>38340000</v>
          </cell>
          <cell r="Q45">
            <v>0</v>
          </cell>
          <cell r="R45">
            <v>126060000</v>
          </cell>
          <cell r="S45">
            <v>25000000</v>
          </cell>
          <cell r="T45">
            <v>169900000</v>
          </cell>
          <cell r="U45">
            <v>0</v>
          </cell>
          <cell r="V45">
            <v>19500000</v>
          </cell>
          <cell r="W45">
            <v>210000000</v>
          </cell>
          <cell r="X45">
            <v>80000000</v>
          </cell>
          <cell r="Y45">
            <v>10200000</v>
          </cell>
          <cell r="Z45">
            <v>243000000</v>
          </cell>
          <cell r="AA45">
            <v>0</v>
          </cell>
          <cell r="AB45">
            <v>371000000</v>
          </cell>
          <cell r="AC45">
            <v>0</v>
          </cell>
          <cell r="AD45">
            <v>10000000</v>
          </cell>
          <cell r="AE45">
            <v>68000000</v>
          </cell>
          <cell r="AF45">
            <v>0</v>
          </cell>
          <cell r="AG45">
            <v>0</v>
          </cell>
          <cell r="AH45">
            <v>0</v>
          </cell>
          <cell r="AI45">
            <v>3957000000</v>
          </cell>
          <cell r="AJ45">
            <v>323537200</v>
          </cell>
          <cell r="AK45">
            <v>0</v>
          </cell>
          <cell r="AL45">
            <v>0</v>
          </cell>
          <cell r="AM45">
            <v>0</v>
          </cell>
          <cell r="AN45">
            <v>127500000</v>
          </cell>
          <cell r="AO45">
            <v>0</v>
          </cell>
          <cell r="AP45">
            <v>50250000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</row>
        <row r="46">
          <cell r="C46">
            <v>24709302</v>
          </cell>
          <cell r="D46">
            <v>10000000</v>
          </cell>
          <cell r="E46">
            <v>20000000</v>
          </cell>
          <cell r="F46">
            <v>25000000</v>
          </cell>
          <cell r="G46">
            <v>12000000</v>
          </cell>
          <cell r="H46">
            <v>12000000</v>
          </cell>
          <cell r="I46">
            <v>0</v>
          </cell>
          <cell r="J46">
            <v>15200000</v>
          </cell>
          <cell r="K46">
            <v>8500000</v>
          </cell>
          <cell r="L46">
            <v>20000000</v>
          </cell>
          <cell r="M46">
            <v>26000000</v>
          </cell>
          <cell r="N46">
            <v>45000000</v>
          </cell>
          <cell r="P46">
            <v>38340000</v>
          </cell>
          <cell r="Q46">
            <v>0</v>
          </cell>
          <cell r="R46">
            <v>126060000</v>
          </cell>
          <cell r="S46">
            <v>0</v>
          </cell>
          <cell r="T46">
            <v>169900000</v>
          </cell>
          <cell r="U46">
            <v>10000000</v>
          </cell>
          <cell r="V46">
            <v>0</v>
          </cell>
          <cell r="W46">
            <v>210000000</v>
          </cell>
          <cell r="X46">
            <v>200000000</v>
          </cell>
          <cell r="Y46">
            <v>300000000</v>
          </cell>
          <cell r="Z46">
            <v>206550000</v>
          </cell>
          <cell r="AA46">
            <v>10000000</v>
          </cell>
          <cell r="AB46">
            <v>315350000</v>
          </cell>
          <cell r="AC46">
            <v>20000000</v>
          </cell>
          <cell r="AD46">
            <v>150000000</v>
          </cell>
          <cell r="AE46">
            <v>43200000</v>
          </cell>
          <cell r="AF46">
            <v>0</v>
          </cell>
          <cell r="AG46">
            <v>0</v>
          </cell>
          <cell r="AH46">
            <v>10000000</v>
          </cell>
          <cell r="AI46">
            <v>250000000</v>
          </cell>
          <cell r="AJ46">
            <v>205541280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51000000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</row>
        <row r="47">
          <cell r="C47">
            <v>24709302</v>
          </cell>
          <cell r="D47">
            <v>10000000</v>
          </cell>
          <cell r="E47">
            <v>20000000</v>
          </cell>
          <cell r="F47">
            <v>25000000</v>
          </cell>
          <cell r="G47">
            <v>12000000</v>
          </cell>
          <cell r="H47">
            <v>12000000</v>
          </cell>
          <cell r="I47">
            <v>0</v>
          </cell>
          <cell r="J47">
            <v>20000000</v>
          </cell>
          <cell r="K47">
            <v>10000000</v>
          </cell>
          <cell r="L47">
            <v>20000000</v>
          </cell>
          <cell r="M47">
            <v>26000000</v>
          </cell>
          <cell r="N47">
            <v>45000000</v>
          </cell>
          <cell r="P47">
            <v>38340000</v>
          </cell>
          <cell r="Q47">
            <v>0</v>
          </cell>
          <cell r="R47">
            <v>126060000</v>
          </cell>
          <cell r="S47">
            <v>0</v>
          </cell>
          <cell r="T47">
            <v>169900000</v>
          </cell>
          <cell r="U47">
            <v>10000000</v>
          </cell>
          <cell r="V47">
            <v>0</v>
          </cell>
          <cell r="W47">
            <v>210000000</v>
          </cell>
          <cell r="X47">
            <v>0</v>
          </cell>
          <cell r="Y47">
            <v>0</v>
          </cell>
          <cell r="Z47">
            <v>138510000</v>
          </cell>
          <cell r="AA47">
            <v>10000000</v>
          </cell>
          <cell r="AB47">
            <v>211469999.99999997</v>
          </cell>
          <cell r="AC47">
            <v>17000000</v>
          </cell>
          <cell r="AD47">
            <v>0</v>
          </cell>
          <cell r="AF47">
            <v>0</v>
          </cell>
          <cell r="AG47">
            <v>0</v>
          </cell>
          <cell r="AI47">
            <v>0</v>
          </cell>
          <cell r="AJ47">
            <v>216960239.99999997</v>
          </cell>
          <cell r="AK47">
            <v>4800000</v>
          </cell>
          <cell r="AL47">
            <v>8500000</v>
          </cell>
          <cell r="AM47">
            <v>0</v>
          </cell>
          <cell r="AN47">
            <v>0</v>
          </cell>
          <cell r="AO47">
            <v>0</v>
          </cell>
          <cell r="AP47">
            <v>58500000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</row>
        <row r="48">
          <cell r="C48">
            <v>24709302</v>
          </cell>
          <cell r="D48">
            <v>10000000</v>
          </cell>
          <cell r="E48">
            <v>20000000</v>
          </cell>
          <cell r="F48">
            <v>25000000</v>
          </cell>
          <cell r="G48">
            <v>12000000</v>
          </cell>
          <cell r="H48">
            <v>12000000</v>
          </cell>
          <cell r="I48">
            <v>0</v>
          </cell>
          <cell r="J48">
            <v>20000000</v>
          </cell>
          <cell r="K48">
            <v>8500000</v>
          </cell>
          <cell r="L48">
            <v>20000000</v>
          </cell>
          <cell r="M48">
            <v>26000000</v>
          </cell>
          <cell r="N48">
            <v>45000000</v>
          </cell>
          <cell r="P48">
            <v>38340000</v>
          </cell>
          <cell r="Q48">
            <v>0</v>
          </cell>
          <cell r="R48">
            <v>126060000</v>
          </cell>
          <cell r="S48">
            <v>0</v>
          </cell>
          <cell r="T48">
            <v>169900000</v>
          </cell>
          <cell r="U48">
            <v>0</v>
          </cell>
          <cell r="V48">
            <v>0</v>
          </cell>
          <cell r="W48">
            <v>178500000</v>
          </cell>
          <cell r="X48">
            <v>100000000</v>
          </cell>
          <cell r="Y48">
            <v>34000000</v>
          </cell>
          <cell r="Z48">
            <v>206550000</v>
          </cell>
          <cell r="AA48">
            <v>8500000</v>
          </cell>
          <cell r="AB48">
            <v>315350000</v>
          </cell>
          <cell r="AC48">
            <v>17000000</v>
          </cell>
          <cell r="AD48">
            <v>200000000</v>
          </cell>
          <cell r="AE48">
            <v>0</v>
          </cell>
          <cell r="AF48">
            <v>0</v>
          </cell>
          <cell r="AG48">
            <v>0</v>
          </cell>
          <cell r="AH48">
            <v>8500000</v>
          </cell>
          <cell r="AI48">
            <v>97500000</v>
          </cell>
          <cell r="AJ48">
            <v>0</v>
          </cell>
          <cell r="AK48">
            <v>0</v>
          </cell>
          <cell r="AL48">
            <v>8500000</v>
          </cell>
          <cell r="AM48">
            <v>0</v>
          </cell>
          <cell r="AN48">
            <v>0</v>
          </cell>
          <cell r="AO48">
            <v>0</v>
          </cell>
          <cell r="AP48">
            <v>52500000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</row>
        <row r="49">
          <cell r="C49">
            <v>24709302</v>
          </cell>
          <cell r="D49">
            <v>10000000</v>
          </cell>
          <cell r="E49">
            <v>20000000</v>
          </cell>
          <cell r="F49">
            <v>25000000</v>
          </cell>
          <cell r="G49">
            <v>12000000</v>
          </cell>
          <cell r="H49">
            <v>12000000</v>
          </cell>
          <cell r="I49">
            <v>0</v>
          </cell>
          <cell r="J49">
            <v>20000000</v>
          </cell>
          <cell r="K49">
            <v>10000000</v>
          </cell>
          <cell r="L49">
            <v>20000000</v>
          </cell>
          <cell r="M49">
            <v>26000000</v>
          </cell>
          <cell r="N49">
            <v>45000000</v>
          </cell>
          <cell r="P49">
            <v>38340000</v>
          </cell>
          <cell r="Q49">
            <v>0</v>
          </cell>
          <cell r="R49">
            <v>126060000</v>
          </cell>
          <cell r="S49">
            <v>150000000</v>
          </cell>
          <cell r="T49">
            <v>0</v>
          </cell>
          <cell r="U49">
            <v>0</v>
          </cell>
          <cell r="V49">
            <v>0</v>
          </cell>
          <cell r="W49">
            <v>210000000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315350000</v>
          </cell>
          <cell r="AC49">
            <v>20000000</v>
          </cell>
          <cell r="AD49">
            <v>100000000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75000000</v>
          </cell>
          <cell r="AJ49">
            <v>323537200</v>
          </cell>
          <cell r="AK49">
            <v>8000000</v>
          </cell>
          <cell r="AL49">
            <v>8500000</v>
          </cell>
          <cell r="AM49">
            <v>0</v>
          </cell>
          <cell r="AN49">
            <v>90000000</v>
          </cell>
          <cell r="AO49">
            <v>0</v>
          </cell>
          <cell r="AP49">
            <v>51000000</v>
          </cell>
          <cell r="AQ49">
            <v>0</v>
          </cell>
          <cell r="AR49">
            <v>0</v>
          </cell>
          <cell r="AS49">
            <v>0</v>
          </cell>
          <cell r="AT49">
            <v>208250000</v>
          </cell>
          <cell r="AU49">
            <v>0</v>
          </cell>
          <cell r="AV49">
            <v>0</v>
          </cell>
          <cell r="AW49">
            <v>7334565</v>
          </cell>
          <cell r="AX49">
            <v>0</v>
          </cell>
          <cell r="AY49">
            <v>0</v>
          </cell>
        </row>
        <row r="50">
          <cell r="C50">
            <v>24709302</v>
          </cell>
          <cell r="D50">
            <v>10000000</v>
          </cell>
          <cell r="E50">
            <v>15000000</v>
          </cell>
          <cell r="F50">
            <v>25000000</v>
          </cell>
          <cell r="G50">
            <v>12000000</v>
          </cell>
          <cell r="H50">
            <v>12000000</v>
          </cell>
          <cell r="I50">
            <v>0</v>
          </cell>
          <cell r="J50">
            <v>17000000</v>
          </cell>
          <cell r="K50">
            <v>10000000</v>
          </cell>
          <cell r="L50">
            <v>17000000</v>
          </cell>
          <cell r="M50">
            <v>26000000</v>
          </cell>
          <cell r="N50">
            <v>45000000</v>
          </cell>
          <cell r="P50">
            <v>38340000</v>
          </cell>
          <cell r="Q50">
            <v>0</v>
          </cell>
          <cell r="R50">
            <v>0</v>
          </cell>
          <cell r="S50">
            <v>200000000</v>
          </cell>
          <cell r="T50">
            <v>169900000</v>
          </cell>
          <cell r="U50">
            <v>8500000</v>
          </cell>
          <cell r="V50">
            <v>220000000</v>
          </cell>
          <cell r="W50">
            <v>0</v>
          </cell>
          <cell r="X50">
            <v>0</v>
          </cell>
          <cell r="Y50">
            <v>280000000</v>
          </cell>
          <cell r="Z50">
            <v>243000000</v>
          </cell>
          <cell r="AA50">
            <v>8500000</v>
          </cell>
          <cell r="AB50">
            <v>0</v>
          </cell>
          <cell r="AC50">
            <v>0</v>
          </cell>
          <cell r="AD50">
            <v>50000000</v>
          </cell>
          <cell r="AE50">
            <v>80000000</v>
          </cell>
          <cell r="AF50">
            <v>8000000</v>
          </cell>
          <cell r="AG50">
            <v>2000000</v>
          </cell>
          <cell r="AH50">
            <v>0</v>
          </cell>
          <cell r="AI50">
            <v>150000000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51000000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</row>
        <row r="51">
          <cell r="C51">
            <v>24709302</v>
          </cell>
          <cell r="D51">
            <v>10000000</v>
          </cell>
          <cell r="E51">
            <v>20000000</v>
          </cell>
          <cell r="F51">
            <v>25000000</v>
          </cell>
          <cell r="G51">
            <v>12000000</v>
          </cell>
          <cell r="H51">
            <v>12000000</v>
          </cell>
          <cell r="I51">
            <v>0</v>
          </cell>
          <cell r="J51">
            <v>20000000</v>
          </cell>
          <cell r="K51">
            <v>10000000</v>
          </cell>
          <cell r="L51">
            <v>20000000</v>
          </cell>
          <cell r="M51">
            <v>26853802.82</v>
          </cell>
          <cell r="N51">
            <v>46946197.18</v>
          </cell>
          <cell r="P51">
            <v>32589000</v>
          </cell>
          <cell r="Q51">
            <v>0</v>
          </cell>
          <cell r="R51">
            <v>107151000</v>
          </cell>
          <cell r="S51">
            <v>0</v>
          </cell>
          <cell r="T51">
            <v>169900000</v>
          </cell>
          <cell r="U51">
            <v>0</v>
          </cell>
          <cell r="V51">
            <v>0</v>
          </cell>
          <cell r="W51">
            <v>210000000</v>
          </cell>
          <cell r="X51">
            <v>542000000</v>
          </cell>
          <cell r="Y51">
            <v>0</v>
          </cell>
          <cell r="Z51">
            <v>243000000</v>
          </cell>
          <cell r="AA51">
            <v>0</v>
          </cell>
          <cell r="AB51">
            <v>371000000</v>
          </cell>
          <cell r="AC51">
            <v>0</v>
          </cell>
          <cell r="AD51">
            <v>850000000</v>
          </cell>
          <cell r="AE51">
            <v>68000000</v>
          </cell>
          <cell r="AF51">
            <v>8000000</v>
          </cell>
          <cell r="AG51">
            <v>0</v>
          </cell>
          <cell r="AH51">
            <v>0</v>
          </cell>
          <cell r="AI51">
            <v>810000000</v>
          </cell>
          <cell r="AJ51">
            <v>323537200</v>
          </cell>
          <cell r="AK51">
            <v>8000000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</row>
        <row r="52">
          <cell r="C52">
            <v>24709302</v>
          </cell>
          <cell r="D52">
            <v>10000000</v>
          </cell>
          <cell r="E52">
            <v>20000000</v>
          </cell>
          <cell r="F52">
            <v>25000000</v>
          </cell>
          <cell r="G52">
            <v>12000000</v>
          </cell>
          <cell r="H52">
            <v>12000000</v>
          </cell>
          <cell r="I52">
            <v>0</v>
          </cell>
          <cell r="J52">
            <v>20000000</v>
          </cell>
          <cell r="K52">
            <v>10000000</v>
          </cell>
          <cell r="L52">
            <v>20000000</v>
          </cell>
          <cell r="M52">
            <v>26000000</v>
          </cell>
          <cell r="N52">
            <v>45000000</v>
          </cell>
          <cell r="P52">
            <v>38340000.043974504</v>
          </cell>
          <cell r="Q52">
            <v>500000000</v>
          </cell>
          <cell r="R52">
            <v>126059999.9560256</v>
          </cell>
          <cell r="S52">
            <v>0</v>
          </cell>
          <cell r="T52">
            <v>144415000</v>
          </cell>
          <cell r="U52">
            <v>8500000</v>
          </cell>
          <cell r="V52">
            <v>500000000</v>
          </cell>
          <cell r="W52">
            <v>178500000</v>
          </cell>
          <cell r="X52">
            <v>0</v>
          </cell>
          <cell r="Y52">
            <v>0</v>
          </cell>
          <cell r="Z52">
            <v>206550000</v>
          </cell>
          <cell r="AA52">
            <v>8500000</v>
          </cell>
          <cell r="AB52">
            <v>315350000</v>
          </cell>
          <cell r="AC52">
            <v>17000000</v>
          </cell>
          <cell r="AD52">
            <v>50000000</v>
          </cell>
          <cell r="AE52">
            <v>0</v>
          </cell>
          <cell r="AF52">
            <v>0</v>
          </cell>
          <cell r="AG52">
            <v>0</v>
          </cell>
          <cell r="AH52">
            <v>8500000</v>
          </cell>
          <cell r="AI52">
            <v>50000000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127500000</v>
          </cell>
          <cell r="AO52">
            <v>0</v>
          </cell>
          <cell r="AP52">
            <v>51000000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12000000</v>
          </cell>
          <cell r="H53">
            <v>12000000</v>
          </cell>
          <cell r="I53">
            <v>0</v>
          </cell>
          <cell r="J53">
            <v>20000000</v>
          </cell>
          <cell r="K53">
            <v>10000000</v>
          </cell>
          <cell r="L53">
            <v>20000000</v>
          </cell>
          <cell r="M53">
            <v>26000000</v>
          </cell>
          <cell r="N53">
            <v>45000000</v>
          </cell>
          <cell r="P53">
            <v>38340000</v>
          </cell>
          <cell r="Q53">
            <v>0</v>
          </cell>
          <cell r="R53">
            <v>126060000</v>
          </cell>
          <cell r="S53">
            <v>500000000</v>
          </cell>
          <cell r="T53">
            <v>169900000</v>
          </cell>
          <cell r="U53">
            <v>0</v>
          </cell>
          <cell r="V53">
            <v>0</v>
          </cell>
          <cell r="W53">
            <v>210000000</v>
          </cell>
          <cell r="X53">
            <v>250000000</v>
          </cell>
          <cell r="Y53">
            <v>240000000</v>
          </cell>
          <cell r="Z53">
            <v>243000000</v>
          </cell>
          <cell r="AA53">
            <v>10000000</v>
          </cell>
          <cell r="AB53">
            <v>371000000</v>
          </cell>
          <cell r="AC53">
            <v>17000000</v>
          </cell>
          <cell r="AD53">
            <v>130000000</v>
          </cell>
          <cell r="AE53">
            <v>80000000</v>
          </cell>
          <cell r="AF53">
            <v>8000000</v>
          </cell>
          <cell r="AG53">
            <v>0</v>
          </cell>
          <cell r="AH53">
            <v>8500000</v>
          </cell>
          <cell r="AI53">
            <v>3362500000</v>
          </cell>
          <cell r="AJ53">
            <v>380632000</v>
          </cell>
          <cell r="AK53">
            <v>8000000</v>
          </cell>
          <cell r="AL53">
            <v>8500000</v>
          </cell>
          <cell r="AM53">
            <v>0</v>
          </cell>
          <cell r="AN53">
            <v>0</v>
          </cell>
          <cell r="AO53">
            <v>0</v>
          </cell>
          <cell r="AP53">
            <v>49500000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12000000</v>
          </cell>
          <cell r="I54">
            <v>0</v>
          </cell>
          <cell r="J54">
            <v>20000000</v>
          </cell>
          <cell r="K54">
            <v>10000000</v>
          </cell>
          <cell r="L54">
            <v>20000000</v>
          </cell>
          <cell r="M54">
            <v>26000000</v>
          </cell>
          <cell r="N54">
            <v>45000000</v>
          </cell>
          <cell r="P54">
            <v>38340000</v>
          </cell>
          <cell r="Q54">
            <v>0</v>
          </cell>
          <cell r="R54">
            <v>126060000</v>
          </cell>
          <cell r="S54">
            <v>75000000</v>
          </cell>
          <cell r="T54">
            <v>169900000</v>
          </cell>
          <cell r="U54">
            <v>8500000</v>
          </cell>
          <cell r="V54">
            <v>0</v>
          </cell>
          <cell r="W54">
            <v>210000000</v>
          </cell>
          <cell r="X54">
            <v>0</v>
          </cell>
          <cell r="Y54">
            <v>0</v>
          </cell>
          <cell r="Z54">
            <v>243000000</v>
          </cell>
          <cell r="AA54">
            <v>8500000</v>
          </cell>
          <cell r="AB54">
            <v>315350000</v>
          </cell>
          <cell r="AC54">
            <v>17000000</v>
          </cell>
          <cell r="AD54">
            <v>490000000</v>
          </cell>
          <cell r="AE54">
            <v>0</v>
          </cell>
          <cell r="AF54">
            <v>4320000</v>
          </cell>
          <cell r="AG54">
            <v>1700000</v>
          </cell>
          <cell r="AH54">
            <v>8500000</v>
          </cell>
          <cell r="AI54">
            <v>1175000000</v>
          </cell>
          <cell r="AJ54">
            <v>0</v>
          </cell>
          <cell r="AK54">
            <v>4320000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57000000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</row>
        <row r="55">
          <cell r="C55">
            <v>24709302</v>
          </cell>
          <cell r="D55">
            <v>10000000</v>
          </cell>
          <cell r="E55">
            <v>20000000</v>
          </cell>
          <cell r="F55">
            <v>25000000</v>
          </cell>
          <cell r="G55">
            <v>12000000</v>
          </cell>
          <cell r="H55">
            <v>12000000</v>
          </cell>
          <cell r="I55">
            <v>0</v>
          </cell>
          <cell r="J55">
            <v>20000000</v>
          </cell>
          <cell r="K55">
            <v>10000000</v>
          </cell>
          <cell r="L55">
            <v>20000000</v>
          </cell>
          <cell r="M55">
            <v>26000000</v>
          </cell>
          <cell r="N55">
            <v>45000000</v>
          </cell>
          <cell r="P55">
            <v>38340000</v>
          </cell>
          <cell r="Q55">
            <v>0</v>
          </cell>
          <cell r="R55">
            <v>126060000</v>
          </cell>
          <cell r="S55">
            <v>0</v>
          </cell>
          <cell r="T55">
            <v>169900000</v>
          </cell>
          <cell r="U55">
            <v>10000000</v>
          </cell>
          <cell r="V55">
            <v>500000000</v>
          </cell>
          <cell r="W55">
            <v>210000000</v>
          </cell>
          <cell r="X55">
            <v>250000000</v>
          </cell>
          <cell r="Y55">
            <v>255000000</v>
          </cell>
          <cell r="Z55">
            <v>243000000</v>
          </cell>
          <cell r="AA55">
            <v>8500000</v>
          </cell>
          <cell r="AB55">
            <v>371000000</v>
          </cell>
          <cell r="AC55">
            <v>0</v>
          </cell>
          <cell r="AD55">
            <v>410000000</v>
          </cell>
          <cell r="AE55">
            <v>80000000</v>
          </cell>
          <cell r="AF55">
            <v>8000000</v>
          </cell>
          <cell r="AG55">
            <v>0</v>
          </cell>
          <cell r="AH55">
            <v>8500000</v>
          </cell>
          <cell r="AI55">
            <v>4392000000</v>
          </cell>
          <cell r="AJ55">
            <v>323537200</v>
          </cell>
          <cell r="AK55">
            <v>0</v>
          </cell>
          <cell r="AL55">
            <v>8500000</v>
          </cell>
          <cell r="AM55">
            <v>0</v>
          </cell>
          <cell r="AN55">
            <v>0</v>
          </cell>
          <cell r="AO55">
            <v>0</v>
          </cell>
          <cell r="AP55">
            <v>75000000</v>
          </cell>
          <cell r="AQ55">
            <v>0</v>
          </cell>
          <cell r="AR55">
            <v>5355000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</row>
        <row r="56">
          <cell r="C56">
            <v>24709302</v>
          </cell>
          <cell r="D56">
            <v>10000000</v>
          </cell>
          <cell r="E56">
            <v>20000000</v>
          </cell>
          <cell r="F56">
            <v>25000000</v>
          </cell>
          <cell r="G56">
            <v>12000000</v>
          </cell>
          <cell r="H56">
            <v>12000000</v>
          </cell>
          <cell r="I56">
            <v>0</v>
          </cell>
          <cell r="J56">
            <v>20000000</v>
          </cell>
          <cell r="K56">
            <v>10000000</v>
          </cell>
          <cell r="L56">
            <v>20000000</v>
          </cell>
          <cell r="M56">
            <v>26000000</v>
          </cell>
          <cell r="N56">
            <v>45000000</v>
          </cell>
          <cell r="P56">
            <v>38340000</v>
          </cell>
          <cell r="Q56">
            <v>0</v>
          </cell>
          <cell r="R56">
            <v>126060000</v>
          </cell>
          <cell r="S56">
            <v>20000000</v>
          </cell>
          <cell r="T56">
            <v>169900000</v>
          </cell>
          <cell r="U56">
            <v>8500000</v>
          </cell>
          <cell r="V56">
            <v>0</v>
          </cell>
          <cell r="W56">
            <v>210000000</v>
          </cell>
          <cell r="X56">
            <v>42000000</v>
          </cell>
          <cell r="Y56">
            <v>50000000</v>
          </cell>
          <cell r="Z56">
            <v>243000000</v>
          </cell>
          <cell r="AA56">
            <v>8500000</v>
          </cell>
          <cell r="AB56">
            <v>371000000</v>
          </cell>
          <cell r="AC56">
            <v>17000000</v>
          </cell>
          <cell r="AD56">
            <v>210000000</v>
          </cell>
          <cell r="AE56">
            <v>80000000</v>
          </cell>
          <cell r="AF56">
            <v>8000000</v>
          </cell>
          <cell r="AG56">
            <v>0</v>
          </cell>
          <cell r="AH56">
            <v>0</v>
          </cell>
          <cell r="AI56">
            <v>2347500000</v>
          </cell>
          <cell r="AJ56">
            <v>380632000</v>
          </cell>
          <cell r="AK56">
            <v>8000000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50250000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12000000</v>
          </cell>
          <cell r="I57">
            <v>0</v>
          </cell>
          <cell r="J57">
            <v>20000000</v>
          </cell>
          <cell r="K57">
            <v>10000000</v>
          </cell>
          <cell r="L57">
            <v>20000000</v>
          </cell>
          <cell r="M57">
            <v>26000000</v>
          </cell>
          <cell r="N57">
            <v>45000000</v>
          </cell>
          <cell r="P57">
            <v>38340000</v>
          </cell>
          <cell r="Q57">
            <v>0</v>
          </cell>
          <cell r="R57">
            <v>126060000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500000000</v>
          </cell>
          <cell r="Y57">
            <v>300000000</v>
          </cell>
          <cell r="Z57">
            <v>243000000</v>
          </cell>
          <cell r="AA57">
            <v>0</v>
          </cell>
          <cell r="AB57">
            <v>0</v>
          </cell>
          <cell r="AC57">
            <v>0</v>
          </cell>
          <cell r="AD57">
            <v>100000000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412500000</v>
          </cell>
          <cell r="AJ57">
            <v>224572880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51000000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20000000</v>
          </cell>
          <cell r="K58">
            <v>8500000</v>
          </cell>
          <cell r="L58">
            <v>20000000</v>
          </cell>
          <cell r="M58">
            <v>26000000</v>
          </cell>
          <cell r="N58">
            <v>45000000</v>
          </cell>
          <cell r="P58">
            <v>38340000</v>
          </cell>
          <cell r="Q58">
            <v>0</v>
          </cell>
          <cell r="R58">
            <v>0</v>
          </cell>
          <cell r="S58">
            <v>75000000</v>
          </cell>
          <cell r="T58">
            <v>144415000</v>
          </cell>
          <cell r="U58">
            <v>8500000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315350000</v>
          </cell>
          <cell r="AC58">
            <v>17000000</v>
          </cell>
          <cell r="AD58">
            <v>150000000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63750000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20000000</v>
          </cell>
          <cell r="K59">
            <v>8500000</v>
          </cell>
          <cell r="L59">
            <v>20000000</v>
          </cell>
          <cell r="M59">
            <v>26000000</v>
          </cell>
          <cell r="N59">
            <v>45000000</v>
          </cell>
          <cell r="P59">
            <v>38340000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210000000</v>
          </cell>
          <cell r="X59">
            <v>0</v>
          </cell>
          <cell r="Y59">
            <v>650000000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550000000</v>
          </cell>
          <cell r="AE59">
            <v>44000000</v>
          </cell>
          <cell r="AF59">
            <v>0</v>
          </cell>
          <cell r="AG59">
            <v>0</v>
          </cell>
          <cell r="AH59">
            <v>0</v>
          </cell>
          <cell r="AI59">
            <v>2800000000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75000000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45000000</v>
          </cell>
          <cell r="P60">
            <v>38340000</v>
          </cell>
          <cell r="Q60">
            <v>0</v>
          </cell>
          <cell r="R60">
            <v>126060000</v>
          </cell>
          <cell r="S60">
            <v>50000000</v>
          </cell>
          <cell r="T60">
            <v>169900000</v>
          </cell>
          <cell r="U60">
            <v>10000000</v>
          </cell>
          <cell r="V60">
            <v>0</v>
          </cell>
          <cell r="W60">
            <v>210000000</v>
          </cell>
          <cell r="X60">
            <v>0</v>
          </cell>
          <cell r="Y60">
            <v>0</v>
          </cell>
          <cell r="Z60">
            <v>243000000</v>
          </cell>
          <cell r="AA60">
            <v>10000000</v>
          </cell>
          <cell r="AB60">
            <v>371000000</v>
          </cell>
          <cell r="AC60">
            <v>20000000</v>
          </cell>
          <cell r="AD60">
            <v>100000000</v>
          </cell>
          <cell r="AE60">
            <v>51200000</v>
          </cell>
          <cell r="AF60">
            <v>0</v>
          </cell>
          <cell r="AG60">
            <v>1700000</v>
          </cell>
          <cell r="AH60">
            <v>0</v>
          </cell>
          <cell r="AI60">
            <v>500000000</v>
          </cell>
          <cell r="AJ60">
            <v>243604480</v>
          </cell>
          <cell r="AK60">
            <v>0</v>
          </cell>
          <cell r="AL60">
            <v>0</v>
          </cell>
          <cell r="AM60">
            <v>0</v>
          </cell>
          <cell r="AN60">
            <v>127500000</v>
          </cell>
          <cell r="AO60">
            <v>0</v>
          </cell>
          <cell r="AP60">
            <v>75000000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P61">
            <v>38340000</v>
          </cell>
          <cell r="Q61">
            <v>0</v>
          </cell>
          <cell r="R61">
            <v>126060000</v>
          </cell>
          <cell r="S61">
            <v>100000000</v>
          </cell>
          <cell r="T61">
            <v>169900000</v>
          </cell>
          <cell r="U61">
            <v>0</v>
          </cell>
          <cell r="V61">
            <v>500000000</v>
          </cell>
          <cell r="W61">
            <v>210000000</v>
          </cell>
          <cell r="X61">
            <v>100000000</v>
          </cell>
          <cell r="Y61">
            <v>0</v>
          </cell>
          <cell r="Z61">
            <v>243000000</v>
          </cell>
          <cell r="AA61">
            <v>0</v>
          </cell>
          <cell r="AB61">
            <v>315350000</v>
          </cell>
          <cell r="AC61">
            <v>0</v>
          </cell>
          <cell r="AD61">
            <v>50000000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75000000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</row>
        <row r="62"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P62">
            <v>0</v>
          </cell>
          <cell r="Q62">
            <v>0</v>
          </cell>
          <cell r="R62">
            <v>126060000</v>
          </cell>
          <cell r="S62">
            <v>200000000</v>
          </cell>
          <cell r="T62">
            <v>169900000</v>
          </cell>
          <cell r="U62">
            <v>10000000</v>
          </cell>
          <cell r="V62">
            <v>0</v>
          </cell>
          <cell r="W62">
            <v>210000000</v>
          </cell>
          <cell r="X62">
            <v>150000000</v>
          </cell>
          <cell r="Z62">
            <v>243000000</v>
          </cell>
          <cell r="AA62">
            <v>10000000</v>
          </cell>
          <cell r="AB62">
            <v>371000000</v>
          </cell>
          <cell r="AC62">
            <v>20000000</v>
          </cell>
          <cell r="AD62">
            <v>350000000</v>
          </cell>
          <cell r="AE62">
            <v>80000000</v>
          </cell>
          <cell r="AF62">
            <v>8000000</v>
          </cell>
          <cell r="AG62">
            <v>1700000</v>
          </cell>
          <cell r="AH62">
            <v>10000000</v>
          </cell>
          <cell r="AI62">
            <v>410000000</v>
          </cell>
          <cell r="AJ62">
            <v>380632000</v>
          </cell>
          <cell r="AK62">
            <v>8000000</v>
          </cell>
          <cell r="AL62">
            <v>8500000</v>
          </cell>
          <cell r="AM62">
            <v>0</v>
          </cell>
          <cell r="AN62">
            <v>150000000</v>
          </cell>
          <cell r="AO62">
            <v>131200000</v>
          </cell>
          <cell r="AP62">
            <v>52500000</v>
          </cell>
          <cell r="AQ62">
            <v>0</v>
          </cell>
          <cell r="AR62">
            <v>0</v>
          </cell>
          <cell r="AS62">
            <v>0</v>
          </cell>
          <cell r="AT62">
            <v>156800000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</row>
        <row r="63"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169900000</v>
          </cell>
          <cell r="U63">
            <v>0</v>
          </cell>
          <cell r="V63">
            <v>0</v>
          </cell>
          <cell r="W63">
            <v>210000000</v>
          </cell>
          <cell r="X63">
            <v>100000000</v>
          </cell>
          <cell r="Y63">
            <v>0</v>
          </cell>
          <cell r="Z63">
            <v>153090000</v>
          </cell>
          <cell r="AA63">
            <v>0</v>
          </cell>
          <cell r="AB63">
            <v>233730000</v>
          </cell>
          <cell r="AC63">
            <v>0</v>
          </cell>
          <cell r="AD63">
            <v>100000000</v>
          </cell>
          <cell r="AE63">
            <v>50400000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239798160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51000000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169900000</v>
          </cell>
          <cell r="U64">
            <v>8500000</v>
          </cell>
          <cell r="V64">
            <v>0</v>
          </cell>
          <cell r="W64">
            <v>210000000</v>
          </cell>
          <cell r="X64">
            <v>0</v>
          </cell>
          <cell r="Y64">
            <v>100000000</v>
          </cell>
          <cell r="Z64">
            <v>243000000</v>
          </cell>
          <cell r="AA64">
            <v>8500000</v>
          </cell>
          <cell r="AB64">
            <v>371000000</v>
          </cell>
          <cell r="AC64">
            <v>17000000</v>
          </cell>
          <cell r="AD64">
            <v>150000000</v>
          </cell>
          <cell r="AE64">
            <v>50400000</v>
          </cell>
          <cell r="AF64">
            <v>4480000</v>
          </cell>
          <cell r="AG64">
            <v>0</v>
          </cell>
          <cell r="AH64">
            <v>0</v>
          </cell>
          <cell r="AI64">
            <v>0</v>
          </cell>
          <cell r="AJ64">
            <v>239798160</v>
          </cell>
          <cell r="AK64">
            <v>4480000</v>
          </cell>
          <cell r="AL64">
            <v>0</v>
          </cell>
          <cell r="AM64">
            <v>0</v>
          </cell>
          <cell r="AN64">
            <v>127500000</v>
          </cell>
          <cell r="AO64">
            <v>0</v>
          </cell>
          <cell r="AP64">
            <v>114750000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169900000</v>
          </cell>
          <cell r="U65">
            <v>8500000</v>
          </cell>
          <cell r="V65">
            <v>450000000</v>
          </cell>
          <cell r="W65">
            <v>210000000</v>
          </cell>
          <cell r="X65">
            <v>200000000</v>
          </cell>
          <cell r="Y65">
            <v>0</v>
          </cell>
          <cell r="Z65">
            <v>243000000</v>
          </cell>
          <cell r="AA65">
            <v>8500000</v>
          </cell>
          <cell r="AB65">
            <v>371000000</v>
          </cell>
          <cell r="AC65">
            <v>0</v>
          </cell>
          <cell r="AD65">
            <v>680000000</v>
          </cell>
          <cell r="AE65">
            <v>50400000</v>
          </cell>
          <cell r="AF65">
            <v>4320000</v>
          </cell>
          <cell r="AG65">
            <v>1700000</v>
          </cell>
          <cell r="AH65">
            <v>0</v>
          </cell>
          <cell r="AI65">
            <v>3300000000</v>
          </cell>
          <cell r="AJ65">
            <v>239798160</v>
          </cell>
          <cell r="AK65">
            <v>4320000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39000000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</row>
        <row r="66">
          <cell r="Z66">
            <v>0</v>
          </cell>
          <cell r="AA66">
            <v>0</v>
          </cell>
          <cell r="AB66">
            <v>794947811.64999998</v>
          </cell>
          <cell r="AD66">
            <v>0</v>
          </cell>
          <cell r="AE66">
            <v>0</v>
          </cell>
          <cell r="AF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51000000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</row>
        <row r="67">
          <cell r="Z67">
            <v>0</v>
          </cell>
          <cell r="AB67">
            <v>0</v>
          </cell>
          <cell r="AD67">
            <v>0</v>
          </cell>
          <cell r="AE67">
            <v>0</v>
          </cell>
          <cell r="AF67">
            <v>0</v>
          </cell>
          <cell r="AH67">
            <v>0</v>
          </cell>
          <cell r="AI67">
            <v>0</v>
          </cell>
          <cell r="AJ67">
            <v>850000000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75000000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</row>
        <row r="68">
          <cell r="AA68">
            <v>0</v>
          </cell>
          <cell r="AB68">
            <v>0</v>
          </cell>
          <cell r="AD68">
            <v>200000000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</row>
        <row r="69"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</row>
        <row r="70">
          <cell r="AE70">
            <v>68000000</v>
          </cell>
          <cell r="AF70">
            <v>6800000</v>
          </cell>
          <cell r="AH70">
            <v>8500000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51000000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</row>
        <row r="72">
          <cell r="C72">
            <v>24709302</v>
          </cell>
          <cell r="D72">
            <v>10000000</v>
          </cell>
          <cell r="E72">
            <v>20000000</v>
          </cell>
          <cell r="F72">
            <v>25000000</v>
          </cell>
          <cell r="G72">
            <v>12000000</v>
          </cell>
          <cell r="H72">
            <v>12000000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Y72">
            <v>0</v>
          </cell>
        </row>
        <row r="73">
          <cell r="C73">
            <v>24709302</v>
          </cell>
          <cell r="D73">
            <v>10000000</v>
          </cell>
          <cell r="E73">
            <v>20000000</v>
          </cell>
          <cell r="F73">
            <v>25000000</v>
          </cell>
          <cell r="G73">
            <v>12000000</v>
          </cell>
          <cell r="H73">
            <v>12000000</v>
          </cell>
          <cell r="I73">
            <v>0</v>
          </cell>
          <cell r="J73">
            <v>0</v>
          </cell>
          <cell r="K73">
            <v>8500000</v>
          </cell>
          <cell r="L73">
            <v>0</v>
          </cell>
          <cell r="M73">
            <v>0</v>
          </cell>
          <cell r="N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Y73">
            <v>0</v>
          </cell>
        </row>
        <row r="75">
          <cell r="AN75">
            <v>0</v>
          </cell>
        </row>
        <row r="76">
          <cell r="AD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</row>
        <row r="77">
          <cell r="AD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</row>
        <row r="78">
          <cell r="AD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</row>
        <row r="79"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</row>
        <row r="80">
          <cell r="AD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</row>
        <row r="81">
          <cell r="AN81">
            <v>0</v>
          </cell>
        </row>
      </sheetData>
      <sheetData sheetId="19"/>
      <sheetData sheetId="20"/>
      <sheetData sheetId="21">
        <row r="12">
          <cell r="C12">
            <v>1500000</v>
          </cell>
          <cell r="D12">
            <v>1275000</v>
          </cell>
          <cell r="E12">
            <v>1500000</v>
          </cell>
          <cell r="F12">
            <v>1500000</v>
          </cell>
          <cell r="G12">
            <v>2500000</v>
          </cell>
          <cell r="H12">
            <v>2000000</v>
          </cell>
          <cell r="I12">
            <v>2600000</v>
          </cell>
          <cell r="J12">
            <v>5000000</v>
          </cell>
          <cell r="K12">
            <v>5000000</v>
          </cell>
          <cell r="L12">
            <v>10000000</v>
          </cell>
          <cell r="M12">
            <v>10000000</v>
          </cell>
          <cell r="N12">
            <v>30000000</v>
          </cell>
          <cell r="O12">
            <v>50000000</v>
          </cell>
          <cell r="P12">
            <v>70000000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</row>
        <row r="13">
          <cell r="C13">
            <v>1500000</v>
          </cell>
          <cell r="D13">
            <v>1500000</v>
          </cell>
          <cell r="E13">
            <v>1500000</v>
          </cell>
          <cell r="F13">
            <v>1500000</v>
          </cell>
          <cell r="G13">
            <v>2500000</v>
          </cell>
          <cell r="I13">
            <v>2210000</v>
          </cell>
          <cell r="J13">
            <v>5000000</v>
          </cell>
          <cell r="K13">
            <v>5000000</v>
          </cell>
          <cell r="L13">
            <v>10000000</v>
          </cell>
          <cell r="M13">
            <v>10000000</v>
          </cell>
          <cell r="N13">
            <v>30000000</v>
          </cell>
          <cell r="O13">
            <v>50000000</v>
          </cell>
          <cell r="P13">
            <v>70000000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</row>
        <row r="14">
          <cell r="C14">
            <v>1500000</v>
          </cell>
          <cell r="D14">
            <v>1275000</v>
          </cell>
          <cell r="E14">
            <v>1500000</v>
          </cell>
          <cell r="F14">
            <v>1500000</v>
          </cell>
          <cell r="G14">
            <v>2500000</v>
          </cell>
          <cell r="I14">
            <v>2600000</v>
          </cell>
          <cell r="J14">
            <v>5000000</v>
          </cell>
          <cell r="K14">
            <v>4250000</v>
          </cell>
          <cell r="L14">
            <v>8500000</v>
          </cell>
          <cell r="M14">
            <v>8500000</v>
          </cell>
          <cell r="N14">
            <v>25500000</v>
          </cell>
          <cell r="O14">
            <v>42500000</v>
          </cell>
          <cell r="P14">
            <v>59500000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</row>
        <row r="15">
          <cell r="C15">
            <v>1500000</v>
          </cell>
          <cell r="D15">
            <v>1500000</v>
          </cell>
          <cell r="E15">
            <v>1500000</v>
          </cell>
          <cell r="F15">
            <v>1500000</v>
          </cell>
          <cell r="G15">
            <v>2500000</v>
          </cell>
          <cell r="I15">
            <v>2600000</v>
          </cell>
          <cell r="J15">
            <v>5000000</v>
          </cell>
          <cell r="K15">
            <v>5000000</v>
          </cell>
          <cell r="L15">
            <v>10000000</v>
          </cell>
          <cell r="M15">
            <v>10000000</v>
          </cell>
          <cell r="N15">
            <v>30000000</v>
          </cell>
          <cell r="O15">
            <v>50000000</v>
          </cell>
          <cell r="P15">
            <v>70000000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</row>
        <row r="16">
          <cell r="C16">
            <v>1500000</v>
          </cell>
          <cell r="D16">
            <v>1500000</v>
          </cell>
          <cell r="E16">
            <v>1500000</v>
          </cell>
          <cell r="F16">
            <v>1500000</v>
          </cell>
          <cell r="G16">
            <v>2500000</v>
          </cell>
          <cell r="I16">
            <v>2600000</v>
          </cell>
          <cell r="J16">
            <v>5000000</v>
          </cell>
          <cell r="K16">
            <v>5000000</v>
          </cell>
          <cell r="L16">
            <v>10000000</v>
          </cell>
          <cell r="M16">
            <v>10000000</v>
          </cell>
          <cell r="N16">
            <v>30000000</v>
          </cell>
          <cell r="O16">
            <v>50000000</v>
          </cell>
          <cell r="P16">
            <v>70000000</v>
          </cell>
          <cell r="Q16">
            <v>40000000</v>
          </cell>
          <cell r="R16">
            <v>30000000</v>
          </cell>
          <cell r="S16">
            <v>0</v>
          </cell>
          <cell r="T16">
            <v>0</v>
          </cell>
        </row>
        <row r="17">
          <cell r="C17">
            <v>1500000</v>
          </cell>
          <cell r="D17">
            <v>1500000</v>
          </cell>
          <cell r="E17">
            <v>1275000</v>
          </cell>
          <cell r="F17">
            <v>1500000</v>
          </cell>
          <cell r="G17">
            <v>2500000</v>
          </cell>
          <cell r="I17">
            <v>2210000</v>
          </cell>
          <cell r="J17">
            <v>4250000</v>
          </cell>
          <cell r="K17">
            <v>5000000</v>
          </cell>
          <cell r="L17">
            <v>10000000</v>
          </cell>
          <cell r="M17">
            <v>10000000</v>
          </cell>
          <cell r="N17">
            <v>30000000</v>
          </cell>
          <cell r="O17">
            <v>50000000</v>
          </cell>
          <cell r="P17">
            <v>70000000</v>
          </cell>
          <cell r="Q17">
            <v>40000000</v>
          </cell>
          <cell r="R17">
            <v>0</v>
          </cell>
          <cell r="S17">
            <v>0</v>
          </cell>
          <cell r="T17">
            <v>0</v>
          </cell>
        </row>
        <row r="18">
          <cell r="C18">
            <v>1500000</v>
          </cell>
          <cell r="D18">
            <v>1500000</v>
          </cell>
          <cell r="E18">
            <v>1500000</v>
          </cell>
          <cell r="F18">
            <v>1500000</v>
          </cell>
          <cell r="G18">
            <v>2500000</v>
          </cell>
          <cell r="I18">
            <v>2600000</v>
          </cell>
          <cell r="J18">
            <v>5000000</v>
          </cell>
          <cell r="K18">
            <v>5000000</v>
          </cell>
          <cell r="L18">
            <v>10000000</v>
          </cell>
          <cell r="M18">
            <v>10000000</v>
          </cell>
          <cell r="N18">
            <v>30000000</v>
          </cell>
          <cell r="O18">
            <v>50000000</v>
          </cell>
          <cell r="P18">
            <v>59500000</v>
          </cell>
          <cell r="Q18">
            <v>34000000</v>
          </cell>
          <cell r="R18">
            <v>0</v>
          </cell>
          <cell r="S18">
            <v>0</v>
          </cell>
          <cell r="T18">
            <v>0</v>
          </cell>
        </row>
        <row r="19">
          <cell r="C19">
            <v>1500000</v>
          </cell>
          <cell r="D19">
            <v>1500000</v>
          </cell>
          <cell r="E19">
            <v>1500000</v>
          </cell>
          <cell r="F19">
            <v>1500000</v>
          </cell>
          <cell r="G19">
            <v>2500000</v>
          </cell>
          <cell r="I19">
            <v>2210000</v>
          </cell>
          <cell r="J19">
            <v>5000000</v>
          </cell>
          <cell r="K19">
            <v>5000000</v>
          </cell>
          <cell r="L19">
            <v>10000000</v>
          </cell>
          <cell r="M19">
            <v>10000000</v>
          </cell>
          <cell r="N19">
            <v>30000000</v>
          </cell>
          <cell r="O19">
            <v>42500000</v>
          </cell>
          <cell r="P19">
            <v>59500000</v>
          </cell>
          <cell r="Q19">
            <v>34000000</v>
          </cell>
          <cell r="R19">
            <v>25500000</v>
          </cell>
          <cell r="S19">
            <v>0</v>
          </cell>
          <cell r="T19">
            <v>0</v>
          </cell>
        </row>
        <row r="20">
          <cell r="C20">
            <v>1500000</v>
          </cell>
          <cell r="D20">
            <v>1500000</v>
          </cell>
          <cell r="E20">
            <v>1500000</v>
          </cell>
          <cell r="F20">
            <v>1500000</v>
          </cell>
          <cell r="G20">
            <v>2000000</v>
          </cell>
          <cell r="I20">
            <v>2600000</v>
          </cell>
          <cell r="J20">
            <v>4250000</v>
          </cell>
          <cell r="K20">
            <v>0</v>
          </cell>
          <cell r="L20">
            <v>0</v>
          </cell>
          <cell r="M20">
            <v>10000000</v>
          </cell>
          <cell r="N20">
            <v>30000000</v>
          </cell>
          <cell r="O20">
            <v>50000000</v>
          </cell>
          <cell r="P20">
            <v>70000000</v>
          </cell>
          <cell r="Q20">
            <v>40000000</v>
          </cell>
          <cell r="R20">
            <v>30000000</v>
          </cell>
          <cell r="S20">
            <v>0</v>
          </cell>
          <cell r="T20">
            <v>0</v>
          </cell>
        </row>
        <row r="21">
          <cell r="C21">
            <v>1500000</v>
          </cell>
          <cell r="D21">
            <v>1500000</v>
          </cell>
          <cell r="E21">
            <v>1500000</v>
          </cell>
          <cell r="F21">
            <v>1500000</v>
          </cell>
          <cell r="G21">
            <v>2500000</v>
          </cell>
          <cell r="I21">
            <v>2210000</v>
          </cell>
          <cell r="J21">
            <v>4250000</v>
          </cell>
          <cell r="K21">
            <v>4250000</v>
          </cell>
          <cell r="L21">
            <v>8500000</v>
          </cell>
          <cell r="M21">
            <v>10000000</v>
          </cell>
          <cell r="N21">
            <v>30000000</v>
          </cell>
          <cell r="O21">
            <v>50000000</v>
          </cell>
          <cell r="P21">
            <v>70000000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</row>
        <row r="22">
          <cell r="C22">
            <v>1500000</v>
          </cell>
          <cell r="D22">
            <v>1500000</v>
          </cell>
          <cell r="E22">
            <v>1275000</v>
          </cell>
          <cell r="F22">
            <v>1275000</v>
          </cell>
          <cell r="G22">
            <v>2125000</v>
          </cell>
          <cell r="I22">
            <v>2500000</v>
          </cell>
          <cell r="J22">
            <v>5000000</v>
          </cell>
          <cell r="K22">
            <v>5000000</v>
          </cell>
          <cell r="L22">
            <v>10000000</v>
          </cell>
          <cell r="M22">
            <v>10000000</v>
          </cell>
          <cell r="N22">
            <v>30000000</v>
          </cell>
          <cell r="O22">
            <v>50000000</v>
          </cell>
          <cell r="P22">
            <v>70000000</v>
          </cell>
          <cell r="Q22">
            <v>40000000</v>
          </cell>
          <cell r="R22">
            <v>30000000</v>
          </cell>
          <cell r="S22">
            <v>0</v>
          </cell>
          <cell r="T22">
            <v>0</v>
          </cell>
        </row>
        <row r="23">
          <cell r="C23">
            <v>1500000</v>
          </cell>
          <cell r="D23">
            <v>1500000</v>
          </cell>
          <cell r="E23">
            <v>1500000</v>
          </cell>
          <cell r="F23">
            <v>1500000</v>
          </cell>
          <cell r="G23">
            <v>2500000</v>
          </cell>
          <cell r="I23">
            <v>2600000</v>
          </cell>
          <cell r="J23">
            <v>5000000</v>
          </cell>
          <cell r="K23">
            <v>5000000</v>
          </cell>
          <cell r="L23">
            <v>10000000</v>
          </cell>
          <cell r="M23">
            <v>10000000</v>
          </cell>
          <cell r="N23">
            <v>30000000</v>
          </cell>
          <cell r="O23">
            <v>50000000</v>
          </cell>
          <cell r="P23">
            <v>59500000</v>
          </cell>
          <cell r="Q23">
            <v>34000000</v>
          </cell>
          <cell r="R23">
            <v>0</v>
          </cell>
          <cell r="S23">
            <v>0</v>
          </cell>
          <cell r="T23">
            <v>0</v>
          </cell>
        </row>
        <row r="24">
          <cell r="C24">
            <v>1500000</v>
          </cell>
          <cell r="D24">
            <v>1500000</v>
          </cell>
          <cell r="E24">
            <v>1500000</v>
          </cell>
          <cell r="F24">
            <v>1500000</v>
          </cell>
          <cell r="G24">
            <v>2500000</v>
          </cell>
          <cell r="I24">
            <v>2600000</v>
          </cell>
          <cell r="J24">
            <v>5000000</v>
          </cell>
          <cell r="K24">
            <v>5000000</v>
          </cell>
          <cell r="L24">
            <v>10000000</v>
          </cell>
          <cell r="M24">
            <v>10000000</v>
          </cell>
          <cell r="N24">
            <v>30000000</v>
          </cell>
          <cell r="O24">
            <v>36500000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</row>
        <row r="25">
          <cell r="C25">
            <v>1500000</v>
          </cell>
          <cell r="D25">
            <v>1500000</v>
          </cell>
          <cell r="E25">
            <v>1275000</v>
          </cell>
          <cell r="F25">
            <v>1500000</v>
          </cell>
          <cell r="G25">
            <v>2500000</v>
          </cell>
          <cell r="I25">
            <v>2600000</v>
          </cell>
          <cell r="J25">
            <v>5000000</v>
          </cell>
          <cell r="K25">
            <v>5000000</v>
          </cell>
          <cell r="L25">
            <v>10000000</v>
          </cell>
          <cell r="M25">
            <v>10000000</v>
          </cell>
          <cell r="N25">
            <v>30000000</v>
          </cell>
          <cell r="O25">
            <v>47500000</v>
          </cell>
          <cell r="P25">
            <v>59500000</v>
          </cell>
          <cell r="Q25">
            <v>34000000</v>
          </cell>
          <cell r="R25">
            <v>0</v>
          </cell>
          <cell r="S25">
            <v>0</v>
          </cell>
          <cell r="T25">
            <v>0</v>
          </cell>
        </row>
        <row r="26">
          <cell r="C26">
            <v>1500000</v>
          </cell>
          <cell r="D26">
            <v>1500000</v>
          </cell>
          <cell r="E26">
            <v>1500000</v>
          </cell>
          <cell r="F26">
            <v>1500000</v>
          </cell>
          <cell r="G26">
            <v>2500000</v>
          </cell>
          <cell r="I26">
            <v>2600000</v>
          </cell>
          <cell r="J26">
            <v>5000000</v>
          </cell>
          <cell r="K26">
            <v>5000000</v>
          </cell>
          <cell r="L26">
            <v>10000000</v>
          </cell>
          <cell r="M26">
            <v>10000000</v>
          </cell>
          <cell r="N26">
            <v>30000000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</row>
        <row r="27">
          <cell r="C27">
            <v>1500000</v>
          </cell>
          <cell r="D27">
            <v>1500000</v>
          </cell>
          <cell r="E27">
            <v>1500000</v>
          </cell>
          <cell r="F27">
            <v>1500000</v>
          </cell>
          <cell r="G27">
            <v>2500000</v>
          </cell>
          <cell r="I27">
            <v>2600000</v>
          </cell>
          <cell r="J27">
            <v>5000000</v>
          </cell>
          <cell r="K27">
            <v>5000000</v>
          </cell>
          <cell r="L27">
            <v>10000000</v>
          </cell>
          <cell r="M27">
            <v>10000000</v>
          </cell>
          <cell r="N27">
            <v>30000000</v>
          </cell>
          <cell r="O27">
            <v>50000000</v>
          </cell>
          <cell r="P27">
            <v>59500000</v>
          </cell>
          <cell r="Q27">
            <v>34000000</v>
          </cell>
          <cell r="R27">
            <v>25500000</v>
          </cell>
          <cell r="S27">
            <v>0</v>
          </cell>
          <cell r="T27">
            <v>0</v>
          </cell>
        </row>
        <row r="28">
          <cell r="C28">
            <v>1500000</v>
          </cell>
          <cell r="D28">
            <v>1500000</v>
          </cell>
          <cell r="E28">
            <v>1500000</v>
          </cell>
          <cell r="F28">
            <v>1500000</v>
          </cell>
          <cell r="G28">
            <v>2500000</v>
          </cell>
          <cell r="I28">
            <v>2600000</v>
          </cell>
          <cell r="J28">
            <v>5000000</v>
          </cell>
          <cell r="K28">
            <v>5000000</v>
          </cell>
          <cell r="L28">
            <v>10000000</v>
          </cell>
          <cell r="M28">
            <v>10000000</v>
          </cell>
          <cell r="N28">
            <v>30000000</v>
          </cell>
          <cell r="O28">
            <v>50000000</v>
          </cell>
          <cell r="P28">
            <v>70000000</v>
          </cell>
          <cell r="Q28">
            <v>40000000</v>
          </cell>
          <cell r="R28">
            <v>0</v>
          </cell>
          <cell r="S28">
            <v>0</v>
          </cell>
          <cell r="T28">
            <v>0</v>
          </cell>
        </row>
        <row r="29">
          <cell r="C29">
            <v>1500000</v>
          </cell>
          <cell r="D29">
            <v>1275000</v>
          </cell>
          <cell r="E29">
            <v>1500000</v>
          </cell>
          <cell r="F29">
            <v>1500000</v>
          </cell>
          <cell r="G29">
            <v>2500000</v>
          </cell>
          <cell r="I29">
            <v>2600000</v>
          </cell>
          <cell r="J29">
            <v>5000000</v>
          </cell>
          <cell r="K29">
            <v>5000000</v>
          </cell>
          <cell r="L29">
            <v>10000000</v>
          </cell>
          <cell r="M29">
            <v>10000000</v>
          </cell>
          <cell r="N29">
            <v>30000000</v>
          </cell>
          <cell r="O29">
            <v>50000000</v>
          </cell>
          <cell r="P29">
            <v>70000000</v>
          </cell>
          <cell r="Q29">
            <v>34000000</v>
          </cell>
          <cell r="R29">
            <v>25500000</v>
          </cell>
          <cell r="S29">
            <v>0</v>
          </cell>
          <cell r="T29">
            <v>0</v>
          </cell>
        </row>
        <row r="30">
          <cell r="C30">
            <v>1500000</v>
          </cell>
          <cell r="D30">
            <v>1500000</v>
          </cell>
          <cell r="E30">
            <v>1500000</v>
          </cell>
          <cell r="F30">
            <v>1500000</v>
          </cell>
          <cell r="G30">
            <v>2500000</v>
          </cell>
          <cell r="I30">
            <v>2600000</v>
          </cell>
          <cell r="J30">
            <v>5000000</v>
          </cell>
          <cell r="K30">
            <v>5000000</v>
          </cell>
          <cell r="L30">
            <v>10000000</v>
          </cell>
          <cell r="M30">
            <v>10000000</v>
          </cell>
          <cell r="N30">
            <v>30000000</v>
          </cell>
          <cell r="O30">
            <v>50000000</v>
          </cell>
          <cell r="P30">
            <v>70000000</v>
          </cell>
          <cell r="Q30">
            <v>40000000</v>
          </cell>
          <cell r="R30">
            <v>25500000</v>
          </cell>
          <cell r="S30">
            <v>0</v>
          </cell>
          <cell r="T30">
            <v>0</v>
          </cell>
        </row>
        <row r="31">
          <cell r="C31">
            <v>1500000</v>
          </cell>
          <cell r="D31">
            <v>1500000</v>
          </cell>
          <cell r="E31">
            <v>1500000</v>
          </cell>
          <cell r="F31">
            <v>1500000</v>
          </cell>
          <cell r="G31">
            <v>2500000</v>
          </cell>
          <cell r="I31">
            <v>2600000</v>
          </cell>
          <cell r="J31">
            <v>5000000</v>
          </cell>
          <cell r="K31">
            <v>5000000</v>
          </cell>
          <cell r="L31">
            <v>10000000</v>
          </cell>
          <cell r="M31">
            <v>10000000</v>
          </cell>
          <cell r="N31">
            <v>30000000</v>
          </cell>
          <cell r="O31">
            <v>50000000</v>
          </cell>
          <cell r="P31">
            <v>59500000</v>
          </cell>
          <cell r="Q31">
            <v>34000000</v>
          </cell>
          <cell r="R31">
            <v>25500000</v>
          </cell>
          <cell r="S31">
            <v>0</v>
          </cell>
          <cell r="T31">
            <v>0</v>
          </cell>
        </row>
        <row r="32">
          <cell r="C32">
            <v>1500000</v>
          </cell>
          <cell r="D32">
            <v>1500000</v>
          </cell>
          <cell r="E32">
            <v>1500000</v>
          </cell>
          <cell r="F32">
            <v>1500000</v>
          </cell>
          <cell r="G32">
            <v>2500000</v>
          </cell>
          <cell r="I32">
            <v>2600000</v>
          </cell>
          <cell r="J32">
            <v>5000000</v>
          </cell>
          <cell r="K32">
            <v>5000000</v>
          </cell>
          <cell r="L32">
            <v>10000000</v>
          </cell>
          <cell r="M32">
            <v>10000000</v>
          </cell>
          <cell r="N32">
            <v>30000000</v>
          </cell>
          <cell r="O32">
            <v>50000000</v>
          </cell>
          <cell r="P32">
            <v>70000000</v>
          </cell>
          <cell r="Q32">
            <v>40000000</v>
          </cell>
          <cell r="R32">
            <v>0</v>
          </cell>
          <cell r="S32">
            <v>0</v>
          </cell>
          <cell r="T32">
            <v>0</v>
          </cell>
        </row>
        <row r="33">
          <cell r="C33">
            <v>1500000</v>
          </cell>
          <cell r="D33">
            <v>1500000</v>
          </cell>
          <cell r="E33">
            <v>1500000</v>
          </cell>
          <cell r="F33">
            <v>1275000</v>
          </cell>
          <cell r="G33">
            <v>2125000</v>
          </cell>
          <cell r="I33">
            <v>2600000</v>
          </cell>
          <cell r="J33">
            <v>5000000</v>
          </cell>
          <cell r="K33">
            <v>5000000</v>
          </cell>
          <cell r="L33">
            <v>10000000</v>
          </cell>
          <cell r="M33">
            <v>10000000</v>
          </cell>
          <cell r="N33">
            <v>30000000</v>
          </cell>
          <cell r="O33">
            <v>50000000</v>
          </cell>
          <cell r="P33">
            <v>70000000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</row>
        <row r="34">
          <cell r="C34">
            <v>1500000</v>
          </cell>
          <cell r="D34">
            <v>1500000</v>
          </cell>
          <cell r="E34">
            <v>1500000</v>
          </cell>
          <cell r="F34">
            <v>1275000</v>
          </cell>
          <cell r="G34">
            <v>2125000</v>
          </cell>
          <cell r="I34">
            <v>2600000</v>
          </cell>
          <cell r="J34">
            <v>5000000</v>
          </cell>
          <cell r="K34">
            <v>0</v>
          </cell>
          <cell r="L34">
            <v>0</v>
          </cell>
          <cell r="M34">
            <v>10000000</v>
          </cell>
          <cell r="N34">
            <v>30000000</v>
          </cell>
          <cell r="O34">
            <v>50000000</v>
          </cell>
          <cell r="P34">
            <v>70000000</v>
          </cell>
          <cell r="Q34">
            <v>34000000</v>
          </cell>
          <cell r="R34">
            <v>25500000</v>
          </cell>
          <cell r="S34">
            <v>0</v>
          </cell>
          <cell r="T34">
            <v>0</v>
          </cell>
        </row>
        <row r="35">
          <cell r="C35">
            <v>1500000</v>
          </cell>
          <cell r="D35">
            <v>1500000</v>
          </cell>
          <cell r="E35">
            <v>1500000</v>
          </cell>
          <cell r="F35">
            <v>1500000</v>
          </cell>
          <cell r="G35">
            <v>2500000</v>
          </cell>
          <cell r="I35">
            <v>2210000</v>
          </cell>
          <cell r="J35">
            <v>5000000</v>
          </cell>
          <cell r="K35">
            <v>5000000</v>
          </cell>
          <cell r="L35">
            <v>10000000</v>
          </cell>
          <cell r="M35">
            <v>8500000</v>
          </cell>
          <cell r="N35">
            <v>25500000</v>
          </cell>
          <cell r="O35">
            <v>42500000</v>
          </cell>
          <cell r="P35">
            <v>59500000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</row>
        <row r="36">
          <cell r="C36">
            <v>1500000</v>
          </cell>
          <cell r="D36">
            <v>1500000</v>
          </cell>
          <cell r="E36">
            <v>1500000</v>
          </cell>
          <cell r="F36">
            <v>1500000</v>
          </cell>
          <cell r="G36">
            <v>2500000</v>
          </cell>
          <cell r="I36">
            <v>2600000</v>
          </cell>
          <cell r="J36">
            <v>5000000</v>
          </cell>
          <cell r="K36">
            <v>5000000</v>
          </cell>
          <cell r="L36">
            <v>10000000</v>
          </cell>
          <cell r="M36">
            <v>10000000</v>
          </cell>
          <cell r="N36">
            <v>30000000</v>
          </cell>
          <cell r="O36">
            <v>50000000</v>
          </cell>
          <cell r="P36">
            <v>70000000</v>
          </cell>
          <cell r="Q36">
            <v>40000000</v>
          </cell>
          <cell r="R36">
            <v>25500000</v>
          </cell>
          <cell r="S36">
            <v>0</v>
          </cell>
          <cell r="T36">
            <v>0</v>
          </cell>
        </row>
        <row r="37">
          <cell r="C37">
            <v>1500000</v>
          </cell>
          <cell r="D37">
            <v>1275000</v>
          </cell>
          <cell r="E37">
            <v>1275000</v>
          </cell>
          <cell r="F37">
            <v>1500000</v>
          </cell>
          <cell r="G37">
            <v>2500000</v>
          </cell>
          <cell r="I37">
            <v>2600000</v>
          </cell>
          <cell r="J37">
            <v>5000000</v>
          </cell>
          <cell r="K37">
            <v>5000000</v>
          </cell>
          <cell r="L37">
            <v>10000000</v>
          </cell>
          <cell r="M37">
            <v>10000000</v>
          </cell>
          <cell r="N37">
            <v>30000000</v>
          </cell>
          <cell r="O37">
            <v>50000000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</row>
        <row r="38">
          <cell r="C38">
            <v>1500000</v>
          </cell>
          <cell r="D38">
            <v>1500000</v>
          </cell>
          <cell r="E38">
            <v>1500000</v>
          </cell>
          <cell r="F38">
            <v>1500000</v>
          </cell>
          <cell r="G38">
            <v>2500000</v>
          </cell>
          <cell r="I38">
            <v>2600000</v>
          </cell>
          <cell r="J38">
            <v>5000000</v>
          </cell>
          <cell r="K38">
            <v>5000000</v>
          </cell>
          <cell r="L38">
            <v>10000000</v>
          </cell>
          <cell r="M38">
            <v>10000000</v>
          </cell>
          <cell r="N38">
            <v>30000000</v>
          </cell>
          <cell r="O38">
            <v>42500000</v>
          </cell>
          <cell r="P38">
            <v>59500000</v>
          </cell>
          <cell r="Q38">
            <v>40000000</v>
          </cell>
          <cell r="R38">
            <v>30000000</v>
          </cell>
          <cell r="S38">
            <v>0</v>
          </cell>
          <cell r="T38">
            <v>0</v>
          </cell>
        </row>
        <row r="39">
          <cell r="C39">
            <v>1500000</v>
          </cell>
          <cell r="D39">
            <v>1500000</v>
          </cell>
          <cell r="E39">
            <v>1500000</v>
          </cell>
          <cell r="F39">
            <v>1500000</v>
          </cell>
          <cell r="G39">
            <v>2500000</v>
          </cell>
          <cell r="I39">
            <v>2600000</v>
          </cell>
          <cell r="J39">
            <v>5000000</v>
          </cell>
          <cell r="K39">
            <v>5000000</v>
          </cell>
          <cell r="L39">
            <v>8500000</v>
          </cell>
          <cell r="M39">
            <v>10000000</v>
          </cell>
          <cell r="N39">
            <v>30000000</v>
          </cell>
          <cell r="O39">
            <v>50000000</v>
          </cell>
          <cell r="P39">
            <v>70000000</v>
          </cell>
          <cell r="Q39">
            <v>34000000</v>
          </cell>
          <cell r="R39">
            <v>25500000</v>
          </cell>
          <cell r="S39">
            <v>0</v>
          </cell>
          <cell r="T39">
            <v>0</v>
          </cell>
        </row>
        <row r="40">
          <cell r="C40">
            <v>1500000</v>
          </cell>
          <cell r="D40">
            <v>1500000</v>
          </cell>
          <cell r="E40">
            <v>1500000</v>
          </cell>
          <cell r="F40">
            <v>1500000</v>
          </cell>
          <cell r="G40">
            <v>2500000</v>
          </cell>
          <cell r="I40">
            <v>2600000</v>
          </cell>
          <cell r="J40">
            <v>5000000</v>
          </cell>
          <cell r="K40">
            <v>5000000</v>
          </cell>
          <cell r="L40">
            <v>10000000</v>
          </cell>
          <cell r="M40">
            <v>10000000</v>
          </cell>
          <cell r="N40">
            <v>25500000</v>
          </cell>
          <cell r="O40">
            <v>42500000</v>
          </cell>
          <cell r="P40">
            <v>59500000</v>
          </cell>
          <cell r="Q40">
            <v>34000000</v>
          </cell>
          <cell r="R40">
            <v>0</v>
          </cell>
          <cell r="S40">
            <v>0</v>
          </cell>
          <cell r="T40">
            <v>0</v>
          </cell>
        </row>
        <row r="41">
          <cell r="C41">
            <v>1500000</v>
          </cell>
          <cell r="D41">
            <v>1500000</v>
          </cell>
          <cell r="E41">
            <v>1500000</v>
          </cell>
          <cell r="F41">
            <v>1500000</v>
          </cell>
          <cell r="G41">
            <v>2500000</v>
          </cell>
          <cell r="I41">
            <v>2600000</v>
          </cell>
          <cell r="J41">
            <v>5000000</v>
          </cell>
          <cell r="K41">
            <v>5000000</v>
          </cell>
          <cell r="L41">
            <v>10000000</v>
          </cell>
          <cell r="M41">
            <v>10000000</v>
          </cell>
          <cell r="N41">
            <v>30000000</v>
          </cell>
          <cell r="O41">
            <v>50000000</v>
          </cell>
          <cell r="P41">
            <v>70000000</v>
          </cell>
          <cell r="Q41">
            <v>40000000</v>
          </cell>
          <cell r="R41">
            <v>30000000</v>
          </cell>
          <cell r="S41">
            <v>0</v>
          </cell>
          <cell r="T41">
            <v>0</v>
          </cell>
        </row>
        <row r="42">
          <cell r="C42">
            <v>1500000</v>
          </cell>
          <cell r="D42">
            <v>1500000</v>
          </cell>
          <cell r="E42">
            <v>1500000</v>
          </cell>
          <cell r="F42">
            <v>1500000</v>
          </cell>
          <cell r="G42">
            <v>2500000</v>
          </cell>
          <cell r="I42">
            <v>2600000</v>
          </cell>
          <cell r="J42">
            <v>5000000</v>
          </cell>
          <cell r="K42">
            <v>4250000</v>
          </cell>
          <cell r="L42">
            <v>10000000</v>
          </cell>
          <cell r="M42">
            <v>10000000</v>
          </cell>
          <cell r="N42">
            <v>25500000</v>
          </cell>
          <cell r="O42">
            <v>42500000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</row>
        <row r="43">
          <cell r="C43">
            <v>1500000</v>
          </cell>
          <cell r="D43">
            <v>1500000</v>
          </cell>
          <cell r="E43">
            <v>1500000</v>
          </cell>
          <cell r="F43">
            <v>1500000</v>
          </cell>
          <cell r="G43">
            <v>2500000</v>
          </cell>
          <cell r="I43">
            <v>2600000</v>
          </cell>
          <cell r="J43">
            <v>5000000</v>
          </cell>
          <cell r="K43">
            <v>5000000</v>
          </cell>
          <cell r="L43">
            <v>10000000</v>
          </cell>
          <cell r="M43">
            <v>10000000</v>
          </cell>
          <cell r="N43">
            <v>30000000</v>
          </cell>
          <cell r="O43">
            <v>50000000</v>
          </cell>
          <cell r="P43">
            <v>70000000</v>
          </cell>
          <cell r="Q43">
            <v>40000000</v>
          </cell>
          <cell r="R43">
            <v>0</v>
          </cell>
          <cell r="S43">
            <v>0</v>
          </cell>
          <cell r="T43">
            <v>0</v>
          </cell>
        </row>
        <row r="44">
          <cell r="C44">
            <v>1500000</v>
          </cell>
          <cell r="D44">
            <v>1500000</v>
          </cell>
          <cell r="E44">
            <v>1500000</v>
          </cell>
          <cell r="F44">
            <v>1500000</v>
          </cell>
          <cell r="G44">
            <v>2500000</v>
          </cell>
          <cell r="I44">
            <v>2600000</v>
          </cell>
          <cell r="J44">
            <v>5000000</v>
          </cell>
          <cell r="K44">
            <v>5000000</v>
          </cell>
          <cell r="L44">
            <v>10000000</v>
          </cell>
          <cell r="M44">
            <v>10000000</v>
          </cell>
          <cell r="N44">
            <v>30000000</v>
          </cell>
          <cell r="O44">
            <v>50000000</v>
          </cell>
          <cell r="P44">
            <v>70000000</v>
          </cell>
          <cell r="Q44">
            <v>34000000</v>
          </cell>
          <cell r="R44">
            <v>25500000</v>
          </cell>
          <cell r="S44">
            <v>0</v>
          </cell>
          <cell r="T44">
            <v>0</v>
          </cell>
        </row>
        <row r="45">
          <cell r="C45">
            <v>1500000</v>
          </cell>
          <cell r="D45">
            <v>1275000</v>
          </cell>
          <cell r="E45">
            <v>1500000</v>
          </cell>
          <cell r="F45">
            <v>1500000</v>
          </cell>
          <cell r="G45">
            <v>2500000</v>
          </cell>
          <cell r="I45">
            <v>2600000</v>
          </cell>
          <cell r="J45">
            <v>5000000</v>
          </cell>
          <cell r="K45">
            <v>5000000</v>
          </cell>
          <cell r="L45">
            <v>10000000</v>
          </cell>
          <cell r="M45">
            <v>10000000</v>
          </cell>
          <cell r="N45">
            <v>30000000</v>
          </cell>
          <cell r="O45">
            <v>50000000</v>
          </cell>
          <cell r="P45">
            <v>70000000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</row>
        <row r="46">
          <cell r="C46">
            <v>1500000</v>
          </cell>
          <cell r="D46">
            <v>1500000</v>
          </cell>
          <cell r="E46">
            <v>1500000</v>
          </cell>
          <cell r="F46">
            <v>1500000</v>
          </cell>
          <cell r="G46">
            <v>2500000</v>
          </cell>
          <cell r="I46">
            <v>2600000</v>
          </cell>
          <cell r="J46">
            <v>5000000</v>
          </cell>
          <cell r="K46">
            <v>5000000</v>
          </cell>
          <cell r="L46">
            <v>10000000</v>
          </cell>
          <cell r="M46">
            <v>10000000</v>
          </cell>
          <cell r="N46">
            <v>30000000</v>
          </cell>
          <cell r="O46">
            <v>42500000</v>
          </cell>
          <cell r="P46">
            <v>59500000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</row>
        <row r="47">
          <cell r="C47">
            <v>1500000</v>
          </cell>
          <cell r="D47">
            <v>1500000</v>
          </cell>
          <cell r="E47">
            <v>1500000</v>
          </cell>
          <cell r="F47">
            <v>1500000</v>
          </cell>
          <cell r="G47">
            <v>2500000</v>
          </cell>
          <cell r="I47">
            <v>2210000</v>
          </cell>
          <cell r="J47">
            <v>4250000</v>
          </cell>
          <cell r="K47">
            <v>5000000</v>
          </cell>
          <cell r="L47">
            <v>10000000</v>
          </cell>
          <cell r="M47">
            <v>10000000</v>
          </cell>
          <cell r="N47">
            <v>30000000</v>
          </cell>
          <cell r="O47">
            <v>42500000</v>
          </cell>
          <cell r="P47">
            <v>59500000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</row>
        <row r="48">
          <cell r="C48">
            <v>1500000</v>
          </cell>
          <cell r="D48">
            <v>1500000</v>
          </cell>
          <cell r="E48">
            <v>1500000</v>
          </cell>
          <cell r="F48">
            <v>1500000</v>
          </cell>
          <cell r="G48">
            <v>2500000</v>
          </cell>
          <cell r="I48">
            <v>2600000</v>
          </cell>
          <cell r="J48">
            <v>5000000</v>
          </cell>
          <cell r="K48">
            <v>5000000</v>
          </cell>
          <cell r="L48">
            <v>10000000</v>
          </cell>
          <cell r="M48">
            <v>0</v>
          </cell>
          <cell r="N48">
            <v>25500000</v>
          </cell>
          <cell r="O48">
            <v>0</v>
          </cell>
          <cell r="P48">
            <v>70000000</v>
          </cell>
          <cell r="Q48">
            <v>0</v>
          </cell>
          <cell r="R48">
            <v>25500000</v>
          </cell>
          <cell r="S48">
            <v>0</v>
          </cell>
          <cell r="T48">
            <v>0</v>
          </cell>
        </row>
        <row r="49">
          <cell r="C49">
            <v>1500000</v>
          </cell>
          <cell r="D49">
            <v>1500000</v>
          </cell>
          <cell r="E49">
            <v>1500000</v>
          </cell>
          <cell r="F49">
            <v>1500000</v>
          </cell>
          <cell r="G49">
            <v>2500000</v>
          </cell>
          <cell r="I49">
            <v>2600000</v>
          </cell>
          <cell r="J49">
            <v>5000000</v>
          </cell>
          <cell r="K49">
            <v>5000000</v>
          </cell>
          <cell r="L49">
            <v>0</v>
          </cell>
          <cell r="M49">
            <v>10000000</v>
          </cell>
          <cell r="N49">
            <v>0</v>
          </cell>
          <cell r="O49">
            <v>50000000</v>
          </cell>
          <cell r="Q49">
            <v>40000000</v>
          </cell>
          <cell r="R49">
            <v>0</v>
          </cell>
          <cell r="S49">
            <v>0</v>
          </cell>
          <cell r="T49">
            <v>0</v>
          </cell>
        </row>
        <row r="50">
          <cell r="C50">
            <v>1500000</v>
          </cell>
          <cell r="D50">
            <v>1500000</v>
          </cell>
          <cell r="E50">
            <v>1500000</v>
          </cell>
          <cell r="F50">
            <v>1500000</v>
          </cell>
          <cell r="G50">
            <v>2500000</v>
          </cell>
          <cell r="I50">
            <v>2600000</v>
          </cell>
          <cell r="J50">
            <v>5000000</v>
          </cell>
          <cell r="K50">
            <v>6700000</v>
          </cell>
          <cell r="L50">
            <v>10000000</v>
          </cell>
          <cell r="M50">
            <v>10000000</v>
          </cell>
          <cell r="N50">
            <v>30000000</v>
          </cell>
          <cell r="O50">
            <v>50000000</v>
          </cell>
          <cell r="P50">
            <v>70000000</v>
          </cell>
          <cell r="Q50">
            <v>40000000</v>
          </cell>
          <cell r="R50">
            <v>25500000</v>
          </cell>
          <cell r="S50">
            <v>21250000</v>
          </cell>
          <cell r="T50">
            <v>0</v>
          </cell>
        </row>
        <row r="51">
          <cell r="C51">
            <v>1500000</v>
          </cell>
          <cell r="D51">
            <v>1500000</v>
          </cell>
          <cell r="E51">
            <v>1500000</v>
          </cell>
          <cell r="F51">
            <v>1500000</v>
          </cell>
          <cell r="G51">
            <v>2500000</v>
          </cell>
          <cell r="I51">
            <v>2600000</v>
          </cell>
          <cell r="J51">
            <v>5000000</v>
          </cell>
          <cell r="K51">
            <v>5000000</v>
          </cell>
          <cell r="L51">
            <v>10000000</v>
          </cell>
          <cell r="M51">
            <v>10000000</v>
          </cell>
          <cell r="N51">
            <v>30000000</v>
          </cell>
          <cell r="O51">
            <v>50000000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</row>
        <row r="52">
          <cell r="C52">
            <v>0</v>
          </cell>
          <cell r="D52">
            <v>0</v>
          </cell>
          <cell r="E52">
            <v>1500000</v>
          </cell>
          <cell r="F52">
            <v>1500000</v>
          </cell>
          <cell r="G52">
            <v>2500000</v>
          </cell>
          <cell r="I52">
            <v>2600000</v>
          </cell>
          <cell r="J52">
            <v>5000000</v>
          </cell>
          <cell r="K52">
            <v>5000000</v>
          </cell>
          <cell r="L52">
            <v>10000000</v>
          </cell>
          <cell r="M52">
            <v>10000000</v>
          </cell>
          <cell r="N52">
            <v>30000000</v>
          </cell>
          <cell r="O52">
            <v>50000000</v>
          </cell>
          <cell r="P52">
            <v>70000000</v>
          </cell>
          <cell r="Q52">
            <v>40000000</v>
          </cell>
          <cell r="R52">
            <v>0</v>
          </cell>
          <cell r="S52">
            <v>0</v>
          </cell>
          <cell r="T52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1500000</v>
          </cell>
          <cell r="G53">
            <v>2500000</v>
          </cell>
          <cell r="I53">
            <v>2600000</v>
          </cell>
          <cell r="J53">
            <v>5000000</v>
          </cell>
          <cell r="K53">
            <v>5000000</v>
          </cell>
          <cell r="L53">
            <v>10000000</v>
          </cell>
          <cell r="M53">
            <v>10000000</v>
          </cell>
          <cell r="N53">
            <v>30000000</v>
          </cell>
          <cell r="O53">
            <v>50000000</v>
          </cell>
          <cell r="P53">
            <v>70000000</v>
          </cell>
          <cell r="Q53">
            <v>34000000</v>
          </cell>
          <cell r="R53">
            <v>25500000</v>
          </cell>
          <cell r="S53">
            <v>0</v>
          </cell>
          <cell r="T53">
            <v>0</v>
          </cell>
        </row>
        <row r="54">
          <cell r="C54">
            <v>1500000</v>
          </cell>
          <cell r="D54">
            <v>1500000</v>
          </cell>
          <cell r="E54">
            <v>1500000</v>
          </cell>
          <cell r="F54">
            <v>1500000</v>
          </cell>
          <cell r="G54">
            <v>2500000</v>
          </cell>
          <cell r="I54">
            <v>2600000</v>
          </cell>
          <cell r="J54">
            <v>5000000</v>
          </cell>
          <cell r="K54">
            <v>5000000</v>
          </cell>
          <cell r="L54">
            <v>10000000</v>
          </cell>
          <cell r="M54">
            <v>10000000</v>
          </cell>
          <cell r="N54">
            <v>30000000</v>
          </cell>
          <cell r="O54">
            <v>50000000</v>
          </cell>
          <cell r="P54">
            <v>70000000</v>
          </cell>
          <cell r="Q54">
            <v>34000000</v>
          </cell>
          <cell r="R54">
            <v>25500000</v>
          </cell>
          <cell r="S54">
            <v>0</v>
          </cell>
          <cell r="T54">
            <v>0</v>
          </cell>
        </row>
        <row r="55">
          <cell r="C55">
            <v>1500000</v>
          </cell>
          <cell r="D55">
            <v>1500000</v>
          </cell>
          <cell r="E55">
            <v>1500000</v>
          </cell>
          <cell r="F55">
            <v>1500000</v>
          </cell>
          <cell r="G55">
            <v>2500000</v>
          </cell>
          <cell r="I55">
            <v>2600000</v>
          </cell>
          <cell r="J55">
            <v>5000000</v>
          </cell>
          <cell r="K55">
            <v>5000000</v>
          </cell>
          <cell r="L55">
            <v>10000000</v>
          </cell>
          <cell r="M55">
            <v>10000000</v>
          </cell>
          <cell r="N55">
            <v>30000000</v>
          </cell>
          <cell r="O55">
            <v>50000000</v>
          </cell>
          <cell r="P55">
            <v>70000000</v>
          </cell>
          <cell r="Q55">
            <v>40000000</v>
          </cell>
          <cell r="R55">
            <v>30000000</v>
          </cell>
          <cell r="S55">
            <v>0</v>
          </cell>
          <cell r="T55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1500000</v>
          </cell>
          <cell r="G56">
            <v>2500000</v>
          </cell>
          <cell r="I56">
            <v>2600000</v>
          </cell>
          <cell r="J56">
            <v>5000000</v>
          </cell>
          <cell r="K56">
            <v>4250000</v>
          </cell>
          <cell r="L56">
            <v>8500000</v>
          </cell>
          <cell r="M56">
            <v>0</v>
          </cell>
          <cell r="N56">
            <v>0</v>
          </cell>
          <cell r="O56">
            <v>50000000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2500000</v>
          </cell>
          <cell r="I57">
            <v>2600000</v>
          </cell>
          <cell r="J57">
            <v>0</v>
          </cell>
          <cell r="K57">
            <v>0</v>
          </cell>
          <cell r="L57">
            <v>0</v>
          </cell>
          <cell r="M57">
            <v>10000000</v>
          </cell>
          <cell r="N57">
            <v>0</v>
          </cell>
          <cell r="O57">
            <v>0</v>
          </cell>
          <cell r="P57">
            <v>70000000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2500000</v>
          </cell>
          <cell r="I58">
            <v>2210000</v>
          </cell>
          <cell r="J58">
            <v>5000000</v>
          </cell>
          <cell r="K58">
            <v>5000000</v>
          </cell>
          <cell r="L58">
            <v>0</v>
          </cell>
          <cell r="M58">
            <v>0</v>
          </cell>
          <cell r="N58">
            <v>30000000</v>
          </cell>
          <cell r="O58">
            <v>0</v>
          </cell>
          <cell r="Q58">
            <v>40000000</v>
          </cell>
          <cell r="R58">
            <v>0</v>
          </cell>
          <cell r="S58">
            <v>0</v>
          </cell>
          <cell r="T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I59">
            <v>0</v>
          </cell>
          <cell r="J59">
            <v>5000000</v>
          </cell>
          <cell r="K59">
            <v>5000000</v>
          </cell>
          <cell r="L59">
            <v>10000000</v>
          </cell>
          <cell r="M59">
            <v>10000000</v>
          </cell>
          <cell r="N59">
            <v>30000000</v>
          </cell>
          <cell r="O59">
            <v>50000000</v>
          </cell>
          <cell r="P59">
            <v>70000000</v>
          </cell>
          <cell r="Q59">
            <v>34000000</v>
          </cell>
          <cell r="R59">
            <v>25500000</v>
          </cell>
          <cell r="S59">
            <v>0</v>
          </cell>
          <cell r="T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I60">
            <v>0</v>
          </cell>
          <cell r="J60">
            <v>0</v>
          </cell>
          <cell r="K60">
            <v>5000000</v>
          </cell>
          <cell r="L60">
            <v>10000000</v>
          </cell>
          <cell r="M60">
            <v>10000000</v>
          </cell>
          <cell r="N60">
            <v>30000000</v>
          </cell>
          <cell r="O60">
            <v>50000000</v>
          </cell>
          <cell r="P60">
            <v>59500000</v>
          </cell>
          <cell r="Q60">
            <v>34000000</v>
          </cell>
          <cell r="R60">
            <v>25500000</v>
          </cell>
          <cell r="S60">
            <v>0</v>
          </cell>
          <cell r="T60">
            <v>0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I61">
            <v>0</v>
          </cell>
          <cell r="J61">
            <v>4000000</v>
          </cell>
          <cell r="K61">
            <v>4000000</v>
          </cell>
          <cell r="L61">
            <v>4000000</v>
          </cell>
          <cell r="M61">
            <v>10000000</v>
          </cell>
          <cell r="N61">
            <v>30000000</v>
          </cell>
          <cell r="O61">
            <v>50000000</v>
          </cell>
          <cell r="P61">
            <v>70000000</v>
          </cell>
          <cell r="Q61">
            <v>40000000</v>
          </cell>
          <cell r="R61">
            <v>25500000</v>
          </cell>
          <cell r="S61">
            <v>0</v>
          </cell>
          <cell r="T61">
            <v>0</v>
          </cell>
        </row>
        <row r="62"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10000000</v>
          </cell>
          <cell r="N62">
            <v>30000000</v>
          </cell>
          <cell r="O62">
            <v>50000000</v>
          </cell>
          <cell r="P62">
            <v>70000000</v>
          </cell>
          <cell r="Q62">
            <v>40000000</v>
          </cell>
          <cell r="R62">
            <v>30000000</v>
          </cell>
          <cell r="S62">
            <v>0</v>
          </cell>
          <cell r="T62">
            <v>0</v>
          </cell>
        </row>
        <row r="63"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10000000</v>
          </cell>
          <cell r="N63">
            <v>30000000</v>
          </cell>
          <cell r="O63">
            <v>50000000</v>
          </cell>
          <cell r="P63">
            <v>70000000</v>
          </cell>
          <cell r="Q63">
            <v>40000000</v>
          </cell>
          <cell r="R63">
            <v>25500000</v>
          </cell>
          <cell r="S63">
            <v>0</v>
          </cell>
          <cell r="T63">
            <v>0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10000000</v>
          </cell>
          <cell r="N64">
            <v>30000000</v>
          </cell>
          <cell r="O64">
            <v>50000000</v>
          </cell>
          <cell r="P64">
            <v>70000000</v>
          </cell>
          <cell r="Q64">
            <v>40000000</v>
          </cell>
          <cell r="R64">
            <v>30000000</v>
          </cell>
          <cell r="S64">
            <v>0</v>
          </cell>
          <cell r="T64">
            <v>0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</row>
        <row r="67">
          <cell r="R67">
            <v>0</v>
          </cell>
          <cell r="S67">
            <v>0</v>
          </cell>
          <cell r="T67">
            <v>0</v>
          </cell>
        </row>
        <row r="68">
          <cell r="Q68">
            <v>0</v>
          </cell>
          <cell r="R68">
            <v>0</v>
          </cell>
          <cell r="S68">
            <v>0</v>
          </cell>
          <cell r="T68">
            <v>0</v>
          </cell>
        </row>
        <row r="69">
          <cell r="Q69">
            <v>34000000</v>
          </cell>
          <cell r="R69">
            <v>0</v>
          </cell>
          <cell r="S69">
            <v>0</v>
          </cell>
          <cell r="T69">
            <v>0</v>
          </cell>
        </row>
        <row r="71">
          <cell r="C71">
            <v>1500000</v>
          </cell>
          <cell r="D71">
            <v>1500000</v>
          </cell>
          <cell r="E71">
            <v>1500000</v>
          </cell>
          <cell r="F71">
            <v>1500000</v>
          </cell>
          <cell r="G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</row>
        <row r="72">
          <cell r="C72">
            <v>1500000</v>
          </cell>
          <cell r="D72">
            <v>1500000</v>
          </cell>
          <cell r="E72">
            <v>0</v>
          </cell>
          <cell r="F72">
            <v>0</v>
          </cell>
          <cell r="G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</row>
        <row r="73">
          <cell r="C73">
            <v>0</v>
          </cell>
          <cell r="D73">
            <v>0</v>
          </cell>
          <cell r="E73">
            <v>1500000</v>
          </cell>
          <cell r="F73">
            <v>1500000</v>
          </cell>
          <cell r="G73">
            <v>2500000</v>
          </cell>
          <cell r="I73">
            <v>2600000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</row>
        <row r="74"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2500000</v>
          </cell>
          <cell r="I74">
            <v>2600000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</row>
        <row r="75">
          <cell r="C75">
            <v>1500000</v>
          </cell>
          <cell r="D75">
            <v>1500000</v>
          </cell>
          <cell r="E75">
            <v>1500000</v>
          </cell>
          <cell r="F75">
            <v>1500000</v>
          </cell>
          <cell r="G75">
            <v>2500000</v>
          </cell>
          <cell r="I75">
            <v>2210000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</row>
        <row r="76">
          <cell r="Q76">
            <v>0</v>
          </cell>
          <cell r="R76">
            <v>0</v>
          </cell>
          <cell r="S76">
            <v>0</v>
          </cell>
          <cell r="T76">
            <v>0</v>
          </cell>
        </row>
        <row r="77">
          <cell r="Q77">
            <v>0</v>
          </cell>
          <cell r="R77">
            <v>0</v>
          </cell>
          <cell r="S77">
            <v>0</v>
          </cell>
          <cell r="T77">
            <v>0</v>
          </cell>
        </row>
      </sheetData>
      <sheetData sheetId="22"/>
      <sheetData sheetId="23"/>
      <sheetData sheetId="24">
        <row r="7">
          <cell r="W7">
            <v>0</v>
          </cell>
          <cell r="X7">
            <v>125000000</v>
          </cell>
          <cell r="AC7">
            <v>0</v>
          </cell>
          <cell r="AD7">
            <v>0</v>
          </cell>
          <cell r="AI7">
            <v>450000000</v>
          </cell>
          <cell r="AJ7">
            <v>72000000</v>
          </cell>
          <cell r="AK7">
            <v>8000000</v>
          </cell>
          <cell r="AL7">
            <v>2000000</v>
          </cell>
          <cell r="AM7">
            <v>7000000</v>
          </cell>
          <cell r="AN7">
            <v>2000000000</v>
          </cell>
          <cell r="AO7">
            <v>371067000</v>
          </cell>
          <cell r="AP7">
            <v>8000000</v>
          </cell>
          <cell r="AQ7">
            <v>12000000</v>
          </cell>
          <cell r="AR7">
            <v>10000000</v>
          </cell>
          <cell r="AS7">
            <v>0</v>
          </cell>
          <cell r="AT7">
            <v>200000000</v>
          </cell>
          <cell r="AU7">
            <v>75000000</v>
          </cell>
          <cell r="AV7">
            <v>8700000</v>
          </cell>
          <cell r="AW7">
            <v>5000000</v>
          </cell>
          <cell r="AX7">
            <v>20000000</v>
          </cell>
          <cell r="AY7">
            <v>230000000</v>
          </cell>
          <cell r="AZ7">
            <v>116776600</v>
          </cell>
          <cell r="BA7">
            <v>12000000</v>
          </cell>
          <cell r="BB7">
            <v>5000000</v>
          </cell>
          <cell r="BC7">
            <v>10308300</v>
          </cell>
        </row>
        <row r="8">
          <cell r="W8">
            <v>0</v>
          </cell>
          <cell r="X8">
            <v>125000000</v>
          </cell>
          <cell r="AC8">
            <v>292000000</v>
          </cell>
          <cell r="AD8">
            <v>0</v>
          </cell>
          <cell r="AI8">
            <v>0</v>
          </cell>
          <cell r="AJ8">
            <v>72000000</v>
          </cell>
          <cell r="AK8">
            <v>8000000</v>
          </cell>
          <cell r="AL8">
            <v>2000000</v>
          </cell>
          <cell r="AM8">
            <v>7000000</v>
          </cell>
          <cell r="AN8">
            <v>0</v>
          </cell>
          <cell r="AO8">
            <v>371067000</v>
          </cell>
          <cell r="AP8">
            <v>8000000</v>
          </cell>
          <cell r="AQ8">
            <v>12000000</v>
          </cell>
          <cell r="AR8">
            <v>10000000</v>
          </cell>
          <cell r="AS8">
            <v>150000000</v>
          </cell>
          <cell r="AT8">
            <v>200000000</v>
          </cell>
          <cell r="AU8">
            <v>75000000</v>
          </cell>
          <cell r="AV8">
            <v>8700000</v>
          </cell>
          <cell r="AW8">
            <v>5000000</v>
          </cell>
          <cell r="AX8">
            <v>20000000</v>
          </cell>
          <cell r="AY8">
            <v>230000000</v>
          </cell>
          <cell r="AZ8">
            <v>116776600</v>
          </cell>
          <cell r="BA8">
            <v>12000000</v>
          </cell>
          <cell r="BB8">
            <v>5000000</v>
          </cell>
          <cell r="BC8">
            <v>10308300</v>
          </cell>
        </row>
        <row r="9">
          <cell r="W9">
            <v>0</v>
          </cell>
          <cell r="X9">
            <v>125000000</v>
          </cell>
          <cell r="AC9">
            <v>317000000</v>
          </cell>
          <cell r="AD9">
            <v>100000000</v>
          </cell>
          <cell r="AI9">
            <v>50000000</v>
          </cell>
          <cell r="AJ9">
            <v>72000000</v>
          </cell>
          <cell r="AK9">
            <v>8000000</v>
          </cell>
          <cell r="AL9">
            <v>2000000</v>
          </cell>
          <cell r="AM9">
            <v>7000000</v>
          </cell>
          <cell r="AN9">
            <v>0</v>
          </cell>
          <cell r="AO9">
            <v>371067000</v>
          </cell>
          <cell r="AP9">
            <v>8000000</v>
          </cell>
          <cell r="AQ9">
            <v>12000000</v>
          </cell>
          <cell r="AR9">
            <v>10000000</v>
          </cell>
          <cell r="AS9">
            <v>150000000</v>
          </cell>
          <cell r="AT9">
            <v>200000000</v>
          </cell>
          <cell r="AU9">
            <v>75000000</v>
          </cell>
          <cell r="AV9">
            <v>8700000</v>
          </cell>
          <cell r="AW9">
            <v>5000000</v>
          </cell>
          <cell r="AX9">
            <v>20000000</v>
          </cell>
          <cell r="AY9">
            <v>230000000</v>
          </cell>
          <cell r="AZ9">
            <v>116776600</v>
          </cell>
          <cell r="BA9">
            <v>12000000</v>
          </cell>
          <cell r="BB9">
            <v>5000000</v>
          </cell>
          <cell r="BC9">
            <v>10308300</v>
          </cell>
        </row>
        <row r="10">
          <cell r="W10">
            <v>0</v>
          </cell>
          <cell r="X10">
            <v>125000000</v>
          </cell>
          <cell r="AC10">
            <v>80000000</v>
          </cell>
          <cell r="AD10">
            <v>30000000</v>
          </cell>
          <cell r="AI10">
            <v>50000000</v>
          </cell>
          <cell r="AJ10">
            <v>72000000</v>
          </cell>
          <cell r="AK10">
            <v>8000000</v>
          </cell>
          <cell r="AL10">
            <v>2000000</v>
          </cell>
          <cell r="AM10">
            <v>7000000</v>
          </cell>
          <cell r="AN10">
            <v>100000000</v>
          </cell>
          <cell r="AO10">
            <v>371067000</v>
          </cell>
          <cell r="AP10">
            <v>8000000</v>
          </cell>
          <cell r="AQ10">
            <v>12000000</v>
          </cell>
          <cell r="AR10">
            <v>10000000</v>
          </cell>
          <cell r="AS10">
            <v>150000000</v>
          </cell>
          <cell r="AT10">
            <v>200000000</v>
          </cell>
          <cell r="AU10">
            <v>75000000</v>
          </cell>
          <cell r="AV10">
            <v>8700000</v>
          </cell>
          <cell r="AW10">
            <v>5000000</v>
          </cell>
          <cell r="AX10">
            <v>20000000</v>
          </cell>
          <cell r="AY10">
            <v>230000000</v>
          </cell>
          <cell r="AZ10">
            <v>116776600</v>
          </cell>
          <cell r="BA10">
            <v>12000000</v>
          </cell>
          <cell r="BB10">
            <v>5000000</v>
          </cell>
          <cell r="BC10">
            <v>10308300</v>
          </cell>
        </row>
        <row r="11">
          <cell r="W11">
            <v>140000000</v>
          </cell>
          <cell r="X11">
            <v>125000000</v>
          </cell>
          <cell r="AC11">
            <v>300000000</v>
          </cell>
          <cell r="AD11">
            <v>0</v>
          </cell>
          <cell r="AI11">
            <v>250000000</v>
          </cell>
          <cell r="AJ11">
            <v>72000000</v>
          </cell>
          <cell r="AK11">
            <v>8000000</v>
          </cell>
          <cell r="AL11">
            <v>2000000</v>
          </cell>
          <cell r="AM11">
            <v>7000000</v>
          </cell>
          <cell r="AN11">
            <v>350000000</v>
          </cell>
          <cell r="AO11">
            <v>371067000</v>
          </cell>
          <cell r="AP11">
            <v>8000000</v>
          </cell>
          <cell r="AQ11">
            <v>12000000</v>
          </cell>
          <cell r="AR11">
            <v>10000000</v>
          </cell>
          <cell r="AS11">
            <v>150000000</v>
          </cell>
          <cell r="AT11">
            <v>200000000</v>
          </cell>
          <cell r="AU11">
            <v>75000000</v>
          </cell>
          <cell r="AV11">
            <v>8700000</v>
          </cell>
          <cell r="AW11">
            <v>5000000</v>
          </cell>
          <cell r="AX11">
            <v>20000000</v>
          </cell>
          <cell r="AY11">
            <v>230000000</v>
          </cell>
          <cell r="AZ11">
            <v>116776600</v>
          </cell>
          <cell r="BA11">
            <v>12000000</v>
          </cell>
          <cell r="BB11">
            <v>5000000</v>
          </cell>
          <cell r="BC11">
            <v>10308300</v>
          </cell>
        </row>
        <row r="12">
          <cell r="W12">
            <v>0</v>
          </cell>
          <cell r="X12">
            <v>125000000</v>
          </cell>
          <cell r="AC12">
            <v>150000000</v>
          </cell>
          <cell r="AD12">
            <v>70000000</v>
          </cell>
          <cell r="AI12">
            <v>450000000</v>
          </cell>
          <cell r="AJ12">
            <v>72000000</v>
          </cell>
          <cell r="AK12">
            <v>8000000</v>
          </cell>
          <cell r="AL12">
            <v>2000000</v>
          </cell>
          <cell r="AM12">
            <v>7000000</v>
          </cell>
          <cell r="AN12">
            <v>675000000</v>
          </cell>
          <cell r="AO12">
            <v>371067000</v>
          </cell>
          <cell r="AP12">
            <v>8000000</v>
          </cell>
          <cell r="AQ12">
            <v>12000000</v>
          </cell>
          <cell r="AR12">
            <v>10000000</v>
          </cell>
          <cell r="AS12">
            <v>150000000</v>
          </cell>
          <cell r="AT12">
            <v>200000000</v>
          </cell>
          <cell r="AU12">
            <v>75000000</v>
          </cell>
          <cell r="AV12">
            <v>8700000</v>
          </cell>
          <cell r="AW12">
            <v>5000000</v>
          </cell>
          <cell r="AX12">
            <v>20000000</v>
          </cell>
          <cell r="AY12">
            <v>230000000</v>
          </cell>
          <cell r="AZ12">
            <v>116776600</v>
          </cell>
          <cell r="BA12">
            <v>12000000</v>
          </cell>
          <cell r="BB12">
            <v>5000000</v>
          </cell>
          <cell r="BC12">
            <v>10308300</v>
          </cell>
        </row>
        <row r="13">
          <cell r="X13">
            <v>125000000</v>
          </cell>
          <cell r="AC13">
            <v>50000000</v>
          </cell>
          <cell r="AD13">
            <v>75000000</v>
          </cell>
          <cell r="AI13">
            <v>70000000</v>
          </cell>
          <cell r="AJ13">
            <v>72000000</v>
          </cell>
          <cell r="AK13">
            <v>8000000</v>
          </cell>
          <cell r="AL13">
            <v>2000000</v>
          </cell>
          <cell r="AM13">
            <v>7000000</v>
          </cell>
          <cell r="AN13">
            <v>1650000000</v>
          </cell>
          <cell r="AO13">
            <v>371067000</v>
          </cell>
          <cell r="AP13">
            <v>8000000</v>
          </cell>
          <cell r="AQ13">
            <v>12000000</v>
          </cell>
          <cell r="AR13">
            <v>10000000</v>
          </cell>
          <cell r="AS13">
            <v>0</v>
          </cell>
          <cell r="AT13">
            <v>200000000</v>
          </cell>
          <cell r="AU13">
            <v>75000000</v>
          </cell>
          <cell r="AV13">
            <v>8700000</v>
          </cell>
          <cell r="AW13">
            <v>5000000</v>
          </cell>
          <cell r="AX13">
            <v>20000000</v>
          </cell>
          <cell r="AY13">
            <v>230000000</v>
          </cell>
          <cell r="AZ13">
            <v>116776600</v>
          </cell>
          <cell r="BA13">
            <v>12000000</v>
          </cell>
          <cell r="BB13">
            <v>5000000</v>
          </cell>
          <cell r="BC13">
            <v>10308300</v>
          </cell>
        </row>
        <row r="14">
          <cell r="W14">
            <v>110592000</v>
          </cell>
          <cell r="X14">
            <v>125000000</v>
          </cell>
          <cell r="AC14">
            <v>300000000</v>
          </cell>
          <cell r="AD14">
            <v>0</v>
          </cell>
          <cell r="AI14">
            <v>100000000</v>
          </cell>
          <cell r="AJ14">
            <v>72000000</v>
          </cell>
          <cell r="AK14">
            <v>8000000</v>
          </cell>
          <cell r="AL14">
            <v>2000000</v>
          </cell>
          <cell r="AM14">
            <v>7000000</v>
          </cell>
          <cell r="AN14">
            <v>1150000000</v>
          </cell>
          <cell r="AO14">
            <v>371067000</v>
          </cell>
          <cell r="AP14">
            <v>8000000</v>
          </cell>
          <cell r="AQ14">
            <v>12000000</v>
          </cell>
          <cell r="AR14">
            <v>10000000</v>
          </cell>
          <cell r="AS14">
            <v>0</v>
          </cell>
          <cell r="AT14">
            <v>200000000</v>
          </cell>
          <cell r="AU14">
            <v>75000000</v>
          </cell>
          <cell r="AV14">
            <v>8700000</v>
          </cell>
          <cell r="AW14">
            <v>5000000</v>
          </cell>
          <cell r="AX14">
            <v>20000000</v>
          </cell>
          <cell r="AY14">
            <v>230000000</v>
          </cell>
          <cell r="AZ14">
            <v>116776600</v>
          </cell>
          <cell r="BA14">
            <v>12000000</v>
          </cell>
          <cell r="BB14">
            <v>5000000</v>
          </cell>
          <cell r="BC14">
            <v>10308300</v>
          </cell>
        </row>
        <row r="15">
          <cell r="X15">
            <v>125000000</v>
          </cell>
          <cell r="AC15">
            <v>0</v>
          </cell>
          <cell r="AD15">
            <v>0</v>
          </cell>
          <cell r="AI15">
            <v>100000000</v>
          </cell>
          <cell r="AJ15">
            <v>72000000</v>
          </cell>
          <cell r="AK15">
            <v>8000000</v>
          </cell>
          <cell r="AL15">
            <v>2000000</v>
          </cell>
          <cell r="AM15">
            <v>7000000</v>
          </cell>
          <cell r="AN15">
            <v>500000000</v>
          </cell>
          <cell r="AO15">
            <v>371067000</v>
          </cell>
          <cell r="AP15">
            <v>8000000</v>
          </cell>
          <cell r="AQ15">
            <v>12000000</v>
          </cell>
          <cell r="AR15">
            <v>10000000</v>
          </cell>
          <cell r="AS15">
            <v>0</v>
          </cell>
          <cell r="AT15">
            <v>200000000</v>
          </cell>
          <cell r="AU15">
            <v>75000000</v>
          </cell>
          <cell r="AV15">
            <v>8700000</v>
          </cell>
          <cell r="AW15">
            <v>5000000</v>
          </cell>
          <cell r="AX15">
            <v>20000000</v>
          </cell>
          <cell r="AY15">
            <v>230000000</v>
          </cell>
          <cell r="AZ15">
            <v>116776600</v>
          </cell>
          <cell r="BA15">
            <v>12000000</v>
          </cell>
          <cell r="BB15">
            <v>5000000</v>
          </cell>
          <cell r="BC15">
            <v>10308300</v>
          </cell>
        </row>
        <row r="16">
          <cell r="W16">
            <v>200000000</v>
          </cell>
          <cell r="X16">
            <v>125000000</v>
          </cell>
          <cell r="AC16">
            <v>50000000</v>
          </cell>
          <cell r="AD16">
            <v>0</v>
          </cell>
          <cell r="AI16">
            <v>150000000</v>
          </cell>
          <cell r="AJ16">
            <v>72000000</v>
          </cell>
          <cell r="AK16">
            <v>8000000</v>
          </cell>
          <cell r="AL16">
            <v>2000000</v>
          </cell>
          <cell r="AM16">
            <v>7000000</v>
          </cell>
          <cell r="AN16">
            <v>250000000</v>
          </cell>
          <cell r="AO16">
            <v>371067000</v>
          </cell>
          <cell r="AP16">
            <v>8000000</v>
          </cell>
          <cell r="AQ16">
            <v>12000000</v>
          </cell>
          <cell r="AR16">
            <v>10000000</v>
          </cell>
          <cell r="AS16">
            <v>150000000</v>
          </cell>
          <cell r="AT16">
            <v>200000000</v>
          </cell>
          <cell r="AU16">
            <v>75000000</v>
          </cell>
          <cell r="AV16">
            <v>8700000</v>
          </cell>
          <cell r="AW16">
            <v>5000000</v>
          </cell>
          <cell r="AX16">
            <v>20000000</v>
          </cell>
          <cell r="AY16">
            <v>230000000</v>
          </cell>
          <cell r="AZ16">
            <v>116776600</v>
          </cell>
          <cell r="BA16">
            <v>12000000</v>
          </cell>
          <cell r="BB16">
            <v>5000000</v>
          </cell>
          <cell r="BC16">
            <v>10308300</v>
          </cell>
        </row>
        <row r="17">
          <cell r="X17">
            <v>125000000</v>
          </cell>
          <cell r="AC17">
            <v>42000000</v>
          </cell>
          <cell r="AD17">
            <v>40000000</v>
          </cell>
          <cell r="AI17">
            <v>60000000</v>
          </cell>
          <cell r="AJ17">
            <v>72000000</v>
          </cell>
          <cell r="AK17">
            <v>8000000</v>
          </cell>
          <cell r="AL17">
            <v>2000000</v>
          </cell>
          <cell r="AM17">
            <v>7000000</v>
          </cell>
          <cell r="AN17">
            <v>310000000</v>
          </cell>
          <cell r="AO17">
            <v>371067000</v>
          </cell>
          <cell r="AP17">
            <v>8000000</v>
          </cell>
          <cell r="AQ17">
            <v>12000000</v>
          </cell>
          <cell r="AR17">
            <v>10000000</v>
          </cell>
          <cell r="AS17">
            <v>0</v>
          </cell>
          <cell r="AT17">
            <v>200000000</v>
          </cell>
          <cell r="AU17">
            <v>75000000</v>
          </cell>
          <cell r="AV17">
            <v>8700000</v>
          </cell>
          <cell r="AW17">
            <v>5000000</v>
          </cell>
          <cell r="AX17">
            <v>20000000</v>
          </cell>
          <cell r="AY17">
            <v>230000000</v>
          </cell>
          <cell r="AZ17">
            <v>116776600</v>
          </cell>
          <cell r="BA17">
            <v>12000000</v>
          </cell>
          <cell r="BB17">
            <v>5000000</v>
          </cell>
          <cell r="BC17">
            <v>10308300</v>
          </cell>
        </row>
        <row r="18">
          <cell r="W18">
            <v>50000000</v>
          </cell>
          <cell r="X18">
            <v>125000000</v>
          </cell>
          <cell r="AC18">
            <v>100000000</v>
          </cell>
          <cell r="AD18">
            <v>0</v>
          </cell>
          <cell r="AI18">
            <v>150000000</v>
          </cell>
          <cell r="AJ18">
            <v>72000000</v>
          </cell>
          <cell r="AK18">
            <v>8000000</v>
          </cell>
          <cell r="AL18">
            <v>2000000</v>
          </cell>
          <cell r="AM18">
            <v>7000000</v>
          </cell>
          <cell r="AN18">
            <v>750000000</v>
          </cell>
          <cell r="AO18">
            <v>371067000</v>
          </cell>
          <cell r="AP18">
            <v>8000000</v>
          </cell>
          <cell r="AQ18">
            <v>12000000</v>
          </cell>
          <cell r="AR18">
            <v>10000000</v>
          </cell>
          <cell r="AS18">
            <v>150000000</v>
          </cell>
          <cell r="AT18">
            <v>200000000</v>
          </cell>
          <cell r="AU18">
            <v>75000000</v>
          </cell>
          <cell r="AV18">
            <v>8700000</v>
          </cell>
          <cell r="AW18">
            <v>5000000</v>
          </cell>
          <cell r="AX18">
            <v>20000000</v>
          </cell>
          <cell r="AY18">
            <v>230000000</v>
          </cell>
          <cell r="AZ18">
            <v>116776600</v>
          </cell>
          <cell r="BA18">
            <v>12000000</v>
          </cell>
          <cell r="BB18">
            <v>5000000</v>
          </cell>
          <cell r="BC18">
            <v>10308300</v>
          </cell>
        </row>
        <row r="19">
          <cell r="W19">
            <v>0</v>
          </cell>
          <cell r="X19">
            <v>125000000</v>
          </cell>
          <cell r="AC19">
            <v>0</v>
          </cell>
          <cell r="AD19">
            <v>0</v>
          </cell>
          <cell r="AI19">
            <v>250000000</v>
          </cell>
          <cell r="AJ19">
            <v>72000000</v>
          </cell>
          <cell r="AK19">
            <v>8000000</v>
          </cell>
          <cell r="AL19">
            <v>2000000</v>
          </cell>
          <cell r="AM19">
            <v>7000000</v>
          </cell>
          <cell r="AN19">
            <v>500000000</v>
          </cell>
          <cell r="AO19">
            <v>371067000</v>
          </cell>
          <cell r="AP19">
            <v>8000000</v>
          </cell>
          <cell r="AQ19">
            <v>12000000</v>
          </cell>
          <cell r="AR19">
            <v>10000000</v>
          </cell>
          <cell r="AS19">
            <v>0</v>
          </cell>
          <cell r="AT19">
            <v>200000000</v>
          </cell>
          <cell r="AU19">
            <v>150000000</v>
          </cell>
          <cell r="AV19">
            <v>8700000</v>
          </cell>
          <cell r="AW19">
            <v>5000000</v>
          </cell>
          <cell r="AX19">
            <v>20000000</v>
          </cell>
          <cell r="AY19">
            <v>230000000</v>
          </cell>
          <cell r="AZ19">
            <v>116776600</v>
          </cell>
          <cell r="BA19">
            <v>12000000</v>
          </cell>
          <cell r="BB19">
            <v>5000000</v>
          </cell>
          <cell r="BC19">
            <v>10308300</v>
          </cell>
        </row>
        <row r="20">
          <cell r="X20">
            <v>125000000</v>
          </cell>
          <cell r="AC20">
            <v>0</v>
          </cell>
          <cell r="AD20">
            <v>0</v>
          </cell>
          <cell r="AI20">
            <v>200000000</v>
          </cell>
          <cell r="AJ20">
            <v>72000000</v>
          </cell>
          <cell r="AK20">
            <v>8000000</v>
          </cell>
          <cell r="AL20">
            <v>2000000</v>
          </cell>
          <cell r="AM20">
            <v>7000000</v>
          </cell>
          <cell r="AN20">
            <v>750000000</v>
          </cell>
          <cell r="AO20">
            <v>371067000</v>
          </cell>
          <cell r="AP20">
            <v>8000000</v>
          </cell>
          <cell r="AQ20">
            <v>12000000</v>
          </cell>
          <cell r="AR20">
            <v>10000000</v>
          </cell>
          <cell r="AS20">
            <v>0</v>
          </cell>
          <cell r="AT20">
            <v>200000000</v>
          </cell>
          <cell r="AU20">
            <v>75000000</v>
          </cell>
          <cell r="AV20">
            <v>8700000</v>
          </cell>
          <cell r="AW20">
            <v>5000000</v>
          </cell>
          <cell r="AX20">
            <v>20000000</v>
          </cell>
          <cell r="AY20">
            <v>230000000</v>
          </cell>
          <cell r="AZ20">
            <v>116776600</v>
          </cell>
          <cell r="BA20">
            <v>12000000</v>
          </cell>
          <cell r="BB20">
            <v>5000000</v>
          </cell>
          <cell r="BC20">
            <v>10308300</v>
          </cell>
        </row>
        <row r="21">
          <cell r="W21">
            <v>0</v>
          </cell>
          <cell r="X21">
            <v>125000000</v>
          </cell>
          <cell r="AC21">
            <v>0</v>
          </cell>
          <cell r="AD21">
            <v>0</v>
          </cell>
          <cell r="AI21">
            <v>200000000</v>
          </cell>
          <cell r="AJ21">
            <v>72000000</v>
          </cell>
          <cell r="AK21">
            <v>8000000</v>
          </cell>
          <cell r="AL21">
            <v>2000000</v>
          </cell>
          <cell r="AM21">
            <v>7000000</v>
          </cell>
          <cell r="AN21">
            <v>0</v>
          </cell>
          <cell r="AO21">
            <v>371067000</v>
          </cell>
          <cell r="AP21">
            <v>8000000</v>
          </cell>
          <cell r="AQ21">
            <v>12000000</v>
          </cell>
          <cell r="AR21">
            <v>10000000</v>
          </cell>
          <cell r="AS21">
            <v>150000000</v>
          </cell>
          <cell r="AT21">
            <v>200000000</v>
          </cell>
          <cell r="AU21">
            <v>75000000</v>
          </cell>
          <cell r="AV21">
            <v>8700000</v>
          </cell>
          <cell r="AW21">
            <v>5000000</v>
          </cell>
          <cell r="AX21">
            <v>20000000</v>
          </cell>
          <cell r="AY21">
            <v>230000000</v>
          </cell>
          <cell r="AZ21">
            <v>116776600</v>
          </cell>
          <cell r="BA21">
            <v>12000000</v>
          </cell>
          <cell r="BB21">
            <v>5000000</v>
          </cell>
          <cell r="BC21">
            <v>10308300</v>
          </cell>
        </row>
        <row r="22">
          <cell r="W22">
            <v>0</v>
          </cell>
          <cell r="X22">
            <v>125000000</v>
          </cell>
          <cell r="AC22">
            <v>0</v>
          </cell>
          <cell r="AD22">
            <v>0</v>
          </cell>
          <cell r="AI22">
            <v>150000000</v>
          </cell>
          <cell r="AJ22">
            <v>72000000</v>
          </cell>
          <cell r="AK22">
            <v>8000000</v>
          </cell>
          <cell r="AL22">
            <v>2000000</v>
          </cell>
          <cell r="AM22">
            <v>7000000</v>
          </cell>
          <cell r="AN22">
            <v>3000000000</v>
          </cell>
          <cell r="AO22">
            <v>371067000</v>
          </cell>
          <cell r="AP22">
            <v>8000000</v>
          </cell>
          <cell r="AQ22">
            <v>12000000</v>
          </cell>
          <cell r="AR22">
            <v>10000000</v>
          </cell>
          <cell r="AS22">
            <v>150000000</v>
          </cell>
          <cell r="AT22">
            <v>200000000</v>
          </cell>
          <cell r="AU22">
            <v>75000000</v>
          </cell>
          <cell r="AV22">
            <v>8700000</v>
          </cell>
          <cell r="AW22">
            <v>5000000</v>
          </cell>
          <cell r="AX22">
            <v>20000000</v>
          </cell>
          <cell r="AY22">
            <v>230000000</v>
          </cell>
          <cell r="AZ22">
            <v>116776600</v>
          </cell>
          <cell r="BA22">
            <v>12000000</v>
          </cell>
          <cell r="BB22">
            <v>5000000</v>
          </cell>
          <cell r="BC22">
            <v>10308300</v>
          </cell>
        </row>
        <row r="23">
          <cell r="W23">
            <v>0</v>
          </cell>
          <cell r="X23">
            <v>125000000</v>
          </cell>
          <cell r="AC23">
            <v>0</v>
          </cell>
          <cell r="AD23">
            <v>100000000</v>
          </cell>
          <cell r="AI23">
            <v>200000000</v>
          </cell>
          <cell r="AJ23">
            <v>72000000</v>
          </cell>
          <cell r="AK23">
            <v>8000000</v>
          </cell>
          <cell r="AL23">
            <v>2000000</v>
          </cell>
          <cell r="AM23">
            <v>7000000</v>
          </cell>
          <cell r="AN23">
            <v>0</v>
          </cell>
          <cell r="AO23">
            <v>371067000</v>
          </cell>
          <cell r="AP23">
            <v>8000000</v>
          </cell>
          <cell r="AQ23">
            <v>12000000</v>
          </cell>
          <cell r="AR23">
            <v>10000000</v>
          </cell>
          <cell r="AS23">
            <v>0</v>
          </cell>
          <cell r="AT23">
            <v>200000000</v>
          </cell>
          <cell r="AU23">
            <v>75000000</v>
          </cell>
          <cell r="AV23">
            <v>8700000</v>
          </cell>
          <cell r="AW23">
            <v>5000000</v>
          </cell>
          <cell r="AX23">
            <v>20000000</v>
          </cell>
          <cell r="AY23">
            <v>230000000</v>
          </cell>
          <cell r="AZ23">
            <v>116776600</v>
          </cell>
          <cell r="BA23">
            <v>12000000</v>
          </cell>
          <cell r="BB23">
            <v>5000000</v>
          </cell>
          <cell r="BC23">
            <v>10308300</v>
          </cell>
        </row>
        <row r="24">
          <cell r="W24">
            <v>42500000</v>
          </cell>
          <cell r="X24">
            <v>125000000</v>
          </cell>
          <cell r="AC24">
            <v>142000000</v>
          </cell>
          <cell r="AD24">
            <v>0</v>
          </cell>
          <cell r="AI24">
            <v>0</v>
          </cell>
          <cell r="AJ24">
            <v>72000000</v>
          </cell>
          <cell r="AK24">
            <v>8000000</v>
          </cell>
          <cell r="AL24">
            <v>2000000</v>
          </cell>
          <cell r="AM24">
            <v>7000000</v>
          </cell>
          <cell r="AN24">
            <v>0</v>
          </cell>
          <cell r="AO24">
            <v>371067000</v>
          </cell>
          <cell r="AP24">
            <v>8000000</v>
          </cell>
          <cell r="AQ24">
            <v>12000000</v>
          </cell>
          <cell r="AR24">
            <v>10000000</v>
          </cell>
          <cell r="AS24">
            <v>150000000</v>
          </cell>
          <cell r="AT24">
            <v>200000000</v>
          </cell>
          <cell r="AU24">
            <v>75000000</v>
          </cell>
          <cell r="AV24">
            <v>8700000</v>
          </cell>
          <cell r="AW24">
            <v>5000000</v>
          </cell>
          <cell r="AX24">
            <v>20000000</v>
          </cell>
          <cell r="AY24">
            <v>230000000</v>
          </cell>
          <cell r="AZ24">
            <v>116776600</v>
          </cell>
          <cell r="BA24">
            <v>12000000</v>
          </cell>
          <cell r="BB24">
            <v>5000000</v>
          </cell>
          <cell r="BC24">
            <v>10308300</v>
          </cell>
        </row>
        <row r="25">
          <cell r="W25">
            <v>100000000</v>
          </cell>
          <cell r="X25">
            <v>125000000</v>
          </cell>
          <cell r="AC25">
            <v>600000000</v>
          </cell>
          <cell r="AD25">
            <v>100000000</v>
          </cell>
          <cell r="AI25">
            <v>230000000</v>
          </cell>
          <cell r="AJ25">
            <v>72000000</v>
          </cell>
          <cell r="AK25">
            <v>8000000</v>
          </cell>
          <cell r="AL25">
            <v>2000000</v>
          </cell>
          <cell r="AM25">
            <v>7000000</v>
          </cell>
          <cell r="AN25">
            <v>1000000000</v>
          </cell>
          <cell r="AO25">
            <v>371067000</v>
          </cell>
          <cell r="AP25">
            <v>8000000</v>
          </cell>
          <cell r="AQ25">
            <v>12000000</v>
          </cell>
          <cell r="AR25">
            <v>10000000</v>
          </cell>
          <cell r="AS25">
            <v>0</v>
          </cell>
          <cell r="AT25">
            <v>200000000</v>
          </cell>
          <cell r="AU25">
            <v>75000000</v>
          </cell>
          <cell r="AV25">
            <v>8700000</v>
          </cell>
          <cell r="AW25">
            <v>5000000</v>
          </cell>
          <cell r="AX25">
            <v>20000000</v>
          </cell>
          <cell r="AY25">
            <v>230000000</v>
          </cell>
          <cell r="AZ25">
            <v>116776600</v>
          </cell>
          <cell r="BA25">
            <v>12000000</v>
          </cell>
          <cell r="BB25">
            <v>5000000</v>
          </cell>
          <cell r="BC25">
            <v>10308300</v>
          </cell>
        </row>
        <row r="26">
          <cell r="W26">
            <v>150000000</v>
          </cell>
          <cell r="X26">
            <v>125000000</v>
          </cell>
          <cell r="AC26">
            <v>100000000</v>
          </cell>
          <cell r="AD26">
            <v>0</v>
          </cell>
          <cell r="AI26">
            <v>600000000</v>
          </cell>
          <cell r="AJ26">
            <v>72000000</v>
          </cell>
          <cell r="AK26">
            <v>8000000</v>
          </cell>
          <cell r="AL26">
            <v>2000000</v>
          </cell>
          <cell r="AM26">
            <v>7000000</v>
          </cell>
          <cell r="AN26">
            <v>1550000000</v>
          </cell>
          <cell r="AO26">
            <v>371067000</v>
          </cell>
          <cell r="AP26">
            <v>8000000</v>
          </cell>
          <cell r="AQ26">
            <v>12000000</v>
          </cell>
          <cell r="AR26">
            <v>10000000</v>
          </cell>
          <cell r="AS26">
            <v>0</v>
          </cell>
          <cell r="AT26">
            <v>200000000</v>
          </cell>
          <cell r="AU26">
            <v>75000000</v>
          </cell>
          <cell r="AV26">
            <v>8700000</v>
          </cell>
          <cell r="AW26">
            <v>5000000</v>
          </cell>
          <cell r="AX26">
            <v>20000000</v>
          </cell>
          <cell r="AY26">
            <v>230000000</v>
          </cell>
          <cell r="AZ26">
            <v>116776600</v>
          </cell>
          <cell r="BA26">
            <v>12000000</v>
          </cell>
          <cell r="BB26">
            <v>5000000</v>
          </cell>
          <cell r="BC26">
            <v>10308300</v>
          </cell>
        </row>
        <row r="27">
          <cell r="W27">
            <v>0</v>
          </cell>
          <cell r="X27">
            <v>125000000</v>
          </cell>
          <cell r="AC27">
            <v>0</v>
          </cell>
          <cell r="AD27">
            <v>0</v>
          </cell>
          <cell r="AI27">
            <v>68200000</v>
          </cell>
          <cell r="AJ27">
            <v>72000000</v>
          </cell>
          <cell r="AK27">
            <v>8000000</v>
          </cell>
          <cell r="AL27">
            <v>2000000</v>
          </cell>
          <cell r="AM27">
            <v>7000000</v>
          </cell>
          <cell r="AN27">
            <v>144200000</v>
          </cell>
          <cell r="AO27">
            <v>371067000</v>
          </cell>
          <cell r="AP27">
            <v>8000000</v>
          </cell>
          <cell r="AQ27">
            <v>12000000</v>
          </cell>
          <cell r="AR27">
            <v>10000000</v>
          </cell>
          <cell r="AS27">
            <v>0</v>
          </cell>
          <cell r="AT27">
            <v>200000000</v>
          </cell>
          <cell r="AU27">
            <v>75000000</v>
          </cell>
          <cell r="AV27">
            <v>8700000</v>
          </cell>
          <cell r="AW27">
            <v>5000000</v>
          </cell>
          <cell r="AX27">
            <v>20000000</v>
          </cell>
          <cell r="AY27">
            <v>230000000</v>
          </cell>
          <cell r="AZ27">
            <v>116776600</v>
          </cell>
          <cell r="BA27">
            <v>12000000</v>
          </cell>
          <cell r="BB27">
            <v>5000000</v>
          </cell>
          <cell r="BC27">
            <v>10308300</v>
          </cell>
        </row>
        <row r="28">
          <cell r="W28">
            <v>0</v>
          </cell>
          <cell r="X28">
            <v>125000000</v>
          </cell>
          <cell r="AC28">
            <v>0</v>
          </cell>
          <cell r="AD28">
            <v>200000000</v>
          </cell>
          <cell r="AI28">
            <v>200000000</v>
          </cell>
          <cell r="AJ28">
            <v>72000000</v>
          </cell>
          <cell r="AK28">
            <v>8000000</v>
          </cell>
          <cell r="AL28">
            <v>2000000</v>
          </cell>
          <cell r="AM28">
            <v>7000000</v>
          </cell>
          <cell r="AN28">
            <v>1650000000</v>
          </cell>
          <cell r="AO28">
            <v>371067000</v>
          </cell>
          <cell r="AP28">
            <v>8000000</v>
          </cell>
          <cell r="AQ28">
            <v>12000000</v>
          </cell>
          <cell r="AR28">
            <v>10000000</v>
          </cell>
          <cell r="AS28">
            <v>0</v>
          </cell>
          <cell r="AT28">
            <v>200000000</v>
          </cell>
          <cell r="AU28">
            <v>75000000</v>
          </cell>
          <cell r="AV28">
            <v>8700000</v>
          </cell>
          <cell r="AW28">
            <v>5000000</v>
          </cell>
          <cell r="AX28">
            <v>20000000</v>
          </cell>
          <cell r="AY28">
            <v>230000000</v>
          </cell>
          <cell r="AZ28">
            <v>116776600</v>
          </cell>
          <cell r="BA28">
            <v>12000000</v>
          </cell>
          <cell r="BB28">
            <v>5000000</v>
          </cell>
          <cell r="BC28">
            <v>10308300</v>
          </cell>
        </row>
        <row r="29">
          <cell r="W29">
            <v>0</v>
          </cell>
          <cell r="X29">
            <v>125000000</v>
          </cell>
          <cell r="AC29">
            <v>0</v>
          </cell>
          <cell r="AD29">
            <v>0</v>
          </cell>
          <cell r="AI29">
            <v>130000000</v>
          </cell>
          <cell r="AJ29">
            <v>72000000</v>
          </cell>
          <cell r="AK29">
            <v>8000000</v>
          </cell>
          <cell r="AL29">
            <v>2000000</v>
          </cell>
          <cell r="AM29">
            <v>7000000</v>
          </cell>
          <cell r="AN29">
            <v>800000000</v>
          </cell>
          <cell r="AO29">
            <v>371067000</v>
          </cell>
          <cell r="AP29">
            <v>8000000</v>
          </cell>
          <cell r="AQ29">
            <v>12000000</v>
          </cell>
          <cell r="AR29">
            <v>10000000</v>
          </cell>
          <cell r="AS29">
            <v>0</v>
          </cell>
          <cell r="AT29">
            <v>200000000</v>
          </cell>
          <cell r="AU29">
            <v>75000000</v>
          </cell>
          <cell r="AV29">
            <v>8700000</v>
          </cell>
          <cell r="AW29">
            <v>5000000</v>
          </cell>
          <cell r="AX29">
            <v>20000000</v>
          </cell>
          <cell r="AY29">
            <v>230000000</v>
          </cell>
          <cell r="AZ29">
            <v>116776600</v>
          </cell>
          <cell r="BA29">
            <v>12000000</v>
          </cell>
          <cell r="BB29">
            <v>5000000</v>
          </cell>
          <cell r="BC29">
            <v>10308300</v>
          </cell>
        </row>
        <row r="30">
          <cell r="W30">
            <v>51000000</v>
          </cell>
          <cell r="X30">
            <v>125000000</v>
          </cell>
          <cell r="AC30">
            <v>0</v>
          </cell>
          <cell r="AD30">
            <v>0</v>
          </cell>
          <cell r="AI30">
            <v>100000000</v>
          </cell>
          <cell r="AJ30">
            <v>72000000</v>
          </cell>
          <cell r="AK30">
            <v>8000000</v>
          </cell>
          <cell r="AL30">
            <v>2000000</v>
          </cell>
          <cell r="AM30">
            <v>7000000</v>
          </cell>
          <cell r="AN30">
            <v>150000000</v>
          </cell>
          <cell r="AO30">
            <v>371067000</v>
          </cell>
          <cell r="AP30">
            <v>8000000</v>
          </cell>
          <cell r="AQ30">
            <v>12000000</v>
          </cell>
          <cell r="AR30">
            <v>10000000</v>
          </cell>
          <cell r="AS30">
            <v>0</v>
          </cell>
          <cell r="AT30">
            <v>200000000</v>
          </cell>
          <cell r="AU30">
            <v>75000000</v>
          </cell>
          <cell r="AV30">
            <v>8700000</v>
          </cell>
          <cell r="AW30">
            <v>5000000</v>
          </cell>
          <cell r="AX30">
            <v>20000000</v>
          </cell>
          <cell r="AY30">
            <v>230000000</v>
          </cell>
          <cell r="AZ30">
            <v>116776600</v>
          </cell>
          <cell r="BA30">
            <v>12000000</v>
          </cell>
          <cell r="BB30">
            <v>5000000</v>
          </cell>
          <cell r="BC30">
            <v>10308300</v>
          </cell>
        </row>
        <row r="31">
          <cell r="W31">
            <v>750000000</v>
          </cell>
          <cell r="X31">
            <v>125000000</v>
          </cell>
          <cell r="AC31">
            <v>117000000</v>
          </cell>
          <cell r="AD31">
            <v>341600000</v>
          </cell>
          <cell r="AI31">
            <v>260000000</v>
          </cell>
          <cell r="AJ31">
            <v>72000000</v>
          </cell>
          <cell r="AK31">
            <v>8000000</v>
          </cell>
          <cell r="AL31">
            <v>2000000</v>
          </cell>
          <cell r="AM31">
            <v>7000000</v>
          </cell>
          <cell r="AN31">
            <v>3000000000</v>
          </cell>
          <cell r="AO31">
            <v>371067000</v>
          </cell>
          <cell r="AP31">
            <v>8000000</v>
          </cell>
          <cell r="AQ31">
            <v>12000000</v>
          </cell>
          <cell r="AR31">
            <v>10000000</v>
          </cell>
          <cell r="AS31">
            <v>0</v>
          </cell>
          <cell r="AT31">
            <v>200000000</v>
          </cell>
          <cell r="AU31">
            <v>75000000</v>
          </cell>
          <cell r="AV31">
            <v>8700000</v>
          </cell>
          <cell r="AW31">
            <v>5000000</v>
          </cell>
          <cell r="AX31">
            <v>20000000</v>
          </cell>
          <cell r="AY31">
            <v>230000000</v>
          </cell>
          <cell r="AZ31">
            <v>116776600</v>
          </cell>
          <cell r="BA31">
            <v>12000000</v>
          </cell>
          <cell r="BB31">
            <v>5000000</v>
          </cell>
          <cell r="BC31">
            <v>10308300</v>
          </cell>
        </row>
        <row r="32">
          <cell r="W32">
            <v>100000000</v>
          </cell>
          <cell r="X32">
            <v>0</v>
          </cell>
          <cell r="AC32">
            <v>100000000</v>
          </cell>
          <cell r="AD32">
            <v>150000000</v>
          </cell>
          <cell r="AI32">
            <v>200000000</v>
          </cell>
          <cell r="AJ32">
            <v>0</v>
          </cell>
          <cell r="AN32">
            <v>1750000000</v>
          </cell>
          <cell r="AO32">
            <v>371067000</v>
          </cell>
          <cell r="AP32">
            <v>8000000</v>
          </cell>
          <cell r="AQ32">
            <v>12000000</v>
          </cell>
          <cell r="AR32">
            <v>10000000</v>
          </cell>
          <cell r="AS32">
            <v>0</v>
          </cell>
          <cell r="AU32">
            <v>75000000</v>
          </cell>
          <cell r="AY32">
            <v>230000000</v>
          </cell>
          <cell r="AZ32">
            <v>116776600</v>
          </cell>
          <cell r="BA32">
            <v>12000000</v>
          </cell>
          <cell r="BB32">
            <v>5000000</v>
          </cell>
          <cell r="BC32">
            <v>10308300</v>
          </cell>
        </row>
        <row r="33">
          <cell r="W33">
            <v>207500000</v>
          </cell>
          <cell r="X33">
            <v>125000000</v>
          </cell>
          <cell r="AC33">
            <v>300000000</v>
          </cell>
          <cell r="AD33">
            <v>0</v>
          </cell>
          <cell r="AI33">
            <v>250000000</v>
          </cell>
          <cell r="AJ33">
            <v>72000000</v>
          </cell>
          <cell r="AK33">
            <v>8000000</v>
          </cell>
          <cell r="AL33">
            <v>2000000</v>
          </cell>
          <cell r="AM33">
            <v>7000000</v>
          </cell>
          <cell r="AN33">
            <v>2550000000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150000000</v>
          </cell>
          <cell r="AT33">
            <v>200000000</v>
          </cell>
          <cell r="AU33">
            <v>75000000</v>
          </cell>
          <cell r="AV33">
            <v>8700000</v>
          </cell>
          <cell r="AW33">
            <v>5000000</v>
          </cell>
          <cell r="AX33">
            <v>20000000</v>
          </cell>
          <cell r="AZ33">
            <v>116776600</v>
          </cell>
        </row>
        <row r="34">
          <cell r="W34">
            <v>100000000</v>
          </cell>
          <cell r="X34">
            <v>0</v>
          </cell>
          <cell r="AC34">
            <v>0</v>
          </cell>
          <cell r="AD34">
            <v>0</v>
          </cell>
          <cell r="AI34">
            <v>0</v>
          </cell>
          <cell r="AJ34">
            <v>72000000</v>
          </cell>
          <cell r="AK34">
            <v>8000000</v>
          </cell>
          <cell r="AL34">
            <v>2000000</v>
          </cell>
          <cell r="AM34">
            <v>7000000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U34">
            <v>75000000</v>
          </cell>
          <cell r="AY34">
            <v>230000000</v>
          </cell>
          <cell r="AZ34">
            <v>116776600</v>
          </cell>
          <cell r="BA34">
            <v>12000000</v>
          </cell>
          <cell r="BB34">
            <v>5000000</v>
          </cell>
          <cell r="BC34">
            <v>10308300</v>
          </cell>
        </row>
        <row r="35">
          <cell r="W35">
            <v>100000000</v>
          </cell>
          <cell r="X35">
            <v>125000000</v>
          </cell>
          <cell r="AC35">
            <v>400000000</v>
          </cell>
          <cell r="AD35">
            <v>0</v>
          </cell>
          <cell r="AI35">
            <v>250000000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950000000</v>
          </cell>
          <cell r="AO35">
            <v>371067000</v>
          </cell>
          <cell r="AP35">
            <v>8000000</v>
          </cell>
          <cell r="AQ35">
            <v>12000000</v>
          </cell>
          <cell r="AR35">
            <v>10000000</v>
          </cell>
          <cell r="AS35">
            <v>0</v>
          </cell>
          <cell r="AU35">
            <v>75000000</v>
          </cell>
          <cell r="AZ35">
            <v>116776600</v>
          </cell>
        </row>
        <row r="36">
          <cell r="W36">
            <v>550000000</v>
          </cell>
          <cell r="X36">
            <v>0</v>
          </cell>
          <cell r="AC36">
            <v>0</v>
          </cell>
          <cell r="AD36">
            <v>200000000</v>
          </cell>
          <cell r="AI36">
            <v>200000000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500000000</v>
          </cell>
          <cell r="AO36">
            <v>0</v>
          </cell>
          <cell r="AS36">
            <v>150000000</v>
          </cell>
          <cell r="AT36">
            <v>200000000</v>
          </cell>
          <cell r="AU36">
            <v>75000000</v>
          </cell>
          <cell r="AV36">
            <v>8700000</v>
          </cell>
          <cell r="AW36">
            <v>5000000</v>
          </cell>
          <cell r="AX36">
            <v>20000000</v>
          </cell>
          <cell r="AZ36">
            <v>116776600</v>
          </cell>
        </row>
        <row r="37">
          <cell r="W37">
            <v>0</v>
          </cell>
          <cell r="X37">
            <v>0</v>
          </cell>
          <cell r="AC37">
            <v>0</v>
          </cell>
          <cell r="AD37">
            <v>0</v>
          </cell>
          <cell r="AI37">
            <v>100000000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371067000</v>
          </cell>
          <cell r="AP37">
            <v>8000000</v>
          </cell>
          <cell r="AQ37">
            <v>12000000</v>
          </cell>
          <cell r="AR37">
            <v>10000000</v>
          </cell>
          <cell r="AS37">
            <v>0</v>
          </cell>
          <cell r="AU37">
            <v>75000000</v>
          </cell>
          <cell r="AZ37">
            <v>116776600</v>
          </cell>
        </row>
        <row r="38">
          <cell r="W38">
            <v>50000000</v>
          </cell>
          <cell r="X38">
            <v>125000000</v>
          </cell>
          <cell r="AC38">
            <v>0</v>
          </cell>
          <cell r="AD38">
            <v>100000000</v>
          </cell>
          <cell r="AI38">
            <v>45000000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2100000000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200000000</v>
          </cell>
          <cell r="AU38">
            <v>75000000</v>
          </cell>
          <cell r="AV38">
            <v>8700000</v>
          </cell>
          <cell r="AW38">
            <v>5000000</v>
          </cell>
          <cell r="AX38">
            <v>20000000</v>
          </cell>
          <cell r="AZ38">
            <v>116776600</v>
          </cell>
        </row>
        <row r="39">
          <cell r="W39">
            <v>160000000</v>
          </cell>
          <cell r="X39">
            <v>0</v>
          </cell>
          <cell r="AC39">
            <v>1000000000</v>
          </cell>
          <cell r="AD39">
            <v>100000000</v>
          </cell>
          <cell r="AI39">
            <v>100000000</v>
          </cell>
          <cell r="AJ39">
            <v>72000000</v>
          </cell>
          <cell r="AK39">
            <v>8000000</v>
          </cell>
          <cell r="AL39">
            <v>2000000</v>
          </cell>
          <cell r="AM39">
            <v>7000000</v>
          </cell>
          <cell r="AN39">
            <v>450000000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200000000</v>
          </cell>
          <cell r="AU39">
            <v>75000000</v>
          </cell>
          <cell r="AV39">
            <v>8700000</v>
          </cell>
          <cell r="AW39">
            <v>5000000</v>
          </cell>
          <cell r="AX39">
            <v>20000000</v>
          </cell>
          <cell r="AZ39">
            <v>116776600</v>
          </cell>
        </row>
        <row r="40">
          <cell r="W40">
            <v>0</v>
          </cell>
          <cell r="X40">
            <v>125000000</v>
          </cell>
          <cell r="AC40">
            <v>0</v>
          </cell>
          <cell r="AD40">
            <v>0</v>
          </cell>
          <cell r="AI40">
            <v>100000000</v>
          </cell>
          <cell r="AJ40">
            <v>72000000</v>
          </cell>
          <cell r="AK40">
            <v>8000000</v>
          </cell>
          <cell r="AL40">
            <v>2000000</v>
          </cell>
          <cell r="AM40">
            <v>7000000</v>
          </cell>
          <cell r="AN40">
            <v>100000000</v>
          </cell>
          <cell r="AO40">
            <v>371067000</v>
          </cell>
          <cell r="AP40">
            <v>8000000</v>
          </cell>
          <cell r="AQ40">
            <v>12000000</v>
          </cell>
          <cell r="AR40">
            <v>10000000</v>
          </cell>
          <cell r="AS40">
            <v>0</v>
          </cell>
          <cell r="AT40">
            <v>200000000</v>
          </cell>
          <cell r="AU40">
            <v>75000000</v>
          </cell>
          <cell r="AV40">
            <v>8700000</v>
          </cell>
          <cell r="AW40">
            <v>5000000</v>
          </cell>
          <cell r="AX40">
            <v>20000000</v>
          </cell>
          <cell r="AY40">
            <v>230000000</v>
          </cell>
          <cell r="AZ40">
            <v>116776600</v>
          </cell>
          <cell r="BA40">
            <v>12000000</v>
          </cell>
          <cell r="BB40">
            <v>5000000</v>
          </cell>
          <cell r="BC40">
            <v>10308300</v>
          </cell>
        </row>
        <row r="41">
          <cell r="X41">
            <v>125000000</v>
          </cell>
          <cell r="AC41">
            <v>250000000.00000003</v>
          </cell>
          <cell r="AD41">
            <v>100000000</v>
          </cell>
          <cell r="AI41">
            <v>580000000</v>
          </cell>
          <cell r="AJ41">
            <v>72000000</v>
          </cell>
          <cell r="AK41">
            <v>8000000</v>
          </cell>
          <cell r="AL41">
            <v>2000000</v>
          </cell>
          <cell r="AM41">
            <v>7000000</v>
          </cell>
          <cell r="AN41">
            <v>1150000000</v>
          </cell>
          <cell r="AO41">
            <v>371067000</v>
          </cell>
          <cell r="AP41">
            <v>8000000</v>
          </cell>
          <cell r="AQ41">
            <v>12000000</v>
          </cell>
          <cell r="AR41">
            <v>10000000</v>
          </cell>
          <cell r="AS41">
            <v>0</v>
          </cell>
          <cell r="AT41">
            <v>200000000</v>
          </cell>
          <cell r="AU41">
            <v>75000000</v>
          </cell>
          <cell r="AV41">
            <v>8700000</v>
          </cell>
          <cell r="AW41">
            <v>5000000</v>
          </cell>
          <cell r="AX41">
            <v>20000000</v>
          </cell>
          <cell r="AY41">
            <v>230000000</v>
          </cell>
          <cell r="AZ41">
            <v>116776600</v>
          </cell>
          <cell r="BA41">
            <v>12000000</v>
          </cell>
          <cell r="BB41">
            <v>5000000</v>
          </cell>
          <cell r="BC41">
            <v>10308300</v>
          </cell>
        </row>
        <row r="42">
          <cell r="W42">
            <v>30000000</v>
          </cell>
          <cell r="X42">
            <v>125000000</v>
          </cell>
          <cell r="AC42">
            <v>0</v>
          </cell>
          <cell r="AD42">
            <v>10000000</v>
          </cell>
          <cell r="AI42">
            <v>10000000</v>
          </cell>
          <cell r="AJ42">
            <v>72000000</v>
          </cell>
          <cell r="AK42">
            <v>8000000</v>
          </cell>
          <cell r="AL42">
            <v>2000000</v>
          </cell>
          <cell r="AM42">
            <v>7000000</v>
          </cell>
          <cell r="AN42">
            <v>1000000000</v>
          </cell>
          <cell r="AO42">
            <v>371067000</v>
          </cell>
          <cell r="AP42">
            <v>8000000</v>
          </cell>
          <cell r="AQ42">
            <v>12000000</v>
          </cell>
          <cell r="AR42">
            <v>10000000</v>
          </cell>
          <cell r="AS42">
            <v>0</v>
          </cell>
          <cell r="AT42">
            <v>200000000</v>
          </cell>
          <cell r="AU42">
            <v>75000000</v>
          </cell>
          <cell r="AV42">
            <v>8700000</v>
          </cell>
          <cell r="AW42">
            <v>5000000</v>
          </cell>
          <cell r="AX42">
            <v>20000000</v>
          </cell>
          <cell r="AY42">
            <v>230000000</v>
          </cell>
          <cell r="AZ42">
            <v>116776600</v>
          </cell>
          <cell r="BA42">
            <v>12000000</v>
          </cell>
          <cell r="BB42">
            <v>5000000</v>
          </cell>
          <cell r="BC42">
            <v>10308300</v>
          </cell>
        </row>
        <row r="43">
          <cell r="W43">
            <v>235000000</v>
          </cell>
          <cell r="X43">
            <v>125000000</v>
          </cell>
          <cell r="AC43">
            <v>500000000</v>
          </cell>
          <cell r="AD43">
            <v>630000000</v>
          </cell>
          <cell r="AI43">
            <v>600000000</v>
          </cell>
          <cell r="AJ43">
            <v>72000000</v>
          </cell>
          <cell r="AK43">
            <v>8000000</v>
          </cell>
          <cell r="AL43">
            <v>2000000</v>
          </cell>
          <cell r="AM43">
            <v>7000000</v>
          </cell>
          <cell r="AN43">
            <v>310000000</v>
          </cell>
          <cell r="AO43">
            <v>371067000</v>
          </cell>
          <cell r="AP43">
            <v>8000000</v>
          </cell>
          <cell r="AQ43">
            <v>12000000</v>
          </cell>
          <cell r="AR43">
            <v>10000000</v>
          </cell>
          <cell r="AS43">
            <v>0</v>
          </cell>
          <cell r="AT43">
            <v>200000000</v>
          </cell>
          <cell r="AU43">
            <v>75000000</v>
          </cell>
          <cell r="AV43">
            <v>8700000</v>
          </cell>
          <cell r="AW43">
            <v>5000000</v>
          </cell>
          <cell r="AX43">
            <v>20000000</v>
          </cell>
          <cell r="AY43">
            <v>230000000</v>
          </cell>
          <cell r="AZ43">
            <v>116776600</v>
          </cell>
          <cell r="BA43">
            <v>12000000</v>
          </cell>
          <cell r="BB43">
            <v>5000000</v>
          </cell>
          <cell r="BC43">
            <v>10308300</v>
          </cell>
        </row>
        <row r="44">
          <cell r="W44">
            <v>0</v>
          </cell>
          <cell r="X44">
            <v>125000000</v>
          </cell>
          <cell r="AC44">
            <v>50000000</v>
          </cell>
          <cell r="AD44">
            <v>30000000</v>
          </cell>
          <cell r="AI44">
            <v>30000000</v>
          </cell>
          <cell r="AJ44">
            <v>72000000</v>
          </cell>
          <cell r="AK44">
            <v>8000000</v>
          </cell>
          <cell r="AL44">
            <v>2000000</v>
          </cell>
          <cell r="AM44">
            <v>7000000</v>
          </cell>
          <cell r="AN44">
            <v>1000000000</v>
          </cell>
          <cell r="AO44">
            <v>371067000</v>
          </cell>
          <cell r="AP44">
            <v>8000000</v>
          </cell>
          <cell r="AQ44">
            <v>12000000</v>
          </cell>
          <cell r="AR44">
            <v>10000000</v>
          </cell>
          <cell r="AS44">
            <v>0</v>
          </cell>
          <cell r="AT44">
            <v>200000000</v>
          </cell>
          <cell r="AU44">
            <v>75000000</v>
          </cell>
          <cell r="AV44">
            <v>8700000</v>
          </cell>
          <cell r="AW44">
            <v>5000000</v>
          </cell>
          <cell r="AX44">
            <v>20000000</v>
          </cell>
          <cell r="AY44">
            <v>230000000</v>
          </cell>
          <cell r="AZ44">
            <v>116776600</v>
          </cell>
          <cell r="BA44">
            <v>12000000</v>
          </cell>
          <cell r="BB44">
            <v>5000000</v>
          </cell>
          <cell r="BC44">
            <v>10308300</v>
          </cell>
        </row>
        <row r="45">
          <cell r="W45">
            <v>0</v>
          </cell>
          <cell r="X45">
            <v>125000000</v>
          </cell>
          <cell r="AC45">
            <v>470000000</v>
          </cell>
          <cell r="AD45">
            <v>300000000</v>
          </cell>
          <cell r="AI45">
            <v>91600000</v>
          </cell>
          <cell r="AJ45">
            <v>72000000</v>
          </cell>
          <cell r="AK45">
            <v>8000000</v>
          </cell>
          <cell r="AL45">
            <v>2000000</v>
          </cell>
          <cell r="AM45">
            <v>7000000</v>
          </cell>
          <cell r="AN45">
            <v>1850000000</v>
          </cell>
          <cell r="AO45">
            <v>371067000</v>
          </cell>
          <cell r="AP45">
            <v>8000000</v>
          </cell>
          <cell r="AQ45">
            <v>12000000</v>
          </cell>
          <cell r="AR45">
            <v>10000000</v>
          </cell>
          <cell r="AS45">
            <v>150000000</v>
          </cell>
          <cell r="AT45">
            <v>200000000</v>
          </cell>
          <cell r="AU45">
            <v>75000000</v>
          </cell>
          <cell r="AV45">
            <v>8700000</v>
          </cell>
          <cell r="AW45">
            <v>5000000</v>
          </cell>
          <cell r="AX45">
            <v>20000000</v>
          </cell>
          <cell r="AY45">
            <v>230000000</v>
          </cell>
          <cell r="AZ45">
            <v>116776600</v>
          </cell>
          <cell r="BA45">
            <v>12000000</v>
          </cell>
          <cell r="BB45">
            <v>5000000</v>
          </cell>
          <cell r="BC45">
            <v>10308300</v>
          </cell>
        </row>
        <row r="46">
          <cell r="W46">
            <v>50000000</v>
          </cell>
          <cell r="X46">
            <v>125000000</v>
          </cell>
          <cell r="AC46">
            <v>0</v>
          </cell>
          <cell r="AD46">
            <v>0</v>
          </cell>
          <cell r="AI46">
            <v>200000000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1450000000</v>
          </cell>
          <cell r="AO46">
            <v>371067000</v>
          </cell>
          <cell r="AP46">
            <v>8000000</v>
          </cell>
          <cell r="AQ46">
            <v>12000000</v>
          </cell>
          <cell r="AR46">
            <v>10000000</v>
          </cell>
          <cell r="AS46">
            <v>0</v>
          </cell>
          <cell r="AU46">
            <v>75000000</v>
          </cell>
          <cell r="AY46">
            <v>230000000</v>
          </cell>
          <cell r="AZ46">
            <v>116776600</v>
          </cell>
          <cell r="BA46">
            <v>12000000</v>
          </cell>
          <cell r="BB46">
            <v>5000000</v>
          </cell>
          <cell r="BC46">
            <v>10308300</v>
          </cell>
        </row>
        <row r="47">
          <cell r="W47">
            <v>0</v>
          </cell>
          <cell r="X47">
            <v>125000000</v>
          </cell>
          <cell r="AC47">
            <v>0</v>
          </cell>
          <cell r="AD47">
            <v>0</v>
          </cell>
          <cell r="AI47">
            <v>100000000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250000000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200000000</v>
          </cell>
          <cell r="AU47">
            <v>75000000</v>
          </cell>
          <cell r="AV47">
            <v>8700000</v>
          </cell>
          <cell r="AW47">
            <v>5000000</v>
          </cell>
          <cell r="AX47">
            <v>20000000</v>
          </cell>
          <cell r="AZ47">
            <v>116776600</v>
          </cell>
        </row>
        <row r="48">
          <cell r="W48">
            <v>0</v>
          </cell>
          <cell r="X48">
            <v>0</v>
          </cell>
          <cell r="AC48">
            <v>0</v>
          </cell>
          <cell r="AD48">
            <v>0</v>
          </cell>
          <cell r="AI48">
            <v>300000000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350000000</v>
          </cell>
          <cell r="AO48">
            <v>371067000</v>
          </cell>
          <cell r="AP48">
            <v>8000000</v>
          </cell>
          <cell r="AQ48">
            <v>12000000</v>
          </cell>
          <cell r="AR48">
            <v>10000000</v>
          </cell>
          <cell r="AS48">
            <v>150000000</v>
          </cell>
          <cell r="AU48">
            <v>75000000</v>
          </cell>
          <cell r="AZ48">
            <v>116776600</v>
          </cell>
        </row>
        <row r="49">
          <cell r="W49">
            <v>0</v>
          </cell>
          <cell r="X49">
            <v>0</v>
          </cell>
          <cell r="AC49">
            <v>100000000</v>
          </cell>
          <cell r="AD49">
            <v>0</v>
          </cell>
          <cell r="AI49">
            <v>300000000</v>
          </cell>
          <cell r="AJ49">
            <v>72000000</v>
          </cell>
          <cell r="AK49">
            <v>8000000</v>
          </cell>
          <cell r="AL49">
            <v>2000000</v>
          </cell>
          <cell r="AM49">
            <v>7000000</v>
          </cell>
          <cell r="AN49">
            <v>350000000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U49">
            <v>75000000</v>
          </cell>
          <cell r="AY49">
            <v>230000000</v>
          </cell>
          <cell r="AZ49">
            <v>116776600</v>
          </cell>
          <cell r="BA49">
            <v>12000000</v>
          </cell>
          <cell r="BB49">
            <v>5000000</v>
          </cell>
          <cell r="BC49">
            <v>10308300</v>
          </cell>
        </row>
        <row r="50">
          <cell r="W50">
            <v>100000000</v>
          </cell>
          <cell r="X50">
            <v>125000000</v>
          </cell>
          <cell r="AC50">
            <v>382000000</v>
          </cell>
          <cell r="AD50">
            <v>500000000</v>
          </cell>
          <cell r="AI50">
            <v>221000000</v>
          </cell>
          <cell r="AJ50">
            <v>72000000</v>
          </cell>
          <cell r="AK50">
            <v>8000000</v>
          </cell>
          <cell r="AL50">
            <v>2000000</v>
          </cell>
          <cell r="AM50">
            <v>7000000</v>
          </cell>
          <cell r="AN50">
            <v>2690000000</v>
          </cell>
          <cell r="AO50">
            <v>371067000</v>
          </cell>
          <cell r="AP50">
            <v>8000000</v>
          </cell>
          <cell r="AQ50">
            <v>12000000</v>
          </cell>
          <cell r="AR50">
            <v>10000000</v>
          </cell>
          <cell r="AS50">
            <v>0</v>
          </cell>
          <cell r="AT50">
            <v>200000000</v>
          </cell>
          <cell r="AU50">
            <v>75000000</v>
          </cell>
          <cell r="AV50">
            <v>8700000</v>
          </cell>
          <cell r="AW50">
            <v>5000000</v>
          </cell>
          <cell r="AX50">
            <v>20000000</v>
          </cell>
          <cell r="AY50">
            <v>230000000</v>
          </cell>
          <cell r="AZ50">
            <v>116776600</v>
          </cell>
          <cell r="BA50">
            <v>12000000</v>
          </cell>
          <cell r="BB50">
            <v>5000000</v>
          </cell>
          <cell r="BC50">
            <v>10308300</v>
          </cell>
        </row>
        <row r="51">
          <cell r="W51">
            <v>100000000</v>
          </cell>
          <cell r="X51">
            <v>125000000</v>
          </cell>
          <cell r="AC51">
            <v>50000000</v>
          </cell>
          <cell r="AD51">
            <v>460000000</v>
          </cell>
          <cell r="AI51">
            <v>200000000</v>
          </cell>
          <cell r="AJ51">
            <v>72000000</v>
          </cell>
          <cell r="AK51">
            <v>8000000</v>
          </cell>
          <cell r="AL51">
            <v>2000000</v>
          </cell>
          <cell r="AM51">
            <v>7000000</v>
          </cell>
          <cell r="AN51">
            <v>3000000000</v>
          </cell>
          <cell r="AO51">
            <v>371067000</v>
          </cell>
          <cell r="AP51">
            <v>8000000</v>
          </cell>
          <cell r="AQ51">
            <v>12000000</v>
          </cell>
          <cell r="AR51">
            <v>10000000</v>
          </cell>
          <cell r="AS51">
            <v>0</v>
          </cell>
          <cell r="AT51">
            <v>200000000</v>
          </cell>
          <cell r="AU51">
            <v>75000000</v>
          </cell>
          <cell r="AV51">
            <v>8700000</v>
          </cell>
          <cell r="AW51">
            <v>5000000</v>
          </cell>
          <cell r="AX51">
            <v>20000000</v>
          </cell>
          <cell r="AY51">
            <v>230000000</v>
          </cell>
          <cell r="AZ51">
            <v>116776600</v>
          </cell>
          <cell r="BA51">
            <v>12000000</v>
          </cell>
          <cell r="BB51">
            <v>5000000</v>
          </cell>
          <cell r="BC51">
            <v>10308300</v>
          </cell>
        </row>
        <row r="52">
          <cell r="W52">
            <v>100000000</v>
          </cell>
          <cell r="X52">
            <v>0</v>
          </cell>
          <cell r="AC52">
            <v>0</v>
          </cell>
          <cell r="AD52">
            <v>0</v>
          </cell>
          <cell r="AI52">
            <v>225000000</v>
          </cell>
          <cell r="AJ52">
            <v>0</v>
          </cell>
          <cell r="AN52">
            <v>150000000</v>
          </cell>
          <cell r="AO52">
            <v>371067000</v>
          </cell>
          <cell r="AP52">
            <v>8000000</v>
          </cell>
          <cell r="AQ52">
            <v>12000000</v>
          </cell>
          <cell r="AR52">
            <v>10000000</v>
          </cell>
          <cell r="AS52">
            <v>0</v>
          </cell>
          <cell r="AU52">
            <v>75000000</v>
          </cell>
          <cell r="AY52">
            <v>230000000</v>
          </cell>
          <cell r="AZ52">
            <v>116776600</v>
          </cell>
          <cell r="BA52">
            <v>12000000</v>
          </cell>
          <cell r="BB52">
            <v>5000000</v>
          </cell>
          <cell r="BC52">
            <v>10308300</v>
          </cell>
        </row>
        <row r="53">
          <cell r="W53">
            <v>0</v>
          </cell>
          <cell r="X53">
            <v>125000000</v>
          </cell>
          <cell r="AC53">
            <v>151000000</v>
          </cell>
          <cell r="AD53">
            <v>341600000</v>
          </cell>
          <cell r="AI53">
            <v>70000000</v>
          </cell>
          <cell r="AJ53">
            <v>72000000</v>
          </cell>
          <cell r="AK53">
            <v>8000000</v>
          </cell>
          <cell r="AL53">
            <v>2000000</v>
          </cell>
          <cell r="AM53">
            <v>7000000</v>
          </cell>
          <cell r="AN53">
            <v>4950000000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200000000</v>
          </cell>
          <cell r="AU53">
            <v>75000000</v>
          </cell>
          <cell r="AV53">
            <v>8700000</v>
          </cell>
          <cell r="AW53">
            <v>5000000</v>
          </cell>
          <cell r="AX53">
            <v>20000000</v>
          </cell>
          <cell r="AZ53">
            <v>116776600</v>
          </cell>
        </row>
        <row r="54">
          <cell r="W54">
            <v>0</v>
          </cell>
          <cell r="X54">
            <v>125000000</v>
          </cell>
          <cell r="AC54">
            <v>242000000</v>
          </cell>
          <cell r="AD54">
            <v>0</v>
          </cell>
          <cell r="AI54">
            <v>0</v>
          </cell>
          <cell r="AJ54">
            <v>72000000</v>
          </cell>
          <cell r="AK54">
            <v>8000000</v>
          </cell>
          <cell r="AL54">
            <v>2000000</v>
          </cell>
          <cell r="AM54">
            <v>7000000</v>
          </cell>
          <cell r="AN54">
            <v>0</v>
          </cell>
          <cell r="AO54">
            <v>371067000</v>
          </cell>
          <cell r="AP54">
            <v>8000000</v>
          </cell>
          <cell r="AQ54">
            <v>12000000</v>
          </cell>
          <cell r="AR54">
            <v>10000000</v>
          </cell>
          <cell r="AS54">
            <v>0</v>
          </cell>
          <cell r="AT54">
            <v>200000000</v>
          </cell>
          <cell r="AU54">
            <v>75000000</v>
          </cell>
          <cell r="AV54">
            <v>8700000</v>
          </cell>
          <cell r="AW54">
            <v>5000000</v>
          </cell>
          <cell r="AX54">
            <v>20000000</v>
          </cell>
          <cell r="AY54">
            <v>230000000</v>
          </cell>
          <cell r="AZ54">
            <v>116776600</v>
          </cell>
          <cell r="BA54">
            <v>12000000</v>
          </cell>
          <cell r="BB54">
            <v>5000000</v>
          </cell>
          <cell r="BC54">
            <v>10308300</v>
          </cell>
        </row>
        <row r="55">
          <cell r="W55">
            <v>0</v>
          </cell>
          <cell r="X55">
            <v>125000000</v>
          </cell>
          <cell r="AC55">
            <v>0</v>
          </cell>
          <cell r="AD55">
            <v>134000000</v>
          </cell>
          <cell r="AI55">
            <v>50000000</v>
          </cell>
          <cell r="AJ55">
            <v>72000000</v>
          </cell>
          <cell r="AK55">
            <v>8000000</v>
          </cell>
          <cell r="AL55">
            <v>2000000</v>
          </cell>
          <cell r="AM55">
            <v>7000000</v>
          </cell>
          <cell r="AN55">
            <v>50000000</v>
          </cell>
          <cell r="AO55">
            <v>371067000</v>
          </cell>
          <cell r="AP55">
            <v>8000000</v>
          </cell>
          <cell r="AQ55">
            <v>12000000</v>
          </cell>
          <cell r="AR55">
            <v>10000000</v>
          </cell>
          <cell r="AS55">
            <v>150000000</v>
          </cell>
          <cell r="AT55">
            <v>200000000</v>
          </cell>
          <cell r="AU55">
            <v>75000000</v>
          </cell>
          <cell r="AV55">
            <v>8700000</v>
          </cell>
          <cell r="AW55">
            <v>5000000</v>
          </cell>
          <cell r="AX55">
            <v>20000000</v>
          </cell>
          <cell r="AY55">
            <v>230000000</v>
          </cell>
          <cell r="AZ55">
            <v>116776600</v>
          </cell>
          <cell r="BA55">
            <v>12000000</v>
          </cell>
          <cell r="BB55">
            <v>5000000</v>
          </cell>
          <cell r="BC55">
            <v>10308300</v>
          </cell>
        </row>
        <row r="56">
          <cell r="W56">
            <v>0</v>
          </cell>
          <cell r="X56">
            <v>0</v>
          </cell>
          <cell r="AC56">
            <v>0</v>
          </cell>
          <cell r="AD56">
            <v>0</v>
          </cell>
          <cell r="AI56">
            <v>100000000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2800000000</v>
          </cell>
          <cell r="AO56">
            <v>371067000</v>
          </cell>
          <cell r="AP56">
            <v>8000000</v>
          </cell>
          <cell r="AQ56">
            <v>12000000</v>
          </cell>
          <cell r="AR56">
            <v>10000000</v>
          </cell>
          <cell r="AS56">
            <v>0</v>
          </cell>
          <cell r="AU56">
            <v>150000000</v>
          </cell>
          <cell r="AY56">
            <v>230000000</v>
          </cell>
          <cell r="AZ56">
            <v>116776600</v>
          </cell>
          <cell r="BA56">
            <v>12000000</v>
          </cell>
          <cell r="BB56">
            <v>5000000</v>
          </cell>
          <cell r="BC56">
            <v>10308300</v>
          </cell>
        </row>
        <row r="57">
          <cell r="W57">
            <v>170000000</v>
          </cell>
          <cell r="X57">
            <v>125000000</v>
          </cell>
          <cell r="AC57">
            <v>253000000</v>
          </cell>
          <cell r="AD57">
            <v>0</v>
          </cell>
          <cell r="AI57">
            <v>100000000</v>
          </cell>
          <cell r="AJ57">
            <v>72000000</v>
          </cell>
          <cell r="AK57">
            <v>8000000</v>
          </cell>
          <cell r="AL57">
            <v>2000000</v>
          </cell>
          <cell r="AM57">
            <v>7000000</v>
          </cell>
          <cell r="AN57">
            <v>400000000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200000000</v>
          </cell>
          <cell r="AU57">
            <v>75000000</v>
          </cell>
          <cell r="AV57">
            <v>8700000</v>
          </cell>
          <cell r="AW57">
            <v>5000000</v>
          </cell>
          <cell r="AX57">
            <v>20000000</v>
          </cell>
          <cell r="AZ57">
            <v>116776600</v>
          </cell>
        </row>
        <row r="58">
          <cell r="W58">
            <v>210000000</v>
          </cell>
          <cell r="X58">
            <v>125000000</v>
          </cell>
          <cell r="AC58">
            <v>0</v>
          </cell>
          <cell r="AD58">
            <v>0</v>
          </cell>
          <cell r="AI58">
            <v>250000000</v>
          </cell>
          <cell r="AJ58">
            <v>72000000</v>
          </cell>
          <cell r="AK58">
            <v>8000000</v>
          </cell>
          <cell r="AL58">
            <v>2000000</v>
          </cell>
          <cell r="AM58">
            <v>7000000</v>
          </cell>
          <cell r="AN58">
            <v>3600000000</v>
          </cell>
          <cell r="AO58">
            <v>371067000</v>
          </cell>
          <cell r="AP58">
            <v>8000000</v>
          </cell>
          <cell r="AQ58">
            <v>12000000</v>
          </cell>
          <cell r="AR58">
            <v>10000000</v>
          </cell>
          <cell r="AS58">
            <v>0</v>
          </cell>
          <cell r="AT58">
            <v>200000000</v>
          </cell>
          <cell r="AU58">
            <v>75000000</v>
          </cell>
          <cell r="AV58">
            <v>8700000</v>
          </cell>
          <cell r="AW58">
            <v>5000000</v>
          </cell>
          <cell r="AX58">
            <v>20000000</v>
          </cell>
          <cell r="AY58">
            <v>230000000</v>
          </cell>
          <cell r="AZ58">
            <v>116776600</v>
          </cell>
          <cell r="BA58">
            <v>12000000</v>
          </cell>
          <cell r="BB58">
            <v>5000000</v>
          </cell>
          <cell r="BC58">
            <v>10308300</v>
          </cell>
        </row>
        <row r="59">
          <cell r="W59">
            <v>0</v>
          </cell>
          <cell r="X59">
            <v>125000000</v>
          </cell>
          <cell r="AC59">
            <v>0</v>
          </cell>
          <cell r="AD59">
            <v>0</v>
          </cell>
          <cell r="AI59">
            <v>41600000</v>
          </cell>
          <cell r="AJ59">
            <v>72000000</v>
          </cell>
          <cell r="AK59">
            <v>8000000</v>
          </cell>
          <cell r="AL59">
            <v>2000000</v>
          </cell>
          <cell r="AM59">
            <v>7000000</v>
          </cell>
          <cell r="AN59">
            <v>2000000000</v>
          </cell>
          <cell r="AO59">
            <v>371067000</v>
          </cell>
          <cell r="AP59">
            <v>8000000</v>
          </cell>
          <cell r="AQ59">
            <v>12000000</v>
          </cell>
          <cell r="AR59">
            <v>10000000</v>
          </cell>
          <cell r="AS59">
            <v>0</v>
          </cell>
          <cell r="AT59">
            <v>200000000</v>
          </cell>
          <cell r="AU59">
            <v>75000000</v>
          </cell>
          <cell r="AV59">
            <v>8700000</v>
          </cell>
          <cell r="AW59">
            <v>5000000</v>
          </cell>
          <cell r="AX59">
            <v>20000000</v>
          </cell>
          <cell r="AY59">
            <v>230000000</v>
          </cell>
          <cell r="AZ59">
            <v>116776600</v>
          </cell>
          <cell r="BA59">
            <v>12000000</v>
          </cell>
          <cell r="BB59">
            <v>5000000</v>
          </cell>
          <cell r="BC59">
            <v>10308300</v>
          </cell>
        </row>
        <row r="60">
          <cell r="W60">
            <v>855000000</v>
          </cell>
          <cell r="X60">
            <v>0</v>
          </cell>
          <cell r="AC60">
            <v>0</v>
          </cell>
          <cell r="AD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Z60">
            <v>0</v>
          </cell>
        </row>
        <row r="61">
          <cell r="W61">
            <v>20000000</v>
          </cell>
          <cell r="X61">
            <v>125000000</v>
          </cell>
          <cell r="AC61">
            <v>542000000</v>
          </cell>
          <cell r="AD61">
            <v>350000000</v>
          </cell>
          <cell r="AI61">
            <v>80000000</v>
          </cell>
          <cell r="AJ61">
            <v>72000000</v>
          </cell>
          <cell r="AK61">
            <v>8000000</v>
          </cell>
          <cell r="AL61">
            <v>2000000</v>
          </cell>
          <cell r="AM61">
            <v>7000000</v>
          </cell>
          <cell r="AN61">
            <v>2500000000</v>
          </cell>
          <cell r="AO61">
            <v>371067000</v>
          </cell>
          <cell r="AP61">
            <v>8000000</v>
          </cell>
          <cell r="AQ61">
            <v>12000000</v>
          </cell>
          <cell r="AR61">
            <v>10000000</v>
          </cell>
          <cell r="AS61">
            <v>0</v>
          </cell>
          <cell r="AT61">
            <v>200000000</v>
          </cell>
          <cell r="AU61">
            <v>75000000</v>
          </cell>
          <cell r="AV61">
            <v>8700000</v>
          </cell>
          <cell r="AW61">
            <v>5000000</v>
          </cell>
          <cell r="AX61">
            <v>20000000</v>
          </cell>
          <cell r="AY61">
            <v>230000000</v>
          </cell>
          <cell r="AZ61">
            <v>116776600</v>
          </cell>
          <cell r="BA61">
            <v>12000000</v>
          </cell>
          <cell r="BB61">
            <v>5000000</v>
          </cell>
          <cell r="BC61">
            <v>10308300</v>
          </cell>
        </row>
        <row r="62">
          <cell r="W62">
            <v>50000000</v>
          </cell>
          <cell r="X62">
            <v>125000000</v>
          </cell>
          <cell r="AC62">
            <v>500000000</v>
          </cell>
          <cell r="AD62">
            <v>0</v>
          </cell>
          <cell r="AI62">
            <v>110000000</v>
          </cell>
          <cell r="AJ62">
            <v>72000000</v>
          </cell>
          <cell r="AK62">
            <v>8000000</v>
          </cell>
          <cell r="AL62">
            <v>2000000</v>
          </cell>
          <cell r="AM62">
            <v>7000000</v>
          </cell>
          <cell r="AN62">
            <v>5000000000</v>
          </cell>
          <cell r="AO62">
            <v>371067000</v>
          </cell>
          <cell r="AP62">
            <v>8000000</v>
          </cell>
          <cell r="AQ62">
            <v>12000000</v>
          </cell>
          <cell r="AR62">
            <v>10000000</v>
          </cell>
          <cell r="AS62">
            <v>0</v>
          </cell>
          <cell r="AT62">
            <v>200000000</v>
          </cell>
          <cell r="AU62">
            <v>75000000</v>
          </cell>
          <cell r="AV62">
            <v>8700000</v>
          </cell>
          <cell r="AW62">
            <v>5000000</v>
          </cell>
          <cell r="AX62">
            <v>20000000</v>
          </cell>
          <cell r="AY62">
            <v>230000000</v>
          </cell>
          <cell r="AZ62">
            <v>116776600</v>
          </cell>
          <cell r="BA62">
            <v>12000000</v>
          </cell>
          <cell r="BB62">
            <v>5000000</v>
          </cell>
          <cell r="BC62">
            <v>10308300</v>
          </cell>
        </row>
        <row r="63">
          <cell r="W63">
            <v>50000000</v>
          </cell>
          <cell r="X63">
            <v>125000000</v>
          </cell>
          <cell r="AC63">
            <v>217000000</v>
          </cell>
          <cell r="AD63">
            <v>0</v>
          </cell>
          <cell r="AI63">
            <v>41600000</v>
          </cell>
          <cell r="AJ63">
            <v>72000000</v>
          </cell>
          <cell r="AK63">
            <v>8000000</v>
          </cell>
          <cell r="AL63">
            <v>2000000</v>
          </cell>
          <cell r="AM63">
            <v>7000000</v>
          </cell>
          <cell r="AN63">
            <v>100000000</v>
          </cell>
          <cell r="AO63">
            <v>371067000</v>
          </cell>
          <cell r="AP63">
            <v>8000000</v>
          </cell>
          <cell r="AQ63">
            <v>12000000</v>
          </cell>
          <cell r="AR63">
            <v>10000000</v>
          </cell>
          <cell r="AS63">
            <v>0</v>
          </cell>
          <cell r="AT63">
            <v>200000000</v>
          </cell>
          <cell r="AU63">
            <v>75000000</v>
          </cell>
          <cell r="AV63">
            <v>8700000</v>
          </cell>
          <cell r="AW63">
            <v>5000000</v>
          </cell>
          <cell r="AX63">
            <v>20000000</v>
          </cell>
          <cell r="AY63">
            <v>230000000</v>
          </cell>
          <cell r="AZ63">
            <v>116776600</v>
          </cell>
          <cell r="BA63">
            <v>12000000</v>
          </cell>
          <cell r="BB63">
            <v>5000000</v>
          </cell>
          <cell r="BC63">
            <v>10308300</v>
          </cell>
        </row>
        <row r="64">
          <cell r="W64">
            <v>0</v>
          </cell>
          <cell r="X64">
            <v>125000000</v>
          </cell>
          <cell r="AC64">
            <v>400000000</v>
          </cell>
          <cell r="AD64">
            <v>0</v>
          </cell>
          <cell r="AI64">
            <v>280000000</v>
          </cell>
          <cell r="AJ64">
            <v>72000000</v>
          </cell>
          <cell r="AK64">
            <v>8000000</v>
          </cell>
          <cell r="AL64">
            <v>2000000</v>
          </cell>
          <cell r="AM64">
            <v>7000000</v>
          </cell>
          <cell r="AN64">
            <v>1100000000</v>
          </cell>
          <cell r="AO64">
            <v>371067000</v>
          </cell>
          <cell r="AP64">
            <v>8000000</v>
          </cell>
          <cell r="AQ64">
            <v>12000000</v>
          </cell>
          <cell r="AR64">
            <v>10000000</v>
          </cell>
          <cell r="AS64">
            <v>150000000</v>
          </cell>
          <cell r="AT64">
            <v>200000000</v>
          </cell>
          <cell r="AU64">
            <v>75000000</v>
          </cell>
          <cell r="AV64">
            <v>8700000</v>
          </cell>
          <cell r="AW64">
            <v>5000000</v>
          </cell>
          <cell r="AX64">
            <v>20000000</v>
          </cell>
          <cell r="AY64">
            <v>230000000</v>
          </cell>
          <cell r="AZ64">
            <v>116776600</v>
          </cell>
          <cell r="BA64">
            <v>12000000</v>
          </cell>
          <cell r="BB64">
            <v>5000000</v>
          </cell>
          <cell r="BC64">
            <v>10308300</v>
          </cell>
        </row>
        <row r="65">
          <cell r="W65">
            <v>0</v>
          </cell>
          <cell r="X65">
            <v>125000000</v>
          </cell>
          <cell r="AC65">
            <v>267000000</v>
          </cell>
          <cell r="AD65">
            <v>0</v>
          </cell>
          <cell r="AI65">
            <v>41600000</v>
          </cell>
          <cell r="AJ65">
            <v>72000000</v>
          </cell>
          <cell r="AK65">
            <v>8000000</v>
          </cell>
          <cell r="AL65">
            <v>2000000</v>
          </cell>
          <cell r="AM65">
            <v>7000000</v>
          </cell>
          <cell r="AN65">
            <v>200000000</v>
          </cell>
          <cell r="AO65">
            <v>371067000</v>
          </cell>
          <cell r="AP65">
            <v>8000000</v>
          </cell>
          <cell r="AQ65">
            <v>12000000</v>
          </cell>
          <cell r="AR65">
            <v>10000000</v>
          </cell>
          <cell r="AS65">
            <v>150000000</v>
          </cell>
          <cell r="AT65">
            <v>200000000</v>
          </cell>
          <cell r="AU65">
            <v>75000000</v>
          </cell>
          <cell r="AV65">
            <v>8700000</v>
          </cell>
          <cell r="AW65">
            <v>5000000</v>
          </cell>
          <cell r="AX65">
            <v>20000000</v>
          </cell>
          <cell r="AY65">
            <v>230000000</v>
          </cell>
          <cell r="AZ65">
            <v>116776600</v>
          </cell>
          <cell r="BA65">
            <v>12000000</v>
          </cell>
          <cell r="BB65">
            <v>5000000</v>
          </cell>
          <cell r="BC65">
            <v>10308300</v>
          </cell>
        </row>
        <row r="66">
          <cell r="W66">
            <v>0</v>
          </cell>
          <cell r="X66">
            <v>0</v>
          </cell>
          <cell r="AC66">
            <v>0</v>
          </cell>
          <cell r="AD66">
            <v>0</v>
          </cell>
          <cell r="AI66">
            <v>50000000</v>
          </cell>
          <cell r="AJ66">
            <v>72000000</v>
          </cell>
          <cell r="AK66">
            <v>8000000</v>
          </cell>
          <cell r="AL66">
            <v>2000000</v>
          </cell>
          <cell r="AM66">
            <v>7000000</v>
          </cell>
          <cell r="AN66">
            <v>100000000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U66">
            <v>75000000</v>
          </cell>
          <cell r="AY66">
            <v>230000000</v>
          </cell>
          <cell r="AZ66">
            <v>116776600</v>
          </cell>
          <cell r="BA66">
            <v>12000000</v>
          </cell>
          <cell r="BB66">
            <v>5000000</v>
          </cell>
          <cell r="BC66">
            <v>10308300</v>
          </cell>
        </row>
        <row r="67">
          <cell r="W67">
            <v>0</v>
          </cell>
          <cell r="X67">
            <v>125000000</v>
          </cell>
          <cell r="AC67">
            <v>0</v>
          </cell>
          <cell r="AD67">
            <v>0</v>
          </cell>
          <cell r="AI67">
            <v>50000000</v>
          </cell>
          <cell r="AJ67">
            <v>72000000</v>
          </cell>
          <cell r="AK67">
            <v>8000000</v>
          </cell>
          <cell r="AL67">
            <v>2000000</v>
          </cell>
          <cell r="AM67">
            <v>7000000</v>
          </cell>
          <cell r="AN67">
            <v>50000000</v>
          </cell>
          <cell r="AO67">
            <v>371067000</v>
          </cell>
          <cell r="AP67">
            <v>8000000</v>
          </cell>
          <cell r="AQ67">
            <v>12000000</v>
          </cell>
          <cell r="AR67">
            <v>10000000</v>
          </cell>
          <cell r="AS67">
            <v>0</v>
          </cell>
          <cell r="AT67">
            <v>200000000</v>
          </cell>
          <cell r="AU67">
            <v>75000000</v>
          </cell>
          <cell r="AV67">
            <v>8700000</v>
          </cell>
          <cell r="AW67">
            <v>5000000</v>
          </cell>
          <cell r="AX67">
            <v>20000000</v>
          </cell>
          <cell r="AY67">
            <v>230000000</v>
          </cell>
          <cell r="AZ67">
            <v>116776600</v>
          </cell>
          <cell r="BA67">
            <v>12000000</v>
          </cell>
          <cell r="BB67">
            <v>5000000</v>
          </cell>
          <cell r="BC67">
            <v>10308300</v>
          </cell>
        </row>
        <row r="68">
          <cell r="W68">
            <v>85000000</v>
          </cell>
          <cell r="X68">
            <v>125000000</v>
          </cell>
          <cell r="AC68">
            <v>0</v>
          </cell>
          <cell r="AD68">
            <v>0</v>
          </cell>
          <cell r="AI68">
            <v>0</v>
          </cell>
          <cell r="AJ68">
            <v>72000000</v>
          </cell>
          <cell r="AK68">
            <v>8000000</v>
          </cell>
          <cell r="AL68">
            <v>2000000</v>
          </cell>
          <cell r="AM68">
            <v>7000000</v>
          </cell>
          <cell r="AN68">
            <v>0</v>
          </cell>
          <cell r="AO68">
            <v>371067000</v>
          </cell>
          <cell r="AP68">
            <v>8000000</v>
          </cell>
          <cell r="AQ68">
            <v>12000000</v>
          </cell>
          <cell r="AR68">
            <v>10000000</v>
          </cell>
          <cell r="AS68">
            <v>150000000</v>
          </cell>
          <cell r="AT68">
            <v>200000000</v>
          </cell>
          <cell r="AU68">
            <v>75000000</v>
          </cell>
          <cell r="AV68">
            <v>8700000</v>
          </cell>
          <cell r="AW68">
            <v>5000000</v>
          </cell>
          <cell r="AX68">
            <v>20000000</v>
          </cell>
          <cell r="AY68">
            <v>230000000</v>
          </cell>
          <cell r="AZ68">
            <v>116776600</v>
          </cell>
          <cell r="BA68">
            <v>12000000</v>
          </cell>
          <cell r="BB68">
            <v>5000000</v>
          </cell>
          <cell r="BC68">
            <v>10308300</v>
          </cell>
        </row>
        <row r="69">
          <cell r="W69">
            <v>100000000</v>
          </cell>
          <cell r="X69">
            <v>125000000</v>
          </cell>
          <cell r="AC69">
            <v>0</v>
          </cell>
          <cell r="AD69">
            <v>141600000</v>
          </cell>
          <cell r="AI69">
            <v>50000000</v>
          </cell>
          <cell r="AJ69">
            <v>72000000</v>
          </cell>
          <cell r="AK69">
            <v>8000000</v>
          </cell>
          <cell r="AL69">
            <v>2000000</v>
          </cell>
          <cell r="AM69">
            <v>7000000</v>
          </cell>
          <cell r="AN69">
            <v>0</v>
          </cell>
          <cell r="AO69">
            <v>371067000</v>
          </cell>
          <cell r="AP69">
            <v>8000000</v>
          </cell>
          <cell r="AQ69">
            <v>12000000</v>
          </cell>
          <cell r="AR69">
            <v>10000000</v>
          </cell>
          <cell r="AS69">
            <v>0</v>
          </cell>
          <cell r="AT69">
            <v>200000000</v>
          </cell>
          <cell r="AU69">
            <v>75000000</v>
          </cell>
          <cell r="AV69">
            <v>8700000</v>
          </cell>
          <cell r="AW69">
            <v>5000000</v>
          </cell>
          <cell r="AX69">
            <v>20000000</v>
          </cell>
          <cell r="AY69">
            <v>230000000</v>
          </cell>
          <cell r="AZ69">
            <v>116776600</v>
          </cell>
          <cell r="BA69">
            <v>12000000</v>
          </cell>
          <cell r="BB69">
            <v>5000000</v>
          </cell>
          <cell r="BC69">
            <v>10308300</v>
          </cell>
        </row>
        <row r="70">
          <cell r="W70">
            <v>0</v>
          </cell>
          <cell r="AC70">
            <v>0</v>
          </cell>
          <cell r="AD70">
            <v>0</v>
          </cell>
          <cell r="AI70">
            <v>50000000</v>
          </cell>
          <cell r="AJ70">
            <v>72000000</v>
          </cell>
          <cell r="AK70">
            <v>8000000</v>
          </cell>
          <cell r="AL70">
            <v>2000000</v>
          </cell>
          <cell r="AM70">
            <v>7000000</v>
          </cell>
          <cell r="AN70">
            <v>50000000</v>
          </cell>
          <cell r="AO70">
            <v>371067000</v>
          </cell>
          <cell r="AP70">
            <v>8000000</v>
          </cell>
          <cell r="AQ70">
            <v>12000000</v>
          </cell>
          <cell r="AR70">
            <v>10000000</v>
          </cell>
          <cell r="AS70">
            <v>0</v>
          </cell>
          <cell r="AT70">
            <v>200000000</v>
          </cell>
          <cell r="AU70">
            <v>75000000</v>
          </cell>
          <cell r="AV70">
            <v>8700000</v>
          </cell>
          <cell r="AW70">
            <v>5000000</v>
          </cell>
          <cell r="AX70">
            <v>20000000</v>
          </cell>
          <cell r="AY70">
            <v>230000000</v>
          </cell>
          <cell r="AZ70">
            <v>116776600</v>
          </cell>
          <cell r="BA70">
            <v>12000000</v>
          </cell>
          <cell r="BB70">
            <v>5000000</v>
          </cell>
          <cell r="BC70">
            <v>10308300</v>
          </cell>
        </row>
        <row r="71">
          <cell r="W71">
            <v>0</v>
          </cell>
          <cell r="X71">
            <v>125000000</v>
          </cell>
          <cell r="AD71">
            <v>0</v>
          </cell>
          <cell r="AI71">
            <v>100000000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1200000000</v>
          </cell>
          <cell r="AO71">
            <v>371067000</v>
          </cell>
          <cell r="AP71">
            <v>8000000</v>
          </cell>
          <cell r="AQ71">
            <v>12000000</v>
          </cell>
          <cell r="AR71">
            <v>10000000</v>
          </cell>
          <cell r="AS71">
            <v>0</v>
          </cell>
          <cell r="AU71">
            <v>75000000</v>
          </cell>
          <cell r="AY71">
            <v>230000000</v>
          </cell>
          <cell r="AZ71">
            <v>116776600</v>
          </cell>
          <cell r="BA71">
            <v>12000000</v>
          </cell>
          <cell r="BB71">
            <v>5000000</v>
          </cell>
          <cell r="BC71">
            <v>10308300</v>
          </cell>
        </row>
        <row r="72">
          <cell r="W72">
            <v>0</v>
          </cell>
          <cell r="X72">
            <v>0</v>
          </cell>
          <cell r="AD72">
            <v>0</v>
          </cell>
          <cell r="AI72">
            <v>50000000</v>
          </cell>
          <cell r="AJ72">
            <v>72000000</v>
          </cell>
          <cell r="AK72">
            <v>8000000</v>
          </cell>
          <cell r="AL72">
            <v>2000000</v>
          </cell>
          <cell r="AM72">
            <v>7000000</v>
          </cell>
          <cell r="AN72">
            <v>50000000</v>
          </cell>
          <cell r="AO72">
            <v>371067000</v>
          </cell>
          <cell r="AP72">
            <v>8000000</v>
          </cell>
          <cell r="AQ72">
            <v>12000000</v>
          </cell>
          <cell r="AR72">
            <v>10000000</v>
          </cell>
          <cell r="AS72">
            <v>150000000</v>
          </cell>
          <cell r="AT72">
            <v>200000000</v>
          </cell>
          <cell r="AU72">
            <v>75000000</v>
          </cell>
          <cell r="AV72">
            <v>8700000</v>
          </cell>
          <cell r="AW72">
            <v>5000000</v>
          </cell>
          <cell r="AX72">
            <v>20000000</v>
          </cell>
          <cell r="AY72">
            <v>230000000</v>
          </cell>
          <cell r="AZ72">
            <v>116776600</v>
          </cell>
          <cell r="BA72">
            <v>12000000</v>
          </cell>
          <cell r="BB72">
            <v>5000000</v>
          </cell>
          <cell r="BC72">
            <v>10308300</v>
          </cell>
        </row>
        <row r="73">
          <cell r="AD73">
            <v>0</v>
          </cell>
          <cell r="AI73">
            <v>100000000</v>
          </cell>
          <cell r="AJ73">
            <v>72000000</v>
          </cell>
          <cell r="AK73">
            <v>8000000</v>
          </cell>
          <cell r="AL73">
            <v>2000000</v>
          </cell>
          <cell r="AM73">
            <v>7000000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200000000</v>
          </cell>
          <cell r="AU73">
            <v>75000000</v>
          </cell>
          <cell r="AV73">
            <v>8700000</v>
          </cell>
          <cell r="AW73">
            <v>5000000</v>
          </cell>
          <cell r="AX73">
            <v>20000000</v>
          </cell>
          <cell r="AZ73">
            <v>116776600</v>
          </cell>
        </row>
        <row r="74">
          <cell r="W74">
            <v>0</v>
          </cell>
          <cell r="X74">
            <v>0</v>
          </cell>
          <cell r="AC74">
            <v>0</v>
          </cell>
          <cell r="AD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</row>
        <row r="92">
          <cell r="M92">
            <v>10000000</v>
          </cell>
          <cell r="N92">
            <v>10000000</v>
          </cell>
          <cell r="P92">
            <v>30000000</v>
          </cell>
          <cell r="Q92">
            <v>70000000</v>
          </cell>
          <cell r="S92">
            <v>30000000</v>
          </cell>
          <cell r="T92">
            <v>24000000</v>
          </cell>
          <cell r="U92">
            <v>16000000</v>
          </cell>
        </row>
        <row r="93">
          <cell r="M93">
            <v>10000000</v>
          </cell>
          <cell r="N93">
            <v>10000000</v>
          </cell>
          <cell r="P93">
            <v>30000000</v>
          </cell>
          <cell r="Q93">
            <v>70000000</v>
          </cell>
          <cell r="S93">
            <v>30000000</v>
          </cell>
          <cell r="T93">
            <v>24000000</v>
          </cell>
          <cell r="U93">
            <v>16000000</v>
          </cell>
        </row>
        <row r="94">
          <cell r="M94">
            <v>10000000</v>
          </cell>
          <cell r="N94">
            <v>10000000</v>
          </cell>
          <cell r="P94">
            <v>30000000</v>
          </cell>
          <cell r="Q94">
            <v>70000000</v>
          </cell>
          <cell r="S94">
            <v>30000000</v>
          </cell>
          <cell r="T94">
            <v>24000000</v>
          </cell>
          <cell r="U94">
            <v>16000000</v>
          </cell>
        </row>
        <row r="95">
          <cell r="M95">
            <v>10000000</v>
          </cell>
          <cell r="N95">
            <v>10000000</v>
          </cell>
          <cell r="P95">
            <v>30000000</v>
          </cell>
          <cell r="Q95">
            <v>70000000</v>
          </cell>
          <cell r="S95">
            <v>30000000</v>
          </cell>
          <cell r="T95">
            <v>24000000</v>
          </cell>
          <cell r="U95">
            <v>16000000</v>
          </cell>
        </row>
        <row r="96">
          <cell r="N96">
            <v>10000000</v>
          </cell>
          <cell r="P96">
            <v>30000000</v>
          </cell>
          <cell r="Q96">
            <v>70000000</v>
          </cell>
          <cell r="S96">
            <v>30000000</v>
          </cell>
          <cell r="T96">
            <v>24000000</v>
          </cell>
          <cell r="U96">
            <v>16000000</v>
          </cell>
        </row>
        <row r="97">
          <cell r="M97">
            <v>10000000</v>
          </cell>
          <cell r="N97">
            <v>10000000</v>
          </cell>
          <cell r="P97">
            <v>30000000</v>
          </cell>
          <cell r="Q97">
            <v>70000000</v>
          </cell>
          <cell r="S97">
            <v>30000000</v>
          </cell>
          <cell r="T97">
            <v>24000000</v>
          </cell>
          <cell r="U97">
            <v>16000000</v>
          </cell>
        </row>
        <row r="98">
          <cell r="M98">
            <v>10000000</v>
          </cell>
          <cell r="N98">
            <v>10000000</v>
          </cell>
          <cell r="P98">
            <v>30000000</v>
          </cell>
          <cell r="Q98">
            <v>70000000</v>
          </cell>
          <cell r="S98">
            <v>30000000</v>
          </cell>
          <cell r="T98">
            <v>24000000</v>
          </cell>
          <cell r="U98">
            <v>16000000</v>
          </cell>
        </row>
        <row r="99">
          <cell r="M99">
            <v>10000000</v>
          </cell>
          <cell r="N99">
            <v>10000000</v>
          </cell>
          <cell r="P99">
            <v>30000000</v>
          </cell>
          <cell r="Q99">
            <v>70000000</v>
          </cell>
          <cell r="S99">
            <v>30000000</v>
          </cell>
          <cell r="T99">
            <v>24000000</v>
          </cell>
          <cell r="U99">
            <v>16000000</v>
          </cell>
        </row>
        <row r="100">
          <cell r="M100">
            <v>10000000</v>
          </cell>
          <cell r="N100">
            <v>10000000</v>
          </cell>
          <cell r="P100">
            <v>30000000</v>
          </cell>
          <cell r="Q100">
            <v>70000000</v>
          </cell>
          <cell r="S100">
            <v>30000000</v>
          </cell>
          <cell r="T100">
            <v>24000000</v>
          </cell>
          <cell r="U100">
            <v>16000000</v>
          </cell>
        </row>
        <row r="101">
          <cell r="M101">
            <v>10000000</v>
          </cell>
          <cell r="N101">
            <v>10000000</v>
          </cell>
          <cell r="P101">
            <v>30000000</v>
          </cell>
          <cell r="Q101">
            <v>70000000</v>
          </cell>
          <cell r="S101">
            <v>30000000</v>
          </cell>
          <cell r="T101">
            <v>24000000</v>
          </cell>
          <cell r="U101">
            <v>16000000</v>
          </cell>
        </row>
        <row r="102">
          <cell r="M102">
            <v>10000000</v>
          </cell>
          <cell r="N102">
            <v>10000000</v>
          </cell>
          <cell r="P102">
            <v>30000000</v>
          </cell>
          <cell r="Q102">
            <v>70000000</v>
          </cell>
          <cell r="S102">
            <v>30000000</v>
          </cell>
          <cell r="T102">
            <v>24000000</v>
          </cell>
          <cell r="U102">
            <v>16000000</v>
          </cell>
        </row>
        <row r="103">
          <cell r="M103">
            <v>10000000</v>
          </cell>
          <cell r="N103">
            <v>10000000</v>
          </cell>
          <cell r="P103">
            <v>30000000</v>
          </cell>
          <cell r="Q103">
            <v>70000000</v>
          </cell>
          <cell r="S103">
            <v>30000000</v>
          </cell>
          <cell r="T103">
            <v>24000000</v>
          </cell>
          <cell r="U103">
            <v>16000000</v>
          </cell>
        </row>
        <row r="104">
          <cell r="M104">
            <v>10000000</v>
          </cell>
          <cell r="N104">
            <v>10000000</v>
          </cell>
          <cell r="P104">
            <v>30000000</v>
          </cell>
          <cell r="Q104">
            <v>70000000</v>
          </cell>
          <cell r="S104">
            <v>30000000</v>
          </cell>
          <cell r="T104">
            <v>24000000</v>
          </cell>
          <cell r="U104">
            <v>16000000</v>
          </cell>
        </row>
        <row r="105">
          <cell r="M105">
            <v>10000000</v>
          </cell>
          <cell r="N105">
            <v>10000000</v>
          </cell>
          <cell r="P105">
            <v>30000000</v>
          </cell>
          <cell r="Q105">
            <v>70000000</v>
          </cell>
          <cell r="S105">
            <v>30000000</v>
          </cell>
          <cell r="T105">
            <v>24000000</v>
          </cell>
          <cell r="U105">
            <v>16000000</v>
          </cell>
        </row>
        <row r="106">
          <cell r="M106">
            <v>10000000</v>
          </cell>
          <cell r="N106">
            <v>10000000</v>
          </cell>
          <cell r="P106">
            <v>30000000</v>
          </cell>
          <cell r="Q106">
            <v>70000000</v>
          </cell>
          <cell r="S106">
            <v>30000000</v>
          </cell>
          <cell r="T106">
            <v>24000000</v>
          </cell>
          <cell r="U106">
            <v>16000000</v>
          </cell>
        </row>
        <row r="107">
          <cell r="M107">
            <v>10000000</v>
          </cell>
          <cell r="N107">
            <v>10000000</v>
          </cell>
          <cell r="P107">
            <v>30000000</v>
          </cell>
          <cell r="Q107">
            <v>70000000</v>
          </cell>
          <cell r="S107">
            <v>30000000</v>
          </cell>
          <cell r="T107">
            <v>24000000</v>
          </cell>
          <cell r="U107">
            <v>16000000</v>
          </cell>
        </row>
        <row r="108">
          <cell r="M108">
            <v>10000000</v>
          </cell>
          <cell r="N108">
            <v>10000000</v>
          </cell>
          <cell r="P108">
            <v>30000000</v>
          </cell>
          <cell r="Q108">
            <v>70000000</v>
          </cell>
          <cell r="S108">
            <v>30000000</v>
          </cell>
          <cell r="T108">
            <v>24000000</v>
          </cell>
          <cell r="U108">
            <v>16000000</v>
          </cell>
        </row>
        <row r="109">
          <cell r="M109">
            <v>10000000</v>
          </cell>
          <cell r="N109">
            <v>10000000</v>
          </cell>
          <cell r="P109">
            <v>30000000</v>
          </cell>
          <cell r="Q109">
            <v>70000000</v>
          </cell>
          <cell r="S109">
            <v>30000000</v>
          </cell>
          <cell r="T109">
            <v>24000000</v>
          </cell>
          <cell r="U109">
            <v>16000000</v>
          </cell>
        </row>
        <row r="110">
          <cell r="M110">
            <v>8500000</v>
          </cell>
          <cell r="N110">
            <v>10000000</v>
          </cell>
          <cell r="P110">
            <v>30000000</v>
          </cell>
          <cell r="Q110">
            <v>70000000</v>
          </cell>
          <cell r="S110">
            <v>30000000</v>
          </cell>
          <cell r="T110">
            <v>24000000</v>
          </cell>
          <cell r="U110">
            <v>16000000</v>
          </cell>
        </row>
        <row r="111">
          <cell r="M111">
            <v>10000000</v>
          </cell>
          <cell r="N111">
            <v>10000000</v>
          </cell>
          <cell r="P111">
            <v>30000000</v>
          </cell>
          <cell r="Q111">
            <v>70000000</v>
          </cell>
          <cell r="S111">
            <v>30000000</v>
          </cell>
          <cell r="T111">
            <v>24000000</v>
          </cell>
          <cell r="U111">
            <v>16000000</v>
          </cell>
        </row>
        <row r="112">
          <cell r="M112">
            <v>10000000</v>
          </cell>
          <cell r="N112">
            <v>10000000</v>
          </cell>
          <cell r="P112">
            <v>30000000</v>
          </cell>
          <cell r="Q112">
            <v>70000000</v>
          </cell>
          <cell r="S112">
            <v>30000000</v>
          </cell>
          <cell r="T112">
            <v>24000000</v>
          </cell>
          <cell r="U112">
            <v>16000000</v>
          </cell>
        </row>
        <row r="113">
          <cell r="M113">
            <v>10000000</v>
          </cell>
          <cell r="N113">
            <v>10000000</v>
          </cell>
          <cell r="P113">
            <v>30000000</v>
          </cell>
          <cell r="Q113">
            <v>70000000</v>
          </cell>
          <cell r="S113">
            <v>30000000</v>
          </cell>
          <cell r="T113">
            <v>24000000</v>
          </cell>
          <cell r="U113">
            <v>16000000</v>
          </cell>
        </row>
        <row r="114">
          <cell r="M114">
            <v>10000000</v>
          </cell>
          <cell r="N114">
            <v>10000000</v>
          </cell>
          <cell r="P114">
            <v>30000000</v>
          </cell>
          <cell r="Q114">
            <v>70000000</v>
          </cell>
          <cell r="S114">
            <v>30000000</v>
          </cell>
          <cell r="T114">
            <v>24000000</v>
          </cell>
          <cell r="U114">
            <v>16000000</v>
          </cell>
        </row>
        <row r="115">
          <cell r="M115">
            <v>0</v>
          </cell>
          <cell r="N115">
            <v>10000000</v>
          </cell>
          <cell r="P115">
            <v>30000000</v>
          </cell>
          <cell r="Q115">
            <v>70000000</v>
          </cell>
          <cell r="S115">
            <v>30000000</v>
          </cell>
          <cell r="T115">
            <v>24000000</v>
          </cell>
          <cell r="U115">
            <v>16000000</v>
          </cell>
        </row>
        <row r="116">
          <cell r="M116">
            <v>10000000</v>
          </cell>
          <cell r="N116">
            <v>10000000</v>
          </cell>
          <cell r="P116">
            <v>30000000</v>
          </cell>
          <cell r="Q116">
            <v>70000000</v>
          </cell>
          <cell r="S116">
            <v>30000000</v>
          </cell>
          <cell r="T116">
            <v>24000000</v>
          </cell>
          <cell r="U116">
            <v>16000000</v>
          </cell>
        </row>
        <row r="117">
          <cell r="M117">
            <v>10000000</v>
          </cell>
          <cell r="N117">
            <v>0</v>
          </cell>
          <cell r="P117">
            <v>0</v>
          </cell>
          <cell r="Q117">
            <v>70000000</v>
          </cell>
          <cell r="S117">
            <v>30000000</v>
          </cell>
          <cell r="U117">
            <v>16000000</v>
          </cell>
        </row>
        <row r="118">
          <cell r="M118">
            <v>0</v>
          </cell>
          <cell r="N118">
            <v>10000000</v>
          </cell>
          <cell r="P118">
            <v>30000000</v>
          </cell>
          <cell r="Q118">
            <v>0</v>
          </cell>
          <cell r="S118">
            <v>0</v>
          </cell>
          <cell r="T118">
            <v>24000000</v>
          </cell>
          <cell r="U118">
            <v>0</v>
          </cell>
        </row>
        <row r="119">
          <cell r="M119">
            <v>10000000</v>
          </cell>
          <cell r="N119">
            <v>0</v>
          </cell>
          <cell r="P119">
            <v>0</v>
          </cell>
          <cell r="Q119">
            <v>0</v>
          </cell>
          <cell r="S119">
            <v>0</v>
          </cell>
          <cell r="T119">
            <v>0</v>
          </cell>
          <cell r="U119">
            <v>16000000</v>
          </cell>
        </row>
        <row r="120">
          <cell r="M120">
            <v>0</v>
          </cell>
          <cell r="N120">
            <v>10000000</v>
          </cell>
          <cell r="P120">
            <v>30000000</v>
          </cell>
          <cell r="Q120">
            <v>0</v>
          </cell>
          <cell r="S120">
            <v>30000000</v>
          </cell>
        </row>
        <row r="121">
          <cell r="M121">
            <v>0</v>
          </cell>
          <cell r="N121">
            <v>0</v>
          </cell>
          <cell r="P121">
            <v>0</v>
          </cell>
          <cell r="Q121">
            <v>70000000</v>
          </cell>
          <cell r="T121">
            <v>24000000</v>
          </cell>
        </row>
        <row r="122">
          <cell r="M122">
            <v>10000000</v>
          </cell>
          <cell r="N122">
            <v>0</v>
          </cell>
          <cell r="P122">
            <v>30000000</v>
          </cell>
          <cell r="Q122">
            <v>0</v>
          </cell>
          <cell r="S122">
            <v>30000000</v>
          </cell>
        </row>
        <row r="123">
          <cell r="M123">
            <v>0</v>
          </cell>
          <cell r="N123">
            <v>10000000</v>
          </cell>
          <cell r="P123">
            <v>0</v>
          </cell>
          <cell r="Q123">
            <v>70000000</v>
          </cell>
          <cell r="S123">
            <v>0</v>
          </cell>
          <cell r="T123">
            <v>24000000</v>
          </cell>
        </row>
        <row r="124">
          <cell r="M124">
            <v>10000000</v>
          </cell>
          <cell r="N124">
            <v>0</v>
          </cell>
          <cell r="P124">
            <v>30000000</v>
          </cell>
          <cell r="Q124">
            <v>0</v>
          </cell>
          <cell r="S124">
            <v>0</v>
          </cell>
          <cell r="T124">
            <v>24000000</v>
          </cell>
        </row>
        <row r="125">
          <cell r="M125">
            <v>10000000</v>
          </cell>
          <cell r="N125">
            <v>10000000</v>
          </cell>
          <cell r="P125">
            <v>30000000</v>
          </cell>
          <cell r="Q125">
            <v>70000000</v>
          </cell>
          <cell r="S125">
            <v>30000000</v>
          </cell>
          <cell r="T125">
            <v>24000000</v>
          </cell>
          <cell r="U125">
            <v>16000000</v>
          </cell>
        </row>
        <row r="126">
          <cell r="M126">
            <v>10000000</v>
          </cell>
          <cell r="N126">
            <v>10000000</v>
          </cell>
          <cell r="P126">
            <v>30000000</v>
          </cell>
          <cell r="Q126">
            <v>70000000</v>
          </cell>
          <cell r="S126">
            <v>30000000</v>
          </cell>
          <cell r="T126">
            <v>24000000</v>
          </cell>
          <cell r="U126">
            <v>16000000</v>
          </cell>
        </row>
        <row r="127">
          <cell r="M127">
            <v>10000000</v>
          </cell>
          <cell r="N127">
            <v>10000000</v>
          </cell>
          <cell r="P127">
            <v>30000000</v>
          </cell>
          <cell r="Q127">
            <v>70000000</v>
          </cell>
          <cell r="S127">
            <v>30000000</v>
          </cell>
          <cell r="T127">
            <v>24000000</v>
          </cell>
          <cell r="U127">
            <v>16000000</v>
          </cell>
        </row>
        <row r="128">
          <cell r="M128">
            <v>10000000</v>
          </cell>
          <cell r="N128">
            <v>10000000</v>
          </cell>
          <cell r="P128">
            <v>30000000</v>
          </cell>
          <cell r="Q128">
            <v>70000000</v>
          </cell>
          <cell r="S128">
            <v>30000000</v>
          </cell>
          <cell r="T128">
            <v>24000000</v>
          </cell>
          <cell r="U128">
            <v>16000000</v>
          </cell>
        </row>
        <row r="129">
          <cell r="M129">
            <v>9920000</v>
          </cell>
          <cell r="N129">
            <v>10000000</v>
          </cell>
          <cell r="P129">
            <v>30000000</v>
          </cell>
          <cell r="Q129">
            <v>70000000</v>
          </cell>
          <cell r="S129">
            <v>30000000</v>
          </cell>
          <cell r="T129">
            <v>24000000</v>
          </cell>
          <cell r="U129">
            <v>16000000</v>
          </cell>
        </row>
        <row r="130">
          <cell r="M130">
            <v>10000000</v>
          </cell>
          <cell r="N130">
            <v>10000000</v>
          </cell>
          <cell r="P130">
            <v>30000000</v>
          </cell>
          <cell r="Q130">
            <v>70000000</v>
          </cell>
          <cell r="S130">
            <v>30000000</v>
          </cell>
          <cell r="T130">
            <v>24000000</v>
          </cell>
          <cell r="U130">
            <v>16000000</v>
          </cell>
        </row>
        <row r="131">
          <cell r="M131">
            <v>10000000</v>
          </cell>
          <cell r="N131">
            <v>10000000</v>
          </cell>
          <cell r="P131">
            <v>30000000</v>
          </cell>
          <cell r="Q131">
            <v>70000000</v>
          </cell>
          <cell r="S131">
            <v>30000000</v>
          </cell>
          <cell r="U131">
            <v>16000000</v>
          </cell>
        </row>
        <row r="132">
          <cell r="M132">
            <v>0</v>
          </cell>
          <cell r="N132">
            <v>10000000</v>
          </cell>
          <cell r="P132">
            <v>0</v>
          </cell>
          <cell r="Q132">
            <v>70000000</v>
          </cell>
          <cell r="S132">
            <v>0</v>
          </cell>
          <cell r="T132">
            <v>24000000</v>
          </cell>
        </row>
        <row r="133">
          <cell r="M133">
            <v>10000000</v>
          </cell>
          <cell r="N133">
            <v>0</v>
          </cell>
          <cell r="P133">
            <v>30000000</v>
          </cell>
          <cell r="Q133">
            <v>0</v>
          </cell>
          <cell r="S133">
            <v>30000000</v>
          </cell>
        </row>
        <row r="134">
          <cell r="M134">
            <v>0</v>
          </cell>
          <cell r="N134">
            <v>10000000</v>
          </cell>
          <cell r="P134">
            <v>0</v>
          </cell>
          <cell r="Q134">
            <v>0</v>
          </cell>
          <cell r="S134">
            <v>0</v>
          </cell>
          <cell r="U134">
            <v>16000000</v>
          </cell>
        </row>
        <row r="135">
          <cell r="M135">
            <v>10000000</v>
          </cell>
          <cell r="N135">
            <v>10000000</v>
          </cell>
          <cell r="P135">
            <v>30000000</v>
          </cell>
          <cell r="Q135">
            <v>70000000</v>
          </cell>
          <cell r="S135">
            <v>30000000</v>
          </cell>
          <cell r="T135">
            <v>24000000</v>
          </cell>
          <cell r="U135">
            <v>16000000</v>
          </cell>
        </row>
        <row r="136">
          <cell r="M136">
            <v>10000000</v>
          </cell>
          <cell r="N136">
            <v>10000000</v>
          </cell>
          <cell r="P136">
            <v>30000000</v>
          </cell>
          <cell r="Q136">
            <v>70000000</v>
          </cell>
          <cell r="S136">
            <v>30000000</v>
          </cell>
          <cell r="T136">
            <v>24000000</v>
          </cell>
          <cell r="U136">
            <v>16000000</v>
          </cell>
        </row>
        <row r="137">
          <cell r="M137">
            <v>10000000</v>
          </cell>
          <cell r="N137">
            <v>0</v>
          </cell>
          <cell r="P137">
            <v>0</v>
          </cell>
          <cell r="Q137">
            <v>70000000</v>
          </cell>
          <cell r="S137">
            <v>30000000</v>
          </cell>
          <cell r="U137">
            <v>16000000</v>
          </cell>
        </row>
        <row r="138">
          <cell r="M138">
            <v>0</v>
          </cell>
          <cell r="N138">
            <v>10000000</v>
          </cell>
          <cell r="P138">
            <v>30000000</v>
          </cell>
          <cell r="Q138">
            <v>0</v>
          </cell>
          <cell r="S138">
            <v>0</v>
          </cell>
          <cell r="T138">
            <v>24000000</v>
          </cell>
        </row>
        <row r="139">
          <cell r="M139">
            <v>10000000</v>
          </cell>
          <cell r="N139">
            <v>10000000</v>
          </cell>
          <cell r="P139">
            <v>30000000</v>
          </cell>
          <cell r="Q139">
            <v>70000000</v>
          </cell>
          <cell r="S139">
            <v>30000000</v>
          </cell>
          <cell r="T139">
            <v>24000000</v>
          </cell>
          <cell r="U139">
            <v>16000000</v>
          </cell>
        </row>
        <row r="140">
          <cell r="M140">
            <v>10000000</v>
          </cell>
          <cell r="N140">
            <v>10000000</v>
          </cell>
          <cell r="P140">
            <v>30000000</v>
          </cell>
          <cell r="Q140">
            <v>70000000</v>
          </cell>
          <cell r="S140">
            <v>30000000</v>
          </cell>
          <cell r="T140">
            <v>24000000</v>
          </cell>
          <cell r="U140">
            <v>16000000</v>
          </cell>
        </row>
        <row r="141">
          <cell r="M141">
            <v>10000000</v>
          </cell>
          <cell r="N141">
            <v>0</v>
          </cell>
          <cell r="P141">
            <v>0</v>
          </cell>
          <cell r="Q141">
            <v>70000000</v>
          </cell>
          <cell r="S141">
            <v>30000000</v>
          </cell>
          <cell r="U141">
            <v>16000000</v>
          </cell>
        </row>
        <row r="142">
          <cell r="M142">
            <v>0</v>
          </cell>
          <cell r="N142">
            <v>10000000</v>
          </cell>
          <cell r="P142">
            <v>30000000</v>
          </cell>
          <cell r="Q142">
            <v>0</v>
          </cell>
          <cell r="S142">
            <v>0</v>
          </cell>
          <cell r="T142">
            <v>24000000</v>
          </cell>
        </row>
        <row r="143">
          <cell r="M143">
            <v>10000000</v>
          </cell>
          <cell r="N143">
            <v>10000000</v>
          </cell>
          <cell r="P143">
            <v>30000000</v>
          </cell>
          <cell r="Q143">
            <v>70000000</v>
          </cell>
          <cell r="S143">
            <v>30000000</v>
          </cell>
          <cell r="T143">
            <v>24000000</v>
          </cell>
          <cell r="U143">
            <v>16000000</v>
          </cell>
        </row>
        <row r="144">
          <cell r="M144">
            <v>10000000</v>
          </cell>
          <cell r="N144">
            <v>10000000</v>
          </cell>
          <cell r="P144">
            <v>30000000</v>
          </cell>
          <cell r="Q144">
            <v>70000000</v>
          </cell>
          <cell r="S144">
            <v>30000000</v>
          </cell>
          <cell r="T144">
            <v>24000000</v>
          </cell>
          <cell r="U144">
            <v>16000000</v>
          </cell>
        </row>
        <row r="145">
          <cell r="M145">
            <v>8500000</v>
          </cell>
          <cell r="N145">
            <v>0</v>
          </cell>
          <cell r="P145">
            <v>0</v>
          </cell>
          <cell r="Q145">
            <v>0</v>
          </cell>
          <cell r="S145">
            <v>0</v>
          </cell>
          <cell r="T145">
            <v>0</v>
          </cell>
        </row>
        <row r="146">
          <cell r="M146">
            <v>10000000</v>
          </cell>
          <cell r="N146">
            <v>10000000</v>
          </cell>
          <cell r="P146">
            <v>30000000</v>
          </cell>
          <cell r="Q146">
            <v>70000000</v>
          </cell>
          <cell r="S146">
            <v>30000000</v>
          </cell>
          <cell r="T146">
            <v>24000000</v>
          </cell>
          <cell r="U146">
            <v>16000000</v>
          </cell>
        </row>
        <row r="147">
          <cell r="M147">
            <v>10000000</v>
          </cell>
          <cell r="N147">
            <v>10000000</v>
          </cell>
          <cell r="P147">
            <v>30000000</v>
          </cell>
          <cell r="Q147">
            <v>70000000</v>
          </cell>
          <cell r="S147">
            <v>30000000</v>
          </cell>
          <cell r="T147">
            <v>24000000</v>
          </cell>
          <cell r="U147">
            <v>16000000</v>
          </cell>
        </row>
        <row r="148">
          <cell r="M148">
            <v>10000000</v>
          </cell>
          <cell r="N148">
            <v>10000000</v>
          </cell>
          <cell r="P148">
            <v>30000000</v>
          </cell>
          <cell r="Q148">
            <v>70000000</v>
          </cell>
          <cell r="S148">
            <v>30000000</v>
          </cell>
          <cell r="T148">
            <v>24000000</v>
          </cell>
          <cell r="U148">
            <v>16000000</v>
          </cell>
        </row>
        <row r="149">
          <cell r="M149">
            <v>10000000</v>
          </cell>
          <cell r="N149">
            <v>10000000</v>
          </cell>
          <cell r="P149">
            <v>30000000</v>
          </cell>
          <cell r="Q149">
            <v>70000000</v>
          </cell>
          <cell r="S149">
            <v>30000000</v>
          </cell>
          <cell r="T149">
            <v>24000000</v>
          </cell>
          <cell r="U149">
            <v>16000000</v>
          </cell>
        </row>
        <row r="150">
          <cell r="M150">
            <v>10000000</v>
          </cell>
          <cell r="N150">
            <v>10000000</v>
          </cell>
          <cell r="P150">
            <v>30000000</v>
          </cell>
          <cell r="Q150">
            <v>70000000</v>
          </cell>
          <cell r="S150">
            <v>30000000</v>
          </cell>
          <cell r="T150">
            <v>24000000</v>
          </cell>
          <cell r="U150">
            <v>16000000</v>
          </cell>
        </row>
        <row r="151">
          <cell r="M151">
            <v>0</v>
          </cell>
          <cell r="N151">
            <v>0</v>
          </cell>
          <cell r="P151">
            <v>0</v>
          </cell>
          <cell r="Q151">
            <v>0</v>
          </cell>
          <cell r="S151">
            <v>0</v>
          </cell>
          <cell r="U151">
            <v>16000000</v>
          </cell>
        </row>
        <row r="152">
          <cell r="M152">
            <v>10000000</v>
          </cell>
          <cell r="N152">
            <v>10000000</v>
          </cell>
          <cell r="P152">
            <v>30000000</v>
          </cell>
          <cell r="Q152">
            <v>70000000</v>
          </cell>
          <cell r="S152">
            <v>30000000</v>
          </cell>
          <cell r="T152">
            <v>24000000</v>
          </cell>
          <cell r="U152">
            <v>16000000</v>
          </cell>
        </row>
        <row r="153">
          <cell r="M153">
            <v>10000000</v>
          </cell>
          <cell r="N153">
            <v>10000000</v>
          </cell>
          <cell r="P153">
            <v>30000000</v>
          </cell>
          <cell r="Q153">
            <v>70000000</v>
          </cell>
          <cell r="S153">
            <v>30000000</v>
          </cell>
          <cell r="T153">
            <v>24000000</v>
          </cell>
          <cell r="U153">
            <v>16000000</v>
          </cell>
        </row>
        <row r="154">
          <cell r="M154">
            <v>10000000</v>
          </cell>
          <cell r="N154">
            <v>10000000</v>
          </cell>
          <cell r="P154">
            <v>30000000</v>
          </cell>
          <cell r="Q154">
            <v>70000000</v>
          </cell>
          <cell r="S154">
            <v>30000000</v>
          </cell>
          <cell r="T154">
            <v>24000000</v>
          </cell>
          <cell r="U154">
            <v>16000000</v>
          </cell>
        </row>
        <row r="155">
          <cell r="M155">
            <v>10000000</v>
          </cell>
          <cell r="N155">
            <v>10000000</v>
          </cell>
          <cell r="P155">
            <v>30000000</v>
          </cell>
          <cell r="Q155">
            <v>70000000</v>
          </cell>
          <cell r="S155">
            <v>30000000</v>
          </cell>
          <cell r="T155">
            <v>24000000</v>
          </cell>
          <cell r="U155">
            <v>16000000</v>
          </cell>
        </row>
        <row r="156">
          <cell r="M156">
            <v>0</v>
          </cell>
          <cell r="N156">
            <v>10000000</v>
          </cell>
          <cell r="P156">
            <v>0</v>
          </cell>
          <cell r="Q156">
            <v>70000000</v>
          </cell>
          <cell r="S156">
            <v>30000000</v>
          </cell>
          <cell r="U156">
            <v>16000000</v>
          </cell>
        </row>
        <row r="157">
          <cell r="M157">
            <v>0</v>
          </cell>
          <cell r="N157">
            <v>0</v>
          </cell>
          <cell r="P157">
            <v>30000000</v>
          </cell>
          <cell r="Q157">
            <v>70000000</v>
          </cell>
          <cell r="S157">
            <v>30000000</v>
          </cell>
          <cell r="T157">
            <v>24000000</v>
          </cell>
          <cell r="U157">
            <v>16000000</v>
          </cell>
        </row>
        <row r="158">
          <cell r="M158">
            <v>0</v>
          </cell>
          <cell r="N158">
            <v>0</v>
          </cell>
          <cell r="S158">
            <v>0</v>
          </cell>
          <cell r="T158">
            <v>24000000</v>
          </cell>
          <cell r="U158">
            <v>0</v>
          </cell>
        </row>
      </sheetData>
      <sheetData sheetId="25">
        <row r="12">
          <cell r="D12">
            <v>18318965.5</v>
          </cell>
          <cell r="E12">
            <v>8000000</v>
          </cell>
          <cell r="F12">
            <v>500000</v>
          </cell>
          <cell r="G12">
            <v>16000000</v>
          </cell>
          <cell r="H12">
            <v>1866000</v>
          </cell>
          <cell r="I12">
            <v>0</v>
          </cell>
          <cell r="J12">
            <v>20000000</v>
          </cell>
          <cell r="K12">
            <v>0</v>
          </cell>
          <cell r="L12">
            <v>10000000</v>
          </cell>
          <cell r="M12">
            <v>10000000</v>
          </cell>
          <cell r="N12">
            <v>11250000</v>
          </cell>
          <cell r="O12">
            <v>0</v>
          </cell>
          <cell r="P12">
            <v>18000000</v>
          </cell>
          <cell r="Q12">
            <v>23400000</v>
          </cell>
          <cell r="R12">
            <v>0</v>
          </cell>
          <cell r="S12">
            <v>43000000</v>
          </cell>
          <cell r="T12">
            <v>37160000</v>
          </cell>
          <cell r="U12">
            <v>0</v>
          </cell>
          <cell r="V12">
            <v>112670000</v>
          </cell>
          <cell r="W12">
            <v>0</v>
          </cell>
          <cell r="X12">
            <v>125000000</v>
          </cell>
          <cell r="Y12">
            <v>10000000</v>
          </cell>
          <cell r="Z12">
            <v>0</v>
          </cell>
          <cell r="AA12">
            <v>210000000</v>
          </cell>
          <cell r="AB12">
            <v>10000000</v>
          </cell>
          <cell r="AC12">
            <v>0</v>
          </cell>
          <cell r="AD12">
            <v>215000000</v>
          </cell>
          <cell r="AE12">
            <v>10000000</v>
          </cell>
          <cell r="AF12">
            <v>0</v>
          </cell>
          <cell r="AG12">
            <v>198250000</v>
          </cell>
          <cell r="AH12">
            <v>10000000</v>
          </cell>
          <cell r="AI12">
            <v>421500000</v>
          </cell>
          <cell r="AJ12">
            <v>43920000</v>
          </cell>
          <cell r="AK12">
            <v>4000000</v>
          </cell>
          <cell r="AL12">
            <v>0</v>
          </cell>
          <cell r="AM12">
            <v>7000000</v>
          </cell>
          <cell r="AN12">
            <v>1880000000</v>
          </cell>
          <cell r="AO12">
            <v>226350870</v>
          </cell>
          <cell r="AP12">
            <v>12000000</v>
          </cell>
          <cell r="AQ12">
            <v>0</v>
          </cell>
          <cell r="AR12">
            <v>4000000</v>
          </cell>
          <cell r="AS12">
            <v>0</v>
          </cell>
          <cell r="AT12">
            <v>0</v>
          </cell>
          <cell r="AU12">
            <v>51750000</v>
          </cell>
          <cell r="AV12">
            <v>0</v>
          </cell>
          <cell r="AW12">
            <v>0</v>
          </cell>
          <cell r="AX12">
            <v>716400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</row>
        <row r="13">
          <cell r="D13">
            <v>18318743.800000001</v>
          </cell>
          <cell r="E13">
            <v>8000000</v>
          </cell>
          <cell r="F13">
            <v>500000</v>
          </cell>
          <cell r="G13">
            <v>16000000</v>
          </cell>
          <cell r="H13">
            <v>1866000</v>
          </cell>
          <cell r="I13">
            <v>4000000</v>
          </cell>
          <cell r="J13">
            <v>20000000</v>
          </cell>
          <cell r="K13">
            <v>0</v>
          </cell>
          <cell r="L13">
            <v>10000000</v>
          </cell>
          <cell r="M13">
            <v>10000000</v>
          </cell>
          <cell r="N13">
            <v>15000000</v>
          </cell>
          <cell r="O13">
            <v>10000000</v>
          </cell>
          <cell r="P13">
            <v>18000000</v>
          </cell>
          <cell r="Q13">
            <v>23400000</v>
          </cell>
          <cell r="R13">
            <v>0</v>
          </cell>
          <cell r="S13">
            <v>43000400</v>
          </cell>
          <cell r="T13">
            <v>35747400</v>
          </cell>
          <cell r="U13">
            <v>0</v>
          </cell>
          <cell r="V13">
            <v>112670000</v>
          </cell>
          <cell r="W13">
            <v>0</v>
          </cell>
          <cell r="X13">
            <v>125000000</v>
          </cell>
          <cell r="Y13">
            <v>10000000</v>
          </cell>
          <cell r="Z13">
            <v>200000000</v>
          </cell>
          <cell r="AA13">
            <v>178500000</v>
          </cell>
          <cell r="AB13">
            <v>10000000</v>
          </cell>
          <cell r="AC13">
            <v>262000000</v>
          </cell>
          <cell r="AD13">
            <v>182750000</v>
          </cell>
          <cell r="AE13">
            <v>10000000</v>
          </cell>
          <cell r="AF13">
            <v>0</v>
          </cell>
          <cell r="AG13">
            <v>276250000</v>
          </cell>
          <cell r="AH13">
            <v>10000000</v>
          </cell>
          <cell r="AI13">
            <v>0</v>
          </cell>
          <cell r="AJ13">
            <v>61200000</v>
          </cell>
          <cell r="AK13">
            <v>0</v>
          </cell>
          <cell r="AL13">
            <v>0</v>
          </cell>
          <cell r="AM13">
            <v>7000000</v>
          </cell>
          <cell r="AN13">
            <v>0</v>
          </cell>
          <cell r="AO13">
            <v>0</v>
          </cell>
          <cell r="AP13">
            <v>12000000</v>
          </cell>
          <cell r="AQ13">
            <v>0</v>
          </cell>
          <cell r="AR13">
            <v>0</v>
          </cell>
          <cell r="AS13">
            <v>127500000</v>
          </cell>
          <cell r="AT13">
            <v>0</v>
          </cell>
          <cell r="AU13">
            <v>51000000</v>
          </cell>
          <cell r="AV13">
            <v>0</v>
          </cell>
          <cell r="AW13">
            <v>0</v>
          </cell>
          <cell r="AX13">
            <v>17660200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</row>
        <row r="14">
          <cell r="D14">
            <v>18318965.5</v>
          </cell>
          <cell r="E14">
            <v>8000000</v>
          </cell>
          <cell r="F14">
            <v>500000</v>
          </cell>
          <cell r="G14">
            <v>16000000</v>
          </cell>
          <cell r="H14">
            <v>0</v>
          </cell>
          <cell r="I14">
            <v>0</v>
          </cell>
          <cell r="J14">
            <v>20000000</v>
          </cell>
          <cell r="K14">
            <v>0</v>
          </cell>
          <cell r="L14">
            <v>10000000</v>
          </cell>
          <cell r="M14">
            <v>10000000</v>
          </cell>
          <cell r="N14">
            <v>15000000</v>
          </cell>
          <cell r="O14">
            <v>0</v>
          </cell>
          <cell r="P14">
            <v>18000000</v>
          </cell>
          <cell r="Q14">
            <v>23400000</v>
          </cell>
          <cell r="R14">
            <v>0</v>
          </cell>
          <cell r="S14">
            <v>43000000</v>
          </cell>
          <cell r="T14">
            <v>37160000</v>
          </cell>
          <cell r="U14">
            <v>0</v>
          </cell>
          <cell r="V14">
            <v>112670000</v>
          </cell>
          <cell r="W14">
            <v>0</v>
          </cell>
          <cell r="X14">
            <v>125000000</v>
          </cell>
          <cell r="Y14">
            <v>9971000</v>
          </cell>
          <cell r="Z14">
            <v>120000000</v>
          </cell>
          <cell r="AA14">
            <v>210000000</v>
          </cell>
          <cell r="AB14">
            <v>9971000</v>
          </cell>
          <cell r="AC14">
            <v>206520000</v>
          </cell>
          <cell r="AD14">
            <v>126850000</v>
          </cell>
          <cell r="AE14">
            <v>10000000</v>
          </cell>
          <cell r="AF14">
            <v>100000000</v>
          </cell>
          <cell r="AG14">
            <v>191750000</v>
          </cell>
          <cell r="AH14">
            <v>10000000</v>
          </cell>
          <cell r="AI14">
            <v>50000000</v>
          </cell>
          <cell r="AJ14">
            <v>0</v>
          </cell>
          <cell r="AK14">
            <v>8000000</v>
          </cell>
          <cell r="AL14">
            <v>0</v>
          </cell>
          <cell r="AM14">
            <v>7000000</v>
          </cell>
          <cell r="AN14">
            <v>0</v>
          </cell>
          <cell r="AO14">
            <v>0</v>
          </cell>
          <cell r="AP14">
            <v>12000000</v>
          </cell>
          <cell r="AQ14">
            <v>0</v>
          </cell>
          <cell r="AR14">
            <v>8000000</v>
          </cell>
          <cell r="AS14">
            <v>127500000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19839600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</row>
        <row r="15">
          <cell r="D15">
            <v>18321965.489999998</v>
          </cell>
          <cell r="E15">
            <v>8000000</v>
          </cell>
          <cell r="F15">
            <v>500000</v>
          </cell>
          <cell r="G15">
            <v>16000000</v>
          </cell>
          <cell r="H15">
            <v>477000</v>
          </cell>
          <cell r="I15">
            <v>4000000</v>
          </cell>
          <cell r="J15">
            <v>20000000</v>
          </cell>
          <cell r="K15">
            <v>0</v>
          </cell>
          <cell r="L15">
            <v>10000000</v>
          </cell>
          <cell r="M15">
            <v>10000000</v>
          </cell>
          <cell r="N15">
            <v>15000000</v>
          </cell>
          <cell r="O15">
            <v>10000000</v>
          </cell>
          <cell r="P15">
            <v>18000000</v>
          </cell>
          <cell r="Q15">
            <v>23400000</v>
          </cell>
          <cell r="R15">
            <v>0</v>
          </cell>
          <cell r="S15">
            <v>43000000</v>
          </cell>
          <cell r="T15">
            <v>37160000</v>
          </cell>
          <cell r="U15">
            <v>0</v>
          </cell>
          <cell r="V15">
            <v>112670000</v>
          </cell>
          <cell r="W15">
            <v>0</v>
          </cell>
          <cell r="X15">
            <v>125000000</v>
          </cell>
          <cell r="Y15">
            <v>9999200</v>
          </cell>
          <cell r="Z15">
            <v>0</v>
          </cell>
          <cell r="AA15">
            <v>210000000</v>
          </cell>
          <cell r="AB15">
            <v>10000000</v>
          </cell>
          <cell r="AC15">
            <v>80000000</v>
          </cell>
          <cell r="AD15">
            <v>215000000</v>
          </cell>
          <cell r="AE15">
            <v>9981600</v>
          </cell>
          <cell r="AF15">
            <v>30000000</v>
          </cell>
          <cell r="AG15">
            <v>325000000</v>
          </cell>
          <cell r="AH15">
            <v>10000000</v>
          </cell>
          <cell r="AI15">
            <v>50000000</v>
          </cell>
          <cell r="AJ15">
            <v>61200000</v>
          </cell>
          <cell r="AK15">
            <v>4000000</v>
          </cell>
          <cell r="AL15">
            <v>0</v>
          </cell>
          <cell r="AM15">
            <v>7000000</v>
          </cell>
          <cell r="AN15">
            <v>100000000</v>
          </cell>
          <cell r="AO15">
            <v>315406950</v>
          </cell>
          <cell r="AP15">
            <v>12000000</v>
          </cell>
          <cell r="AQ15">
            <v>0</v>
          </cell>
          <cell r="AR15">
            <v>4000000</v>
          </cell>
          <cell r="AS15">
            <v>150000000</v>
          </cell>
          <cell r="AT15">
            <v>0</v>
          </cell>
          <cell r="AU15">
            <v>51000000</v>
          </cell>
          <cell r="AV15">
            <v>0</v>
          </cell>
          <cell r="AW15">
            <v>0</v>
          </cell>
          <cell r="AX15">
            <v>16869000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</row>
        <row r="16">
          <cell r="D16">
            <v>18318965.5</v>
          </cell>
          <cell r="E16">
            <v>8000000</v>
          </cell>
          <cell r="F16">
            <v>500000</v>
          </cell>
          <cell r="G16">
            <v>16000000</v>
          </cell>
          <cell r="H16">
            <v>819000</v>
          </cell>
          <cell r="I16">
            <v>0</v>
          </cell>
          <cell r="J16">
            <v>20000000</v>
          </cell>
          <cell r="K16">
            <v>0</v>
          </cell>
          <cell r="L16">
            <v>10000000</v>
          </cell>
          <cell r="M16">
            <v>10000000</v>
          </cell>
          <cell r="N16">
            <v>15000000</v>
          </cell>
          <cell r="O16">
            <v>0</v>
          </cell>
          <cell r="P16">
            <v>18000000</v>
          </cell>
          <cell r="Q16">
            <v>23400000</v>
          </cell>
          <cell r="R16">
            <v>0</v>
          </cell>
          <cell r="S16">
            <v>43000000</v>
          </cell>
          <cell r="T16">
            <v>37160000</v>
          </cell>
          <cell r="U16">
            <v>0</v>
          </cell>
          <cell r="V16">
            <v>112670000</v>
          </cell>
          <cell r="W16">
            <v>140000000</v>
          </cell>
          <cell r="X16">
            <v>106250000</v>
          </cell>
          <cell r="Y16">
            <v>10000000</v>
          </cell>
          <cell r="Z16">
            <v>0</v>
          </cell>
          <cell r="AA16">
            <v>178500000</v>
          </cell>
          <cell r="AB16">
            <v>10000000</v>
          </cell>
          <cell r="AC16">
            <v>255000000</v>
          </cell>
          <cell r="AD16">
            <v>182750000</v>
          </cell>
          <cell r="AE16">
            <v>10000000</v>
          </cell>
          <cell r="AF16">
            <v>0</v>
          </cell>
          <cell r="AG16">
            <v>0</v>
          </cell>
          <cell r="AH16">
            <v>10000000</v>
          </cell>
          <cell r="AI16">
            <v>250000000</v>
          </cell>
          <cell r="AJ16">
            <v>0</v>
          </cell>
          <cell r="AK16">
            <v>0</v>
          </cell>
          <cell r="AL16">
            <v>0</v>
          </cell>
          <cell r="AM16">
            <v>7000000</v>
          </cell>
          <cell r="AN16">
            <v>318500000</v>
          </cell>
          <cell r="AO16">
            <v>0</v>
          </cell>
          <cell r="AP16">
            <v>12000000</v>
          </cell>
          <cell r="AQ16">
            <v>0</v>
          </cell>
          <cell r="AR16">
            <v>0</v>
          </cell>
          <cell r="AS16">
            <v>127500000</v>
          </cell>
          <cell r="AT16">
            <v>0</v>
          </cell>
          <cell r="AU16">
            <v>51000000</v>
          </cell>
          <cell r="AV16">
            <v>0</v>
          </cell>
          <cell r="AW16">
            <v>0</v>
          </cell>
          <cell r="AX16">
            <v>19585000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</row>
        <row r="17">
          <cell r="D17">
            <v>18318965.600000001</v>
          </cell>
          <cell r="E17">
            <v>8000000</v>
          </cell>
          <cell r="F17">
            <v>500000</v>
          </cell>
          <cell r="G17">
            <v>16000000</v>
          </cell>
          <cell r="H17">
            <v>370000</v>
          </cell>
          <cell r="I17">
            <v>4000000</v>
          </cell>
          <cell r="J17">
            <v>20000000</v>
          </cell>
          <cell r="K17">
            <v>0</v>
          </cell>
          <cell r="L17">
            <v>10000000</v>
          </cell>
          <cell r="M17">
            <v>10000000</v>
          </cell>
          <cell r="N17">
            <v>15000000</v>
          </cell>
          <cell r="O17">
            <v>10000000</v>
          </cell>
          <cell r="P17">
            <v>18000000</v>
          </cell>
          <cell r="Q17">
            <v>23400000</v>
          </cell>
          <cell r="R17">
            <v>0</v>
          </cell>
          <cell r="S17">
            <v>43000000</v>
          </cell>
          <cell r="T17">
            <v>37160000</v>
          </cell>
          <cell r="U17">
            <v>0</v>
          </cell>
          <cell r="V17">
            <v>112670000</v>
          </cell>
          <cell r="W17">
            <v>0</v>
          </cell>
          <cell r="X17">
            <v>125002549.98999999</v>
          </cell>
          <cell r="Y17">
            <v>10000000</v>
          </cell>
          <cell r="Z17">
            <v>0</v>
          </cell>
          <cell r="AA17">
            <v>210000000</v>
          </cell>
          <cell r="AB17">
            <v>10000000</v>
          </cell>
          <cell r="AC17">
            <v>150000000</v>
          </cell>
          <cell r="AD17">
            <v>215000000</v>
          </cell>
          <cell r="AE17">
            <v>10000000</v>
          </cell>
          <cell r="AF17">
            <v>70000000</v>
          </cell>
          <cell r="AG17">
            <v>276250000</v>
          </cell>
          <cell r="AH17">
            <v>10000000</v>
          </cell>
          <cell r="AI17">
            <v>450000000</v>
          </cell>
          <cell r="AJ17">
            <v>61200000</v>
          </cell>
          <cell r="AK17">
            <v>6800000</v>
          </cell>
          <cell r="AL17">
            <v>0</v>
          </cell>
          <cell r="AM17">
            <v>7000000</v>
          </cell>
          <cell r="AN17">
            <v>667500000</v>
          </cell>
          <cell r="AO17">
            <v>0</v>
          </cell>
          <cell r="AP17">
            <v>17430</v>
          </cell>
          <cell r="AQ17">
            <v>0</v>
          </cell>
          <cell r="AR17">
            <v>0</v>
          </cell>
          <cell r="AS17">
            <v>127500000</v>
          </cell>
          <cell r="AT17">
            <v>0</v>
          </cell>
          <cell r="AU17">
            <v>50250000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</row>
        <row r="18">
          <cell r="D18">
            <v>18318965.5</v>
          </cell>
          <cell r="E18">
            <v>8000000</v>
          </cell>
          <cell r="F18">
            <v>500000</v>
          </cell>
          <cell r="G18">
            <v>16000000</v>
          </cell>
          <cell r="H18">
            <v>1765000</v>
          </cell>
          <cell r="I18">
            <v>0</v>
          </cell>
          <cell r="J18">
            <v>20000000</v>
          </cell>
          <cell r="K18">
            <v>0</v>
          </cell>
          <cell r="L18">
            <v>10000000</v>
          </cell>
          <cell r="M18">
            <v>10000000</v>
          </cell>
          <cell r="N18">
            <v>15000000</v>
          </cell>
          <cell r="O18">
            <v>0</v>
          </cell>
          <cell r="P18">
            <v>18000000</v>
          </cell>
          <cell r="Q18">
            <v>23400000</v>
          </cell>
          <cell r="R18">
            <v>0</v>
          </cell>
          <cell r="S18">
            <v>43000000</v>
          </cell>
          <cell r="T18">
            <v>37160000</v>
          </cell>
          <cell r="U18">
            <v>75059969.189999998</v>
          </cell>
          <cell r="V18">
            <v>112670000</v>
          </cell>
          <cell r="W18">
            <v>21250000</v>
          </cell>
          <cell r="X18">
            <v>125000000</v>
          </cell>
          <cell r="Y18">
            <v>10000000</v>
          </cell>
          <cell r="Z18">
            <v>660000000</v>
          </cell>
          <cell r="AA18">
            <v>210000000</v>
          </cell>
          <cell r="AB18">
            <v>10000000</v>
          </cell>
          <cell r="AC18">
            <v>50000000</v>
          </cell>
          <cell r="AD18">
            <v>120400000</v>
          </cell>
          <cell r="AE18">
            <v>10000000</v>
          </cell>
          <cell r="AF18">
            <v>75000000</v>
          </cell>
          <cell r="AG18">
            <v>182000000</v>
          </cell>
          <cell r="AH18">
            <v>10000000</v>
          </cell>
          <cell r="AI18">
            <v>70000000</v>
          </cell>
          <cell r="AJ18">
            <v>0</v>
          </cell>
          <cell r="AK18">
            <v>0</v>
          </cell>
          <cell r="AL18">
            <v>0</v>
          </cell>
          <cell r="AM18">
            <v>6912200</v>
          </cell>
          <cell r="AN18">
            <v>1635000000</v>
          </cell>
          <cell r="AO18">
            <v>0</v>
          </cell>
          <cell r="AP18">
            <v>12000000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4502000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</row>
        <row r="19">
          <cell r="D19">
            <v>18318965.5</v>
          </cell>
          <cell r="E19">
            <v>8000000</v>
          </cell>
          <cell r="F19">
            <v>500000</v>
          </cell>
          <cell r="G19">
            <v>16000000</v>
          </cell>
          <cell r="H19">
            <v>255000</v>
          </cell>
          <cell r="I19">
            <v>4000000</v>
          </cell>
          <cell r="J19">
            <v>20000000</v>
          </cell>
          <cell r="K19">
            <v>0</v>
          </cell>
          <cell r="L19">
            <v>10000000</v>
          </cell>
          <cell r="M19">
            <v>10000000</v>
          </cell>
          <cell r="N19">
            <v>15000000</v>
          </cell>
          <cell r="O19">
            <v>10000000</v>
          </cell>
          <cell r="P19">
            <v>18000000</v>
          </cell>
          <cell r="Q19">
            <v>23400000</v>
          </cell>
          <cell r="R19">
            <v>0</v>
          </cell>
          <cell r="S19">
            <v>43000000</v>
          </cell>
          <cell r="T19">
            <v>37160000</v>
          </cell>
          <cell r="V19">
            <v>112670000</v>
          </cell>
          <cell r="W19">
            <v>110592000</v>
          </cell>
          <cell r="X19">
            <v>125000000</v>
          </cell>
          <cell r="Y19">
            <v>10000000</v>
          </cell>
          <cell r="Z19">
            <v>660000000</v>
          </cell>
          <cell r="AA19">
            <v>210000000</v>
          </cell>
          <cell r="AB19">
            <v>10000000</v>
          </cell>
          <cell r="AC19">
            <v>300000000</v>
          </cell>
          <cell r="AD19">
            <v>215000000</v>
          </cell>
          <cell r="AE19">
            <v>10000000</v>
          </cell>
          <cell r="AF19">
            <v>0</v>
          </cell>
          <cell r="AG19">
            <v>325000000</v>
          </cell>
          <cell r="AH19">
            <v>10000000</v>
          </cell>
          <cell r="AI19">
            <v>100000000</v>
          </cell>
          <cell r="AJ19">
            <v>41760000</v>
          </cell>
          <cell r="AK19">
            <v>4560000</v>
          </cell>
          <cell r="AL19">
            <v>1700000</v>
          </cell>
          <cell r="AM19">
            <v>7000000</v>
          </cell>
          <cell r="AN19">
            <v>1150000000</v>
          </cell>
          <cell r="AO19">
            <v>215218860</v>
          </cell>
          <cell r="AP19">
            <v>12000000</v>
          </cell>
          <cell r="AQ19">
            <v>0</v>
          </cell>
          <cell r="AR19">
            <v>4560000</v>
          </cell>
          <cell r="AS19">
            <v>0</v>
          </cell>
          <cell r="AT19">
            <v>0</v>
          </cell>
          <cell r="AU19">
            <v>51000000</v>
          </cell>
          <cell r="AV19">
            <v>0</v>
          </cell>
          <cell r="AW19">
            <v>0</v>
          </cell>
          <cell r="AX19">
            <v>8413985.5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</row>
        <row r="20">
          <cell r="D20">
            <v>18318965.5</v>
          </cell>
          <cell r="E20">
            <v>8000000</v>
          </cell>
          <cell r="F20">
            <v>500000</v>
          </cell>
          <cell r="G20">
            <v>16000000</v>
          </cell>
          <cell r="H20">
            <v>1489000</v>
          </cell>
          <cell r="J20">
            <v>20000000</v>
          </cell>
          <cell r="K20">
            <v>0</v>
          </cell>
          <cell r="L20">
            <v>10000000</v>
          </cell>
          <cell r="M20">
            <v>10000000</v>
          </cell>
          <cell r="N20">
            <v>15000000</v>
          </cell>
          <cell r="O20">
            <v>0</v>
          </cell>
          <cell r="P20">
            <v>18000000</v>
          </cell>
          <cell r="Q20">
            <v>14274000</v>
          </cell>
          <cell r="R20">
            <v>0</v>
          </cell>
          <cell r="S20">
            <v>43000000</v>
          </cell>
          <cell r="T20">
            <v>37160000</v>
          </cell>
          <cell r="U20">
            <v>0</v>
          </cell>
          <cell r="V20">
            <v>112670000</v>
          </cell>
          <cell r="W20">
            <v>25000000</v>
          </cell>
          <cell r="X20">
            <v>125000000</v>
          </cell>
          <cell r="Y20">
            <v>10000000</v>
          </cell>
          <cell r="Z20">
            <v>0</v>
          </cell>
          <cell r="AA20">
            <v>178500000</v>
          </cell>
          <cell r="AB20">
            <v>10000000</v>
          </cell>
          <cell r="AC20">
            <v>0</v>
          </cell>
          <cell r="AD20">
            <v>182750000</v>
          </cell>
          <cell r="AE20">
            <v>10000000</v>
          </cell>
          <cell r="AF20">
            <v>0</v>
          </cell>
          <cell r="AG20">
            <v>276250000</v>
          </cell>
          <cell r="AH20">
            <v>10000000</v>
          </cell>
          <cell r="AI20">
            <v>100000000</v>
          </cell>
          <cell r="AJ20">
            <v>0</v>
          </cell>
          <cell r="AK20">
            <v>0</v>
          </cell>
          <cell r="AL20">
            <v>0</v>
          </cell>
          <cell r="AM20">
            <v>6983800</v>
          </cell>
          <cell r="AN20">
            <v>500000000</v>
          </cell>
          <cell r="AO20">
            <v>0</v>
          </cell>
          <cell r="AP20">
            <v>11918800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</row>
        <row r="21">
          <cell r="D21">
            <v>18318965.399999999</v>
          </cell>
          <cell r="E21">
            <v>8000000</v>
          </cell>
          <cell r="F21">
            <v>500000</v>
          </cell>
          <cell r="G21">
            <v>16000000</v>
          </cell>
          <cell r="H21">
            <v>528000</v>
          </cell>
          <cell r="I21">
            <v>0</v>
          </cell>
          <cell r="J21">
            <v>20000000</v>
          </cell>
          <cell r="K21">
            <v>0</v>
          </cell>
          <cell r="L21">
            <v>10000000</v>
          </cell>
          <cell r="M21">
            <v>10000000</v>
          </cell>
          <cell r="N21">
            <v>15000000</v>
          </cell>
          <cell r="O21">
            <v>0</v>
          </cell>
          <cell r="P21">
            <v>18000000</v>
          </cell>
          <cell r="Q21">
            <v>23400000</v>
          </cell>
          <cell r="R21">
            <v>0</v>
          </cell>
          <cell r="S21">
            <v>43000000</v>
          </cell>
          <cell r="T21">
            <v>37160000</v>
          </cell>
          <cell r="U21">
            <v>0</v>
          </cell>
          <cell r="V21">
            <v>112643000</v>
          </cell>
          <cell r="W21">
            <v>200000000</v>
          </cell>
          <cell r="X21">
            <v>125000000</v>
          </cell>
          <cell r="Y21">
            <v>10000000</v>
          </cell>
          <cell r="Z21">
            <v>160000000</v>
          </cell>
          <cell r="AA21">
            <v>210000000</v>
          </cell>
          <cell r="AB21">
            <v>10000000</v>
          </cell>
          <cell r="AC21">
            <v>50000000</v>
          </cell>
          <cell r="AD21">
            <v>215000000</v>
          </cell>
          <cell r="AE21">
            <v>10000000</v>
          </cell>
          <cell r="AF21">
            <v>0</v>
          </cell>
          <cell r="AG21">
            <v>325000000</v>
          </cell>
          <cell r="AH21">
            <v>10000000</v>
          </cell>
          <cell r="AI21">
            <v>150000000</v>
          </cell>
          <cell r="AJ21">
            <v>76880000</v>
          </cell>
          <cell r="AK21">
            <v>3120000</v>
          </cell>
          <cell r="AL21">
            <v>0</v>
          </cell>
          <cell r="AM21">
            <v>7000000</v>
          </cell>
          <cell r="AN21">
            <v>250000000</v>
          </cell>
          <cell r="AO21">
            <v>0</v>
          </cell>
          <cell r="AP21">
            <v>12000000</v>
          </cell>
          <cell r="AQ21">
            <v>0</v>
          </cell>
          <cell r="AR21">
            <v>0</v>
          </cell>
          <cell r="AS21">
            <v>150000000</v>
          </cell>
          <cell r="AT21">
            <v>0</v>
          </cell>
          <cell r="AU21">
            <v>63750000</v>
          </cell>
          <cell r="AV21">
            <v>0</v>
          </cell>
          <cell r="AW21">
            <v>0</v>
          </cell>
          <cell r="AX21">
            <v>13571800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</row>
        <row r="22">
          <cell r="D22">
            <v>18318965.399999999</v>
          </cell>
          <cell r="E22">
            <v>8000000</v>
          </cell>
          <cell r="F22">
            <v>500000</v>
          </cell>
          <cell r="G22">
            <v>16000000</v>
          </cell>
          <cell r="H22">
            <v>0</v>
          </cell>
          <cell r="I22">
            <v>0</v>
          </cell>
          <cell r="J22">
            <v>20000000</v>
          </cell>
          <cell r="K22">
            <v>0</v>
          </cell>
          <cell r="L22">
            <v>10000000</v>
          </cell>
          <cell r="M22">
            <v>10000000</v>
          </cell>
          <cell r="N22">
            <v>15000000</v>
          </cell>
          <cell r="O22">
            <v>0</v>
          </cell>
          <cell r="P22">
            <v>18000000</v>
          </cell>
          <cell r="Q22">
            <v>25776000</v>
          </cell>
          <cell r="R22">
            <v>0</v>
          </cell>
          <cell r="S22">
            <v>43000000</v>
          </cell>
          <cell r="T22">
            <v>37160000</v>
          </cell>
          <cell r="U22">
            <v>0</v>
          </cell>
          <cell r="V22">
            <v>112670000</v>
          </cell>
          <cell r="W22">
            <v>178500000</v>
          </cell>
          <cell r="X22">
            <v>125000000</v>
          </cell>
          <cell r="Y22">
            <v>10000000</v>
          </cell>
          <cell r="Z22">
            <v>0</v>
          </cell>
          <cell r="AA22">
            <v>210000000</v>
          </cell>
          <cell r="AB22">
            <v>10000000</v>
          </cell>
          <cell r="AC22">
            <v>42000000</v>
          </cell>
          <cell r="AD22">
            <v>215000000</v>
          </cell>
          <cell r="AE22">
            <v>10000000</v>
          </cell>
          <cell r="AF22">
            <v>34000000</v>
          </cell>
          <cell r="AG22">
            <v>188500000</v>
          </cell>
          <cell r="AH22">
            <v>10000000</v>
          </cell>
          <cell r="AI22">
            <v>58500000</v>
          </cell>
          <cell r="AJ22">
            <v>41760000</v>
          </cell>
          <cell r="AK22">
            <v>4400000</v>
          </cell>
          <cell r="AL22">
            <v>0</v>
          </cell>
          <cell r="AM22">
            <v>7000000</v>
          </cell>
          <cell r="AN22">
            <v>310000000</v>
          </cell>
          <cell r="AO22">
            <v>215218860</v>
          </cell>
          <cell r="AP22">
            <v>12000000</v>
          </cell>
          <cell r="AQ22">
            <v>0</v>
          </cell>
          <cell r="AR22">
            <v>4400000</v>
          </cell>
          <cell r="AS22">
            <v>0</v>
          </cell>
          <cell r="AT22">
            <v>0</v>
          </cell>
          <cell r="AU22">
            <v>63750000</v>
          </cell>
          <cell r="AV22">
            <v>0</v>
          </cell>
          <cell r="AW22">
            <v>0</v>
          </cell>
          <cell r="AX22">
            <v>15040860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</row>
        <row r="23">
          <cell r="D23">
            <v>18318965.5</v>
          </cell>
          <cell r="E23">
            <v>8000000</v>
          </cell>
          <cell r="F23">
            <v>500000</v>
          </cell>
          <cell r="G23">
            <v>16000000</v>
          </cell>
          <cell r="H23">
            <v>0</v>
          </cell>
          <cell r="I23">
            <v>4000000</v>
          </cell>
          <cell r="J23">
            <v>20000000</v>
          </cell>
          <cell r="K23">
            <v>0</v>
          </cell>
          <cell r="L23">
            <v>10000000</v>
          </cell>
          <cell r="M23">
            <v>10000000</v>
          </cell>
          <cell r="N23">
            <v>15000000</v>
          </cell>
          <cell r="O23">
            <v>10000000</v>
          </cell>
          <cell r="P23">
            <v>18000000</v>
          </cell>
          <cell r="Q23">
            <v>23400000</v>
          </cell>
          <cell r="R23">
            <v>0</v>
          </cell>
          <cell r="S23">
            <v>43000000</v>
          </cell>
          <cell r="T23">
            <v>37160000</v>
          </cell>
          <cell r="U23">
            <v>0</v>
          </cell>
          <cell r="V23">
            <v>112670000</v>
          </cell>
          <cell r="W23">
            <v>50000000</v>
          </cell>
          <cell r="X23">
            <v>125000000</v>
          </cell>
          <cell r="Y23">
            <v>10000000</v>
          </cell>
          <cell r="Z23">
            <v>0</v>
          </cell>
          <cell r="AA23">
            <v>210000000</v>
          </cell>
          <cell r="AB23">
            <v>10000000</v>
          </cell>
          <cell r="AC23">
            <v>100000000</v>
          </cell>
          <cell r="AD23">
            <v>215000000</v>
          </cell>
          <cell r="AE23">
            <v>10000000</v>
          </cell>
          <cell r="AF23">
            <v>0</v>
          </cell>
          <cell r="AG23">
            <v>325000000</v>
          </cell>
          <cell r="AH23">
            <v>10000000</v>
          </cell>
          <cell r="AI23">
            <v>150000000</v>
          </cell>
          <cell r="AJ23">
            <v>72000000</v>
          </cell>
          <cell r="AK23">
            <v>8000000</v>
          </cell>
          <cell r="AL23">
            <v>1700000</v>
          </cell>
          <cell r="AM23">
            <v>7000000</v>
          </cell>
          <cell r="AN23">
            <v>750000000</v>
          </cell>
          <cell r="AO23">
            <v>0</v>
          </cell>
          <cell r="AP23">
            <v>12000000</v>
          </cell>
          <cell r="AQ23">
            <v>0</v>
          </cell>
          <cell r="AR23">
            <v>0</v>
          </cell>
          <cell r="AS23">
            <v>87000000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10090200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</row>
        <row r="24">
          <cell r="D24">
            <v>18318965.5</v>
          </cell>
          <cell r="E24">
            <v>8000000</v>
          </cell>
          <cell r="F24">
            <v>500000</v>
          </cell>
          <cell r="G24">
            <v>16000000</v>
          </cell>
          <cell r="H24">
            <v>488000</v>
          </cell>
          <cell r="I24">
            <v>0</v>
          </cell>
          <cell r="J24">
            <v>20000000</v>
          </cell>
          <cell r="K24">
            <v>0</v>
          </cell>
          <cell r="L24">
            <v>10000000</v>
          </cell>
          <cell r="M24">
            <v>10000000</v>
          </cell>
          <cell r="N24">
            <v>15000000</v>
          </cell>
          <cell r="O24">
            <v>8500000</v>
          </cell>
          <cell r="P24">
            <v>18000000</v>
          </cell>
          <cell r="Q24">
            <v>23400000</v>
          </cell>
          <cell r="R24">
            <v>0</v>
          </cell>
          <cell r="S24">
            <v>26230000</v>
          </cell>
          <cell r="T24">
            <v>22667600</v>
          </cell>
          <cell r="U24">
            <v>0</v>
          </cell>
          <cell r="V24">
            <v>68728700</v>
          </cell>
          <cell r="W24">
            <v>0</v>
          </cell>
          <cell r="X24">
            <v>106250000</v>
          </cell>
          <cell r="Y24">
            <v>10000000</v>
          </cell>
          <cell r="Z24">
            <v>0</v>
          </cell>
          <cell r="AA24">
            <v>121800000</v>
          </cell>
          <cell r="AB24">
            <v>10000000</v>
          </cell>
          <cell r="AC24">
            <v>0</v>
          </cell>
          <cell r="AD24">
            <v>124700000</v>
          </cell>
          <cell r="AE24">
            <v>10000000</v>
          </cell>
          <cell r="AF24">
            <v>0</v>
          </cell>
          <cell r="AG24">
            <v>188500000</v>
          </cell>
          <cell r="AH24">
            <v>10000000</v>
          </cell>
          <cell r="AI24">
            <v>212500000</v>
          </cell>
          <cell r="AJ24">
            <v>41760000</v>
          </cell>
          <cell r="AK24">
            <v>4080000</v>
          </cell>
          <cell r="AL24">
            <v>0</v>
          </cell>
          <cell r="AM24">
            <v>3169400</v>
          </cell>
          <cell r="AN24">
            <v>492500000</v>
          </cell>
          <cell r="AO24">
            <v>0</v>
          </cell>
          <cell r="AP24">
            <v>12000000</v>
          </cell>
          <cell r="AQ24">
            <v>0</v>
          </cell>
          <cell r="AR24">
            <v>4080000</v>
          </cell>
          <cell r="AS24">
            <v>0</v>
          </cell>
          <cell r="AT24">
            <v>0</v>
          </cell>
          <cell r="AU24">
            <v>138750000</v>
          </cell>
          <cell r="AV24">
            <v>0</v>
          </cell>
          <cell r="AW24">
            <v>0</v>
          </cell>
          <cell r="AX24">
            <v>3199000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</row>
        <row r="25">
          <cell r="D25">
            <v>18318965.5</v>
          </cell>
          <cell r="E25">
            <v>8000000</v>
          </cell>
          <cell r="F25">
            <v>500000</v>
          </cell>
          <cell r="G25">
            <v>16000000</v>
          </cell>
          <cell r="H25">
            <v>1830000</v>
          </cell>
          <cell r="I25">
            <v>0</v>
          </cell>
          <cell r="J25">
            <v>20000000</v>
          </cell>
          <cell r="K25">
            <v>0</v>
          </cell>
          <cell r="L25">
            <v>10000000</v>
          </cell>
          <cell r="M25">
            <v>10000000</v>
          </cell>
          <cell r="N25">
            <v>15000000</v>
          </cell>
          <cell r="O25">
            <v>0</v>
          </cell>
          <cell r="P25">
            <v>18000000</v>
          </cell>
          <cell r="Q25">
            <v>23400000</v>
          </cell>
          <cell r="R25">
            <v>0</v>
          </cell>
          <cell r="S25">
            <v>43000000</v>
          </cell>
          <cell r="T25">
            <v>37160000</v>
          </cell>
          <cell r="U25">
            <v>0</v>
          </cell>
          <cell r="V25">
            <v>112670000</v>
          </cell>
          <cell r="W25">
            <v>150000000</v>
          </cell>
          <cell r="X25">
            <v>125000000</v>
          </cell>
          <cell r="Y25">
            <v>10000000</v>
          </cell>
          <cell r="Z25">
            <v>0</v>
          </cell>
          <cell r="AA25">
            <v>210000000</v>
          </cell>
          <cell r="AB25">
            <v>10000000</v>
          </cell>
          <cell r="AC25">
            <v>0</v>
          </cell>
          <cell r="AD25">
            <v>182750000</v>
          </cell>
          <cell r="AE25">
            <v>10000000</v>
          </cell>
          <cell r="AF25">
            <v>0</v>
          </cell>
          <cell r="AG25">
            <v>276250000</v>
          </cell>
          <cell r="AH25">
            <v>10000000</v>
          </cell>
          <cell r="AI25">
            <v>200000000</v>
          </cell>
          <cell r="AJ25">
            <v>61200000</v>
          </cell>
          <cell r="AK25">
            <v>8000000</v>
          </cell>
          <cell r="AL25">
            <v>1700000</v>
          </cell>
          <cell r="AM25">
            <v>7000000</v>
          </cell>
          <cell r="AN25">
            <v>750000000</v>
          </cell>
          <cell r="AO25">
            <v>315406950</v>
          </cell>
          <cell r="AP25">
            <v>12000000</v>
          </cell>
          <cell r="AQ25">
            <v>0</v>
          </cell>
          <cell r="AR25">
            <v>8000000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14891000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</row>
        <row r="26">
          <cell r="D26">
            <v>18318965.5</v>
          </cell>
          <cell r="E26">
            <v>18000000</v>
          </cell>
          <cell r="F26">
            <v>500000</v>
          </cell>
          <cell r="G26">
            <v>16000000</v>
          </cell>
          <cell r="H26">
            <v>2336000</v>
          </cell>
          <cell r="I26">
            <v>0</v>
          </cell>
          <cell r="J26">
            <v>20000000</v>
          </cell>
          <cell r="K26">
            <v>0</v>
          </cell>
          <cell r="L26">
            <v>10000000</v>
          </cell>
          <cell r="M26">
            <v>10000000</v>
          </cell>
          <cell r="N26">
            <v>15000000</v>
          </cell>
          <cell r="O26">
            <v>0</v>
          </cell>
          <cell r="P26">
            <v>18000000</v>
          </cell>
          <cell r="Q26">
            <v>23400000</v>
          </cell>
          <cell r="R26">
            <v>0</v>
          </cell>
          <cell r="S26">
            <v>43000000</v>
          </cell>
          <cell r="T26">
            <v>37160000</v>
          </cell>
          <cell r="U26">
            <v>0</v>
          </cell>
          <cell r="V26">
            <v>112670000</v>
          </cell>
          <cell r="W26">
            <v>0</v>
          </cell>
          <cell r="X26">
            <v>125000000</v>
          </cell>
          <cell r="Y26">
            <v>9976600</v>
          </cell>
          <cell r="Z26">
            <v>150000000</v>
          </cell>
          <cell r="AA26">
            <v>210000000</v>
          </cell>
          <cell r="AB26">
            <v>10000000</v>
          </cell>
          <cell r="AC26">
            <v>0</v>
          </cell>
          <cell r="AD26">
            <v>215000000</v>
          </cell>
          <cell r="AE26">
            <v>10000000</v>
          </cell>
          <cell r="AF26">
            <v>0</v>
          </cell>
          <cell r="AG26">
            <v>195000000</v>
          </cell>
          <cell r="AH26">
            <v>10000000</v>
          </cell>
          <cell r="AI26">
            <v>200000000</v>
          </cell>
          <cell r="AJ26">
            <v>43200000</v>
          </cell>
          <cell r="AK26">
            <v>6800000</v>
          </cell>
          <cell r="AL26">
            <v>1700000</v>
          </cell>
          <cell r="AM26">
            <v>7000000</v>
          </cell>
          <cell r="AN26">
            <v>0</v>
          </cell>
          <cell r="AO26">
            <v>222640200</v>
          </cell>
          <cell r="AP26">
            <v>12000000</v>
          </cell>
          <cell r="AQ26">
            <v>0</v>
          </cell>
          <cell r="AR26">
            <v>6800000</v>
          </cell>
          <cell r="AS26">
            <v>150000000</v>
          </cell>
          <cell r="AT26">
            <v>0</v>
          </cell>
          <cell r="AU26">
            <v>63750000</v>
          </cell>
          <cell r="AV26">
            <v>0</v>
          </cell>
          <cell r="AW26">
            <v>0</v>
          </cell>
          <cell r="AX26">
            <v>20000000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6509800</v>
          </cell>
        </row>
        <row r="27">
          <cell r="D27">
            <v>18318965.5</v>
          </cell>
          <cell r="E27">
            <v>8000000</v>
          </cell>
          <cell r="F27">
            <v>500000</v>
          </cell>
          <cell r="G27">
            <v>16000000</v>
          </cell>
          <cell r="H27">
            <v>844000</v>
          </cell>
          <cell r="I27">
            <v>0</v>
          </cell>
          <cell r="J27">
            <v>20000000</v>
          </cell>
          <cell r="K27">
            <v>0</v>
          </cell>
          <cell r="L27">
            <v>10000000</v>
          </cell>
          <cell r="M27">
            <v>10000000</v>
          </cell>
          <cell r="N27">
            <v>15000000</v>
          </cell>
          <cell r="O27">
            <v>10000000</v>
          </cell>
          <cell r="P27">
            <v>18000000</v>
          </cell>
          <cell r="Q27">
            <v>23400000</v>
          </cell>
          <cell r="R27">
            <v>0</v>
          </cell>
          <cell r="S27">
            <v>43000000</v>
          </cell>
          <cell r="T27">
            <v>37160000</v>
          </cell>
          <cell r="U27">
            <v>0</v>
          </cell>
          <cell r="V27">
            <v>112670000</v>
          </cell>
          <cell r="W27">
            <v>0</v>
          </cell>
          <cell r="X27">
            <v>125000000</v>
          </cell>
          <cell r="Y27">
            <v>10000000</v>
          </cell>
          <cell r="Z27">
            <v>120000000</v>
          </cell>
          <cell r="AA27">
            <v>210000000</v>
          </cell>
          <cell r="AB27">
            <v>10000000</v>
          </cell>
          <cell r="AC27">
            <v>0</v>
          </cell>
          <cell r="AD27">
            <v>182750000</v>
          </cell>
          <cell r="AE27">
            <v>10000000</v>
          </cell>
          <cell r="AF27">
            <v>0</v>
          </cell>
          <cell r="AG27">
            <v>276250000</v>
          </cell>
          <cell r="AH27">
            <v>10000000</v>
          </cell>
          <cell r="AI27">
            <v>150000000</v>
          </cell>
          <cell r="AJ27">
            <v>61200000</v>
          </cell>
          <cell r="AK27">
            <v>4080000</v>
          </cell>
          <cell r="AL27">
            <v>0</v>
          </cell>
          <cell r="AM27">
            <v>7000000</v>
          </cell>
          <cell r="AN27">
            <v>2902500000</v>
          </cell>
          <cell r="AO27">
            <v>315406950</v>
          </cell>
          <cell r="AP27">
            <v>12000000</v>
          </cell>
          <cell r="AQ27">
            <v>0</v>
          </cell>
          <cell r="AR27">
            <v>4080000</v>
          </cell>
          <cell r="AS27">
            <v>79500000</v>
          </cell>
          <cell r="AT27">
            <v>0</v>
          </cell>
          <cell r="AU27">
            <v>52500000</v>
          </cell>
          <cell r="AV27">
            <v>0</v>
          </cell>
          <cell r="AW27">
            <v>0</v>
          </cell>
          <cell r="AX27">
            <v>18814800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</row>
        <row r="28">
          <cell r="D28">
            <v>18318965.57</v>
          </cell>
          <cell r="E28">
            <v>8000000</v>
          </cell>
          <cell r="F28">
            <v>500000</v>
          </cell>
          <cell r="G28">
            <v>16000000</v>
          </cell>
          <cell r="H28">
            <v>377000</v>
          </cell>
          <cell r="I28">
            <v>4000000</v>
          </cell>
          <cell r="J28">
            <v>20000000</v>
          </cell>
          <cell r="K28">
            <v>0</v>
          </cell>
          <cell r="L28">
            <v>10000000</v>
          </cell>
          <cell r="M28">
            <v>10000000</v>
          </cell>
          <cell r="N28">
            <v>15000000</v>
          </cell>
          <cell r="O28">
            <v>10000000</v>
          </cell>
          <cell r="P28">
            <v>18000000</v>
          </cell>
          <cell r="Q28">
            <v>23400000</v>
          </cell>
          <cell r="R28">
            <v>0</v>
          </cell>
          <cell r="S28">
            <v>43000000</v>
          </cell>
          <cell r="T28">
            <v>37160000</v>
          </cell>
          <cell r="U28">
            <v>0</v>
          </cell>
          <cell r="V28">
            <v>112670000</v>
          </cell>
          <cell r="W28">
            <v>0</v>
          </cell>
          <cell r="X28">
            <v>125000000</v>
          </cell>
          <cell r="Y28">
            <v>10000000</v>
          </cell>
          <cell r="Z28">
            <v>0</v>
          </cell>
          <cell r="AA28">
            <v>210000000</v>
          </cell>
          <cell r="AB28">
            <v>10000000</v>
          </cell>
          <cell r="AC28">
            <v>0</v>
          </cell>
          <cell r="AD28">
            <v>215000000</v>
          </cell>
          <cell r="AE28">
            <v>10000000</v>
          </cell>
          <cell r="AF28">
            <v>100000000</v>
          </cell>
          <cell r="AG28">
            <v>325000000</v>
          </cell>
          <cell r="AH28">
            <v>10000000</v>
          </cell>
          <cell r="AI28">
            <v>170000000</v>
          </cell>
          <cell r="AJ28">
            <v>61200000</v>
          </cell>
          <cell r="AK28">
            <v>4560000</v>
          </cell>
          <cell r="AL28">
            <v>0</v>
          </cell>
          <cell r="AM28">
            <v>7000000</v>
          </cell>
          <cell r="AN28">
            <v>0</v>
          </cell>
          <cell r="AO28">
            <v>315406950</v>
          </cell>
          <cell r="AP28">
            <v>12000000</v>
          </cell>
          <cell r="AQ28">
            <v>0</v>
          </cell>
          <cell r="AR28">
            <v>4560000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11640600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</row>
        <row r="29">
          <cell r="D29">
            <v>18318965.5</v>
          </cell>
          <cell r="E29">
            <v>8000000</v>
          </cell>
          <cell r="F29">
            <v>500000</v>
          </cell>
          <cell r="G29">
            <v>16000000</v>
          </cell>
          <cell r="H29">
            <v>212000</v>
          </cell>
          <cell r="I29">
            <v>4000000</v>
          </cell>
          <cell r="J29">
            <v>20000000</v>
          </cell>
          <cell r="K29">
            <v>0</v>
          </cell>
          <cell r="L29">
            <v>10000000</v>
          </cell>
          <cell r="M29">
            <v>10000000</v>
          </cell>
          <cell r="N29">
            <v>15000000</v>
          </cell>
          <cell r="O29">
            <v>8500000</v>
          </cell>
          <cell r="P29">
            <v>18000000</v>
          </cell>
          <cell r="Q29">
            <v>23400000</v>
          </cell>
          <cell r="R29">
            <v>0</v>
          </cell>
          <cell r="S29">
            <v>43000000</v>
          </cell>
          <cell r="T29">
            <v>37160000</v>
          </cell>
          <cell r="U29">
            <v>0</v>
          </cell>
          <cell r="V29">
            <v>112670000</v>
          </cell>
          <cell r="W29">
            <v>42500000</v>
          </cell>
          <cell r="X29">
            <v>125000000</v>
          </cell>
          <cell r="Y29">
            <v>10000000</v>
          </cell>
          <cell r="Z29">
            <v>0</v>
          </cell>
          <cell r="AA29">
            <v>210000000</v>
          </cell>
          <cell r="AB29">
            <v>10000000</v>
          </cell>
          <cell r="AC29">
            <v>142000000</v>
          </cell>
          <cell r="AD29">
            <v>215000000</v>
          </cell>
          <cell r="AE29">
            <v>8912600</v>
          </cell>
          <cell r="AF29">
            <v>0</v>
          </cell>
          <cell r="AG29">
            <v>325000000</v>
          </cell>
          <cell r="AH29">
            <v>10000000</v>
          </cell>
          <cell r="AI29">
            <v>0</v>
          </cell>
          <cell r="AJ29">
            <v>61200000</v>
          </cell>
          <cell r="AK29">
            <v>0</v>
          </cell>
          <cell r="AL29">
            <v>0</v>
          </cell>
          <cell r="AM29">
            <v>7000000</v>
          </cell>
          <cell r="AN29">
            <v>0</v>
          </cell>
          <cell r="AO29">
            <v>315406950</v>
          </cell>
          <cell r="AP29">
            <v>12000000</v>
          </cell>
          <cell r="AQ29">
            <v>0</v>
          </cell>
          <cell r="AR29">
            <v>0</v>
          </cell>
          <cell r="AS29">
            <v>127500000</v>
          </cell>
          <cell r="AT29">
            <v>0</v>
          </cell>
          <cell r="AU29">
            <v>51000000</v>
          </cell>
          <cell r="AV29">
            <v>0</v>
          </cell>
          <cell r="AW29">
            <v>0</v>
          </cell>
          <cell r="AX29">
            <v>9766600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</row>
        <row r="30">
          <cell r="D30">
            <v>18318965.5</v>
          </cell>
          <cell r="E30">
            <v>8000000</v>
          </cell>
          <cell r="F30">
            <v>500000</v>
          </cell>
          <cell r="G30">
            <v>16000000</v>
          </cell>
          <cell r="H30">
            <v>310000</v>
          </cell>
          <cell r="I30">
            <v>4000000</v>
          </cell>
          <cell r="J30">
            <v>20000000</v>
          </cell>
          <cell r="K30">
            <v>0</v>
          </cell>
          <cell r="L30">
            <v>10000000</v>
          </cell>
          <cell r="M30">
            <v>10000000</v>
          </cell>
          <cell r="N30">
            <v>15000000</v>
          </cell>
          <cell r="O30">
            <v>10000000</v>
          </cell>
          <cell r="P30">
            <v>18000000</v>
          </cell>
          <cell r="Q30">
            <v>23400000</v>
          </cell>
          <cell r="R30">
            <v>0</v>
          </cell>
          <cell r="S30">
            <v>43000000</v>
          </cell>
          <cell r="T30">
            <v>37160000</v>
          </cell>
          <cell r="U30">
            <v>0</v>
          </cell>
          <cell r="V30">
            <v>95769500</v>
          </cell>
          <cell r="W30">
            <v>100000000</v>
          </cell>
          <cell r="X30">
            <v>125000000</v>
          </cell>
          <cell r="Y30">
            <v>10000000</v>
          </cell>
          <cell r="Z30">
            <v>160000000</v>
          </cell>
          <cell r="AA30">
            <v>210000000</v>
          </cell>
          <cell r="AB30">
            <v>10000000</v>
          </cell>
          <cell r="AC30">
            <v>600000000</v>
          </cell>
          <cell r="AD30">
            <v>215000000</v>
          </cell>
          <cell r="AE30">
            <v>10000000</v>
          </cell>
          <cell r="AF30">
            <v>100000000</v>
          </cell>
          <cell r="AG30">
            <v>182000000</v>
          </cell>
          <cell r="AH30">
            <v>10000000</v>
          </cell>
          <cell r="AI30">
            <v>230000000</v>
          </cell>
          <cell r="AJ30">
            <v>40320000</v>
          </cell>
          <cell r="AK30">
            <v>0</v>
          </cell>
          <cell r="AL30">
            <v>0</v>
          </cell>
          <cell r="AM30">
            <v>7000000</v>
          </cell>
          <cell r="AN30">
            <v>998500000</v>
          </cell>
          <cell r="AO30">
            <v>207797520</v>
          </cell>
          <cell r="AP30">
            <v>12000000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51750000</v>
          </cell>
          <cell r="AV30">
            <v>0</v>
          </cell>
          <cell r="AW30">
            <v>0</v>
          </cell>
          <cell r="AX30">
            <v>11519400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</row>
        <row r="31">
          <cell r="D31">
            <v>18318965.5</v>
          </cell>
          <cell r="E31">
            <v>8000000</v>
          </cell>
          <cell r="F31">
            <v>500000</v>
          </cell>
          <cell r="G31">
            <v>16000000</v>
          </cell>
          <cell r="H31">
            <v>0</v>
          </cell>
          <cell r="I31">
            <v>0</v>
          </cell>
          <cell r="J31">
            <v>20000000</v>
          </cell>
          <cell r="K31">
            <v>0</v>
          </cell>
          <cell r="L31">
            <v>10000000</v>
          </cell>
          <cell r="M31">
            <v>10000000</v>
          </cell>
          <cell r="N31">
            <v>15000000</v>
          </cell>
          <cell r="O31">
            <v>0</v>
          </cell>
          <cell r="P31">
            <v>18000000</v>
          </cell>
          <cell r="Q31">
            <v>23400000</v>
          </cell>
          <cell r="R31">
            <v>0</v>
          </cell>
          <cell r="S31">
            <v>43000000</v>
          </cell>
          <cell r="T31">
            <v>31586000</v>
          </cell>
          <cell r="U31">
            <v>50000000</v>
          </cell>
          <cell r="V31">
            <v>112670000</v>
          </cell>
          <cell r="W31">
            <v>150000000</v>
          </cell>
          <cell r="X31">
            <v>125000000</v>
          </cell>
          <cell r="Y31">
            <v>10000000</v>
          </cell>
          <cell r="Z31">
            <v>160000000</v>
          </cell>
          <cell r="AA31">
            <v>210000000</v>
          </cell>
          <cell r="AB31">
            <v>9772010</v>
          </cell>
          <cell r="AC31">
            <v>100000000</v>
          </cell>
          <cell r="AD31">
            <v>215000000</v>
          </cell>
          <cell r="AE31">
            <v>10000000</v>
          </cell>
          <cell r="AF31">
            <v>0</v>
          </cell>
          <cell r="AG31">
            <v>325000000</v>
          </cell>
          <cell r="AH31">
            <v>10000000</v>
          </cell>
          <cell r="AI31">
            <v>600000000</v>
          </cell>
          <cell r="AJ31">
            <v>43920000</v>
          </cell>
          <cell r="AK31">
            <v>6800000</v>
          </cell>
          <cell r="AL31">
            <v>0</v>
          </cell>
          <cell r="AM31">
            <v>7000000</v>
          </cell>
          <cell r="AN31">
            <v>1332500000</v>
          </cell>
          <cell r="AO31">
            <v>226350870</v>
          </cell>
          <cell r="AP31">
            <v>12000000</v>
          </cell>
          <cell r="AQ31">
            <v>0</v>
          </cell>
          <cell r="AR31">
            <v>6800000</v>
          </cell>
          <cell r="AS31">
            <v>0</v>
          </cell>
          <cell r="AT31">
            <v>0</v>
          </cell>
          <cell r="AU31">
            <v>56250000</v>
          </cell>
          <cell r="AV31">
            <v>0</v>
          </cell>
          <cell r="AW31">
            <v>0</v>
          </cell>
          <cell r="AX31">
            <v>12330427.5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</row>
        <row r="32">
          <cell r="D32">
            <v>18318965.5</v>
          </cell>
          <cell r="E32">
            <v>8000000</v>
          </cell>
          <cell r="F32">
            <v>500000</v>
          </cell>
          <cell r="G32">
            <v>16000000</v>
          </cell>
          <cell r="H32">
            <v>0</v>
          </cell>
          <cell r="I32">
            <v>4000000</v>
          </cell>
          <cell r="J32">
            <v>20000000</v>
          </cell>
          <cell r="K32">
            <v>0</v>
          </cell>
          <cell r="L32">
            <v>10000000</v>
          </cell>
          <cell r="M32">
            <v>10000000</v>
          </cell>
          <cell r="N32">
            <v>15000000</v>
          </cell>
          <cell r="O32">
            <v>5000000</v>
          </cell>
          <cell r="P32">
            <v>18000000</v>
          </cell>
          <cell r="Q32">
            <v>23400000</v>
          </cell>
          <cell r="R32">
            <v>10000000</v>
          </cell>
          <cell r="S32">
            <v>43000000</v>
          </cell>
          <cell r="T32">
            <v>37160000</v>
          </cell>
          <cell r="U32">
            <v>0</v>
          </cell>
          <cell r="V32">
            <v>112670000</v>
          </cell>
          <cell r="W32">
            <v>0</v>
          </cell>
          <cell r="X32">
            <v>125000000</v>
          </cell>
          <cell r="Y32">
            <v>7290000</v>
          </cell>
          <cell r="Z32">
            <v>180000000</v>
          </cell>
          <cell r="AA32">
            <v>210000000</v>
          </cell>
          <cell r="AB32">
            <v>7414085</v>
          </cell>
          <cell r="AC32">
            <v>0</v>
          </cell>
          <cell r="AD32">
            <v>215000000</v>
          </cell>
          <cell r="AE32">
            <v>3866720</v>
          </cell>
          <cell r="AF32">
            <v>0</v>
          </cell>
          <cell r="AG32">
            <v>325000000</v>
          </cell>
          <cell r="AH32">
            <v>0</v>
          </cell>
          <cell r="AI32">
            <v>68200000</v>
          </cell>
          <cell r="AJ32">
            <v>72000000</v>
          </cell>
          <cell r="AK32">
            <v>4720000</v>
          </cell>
          <cell r="AL32">
            <v>1700000</v>
          </cell>
          <cell r="AM32">
            <v>0</v>
          </cell>
          <cell r="AN32">
            <v>144200000</v>
          </cell>
          <cell r="AO32">
            <v>371067000</v>
          </cell>
          <cell r="AP32">
            <v>3830000</v>
          </cell>
          <cell r="AQ32">
            <v>0</v>
          </cell>
          <cell r="AR32">
            <v>4720000</v>
          </cell>
          <cell r="AS32">
            <v>0</v>
          </cell>
          <cell r="AT32">
            <v>0</v>
          </cell>
          <cell r="AU32">
            <v>54000000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</row>
        <row r="33">
          <cell r="D33">
            <v>18318965.5</v>
          </cell>
          <cell r="E33">
            <v>8000000</v>
          </cell>
          <cell r="F33">
            <v>500000</v>
          </cell>
          <cell r="G33">
            <v>16000000</v>
          </cell>
          <cell r="H33">
            <v>530000</v>
          </cell>
          <cell r="I33">
            <v>0</v>
          </cell>
          <cell r="J33">
            <v>20000000</v>
          </cell>
          <cell r="K33">
            <v>0</v>
          </cell>
          <cell r="L33">
            <v>10000000</v>
          </cell>
          <cell r="M33">
            <v>10000000</v>
          </cell>
          <cell r="N33">
            <v>15000000</v>
          </cell>
          <cell r="O33">
            <v>5000000</v>
          </cell>
          <cell r="P33">
            <v>18000000</v>
          </cell>
          <cell r="Q33">
            <v>23400000</v>
          </cell>
          <cell r="R33">
            <v>0</v>
          </cell>
          <cell r="S33">
            <v>43000000</v>
          </cell>
          <cell r="T33">
            <v>37159800</v>
          </cell>
          <cell r="U33">
            <v>0</v>
          </cell>
          <cell r="V33">
            <v>112669600</v>
          </cell>
          <cell r="W33">
            <v>0</v>
          </cell>
          <cell r="X33">
            <v>125000000</v>
          </cell>
          <cell r="Y33">
            <v>10000000</v>
          </cell>
          <cell r="Z33">
            <v>500000000</v>
          </cell>
          <cell r="AA33">
            <v>210000000</v>
          </cell>
          <cell r="AB33">
            <v>10000000</v>
          </cell>
          <cell r="AC33">
            <v>0</v>
          </cell>
          <cell r="AD33">
            <v>215000000</v>
          </cell>
          <cell r="AE33">
            <v>10000000</v>
          </cell>
          <cell r="AF33">
            <v>200000000</v>
          </cell>
          <cell r="AG33">
            <v>276250000</v>
          </cell>
          <cell r="AH33">
            <v>7092400</v>
          </cell>
          <cell r="AI33">
            <v>200000000</v>
          </cell>
          <cell r="AJ33">
            <v>72000000</v>
          </cell>
          <cell r="AK33">
            <v>0</v>
          </cell>
          <cell r="AL33">
            <v>0</v>
          </cell>
          <cell r="AM33">
            <v>5575000</v>
          </cell>
          <cell r="AN33">
            <v>1431500000</v>
          </cell>
          <cell r="AO33">
            <v>371067000</v>
          </cell>
          <cell r="AP33">
            <v>12000000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75000000</v>
          </cell>
          <cell r="AV33">
            <v>0</v>
          </cell>
          <cell r="AW33">
            <v>0</v>
          </cell>
          <cell r="AX33">
            <v>9878600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</row>
        <row r="34">
          <cell r="D34">
            <v>18318965.5</v>
          </cell>
          <cell r="E34">
            <v>8000000</v>
          </cell>
          <cell r="F34">
            <v>500000</v>
          </cell>
          <cell r="G34">
            <v>16000000</v>
          </cell>
          <cell r="H34">
            <v>0</v>
          </cell>
          <cell r="I34">
            <v>0</v>
          </cell>
          <cell r="J34">
            <v>20000000</v>
          </cell>
          <cell r="K34">
            <v>0</v>
          </cell>
          <cell r="L34">
            <v>10000000</v>
          </cell>
          <cell r="M34">
            <v>10000000</v>
          </cell>
          <cell r="N34">
            <v>15000000</v>
          </cell>
          <cell r="O34">
            <v>5000000</v>
          </cell>
          <cell r="P34">
            <v>18000000</v>
          </cell>
          <cell r="Q34">
            <v>23400000</v>
          </cell>
          <cell r="R34">
            <v>0</v>
          </cell>
          <cell r="S34">
            <v>43000000</v>
          </cell>
          <cell r="T34">
            <v>37160000</v>
          </cell>
          <cell r="U34">
            <v>0</v>
          </cell>
          <cell r="V34">
            <v>112670000</v>
          </cell>
          <cell r="W34">
            <v>0</v>
          </cell>
          <cell r="X34">
            <v>125000000</v>
          </cell>
          <cell r="Y34">
            <v>10000000</v>
          </cell>
          <cell r="Z34">
            <v>0</v>
          </cell>
          <cell r="AA34">
            <v>210000000</v>
          </cell>
          <cell r="AB34">
            <v>10000000</v>
          </cell>
          <cell r="AC34">
            <v>0</v>
          </cell>
          <cell r="AD34">
            <v>215000000</v>
          </cell>
          <cell r="AE34">
            <v>10000000</v>
          </cell>
          <cell r="AF34">
            <v>0</v>
          </cell>
          <cell r="AG34">
            <v>188500000</v>
          </cell>
          <cell r="AH34">
            <v>10000000</v>
          </cell>
          <cell r="AI34">
            <v>130000000</v>
          </cell>
          <cell r="AJ34">
            <v>41760000</v>
          </cell>
          <cell r="AK34">
            <v>4080000</v>
          </cell>
          <cell r="AL34">
            <v>0</v>
          </cell>
          <cell r="AM34">
            <v>7000000</v>
          </cell>
          <cell r="AN34">
            <v>800000000</v>
          </cell>
          <cell r="AO34">
            <v>215218860</v>
          </cell>
          <cell r="AP34">
            <v>12000000</v>
          </cell>
          <cell r="AQ34">
            <v>0</v>
          </cell>
          <cell r="AR34">
            <v>4080000</v>
          </cell>
          <cell r="AS34">
            <v>0</v>
          </cell>
          <cell r="AT34">
            <v>0</v>
          </cell>
          <cell r="AU34">
            <v>50250000</v>
          </cell>
          <cell r="AV34">
            <v>0</v>
          </cell>
          <cell r="AW34">
            <v>0</v>
          </cell>
          <cell r="AX34">
            <v>12354245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</row>
        <row r="35">
          <cell r="D35">
            <v>18318965.5</v>
          </cell>
          <cell r="E35">
            <v>8000000</v>
          </cell>
          <cell r="F35">
            <v>500000</v>
          </cell>
          <cell r="G35">
            <v>16000000</v>
          </cell>
          <cell r="H35">
            <v>1209000</v>
          </cell>
          <cell r="I35">
            <v>0</v>
          </cell>
          <cell r="J35">
            <v>20000000</v>
          </cell>
          <cell r="K35">
            <v>0</v>
          </cell>
          <cell r="L35">
            <v>10000000</v>
          </cell>
          <cell r="M35">
            <v>10000000</v>
          </cell>
          <cell r="N35">
            <v>15000000</v>
          </cell>
          <cell r="O35">
            <v>0</v>
          </cell>
          <cell r="P35">
            <v>18000000</v>
          </cell>
          <cell r="Q35">
            <v>23400000</v>
          </cell>
          <cell r="R35">
            <v>0</v>
          </cell>
          <cell r="S35">
            <v>43000000</v>
          </cell>
          <cell r="T35">
            <v>37160000</v>
          </cell>
          <cell r="U35">
            <v>0</v>
          </cell>
          <cell r="V35">
            <v>112670000</v>
          </cell>
          <cell r="W35">
            <v>51000000</v>
          </cell>
          <cell r="X35">
            <v>125000000</v>
          </cell>
          <cell r="Y35">
            <v>10000000</v>
          </cell>
          <cell r="Z35">
            <v>0</v>
          </cell>
          <cell r="AA35">
            <v>210000000</v>
          </cell>
          <cell r="AB35">
            <v>10000000</v>
          </cell>
          <cell r="AC35">
            <v>0</v>
          </cell>
          <cell r="AD35">
            <v>215000000</v>
          </cell>
          <cell r="AE35">
            <v>10000000</v>
          </cell>
          <cell r="AF35">
            <v>0</v>
          </cell>
          <cell r="AG35">
            <v>325000000</v>
          </cell>
          <cell r="AH35">
            <v>10000000</v>
          </cell>
          <cell r="AI35">
            <v>100000000</v>
          </cell>
          <cell r="AJ35">
            <v>46800000</v>
          </cell>
          <cell r="AK35">
            <v>6800000</v>
          </cell>
          <cell r="AL35">
            <v>0</v>
          </cell>
          <cell r="AM35">
            <v>7000000</v>
          </cell>
          <cell r="AN35">
            <v>150000000</v>
          </cell>
          <cell r="AO35">
            <v>241193550</v>
          </cell>
          <cell r="AP35">
            <v>12000000</v>
          </cell>
          <cell r="AQ35">
            <v>0</v>
          </cell>
          <cell r="AR35">
            <v>6800000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20000000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7615920.9199999999</v>
          </cell>
        </row>
        <row r="36">
          <cell r="D36">
            <v>18318965.5</v>
          </cell>
          <cell r="E36">
            <v>8000000</v>
          </cell>
          <cell r="F36">
            <v>500000</v>
          </cell>
          <cell r="G36">
            <v>16000000</v>
          </cell>
          <cell r="H36">
            <v>444000</v>
          </cell>
          <cell r="I36">
            <v>0</v>
          </cell>
          <cell r="J36">
            <v>20000000</v>
          </cell>
          <cell r="K36">
            <v>0</v>
          </cell>
          <cell r="L36">
            <v>10000000</v>
          </cell>
          <cell r="M36">
            <v>10000000</v>
          </cell>
          <cell r="N36">
            <v>15000000</v>
          </cell>
          <cell r="O36">
            <v>5000000</v>
          </cell>
          <cell r="P36">
            <v>18000000</v>
          </cell>
          <cell r="Q36">
            <v>23400000</v>
          </cell>
          <cell r="R36">
            <v>0</v>
          </cell>
          <cell r="S36">
            <v>43000000</v>
          </cell>
          <cell r="T36">
            <v>37160000</v>
          </cell>
          <cell r="U36">
            <v>250157701.53999999</v>
          </cell>
          <cell r="V36">
            <v>112670000</v>
          </cell>
          <cell r="W36">
            <v>750000000</v>
          </cell>
          <cell r="X36">
            <v>125000000</v>
          </cell>
          <cell r="Y36">
            <v>10000000</v>
          </cell>
          <cell r="Z36">
            <v>120000000</v>
          </cell>
          <cell r="AA36">
            <v>210000000</v>
          </cell>
          <cell r="AB36">
            <v>10000000</v>
          </cell>
          <cell r="AC36">
            <v>117000000</v>
          </cell>
          <cell r="AD36">
            <v>215000000</v>
          </cell>
          <cell r="AE36">
            <v>10000000</v>
          </cell>
          <cell r="AF36">
            <v>341600000</v>
          </cell>
          <cell r="AG36">
            <v>324500000</v>
          </cell>
          <cell r="AH36">
            <v>10000000</v>
          </cell>
          <cell r="AI36">
            <v>260000000</v>
          </cell>
          <cell r="AJ36">
            <v>72000000</v>
          </cell>
          <cell r="AK36">
            <v>8000000</v>
          </cell>
          <cell r="AL36">
            <v>1700000</v>
          </cell>
          <cell r="AM36">
            <v>7000000</v>
          </cell>
          <cell r="AN36">
            <v>3000000000</v>
          </cell>
          <cell r="AO36">
            <v>371067000</v>
          </cell>
          <cell r="AP36">
            <v>12000000</v>
          </cell>
          <cell r="AQ36">
            <v>0</v>
          </cell>
          <cell r="AR36">
            <v>8000000</v>
          </cell>
          <cell r="AS36">
            <v>0</v>
          </cell>
          <cell r="AT36">
            <v>0</v>
          </cell>
          <cell r="AU36">
            <v>63750000</v>
          </cell>
          <cell r="AV36">
            <v>0</v>
          </cell>
          <cell r="AW36">
            <v>0</v>
          </cell>
          <cell r="AX36">
            <v>16980950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</row>
        <row r="37">
          <cell r="D37">
            <v>18318965.5</v>
          </cell>
          <cell r="E37">
            <v>8000000</v>
          </cell>
          <cell r="F37">
            <v>500000</v>
          </cell>
          <cell r="G37">
            <v>16000000</v>
          </cell>
          <cell r="H37">
            <v>1178000</v>
          </cell>
          <cell r="J37">
            <v>20000000</v>
          </cell>
          <cell r="K37">
            <v>0</v>
          </cell>
          <cell r="L37">
            <v>10000000</v>
          </cell>
          <cell r="M37">
            <v>10000000</v>
          </cell>
          <cell r="N37">
            <v>15000000</v>
          </cell>
          <cell r="O37">
            <v>5000000</v>
          </cell>
          <cell r="P37">
            <v>18000000</v>
          </cell>
          <cell r="Q37">
            <v>23400000</v>
          </cell>
          <cell r="R37">
            <v>0</v>
          </cell>
          <cell r="S37">
            <v>43000000</v>
          </cell>
          <cell r="T37">
            <v>37160000</v>
          </cell>
          <cell r="V37">
            <v>112670000</v>
          </cell>
          <cell r="W37">
            <v>100000000</v>
          </cell>
          <cell r="X37">
            <v>0</v>
          </cell>
          <cell r="Y37">
            <v>0</v>
          </cell>
          <cell r="Z37">
            <v>250000000</v>
          </cell>
          <cell r="AA37">
            <v>210000000</v>
          </cell>
          <cell r="AB37">
            <v>9805600</v>
          </cell>
          <cell r="AC37">
            <v>100000000</v>
          </cell>
          <cell r="AE37">
            <v>0</v>
          </cell>
          <cell r="AF37">
            <v>150000000</v>
          </cell>
          <cell r="AG37">
            <v>325000000</v>
          </cell>
          <cell r="AH37">
            <v>10000000</v>
          </cell>
          <cell r="AI37">
            <v>200000000</v>
          </cell>
          <cell r="AJ37">
            <v>0</v>
          </cell>
          <cell r="AK37">
            <v>0</v>
          </cell>
          <cell r="AL37">
            <v>0</v>
          </cell>
          <cell r="AN37">
            <v>1733500000</v>
          </cell>
          <cell r="AO37">
            <v>218929530</v>
          </cell>
          <cell r="AP37">
            <v>11876500</v>
          </cell>
          <cell r="AQ37">
            <v>0</v>
          </cell>
          <cell r="AR37">
            <v>6800000</v>
          </cell>
          <cell r="AS37">
            <v>0</v>
          </cell>
          <cell r="AT37">
            <v>0</v>
          </cell>
          <cell r="AU37">
            <v>56250000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</row>
        <row r="38">
          <cell r="D38">
            <v>18318965.52</v>
          </cell>
          <cell r="E38">
            <v>8000000</v>
          </cell>
          <cell r="F38">
            <v>500000</v>
          </cell>
          <cell r="G38">
            <v>16000000</v>
          </cell>
          <cell r="H38">
            <v>476000</v>
          </cell>
          <cell r="I38">
            <v>0</v>
          </cell>
          <cell r="J38">
            <v>20000000</v>
          </cell>
          <cell r="K38">
            <v>0</v>
          </cell>
          <cell r="L38">
            <v>10000000</v>
          </cell>
          <cell r="M38">
            <v>10000000</v>
          </cell>
          <cell r="N38">
            <v>15000000</v>
          </cell>
          <cell r="O38">
            <v>5000000</v>
          </cell>
          <cell r="P38">
            <v>18000000</v>
          </cell>
          <cell r="Q38">
            <v>23040000</v>
          </cell>
          <cell r="R38">
            <v>0</v>
          </cell>
          <cell r="S38">
            <v>43000000</v>
          </cell>
          <cell r="T38">
            <v>37160000</v>
          </cell>
          <cell r="U38">
            <v>0</v>
          </cell>
          <cell r="V38">
            <v>0</v>
          </cell>
          <cell r="W38">
            <v>207500000</v>
          </cell>
          <cell r="X38">
            <v>125000000</v>
          </cell>
          <cell r="Y38">
            <v>10000000</v>
          </cell>
          <cell r="Z38">
            <v>500000000</v>
          </cell>
          <cell r="AA38">
            <v>0</v>
          </cell>
          <cell r="AB38">
            <v>0</v>
          </cell>
          <cell r="AC38">
            <v>300000000</v>
          </cell>
          <cell r="AD38">
            <v>215000000</v>
          </cell>
          <cell r="AE38">
            <v>10000000</v>
          </cell>
          <cell r="AF38">
            <v>0</v>
          </cell>
          <cell r="AG38">
            <v>0</v>
          </cell>
          <cell r="AH38">
            <v>0</v>
          </cell>
          <cell r="AI38">
            <v>250000000</v>
          </cell>
          <cell r="AJ38">
            <v>61200000</v>
          </cell>
          <cell r="AK38">
            <v>4080000</v>
          </cell>
          <cell r="AL38">
            <v>0</v>
          </cell>
          <cell r="AM38">
            <v>7000000</v>
          </cell>
          <cell r="AN38">
            <v>2550000000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127500000</v>
          </cell>
          <cell r="AT38">
            <v>0</v>
          </cell>
          <cell r="AU38">
            <v>51750000</v>
          </cell>
          <cell r="AV38">
            <v>0</v>
          </cell>
          <cell r="AW38">
            <v>0</v>
          </cell>
          <cell r="AX38">
            <v>11562100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</row>
        <row r="39">
          <cell r="D39">
            <v>18318965.5</v>
          </cell>
          <cell r="E39">
            <v>8000000</v>
          </cell>
          <cell r="F39">
            <v>500000</v>
          </cell>
          <cell r="G39">
            <v>16000000</v>
          </cell>
          <cell r="H39">
            <v>292000</v>
          </cell>
          <cell r="I39">
            <v>0</v>
          </cell>
          <cell r="J39">
            <v>20000000</v>
          </cell>
          <cell r="K39">
            <v>0</v>
          </cell>
          <cell r="L39">
            <v>10000000</v>
          </cell>
          <cell r="M39">
            <v>10000000</v>
          </cell>
          <cell r="N39">
            <v>15000000</v>
          </cell>
          <cell r="O39">
            <v>5000000</v>
          </cell>
          <cell r="P39">
            <v>18000000</v>
          </cell>
          <cell r="Q39">
            <v>23400000</v>
          </cell>
          <cell r="R39">
            <v>0</v>
          </cell>
          <cell r="S39">
            <v>43000000</v>
          </cell>
          <cell r="T39">
            <v>37160000</v>
          </cell>
          <cell r="U39">
            <v>0</v>
          </cell>
          <cell r="V39">
            <v>95769500</v>
          </cell>
          <cell r="W39">
            <v>100000000</v>
          </cell>
          <cell r="X39">
            <v>0</v>
          </cell>
          <cell r="Y39">
            <v>0</v>
          </cell>
          <cell r="Z39">
            <v>500000000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72000000</v>
          </cell>
          <cell r="AK39">
            <v>0</v>
          </cell>
          <cell r="AL39">
            <v>0</v>
          </cell>
          <cell r="AM39">
            <v>6889750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63750000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</row>
        <row r="40">
          <cell r="D40">
            <v>18318946.690000001</v>
          </cell>
          <cell r="E40">
            <v>8000000</v>
          </cell>
          <cell r="F40">
            <v>500000</v>
          </cell>
          <cell r="G40">
            <v>16000000</v>
          </cell>
          <cell r="H40">
            <v>0</v>
          </cell>
          <cell r="I40">
            <v>0</v>
          </cell>
          <cell r="J40">
            <v>20000000</v>
          </cell>
          <cell r="K40">
            <v>0</v>
          </cell>
          <cell r="L40">
            <v>10000000</v>
          </cell>
          <cell r="M40">
            <v>10000000</v>
          </cell>
          <cell r="N40">
            <v>15000000</v>
          </cell>
          <cell r="O40">
            <v>0</v>
          </cell>
          <cell r="P40">
            <v>18000000</v>
          </cell>
          <cell r="Q40">
            <v>23400000</v>
          </cell>
          <cell r="R40">
            <v>0</v>
          </cell>
          <cell r="S40">
            <v>43000000</v>
          </cell>
          <cell r="T40">
            <v>37159400</v>
          </cell>
          <cell r="U40">
            <v>0</v>
          </cell>
          <cell r="V40">
            <v>0</v>
          </cell>
          <cell r="W40">
            <v>100000000</v>
          </cell>
          <cell r="X40">
            <v>125000000</v>
          </cell>
          <cell r="Y40">
            <v>10000000</v>
          </cell>
          <cell r="Z40">
            <v>500000000</v>
          </cell>
          <cell r="AA40">
            <v>0</v>
          </cell>
          <cell r="AC40">
            <v>400000000</v>
          </cell>
          <cell r="AD40">
            <v>215000000</v>
          </cell>
          <cell r="AE40">
            <v>10000000</v>
          </cell>
          <cell r="AF40">
            <v>0</v>
          </cell>
          <cell r="AG40">
            <v>0</v>
          </cell>
          <cell r="AH40">
            <v>0</v>
          </cell>
          <cell r="AI40">
            <v>250000000</v>
          </cell>
          <cell r="AJ40">
            <v>0</v>
          </cell>
          <cell r="AK40">
            <v>0</v>
          </cell>
          <cell r="AL40">
            <v>0</v>
          </cell>
          <cell r="AN40">
            <v>950000000</v>
          </cell>
          <cell r="AO40">
            <v>230061540</v>
          </cell>
          <cell r="AP40">
            <v>12296752.18</v>
          </cell>
          <cell r="AQ40">
            <v>0</v>
          </cell>
          <cell r="AR40">
            <v>8000000</v>
          </cell>
          <cell r="AS40">
            <v>0</v>
          </cell>
          <cell r="AT40">
            <v>0</v>
          </cell>
          <cell r="AU40">
            <v>50250000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</row>
        <row r="41">
          <cell r="D41">
            <v>18318965.5</v>
          </cell>
          <cell r="E41">
            <v>8000000</v>
          </cell>
          <cell r="F41">
            <v>500000</v>
          </cell>
          <cell r="G41">
            <v>16000000</v>
          </cell>
          <cell r="H41">
            <v>171999.92</v>
          </cell>
          <cell r="I41">
            <v>0</v>
          </cell>
          <cell r="J41">
            <v>20000000</v>
          </cell>
          <cell r="K41">
            <v>0</v>
          </cell>
          <cell r="L41">
            <v>10000000</v>
          </cell>
          <cell r="M41">
            <v>10000000</v>
          </cell>
          <cell r="N41">
            <v>14488610</v>
          </cell>
          <cell r="O41">
            <v>0</v>
          </cell>
          <cell r="P41">
            <v>18000000</v>
          </cell>
          <cell r="Q41">
            <v>23400000</v>
          </cell>
          <cell r="R41">
            <v>0</v>
          </cell>
          <cell r="S41">
            <v>43000000</v>
          </cell>
          <cell r="T41">
            <v>37159200</v>
          </cell>
          <cell r="U41">
            <v>0</v>
          </cell>
          <cell r="V41">
            <v>0</v>
          </cell>
          <cell r="W41">
            <v>550000000</v>
          </cell>
          <cell r="X41">
            <v>0</v>
          </cell>
          <cell r="Y41">
            <v>0</v>
          </cell>
          <cell r="Z41">
            <v>300000000</v>
          </cell>
          <cell r="AA41">
            <v>210000000</v>
          </cell>
          <cell r="AB41">
            <v>9444511.0999999996</v>
          </cell>
          <cell r="AC41">
            <v>0</v>
          </cell>
          <cell r="AD41">
            <v>0</v>
          </cell>
          <cell r="AE41">
            <v>0</v>
          </cell>
          <cell r="AF41">
            <v>200000000</v>
          </cell>
          <cell r="AG41">
            <v>325000000</v>
          </cell>
          <cell r="AH41">
            <v>10000000</v>
          </cell>
          <cell r="AI41">
            <v>200000000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500000000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150000000</v>
          </cell>
          <cell r="AT41">
            <v>0</v>
          </cell>
          <cell r="AU41">
            <v>47250000</v>
          </cell>
          <cell r="AV41">
            <v>0</v>
          </cell>
          <cell r="AW41">
            <v>0</v>
          </cell>
          <cell r="AX41">
            <v>9540570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</row>
        <row r="42">
          <cell r="D42">
            <v>18318965.5</v>
          </cell>
          <cell r="E42">
            <v>8000000</v>
          </cell>
          <cell r="F42">
            <v>500000</v>
          </cell>
          <cell r="G42">
            <v>16000000</v>
          </cell>
          <cell r="H42">
            <v>1220000</v>
          </cell>
          <cell r="I42">
            <v>0</v>
          </cell>
          <cell r="J42">
            <v>20000000</v>
          </cell>
          <cell r="K42">
            <v>0</v>
          </cell>
          <cell r="L42">
            <v>10000000</v>
          </cell>
          <cell r="M42">
            <v>10000000</v>
          </cell>
          <cell r="N42">
            <v>15000000</v>
          </cell>
          <cell r="O42">
            <v>0</v>
          </cell>
          <cell r="P42">
            <v>18000000</v>
          </cell>
          <cell r="Q42">
            <v>23400000</v>
          </cell>
          <cell r="R42">
            <v>0</v>
          </cell>
          <cell r="S42">
            <v>43000000</v>
          </cell>
          <cell r="T42">
            <v>37160000</v>
          </cell>
          <cell r="U42">
            <v>0</v>
          </cell>
          <cell r="V42">
            <v>112670000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215000000</v>
          </cell>
          <cell r="AE42">
            <v>10000000</v>
          </cell>
          <cell r="AF42">
            <v>0</v>
          </cell>
          <cell r="AG42">
            <v>0</v>
          </cell>
          <cell r="AH42">
            <v>0</v>
          </cell>
          <cell r="AI42">
            <v>100000000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215218860</v>
          </cell>
          <cell r="AP42">
            <v>11960800</v>
          </cell>
          <cell r="AQ42">
            <v>0</v>
          </cell>
          <cell r="AR42">
            <v>6800000</v>
          </cell>
          <cell r="AS42">
            <v>0</v>
          </cell>
          <cell r="AT42">
            <v>0</v>
          </cell>
          <cell r="AU42">
            <v>63750000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</row>
        <row r="43">
          <cell r="D43">
            <v>18318965.5</v>
          </cell>
          <cell r="E43">
            <v>8000000</v>
          </cell>
          <cell r="F43">
            <v>500000</v>
          </cell>
          <cell r="G43">
            <v>16000000</v>
          </cell>
          <cell r="H43">
            <v>534000</v>
          </cell>
          <cell r="I43">
            <v>0</v>
          </cell>
          <cell r="J43">
            <v>20000000</v>
          </cell>
          <cell r="K43">
            <v>0</v>
          </cell>
          <cell r="L43">
            <v>10000000</v>
          </cell>
          <cell r="M43">
            <v>10000000</v>
          </cell>
          <cell r="N43">
            <v>15000000</v>
          </cell>
          <cell r="O43">
            <v>0</v>
          </cell>
          <cell r="P43">
            <v>18000000</v>
          </cell>
          <cell r="Q43">
            <v>23400000</v>
          </cell>
          <cell r="R43">
            <v>0</v>
          </cell>
          <cell r="S43">
            <v>43000000</v>
          </cell>
          <cell r="T43">
            <v>37160000</v>
          </cell>
          <cell r="U43">
            <v>0</v>
          </cell>
          <cell r="V43">
            <v>0</v>
          </cell>
          <cell r="W43">
            <v>50000000</v>
          </cell>
          <cell r="X43">
            <v>125000000</v>
          </cell>
          <cell r="Y43">
            <v>10000000</v>
          </cell>
          <cell r="Z43">
            <v>0</v>
          </cell>
          <cell r="AA43">
            <v>0</v>
          </cell>
          <cell r="AD43">
            <v>0</v>
          </cell>
          <cell r="AE43">
            <v>0</v>
          </cell>
          <cell r="AF43">
            <v>100000000</v>
          </cell>
          <cell r="AG43">
            <v>276250000</v>
          </cell>
          <cell r="AH43">
            <v>10000000</v>
          </cell>
          <cell r="AI43">
            <v>45000000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1950000000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51750000</v>
          </cell>
          <cell r="AV43">
            <v>0</v>
          </cell>
          <cell r="AW43">
            <v>0</v>
          </cell>
          <cell r="AX43">
            <v>15137000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</row>
        <row r="44">
          <cell r="D44">
            <v>18318965.5</v>
          </cell>
          <cell r="E44">
            <v>8000000</v>
          </cell>
          <cell r="F44">
            <v>500000</v>
          </cell>
          <cell r="G44">
            <v>16000000</v>
          </cell>
          <cell r="H44">
            <v>366000</v>
          </cell>
          <cell r="I44">
            <v>0</v>
          </cell>
          <cell r="J44">
            <v>20000000</v>
          </cell>
          <cell r="K44">
            <v>0</v>
          </cell>
          <cell r="L44">
            <v>10000000</v>
          </cell>
          <cell r="M44">
            <v>10000000</v>
          </cell>
          <cell r="N44">
            <v>15000000</v>
          </cell>
          <cell r="O44">
            <v>0</v>
          </cell>
          <cell r="P44">
            <v>18000000</v>
          </cell>
          <cell r="Q44">
            <v>23400000</v>
          </cell>
          <cell r="R44">
            <v>0</v>
          </cell>
          <cell r="S44">
            <v>43000000</v>
          </cell>
          <cell r="T44">
            <v>37160000</v>
          </cell>
          <cell r="U44">
            <v>0</v>
          </cell>
          <cell r="V44">
            <v>112669500</v>
          </cell>
          <cell r="W44">
            <v>160000000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1000000000</v>
          </cell>
          <cell r="AD44">
            <v>215000000</v>
          </cell>
          <cell r="AE44">
            <v>10000000</v>
          </cell>
          <cell r="AF44">
            <v>100000000</v>
          </cell>
          <cell r="AG44">
            <v>0</v>
          </cell>
          <cell r="AH44">
            <v>0</v>
          </cell>
          <cell r="AI44">
            <v>100000000</v>
          </cell>
          <cell r="AJ44">
            <v>72000000</v>
          </cell>
          <cell r="AK44">
            <v>8000000</v>
          </cell>
          <cell r="AL44">
            <v>2000000</v>
          </cell>
          <cell r="AM44">
            <v>7000000</v>
          </cell>
          <cell r="AN44">
            <v>450000000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54000000</v>
          </cell>
          <cell r="AV44">
            <v>0</v>
          </cell>
          <cell r="AW44">
            <v>0</v>
          </cell>
          <cell r="AX44">
            <v>13200580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</row>
        <row r="45">
          <cell r="D45">
            <v>18318965.5</v>
          </cell>
          <cell r="E45">
            <v>8000000</v>
          </cell>
          <cell r="F45">
            <v>500000</v>
          </cell>
          <cell r="G45">
            <v>16000000</v>
          </cell>
          <cell r="H45">
            <v>2619000</v>
          </cell>
          <cell r="I45">
            <v>0</v>
          </cell>
          <cell r="J45">
            <v>20000000</v>
          </cell>
          <cell r="K45">
            <v>0</v>
          </cell>
          <cell r="L45">
            <v>10000000</v>
          </cell>
          <cell r="M45">
            <v>10000000</v>
          </cell>
          <cell r="N45">
            <v>15000000</v>
          </cell>
          <cell r="O45">
            <v>0</v>
          </cell>
          <cell r="P45">
            <v>18000000</v>
          </cell>
          <cell r="Q45">
            <v>23400000</v>
          </cell>
          <cell r="R45">
            <v>0</v>
          </cell>
          <cell r="S45">
            <v>43000000</v>
          </cell>
          <cell r="T45">
            <v>37160000</v>
          </cell>
          <cell r="U45">
            <v>0</v>
          </cell>
          <cell r="V45">
            <v>112670000</v>
          </cell>
          <cell r="W45">
            <v>0</v>
          </cell>
          <cell r="X45">
            <v>125000000</v>
          </cell>
          <cell r="Y45">
            <v>10000000</v>
          </cell>
          <cell r="Z45">
            <v>0</v>
          </cell>
          <cell r="AA45">
            <v>210000000</v>
          </cell>
          <cell r="AB45">
            <v>10000000</v>
          </cell>
          <cell r="AC45">
            <v>0</v>
          </cell>
          <cell r="AD45">
            <v>215000000</v>
          </cell>
          <cell r="AE45">
            <v>10000000</v>
          </cell>
          <cell r="AF45">
            <v>0</v>
          </cell>
          <cell r="AG45">
            <v>325000000</v>
          </cell>
          <cell r="AH45">
            <v>10000000</v>
          </cell>
          <cell r="AI45">
            <v>100000000</v>
          </cell>
          <cell r="AJ45">
            <v>44640000</v>
          </cell>
          <cell r="AK45">
            <v>0</v>
          </cell>
          <cell r="AL45">
            <v>0</v>
          </cell>
          <cell r="AM45">
            <v>7000000</v>
          </cell>
          <cell r="AN45">
            <v>52000000</v>
          </cell>
          <cell r="AO45">
            <v>230061540</v>
          </cell>
          <cell r="AP45">
            <v>12000000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63750000</v>
          </cell>
          <cell r="AV45">
            <v>0</v>
          </cell>
          <cell r="AW45">
            <v>0</v>
          </cell>
          <cell r="AX45">
            <v>17887800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</row>
        <row r="46">
          <cell r="D46">
            <v>18318965.5</v>
          </cell>
          <cell r="E46">
            <v>8000000</v>
          </cell>
          <cell r="F46">
            <v>500000</v>
          </cell>
          <cell r="G46">
            <v>16000000</v>
          </cell>
          <cell r="H46">
            <v>144000</v>
          </cell>
          <cell r="I46">
            <v>0</v>
          </cell>
          <cell r="J46">
            <v>20000000</v>
          </cell>
          <cell r="K46">
            <v>0</v>
          </cell>
          <cell r="L46">
            <v>10000000</v>
          </cell>
          <cell r="M46">
            <v>10000000</v>
          </cell>
          <cell r="N46">
            <v>15000000</v>
          </cell>
          <cell r="O46">
            <v>0</v>
          </cell>
          <cell r="P46">
            <v>18000000</v>
          </cell>
          <cell r="Q46">
            <v>23400000</v>
          </cell>
          <cell r="R46">
            <v>0</v>
          </cell>
          <cell r="S46">
            <v>43000000</v>
          </cell>
          <cell r="T46">
            <v>36911985.579999998</v>
          </cell>
          <cell r="U46">
            <v>0</v>
          </cell>
          <cell r="V46">
            <v>111918014.42</v>
          </cell>
          <cell r="W46">
            <v>0</v>
          </cell>
          <cell r="X46">
            <v>125000000</v>
          </cell>
          <cell r="Y46">
            <v>10000000</v>
          </cell>
          <cell r="Z46">
            <v>300000000</v>
          </cell>
          <cell r="AA46">
            <v>210000000</v>
          </cell>
          <cell r="AB46">
            <v>10000000</v>
          </cell>
          <cell r="AC46">
            <v>250000000</v>
          </cell>
          <cell r="AD46">
            <v>214000000</v>
          </cell>
          <cell r="AE46">
            <v>10000000</v>
          </cell>
          <cell r="AF46">
            <v>100000000</v>
          </cell>
          <cell r="AG46">
            <v>276250000</v>
          </cell>
          <cell r="AH46">
            <v>10000000</v>
          </cell>
          <cell r="AI46">
            <v>520000000</v>
          </cell>
          <cell r="AJ46">
            <v>61200000</v>
          </cell>
          <cell r="AK46">
            <v>4320000</v>
          </cell>
          <cell r="AL46">
            <v>0</v>
          </cell>
          <cell r="AM46">
            <v>7000000</v>
          </cell>
          <cell r="AN46">
            <v>935000000</v>
          </cell>
          <cell r="AO46">
            <v>315406950</v>
          </cell>
          <cell r="AP46">
            <v>12000000</v>
          </cell>
          <cell r="AQ46">
            <v>0</v>
          </cell>
          <cell r="AR46">
            <v>4320000</v>
          </cell>
          <cell r="AS46">
            <v>0</v>
          </cell>
          <cell r="AT46">
            <v>0</v>
          </cell>
          <cell r="AU46">
            <v>40500000</v>
          </cell>
          <cell r="AV46">
            <v>0</v>
          </cell>
          <cell r="AW46">
            <v>0</v>
          </cell>
          <cell r="AX46">
            <v>16495510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</row>
        <row r="47">
          <cell r="D47">
            <v>18318965.41</v>
          </cell>
          <cell r="E47">
            <v>8000000</v>
          </cell>
          <cell r="F47">
            <v>500000</v>
          </cell>
          <cell r="G47">
            <v>16000000</v>
          </cell>
          <cell r="H47">
            <v>974635.2</v>
          </cell>
          <cell r="I47">
            <v>0</v>
          </cell>
          <cell r="J47">
            <v>20000000</v>
          </cell>
          <cell r="K47">
            <v>0</v>
          </cell>
          <cell r="L47">
            <v>10000000</v>
          </cell>
          <cell r="M47">
            <v>10000000</v>
          </cell>
          <cell r="N47">
            <v>15000000</v>
          </cell>
          <cell r="O47">
            <v>5000000</v>
          </cell>
          <cell r="P47">
            <v>18000000</v>
          </cell>
          <cell r="Q47">
            <v>23400000</v>
          </cell>
          <cell r="R47">
            <v>0</v>
          </cell>
          <cell r="S47">
            <v>43000000</v>
          </cell>
          <cell r="T47">
            <v>37160000</v>
          </cell>
          <cell r="U47">
            <v>0</v>
          </cell>
          <cell r="V47">
            <v>95769500</v>
          </cell>
          <cell r="W47">
            <v>30000000</v>
          </cell>
          <cell r="X47">
            <v>125000000</v>
          </cell>
          <cell r="Y47">
            <v>10000000</v>
          </cell>
          <cell r="Z47">
            <v>0</v>
          </cell>
          <cell r="AA47">
            <v>210000000</v>
          </cell>
          <cell r="AB47">
            <v>10000000</v>
          </cell>
          <cell r="AC47">
            <v>0</v>
          </cell>
          <cell r="AD47">
            <v>131150000</v>
          </cell>
          <cell r="AE47">
            <v>10000000</v>
          </cell>
          <cell r="AF47">
            <v>10000000</v>
          </cell>
          <cell r="AG47">
            <v>198250000</v>
          </cell>
          <cell r="AH47">
            <v>10000000</v>
          </cell>
          <cell r="AI47">
            <v>10000000</v>
          </cell>
          <cell r="AJ47">
            <v>43920000</v>
          </cell>
          <cell r="AK47">
            <v>8000000</v>
          </cell>
          <cell r="AL47">
            <v>1700000</v>
          </cell>
          <cell r="AM47">
            <v>7000000</v>
          </cell>
          <cell r="AN47">
            <v>905000000</v>
          </cell>
          <cell r="AO47">
            <v>226350870</v>
          </cell>
          <cell r="AP47">
            <v>12000000</v>
          </cell>
          <cell r="AQ47">
            <v>0</v>
          </cell>
          <cell r="AR47">
            <v>8000000</v>
          </cell>
          <cell r="AS47">
            <v>0</v>
          </cell>
          <cell r="AT47">
            <v>0</v>
          </cell>
          <cell r="AU47">
            <v>50250000</v>
          </cell>
          <cell r="AV47">
            <v>0</v>
          </cell>
          <cell r="AW47">
            <v>0</v>
          </cell>
          <cell r="AX47">
            <v>13174075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</row>
        <row r="48">
          <cell r="D48">
            <v>18318965.5</v>
          </cell>
          <cell r="E48">
            <v>8000000</v>
          </cell>
          <cell r="F48">
            <v>500000</v>
          </cell>
          <cell r="G48">
            <v>16000000</v>
          </cell>
          <cell r="H48">
            <v>156000</v>
          </cell>
          <cell r="I48">
            <v>0</v>
          </cell>
          <cell r="J48">
            <v>20000000</v>
          </cell>
          <cell r="K48">
            <v>0</v>
          </cell>
          <cell r="L48">
            <v>10000000</v>
          </cell>
          <cell r="M48">
            <v>10000000</v>
          </cell>
          <cell r="N48">
            <v>15000000</v>
          </cell>
          <cell r="O48">
            <v>0</v>
          </cell>
          <cell r="P48">
            <v>18000000</v>
          </cell>
          <cell r="Q48">
            <v>23400000</v>
          </cell>
          <cell r="R48">
            <v>0</v>
          </cell>
          <cell r="S48">
            <v>43000000</v>
          </cell>
          <cell r="T48">
            <v>37160000</v>
          </cell>
          <cell r="U48">
            <v>0</v>
          </cell>
          <cell r="V48">
            <v>112670000</v>
          </cell>
          <cell r="W48">
            <v>235000000</v>
          </cell>
          <cell r="X48">
            <v>125000000</v>
          </cell>
          <cell r="Y48">
            <v>10000000</v>
          </cell>
          <cell r="Z48">
            <v>0</v>
          </cell>
          <cell r="AA48">
            <v>210000000</v>
          </cell>
          <cell r="AB48">
            <v>10000000</v>
          </cell>
          <cell r="AC48">
            <v>500000000</v>
          </cell>
          <cell r="AD48">
            <v>215000000</v>
          </cell>
          <cell r="AE48">
            <v>10000000</v>
          </cell>
          <cell r="AF48">
            <v>630000000</v>
          </cell>
          <cell r="AG48">
            <v>325000000</v>
          </cell>
          <cell r="AH48">
            <v>10000000</v>
          </cell>
          <cell r="AI48">
            <v>600000000</v>
          </cell>
          <cell r="AJ48">
            <v>61200000</v>
          </cell>
          <cell r="AK48">
            <v>0</v>
          </cell>
          <cell r="AL48">
            <v>2000000</v>
          </cell>
          <cell r="AM48">
            <v>7000000</v>
          </cell>
          <cell r="AN48">
            <v>310000000</v>
          </cell>
          <cell r="AO48">
            <v>315406950</v>
          </cell>
          <cell r="AP48">
            <v>12000000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75000000</v>
          </cell>
          <cell r="AV48">
            <v>0</v>
          </cell>
          <cell r="AW48">
            <v>0</v>
          </cell>
          <cell r="AX48">
            <v>19166100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</row>
        <row r="49">
          <cell r="D49">
            <v>18318965.5</v>
          </cell>
          <cell r="E49">
            <v>8000000</v>
          </cell>
          <cell r="F49">
            <v>500000</v>
          </cell>
          <cell r="G49">
            <v>16000000</v>
          </cell>
          <cell r="H49">
            <v>0</v>
          </cell>
          <cell r="I49">
            <v>0</v>
          </cell>
          <cell r="J49">
            <v>20000000</v>
          </cell>
          <cell r="K49">
            <v>0</v>
          </cell>
          <cell r="L49">
            <v>10000000</v>
          </cell>
          <cell r="M49">
            <v>10000000</v>
          </cell>
          <cell r="N49">
            <v>15000000</v>
          </cell>
          <cell r="O49">
            <v>0</v>
          </cell>
          <cell r="P49">
            <v>18000000</v>
          </cell>
          <cell r="Q49">
            <v>23400000</v>
          </cell>
          <cell r="R49">
            <v>0</v>
          </cell>
          <cell r="S49">
            <v>43000000</v>
          </cell>
          <cell r="T49">
            <v>37160000</v>
          </cell>
          <cell r="U49">
            <v>0</v>
          </cell>
          <cell r="V49">
            <v>112670000</v>
          </cell>
          <cell r="X49">
            <v>125000000</v>
          </cell>
          <cell r="Y49">
            <v>10000000</v>
          </cell>
          <cell r="Z49">
            <v>0</v>
          </cell>
          <cell r="AA49">
            <v>210000000</v>
          </cell>
          <cell r="AB49">
            <v>10000000</v>
          </cell>
          <cell r="AC49">
            <v>50000000</v>
          </cell>
          <cell r="AD49">
            <v>215000000</v>
          </cell>
          <cell r="AE49">
            <v>10000000</v>
          </cell>
          <cell r="AF49">
            <v>30000000</v>
          </cell>
          <cell r="AG49">
            <v>325000000</v>
          </cell>
          <cell r="AH49">
            <v>10000000</v>
          </cell>
          <cell r="AI49">
            <v>30000000</v>
          </cell>
          <cell r="AJ49">
            <v>61200000</v>
          </cell>
          <cell r="AK49">
            <v>0</v>
          </cell>
          <cell r="AL49">
            <v>0</v>
          </cell>
          <cell r="AM49">
            <v>7000000</v>
          </cell>
          <cell r="AN49">
            <v>970000000</v>
          </cell>
          <cell r="AO49">
            <v>315406950</v>
          </cell>
          <cell r="AP49">
            <v>12000000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63750000</v>
          </cell>
          <cell r="AV49">
            <v>0</v>
          </cell>
          <cell r="AW49">
            <v>0</v>
          </cell>
          <cell r="AX49">
            <v>10661200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</row>
        <row r="50">
          <cell r="D50">
            <v>18318965.5</v>
          </cell>
          <cell r="E50">
            <v>8000000</v>
          </cell>
          <cell r="F50">
            <v>500000</v>
          </cell>
          <cell r="G50">
            <v>16000000</v>
          </cell>
          <cell r="H50">
            <v>285000</v>
          </cell>
          <cell r="I50">
            <v>0</v>
          </cell>
          <cell r="J50">
            <v>20000000</v>
          </cell>
          <cell r="K50">
            <v>0</v>
          </cell>
          <cell r="L50">
            <v>10000000</v>
          </cell>
          <cell r="M50">
            <v>10000000</v>
          </cell>
          <cell r="N50">
            <v>15000000</v>
          </cell>
          <cell r="O50">
            <v>0</v>
          </cell>
          <cell r="P50">
            <v>18000000</v>
          </cell>
          <cell r="Q50">
            <v>23400000</v>
          </cell>
          <cell r="R50">
            <v>0</v>
          </cell>
          <cell r="S50">
            <v>43000000</v>
          </cell>
          <cell r="T50">
            <v>37160000</v>
          </cell>
          <cell r="U50">
            <v>0</v>
          </cell>
          <cell r="V50">
            <v>112670000</v>
          </cell>
          <cell r="W50">
            <v>0</v>
          </cell>
          <cell r="X50">
            <v>125000000</v>
          </cell>
          <cell r="Y50">
            <v>10000000</v>
          </cell>
          <cell r="AA50">
            <v>210000000</v>
          </cell>
          <cell r="AB50">
            <v>10000000</v>
          </cell>
          <cell r="AC50">
            <v>470000000</v>
          </cell>
          <cell r="AD50">
            <v>215000000</v>
          </cell>
          <cell r="AE50">
            <v>10000000</v>
          </cell>
          <cell r="AF50">
            <v>177000000</v>
          </cell>
          <cell r="AG50">
            <v>325000000</v>
          </cell>
          <cell r="AH50">
            <v>10000000</v>
          </cell>
          <cell r="AI50">
            <v>91600000</v>
          </cell>
          <cell r="AJ50">
            <v>61200000</v>
          </cell>
          <cell r="AK50">
            <v>4320000</v>
          </cell>
          <cell r="AL50">
            <v>0</v>
          </cell>
          <cell r="AM50">
            <v>7000000</v>
          </cell>
          <cell r="AN50">
            <v>1707500000</v>
          </cell>
          <cell r="AO50">
            <v>315406950</v>
          </cell>
          <cell r="AP50">
            <v>12000000</v>
          </cell>
          <cell r="AQ50">
            <v>0</v>
          </cell>
          <cell r="AR50">
            <v>4320000</v>
          </cell>
          <cell r="AS50">
            <v>127500000</v>
          </cell>
          <cell r="AT50">
            <v>0</v>
          </cell>
          <cell r="AU50">
            <v>60000000</v>
          </cell>
          <cell r="AV50">
            <v>0</v>
          </cell>
          <cell r="AW50">
            <v>0</v>
          </cell>
          <cell r="AX50">
            <v>8784550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</row>
        <row r="51">
          <cell r="D51">
            <v>18318965.5</v>
          </cell>
          <cell r="E51">
            <v>8000000</v>
          </cell>
          <cell r="F51">
            <v>500000</v>
          </cell>
          <cell r="G51">
            <v>16000000</v>
          </cell>
          <cell r="H51">
            <v>1026000</v>
          </cell>
          <cell r="I51">
            <v>0</v>
          </cell>
          <cell r="J51">
            <v>20000000</v>
          </cell>
          <cell r="K51">
            <v>0</v>
          </cell>
          <cell r="L51">
            <v>10000000</v>
          </cell>
          <cell r="M51">
            <v>10000000</v>
          </cell>
          <cell r="N51">
            <v>15000000</v>
          </cell>
          <cell r="O51">
            <v>5000000</v>
          </cell>
          <cell r="P51">
            <v>18000000</v>
          </cell>
          <cell r="Q51">
            <v>23400000</v>
          </cell>
          <cell r="R51">
            <v>0</v>
          </cell>
          <cell r="S51">
            <v>43000000</v>
          </cell>
          <cell r="T51">
            <v>37160000</v>
          </cell>
          <cell r="U51">
            <v>0</v>
          </cell>
          <cell r="V51">
            <v>112670000</v>
          </cell>
          <cell r="W51">
            <v>50000000</v>
          </cell>
          <cell r="X51">
            <v>125000000</v>
          </cell>
          <cell r="Y51">
            <v>10000000</v>
          </cell>
          <cell r="Z51">
            <v>0</v>
          </cell>
          <cell r="AA51">
            <v>210000000</v>
          </cell>
          <cell r="AB51">
            <v>10000000</v>
          </cell>
          <cell r="AC51">
            <v>0</v>
          </cell>
          <cell r="AD51">
            <v>215000000</v>
          </cell>
          <cell r="AE51">
            <v>10000000</v>
          </cell>
          <cell r="AF51">
            <v>0</v>
          </cell>
          <cell r="AG51">
            <v>325000000</v>
          </cell>
          <cell r="AH51">
            <v>10000000</v>
          </cell>
          <cell r="AI51">
            <v>200000000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1322500000</v>
          </cell>
          <cell r="AO51">
            <v>222640200</v>
          </cell>
          <cell r="AP51">
            <v>9649600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51000000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</row>
        <row r="52">
          <cell r="D52">
            <v>18318965.5</v>
          </cell>
          <cell r="E52">
            <v>8000000</v>
          </cell>
          <cell r="F52">
            <v>500000</v>
          </cell>
          <cell r="G52">
            <v>16000000</v>
          </cell>
          <cell r="H52">
            <v>0</v>
          </cell>
          <cell r="I52">
            <v>0</v>
          </cell>
          <cell r="J52">
            <v>20000000</v>
          </cell>
          <cell r="K52">
            <v>0</v>
          </cell>
          <cell r="L52">
            <v>10000000</v>
          </cell>
          <cell r="M52">
            <v>10000000</v>
          </cell>
          <cell r="N52">
            <v>15000000</v>
          </cell>
          <cell r="O52">
            <v>5000000</v>
          </cell>
          <cell r="P52">
            <v>18000000</v>
          </cell>
          <cell r="Q52">
            <v>23400000</v>
          </cell>
          <cell r="R52">
            <v>0</v>
          </cell>
          <cell r="S52">
            <v>43000000</v>
          </cell>
          <cell r="T52">
            <v>37160000</v>
          </cell>
          <cell r="U52">
            <v>0</v>
          </cell>
          <cell r="V52">
            <v>0</v>
          </cell>
          <cell r="W52">
            <v>0</v>
          </cell>
          <cell r="X52">
            <v>125000000</v>
          </cell>
          <cell r="Y52">
            <v>10000000</v>
          </cell>
          <cell r="Z52">
            <v>250000000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325000000</v>
          </cell>
          <cell r="AH52">
            <v>10000000</v>
          </cell>
          <cell r="AI52">
            <v>100000000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250000000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51000000</v>
          </cell>
          <cell r="AV52">
            <v>0</v>
          </cell>
          <cell r="AW52">
            <v>0</v>
          </cell>
          <cell r="AX52">
            <v>10058000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</row>
        <row r="53">
          <cell r="D53">
            <v>18318965.5</v>
          </cell>
          <cell r="E53">
            <v>8000000</v>
          </cell>
          <cell r="F53">
            <v>500000</v>
          </cell>
          <cell r="G53">
            <v>16000000</v>
          </cell>
          <cell r="H53">
            <v>1791000</v>
          </cell>
          <cell r="I53">
            <v>0</v>
          </cell>
          <cell r="J53">
            <v>20000000</v>
          </cell>
          <cell r="K53">
            <v>1855000</v>
          </cell>
          <cell r="L53">
            <v>10000000</v>
          </cell>
          <cell r="M53">
            <v>10000000</v>
          </cell>
          <cell r="N53">
            <v>15000000</v>
          </cell>
          <cell r="O53">
            <v>0</v>
          </cell>
          <cell r="P53">
            <v>18000000</v>
          </cell>
          <cell r="Q53">
            <v>23400000</v>
          </cell>
          <cell r="R53">
            <v>0</v>
          </cell>
          <cell r="S53">
            <v>43000000</v>
          </cell>
          <cell r="T53">
            <v>37160000</v>
          </cell>
          <cell r="U53">
            <v>0</v>
          </cell>
          <cell r="V53">
            <v>112670000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215000000</v>
          </cell>
          <cell r="AE53">
            <v>10000000</v>
          </cell>
          <cell r="AF53">
            <v>0</v>
          </cell>
          <cell r="AG53">
            <v>0</v>
          </cell>
          <cell r="AH53">
            <v>0</v>
          </cell>
          <cell r="AI53">
            <v>300000000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350000000</v>
          </cell>
          <cell r="AO53">
            <v>222640200</v>
          </cell>
          <cell r="AP53">
            <v>3593200</v>
          </cell>
          <cell r="AQ53">
            <v>0</v>
          </cell>
          <cell r="AR53">
            <v>6800000</v>
          </cell>
          <cell r="AS53">
            <v>150000000</v>
          </cell>
          <cell r="AT53">
            <v>0</v>
          </cell>
          <cell r="AU53">
            <v>50250000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</row>
        <row r="54">
          <cell r="D54">
            <v>18318965.5</v>
          </cell>
          <cell r="E54">
            <v>8000000</v>
          </cell>
          <cell r="F54">
            <v>500000</v>
          </cell>
          <cell r="G54">
            <v>16000000</v>
          </cell>
          <cell r="H54">
            <v>219000</v>
          </cell>
          <cell r="I54">
            <v>4000000</v>
          </cell>
          <cell r="J54">
            <v>20000000</v>
          </cell>
          <cell r="K54">
            <v>0</v>
          </cell>
          <cell r="L54">
            <v>10000000</v>
          </cell>
          <cell r="M54">
            <v>10000000</v>
          </cell>
          <cell r="N54">
            <v>15000000</v>
          </cell>
          <cell r="O54">
            <v>10000000</v>
          </cell>
          <cell r="P54">
            <v>18000000</v>
          </cell>
          <cell r="Q54">
            <v>23400000</v>
          </cell>
          <cell r="R54">
            <v>0</v>
          </cell>
          <cell r="S54">
            <v>43000000</v>
          </cell>
          <cell r="T54">
            <v>37160000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210000000</v>
          </cell>
          <cell r="AB54">
            <v>10000000</v>
          </cell>
          <cell r="AC54">
            <v>100000000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300000000</v>
          </cell>
          <cell r="AJ54">
            <v>72000000</v>
          </cell>
          <cell r="AK54">
            <v>8000000</v>
          </cell>
          <cell r="AL54">
            <v>2000000</v>
          </cell>
          <cell r="AM54">
            <v>7000000</v>
          </cell>
          <cell r="AN54">
            <v>350000000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51000000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4183835</v>
          </cell>
        </row>
        <row r="55">
          <cell r="D55">
            <v>18318965.5</v>
          </cell>
          <cell r="E55">
            <v>8000000</v>
          </cell>
          <cell r="F55">
            <v>500000</v>
          </cell>
          <cell r="G55">
            <v>16000000</v>
          </cell>
          <cell r="H55">
            <v>622000</v>
          </cell>
          <cell r="I55">
            <v>0</v>
          </cell>
          <cell r="J55">
            <v>20000000</v>
          </cell>
          <cell r="K55">
            <v>0</v>
          </cell>
          <cell r="L55">
            <v>10000000</v>
          </cell>
          <cell r="M55">
            <v>10000000</v>
          </cell>
          <cell r="N55">
            <v>15000000</v>
          </cell>
          <cell r="O55">
            <v>5000000</v>
          </cell>
          <cell r="P55">
            <v>18000000</v>
          </cell>
          <cell r="Q55">
            <v>23400000</v>
          </cell>
          <cell r="R55">
            <v>0</v>
          </cell>
          <cell r="S55">
            <v>43000000</v>
          </cell>
          <cell r="T55">
            <v>37160000</v>
          </cell>
          <cell r="U55">
            <v>0</v>
          </cell>
          <cell r="V55">
            <v>112670000</v>
          </cell>
          <cell r="W55">
            <v>100000000</v>
          </cell>
          <cell r="X55">
            <v>125000000</v>
          </cell>
          <cell r="Y55">
            <v>10000000</v>
          </cell>
          <cell r="Z55">
            <v>500000000</v>
          </cell>
          <cell r="AA55">
            <v>210000000</v>
          </cell>
          <cell r="AB55">
            <v>10000000</v>
          </cell>
          <cell r="AC55">
            <v>382000000</v>
          </cell>
          <cell r="AD55">
            <v>215000000</v>
          </cell>
          <cell r="AE55">
            <v>10000000</v>
          </cell>
          <cell r="AF55">
            <v>500000000</v>
          </cell>
          <cell r="AG55">
            <v>325000000</v>
          </cell>
          <cell r="AH55">
            <v>10000000</v>
          </cell>
          <cell r="AI55">
            <v>195350000</v>
          </cell>
          <cell r="AJ55">
            <v>44640000</v>
          </cell>
          <cell r="AK55">
            <v>8000000</v>
          </cell>
          <cell r="AL55">
            <v>0</v>
          </cell>
          <cell r="AM55">
            <v>7000000</v>
          </cell>
          <cell r="AN55">
            <v>2690000000</v>
          </cell>
          <cell r="AO55">
            <v>230061540</v>
          </cell>
          <cell r="AP55">
            <v>12000000</v>
          </cell>
          <cell r="AQ55">
            <v>0</v>
          </cell>
          <cell r="AR55">
            <v>8000000</v>
          </cell>
          <cell r="AS55">
            <v>0</v>
          </cell>
          <cell r="AT55">
            <v>0</v>
          </cell>
          <cell r="AU55">
            <v>75000000</v>
          </cell>
          <cell r="AV55">
            <v>0</v>
          </cell>
          <cell r="AW55">
            <v>0</v>
          </cell>
          <cell r="AX55">
            <v>12737000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</row>
        <row r="56">
          <cell r="D56">
            <v>18318965.010000002</v>
          </cell>
          <cell r="E56">
            <v>8000000</v>
          </cell>
          <cell r="F56">
            <v>500000</v>
          </cell>
          <cell r="G56">
            <v>16000000</v>
          </cell>
          <cell r="H56">
            <v>538000</v>
          </cell>
          <cell r="I56">
            <v>0</v>
          </cell>
          <cell r="J56">
            <v>20000000</v>
          </cell>
          <cell r="K56">
            <v>0</v>
          </cell>
          <cell r="L56">
            <v>10000000</v>
          </cell>
          <cell r="M56">
            <v>10000000</v>
          </cell>
          <cell r="N56">
            <v>15000000</v>
          </cell>
          <cell r="O56">
            <v>0</v>
          </cell>
          <cell r="P56">
            <v>18000000</v>
          </cell>
          <cell r="Q56">
            <v>23400000</v>
          </cell>
          <cell r="R56">
            <v>0</v>
          </cell>
          <cell r="S56">
            <v>36550000</v>
          </cell>
          <cell r="T56">
            <v>31586000</v>
          </cell>
          <cell r="U56">
            <v>0</v>
          </cell>
          <cell r="V56">
            <v>112663000</v>
          </cell>
          <cell r="W56">
            <v>100000000</v>
          </cell>
          <cell r="X56">
            <v>125000000</v>
          </cell>
          <cell r="Y56">
            <v>9013550</v>
          </cell>
          <cell r="Z56">
            <v>0</v>
          </cell>
          <cell r="AA56">
            <v>210000000</v>
          </cell>
          <cell r="AB56">
            <v>10000000</v>
          </cell>
          <cell r="AC56">
            <v>50000000</v>
          </cell>
          <cell r="AD56">
            <v>215000000</v>
          </cell>
          <cell r="AE56">
            <v>10000000</v>
          </cell>
          <cell r="AF56">
            <v>431800000</v>
          </cell>
          <cell r="AG56">
            <v>325000000</v>
          </cell>
          <cell r="AH56">
            <v>10000000</v>
          </cell>
          <cell r="AI56">
            <v>200000000</v>
          </cell>
          <cell r="AJ56">
            <v>61200000</v>
          </cell>
          <cell r="AK56">
            <v>8000000</v>
          </cell>
          <cell r="AL56">
            <v>0</v>
          </cell>
          <cell r="AM56">
            <v>7000000</v>
          </cell>
          <cell r="AN56">
            <v>2553100000</v>
          </cell>
          <cell r="AO56">
            <v>315406955</v>
          </cell>
          <cell r="AP56">
            <v>12000000</v>
          </cell>
          <cell r="AQ56">
            <v>0</v>
          </cell>
          <cell r="AR56">
            <v>8000000</v>
          </cell>
          <cell r="AS56">
            <v>0</v>
          </cell>
          <cell r="AT56">
            <v>0</v>
          </cell>
          <cell r="AU56">
            <v>51000000</v>
          </cell>
          <cell r="AV56">
            <v>0</v>
          </cell>
          <cell r="AW56">
            <v>0</v>
          </cell>
          <cell r="AX56">
            <v>13778800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</row>
        <row r="57">
          <cell r="D57">
            <v>18318769.5</v>
          </cell>
          <cell r="E57">
            <v>8000000</v>
          </cell>
          <cell r="F57">
            <v>500000</v>
          </cell>
          <cell r="G57">
            <v>16000000</v>
          </cell>
          <cell r="H57">
            <v>1833000</v>
          </cell>
          <cell r="J57">
            <v>20000000</v>
          </cell>
          <cell r="K57">
            <v>1833000</v>
          </cell>
          <cell r="L57">
            <v>10000000</v>
          </cell>
          <cell r="M57">
            <v>10000000</v>
          </cell>
          <cell r="N57">
            <v>15000000</v>
          </cell>
          <cell r="O57">
            <v>4250000</v>
          </cell>
          <cell r="P57">
            <v>18000000</v>
          </cell>
          <cell r="Q57">
            <v>23400000</v>
          </cell>
          <cell r="R57">
            <v>0</v>
          </cell>
          <cell r="S57">
            <v>43000000</v>
          </cell>
          <cell r="T57">
            <v>37159600</v>
          </cell>
          <cell r="U57">
            <v>0</v>
          </cell>
          <cell r="V57">
            <v>112669700</v>
          </cell>
          <cell r="W57">
            <v>100000000</v>
          </cell>
          <cell r="X57">
            <v>0</v>
          </cell>
          <cell r="Y57">
            <v>0</v>
          </cell>
          <cell r="Z57">
            <v>160000000</v>
          </cell>
          <cell r="AA57">
            <v>178500000</v>
          </cell>
          <cell r="AB57">
            <v>10000000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276250000</v>
          </cell>
          <cell r="AH57">
            <v>10000000</v>
          </cell>
          <cell r="AI57">
            <v>225000000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90750000</v>
          </cell>
          <cell r="AO57">
            <v>233772210</v>
          </cell>
          <cell r="AP57">
            <v>12000000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8066400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</row>
        <row r="58">
          <cell r="D58">
            <v>18318965.5</v>
          </cell>
          <cell r="E58">
            <v>8000000</v>
          </cell>
          <cell r="F58">
            <v>500000</v>
          </cell>
          <cell r="G58">
            <v>16000000</v>
          </cell>
          <cell r="H58">
            <v>410000</v>
          </cell>
          <cell r="I58">
            <v>0</v>
          </cell>
          <cell r="J58">
            <v>20000000</v>
          </cell>
          <cell r="K58">
            <v>0</v>
          </cell>
          <cell r="L58">
            <v>10000000</v>
          </cell>
          <cell r="M58">
            <v>10000000</v>
          </cell>
          <cell r="N58">
            <v>15000000</v>
          </cell>
          <cell r="O58">
            <v>0</v>
          </cell>
          <cell r="P58">
            <v>18000000</v>
          </cell>
          <cell r="Q58">
            <v>23400000</v>
          </cell>
          <cell r="R58">
            <v>0</v>
          </cell>
          <cell r="S58">
            <v>43000000</v>
          </cell>
          <cell r="T58">
            <v>37160000</v>
          </cell>
          <cell r="U58">
            <v>0</v>
          </cell>
          <cell r="V58">
            <v>0</v>
          </cell>
          <cell r="W58">
            <v>0</v>
          </cell>
          <cell r="X58">
            <v>125000000</v>
          </cell>
          <cell r="Y58">
            <v>10000000</v>
          </cell>
          <cell r="Z58">
            <v>0</v>
          </cell>
          <cell r="AA58">
            <v>0</v>
          </cell>
          <cell r="AB58">
            <v>0</v>
          </cell>
          <cell r="AC58">
            <v>151000000</v>
          </cell>
          <cell r="AD58">
            <v>215000000</v>
          </cell>
          <cell r="AE58">
            <v>10000000</v>
          </cell>
          <cell r="AF58">
            <v>341600000</v>
          </cell>
          <cell r="AG58">
            <v>0</v>
          </cell>
          <cell r="AH58">
            <v>0</v>
          </cell>
          <cell r="AI58">
            <v>70000000</v>
          </cell>
          <cell r="AJ58">
            <v>0</v>
          </cell>
          <cell r="AK58">
            <v>0</v>
          </cell>
          <cell r="AL58">
            <v>1700000</v>
          </cell>
          <cell r="AM58">
            <v>7000000</v>
          </cell>
          <cell r="AN58">
            <v>3905000000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63750000</v>
          </cell>
          <cell r="AV58">
            <v>0</v>
          </cell>
          <cell r="AW58">
            <v>0</v>
          </cell>
          <cell r="AX58">
            <v>5227050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</row>
        <row r="59">
          <cell r="D59">
            <v>18318965.5</v>
          </cell>
          <cell r="E59">
            <v>8000000</v>
          </cell>
          <cell r="F59">
            <v>500000</v>
          </cell>
          <cell r="G59">
            <v>16000000</v>
          </cell>
          <cell r="H59">
            <v>0</v>
          </cell>
          <cell r="I59">
            <v>0</v>
          </cell>
          <cell r="J59">
            <v>20000000</v>
          </cell>
          <cell r="K59">
            <v>0</v>
          </cell>
          <cell r="L59">
            <v>10000000</v>
          </cell>
          <cell r="M59">
            <v>10000000</v>
          </cell>
          <cell r="N59">
            <v>15000000</v>
          </cell>
          <cell r="O59">
            <v>0</v>
          </cell>
          <cell r="P59">
            <v>18000000</v>
          </cell>
          <cell r="Q59">
            <v>23400000</v>
          </cell>
          <cell r="R59">
            <v>0</v>
          </cell>
          <cell r="S59">
            <v>43000000</v>
          </cell>
          <cell r="T59">
            <v>37160000</v>
          </cell>
          <cell r="U59">
            <v>0</v>
          </cell>
          <cell r="V59">
            <v>112670000</v>
          </cell>
          <cell r="W59">
            <v>0</v>
          </cell>
          <cell r="X59">
            <v>125000000</v>
          </cell>
          <cell r="Y59">
            <v>10000000</v>
          </cell>
          <cell r="Z59">
            <v>0</v>
          </cell>
          <cell r="AA59">
            <v>210000000</v>
          </cell>
          <cell r="AB59">
            <v>10000000</v>
          </cell>
          <cell r="AC59">
            <v>212000000</v>
          </cell>
          <cell r="AD59">
            <v>182750000</v>
          </cell>
          <cell r="AE59">
            <v>10000000</v>
          </cell>
          <cell r="AF59">
            <v>0</v>
          </cell>
          <cell r="AG59">
            <v>276250000</v>
          </cell>
          <cell r="AH59">
            <v>10000000</v>
          </cell>
          <cell r="AI59">
            <v>0</v>
          </cell>
          <cell r="AJ59">
            <v>61200000</v>
          </cell>
          <cell r="AK59">
            <v>0</v>
          </cell>
          <cell r="AL59">
            <v>0</v>
          </cell>
          <cell r="AM59">
            <v>7000000</v>
          </cell>
          <cell r="AN59">
            <v>0</v>
          </cell>
          <cell r="AO59">
            <v>0</v>
          </cell>
          <cell r="AP59">
            <v>11640000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17393000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</row>
        <row r="60">
          <cell r="D60">
            <v>18318965.5</v>
          </cell>
          <cell r="E60">
            <v>8000000</v>
          </cell>
          <cell r="F60">
            <v>500000</v>
          </cell>
          <cell r="G60">
            <v>14322000</v>
          </cell>
          <cell r="H60">
            <v>0</v>
          </cell>
          <cell r="I60">
            <v>0</v>
          </cell>
          <cell r="J60">
            <v>20000000</v>
          </cell>
          <cell r="K60">
            <v>0</v>
          </cell>
          <cell r="L60">
            <v>8500000</v>
          </cell>
          <cell r="M60">
            <v>10000000</v>
          </cell>
          <cell r="N60">
            <v>15000000</v>
          </cell>
          <cell r="O60">
            <v>4250000</v>
          </cell>
          <cell r="P60">
            <v>18000000</v>
          </cell>
          <cell r="Q60">
            <v>23400000</v>
          </cell>
          <cell r="R60">
            <v>0</v>
          </cell>
          <cell r="S60">
            <v>43000000</v>
          </cell>
          <cell r="T60">
            <v>37160000</v>
          </cell>
          <cell r="U60">
            <v>0</v>
          </cell>
          <cell r="V60">
            <v>112670000</v>
          </cell>
          <cell r="W60">
            <v>0</v>
          </cell>
          <cell r="X60">
            <v>125000000</v>
          </cell>
          <cell r="Y60">
            <v>10000000</v>
          </cell>
          <cell r="Z60">
            <v>0</v>
          </cell>
          <cell r="AA60">
            <v>210000000</v>
          </cell>
          <cell r="AB60">
            <v>10000000</v>
          </cell>
          <cell r="AC60">
            <v>0</v>
          </cell>
          <cell r="AD60">
            <v>215000000</v>
          </cell>
          <cell r="AE60">
            <v>10000000</v>
          </cell>
          <cell r="AF60">
            <v>134000000</v>
          </cell>
          <cell r="AG60">
            <v>325000000</v>
          </cell>
          <cell r="AH60">
            <v>10000000</v>
          </cell>
          <cell r="AI60">
            <v>50000000</v>
          </cell>
          <cell r="AJ60">
            <v>40320000</v>
          </cell>
          <cell r="AK60">
            <v>4000000</v>
          </cell>
          <cell r="AL60">
            <v>0</v>
          </cell>
          <cell r="AM60">
            <v>7000000</v>
          </cell>
          <cell r="AN60">
            <v>50000000</v>
          </cell>
          <cell r="AO60">
            <v>207797520</v>
          </cell>
          <cell r="AP60">
            <v>12000000</v>
          </cell>
          <cell r="AQ60">
            <v>0</v>
          </cell>
          <cell r="AR60">
            <v>4000000</v>
          </cell>
          <cell r="AS60">
            <v>127500000</v>
          </cell>
          <cell r="AT60">
            <v>0</v>
          </cell>
          <cell r="AU60">
            <v>57750000</v>
          </cell>
          <cell r="AV60">
            <v>0</v>
          </cell>
          <cell r="AW60">
            <v>0</v>
          </cell>
          <cell r="AX60">
            <v>15523600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</row>
        <row r="61">
          <cell r="D61">
            <v>18318965.539999999</v>
          </cell>
          <cell r="E61">
            <v>8000000</v>
          </cell>
          <cell r="F61">
            <v>500000</v>
          </cell>
          <cell r="G61">
            <v>16000000</v>
          </cell>
          <cell r="H61">
            <v>1571000</v>
          </cell>
          <cell r="I61">
            <v>0</v>
          </cell>
          <cell r="J61">
            <v>20000000</v>
          </cell>
          <cell r="K61">
            <v>31000</v>
          </cell>
          <cell r="L61">
            <v>10000000</v>
          </cell>
          <cell r="M61">
            <v>10000000</v>
          </cell>
          <cell r="N61">
            <v>15000000</v>
          </cell>
          <cell r="O61">
            <v>5000000</v>
          </cell>
          <cell r="P61">
            <v>18000000</v>
          </cell>
          <cell r="Q61">
            <v>23400000</v>
          </cell>
          <cell r="R61">
            <v>0</v>
          </cell>
          <cell r="S61">
            <v>43000000</v>
          </cell>
          <cell r="T61">
            <v>37160000</v>
          </cell>
          <cell r="U61">
            <v>0</v>
          </cell>
          <cell r="V61">
            <v>112670000</v>
          </cell>
          <cell r="W61">
            <v>0</v>
          </cell>
          <cell r="Y61">
            <v>0</v>
          </cell>
          <cell r="Z61">
            <v>500000000</v>
          </cell>
          <cell r="AA61">
            <v>210000000</v>
          </cell>
          <cell r="AB61">
            <v>10000000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325000000</v>
          </cell>
          <cell r="AH61">
            <v>10000000</v>
          </cell>
          <cell r="AI61">
            <v>100000000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2800000000</v>
          </cell>
          <cell r="AO61">
            <v>200376180</v>
          </cell>
          <cell r="AP61">
            <v>11379520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115500000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</row>
        <row r="62">
          <cell r="D62">
            <v>18318966.559999999</v>
          </cell>
          <cell r="E62">
            <v>8000000</v>
          </cell>
          <cell r="F62">
            <v>500000</v>
          </cell>
          <cell r="G62">
            <v>16000000</v>
          </cell>
          <cell r="H62">
            <v>1441998</v>
          </cell>
          <cell r="I62">
            <v>0</v>
          </cell>
          <cell r="J62">
            <v>20000000</v>
          </cell>
          <cell r="K62">
            <v>0</v>
          </cell>
          <cell r="L62">
            <v>10000000</v>
          </cell>
          <cell r="M62">
            <v>10000000</v>
          </cell>
          <cell r="N62">
            <v>15000000</v>
          </cell>
          <cell r="O62">
            <v>5000000</v>
          </cell>
          <cell r="P62">
            <v>18000000</v>
          </cell>
          <cell r="Q62">
            <v>23400000</v>
          </cell>
          <cell r="R62">
            <v>0</v>
          </cell>
          <cell r="S62">
            <v>43000000</v>
          </cell>
          <cell r="T62">
            <v>37160000</v>
          </cell>
          <cell r="U62">
            <v>0</v>
          </cell>
          <cell r="V62">
            <v>0</v>
          </cell>
          <cell r="W62">
            <v>170000000</v>
          </cell>
          <cell r="X62">
            <v>106250000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141680000</v>
          </cell>
          <cell r="AD62">
            <v>182750000</v>
          </cell>
          <cell r="AE62">
            <v>10000000</v>
          </cell>
          <cell r="AF62">
            <v>0</v>
          </cell>
          <cell r="AG62">
            <v>0</v>
          </cell>
          <cell r="AH62">
            <v>0</v>
          </cell>
          <cell r="AI62">
            <v>100000000</v>
          </cell>
          <cell r="AJ62">
            <v>51120000</v>
          </cell>
          <cell r="AK62">
            <v>6800000</v>
          </cell>
          <cell r="AL62">
            <v>0</v>
          </cell>
          <cell r="AM62">
            <v>6775650</v>
          </cell>
          <cell r="AN62">
            <v>400000000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41250000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</row>
        <row r="63">
          <cell r="D63">
            <v>18318965.5</v>
          </cell>
          <cell r="E63">
            <v>8000000</v>
          </cell>
          <cell r="F63">
            <v>500000</v>
          </cell>
          <cell r="G63">
            <v>16000000</v>
          </cell>
          <cell r="H63">
            <v>2861000</v>
          </cell>
          <cell r="I63">
            <v>0</v>
          </cell>
          <cell r="J63">
            <v>20000000</v>
          </cell>
          <cell r="K63">
            <v>0</v>
          </cell>
          <cell r="L63">
            <v>10000000</v>
          </cell>
          <cell r="M63">
            <v>10000000</v>
          </cell>
          <cell r="N63">
            <v>15000000</v>
          </cell>
          <cell r="O63">
            <v>5000000</v>
          </cell>
          <cell r="P63">
            <v>18000000</v>
          </cell>
          <cell r="Q63">
            <v>23400000</v>
          </cell>
          <cell r="R63">
            <v>0</v>
          </cell>
          <cell r="S63">
            <v>43000000</v>
          </cell>
          <cell r="T63">
            <v>37160000</v>
          </cell>
          <cell r="U63">
            <v>0</v>
          </cell>
          <cell r="V63">
            <v>112669500</v>
          </cell>
          <cell r="W63">
            <v>210000000</v>
          </cell>
          <cell r="X63">
            <v>125000000</v>
          </cell>
          <cell r="Y63">
            <v>10000000</v>
          </cell>
          <cell r="Z63">
            <v>0</v>
          </cell>
          <cell r="AA63">
            <v>210000000</v>
          </cell>
          <cell r="AB63">
            <v>10000000</v>
          </cell>
          <cell r="AC63">
            <v>0</v>
          </cell>
          <cell r="AD63">
            <v>135450000</v>
          </cell>
          <cell r="AE63">
            <v>10000000</v>
          </cell>
          <cell r="AF63">
            <v>0</v>
          </cell>
          <cell r="AG63">
            <v>204750000</v>
          </cell>
          <cell r="AH63">
            <v>10000000</v>
          </cell>
          <cell r="AI63">
            <v>250000000</v>
          </cell>
          <cell r="AJ63">
            <v>45360000</v>
          </cell>
          <cell r="AK63">
            <v>0</v>
          </cell>
          <cell r="AL63">
            <v>0</v>
          </cell>
          <cell r="AM63">
            <v>7000000</v>
          </cell>
          <cell r="AN63">
            <v>3435000000</v>
          </cell>
          <cell r="AO63">
            <v>233772210</v>
          </cell>
          <cell r="AP63">
            <v>11788400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52500000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</row>
        <row r="64">
          <cell r="D64">
            <v>18318965.5</v>
          </cell>
          <cell r="E64">
            <v>8000000</v>
          </cell>
          <cell r="F64">
            <v>500000</v>
          </cell>
          <cell r="G64">
            <v>16000000</v>
          </cell>
          <cell r="H64">
            <v>844000</v>
          </cell>
          <cell r="I64">
            <v>0</v>
          </cell>
          <cell r="J64">
            <v>20000000</v>
          </cell>
          <cell r="K64">
            <v>0</v>
          </cell>
          <cell r="L64">
            <v>10000000</v>
          </cell>
          <cell r="M64">
            <v>10000000</v>
          </cell>
          <cell r="N64">
            <v>15000000</v>
          </cell>
          <cell r="O64">
            <v>0</v>
          </cell>
          <cell r="P64">
            <v>18000000</v>
          </cell>
          <cell r="Q64">
            <v>23400000</v>
          </cell>
          <cell r="R64">
            <v>0</v>
          </cell>
          <cell r="S64">
            <v>43000000</v>
          </cell>
          <cell r="T64">
            <v>37160000</v>
          </cell>
          <cell r="U64">
            <v>0</v>
          </cell>
          <cell r="V64">
            <v>112670000</v>
          </cell>
          <cell r="W64">
            <v>0</v>
          </cell>
          <cell r="X64">
            <v>125000000</v>
          </cell>
          <cell r="Y64">
            <v>10000000</v>
          </cell>
          <cell r="Z64">
            <v>0</v>
          </cell>
          <cell r="AA64">
            <v>210000000</v>
          </cell>
          <cell r="AB64">
            <v>10000000</v>
          </cell>
          <cell r="AC64">
            <v>0</v>
          </cell>
          <cell r="AD64">
            <v>215000000</v>
          </cell>
          <cell r="AE64">
            <v>10000000</v>
          </cell>
          <cell r="AF64">
            <v>0</v>
          </cell>
          <cell r="AG64">
            <v>325000000</v>
          </cell>
          <cell r="AH64">
            <v>10000000</v>
          </cell>
          <cell r="AI64">
            <v>35360000</v>
          </cell>
          <cell r="AJ64">
            <v>72000000</v>
          </cell>
          <cell r="AK64">
            <v>6800000</v>
          </cell>
          <cell r="AL64">
            <v>0</v>
          </cell>
          <cell r="AM64">
            <v>7000000</v>
          </cell>
          <cell r="AN64">
            <v>1947500000</v>
          </cell>
          <cell r="AO64">
            <v>371067000</v>
          </cell>
          <cell r="AP64">
            <v>12000000</v>
          </cell>
          <cell r="AQ64">
            <v>0</v>
          </cell>
          <cell r="AR64">
            <v>6800000</v>
          </cell>
          <cell r="AS64">
            <v>0</v>
          </cell>
          <cell r="AT64">
            <v>116000000</v>
          </cell>
          <cell r="AU64">
            <v>63750000</v>
          </cell>
          <cell r="AV64">
            <v>0</v>
          </cell>
          <cell r="AW64">
            <v>0</v>
          </cell>
          <cell r="AX64">
            <v>3661000</v>
          </cell>
          <cell r="AY64">
            <v>133400000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</row>
        <row r="65">
          <cell r="D65">
            <v>18318965.5</v>
          </cell>
          <cell r="E65">
            <v>8000000</v>
          </cell>
          <cell r="F65">
            <v>500000</v>
          </cell>
          <cell r="G65">
            <v>16000000</v>
          </cell>
          <cell r="H65">
            <v>966000</v>
          </cell>
          <cell r="I65">
            <v>0</v>
          </cell>
          <cell r="J65">
            <v>20000000</v>
          </cell>
          <cell r="K65">
            <v>0</v>
          </cell>
          <cell r="L65">
            <v>10000000</v>
          </cell>
          <cell r="M65">
            <v>10000000</v>
          </cell>
          <cell r="N65">
            <v>15000000</v>
          </cell>
          <cell r="O65">
            <v>5000000</v>
          </cell>
          <cell r="P65">
            <v>18000000</v>
          </cell>
          <cell r="Q65">
            <v>23400000</v>
          </cell>
          <cell r="R65">
            <v>0</v>
          </cell>
          <cell r="S65">
            <v>43000000</v>
          </cell>
          <cell r="T65">
            <v>37160000</v>
          </cell>
          <cell r="U65">
            <v>0</v>
          </cell>
          <cell r="V65">
            <v>112670000</v>
          </cell>
          <cell r="W65">
            <v>855000000</v>
          </cell>
          <cell r="X65">
            <v>0</v>
          </cell>
          <cell r="Y65">
            <v>0</v>
          </cell>
          <cell r="Z65">
            <v>500000000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</row>
        <row r="66">
          <cell r="D66">
            <v>18318965.510000002</v>
          </cell>
          <cell r="E66">
            <v>8000000</v>
          </cell>
          <cell r="F66">
            <v>500000</v>
          </cell>
          <cell r="G66">
            <v>16000000</v>
          </cell>
          <cell r="H66">
            <v>871000</v>
          </cell>
          <cell r="I66">
            <v>0</v>
          </cell>
          <cell r="J66">
            <v>20000000</v>
          </cell>
          <cell r="K66">
            <v>0</v>
          </cell>
          <cell r="L66">
            <v>10000000</v>
          </cell>
          <cell r="M66">
            <v>10000000</v>
          </cell>
          <cell r="N66">
            <v>15000000</v>
          </cell>
          <cell r="O66">
            <v>5000000</v>
          </cell>
          <cell r="P66">
            <v>18000000</v>
          </cell>
          <cell r="Q66">
            <v>23400000</v>
          </cell>
          <cell r="R66">
            <v>0</v>
          </cell>
          <cell r="S66">
            <v>43000000</v>
          </cell>
          <cell r="T66">
            <v>37160000</v>
          </cell>
          <cell r="U66">
            <v>0</v>
          </cell>
          <cell r="V66">
            <v>112670000</v>
          </cell>
          <cell r="W66">
            <v>20000000</v>
          </cell>
          <cell r="X66">
            <v>125000000</v>
          </cell>
          <cell r="Y66">
            <v>10000000</v>
          </cell>
          <cell r="Z66">
            <v>500000000</v>
          </cell>
          <cell r="AA66">
            <v>210000000</v>
          </cell>
          <cell r="AB66">
            <v>10000000</v>
          </cell>
          <cell r="AC66">
            <v>542000000</v>
          </cell>
          <cell r="AD66">
            <v>215000000</v>
          </cell>
          <cell r="AE66">
            <v>10000000</v>
          </cell>
          <cell r="AF66">
            <v>350000000</v>
          </cell>
          <cell r="AG66">
            <v>325000000</v>
          </cell>
          <cell r="AH66">
            <v>10000000</v>
          </cell>
          <cell r="AI66">
            <v>65000000</v>
          </cell>
          <cell r="AJ66">
            <v>61200000</v>
          </cell>
          <cell r="AK66">
            <v>6800000</v>
          </cell>
          <cell r="AL66">
            <v>0</v>
          </cell>
          <cell r="AM66">
            <v>7000000</v>
          </cell>
          <cell r="AN66">
            <v>2477500000</v>
          </cell>
          <cell r="AO66">
            <v>315406950</v>
          </cell>
          <cell r="AP66">
            <v>12000000</v>
          </cell>
          <cell r="AQ66">
            <v>0</v>
          </cell>
          <cell r="AR66">
            <v>6800000</v>
          </cell>
          <cell r="AS66">
            <v>0</v>
          </cell>
          <cell r="AT66">
            <v>0</v>
          </cell>
          <cell r="AU66">
            <v>51750000</v>
          </cell>
          <cell r="AV66">
            <v>0</v>
          </cell>
          <cell r="AW66">
            <v>0</v>
          </cell>
          <cell r="AX66">
            <v>20000000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10280400</v>
          </cell>
        </row>
        <row r="67">
          <cell r="D67">
            <v>20150862.050000001</v>
          </cell>
          <cell r="E67">
            <v>8000000</v>
          </cell>
          <cell r="F67">
            <v>500000</v>
          </cell>
          <cell r="G67">
            <v>16000000</v>
          </cell>
          <cell r="H67">
            <v>2141000</v>
          </cell>
          <cell r="I67">
            <v>0</v>
          </cell>
          <cell r="J67">
            <v>20000000</v>
          </cell>
          <cell r="K67">
            <v>281000</v>
          </cell>
          <cell r="L67">
            <v>10000000</v>
          </cell>
          <cell r="M67">
            <v>10000000</v>
          </cell>
          <cell r="N67">
            <v>15000000</v>
          </cell>
          <cell r="O67">
            <v>5000000</v>
          </cell>
          <cell r="P67">
            <v>18000000</v>
          </cell>
          <cell r="Q67">
            <v>23400000</v>
          </cell>
          <cell r="R67">
            <v>0</v>
          </cell>
          <cell r="S67">
            <v>43000000</v>
          </cell>
          <cell r="T67">
            <v>37160000</v>
          </cell>
          <cell r="U67">
            <v>0</v>
          </cell>
          <cell r="V67">
            <v>112670000</v>
          </cell>
          <cell r="W67">
            <v>50000000</v>
          </cell>
          <cell r="X67">
            <v>125000000</v>
          </cell>
          <cell r="Y67">
            <v>10000000</v>
          </cell>
          <cell r="Z67">
            <v>525000000</v>
          </cell>
          <cell r="AA67">
            <v>210000000</v>
          </cell>
          <cell r="AB67">
            <v>10000000</v>
          </cell>
          <cell r="AC67">
            <v>500000000</v>
          </cell>
          <cell r="AD67">
            <v>182750000</v>
          </cell>
          <cell r="AE67">
            <v>10000000</v>
          </cell>
          <cell r="AF67">
            <v>0</v>
          </cell>
          <cell r="AG67">
            <v>325000000</v>
          </cell>
          <cell r="AH67">
            <v>10000000</v>
          </cell>
          <cell r="AI67">
            <v>107000000</v>
          </cell>
          <cell r="AJ67">
            <v>72000000</v>
          </cell>
          <cell r="AK67">
            <v>8000000</v>
          </cell>
          <cell r="AL67">
            <v>0</v>
          </cell>
          <cell r="AM67">
            <v>6960400</v>
          </cell>
          <cell r="AN67">
            <v>4897550000</v>
          </cell>
          <cell r="AO67">
            <v>371067000</v>
          </cell>
          <cell r="AP67">
            <v>0</v>
          </cell>
          <cell r="AQ67">
            <v>0</v>
          </cell>
          <cell r="AR67">
            <v>8000000</v>
          </cell>
          <cell r="AS67">
            <v>0</v>
          </cell>
          <cell r="AT67">
            <v>0</v>
          </cell>
          <cell r="AU67">
            <v>75000000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</row>
        <row r="68">
          <cell r="D68">
            <v>18319965.489999998</v>
          </cell>
          <cell r="E68">
            <v>8000000</v>
          </cell>
          <cell r="F68">
            <v>500000</v>
          </cell>
          <cell r="G68">
            <v>16000000</v>
          </cell>
          <cell r="H68">
            <v>145000</v>
          </cell>
          <cell r="I68">
            <v>0</v>
          </cell>
          <cell r="J68">
            <v>20000000</v>
          </cell>
          <cell r="K68">
            <v>0</v>
          </cell>
          <cell r="L68">
            <v>10000000</v>
          </cell>
          <cell r="M68">
            <v>10000000</v>
          </cell>
          <cell r="N68">
            <v>15000000</v>
          </cell>
          <cell r="O68">
            <v>0</v>
          </cell>
          <cell r="P68">
            <v>18000000</v>
          </cell>
          <cell r="Q68">
            <v>23400000</v>
          </cell>
          <cell r="R68">
            <v>0</v>
          </cell>
          <cell r="S68">
            <v>43000000</v>
          </cell>
          <cell r="T68">
            <v>37160000</v>
          </cell>
          <cell r="U68">
            <v>28650100</v>
          </cell>
          <cell r="V68">
            <v>112670000</v>
          </cell>
          <cell r="W68">
            <v>50000000</v>
          </cell>
          <cell r="X68">
            <v>125000000</v>
          </cell>
          <cell r="Y68">
            <v>10000000</v>
          </cell>
          <cell r="Z68">
            <v>120000000</v>
          </cell>
          <cell r="AA68">
            <v>210000000</v>
          </cell>
          <cell r="AB68">
            <v>10000000</v>
          </cell>
          <cell r="AC68">
            <v>217000000</v>
          </cell>
          <cell r="AD68">
            <v>215000000</v>
          </cell>
          <cell r="AE68">
            <v>10000000</v>
          </cell>
          <cell r="AF68">
            <v>0</v>
          </cell>
          <cell r="AG68">
            <v>325000000</v>
          </cell>
          <cell r="AH68">
            <v>10000000</v>
          </cell>
          <cell r="AI68">
            <v>41600000</v>
          </cell>
          <cell r="AJ68">
            <v>46800000</v>
          </cell>
          <cell r="AK68">
            <v>6800000</v>
          </cell>
          <cell r="AL68">
            <v>0</v>
          </cell>
          <cell r="AM68">
            <v>7000000</v>
          </cell>
          <cell r="AN68">
            <v>100000000</v>
          </cell>
          <cell r="AO68">
            <v>241193550</v>
          </cell>
          <cell r="AP68">
            <v>12000000</v>
          </cell>
          <cell r="AQ68">
            <v>0</v>
          </cell>
          <cell r="AR68">
            <v>6800000</v>
          </cell>
          <cell r="AS68">
            <v>0</v>
          </cell>
          <cell r="AT68">
            <v>0</v>
          </cell>
          <cell r="AU68">
            <v>63750000</v>
          </cell>
          <cell r="AV68">
            <v>0</v>
          </cell>
          <cell r="AW68">
            <v>0</v>
          </cell>
          <cell r="AX68">
            <v>19623200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20000000</v>
          </cell>
          <cell r="K69">
            <v>0</v>
          </cell>
          <cell r="L69">
            <v>10000000</v>
          </cell>
          <cell r="M69">
            <v>10000000</v>
          </cell>
          <cell r="N69">
            <v>15000000</v>
          </cell>
          <cell r="O69">
            <v>0</v>
          </cell>
          <cell r="P69">
            <v>18000000</v>
          </cell>
          <cell r="Q69">
            <v>23400000</v>
          </cell>
          <cell r="R69">
            <v>0</v>
          </cell>
          <cell r="S69">
            <v>43000000</v>
          </cell>
          <cell r="T69">
            <v>37160000</v>
          </cell>
          <cell r="U69">
            <v>0</v>
          </cell>
          <cell r="V69">
            <v>112669500</v>
          </cell>
          <cell r="W69">
            <v>0</v>
          </cell>
          <cell r="X69">
            <v>125000000</v>
          </cell>
          <cell r="Y69">
            <v>10000000</v>
          </cell>
          <cell r="Z69">
            <v>250000000</v>
          </cell>
          <cell r="AA69">
            <v>210000000</v>
          </cell>
          <cell r="AB69">
            <v>10000000</v>
          </cell>
          <cell r="AC69">
            <v>400000000</v>
          </cell>
          <cell r="AD69">
            <v>215000000</v>
          </cell>
          <cell r="AE69">
            <v>10000000</v>
          </cell>
          <cell r="AF69">
            <v>0</v>
          </cell>
          <cell r="AG69">
            <v>325000000</v>
          </cell>
          <cell r="AH69">
            <v>10000000</v>
          </cell>
          <cell r="AI69">
            <v>280000000</v>
          </cell>
          <cell r="AJ69">
            <v>72000000</v>
          </cell>
          <cell r="AK69">
            <v>8000000</v>
          </cell>
          <cell r="AL69">
            <v>2000000</v>
          </cell>
          <cell r="AM69">
            <v>7000000</v>
          </cell>
          <cell r="AN69">
            <v>1100000000</v>
          </cell>
          <cell r="AO69">
            <v>371067000</v>
          </cell>
          <cell r="AP69">
            <v>10276472.5</v>
          </cell>
          <cell r="AQ69">
            <v>0</v>
          </cell>
          <cell r="AR69">
            <v>8000000</v>
          </cell>
          <cell r="AS69">
            <v>150000000</v>
          </cell>
          <cell r="AT69">
            <v>0</v>
          </cell>
          <cell r="AU69">
            <v>75000000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15000000</v>
          </cell>
          <cell r="O70">
            <v>0</v>
          </cell>
          <cell r="P70">
            <v>18000000</v>
          </cell>
          <cell r="Q70">
            <v>23400000</v>
          </cell>
          <cell r="R70">
            <v>0</v>
          </cell>
          <cell r="S70">
            <v>43000000</v>
          </cell>
          <cell r="T70">
            <v>37160000</v>
          </cell>
          <cell r="U70">
            <v>0</v>
          </cell>
          <cell r="V70">
            <v>112670000</v>
          </cell>
          <cell r="W70">
            <v>0</v>
          </cell>
          <cell r="X70">
            <v>125000000</v>
          </cell>
          <cell r="Y70">
            <v>9624182.5</v>
          </cell>
          <cell r="Z70">
            <v>0</v>
          </cell>
          <cell r="AA70">
            <v>210000000</v>
          </cell>
          <cell r="AB70">
            <v>10000000</v>
          </cell>
          <cell r="AC70">
            <v>267000000</v>
          </cell>
          <cell r="AD70">
            <v>215000000</v>
          </cell>
          <cell r="AE70">
            <v>10000000</v>
          </cell>
          <cell r="AF70">
            <v>0</v>
          </cell>
          <cell r="AG70">
            <v>325000000</v>
          </cell>
          <cell r="AH70">
            <v>8372927.75</v>
          </cell>
          <cell r="AI70">
            <v>41600000</v>
          </cell>
          <cell r="AJ70">
            <v>61200000</v>
          </cell>
          <cell r="AK70">
            <v>0</v>
          </cell>
          <cell r="AL70">
            <v>0</v>
          </cell>
          <cell r="AM70">
            <v>7000000</v>
          </cell>
          <cell r="AN70">
            <v>200000000</v>
          </cell>
          <cell r="AO70">
            <v>315406950</v>
          </cell>
          <cell r="AP70">
            <v>12000000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2001675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18000000</v>
          </cell>
          <cell r="Q71">
            <v>23400000</v>
          </cell>
          <cell r="R71">
            <v>0</v>
          </cell>
          <cell r="S71">
            <v>43000000</v>
          </cell>
          <cell r="T71">
            <v>37160000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210000000</v>
          </cell>
          <cell r="AB71">
            <v>10000000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50000000</v>
          </cell>
          <cell r="AJ71">
            <v>72000000</v>
          </cell>
          <cell r="AK71">
            <v>8000000</v>
          </cell>
          <cell r="AL71">
            <v>0</v>
          </cell>
          <cell r="AM71">
            <v>6962800</v>
          </cell>
          <cell r="AN71">
            <v>100000000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50250000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</row>
        <row r="72">
          <cell r="D72">
            <v>18318964.640000001</v>
          </cell>
          <cell r="E72">
            <v>8000000</v>
          </cell>
          <cell r="F72">
            <v>500000</v>
          </cell>
          <cell r="G72">
            <v>16000000</v>
          </cell>
          <cell r="H72">
            <v>99000</v>
          </cell>
          <cell r="I72">
            <v>0</v>
          </cell>
          <cell r="J72">
            <v>20000000</v>
          </cell>
          <cell r="K72">
            <v>0</v>
          </cell>
          <cell r="L72">
            <v>10000000</v>
          </cell>
          <cell r="M72">
            <v>10000000</v>
          </cell>
          <cell r="N72">
            <v>15000000</v>
          </cell>
          <cell r="O72">
            <v>0</v>
          </cell>
          <cell r="P72">
            <v>18000000</v>
          </cell>
          <cell r="Q72">
            <v>23400000</v>
          </cell>
          <cell r="R72">
            <v>0</v>
          </cell>
          <cell r="S72">
            <v>43000000</v>
          </cell>
          <cell r="T72">
            <v>37160000</v>
          </cell>
          <cell r="U72">
            <v>0</v>
          </cell>
          <cell r="V72">
            <v>112670000</v>
          </cell>
          <cell r="W72">
            <v>0</v>
          </cell>
          <cell r="X72">
            <v>125000000</v>
          </cell>
          <cell r="Y72">
            <v>10000000</v>
          </cell>
          <cell r="Z72">
            <v>0</v>
          </cell>
          <cell r="AA72">
            <v>210000000</v>
          </cell>
          <cell r="AB72">
            <v>10000000</v>
          </cell>
          <cell r="AC72">
            <v>0</v>
          </cell>
          <cell r="AD72">
            <v>215000000</v>
          </cell>
          <cell r="AE72">
            <v>10000000</v>
          </cell>
          <cell r="AF72">
            <v>0</v>
          </cell>
          <cell r="AG72">
            <v>325000000</v>
          </cell>
          <cell r="AH72">
            <v>628700</v>
          </cell>
          <cell r="AI72">
            <v>50000000</v>
          </cell>
          <cell r="AJ72">
            <v>72000000</v>
          </cell>
          <cell r="AK72">
            <v>8000000</v>
          </cell>
          <cell r="AL72">
            <v>0</v>
          </cell>
          <cell r="AM72">
            <v>5529400</v>
          </cell>
          <cell r="AN72">
            <v>50000000</v>
          </cell>
          <cell r="AO72">
            <v>315406950</v>
          </cell>
          <cell r="AP72">
            <v>6634600</v>
          </cell>
          <cell r="AQ72">
            <v>0</v>
          </cell>
          <cell r="AR72">
            <v>6800000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43000000</v>
          </cell>
          <cell r="T73">
            <v>37160000</v>
          </cell>
          <cell r="U73">
            <v>0</v>
          </cell>
          <cell r="V73">
            <v>112670000</v>
          </cell>
          <cell r="W73">
            <v>85000000</v>
          </cell>
          <cell r="X73">
            <v>106250000</v>
          </cell>
          <cell r="Y73">
            <v>0</v>
          </cell>
          <cell r="Z73">
            <v>0</v>
          </cell>
          <cell r="AA73">
            <v>178500000</v>
          </cell>
          <cell r="AB73">
            <v>10000000</v>
          </cell>
          <cell r="AC73">
            <v>0</v>
          </cell>
          <cell r="AD73">
            <v>182750000</v>
          </cell>
          <cell r="AE73">
            <v>10000000</v>
          </cell>
          <cell r="AF73">
            <v>0</v>
          </cell>
          <cell r="AG73">
            <v>242250000</v>
          </cell>
          <cell r="AH73">
            <v>10000000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5619540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127500000</v>
          </cell>
          <cell r="AT73">
            <v>0</v>
          </cell>
          <cell r="AU73">
            <v>49500000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</row>
        <row r="74">
          <cell r="D74">
            <v>18318965.5</v>
          </cell>
          <cell r="E74">
            <v>8000000</v>
          </cell>
          <cell r="F74">
            <v>500000</v>
          </cell>
          <cell r="G74">
            <v>16000000</v>
          </cell>
          <cell r="H74">
            <v>1213000</v>
          </cell>
          <cell r="I74">
            <v>0</v>
          </cell>
          <cell r="J74">
            <v>20000000</v>
          </cell>
          <cell r="K74">
            <v>0</v>
          </cell>
          <cell r="L74">
            <v>10000000</v>
          </cell>
          <cell r="M74">
            <v>10000000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112670000</v>
          </cell>
          <cell r="W74">
            <v>100000000</v>
          </cell>
          <cell r="X74">
            <v>125000000</v>
          </cell>
          <cell r="Y74">
            <v>10000000</v>
          </cell>
          <cell r="Z74">
            <v>0</v>
          </cell>
          <cell r="AA74">
            <v>210000000</v>
          </cell>
          <cell r="AB74">
            <v>10000000</v>
          </cell>
          <cell r="AC74">
            <v>0</v>
          </cell>
          <cell r="AD74">
            <v>215000000</v>
          </cell>
          <cell r="AE74">
            <v>10000000</v>
          </cell>
          <cell r="AF74">
            <v>141600000</v>
          </cell>
          <cell r="AG74">
            <v>325000000</v>
          </cell>
          <cell r="AH74">
            <v>1903360</v>
          </cell>
          <cell r="AI74">
            <v>50000000</v>
          </cell>
          <cell r="AJ74">
            <v>46080000</v>
          </cell>
          <cell r="AK74">
            <v>0</v>
          </cell>
          <cell r="AL74">
            <v>0</v>
          </cell>
          <cell r="AM74">
            <v>7000000</v>
          </cell>
          <cell r="AN74">
            <v>0</v>
          </cell>
          <cell r="AO74">
            <v>237482880</v>
          </cell>
          <cell r="AP74">
            <v>9019000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</row>
        <row r="75">
          <cell r="D75">
            <v>18318965.5</v>
          </cell>
          <cell r="E75">
            <v>8000000</v>
          </cell>
          <cell r="F75">
            <v>500000</v>
          </cell>
          <cell r="G75">
            <v>16000000</v>
          </cell>
          <cell r="H75">
            <v>1426000</v>
          </cell>
          <cell r="I75">
            <v>0</v>
          </cell>
          <cell r="J75">
            <v>20000000</v>
          </cell>
          <cell r="K75">
            <v>0</v>
          </cell>
          <cell r="L75">
            <v>10000000</v>
          </cell>
          <cell r="M75">
            <v>10000000</v>
          </cell>
          <cell r="N75">
            <v>15000000</v>
          </cell>
          <cell r="O75">
            <v>4250000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112670000</v>
          </cell>
          <cell r="W75">
            <v>0</v>
          </cell>
          <cell r="X75">
            <v>125000000</v>
          </cell>
          <cell r="Y75">
            <v>10000000</v>
          </cell>
          <cell r="AA75">
            <v>210000000</v>
          </cell>
          <cell r="AB75">
            <v>10000000</v>
          </cell>
          <cell r="AC75">
            <v>0</v>
          </cell>
          <cell r="AD75">
            <v>215000000</v>
          </cell>
          <cell r="AE75">
            <v>10000000</v>
          </cell>
          <cell r="AF75">
            <v>0</v>
          </cell>
          <cell r="AG75">
            <v>276250000</v>
          </cell>
          <cell r="AH75">
            <v>10000000</v>
          </cell>
          <cell r="AI75">
            <v>50000000</v>
          </cell>
          <cell r="AJ75">
            <v>61200000</v>
          </cell>
          <cell r="AK75">
            <v>8000000</v>
          </cell>
          <cell r="AL75">
            <v>0</v>
          </cell>
          <cell r="AM75">
            <v>7000000</v>
          </cell>
          <cell r="AN75">
            <v>50000000</v>
          </cell>
          <cell r="AO75">
            <v>315406950</v>
          </cell>
          <cell r="AP75">
            <v>12000000</v>
          </cell>
          <cell r="AQ75">
            <v>0</v>
          </cell>
          <cell r="AR75">
            <v>8000000</v>
          </cell>
          <cell r="AS75">
            <v>0</v>
          </cell>
          <cell r="AT75">
            <v>0</v>
          </cell>
          <cell r="AU75">
            <v>51750000</v>
          </cell>
          <cell r="AV75">
            <v>0</v>
          </cell>
          <cell r="AW75">
            <v>0</v>
          </cell>
          <cell r="AX75">
            <v>13525000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125000000</v>
          </cell>
          <cell r="Y76">
            <v>8922600</v>
          </cell>
          <cell r="Z76">
            <v>0</v>
          </cell>
          <cell r="AA76">
            <v>210000000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325000000</v>
          </cell>
          <cell r="AH76">
            <v>0</v>
          </cell>
          <cell r="AI76">
            <v>100000000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1200000000</v>
          </cell>
          <cell r="AO76">
            <v>211508190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75000000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178500000</v>
          </cell>
          <cell r="AB77">
            <v>5719080</v>
          </cell>
          <cell r="AC77">
            <v>425000000</v>
          </cell>
          <cell r="AD77">
            <v>182750000</v>
          </cell>
          <cell r="AE77">
            <v>5529400</v>
          </cell>
          <cell r="AG77">
            <v>276250000</v>
          </cell>
          <cell r="AH77">
            <v>10000000</v>
          </cell>
          <cell r="AI77">
            <v>50000000</v>
          </cell>
          <cell r="AJ77">
            <v>0</v>
          </cell>
          <cell r="AK77">
            <v>0</v>
          </cell>
          <cell r="AL77">
            <v>0</v>
          </cell>
          <cell r="AM77">
            <v>7000000</v>
          </cell>
          <cell r="AN77">
            <v>50000000</v>
          </cell>
          <cell r="AO77">
            <v>0</v>
          </cell>
          <cell r="AP77">
            <v>9051200</v>
          </cell>
          <cell r="AQ77">
            <v>0</v>
          </cell>
          <cell r="AR77">
            <v>0</v>
          </cell>
          <cell r="AS77">
            <v>150000000</v>
          </cell>
          <cell r="AT77">
            <v>0</v>
          </cell>
          <cell r="AU77">
            <v>50250000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85000000</v>
          </cell>
          <cell r="AJ78">
            <v>61200000</v>
          </cell>
          <cell r="AK78">
            <v>6800000</v>
          </cell>
          <cell r="AL78">
            <v>0</v>
          </cell>
          <cell r="AM78">
            <v>7000000</v>
          </cell>
          <cell r="AN78">
            <v>15000000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56250000</v>
          </cell>
          <cell r="AV78">
            <v>0</v>
          </cell>
          <cell r="AW78">
            <v>0</v>
          </cell>
          <cell r="AX78">
            <v>4791600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52500000</v>
          </cell>
          <cell r="M79">
            <v>0</v>
          </cell>
          <cell r="N79">
            <v>90000000</v>
          </cell>
          <cell r="O79">
            <v>0</v>
          </cell>
          <cell r="P79">
            <v>0</v>
          </cell>
          <cell r="Q79">
            <v>90000000</v>
          </cell>
          <cell r="R79">
            <v>1487500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</row>
      </sheetData>
      <sheetData sheetId="26"/>
      <sheetData sheetId="27"/>
      <sheetData sheetId="28">
        <row r="13">
          <cell r="D13">
            <v>1125000</v>
          </cell>
          <cell r="E13">
            <v>1125000</v>
          </cell>
          <cell r="F13">
            <v>956250</v>
          </cell>
          <cell r="G13">
            <v>956250</v>
          </cell>
          <cell r="H13">
            <v>1700000</v>
          </cell>
          <cell r="I13">
            <v>1700000</v>
          </cell>
          <cell r="J13">
            <v>2500000</v>
          </cell>
          <cell r="K13">
            <v>3680000</v>
          </cell>
          <cell r="L13">
            <v>5000000</v>
          </cell>
          <cell r="M13">
            <v>10000000</v>
          </cell>
          <cell r="N13">
            <v>10000000</v>
          </cell>
          <cell r="O13">
            <v>20000000</v>
          </cell>
          <cell r="P13">
            <v>30000000</v>
          </cell>
          <cell r="Q13">
            <v>59500000</v>
          </cell>
          <cell r="R13">
            <v>29750000</v>
          </cell>
          <cell r="S13">
            <v>25500000</v>
          </cell>
          <cell r="T13">
            <v>0</v>
          </cell>
          <cell r="U13">
            <v>0</v>
          </cell>
        </row>
        <row r="14">
          <cell r="D14">
            <v>1125000</v>
          </cell>
          <cell r="E14">
            <v>1125000</v>
          </cell>
          <cell r="F14">
            <v>1125000</v>
          </cell>
          <cell r="G14">
            <v>1125000</v>
          </cell>
          <cell r="H14">
            <v>2000000</v>
          </cell>
          <cell r="I14">
            <v>2000000</v>
          </cell>
          <cell r="J14">
            <v>2125000</v>
          </cell>
          <cell r="K14">
            <v>3680000</v>
          </cell>
          <cell r="L14">
            <v>5000000</v>
          </cell>
          <cell r="M14">
            <v>10000000</v>
          </cell>
          <cell r="N14">
            <v>10000000</v>
          </cell>
          <cell r="O14">
            <v>20000000</v>
          </cell>
          <cell r="P14">
            <v>30000000</v>
          </cell>
          <cell r="Q14">
            <v>70000000</v>
          </cell>
          <cell r="R14">
            <v>35000000</v>
          </cell>
          <cell r="S14">
            <v>0</v>
          </cell>
          <cell r="T14">
            <v>0</v>
          </cell>
          <cell r="U14">
            <v>0</v>
          </cell>
        </row>
        <row r="15">
          <cell r="D15">
            <v>1125000</v>
          </cell>
          <cell r="E15">
            <v>1125000</v>
          </cell>
          <cell r="F15">
            <v>1125000</v>
          </cell>
          <cell r="G15">
            <v>1125000</v>
          </cell>
          <cell r="H15">
            <v>2000000</v>
          </cell>
          <cell r="I15">
            <v>2000000</v>
          </cell>
          <cell r="J15">
            <v>2500000</v>
          </cell>
          <cell r="K15">
            <v>3680000</v>
          </cell>
          <cell r="L15">
            <v>5000000</v>
          </cell>
          <cell r="M15">
            <v>10000000</v>
          </cell>
          <cell r="N15">
            <v>10000000</v>
          </cell>
          <cell r="O15">
            <v>20000000</v>
          </cell>
          <cell r="P15">
            <v>30000000</v>
          </cell>
          <cell r="Q15">
            <v>70000000</v>
          </cell>
          <cell r="R15">
            <v>35000000</v>
          </cell>
          <cell r="S15">
            <v>30000000</v>
          </cell>
          <cell r="T15">
            <v>0</v>
          </cell>
          <cell r="U15">
            <v>0</v>
          </cell>
        </row>
        <row r="16">
          <cell r="D16">
            <v>1125000</v>
          </cell>
          <cell r="E16">
            <v>1125000</v>
          </cell>
          <cell r="F16">
            <v>1125000</v>
          </cell>
          <cell r="G16">
            <v>1125000</v>
          </cell>
          <cell r="H16">
            <v>2000000</v>
          </cell>
          <cell r="I16">
            <v>2000000</v>
          </cell>
          <cell r="J16">
            <v>2125000</v>
          </cell>
          <cell r="K16">
            <v>3680000</v>
          </cell>
          <cell r="L16">
            <v>5000000</v>
          </cell>
          <cell r="M16">
            <v>10000000</v>
          </cell>
          <cell r="N16">
            <v>10000000</v>
          </cell>
          <cell r="O16">
            <v>20000000</v>
          </cell>
          <cell r="P16">
            <v>30000000</v>
          </cell>
          <cell r="Q16">
            <v>70000000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</row>
        <row r="17">
          <cell r="D17">
            <v>1125000</v>
          </cell>
          <cell r="E17">
            <v>1125000</v>
          </cell>
          <cell r="F17">
            <v>1125000</v>
          </cell>
          <cell r="G17">
            <v>1125000</v>
          </cell>
          <cell r="H17">
            <v>2000000</v>
          </cell>
          <cell r="I17">
            <v>2000000</v>
          </cell>
          <cell r="J17">
            <v>2500000</v>
          </cell>
          <cell r="K17">
            <v>3128000</v>
          </cell>
          <cell r="L17">
            <v>4250000</v>
          </cell>
          <cell r="M17">
            <v>8500000</v>
          </cell>
          <cell r="N17">
            <v>10000000</v>
          </cell>
          <cell r="O17">
            <v>20000000</v>
          </cell>
          <cell r="P17">
            <v>30000000</v>
          </cell>
          <cell r="Q17">
            <v>70000000</v>
          </cell>
          <cell r="R17">
            <v>35000000</v>
          </cell>
          <cell r="S17">
            <v>0</v>
          </cell>
          <cell r="T17">
            <v>0</v>
          </cell>
          <cell r="U17">
            <v>0</v>
          </cell>
        </row>
        <row r="18">
          <cell r="D18">
            <v>1125000</v>
          </cell>
          <cell r="E18">
            <v>1125000</v>
          </cell>
          <cell r="F18">
            <v>1125000</v>
          </cell>
          <cell r="G18">
            <v>1125000</v>
          </cell>
          <cell r="H18">
            <v>2000000</v>
          </cell>
          <cell r="I18">
            <v>2000000</v>
          </cell>
          <cell r="J18">
            <v>2500000</v>
          </cell>
          <cell r="K18">
            <v>3680000</v>
          </cell>
          <cell r="L18">
            <v>5000000</v>
          </cell>
          <cell r="M18">
            <v>10000000</v>
          </cell>
          <cell r="N18">
            <v>10000000</v>
          </cell>
          <cell r="O18">
            <v>20000000</v>
          </cell>
          <cell r="P18">
            <v>25500000</v>
          </cell>
          <cell r="Q18">
            <v>59500000</v>
          </cell>
          <cell r="R18">
            <v>29750000</v>
          </cell>
          <cell r="S18">
            <v>25500000</v>
          </cell>
          <cell r="T18">
            <v>0</v>
          </cell>
          <cell r="U18">
            <v>0</v>
          </cell>
        </row>
        <row r="19">
          <cell r="D19">
            <v>1125000</v>
          </cell>
          <cell r="E19">
            <v>1125000</v>
          </cell>
          <cell r="F19">
            <v>1125000</v>
          </cell>
          <cell r="G19">
            <v>1125000</v>
          </cell>
          <cell r="H19">
            <v>2000000</v>
          </cell>
          <cell r="I19">
            <v>2000000</v>
          </cell>
          <cell r="J19">
            <v>2500000</v>
          </cell>
          <cell r="K19">
            <v>3680000</v>
          </cell>
          <cell r="L19">
            <v>5000000</v>
          </cell>
          <cell r="M19">
            <v>10000000</v>
          </cell>
          <cell r="N19">
            <v>10000000</v>
          </cell>
          <cell r="O19">
            <v>20000000</v>
          </cell>
          <cell r="P19">
            <v>30000000</v>
          </cell>
          <cell r="Q19">
            <v>70000000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</row>
        <row r="20">
          <cell r="D20">
            <v>1125000</v>
          </cell>
          <cell r="E20">
            <v>1125000</v>
          </cell>
          <cell r="F20">
            <v>1062500</v>
          </cell>
          <cell r="G20">
            <v>1062500</v>
          </cell>
          <cell r="H20">
            <v>2000000</v>
          </cell>
          <cell r="I20">
            <v>2000000</v>
          </cell>
          <cell r="J20">
            <v>2500000</v>
          </cell>
          <cell r="K20">
            <v>3680000</v>
          </cell>
          <cell r="L20">
            <v>5000000</v>
          </cell>
          <cell r="M20">
            <v>10000000</v>
          </cell>
          <cell r="N20">
            <v>10000000</v>
          </cell>
          <cell r="O20">
            <v>20000000</v>
          </cell>
          <cell r="P20">
            <v>30000000</v>
          </cell>
          <cell r="Q20">
            <v>70000000</v>
          </cell>
          <cell r="R20">
            <v>29750000</v>
          </cell>
          <cell r="S20">
            <v>25500000</v>
          </cell>
          <cell r="T20">
            <v>0</v>
          </cell>
          <cell r="U20">
            <v>0</v>
          </cell>
        </row>
        <row r="21">
          <cell r="D21">
            <v>1125000</v>
          </cell>
          <cell r="E21">
            <v>1125000</v>
          </cell>
          <cell r="F21">
            <v>1125000</v>
          </cell>
          <cell r="G21">
            <v>1125000</v>
          </cell>
          <cell r="H21">
            <v>2000000</v>
          </cell>
          <cell r="I21">
            <v>2000000</v>
          </cell>
          <cell r="J21">
            <v>2125000</v>
          </cell>
          <cell r="K21">
            <v>3128000</v>
          </cell>
          <cell r="L21">
            <v>4250000</v>
          </cell>
          <cell r="M21">
            <v>10000000</v>
          </cell>
          <cell r="N21">
            <v>10000000</v>
          </cell>
          <cell r="O21">
            <v>20000000</v>
          </cell>
          <cell r="P21">
            <v>25500000</v>
          </cell>
          <cell r="Q21">
            <v>59500000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</row>
        <row r="22">
          <cell r="D22">
            <v>1125000</v>
          </cell>
          <cell r="E22">
            <v>1125000</v>
          </cell>
          <cell r="F22">
            <v>1125000</v>
          </cell>
          <cell r="G22">
            <v>1125000</v>
          </cell>
          <cell r="H22">
            <v>2000000</v>
          </cell>
          <cell r="I22">
            <v>2000000</v>
          </cell>
          <cell r="J22">
            <v>2500000</v>
          </cell>
          <cell r="K22">
            <v>3680000</v>
          </cell>
          <cell r="L22">
            <v>5000000</v>
          </cell>
          <cell r="M22">
            <v>10000000</v>
          </cell>
          <cell r="N22">
            <v>10000000</v>
          </cell>
          <cell r="O22">
            <v>20000000</v>
          </cell>
          <cell r="P22">
            <v>30000000</v>
          </cell>
          <cell r="Q22">
            <v>70000000</v>
          </cell>
          <cell r="R22">
            <v>35000000</v>
          </cell>
          <cell r="S22">
            <v>25750000</v>
          </cell>
          <cell r="T22">
            <v>0</v>
          </cell>
          <cell r="U22">
            <v>0</v>
          </cell>
        </row>
        <row r="23">
          <cell r="D23">
            <v>1125000</v>
          </cell>
          <cell r="E23">
            <v>956250</v>
          </cell>
          <cell r="F23">
            <v>0</v>
          </cell>
          <cell r="G23">
            <v>0</v>
          </cell>
          <cell r="H23">
            <v>2000000</v>
          </cell>
          <cell r="I23">
            <v>2000000</v>
          </cell>
          <cell r="J23">
            <v>2500000</v>
          </cell>
          <cell r="K23">
            <v>3680000</v>
          </cell>
          <cell r="L23">
            <v>5000000</v>
          </cell>
          <cell r="M23">
            <v>10000000</v>
          </cell>
          <cell r="N23">
            <v>10000000</v>
          </cell>
          <cell r="O23">
            <v>20000000</v>
          </cell>
          <cell r="P23">
            <v>30000000</v>
          </cell>
          <cell r="Q23">
            <v>70000000</v>
          </cell>
          <cell r="R23">
            <v>35000000</v>
          </cell>
          <cell r="S23">
            <v>0</v>
          </cell>
          <cell r="T23">
            <v>0</v>
          </cell>
          <cell r="U23">
            <v>0</v>
          </cell>
        </row>
        <row r="24">
          <cell r="D24">
            <v>1125000</v>
          </cell>
          <cell r="E24">
            <v>1125000</v>
          </cell>
          <cell r="F24">
            <v>1125000</v>
          </cell>
          <cell r="G24">
            <v>1125000</v>
          </cell>
          <cell r="H24">
            <v>2000000</v>
          </cell>
          <cell r="I24">
            <v>2000000</v>
          </cell>
          <cell r="J24">
            <v>2500000</v>
          </cell>
          <cell r="K24">
            <v>3680000</v>
          </cell>
          <cell r="L24">
            <v>5000000</v>
          </cell>
          <cell r="M24">
            <v>10000000</v>
          </cell>
          <cell r="N24">
            <v>10000000</v>
          </cell>
          <cell r="O24">
            <v>20000000</v>
          </cell>
          <cell r="P24">
            <v>30000000</v>
          </cell>
          <cell r="Q24">
            <v>70000000</v>
          </cell>
          <cell r="R24">
            <v>35000000</v>
          </cell>
          <cell r="S24">
            <v>30000000</v>
          </cell>
          <cell r="T24">
            <v>0</v>
          </cell>
          <cell r="U24">
            <v>0</v>
          </cell>
        </row>
        <row r="25">
          <cell r="D25">
            <v>1125000</v>
          </cell>
          <cell r="E25">
            <v>1125000</v>
          </cell>
          <cell r="F25">
            <v>1125000</v>
          </cell>
          <cell r="G25">
            <v>1125000</v>
          </cell>
          <cell r="H25">
            <v>2000000</v>
          </cell>
          <cell r="I25">
            <v>2000000</v>
          </cell>
          <cell r="J25">
            <v>2500000</v>
          </cell>
          <cell r="K25">
            <v>3680000</v>
          </cell>
          <cell r="L25">
            <v>5000000</v>
          </cell>
          <cell r="M25">
            <v>10000000</v>
          </cell>
          <cell r="N25">
            <v>10000000</v>
          </cell>
          <cell r="O25">
            <v>20000000</v>
          </cell>
          <cell r="P25">
            <v>30000000</v>
          </cell>
          <cell r="Q25">
            <v>70000000</v>
          </cell>
          <cell r="R25">
            <v>35000000</v>
          </cell>
          <cell r="S25">
            <v>30000000</v>
          </cell>
          <cell r="T25">
            <v>0</v>
          </cell>
          <cell r="U25">
            <v>0</v>
          </cell>
        </row>
        <row r="26">
          <cell r="D26">
            <v>843750</v>
          </cell>
          <cell r="E26">
            <v>1125000</v>
          </cell>
          <cell r="F26">
            <v>1125050</v>
          </cell>
          <cell r="G26">
            <v>1125050</v>
          </cell>
          <cell r="H26">
            <v>2000000</v>
          </cell>
          <cell r="I26">
            <v>2000000</v>
          </cell>
          <cell r="J26">
            <v>2500000</v>
          </cell>
          <cell r="K26">
            <v>3680000</v>
          </cell>
          <cell r="L26">
            <v>5000000</v>
          </cell>
          <cell r="M26">
            <v>10000000</v>
          </cell>
          <cell r="N26">
            <v>10000000</v>
          </cell>
          <cell r="O26">
            <v>20000000</v>
          </cell>
          <cell r="P26">
            <v>25500000</v>
          </cell>
          <cell r="Q26">
            <v>59500000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</row>
        <row r="27">
          <cell r="D27">
            <v>1125000</v>
          </cell>
          <cell r="E27">
            <v>1125000</v>
          </cell>
          <cell r="F27">
            <v>1125000</v>
          </cell>
          <cell r="G27">
            <v>1125000</v>
          </cell>
          <cell r="H27">
            <v>2000000</v>
          </cell>
          <cell r="I27">
            <v>2000000</v>
          </cell>
          <cell r="J27">
            <v>2500000</v>
          </cell>
          <cell r="K27">
            <v>3680000</v>
          </cell>
          <cell r="L27">
            <v>5000000</v>
          </cell>
          <cell r="M27">
            <v>10000000</v>
          </cell>
          <cell r="N27">
            <v>10000000</v>
          </cell>
          <cell r="O27">
            <v>20000000</v>
          </cell>
          <cell r="P27">
            <v>25500000</v>
          </cell>
          <cell r="Q27">
            <v>59500000</v>
          </cell>
          <cell r="R27">
            <v>29750000</v>
          </cell>
          <cell r="S27">
            <v>25500000</v>
          </cell>
          <cell r="T27">
            <v>0</v>
          </cell>
          <cell r="U27">
            <v>0</v>
          </cell>
        </row>
        <row r="28">
          <cell r="D28">
            <v>1125000</v>
          </cell>
          <cell r="E28">
            <v>1125000</v>
          </cell>
          <cell r="F28">
            <v>1125000</v>
          </cell>
          <cell r="G28">
            <v>1125000</v>
          </cell>
          <cell r="H28">
            <v>2000000</v>
          </cell>
          <cell r="I28">
            <v>2000000</v>
          </cell>
          <cell r="J28">
            <v>2500000</v>
          </cell>
          <cell r="K28">
            <v>3680000</v>
          </cell>
          <cell r="L28">
            <v>5000000</v>
          </cell>
          <cell r="M28">
            <v>10000000</v>
          </cell>
          <cell r="N28">
            <v>10000000</v>
          </cell>
          <cell r="O28">
            <v>20000000</v>
          </cell>
          <cell r="P28">
            <v>30000000</v>
          </cell>
          <cell r="Q28">
            <v>70000000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D29">
            <v>1125000</v>
          </cell>
          <cell r="E29">
            <v>1125000</v>
          </cell>
          <cell r="F29">
            <v>1116000</v>
          </cell>
          <cell r="G29">
            <v>1125000</v>
          </cell>
          <cell r="H29">
            <v>2000000</v>
          </cell>
          <cell r="I29">
            <v>2000000</v>
          </cell>
          <cell r="J29">
            <v>2500000</v>
          </cell>
          <cell r="K29">
            <v>3680000</v>
          </cell>
          <cell r="L29">
            <v>5000000</v>
          </cell>
          <cell r="M29">
            <v>10000000</v>
          </cell>
          <cell r="N29">
            <v>10000000</v>
          </cell>
          <cell r="O29">
            <v>20000000</v>
          </cell>
          <cell r="P29">
            <v>30000000</v>
          </cell>
          <cell r="Q29">
            <v>70000000</v>
          </cell>
          <cell r="R29">
            <v>35000000</v>
          </cell>
          <cell r="S29">
            <v>30000000</v>
          </cell>
          <cell r="T29">
            <v>0</v>
          </cell>
          <cell r="U29">
            <v>0</v>
          </cell>
        </row>
        <row r="30">
          <cell r="D30">
            <v>1125000</v>
          </cell>
          <cell r="E30">
            <v>1125000</v>
          </cell>
          <cell r="F30">
            <v>1125000</v>
          </cell>
          <cell r="G30">
            <v>1125000</v>
          </cell>
          <cell r="H30">
            <v>2000000</v>
          </cell>
          <cell r="I30">
            <v>2000000</v>
          </cell>
          <cell r="J30">
            <v>2125000</v>
          </cell>
          <cell r="K30">
            <v>3680000</v>
          </cell>
          <cell r="L30">
            <v>5000000</v>
          </cell>
          <cell r="M30">
            <v>10000000</v>
          </cell>
          <cell r="N30">
            <v>10000000</v>
          </cell>
          <cell r="O30">
            <v>20000000</v>
          </cell>
          <cell r="P30">
            <v>25500000</v>
          </cell>
          <cell r="Q30">
            <v>59500000</v>
          </cell>
          <cell r="R30">
            <v>29750000</v>
          </cell>
          <cell r="S30">
            <v>25500000</v>
          </cell>
          <cell r="T30">
            <v>0</v>
          </cell>
          <cell r="U30">
            <v>0</v>
          </cell>
        </row>
        <row r="31">
          <cell r="D31">
            <v>1125000</v>
          </cell>
          <cell r="E31">
            <v>1125000</v>
          </cell>
          <cell r="F31">
            <v>1125000</v>
          </cell>
          <cell r="G31">
            <v>1125000</v>
          </cell>
          <cell r="H31">
            <v>2000000</v>
          </cell>
          <cell r="I31">
            <v>2000000</v>
          </cell>
          <cell r="J31">
            <v>2500000</v>
          </cell>
          <cell r="K31">
            <v>3680000</v>
          </cell>
          <cell r="L31">
            <v>5000000</v>
          </cell>
          <cell r="M31">
            <v>8500000</v>
          </cell>
          <cell r="N31">
            <v>8500000</v>
          </cell>
          <cell r="O31">
            <v>17000000</v>
          </cell>
          <cell r="P31">
            <v>30000000</v>
          </cell>
          <cell r="Q31">
            <v>70000000</v>
          </cell>
          <cell r="R31">
            <v>29750000</v>
          </cell>
          <cell r="S31">
            <v>25500000</v>
          </cell>
          <cell r="T31">
            <v>0</v>
          </cell>
          <cell r="U31">
            <v>0</v>
          </cell>
        </row>
        <row r="32">
          <cell r="D32">
            <v>1125000</v>
          </cell>
          <cell r="E32">
            <v>1125000</v>
          </cell>
          <cell r="F32">
            <v>956250</v>
          </cell>
          <cell r="G32">
            <v>1125000</v>
          </cell>
          <cell r="H32">
            <v>2000000</v>
          </cell>
          <cell r="I32">
            <v>2000000</v>
          </cell>
          <cell r="J32">
            <v>2125000</v>
          </cell>
          <cell r="K32">
            <v>3128000</v>
          </cell>
          <cell r="L32">
            <v>5000000</v>
          </cell>
          <cell r="M32">
            <v>10000000</v>
          </cell>
          <cell r="N32">
            <v>10000000</v>
          </cell>
          <cell r="O32">
            <v>20000000</v>
          </cell>
          <cell r="P32">
            <v>30000000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</row>
        <row r="33">
          <cell r="D33">
            <v>1125000</v>
          </cell>
          <cell r="E33">
            <v>1125000</v>
          </cell>
          <cell r="F33">
            <v>1125000</v>
          </cell>
          <cell r="G33">
            <v>1125000</v>
          </cell>
          <cell r="H33">
            <v>1562500</v>
          </cell>
          <cell r="I33">
            <v>1562500</v>
          </cell>
          <cell r="J33">
            <v>2500000</v>
          </cell>
          <cell r="K33">
            <v>3680000</v>
          </cell>
          <cell r="L33">
            <v>5000000</v>
          </cell>
          <cell r="M33">
            <v>10000000</v>
          </cell>
          <cell r="N33">
            <v>10000000</v>
          </cell>
          <cell r="O33">
            <v>20000000</v>
          </cell>
          <cell r="P33">
            <v>30000000</v>
          </cell>
          <cell r="Q33">
            <v>70000000</v>
          </cell>
          <cell r="R33">
            <v>35000000</v>
          </cell>
          <cell r="S33">
            <v>30000000</v>
          </cell>
          <cell r="T33">
            <v>0</v>
          </cell>
          <cell r="U33">
            <v>0</v>
          </cell>
        </row>
        <row r="34">
          <cell r="D34">
            <v>1125000</v>
          </cell>
          <cell r="E34">
            <v>1125000</v>
          </cell>
          <cell r="F34">
            <v>1125000</v>
          </cell>
          <cell r="G34">
            <v>1125000</v>
          </cell>
          <cell r="H34">
            <v>2000000</v>
          </cell>
          <cell r="I34">
            <v>2000000</v>
          </cell>
          <cell r="J34">
            <v>2500000</v>
          </cell>
          <cell r="K34">
            <v>3680000</v>
          </cell>
          <cell r="L34">
            <v>5000000</v>
          </cell>
          <cell r="M34">
            <v>10000000</v>
          </cell>
          <cell r="N34">
            <v>10000000</v>
          </cell>
          <cell r="O34">
            <v>20000000</v>
          </cell>
          <cell r="P34">
            <v>25500000</v>
          </cell>
          <cell r="Q34">
            <v>70000000</v>
          </cell>
          <cell r="R34">
            <v>35000000</v>
          </cell>
          <cell r="S34">
            <v>0</v>
          </cell>
          <cell r="T34">
            <v>0</v>
          </cell>
          <cell r="U34">
            <v>0</v>
          </cell>
        </row>
        <row r="35">
          <cell r="D35">
            <v>1125000</v>
          </cell>
          <cell r="E35">
            <v>1125000</v>
          </cell>
          <cell r="F35">
            <v>1125000</v>
          </cell>
          <cell r="G35">
            <v>1125000</v>
          </cell>
          <cell r="H35">
            <v>2000000</v>
          </cell>
          <cell r="I35">
            <v>2000000</v>
          </cell>
          <cell r="J35">
            <v>2500000</v>
          </cell>
          <cell r="K35">
            <v>552000</v>
          </cell>
          <cell r="L35">
            <v>750000</v>
          </cell>
          <cell r="M35">
            <v>10000000</v>
          </cell>
          <cell r="N35">
            <v>10000000</v>
          </cell>
          <cell r="O35">
            <v>20000000</v>
          </cell>
          <cell r="P35">
            <v>30000000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</row>
        <row r="36">
          <cell r="D36">
            <v>1125000</v>
          </cell>
          <cell r="E36">
            <v>1125000</v>
          </cell>
          <cell r="F36">
            <v>1125000</v>
          </cell>
          <cell r="G36">
            <v>1125000</v>
          </cell>
          <cell r="H36">
            <v>2000000</v>
          </cell>
          <cell r="I36">
            <v>2000000</v>
          </cell>
          <cell r="J36">
            <v>2500000</v>
          </cell>
          <cell r="K36">
            <v>3680000</v>
          </cell>
          <cell r="L36">
            <v>0</v>
          </cell>
          <cell r="M36">
            <v>0</v>
          </cell>
          <cell r="N36">
            <v>10000000</v>
          </cell>
          <cell r="O36">
            <v>20000000</v>
          </cell>
          <cell r="P36">
            <v>30000000</v>
          </cell>
          <cell r="Q36">
            <v>70000000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</row>
        <row r="37">
          <cell r="D37">
            <v>1125000</v>
          </cell>
          <cell r="E37">
            <v>1125000</v>
          </cell>
          <cell r="F37">
            <v>1125000</v>
          </cell>
          <cell r="G37">
            <v>1125000</v>
          </cell>
          <cell r="H37">
            <v>2000000</v>
          </cell>
          <cell r="I37">
            <v>2000000</v>
          </cell>
          <cell r="J37">
            <v>2500000</v>
          </cell>
          <cell r="K37">
            <v>3680000</v>
          </cell>
          <cell r="L37">
            <v>5000000</v>
          </cell>
          <cell r="M37">
            <v>10000000</v>
          </cell>
          <cell r="N37">
            <v>10000000</v>
          </cell>
          <cell r="O37">
            <v>20000000</v>
          </cell>
          <cell r="P37">
            <v>30000000</v>
          </cell>
          <cell r="Q37">
            <v>70000000</v>
          </cell>
          <cell r="R37">
            <v>35000000</v>
          </cell>
          <cell r="S37">
            <v>30000000</v>
          </cell>
          <cell r="T37">
            <v>0</v>
          </cell>
          <cell r="U37">
            <v>0</v>
          </cell>
        </row>
        <row r="38">
          <cell r="D38">
            <v>1125000</v>
          </cell>
          <cell r="E38">
            <v>1125000</v>
          </cell>
          <cell r="F38">
            <v>1125000</v>
          </cell>
          <cell r="G38">
            <v>1125000</v>
          </cell>
          <cell r="H38">
            <v>2000000</v>
          </cell>
          <cell r="I38">
            <v>2000000</v>
          </cell>
          <cell r="J38">
            <v>2500000</v>
          </cell>
          <cell r="K38">
            <v>3680000</v>
          </cell>
          <cell r="L38">
            <v>5000000</v>
          </cell>
          <cell r="M38">
            <v>10000000</v>
          </cell>
          <cell r="N38">
            <v>0</v>
          </cell>
          <cell r="O38">
            <v>20000000</v>
          </cell>
          <cell r="P38">
            <v>0</v>
          </cell>
          <cell r="Q38">
            <v>70000000</v>
          </cell>
          <cell r="R38">
            <v>0</v>
          </cell>
          <cell r="S38">
            <v>30000000</v>
          </cell>
          <cell r="T38">
            <v>0</v>
          </cell>
          <cell r="U38">
            <v>0</v>
          </cell>
        </row>
        <row r="39">
          <cell r="D39">
            <v>843750</v>
          </cell>
          <cell r="E39">
            <v>956250</v>
          </cell>
          <cell r="F39">
            <v>0</v>
          </cell>
          <cell r="G39">
            <v>1125000</v>
          </cell>
          <cell r="H39">
            <v>2000000</v>
          </cell>
          <cell r="I39">
            <v>2000000</v>
          </cell>
          <cell r="J39">
            <v>2500000</v>
          </cell>
          <cell r="K39">
            <v>3680000</v>
          </cell>
          <cell r="L39">
            <v>5000000</v>
          </cell>
          <cell r="M39">
            <v>0</v>
          </cell>
          <cell r="N39">
            <v>10000000</v>
          </cell>
          <cell r="O39">
            <v>0</v>
          </cell>
          <cell r="P39">
            <v>25500000</v>
          </cell>
          <cell r="Q39">
            <v>0</v>
          </cell>
          <cell r="R39">
            <v>29750000</v>
          </cell>
          <cell r="S39">
            <v>0</v>
          </cell>
          <cell r="T39">
            <v>0</v>
          </cell>
          <cell r="U39">
            <v>0</v>
          </cell>
        </row>
        <row r="40">
          <cell r="D40">
            <v>1125000</v>
          </cell>
          <cell r="E40">
            <v>1125000</v>
          </cell>
          <cell r="F40">
            <v>1125000</v>
          </cell>
          <cell r="G40">
            <v>1125000</v>
          </cell>
          <cell r="H40">
            <v>2000000</v>
          </cell>
          <cell r="I40">
            <v>2000000</v>
          </cell>
          <cell r="J40">
            <v>2500000</v>
          </cell>
          <cell r="K40">
            <v>3680000</v>
          </cell>
          <cell r="L40">
            <v>5000000</v>
          </cell>
          <cell r="M40">
            <v>10000000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35000000</v>
          </cell>
          <cell r="S40">
            <v>0</v>
          </cell>
          <cell r="T40">
            <v>0</v>
          </cell>
          <cell r="U40">
            <v>0</v>
          </cell>
        </row>
        <row r="41">
          <cell r="D41">
            <v>1125000</v>
          </cell>
          <cell r="E41">
            <v>1125000</v>
          </cell>
          <cell r="F41">
            <v>1125000</v>
          </cell>
          <cell r="G41">
            <v>1125000</v>
          </cell>
          <cell r="H41">
            <v>2000000</v>
          </cell>
          <cell r="I41">
            <v>2000000</v>
          </cell>
          <cell r="J41">
            <v>2500000</v>
          </cell>
          <cell r="K41">
            <v>3680000</v>
          </cell>
          <cell r="L41">
            <v>5000000</v>
          </cell>
          <cell r="M41">
            <v>0</v>
          </cell>
          <cell r="N41">
            <v>10000000</v>
          </cell>
          <cell r="O41">
            <v>0</v>
          </cell>
          <cell r="P41">
            <v>30000000</v>
          </cell>
          <cell r="Q41">
            <v>0</v>
          </cell>
          <cell r="R41">
            <v>0</v>
          </cell>
          <cell r="S41">
            <v>30000000</v>
          </cell>
          <cell r="T41">
            <v>0</v>
          </cell>
          <cell r="U41">
            <v>0</v>
          </cell>
        </row>
        <row r="42">
          <cell r="D42">
            <v>1125000</v>
          </cell>
          <cell r="E42">
            <v>1125000</v>
          </cell>
          <cell r="F42">
            <v>1125000</v>
          </cell>
          <cell r="G42">
            <v>1125000</v>
          </cell>
          <cell r="H42">
            <v>2000000</v>
          </cell>
          <cell r="I42">
            <v>2000000</v>
          </cell>
          <cell r="J42">
            <v>2500000</v>
          </cell>
          <cell r="K42">
            <v>3680000</v>
          </cell>
          <cell r="L42">
            <v>5000000</v>
          </cell>
          <cell r="M42">
            <v>0</v>
          </cell>
          <cell r="N42">
            <v>0</v>
          </cell>
          <cell r="O42">
            <v>20000000</v>
          </cell>
          <cell r="P42">
            <v>0</v>
          </cell>
          <cell r="Q42">
            <v>70000000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</row>
        <row r="43">
          <cell r="D43">
            <v>1125000</v>
          </cell>
          <cell r="E43">
            <v>956250</v>
          </cell>
          <cell r="F43">
            <v>956250</v>
          </cell>
          <cell r="G43">
            <v>0</v>
          </cell>
          <cell r="H43">
            <v>2000000</v>
          </cell>
          <cell r="I43">
            <v>2000000</v>
          </cell>
          <cell r="J43">
            <v>2500000</v>
          </cell>
          <cell r="K43">
            <v>3680000</v>
          </cell>
          <cell r="L43">
            <v>5000000</v>
          </cell>
          <cell r="M43">
            <v>10000000</v>
          </cell>
          <cell r="N43">
            <v>0</v>
          </cell>
          <cell r="O43">
            <v>0</v>
          </cell>
          <cell r="P43">
            <v>30000000</v>
          </cell>
          <cell r="Q43">
            <v>0</v>
          </cell>
          <cell r="R43">
            <v>0</v>
          </cell>
          <cell r="S43">
            <v>25500000</v>
          </cell>
          <cell r="T43">
            <v>0</v>
          </cell>
          <cell r="U43">
            <v>0</v>
          </cell>
        </row>
        <row r="44">
          <cell r="D44">
            <v>1125000</v>
          </cell>
          <cell r="E44">
            <v>1125000</v>
          </cell>
          <cell r="F44">
            <v>1125000</v>
          </cell>
          <cell r="G44">
            <v>1125000</v>
          </cell>
          <cell r="H44">
            <v>2000000</v>
          </cell>
          <cell r="I44">
            <v>2000000</v>
          </cell>
          <cell r="J44">
            <v>2500000</v>
          </cell>
          <cell r="K44">
            <v>3680000</v>
          </cell>
          <cell r="L44">
            <v>5000000</v>
          </cell>
          <cell r="M44">
            <v>0</v>
          </cell>
          <cell r="N44">
            <v>10000000</v>
          </cell>
          <cell r="O44">
            <v>0</v>
          </cell>
          <cell r="P44">
            <v>0</v>
          </cell>
          <cell r="Q44">
            <v>70000000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</row>
        <row r="45">
          <cell r="D45">
            <v>1125000</v>
          </cell>
          <cell r="E45">
            <v>1125000</v>
          </cell>
          <cell r="F45">
            <v>1125000</v>
          </cell>
          <cell r="G45">
            <v>956250</v>
          </cell>
          <cell r="H45">
            <v>2000000</v>
          </cell>
          <cell r="I45">
            <v>2000000</v>
          </cell>
          <cell r="J45">
            <v>2500000</v>
          </cell>
          <cell r="K45">
            <v>3680000</v>
          </cell>
          <cell r="L45">
            <v>5000000</v>
          </cell>
          <cell r="M45">
            <v>10000000</v>
          </cell>
          <cell r="N45">
            <v>0</v>
          </cell>
          <cell r="O45">
            <v>0</v>
          </cell>
          <cell r="P45">
            <v>30000000</v>
          </cell>
          <cell r="Q45">
            <v>0</v>
          </cell>
          <cell r="R45">
            <v>35000000</v>
          </cell>
          <cell r="S45">
            <v>0</v>
          </cell>
          <cell r="T45">
            <v>0</v>
          </cell>
          <cell r="U45">
            <v>0</v>
          </cell>
        </row>
        <row r="46">
          <cell r="D46">
            <v>1125000</v>
          </cell>
          <cell r="E46">
            <v>1125000</v>
          </cell>
          <cell r="F46">
            <v>956250</v>
          </cell>
          <cell r="G46">
            <v>1125000</v>
          </cell>
          <cell r="H46">
            <v>2000000</v>
          </cell>
          <cell r="I46">
            <v>2000000</v>
          </cell>
          <cell r="J46">
            <v>2500000</v>
          </cell>
          <cell r="K46">
            <v>3680000</v>
          </cell>
          <cell r="L46">
            <v>5000000</v>
          </cell>
          <cell r="M46">
            <v>10000000</v>
          </cell>
          <cell r="N46">
            <v>10000000</v>
          </cell>
          <cell r="O46">
            <v>20000000</v>
          </cell>
          <cell r="P46">
            <v>30000000</v>
          </cell>
          <cell r="Q46">
            <v>59500000</v>
          </cell>
          <cell r="R46">
            <v>29750000</v>
          </cell>
          <cell r="S46">
            <v>25500000</v>
          </cell>
          <cell r="T46">
            <v>0</v>
          </cell>
          <cell r="U46">
            <v>0</v>
          </cell>
        </row>
        <row r="47">
          <cell r="D47">
            <v>1125000</v>
          </cell>
          <cell r="E47">
            <v>1125000</v>
          </cell>
          <cell r="F47">
            <v>1125000</v>
          </cell>
          <cell r="G47">
            <v>1125000</v>
          </cell>
          <cell r="H47">
            <v>2000000</v>
          </cell>
          <cell r="I47">
            <v>2000000</v>
          </cell>
          <cell r="J47">
            <v>2500000</v>
          </cell>
          <cell r="K47">
            <v>3680000</v>
          </cell>
          <cell r="L47">
            <v>5000000</v>
          </cell>
          <cell r="M47">
            <v>10000000</v>
          </cell>
          <cell r="N47">
            <v>10000000</v>
          </cell>
          <cell r="O47">
            <v>20000000</v>
          </cell>
          <cell r="P47">
            <v>30000000</v>
          </cell>
          <cell r="Q47">
            <v>70000000</v>
          </cell>
          <cell r="R47">
            <v>35000000</v>
          </cell>
          <cell r="S47">
            <v>30000000</v>
          </cell>
          <cell r="T47">
            <v>0</v>
          </cell>
          <cell r="U47">
            <v>0</v>
          </cell>
        </row>
        <row r="48">
          <cell r="D48">
            <v>1125000</v>
          </cell>
          <cell r="E48">
            <v>1125000</v>
          </cell>
          <cell r="F48">
            <v>1125000</v>
          </cell>
          <cell r="G48">
            <v>1125000</v>
          </cell>
          <cell r="H48">
            <v>2000000</v>
          </cell>
          <cell r="I48">
            <v>2000000</v>
          </cell>
          <cell r="J48">
            <v>2500000</v>
          </cell>
          <cell r="K48">
            <v>3680000</v>
          </cell>
          <cell r="L48">
            <v>5000000</v>
          </cell>
          <cell r="M48">
            <v>10000000</v>
          </cell>
          <cell r="N48">
            <v>10000000</v>
          </cell>
          <cell r="O48">
            <v>20000000</v>
          </cell>
          <cell r="P48">
            <v>30000000</v>
          </cell>
          <cell r="Q48">
            <v>70000000</v>
          </cell>
          <cell r="R48">
            <v>35000000</v>
          </cell>
          <cell r="S48">
            <v>30000000</v>
          </cell>
          <cell r="T48">
            <v>0</v>
          </cell>
          <cell r="U48">
            <v>0</v>
          </cell>
        </row>
        <row r="49">
          <cell r="D49">
            <v>1125000</v>
          </cell>
          <cell r="E49">
            <v>956250</v>
          </cell>
          <cell r="F49">
            <v>1125000</v>
          </cell>
          <cell r="G49">
            <v>1125000</v>
          </cell>
          <cell r="H49">
            <v>2000000</v>
          </cell>
          <cell r="I49">
            <v>2000000</v>
          </cell>
          <cell r="J49">
            <v>2500000</v>
          </cell>
          <cell r="K49">
            <v>3680000</v>
          </cell>
          <cell r="L49">
            <v>4975000</v>
          </cell>
          <cell r="M49">
            <v>10000000</v>
          </cell>
          <cell r="N49">
            <v>10000000</v>
          </cell>
          <cell r="O49">
            <v>20000000</v>
          </cell>
          <cell r="P49">
            <v>30000000</v>
          </cell>
          <cell r="Q49">
            <v>70000000</v>
          </cell>
          <cell r="R49">
            <v>29750000</v>
          </cell>
          <cell r="S49">
            <v>25500000</v>
          </cell>
          <cell r="T49">
            <v>0</v>
          </cell>
          <cell r="U49">
            <v>0</v>
          </cell>
        </row>
        <row r="50">
          <cell r="D50">
            <v>1125000</v>
          </cell>
          <cell r="E50">
            <v>1125000</v>
          </cell>
          <cell r="F50">
            <v>1125000</v>
          </cell>
          <cell r="G50">
            <v>1125000</v>
          </cell>
          <cell r="H50">
            <v>2000000</v>
          </cell>
          <cell r="I50">
            <v>2000000</v>
          </cell>
          <cell r="J50">
            <v>2500000</v>
          </cell>
          <cell r="K50">
            <v>3680000</v>
          </cell>
          <cell r="L50">
            <v>5000000</v>
          </cell>
          <cell r="M50">
            <v>9920000</v>
          </cell>
          <cell r="N50">
            <v>10000000</v>
          </cell>
          <cell r="O50">
            <v>20000000</v>
          </cell>
          <cell r="P50">
            <v>30000000</v>
          </cell>
          <cell r="Q50">
            <v>70000000</v>
          </cell>
          <cell r="R50">
            <v>35000000</v>
          </cell>
          <cell r="S50">
            <v>0</v>
          </cell>
          <cell r="T50">
            <v>0</v>
          </cell>
          <cell r="U50">
            <v>0</v>
          </cell>
        </row>
        <row r="51">
          <cell r="D51">
            <v>1125000</v>
          </cell>
          <cell r="E51">
            <v>1125000</v>
          </cell>
          <cell r="F51">
            <v>1125000</v>
          </cell>
          <cell r="G51">
            <v>1125000</v>
          </cell>
          <cell r="H51">
            <v>2000000</v>
          </cell>
          <cell r="I51">
            <v>1700000</v>
          </cell>
          <cell r="J51">
            <v>2500000</v>
          </cell>
          <cell r="K51">
            <v>3680000</v>
          </cell>
          <cell r="L51">
            <v>5000000</v>
          </cell>
          <cell r="M51">
            <v>10000000</v>
          </cell>
          <cell r="N51">
            <v>10000000</v>
          </cell>
          <cell r="O51">
            <v>20000000</v>
          </cell>
          <cell r="P51">
            <v>30000000</v>
          </cell>
          <cell r="Q51">
            <v>70000000</v>
          </cell>
          <cell r="R51">
            <v>35000000</v>
          </cell>
          <cell r="S51">
            <v>30000000</v>
          </cell>
          <cell r="T51">
            <v>0</v>
          </cell>
          <cell r="U51">
            <v>0</v>
          </cell>
        </row>
        <row r="52">
          <cell r="D52">
            <v>1125000</v>
          </cell>
          <cell r="E52">
            <v>1125000</v>
          </cell>
          <cell r="F52">
            <v>1125000</v>
          </cell>
          <cell r="G52">
            <v>956250</v>
          </cell>
          <cell r="H52">
            <v>2000000</v>
          </cell>
          <cell r="I52">
            <v>1700000</v>
          </cell>
          <cell r="J52">
            <v>2500000</v>
          </cell>
          <cell r="K52">
            <v>3680000</v>
          </cell>
          <cell r="L52">
            <v>5000000</v>
          </cell>
          <cell r="M52">
            <v>10000000</v>
          </cell>
          <cell r="N52">
            <v>10000000</v>
          </cell>
          <cell r="O52">
            <v>20000000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</row>
        <row r="53">
          <cell r="D53">
            <v>1125000</v>
          </cell>
          <cell r="E53">
            <v>1125000</v>
          </cell>
          <cell r="F53">
            <v>1125000</v>
          </cell>
          <cell r="G53">
            <v>1125000</v>
          </cell>
          <cell r="H53">
            <v>2000000</v>
          </cell>
          <cell r="I53">
            <v>2000000</v>
          </cell>
          <cell r="J53">
            <v>2500000</v>
          </cell>
          <cell r="K53">
            <v>3680000</v>
          </cell>
          <cell r="L53">
            <v>5000000</v>
          </cell>
          <cell r="M53">
            <v>0</v>
          </cell>
          <cell r="N53">
            <v>10000000</v>
          </cell>
          <cell r="O53">
            <v>0</v>
          </cell>
          <cell r="Q53">
            <v>70000000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</row>
        <row r="54">
          <cell r="D54">
            <v>1125000</v>
          </cell>
          <cell r="E54">
            <v>1125000</v>
          </cell>
          <cell r="F54">
            <v>1125000</v>
          </cell>
          <cell r="G54">
            <v>1125000</v>
          </cell>
          <cell r="H54">
            <v>2000000</v>
          </cell>
          <cell r="I54">
            <v>2000000</v>
          </cell>
          <cell r="J54">
            <v>2500000</v>
          </cell>
          <cell r="K54">
            <v>3680000</v>
          </cell>
          <cell r="L54">
            <v>5000000</v>
          </cell>
          <cell r="M54">
            <v>10000000</v>
          </cell>
          <cell r="N54">
            <v>0</v>
          </cell>
          <cell r="O54">
            <v>0</v>
          </cell>
          <cell r="P54">
            <v>30000000</v>
          </cell>
          <cell r="Q54">
            <v>0</v>
          </cell>
          <cell r="R54">
            <v>0</v>
          </cell>
          <cell r="S54">
            <v>30000000</v>
          </cell>
          <cell r="T54">
            <v>0</v>
          </cell>
          <cell r="U54">
            <v>0</v>
          </cell>
        </row>
        <row r="55">
          <cell r="D55">
            <v>1125000</v>
          </cell>
          <cell r="E55">
            <v>1125000</v>
          </cell>
          <cell r="F55">
            <v>1125000</v>
          </cell>
          <cell r="G55">
            <v>1125000</v>
          </cell>
          <cell r="H55">
            <v>2000000</v>
          </cell>
          <cell r="I55">
            <v>2000000</v>
          </cell>
          <cell r="J55">
            <v>2500000</v>
          </cell>
          <cell r="K55">
            <v>3680000</v>
          </cell>
          <cell r="L55">
            <v>5000000</v>
          </cell>
          <cell r="M55">
            <v>0</v>
          </cell>
          <cell r="N55">
            <v>0</v>
          </cell>
          <cell r="O55">
            <v>20000000</v>
          </cell>
          <cell r="P55">
            <v>0</v>
          </cell>
          <cell r="Q55">
            <v>0</v>
          </cell>
          <cell r="R55">
            <v>29750000</v>
          </cell>
          <cell r="S55">
            <v>0</v>
          </cell>
          <cell r="T55">
            <v>0</v>
          </cell>
          <cell r="U55">
            <v>0</v>
          </cell>
        </row>
        <row r="56">
          <cell r="D56">
            <v>1125000</v>
          </cell>
          <cell r="E56">
            <v>1125000</v>
          </cell>
          <cell r="F56">
            <v>1125000</v>
          </cell>
          <cell r="G56">
            <v>1125000</v>
          </cell>
          <cell r="H56">
            <v>2000000</v>
          </cell>
          <cell r="I56">
            <v>2000000</v>
          </cell>
          <cell r="J56">
            <v>2500000</v>
          </cell>
          <cell r="K56">
            <v>3680000</v>
          </cell>
          <cell r="L56">
            <v>5000000</v>
          </cell>
          <cell r="M56">
            <v>10000000</v>
          </cell>
          <cell r="N56">
            <v>10000000</v>
          </cell>
          <cell r="O56">
            <v>20000000</v>
          </cell>
          <cell r="P56">
            <v>30000000</v>
          </cell>
          <cell r="Q56">
            <v>70000000</v>
          </cell>
          <cell r="R56">
            <v>35000000</v>
          </cell>
          <cell r="S56">
            <v>30000000</v>
          </cell>
          <cell r="T56">
            <v>0</v>
          </cell>
          <cell r="U56">
            <v>0</v>
          </cell>
        </row>
        <row r="57">
          <cell r="D57">
            <v>1125000</v>
          </cell>
          <cell r="E57">
            <v>1125000</v>
          </cell>
          <cell r="F57">
            <v>1125000</v>
          </cell>
          <cell r="G57">
            <v>1125000</v>
          </cell>
          <cell r="H57">
            <v>2000000</v>
          </cell>
          <cell r="I57">
            <v>2000000</v>
          </cell>
          <cell r="J57">
            <v>2500000</v>
          </cell>
          <cell r="K57">
            <v>3680000</v>
          </cell>
          <cell r="L57">
            <v>5000000</v>
          </cell>
          <cell r="M57">
            <v>10000000</v>
          </cell>
          <cell r="N57">
            <v>10000000</v>
          </cell>
          <cell r="O57">
            <v>20000000</v>
          </cell>
          <cell r="P57">
            <v>30000000</v>
          </cell>
          <cell r="Q57">
            <v>59500000</v>
          </cell>
          <cell r="R57">
            <v>29750000</v>
          </cell>
          <cell r="S57">
            <v>25500000</v>
          </cell>
          <cell r="T57">
            <v>0</v>
          </cell>
          <cell r="U57">
            <v>0</v>
          </cell>
        </row>
        <row r="58">
          <cell r="D58">
            <v>1125000</v>
          </cell>
          <cell r="E58">
            <v>1125000</v>
          </cell>
          <cell r="F58">
            <v>1125000</v>
          </cell>
          <cell r="G58">
            <v>1125000</v>
          </cell>
          <cell r="H58">
            <v>2000000</v>
          </cell>
          <cell r="I58">
            <v>2000000</v>
          </cell>
          <cell r="J58">
            <v>2500000</v>
          </cell>
          <cell r="K58">
            <v>3680000</v>
          </cell>
          <cell r="L58">
            <v>5000000</v>
          </cell>
          <cell r="M58">
            <v>10000000</v>
          </cell>
          <cell r="N58">
            <v>0</v>
          </cell>
          <cell r="O58">
            <v>20000000</v>
          </cell>
          <cell r="P58">
            <v>0</v>
          </cell>
          <cell r="Q58">
            <v>70000000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</row>
        <row r="59">
          <cell r="D59">
            <v>1125000</v>
          </cell>
          <cell r="E59">
            <v>1125000</v>
          </cell>
          <cell r="F59">
            <v>1125000</v>
          </cell>
          <cell r="G59">
            <v>1125000</v>
          </cell>
          <cell r="H59">
            <v>2000000</v>
          </cell>
          <cell r="I59">
            <v>2000000</v>
          </cell>
          <cell r="J59">
            <v>2500000</v>
          </cell>
          <cell r="K59">
            <v>3680000</v>
          </cell>
          <cell r="L59">
            <v>5000000</v>
          </cell>
          <cell r="M59">
            <v>0</v>
          </cell>
          <cell r="N59">
            <v>10000000</v>
          </cell>
          <cell r="O59">
            <v>0</v>
          </cell>
          <cell r="P59">
            <v>30000000</v>
          </cell>
          <cell r="Q59">
            <v>0</v>
          </cell>
          <cell r="R59">
            <v>29750000</v>
          </cell>
          <cell r="S59">
            <v>0</v>
          </cell>
          <cell r="T59">
            <v>0</v>
          </cell>
          <cell r="U59">
            <v>0</v>
          </cell>
        </row>
        <row r="60">
          <cell r="D60">
            <v>1125000</v>
          </cell>
          <cell r="E60">
            <v>1125000</v>
          </cell>
          <cell r="F60">
            <v>1125000</v>
          </cell>
          <cell r="G60">
            <v>1125000</v>
          </cell>
          <cell r="H60">
            <v>2000000</v>
          </cell>
          <cell r="I60">
            <v>2000000</v>
          </cell>
          <cell r="J60">
            <v>2500000</v>
          </cell>
          <cell r="K60">
            <v>3680000</v>
          </cell>
          <cell r="L60">
            <v>5000000</v>
          </cell>
          <cell r="M60">
            <v>10000000</v>
          </cell>
          <cell r="N60">
            <v>10000000</v>
          </cell>
          <cell r="O60">
            <v>17000000</v>
          </cell>
          <cell r="P60">
            <v>25500000</v>
          </cell>
          <cell r="Q60">
            <v>59500000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</row>
        <row r="61">
          <cell r="D61">
            <v>1125000</v>
          </cell>
          <cell r="E61">
            <v>1125000</v>
          </cell>
          <cell r="F61">
            <v>956250</v>
          </cell>
          <cell r="G61">
            <v>956250</v>
          </cell>
          <cell r="H61">
            <v>1700000</v>
          </cell>
          <cell r="I61">
            <v>2000000</v>
          </cell>
          <cell r="J61">
            <v>2500000</v>
          </cell>
          <cell r="K61">
            <v>3680000</v>
          </cell>
          <cell r="L61">
            <v>5000000</v>
          </cell>
          <cell r="M61">
            <v>10000000</v>
          </cell>
          <cell r="N61">
            <v>10000000</v>
          </cell>
          <cell r="O61">
            <v>20000000</v>
          </cell>
          <cell r="P61">
            <v>30000000</v>
          </cell>
          <cell r="Q61">
            <v>70000000</v>
          </cell>
          <cell r="R61">
            <v>35000000</v>
          </cell>
          <cell r="S61">
            <v>0</v>
          </cell>
          <cell r="T61">
            <v>0</v>
          </cell>
          <cell r="U61">
            <v>0</v>
          </cell>
        </row>
        <row r="62">
          <cell r="D62">
            <v>1125000</v>
          </cell>
          <cell r="E62">
            <v>1125000</v>
          </cell>
          <cell r="F62">
            <v>1125000</v>
          </cell>
          <cell r="G62">
            <v>1250000</v>
          </cell>
          <cell r="H62">
            <v>2000000</v>
          </cell>
          <cell r="I62">
            <v>2000000</v>
          </cell>
          <cell r="J62">
            <v>2500000</v>
          </cell>
          <cell r="K62">
            <v>3680000</v>
          </cell>
          <cell r="L62">
            <v>5000000</v>
          </cell>
          <cell r="M62">
            <v>10000000</v>
          </cell>
          <cell r="N62">
            <v>0</v>
          </cell>
          <cell r="O62">
            <v>20000000</v>
          </cell>
          <cell r="P62">
            <v>0</v>
          </cell>
          <cell r="Q62">
            <v>59500000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</row>
        <row r="63">
          <cell r="D63">
            <v>1125000</v>
          </cell>
          <cell r="E63">
            <v>1125000</v>
          </cell>
          <cell r="F63">
            <v>1125000</v>
          </cell>
          <cell r="G63">
            <v>1250000</v>
          </cell>
          <cell r="H63">
            <v>2000000</v>
          </cell>
          <cell r="I63">
            <v>2000000</v>
          </cell>
          <cell r="J63">
            <v>4625000</v>
          </cell>
          <cell r="K63">
            <v>3680000</v>
          </cell>
          <cell r="L63">
            <v>5000000</v>
          </cell>
          <cell r="M63">
            <v>0</v>
          </cell>
          <cell r="N63">
            <v>10000000</v>
          </cell>
          <cell r="O63">
            <v>0</v>
          </cell>
          <cell r="P63">
            <v>30000000</v>
          </cell>
          <cell r="Q63">
            <v>0</v>
          </cell>
          <cell r="R63">
            <v>35000000</v>
          </cell>
          <cell r="S63">
            <v>0</v>
          </cell>
          <cell r="T63">
            <v>0</v>
          </cell>
          <cell r="U63">
            <v>0</v>
          </cell>
        </row>
        <row r="64">
          <cell r="D64">
            <v>1125000</v>
          </cell>
          <cell r="E64">
            <v>1125000</v>
          </cell>
          <cell r="F64">
            <v>1125000</v>
          </cell>
          <cell r="G64">
            <v>956250</v>
          </cell>
          <cell r="H64">
            <v>2000000</v>
          </cell>
          <cell r="I64">
            <v>2000000</v>
          </cell>
          <cell r="J64">
            <v>2500000</v>
          </cell>
          <cell r="K64">
            <v>3680000</v>
          </cell>
          <cell r="L64">
            <v>5000000</v>
          </cell>
          <cell r="M64">
            <v>10000000</v>
          </cell>
          <cell r="N64">
            <v>10000000</v>
          </cell>
          <cell r="O64">
            <v>20000000</v>
          </cell>
          <cell r="P64">
            <v>30000000</v>
          </cell>
          <cell r="Q64">
            <v>70000000</v>
          </cell>
          <cell r="R64">
            <v>29750000</v>
          </cell>
          <cell r="S64">
            <v>25500000</v>
          </cell>
          <cell r="T64">
            <v>0</v>
          </cell>
          <cell r="U64">
            <v>0</v>
          </cell>
        </row>
        <row r="65">
          <cell r="D65">
            <v>1125000</v>
          </cell>
          <cell r="E65">
            <v>1125000</v>
          </cell>
          <cell r="F65">
            <v>1125000</v>
          </cell>
          <cell r="G65">
            <v>1125000</v>
          </cell>
          <cell r="H65">
            <v>2000000</v>
          </cell>
          <cell r="I65">
            <v>2000000</v>
          </cell>
          <cell r="J65">
            <v>2500000</v>
          </cell>
          <cell r="K65">
            <v>3680000</v>
          </cell>
          <cell r="L65">
            <v>5000000</v>
          </cell>
          <cell r="M65">
            <v>10000000</v>
          </cell>
          <cell r="N65">
            <v>10000000</v>
          </cell>
          <cell r="O65">
            <v>20000000</v>
          </cell>
          <cell r="P65">
            <v>30000000</v>
          </cell>
          <cell r="Q65">
            <v>70000000</v>
          </cell>
          <cell r="R65">
            <v>29750000</v>
          </cell>
          <cell r="S65">
            <v>25500000</v>
          </cell>
          <cell r="T65">
            <v>0</v>
          </cell>
          <cell r="U65">
            <v>0</v>
          </cell>
        </row>
        <row r="66">
          <cell r="D66">
            <v>1125000</v>
          </cell>
          <cell r="E66">
            <v>1125000</v>
          </cell>
          <cell r="F66">
            <v>1125000</v>
          </cell>
          <cell r="G66">
            <v>1125000</v>
          </cell>
          <cell r="H66">
            <v>2000000</v>
          </cell>
          <cell r="I66">
            <v>2000000</v>
          </cell>
          <cell r="J66">
            <v>2500000</v>
          </cell>
          <cell r="K66">
            <v>3128000</v>
          </cell>
          <cell r="L66">
            <v>4250000</v>
          </cell>
          <cell r="M66">
            <v>8500000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</row>
        <row r="67">
          <cell r="D67">
            <v>1125000</v>
          </cell>
          <cell r="E67">
            <v>1125000</v>
          </cell>
          <cell r="F67">
            <v>1125000</v>
          </cell>
          <cell r="G67">
            <v>1125000</v>
          </cell>
          <cell r="H67">
            <v>2000000</v>
          </cell>
          <cell r="I67">
            <v>2000000</v>
          </cell>
          <cell r="J67">
            <v>2500000</v>
          </cell>
          <cell r="K67">
            <v>3680000</v>
          </cell>
          <cell r="L67">
            <v>5000000</v>
          </cell>
          <cell r="M67">
            <v>10000000</v>
          </cell>
          <cell r="N67">
            <v>10000000</v>
          </cell>
          <cell r="O67">
            <v>20000000</v>
          </cell>
          <cell r="P67">
            <v>30000000</v>
          </cell>
          <cell r="Q67">
            <v>70000000</v>
          </cell>
          <cell r="R67">
            <v>35000000</v>
          </cell>
          <cell r="S67">
            <v>30000000</v>
          </cell>
          <cell r="T67">
            <v>0</v>
          </cell>
          <cell r="U67">
            <v>0</v>
          </cell>
        </row>
        <row r="68">
          <cell r="D68">
            <v>1125000</v>
          </cell>
          <cell r="E68">
            <v>1125000</v>
          </cell>
          <cell r="F68">
            <v>1125000</v>
          </cell>
          <cell r="G68">
            <v>1125000</v>
          </cell>
          <cell r="H68">
            <v>2000000</v>
          </cell>
          <cell r="I68">
            <v>2000000</v>
          </cell>
          <cell r="J68">
            <v>2500000</v>
          </cell>
          <cell r="K68">
            <v>3680000</v>
          </cell>
          <cell r="L68">
            <v>5000000</v>
          </cell>
          <cell r="M68">
            <v>10000000</v>
          </cell>
          <cell r="N68">
            <v>10000000</v>
          </cell>
          <cell r="O68">
            <v>20000000</v>
          </cell>
          <cell r="P68">
            <v>30000000</v>
          </cell>
          <cell r="Q68">
            <v>70000000</v>
          </cell>
          <cell r="R68">
            <v>35000000</v>
          </cell>
          <cell r="S68">
            <v>30000000</v>
          </cell>
          <cell r="T68">
            <v>0</v>
          </cell>
          <cell r="U68">
            <v>0</v>
          </cell>
        </row>
        <row r="69">
          <cell r="D69">
            <v>1125000</v>
          </cell>
          <cell r="E69">
            <v>1125000</v>
          </cell>
          <cell r="F69">
            <v>1125000</v>
          </cell>
          <cell r="G69">
            <v>1125000</v>
          </cell>
          <cell r="H69">
            <v>2000000</v>
          </cell>
          <cell r="I69">
            <v>2000000</v>
          </cell>
          <cell r="J69">
            <v>2500000</v>
          </cell>
          <cell r="K69">
            <v>3680000</v>
          </cell>
          <cell r="L69">
            <v>5000000</v>
          </cell>
          <cell r="M69">
            <v>10000000</v>
          </cell>
          <cell r="N69">
            <v>10000000</v>
          </cell>
          <cell r="O69">
            <v>20000000</v>
          </cell>
          <cell r="P69">
            <v>30000000</v>
          </cell>
          <cell r="Q69">
            <v>70000000</v>
          </cell>
          <cell r="R69">
            <v>35000000</v>
          </cell>
          <cell r="S69">
            <v>25500000</v>
          </cell>
          <cell r="T69">
            <v>0</v>
          </cell>
          <cell r="U69">
            <v>0</v>
          </cell>
        </row>
        <row r="70">
          <cell r="D70">
            <v>0</v>
          </cell>
          <cell r="E70">
            <v>1125000</v>
          </cell>
          <cell r="F70">
            <v>1125000</v>
          </cell>
          <cell r="G70">
            <v>1125000</v>
          </cell>
          <cell r="H70">
            <v>2000000</v>
          </cell>
          <cell r="I70">
            <v>2000000</v>
          </cell>
          <cell r="J70">
            <v>2500000</v>
          </cell>
          <cell r="K70">
            <v>3680000</v>
          </cell>
          <cell r="L70">
            <v>5000000</v>
          </cell>
          <cell r="M70">
            <v>10000000</v>
          </cell>
          <cell r="N70">
            <v>10000000</v>
          </cell>
          <cell r="O70">
            <v>20000000</v>
          </cell>
          <cell r="P70">
            <v>30000000</v>
          </cell>
          <cell r="Q70">
            <v>70000000</v>
          </cell>
          <cell r="R70">
            <v>35000000</v>
          </cell>
          <cell r="S70">
            <v>30000000</v>
          </cell>
          <cell r="T70">
            <v>0</v>
          </cell>
          <cell r="U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2000000</v>
          </cell>
          <cell r="I71">
            <v>2000000</v>
          </cell>
          <cell r="J71">
            <v>2500000</v>
          </cell>
          <cell r="K71">
            <v>3680000</v>
          </cell>
          <cell r="L71">
            <v>5000000</v>
          </cell>
          <cell r="M71">
            <v>10000000</v>
          </cell>
          <cell r="N71">
            <v>10000000</v>
          </cell>
          <cell r="O71">
            <v>20000000</v>
          </cell>
          <cell r="P71">
            <v>30000000</v>
          </cell>
          <cell r="Q71">
            <v>70000000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2000000</v>
          </cell>
          <cell r="J72">
            <v>2500000</v>
          </cell>
          <cell r="K72">
            <v>3680000</v>
          </cell>
          <cell r="L72">
            <v>5000000</v>
          </cell>
          <cell r="M72">
            <v>0</v>
          </cell>
          <cell r="N72">
            <v>0</v>
          </cell>
          <cell r="O72">
            <v>20000000</v>
          </cell>
          <cell r="P72">
            <v>0</v>
          </cell>
          <cell r="Q72">
            <v>0</v>
          </cell>
          <cell r="R72">
            <v>35000000</v>
          </cell>
          <cell r="S72">
            <v>0</v>
          </cell>
          <cell r="T72">
            <v>0</v>
          </cell>
          <cell r="U72">
            <v>0</v>
          </cell>
        </row>
        <row r="73">
          <cell r="D73">
            <v>1125000</v>
          </cell>
          <cell r="E73">
            <v>1125000</v>
          </cell>
          <cell r="F73">
            <v>1125000</v>
          </cell>
          <cell r="G73">
            <v>956250</v>
          </cell>
          <cell r="H73">
            <v>2000000</v>
          </cell>
          <cell r="I73">
            <v>2000000</v>
          </cell>
          <cell r="J73">
            <v>2500000</v>
          </cell>
          <cell r="K73">
            <v>3680000</v>
          </cell>
          <cell r="L73">
            <v>5000000</v>
          </cell>
          <cell r="M73">
            <v>10000000</v>
          </cell>
          <cell r="N73">
            <v>10000000</v>
          </cell>
          <cell r="O73">
            <v>20000000</v>
          </cell>
          <cell r="P73">
            <v>30000000</v>
          </cell>
          <cell r="Q73">
            <v>70000000</v>
          </cell>
          <cell r="R73">
            <v>35000000</v>
          </cell>
          <cell r="S73">
            <v>25500000</v>
          </cell>
          <cell r="T73">
            <v>0</v>
          </cell>
          <cell r="U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3680000</v>
          </cell>
          <cell r="L74">
            <v>5000000</v>
          </cell>
          <cell r="M74">
            <v>10000000</v>
          </cell>
          <cell r="N74">
            <v>10000000</v>
          </cell>
          <cell r="O74">
            <v>20000000</v>
          </cell>
          <cell r="P74">
            <v>30000000</v>
          </cell>
          <cell r="Q74">
            <v>70000000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</row>
        <row r="75">
          <cell r="D75">
            <v>843750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10000000</v>
          </cell>
          <cell r="N75">
            <v>10000000</v>
          </cell>
          <cell r="O75">
            <v>20000000</v>
          </cell>
          <cell r="P75">
            <v>25500000</v>
          </cell>
          <cell r="Q75">
            <v>59500000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</row>
        <row r="76">
          <cell r="D76">
            <v>1125000</v>
          </cell>
          <cell r="E76">
            <v>1125000</v>
          </cell>
          <cell r="F76">
            <v>1125000</v>
          </cell>
          <cell r="G76">
            <v>1125000</v>
          </cell>
          <cell r="H76">
            <v>2000000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10000000</v>
          </cell>
          <cell r="N76">
            <v>10000000</v>
          </cell>
          <cell r="O76">
            <v>20000000</v>
          </cell>
          <cell r="P76">
            <v>30000000</v>
          </cell>
          <cell r="Q76">
            <v>70000000</v>
          </cell>
          <cell r="R76">
            <v>35000000</v>
          </cell>
          <cell r="S76">
            <v>30000000</v>
          </cell>
          <cell r="T76">
            <v>0</v>
          </cell>
          <cell r="U76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10000000</v>
          </cell>
          <cell r="O77">
            <v>20000000</v>
          </cell>
          <cell r="P77">
            <v>0</v>
          </cell>
          <cell r="Q77">
            <v>70000000</v>
          </cell>
          <cell r="R77">
            <v>0</v>
          </cell>
          <cell r="S77">
            <v>30000000</v>
          </cell>
          <cell r="T77">
            <v>0</v>
          </cell>
          <cell r="U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17000000</v>
          </cell>
          <cell r="P78">
            <v>25500000</v>
          </cell>
          <cell r="Q78">
            <v>59500000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</row>
        <row r="79">
          <cell r="M79">
            <v>0</v>
          </cell>
          <cell r="N79">
            <v>0</v>
          </cell>
          <cell r="R79">
            <v>29750000</v>
          </cell>
          <cell r="S79">
            <v>0</v>
          </cell>
          <cell r="T79">
            <v>0</v>
          </cell>
          <cell r="U79">
            <v>0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L539"/>
  <sheetViews>
    <sheetView topLeftCell="A93" workbookViewId="0">
      <selection activeCell="A94" sqref="A94:XFD180"/>
    </sheetView>
  </sheetViews>
  <sheetFormatPr defaultColWidth="13" defaultRowHeight="15" x14ac:dyDescent="0.25"/>
  <cols>
    <col min="1" max="1" width="3.85546875" style="1" customWidth="1"/>
    <col min="2" max="2" width="49" style="2" customWidth="1"/>
    <col min="3" max="3" width="11" style="2" customWidth="1"/>
    <col min="4" max="4" width="26.7109375" style="3" customWidth="1"/>
    <col min="5" max="5" width="23.28515625" style="4" customWidth="1"/>
    <col min="6" max="6" width="19" style="3" customWidth="1"/>
    <col min="7" max="7" width="5.5703125" style="3" customWidth="1"/>
    <col min="8" max="8" width="18.5703125" style="3" customWidth="1"/>
    <col min="9" max="9" width="23" style="3" customWidth="1"/>
    <col min="10" max="10" width="19.140625" style="3" customWidth="1"/>
    <col min="11" max="11" width="3.28515625" style="3" customWidth="1"/>
    <col min="12" max="12" width="19.5703125" style="3" customWidth="1"/>
    <col min="13" max="13" width="22.28515625" style="3" customWidth="1"/>
    <col min="14" max="14" width="20.85546875" style="3" customWidth="1"/>
    <col min="15" max="15" width="4.28515625" style="3" customWidth="1"/>
    <col min="16" max="18" width="20.28515625" style="3" customWidth="1"/>
    <col min="19" max="19" width="4.28515625" style="3" customWidth="1"/>
    <col min="20" max="22" width="24.140625" style="3" customWidth="1"/>
    <col min="23" max="23" width="2.85546875" style="3" customWidth="1"/>
    <col min="24" max="26" width="21.140625" style="3" customWidth="1"/>
    <col min="27" max="27" width="3.140625" style="3" customWidth="1"/>
    <col min="28" max="30" width="22" style="3" customWidth="1"/>
    <col min="31" max="31" width="2.85546875" style="3" customWidth="1"/>
    <col min="32" max="34" width="22.28515625" style="3" customWidth="1"/>
    <col min="35" max="35" width="2.140625" style="3" customWidth="1"/>
    <col min="36" max="38" width="21.5703125" style="5" customWidth="1"/>
    <col min="39" max="39" width="2.7109375" style="5" customWidth="1"/>
    <col min="40" max="42" width="22.7109375" style="3" customWidth="1"/>
    <col min="43" max="43" width="2.85546875" style="3" customWidth="1"/>
    <col min="44" max="46" width="22.7109375" style="3" customWidth="1"/>
    <col min="47" max="47" width="4.42578125" style="3" customWidth="1"/>
    <col min="48" max="50" width="20.28515625" style="3" customWidth="1"/>
    <col min="51" max="51" width="2.28515625" style="3" customWidth="1"/>
    <col min="52" max="52" width="22" style="3" customWidth="1"/>
    <col min="53" max="53" width="20.5703125" style="3" customWidth="1"/>
    <col min="54" max="54" width="18.5703125" style="3" customWidth="1"/>
    <col min="55" max="55" width="2.7109375" style="3" customWidth="1"/>
    <col min="56" max="58" width="17.7109375" style="3" customWidth="1"/>
    <col min="59" max="59" width="2.140625" style="3" customWidth="1"/>
    <col min="60" max="62" width="18.5703125" style="3" customWidth="1"/>
    <col min="63" max="63" width="2.140625" style="3" customWidth="1"/>
    <col min="64" max="66" width="18" style="3" customWidth="1"/>
    <col min="67" max="67" width="1.42578125" style="3" customWidth="1"/>
    <col min="68" max="70" width="22.28515625" style="3" customWidth="1"/>
    <col min="71" max="71" width="2.5703125" style="3" customWidth="1"/>
    <col min="72" max="74" width="19.85546875" style="3" customWidth="1"/>
    <col min="75" max="75" width="1.140625" style="3" customWidth="1"/>
    <col min="76" max="78" width="23.85546875" style="3" customWidth="1"/>
    <col min="79" max="79" width="2.140625" style="3" customWidth="1"/>
    <col min="80" max="82" width="20.7109375" style="3" customWidth="1"/>
    <col min="83" max="83" width="3.5703125" style="3" customWidth="1"/>
    <col min="84" max="84" width="20.7109375" style="3" customWidth="1"/>
    <col min="85" max="85" width="22" style="3" customWidth="1"/>
    <col min="86" max="86" width="21" style="3" customWidth="1"/>
    <col min="87" max="87" width="3.42578125" style="3" customWidth="1"/>
    <col min="88" max="90" width="20.7109375" style="3" customWidth="1"/>
    <col min="91" max="91" width="1.140625" style="3" customWidth="1"/>
    <col min="92" max="94" width="20.7109375" style="3" customWidth="1"/>
    <col min="95" max="95" width="1.85546875" style="3" customWidth="1"/>
    <col min="96" max="98" width="20.7109375" style="3" customWidth="1"/>
    <col min="99" max="99" width="5.7109375" style="3" customWidth="1"/>
    <col min="100" max="102" width="20.7109375" style="3" customWidth="1"/>
    <col min="103" max="103" width="5.7109375" style="3" customWidth="1"/>
    <col min="104" max="104" width="20.140625" style="3" customWidth="1"/>
    <col min="105" max="105" width="18.140625" style="3" customWidth="1"/>
    <col min="106" max="106" width="18.85546875" style="3" customWidth="1"/>
    <col min="107" max="107" width="4.42578125" style="3" customWidth="1"/>
    <col min="108" max="108" width="16.5703125" style="3" customWidth="1"/>
    <col min="109" max="109" width="23.42578125" style="3" customWidth="1"/>
    <col min="110" max="110" width="16.5703125" style="3" customWidth="1"/>
    <col min="111" max="111" width="4.42578125" style="3" customWidth="1"/>
    <col min="112" max="113" width="18" style="3" customWidth="1"/>
    <col min="114" max="114" width="17.7109375" style="3" customWidth="1"/>
    <col min="115" max="115" width="6.7109375" style="3" customWidth="1"/>
    <col min="116" max="116" width="17.85546875" style="3" customWidth="1"/>
    <col min="117" max="117" width="17.140625" style="3" customWidth="1"/>
    <col min="118" max="118" width="17.42578125" style="3" customWidth="1"/>
    <col min="119" max="119" width="6.140625" style="3" customWidth="1"/>
    <col min="120" max="120" width="20" style="3" customWidth="1"/>
    <col min="121" max="121" width="18.28515625" style="3" customWidth="1"/>
    <col min="122" max="122" width="18.5703125" style="3" customWidth="1"/>
    <col min="123" max="123" width="3.42578125" style="3" customWidth="1"/>
    <col min="124" max="126" width="18.5703125" style="3" customWidth="1"/>
    <col min="127" max="127" width="4.85546875" style="3" customWidth="1"/>
    <col min="128" max="130" width="18.5703125" style="3" customWidth="1"/>
    <col min="131" max="131" width="4.85546875" style="3" customWidth="1"/>
    <col min="132" max="134" width="18.5703125" style="3" customWidth="1"/>
    <col min="135" max="135" width="3.42578125" style="3" customWidth="1"/>
    <col min="136" max="138" width="18.5703125" style="3" customWidth="1"/>
    <col min="139" max="139" width="2.28515625" style="3" customWidth="1"/>
    <col min="140" max="142" width="18.5703125" style="3" customWidth="1"/>
    <col min="143" max="143" width="4.85546875" style="3" customWidth="1"/>
    <col min="144" max="144" width="19.28515625" style="10" customWidth="1"/>
    <col min="145" max="145" width="19.42578125" style="202" customWidth="1"/>
    <col min="146" max="146" width="18.7109375" style="202" customWidth="1"/>
    <col min="147" max="147" width="3.7109375" style="202" customWidth="1"/>
    <col min="148" max="148" width="19" style="3" bestFit="1" customWidth="1"/>
    <col min="149" max="149" width="19.140625" style="3" customWidth="1"/>
    <col min="150" max="150" width="16.85546875" style="3" bestFit="1" customWidth="1"/>
    <col min="151" max="151" width="3.140625" style="3" customWidth="1"/>
    <col min="152" max="152" width="16.85546875" style="3" customWidth="1"/>
    <col min="153" max="153" width="14.5703125" style="3" customWidth="1"/>
    <col min="154" max="154" width="17.7109375" style="3" customWidth="1"/>
    <col min="155" max="155" width="3.7109375" style="3" customWidth="1"/>
    <col min="156" max="156" width="15.28515625" style="3" bestFit="1" customWidth="1"/>
    <col min="157" max="157" width="15.140625" style="3" customWidth="1"/>
    <col min="158" max="158" width="15.7109375" style="3" customWidth="1"/>
    <col min="159" max="159" width="2.85546875" style="3" customWidth="1"/>
    <col min="160" max="160" width="16.85546875" style="3" customWidth="1"/>
    <col min="161" max="161" width="17.140625" style="3" customWidth="1"/>
    <col min="162" max="162" width="17.85546875" style="3" customWidth="1"/>
    <col min="163" max="163" width="5.7109375" style="3" customWidth="1"/>
    <col min="164" max="164" width="16.85546875" style="3" customWidth="1"/>
    <col min="165" max="166" width="15.7109375" style="3" customWidth="1"/>
    <col min="167" max="167" width="1.42578125" style="3" customWidth="1"/>
    <col min="168" max="169" width="18.140625" style="3" customWidth="1"/>
    <col min="170" max="170" width="19" style="3" customWidth="1"/>
    <col min="171" max="171" width="3.42578125" style="3" customWidth="1"/>
    <col min="172" max="174" width="18.140625" style="3" customWidth="1"/>
    <col min="175" max="175" width="4.5703125" style="3" customWidth="1"/>
    <col min="176" max="178" width="18.140625" style="3" customWidth="1"/>
    <col min="179" max="179" width="3.85546875" style="3" customWidth="1"/>
    <col min="180" max="182" width="18.140625" style="3" customWidth="1"/>
    <col min="183" max="183" width="5.140625" style="3" customWidth="1"/>
    <col min="184" max="186" width="18.140625" style="3" customWidth="1"/>
    <col min="187" max="187" width="5.7109375" style="3" customWidth="1"/>
    <col min="188" max="188" width="20" style="3" customWidth="1"/>
    <col min="189" max="189" width="21.5703125" style="3" customWidth="1"/>
    <col min="190" max="190" width="22.28515625" style="3" customWidth="1"/>
    <col min="191" max="191" width="6.42578125" style="3" customWidth="1"/>
    <col min="192" max="192" width="20.42578125" style="3" customWidth="1"/>
    <col min="193" max="193" width="18.140625" style="3" customWidth="1"/>
    <col min="194" max="194" width="19" style="3" customWidth="1"/>
    <col min="195" max="195" width="6.42578125" style="3" customWidth="1"/>
    <col min="196" max="196" width="18.28515625" style="3" customWidth="1"/>
    <col min="197" max="197" width="15.140625" style="3" customWidth="1"/>
    <col min="198" max="198" width="18.140625" style="3" customWidth="1"/>
    <col min="199" max="199" width="6.42578125" style="3" customWidth="1"/>
    <col min="200" max="200" width="18.140625" style="3" customWidth="1"/>
    <col min="201" max="201" width="21.140625" style="3" customWidth="1"/>
    <col min="202" max="202" width="21.42578125" style="3" customWidth="1"/>
    <col min="203" max="203" width="6.42578125" style="3" customWidth="1"/>
    <col min="204" max="204" width="18.85546875" style="3" customWidth="1"/>
    <col min="205" max="205" width="20.42578125" style="3" customWidth="1"/>
    <col min="206" max="206" width="17.42578125" style="3" customWidth="1"/>
    <col min="207" max="207" width="6.42578125" style="3" customWidth="1"/>
    <col min="208" max="209" width="21.85546875" style="3" customWidth="1"/>
    <col min="210" max="210" width="22.5703125" style="3" customWidth="1"/>
    <col min="211" max="211" width="6.42578125" style="3" customWidth="1"/>
    <col min="212" max="212" width="16.7109375" style="3" customWidth="1"/>
    <col min="213" max="213" width="16.28515625" style="3" customWidth="1"/>
    <col min="214" max="214" width="21" style="3" customWidth="1"/>
    <col min="215" max="215" width="6.42578125" style="3" customWidth="1"/>
    <col min="216" max="216" width="24.85546875" style="3" customWidth="1"/>
    <col min="217" max="217" width="20" style="3" customWidth="1"/>
    <col min="218" max="218" width="21.42578125" style="3" customWidth="1"/>
    <col min="219" max="219" width="13" style="3"/>
    <col min="220" max="220" width="19" style="3" customWidth="1"/>
    <col min="221" max="221" width="19.7109375" style="3" customWidth="1"/>
    <col min="222" max="222" width="19.28515625" style="3" customWidth="1"/>
    <col min="223" max="223" width="13" style="3"/>
    <col min="224" max="224" width="19" style="3" customWidth="1"/>
    <col min="225" max="225" width="19.7109375" style="3" customWidth="1"/>
    <col min="226" max="226" width="18" style="3" customWidth="1"/>
    <col min="227" max="227" width="13" style="3"/>
    <col min="228" max="228" width="19" style="3" customWidth="1"/>
    <col min="229" max="229" width="19.7109375" style="3" customWidth="1"/>
    <col min="230" max="230" width="18" style="3" customWidth="1"/>
    <col min="231" max="231" width="13" style="3"/>
    <col min="232" max="232" width="19" style="3" customWidth="1"/>
    <col min="233" max="233" width="19.7109375" style="3" customWidth="1"/>
    <col min="234" max="234" width="18" style="3" customWidth="1"/>
    <col min="235" max="235" width="13" style="3"/>
    <col min="236" max="236" width="19" style="3" customWidth="1"/>
    <col min="237" max="237" width="19.7109375" style="3" customWidth="1"/>
    <col min="238" max="238" width="18" style="3" customWidth="1"/>
    <col min="239" max="239" width="13" style="3"/>
    <col min="240" max="240" width="19" style="3" customWidth="1"/>
    <col min="241" max="241" width="19.7109375" style="3" customWidth="1"/>
    <col min="242" max="242" width="18" style="3" customWidth="1"/>
    <col min="243" max="243" width="7.42578125" style="3" customWidth="1"/>
    <col min="244" max="244" width="21.140625" style="3" customWidth="1"/>
    <col min="245" max="245" width="21.85546875" style="3" customWidth="1"/>
    <col min="246" max="246" width="21.42578125" style="3" customWidth="1"/>
    <col min="247" max="16384" width="13" style="3"/>
  </cols>
  <sheetData>
    <row r="1" spans="1:246" x14ac:dyDescent="0.25">
      <c r="BD1" s="6"/>
      <c r="BE1" s="6"/>
      <c r="BF1" s="6"/>
      <c r="BG1" s="6"/>
      <c r="CB1" s="7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T1" s="9"/>
      <c r="DU1" s="9"/>
      <c r="DV1" s="9"/>
      <c r="DW1" s="9"/>
      <c r="DX1" s="9"/>
      <c r="DY1" s="9"/>
      <c r="DZ1" s="9"/>
      <c r="EA1" s="9"/>
      <c r="EB1" s="9"/>
      <c r="EC1" s="9"/>
      <c r="ED1" s="9"/>
      <c r="EE1" s="9"/>
      <c r="EF1" s="9"/>
      <c r="EG1" s="9"/>
      <c r="EH1" s="9"/>
      <c r="EI1" s="9"/>
      <c r="EJ1" s="9"/>
      <c r="EK1" s="9"/>
      <c r="EL1" s="9"/>
      <c r="EM1" s="9"/>
      <c r="EO1" s="3"/>
      <c r="EP1" s="3"/>
      <c r="EQ1" s="3"/>
    </row>
    <row r="2" spans="1:246" x14ac:dyDescent="0.25">
      <c r="B2" s="2" t="s">
        <v>0</v>
      </c>
      <c r="BD2" s="6"/>
      <c r="BE2" s="6"/>
      <c r="BF2" s="6"/>
      <c r="BG2" s="6"/>
      <c r="BL2" s="8" t="s">
        <v>1</v>
      </c>
      <c r="BM2" s="8"/>
      <c r="BN2" s="8"/>
      <c r="BO2" s="8"/>
      <c r="BP2" s="11">
        <v>296048961.81999999</v>
      </c>
      <c r="BQ2" s="12"/>
      <c r="BR2" s="12"/>
      <c r="BS2" s="12"/>
      <c r="CB2" s="13">
        <v>175000000</v>
      </c>
      <c r="CC2" s="4">
        <v>75000000</v>
      </c>
      <c r="CD2" s="4">
        <f>SUM(CB2:CC2)</f>
        <v>250000000</v>
      </c>
      <c r="CE2" s="4"/>
      <c r="CF2" s="14"/>
      <c r="CG2" s="14"/>
      <c r="CH2" s="14"/>
      <c r="CI2" s="4"/>
      <c r="CJ2" s="15"/>
      <c r="CK2" s="15"/>
      <c r="CL2" s="15"/>
      <c r="CM2" s="15"/>
      <c r="CN2" s="15"/>
      <c r="CO2" s="15"/>
      <c r="CP2" s="15"/>
      <c r="CQ2" s="15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9"/>
      <c r="EJ2" s="9"/>
      <c r="EK2" s="9"/>
      <c r="EL2" s="9"/>
      <c r="EM2" s="9"/>
      <c r="EN2" s="16">
        <f>HH6-HH4</f>
        <v>4007693700</v>
      </c>
      <c r="EO2" s="4"/>
      <c r="EP2" s="4"/>
      <c r="EQ2" s="4"/>
    </row>
    <row r="3" spans="1:246" s="40" customFormat="1" ht="45" x14ac:dyDescent="0.25">
      <c r="A3" s="17"/>
      <c r="B3" s="18" t="s">
        <v>2</v>
      </c>
      <c r="C3" s="18"/>
      <c r="D3" s="19"/>
      <c r="E3" s="20"/>
      <c r="F3" s="19"/>
      <c r="G3" s="19"/>
      <c r="H3" s="19"/>
      <c r="I3" s="19"/>
      <c r="J3" s="19"/>
      <c r="K3" s="19"/>
      <c r="L3" s="19">
        <v>40000000</v>
      </c>
      <c r="M3" s="19"/>
      <c r="N3" s="19"/>
      <c r="O3" s="19"/>
      <c r="P3" s="21" t="s">
        <v>3</v>
      </c>
      <c r="Q3" s="22"/>
      <c r="R3" s="23"/>
      <c r="S3" s="19"/>
      <c r="T3" s="19"/>
      <c r="U3" s="24"/>
      <c r="V3" s="24"/>
      <c r="W3" s="24"/>
      <c r="X3" s="21" t="s">
        <v>4</v>
      </c>
      <c r="Y3" s="22"/>
      <c r="Z3" s="23"/>
      <c r="AA3" s="24"/>
      <c r="AB3" s="19"/>
      <c r="AC3" s="19"/>
      <c r="AD3" s="19"/>
      <c r="AE3" s="19"/>
      <c r="AF3" s="25"/>
      <c r="AG3" s="25"/>
      <c r="AH3" s="25"/>
      <c r="AI3" s="25"/>
      <c r="AJ3" s="26" t="s">
        <v>5</v>
      </c>
      <c r="AK3" s="27"/>
      <c r="AL3" s="27"/>
      <c r="AM3" s="27"/>
      <c r="AN3" s="19">
        <v>40000000</v>
      </c>
      <c r="AO3" s="19"/>
      <c r="AP3" s="19"/>
      <c r="AQ3" s="19"/>
      <c r="AR3" s="28" t="s">
        <v>6</v>
      </c>
      <c r="AS3" s="27"/>
      <c r="AT3" s="27"/>
      <c r="AU3" s="27"/>
      <c r="AV3" s="21">
        <v>40000000</v>
      </c>
      <c r="AW3" s="22"/>
      <c r="AX3" s="23"/>
      <c r="AY3" s="19"/>
      <c r="AZ3" s="28" t="s">
        <v>7</v>
      </c>
      <c r="BA3" s="19"/>
      <c r="BB3" s="19"/>
      <c r="BC3" s="19"/>
      <c r="BD3" s="20">
        <v>52000000</v>
      </c>
      <c r="BE3" s="20"/>
      <c r="BF3" s="20"/>
      <c r="BG3" s="20"/>
      <c r="BH3" s="20">
        <v>67000000</v>
      </c>
      <c r="BI3" s="20"/>
      <c r="BJ3" s="20"/>
      <c r="BK3" s="20"/>
      <c r="BL3" s="20">
        <v>57000000</v>
      </c>
      <c r="BM3" s="20"/>
      <c r="BN3" s="20"/>
      <c r="BO3" s="20"/>
      <c r="BP3" s="20" t="s">
        <v>8</v>
      </c>
      <c r="BQ3" s="20"/>
      <c r="BR3" s="20"/>
      <c r="BS3" s="20"/>
      <c r="BT3" s="20">
        <v>193140000</v>
      </c>
      <c r="BU3" s="20"/>
      <c r="BV3" s="20"/>
      <c r="BW3" s="20"/>
      <c r="BX3" s="20" t="s">
        <v>8</v>
      </c>
      <c r="BY3" s="20"/>
      <c r="BZ3" s="20"/>
      <c r="CA3" s="20"/>
      <c r="CB3" s="29" t="s">
        <v>9</v>
      </c>
      <c r="CC3" s="30"/>
      <c r="CD3" s="31"/>
      <c r="CE3" s="32"/>
      <c r="CF3" s="14" t="s">
        <v>10</v>
      </c>
      <c r="CG3" s="14"/>
      <c r="CH3" s="14"/>
      <c r="CI3" s="32"/>
      <c r="CJ3" s="20"/>
      <c r="CK3" s="20">
        <f>CK20/0.15</f>
        <v>0</v>
      </c>
      <c r="CL3" s="20"/>
      <c r="CM3" s="20"/>
      <c r="CN3" s="20">
        <v>350000000</v>
      </c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7"/>
      <c r="DH3" s="20"/>
      <c r="DI3" s="20"/>
      <c r="DJ3" s="20"/>
      <c r="DK3" s="33"/>
      <c r="DL3" s="33"/>
      <c r="DM3" s="33"/>
      <c r="DN3" s="33"/>
      <c r="DO3" s="33"/>
      <c r="DP3" s="33"/>
      <c r="DQ3" s="33"/>
      <c r="DR3" s="33"/>
      <c r="DS3" s="33"/>
      <c r="DT3" s="29" t="s">
        <v>11</v>
      </c>
      <c r="DU3" s="30"/>
      <c r="DV3" s="31"/>
      <c r="DW3" s="33"/>
      <c r="DX3" s="29" t="s">
        <v>12</v>
      </c>
      <c r="DY3" s="30"/>
      <c r="DZ3" s="31"/>
      <c r="EA3" s="33"/>
      <c r="EB3" s="34" t="s">
        <v>13</v>
      </c>
      <c r="EC3" s="35"/>
      <c r="ED3" s="36"/>
      <c r="EE3" s="33"/>
      <c r="EF3" s="29" t="s">
        <v>14</v>
      </c>
      <c r="EG3" s="30"/>
      <c r="EH3" s="31"/>
      <c r="EI3" s="37"/>
      <c r="EJ3" s="29" t="s">
        <v>15</v>
      </c>
      <c r="EK3" s="30"/>
      <c r="EL3" s="31"/>
      <c r="EM3" s="33"/>
      <c r="EN3" s="29" t="s">
        <v>16</v>
      </c>
      <c r="EO3" s="30"/>
      <c r="EP3" s="31"/>
      <c r="EQ3" s="38"/>
      <c r="ER3" s="29" t="s">
        <v>17</v>
      </c>
      <c r="ES3" s="30"/>
      <c r="ET3" s="31"/>
      <c r="EU3" s="38"/>
      <c r="EV3" s="29" t="s">
        <v>18</v>
      </c>
      <c r="EW3" s="30"/>
      <c r="EX3" s="31"/>
      <c r="EY3" s="37"/>
      <c r="EZ3" s="29" t="s">
        <v>19</v>
      </c>
      <c r="FA3" s="30"/>
      <c r="FB3" s="31"/>
      <c r="FC3" s="37"/>
      <c r="FD3" s="29" t="s">
        <v>20</v>
      </c>
      <c r="FE3" s="30"/>
      <c r="FF3" s="30"/>
      <c r="FG3" s="38"/>
      <c r="FH3" s="29" t="s">
        <v>21</v>
      </c>
      <c r="FI3" s="30"/>
      <c r="FJ3" s="31"/>
      <c r="FK3" s="37"/>
      <c r="FL3" s="29" t="s">
        <v>22</v>
      </c>
      <c r="FM3" s="30"/>
      <c r="FN3" s="31"/>
      <c r="FO3" s="37"/>
      <c r="FP3" s="29" t="s">
        <v>23</v>
      </c>
      <c r="FQ3" s="30"/>
      <c r="FR3" s="31"/>
      <c r="FS3" s="37"/>
      <c r="FT3" s="29" t="s">
        <v>24</v>
      </c>
      <c r="FU3" s="30"/>
      <c r="FV3" s="31"/>
      <c r="FW3" s="37"/>
      <c r="FX3" s="29" t="s">
        <v>25</v>
      </c>
      <c r="FY3" s="30"/>
      <c r="FZ3" s="31"/>
      <c r="GA3" s="37"/>
      <c r="GB3" s="29" t="s">
        <v>26</v>
      </c>
      <c r="GC3" s="30"/>
      <c r="GD3" s="31"/>
      <c r="GE3" s="37"/>
      <c r="GF3" s="29" t="s">
        <v>27</v>
      </c>
      <c r="GG3" s="30"/>
      <c r="GH3" s="31"/>
      <c r="GI3" s="37"/>
      <c r="GJ3" s="29" t="s">
        <v>28</v>
      </c>
      <c r="GK3" s="30"/>
      <c r="GL3" s="31"/>
      <c r="GM3" s="37"/>
      <c r="GN3" s="29" t="s">
        <v>29</v>
      </c>
      <c r="GO3" s="30"/>
      <c r="GP3" s="31"/>
      <c r="GQ3" s="37"/>
      <c r="GR3" s="29" t="s">
        <v>30</v>
      </c>
      <c r="GS3" s="30"/>
      <c r="GT3" s="31"/>
      <c r="GU3" s="37"/>
      <c r="GV3" s="29" t="s">
        <v>31</v>
      </c>
      <c r="GW3" s="30"/>
      <c r="GX3" s="31"/>
      <c r="GY3" s="37"/>
      <c r="GZ3" s="29" t="s">
        <v>32</v>
      </c>
      <c r="HA3" s="30"/>
      <c r="HB3" s="31"/>
      <c r="HC3" s="37"/>
      <c r="HD3" s="29" t="s">
        <v>33</v>
      </c>
      <c r="HE3" s="30"/>
      <c r="HF3" s="31"/>
      <c r="HG3" s="37"/>
      <c r="HH3" s="39"/>
      <c r="HI3" s="27"/>
      <c r="HJ3" s="27"/>
    </row>
    <row r="4" spans="1:246" s="55" customFormat="1" x14ac:dyDescent="0.25">
      <c r="A4" s="41"/>
      <c r="B4" s="42"/>
      <c r="C4" s="43"/>
      <c r="D4" s="44">
        <v>1999</v>
      </c>
      <c r="E4" s="45"/>
      <c r="F4" s="46"/>
      <c r="G4" s="41"/>
      <c r="H4" s="44">
        <v>2000</v>
      </c>
      <c r="I4" s="45"/>
      <c r="J4" s="46"/>
      <c r="K4" s="41"/>
      <c r="L4" s="44">
        <v>2001</v>
      </c>
      <c r="M4" s="45"/>
      <c r="N4" s="46"/>
      <c r="O4" s="41"/>
      <c r="P4" s="41">
        <v>2001</v>
      </c>
      <c r="Q4" s="41"/>
      <c r="R4" s="41"/>
      <c r="S4" s="41"/>
      <c r="T4" s="41">
        <v>2002</v>
      </c>
      <c r="U4" s="41"/>
      <c r="V4" s="41"/>
      <c r="W4" s="41"/>
      <c r="X4" s="41">
        <v>2002</v>
      </c>
      <c r="Y4" s="41"/>
      <c r="Z4" s="41"/>
      <c r="AA4" s="41"/>
      <c r="AB4" s="41">
        <v>2003</v>
      </c>
      <c r="AC4" s="41"/>
      <c r="AD4" s="41"/>
      <c r="AE4" s="41"/>
      <c r="AF4" s="41">
        <v>2004</v>
      </c>
      <c r="AG4" s="41"/>
      <c r="AH4" s="41"/>
      <c r="AI4" s="41"/>
      <c r="AJ4" s="41">
        <v>2004</v>
      </c>
      <c r="AK4" s="41"/>
      <c r="AL4" s="41"/>
      <c r="AM4" s="41"/>
      <c r="AN4" s="41">
        <v>2005</v>
      </c>
      <c r="AO4" s="41"/>
      <c r="AP4" s="41"/>
      <c r="AQ4" s="41"/>
      <c r="AR4" s="41">
        <v>2005</v>
      </c>
      <c r="AS4" s="41"/>
      <c r="AT4" s="41"/>
      <c r="AU4" s="41"/>
      <c r="AV4" s="44">
        <v>2006</v>
      </c>
      <c r="AW4" s="45"/>
      <c r="AX4" s="46"/>
      <c r="AY4" s="41"/>
      <c r="AZ4" s="41">
        <v>2006</v>
      </c>
      <c r="BA4" s="41"/>
      <c r="BB4" s="41"/>
      <c r="BC4" s="41"/>
      <c r="BD4" s="41">
        <v>2007</v>
      </c>
      <c r="BE4" s="41"/>
      <c r="BF4" s="41"/>
      <c r="BG4" s="41"/>
      <c r="BH4" s="41">
        <v>2008</v>
      </c>
      <c r="BI4" s="41"/>
      <c r="BJ4" s="41"/>
      <c r="BK4" s="41"/>
      <c r="BL4" s="47">
        <v>2009</v>
      </c>
      <c r="BM4" s="47"/>
      <c r="BN4" s="47"/>
      <c r="BO4" s="47"/>
      <c r="BP4" s="47">
        <v>2009</v>
      </c>
      <c r="BQ4" s="47" t="s">
        <v>34</v>
      </c>
      <c r="BR4" s="47"/>
      <c r="BS4" s="47"/>
      <c r="BT4" s="47">
        <v>2010</v>
      </c>
      <c r="BU4" s="47"/>
      <c r="BV4" s="47"/>
      <c r="BW4" s="47"/>
      <c r="BX4" s="47">
        <v>2010</v>
      </c>
      <c r="BY4" s="47"/>
      <c r="BZ4" s="47"/>
      <c r="CA4" s="47"/>
      <c r="CB4" s="48">
        <v>2011</v>
      </c>
      <c r="CC4" s="48">
        <v>2011</v>
      </c>
      <c r="CD4" s="49"/>
      <c r="CE4" s="49"/>
      <c r="CF4" s="50">
        <v>2011</v>
      </c>
      <c r="CG4" s="51"/>
      <c r="CH4" s="52"/>
      <c r="CI4" s="49"/>
      <c r="CJ4" s="49" t="s">
        <v>35</v>
      </c>
      <c r="CK4" s="49"/>
      <c r="CL4" s="49"/>
      <c r="CM4" s="49"/>
      <c r="CN4" s="50">
        <v>2012</v>
      </c>
      <c r="CO4" s="51"/>
      <c r="CP4" s="52"/>
      <c r="CQ4" s="49"/>
      <c r="CR4" s="50" t="s">
        <v>36</v>
      </c>
      <c r="CS4" s="51"/>
      <c r="CT4" s="52"/>
      <c r="CU4" s="53"/>
      <c r="CV4" s="50" t="s">
        <v>37</v>
      </c>
      <c r="CW4" s="51"/>
      <c r="CX4" s="52"/>
      <c r="CY4" s="53"/>
      <c r="CZ4" s="53"/>
      <c r="DA4" s="53" t="s">
        <v>38</v>
      </c>
      <c r="DB4" s="53"/>
      <c r="DC4" s="53"/>
      <c r="DD4" s="53"/>
      <c r="DE4" s="53" t="s">
        <v>39</v>
      </c>
      <c r="DF4" s="53"/>
      <c r="DG4" s="49"/>
      <c r="DH4" s="53"/>
      <c r="DI4" s="53" t="s">
        <v>40</v>
      </c>
      <c r="DJ4" s="53"/>
      <c r="DK4" s="49"/>
      <c r="DL4" s="53"/>
      <c r="DM4" s="53" t="s">
        <v>41</v>
      </c>
      <c r="DN4" s="53"/>
      <c r="DO4" s="54"/>
      <c r="DP4" s="51" t="s">
        <v>42</v>
      </c>
      <c r="DQ4" s="51"/>
      <c r="DR4" s="52"/>
      <c r="DS4" s="54"/>
      <c r="DT4" s="54"/>
      <c r="DU4" s="54"/>
      <c r="DV4" s="54"/>
      <c r="DW4" s="54"/>
      <c r="DX4" s="54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N4" s="56"/>
      <c r="HH4" s="57">
        <v>1278267776.6700001</v>
      </c>
      <c r="HI4" s="48" t="s">
        <v>43</v>
      </c>
      <c r="HJ4" s="58" t="s">
        <v>43</v>
      </c>
      <c r="HL4" s="59" t="s">
        <v>44</v>
      </c>
      <c r="HM4" s="59"/>
      <c r="HN4" s="59"/>
      <c r="HP4" s="59" t="s">
        <v>45</v>
      </c>
      <c r="HQ4" s="59"/>
      <c r="HR4" s="59"/>
      <c r="HT4" s="59" t="s">
        <v>46</v>
      </c>
      <c r="HU4" s="59"/>
      <c r="HV4" s="59"/>
      <c r="HX4" s="59" t="s">
        <v>47</v>
      </c>
      <c r="HY4" s="59"/>
      <c r="HZ4" s="59"/>
      <c r="IB4" s="59" t="s">
        <v>48</v>
      </c>
      <c r="IC4" s="59"/>
      <c r="ID4" s="59"/>
      <c r="IF4" s="59" t="s">
        <v>49</v>
      </c>
      <c r="IG4" s="59"/>
      <c r="IH4" s="59"/>
      <c r="IJ4" s="60" t="s">
        <v>50</v>
      </c>
      <c r="IK4" s="61"/>
      <c r="IL4" s="62"/>
    </row>
    <row r="5" spans="1:246" ht="24.75" customHeight="1" x14ac:dyDescent="0.25">
      <c r="A5" s="63" t="s">
        <v>51</v>
      </c>
      <c r="B5" s="64" t="s">
        <v>52</v>
      </c>
      <c r="C5" s="64" t="s">
        <v>53</v>
      </c>
      <c r="D5" s="28" t="s">
        <v>54</v>
      </c>
      <c r="E5" s="28" t="s">
        <v>55</v>
      </c>
      <c r="F5" s="28" t="s">
        <v>56</v>
      </c>
      <c r="G5" s="65"/>
      <c r="H5" s="28" t="s">
        <v>54</v>
      </c>
      <c r="I5" s="28" t="s">
        <v>55</v>
      </c>
      <c r="J5" s="28" t="s">
        <v>56</v>
      </c>
      <c r="K5" s="66"/>
      <c r="L5" s="28" t="s">
        <v>54</v>
      </c>
      <c r="M5" s="28" t="s">
        <v>55</v>
      </c>
      <c r="N5" s="28" t="s">
        <v>56</v>
      </c>
      <c r="O5" s="66"/>
      <c r="P5" s="28" t="s">
        <v>54</v>
      </c>
      <c r="Q5" s="28" t="s">
        <v>55</v>
      </c>
      <c r="R5" s="28" t="s">
        <v>56</v>
      </c>
      <c r="S5" s="66"/>
      <c r="T5" s="28" t="s">
        <v>54</v>
      </c>
      <c r="U5" s="28" t="s">
        <v>55</v>
      </c>
      <c r="V5" s="28" t="s">
        <v>56</v>
      </c>
      <c r="W5" s="66"/>
      <c r="X5" s="28" t="s">
        <v>54</v>
      </c>
      <c r="Y5" s="28" t="s">
        <v>55</v>
      </c>
      <c r="Z5" s="28" t="s">
        <v>56</v>
      </c>
      <c r="AA5" s="28"/>
      <c r="AB5" s="28" t="s">
        <v>54</v>
      </c>
      <c r="AC5" s="28" t="s">
        <v>55</v>
      </c>
      <c r="AD5" s="28" t="s">
        <v>56</v>
      </c>
      <c r="AE5" s="28"/>
      <c r="AF5" s="28" t="s">
        <v>54</v>
      </c>
      <c r="AG5" s="28" t="s">
        <v>55</v>
      </c>
      <c r="AH5" s="28" t="s">
        <v>56</v>
      </c>
      <c r="AI5" s="65"/>
      <c r="AJ5" s="28" t="s">
        <v>54</v>
      </c>
      <c r="AK5" s="28" t="s">
        <v>55</v>
      </c>
      <c r="AL5" s="28" t="s">
        <v>56</v>
      </c>
      <c r="AM5" s="26"/>
      <c r="AN5" s="28" t="s">
        <v>54</v>
      </c>
      <c r="AO5" s="28" t="s">
        <v>55</v>
      </c>
      <c r="AP5" s="28" t="s">
        <v>56</v>
      </c>
      <c r="AQ5" s="28"/>
      <c r="AR5" s="28" t="s">
        <v>54</v>
      </c>
      <c r="AS5" s="28" t="s">
        <v>55</v>
      </c>
      <c r="AT5" s="28" t="s">
        <v>56</v>
      </c>
      <c r="AU5" s="28"/>
      <c r="AV5" s="28" t="s">
        <v>54</v>
      </c>
      <c r="AW5" s="28" t="s">
        <v>55</v>
      </c>
      <c r="AX5" s="28" t="s">
        <v>56</v>
      </c>
      <c r="AY5" s="28"/>
      <c r="AZ5" s="28" t="s">
        <v>54</v>
      </c>
      <c r="BA5" s="28" t="s">
        <v>55</v>
      </c>
      <c r="BB5" s="28" t="s">
        <v>56</v>
      </c>
      <c r="BC5" s="28"/>
      <c r="BD5" s="28" t="s">
        <v>54</v>
      </c>
      <c r="BE5" s="28" t="s">
        <v>55</v>
      </c>
      <c r="BF5" s="28" t="s">
        <v>56</v>
      </c>
      <c r="BG5" s="28"/>
      <c r="BH5" s="28" t="s">
        <v>54</v>
      </c>
      <c r="BI5" s="28" t="s">
        <v>55</v>
      </c>
      <c r="BJ5" s="28" t="s">
        <v>56</v>
      </c>
      <c r="BK5" s="28"/>
      <c r="BL5" s="28" t="s">
        <v>54</v>
      </c>
      <c r="BM5" s="28" t="s">
        <v>55</v>
      </c>
      <c r="BN5" s="28" t="s">
        <v>56</v>
      </c>
      <c r="BO5" s="67"/>
      <c r="BP5" s="28" t="s">
        <v>54</v>
      </c>
      <c r="BQ5" s="28" t="s">
        <v>55</v>
      </c>
      <c r="BR5" s="28" t="s">
        <v>56</v>
      </c>
      <c r="BS5" s="67"/>
      <c r="BT5" s="28" t="s">
        <v>54</v>
      </c>
      <c r="BU5" s="28" t="s">
        <v>55</v>
      </c>
      <c r="BV5" s="28" t="s">
        <v>56</v>
      </c>
      <c r="BW5" s="67"/>
      <c r="BX5" s="28" t="s">
        <v>54</v>
      </c>
      <c r="BY5" s="28" t="s">
        <v>55</v>
      </c>
      <c r="BZ5" s="28" t="s">
        <v>56</v>
      </c>
      <c r="CA5" s="67"/>
      <c r="CB5" s="28" t="s">
        <v>54</v>
      </c>
      <c r="CC5" s="28" t="s">
        <v>55</v>
      </c>
      <c r="CD5" s="28" t="s">
        <v>56</v>
      </c>
      <c r="CE5" s="32"/>
      <c r="CF5" s="28" t="s">
        <v>54</v>
      </c>
      <c r="CG5" s="28" t="s">
        <v>55</v>
      </c>
      <c r="CH5" s="28" t="s">
        <v>56</v>
      </c>
      <c r="CI5" s="32"/>
      <c r="CJ5" s="28" t="s">
        <v>54</v>
      </c>
      <c r="CK5" s="28" t="s">
        <v>55</v>
      </c>
      <c r="CL5" s="28" t="s">
        <v>56</v>
      </c>
      <c r="CM5" s="32"/>
      <c r="CN5" s="28" t="s">
        <v>54</v>
      </c>
      <c r="CO5" s="28" t="s">
        <v>55</v>
      </c>
      <c r="CP5" s="28" t="s">
        <v>56</v>
      </c>
      <c r="CQ5" s="32"/>
      <c r="CR5" s="28" t="s">
        <v>54</v>
      </c>
      <c r="CS5" s="28" t="s">
        <v>55</v>
      </c>
      <c r="CT5" s="28" t="s">
        <v>56</v>
      </c>
      <c r="CU5" s="28"/>
      <c r="CV5" s="28" t="s">
        <v>54</v>
      </c>
      <c r="CW5" s="28" t="s">
        <v>55</v>
      </c>
      <c r="CX5" s="28" t="s">
        <v>56</v>
      </c>
      <c r="CY5" s="28"/>
      <c r="CZ5" s="28" t="s">
        <v>54</v>
      </c>
      <c r="DA5" s="28" t="s">
        <v>55</v>
      </c>
      <c r="DB5" s="28" t="s">
        <v>56</v>
      </c>
      <c r="DC5" s="28"/>
      <c r="DD5" s="28" t="s">
        <v>54</v>
      </c>
      <c r="DE5" s="28" t="s">
        <v>55</v>
      </c>
      <c r="DF5" s="28" t="s">
        <v>56</v>
      </c>
      <c r="DG5" s="32"/>
      <c r="DH5" s="28" t="s">
        <v>54</v>
      </c>
      <c r="DI5" s="28" t="s">
        <v>55</v>
      </c>
      <c r="DJ5" s="28" t="s">
        <v>56</v>
      </c>
      <c r="DK5" s="68"/>
      <c r="DL5" s="28" t="s">
        <v>54</v>
      </c>
      <c r="DM5" s="28" t="s">
        <v>55</v>
      </c>
      <c r="DN5" s="28" t="s">
        <v>56</v>
      </c>
      <c r="DO5" s="68"/>
      <c r="DP5" s="28" t="s">
        <v>54</v>
      </c>
      <c r="DQ5" s="28" t="s">
        <v>55</v>
      </c>
      <c r="DR5" s="28" t="s">
        <v>56</v>
      </c>
      <c r="DS5" s="69"/>
      <c r="DT5" s="28" t="s">
        <v>54</v>
      </c>
      <c r="DU5" s="28" t="s">
        <v>55</v>
      </c>
      <c r="DV5" s="28" t="s">
        <v>56</v>
      </c>
      <c r="DW5" s="69"/>
      <c r="DX5" s="28" t="s">
        <v>54</v>
      </c>
      <c r="DY5" s="28" t="s">
        <v>55</v>
      </c>
      <c r="DZ5" s="28" t="s">
        <v>56</v>
      </c>
      <c r="EA5" s="69"/>
      <c r="EB5" s="28" t="s">
        <v>54</v>
      </c>
      <c r="EC5" s="28" t="s">
        <v>55</v>
      </c>
      <c r="ED5" s="28" t="s">
        <v>56</v>
      </c>
      <c r="EE5" s="69"/>
      <c r="EF5" s="28" t="s">
        <v>54</v>
      </c>
      <c r="EG5" s="28" t="s">
        <v>55</v>
      </c>
      <c r="EH5" s="28" t="s">
        <v>56</v>
      </c>
      <c r="EI5" s="69"/>
      <c r="EJ5" s="28" t="s">
        <v>54</v>
      </c>
      <c r="EK5" s="28" t="s">
        <v>55</v>
      </c>
      <c r="EL5" s="28" t="s">
        <v>56</v>
      </c>
      <c r="EM5" s="68"/>
      <c r="EN5" s="70" t="s">
        <v>54</v>
      </c>
      <c r="EO5" s="28" t="s">
        <v>55</v>
      </c>
      <c r="EP5" s="28" t="s">
        <v>56</v>
      </c>
      <c r="EQ5" s="28"/>
      <c r="ER5" s="70" t="s">
        <v>54</v>
      </c>
      <c r="ES5" s="28" t="s">
        <v>55</v>
      </c>
      <c r="ET5" s="28" t="s">
        <v>56</v>
      </c>
      <c r="EU5" s="28"/>
      <c r="EV5" s="70" t="s">
        <v>54</v>
      </c>
      <c r="EW5" s="28" t="s">
        <v>55</v>
      </c>
      <c r="EX5" s="28" t="s">
        <v>56</v>
      </c>
      <c r="EY5" s="28"/>
      <c r="EZ5" s="70" t="s">
        <v>54</v>
      </c>
      <c r="FA5" s="28" t="s">
        <v>55</v>
      </c>
      <c r="FB5" s="28" t="s">
        <v>56</v>
      </c>
      <c r="FC5" s="28"/>
      <c r="FD5" s="70" t="s">
        <v>54</v>
      </c>
      <c r="FE5" s="28" t="s">
        <v>55</v>
      </c>
      <c r="FF5" s="28" t="s">
        <v>56</v>
      </c>
      <c r="FG5" s="28"/>
      <c r="FH5" s="70" t="s">
        <v>54</v>
      </c>
      <c r="FI5" s="28" t="s">
        <v>55</v>
      </c>
      <c r="FJ5" s="28" t="s">
        <v>56</v>
      </c>
      <c r="FK5" s="28"/>
      <c r="FL5" s="70" t="s">
        <v>54</v>
      </c>
      <c r="FM5" s="28" t="s">
        <v>55</v>
      </c>
      <c r="FN5" s="28" t="s">
        <v>56</v>
      </c>
      <c r="FO5" s="28"/>
      <c r="FP5" s="70" t="s">
        <v>54</v>
      </c>
      <c r="FQ5" s="28" t="s">
        <v>55</v>
      </c>
      <c r="FR5" s="28" t="s">
        <v>56</v>
      </c>
      <c r="FS5" s="28"/>
      <c r="FT5" s="70" t="s">
        <v>54</v>
      </c>
      <c r="FU5" s="28" t="s">
        <v>55</v>
      </c>
      <c r="FV5" s="28" t="s">
        <v>56</v>
      </c>
      <c r="FW5" s="28"/>
      <c r="FX5" s="70" t="s">
        <v>54</v>
      </c>
      <c r="FY5" s="28" t="s">
        <v>55</v>
      </c>
      <c r="FZ5" s="28" t="s">
        <v>56</v>
      </c>
      <c r="GA5" s="28"/>
      <c r="GB5" s="70" t="s">
        <v>54</v>
      </c>
      <c r="GC5" s="28" t="s">
        <v>55</v>
      </c>
      <c r="GD5" s="28" t="s">
        <v>56</v>
      </c>
      <c r="GE5" s="28"/>
      <c r="GF5" s="70" t="s">
        <v>54</v>
      </c>
      <c r="GG5" s="28" t="s">
        <v>55</v>
      </c>
      <c r="GH5" s="28" t="s">
        <v>56</v>
      </c>
      <c r="GI5" s="28"/>
      <c r="GJ5" s="70" t="s">
        <v>54</v>
      </c>
      <c r="GK5" s="28" t="s">
        <v>55</v>
      </c>
      <c r="GL5" s="28" t="s">
        <v>56</v>
      </c>
      <c r="GM5" s="28"/>
      <c r="GN5" s="70" t="s">
        <v>54</v>
      </c>
      <c r="GO5" s="28" t="s">
        <v>55</v>
      </c>
      <c r="GP5" s="28" t="s">
        <v>56</v>
      </c>
      <c r="GQ5" s="28"/>
      <c r="GR5" s="70" t="s">
        <v>54</v>
      </c>
      <c r="GS5" s="28" t="s">
        <v>55</v>
      </c>
      <c r="GT5" s="28" t="s">
        <v>56</v>
      </c>
      <c r="GU5" s="28"/>
      <c r="GV5" s="70" t="s">
        <v>54</v>
      </c>
      <c r="GW5" s="28" t="s">
        <v>55</v>
      </c>
      <c r="GX5" s="28" t="s">
        <v>56</v>
      </c>
      <c r="GY5" s="28"/>
      <c r="GZ5" s="70" t="s">
        <v>54</v>
      </c>
      <c r="HA5" s="28" t="s">
        <v>55</v>
      </c>
      <c r="HB5" s="28" t="s">
        <v>56</v>
      </c>
      <c r="HC5" s="28"/>
      <c r="HD5" s="70" t="s">
        <v>54</v>
      </c>
      <c r="HE5" s="28" t="s">
        <v>55</v>
      </c>
      <c r="HF5" s="28" t="s">
        <v>56</v>
      </c>
      <c r="HG5" s="28"/>
      <c r="HH5" s="71" t="s">
        <v>57</v>
      </c>
      <c r="HI5" s="48" t="s">
        <v>58</v>
      </c>
      <c r="HJ5" s="72" t="s">
        <v>59</v>
      </c>
      <c r="HL5" s="70" t="s">
        <v>54</v>
      </c>
      <c r="HM5" s="28" t="s">
        <v>55</v>
      </c>
      <c r="HN5" s="28" t="s">
        <v>56</v>
      </c>
      <c r="HP5" s="70" t="s">
        <v>54</v>
      </c>
      <c r="HQ5" s="28" t="s">
        <v>55</v>
      </c>
      <c r="HR5" s="28" t="s">
        <v>56</v>
      </c>
      <c r="HT5" s="70" t="s">
        <v>54</v>
      </c>
      <c r="HU5" s="28" t="s">
        <v>55</v>
      </c>
      <c r="HV5" s="28" t="s">
        <v>56</v>
      </c>
      <c r="HX5" s="70" t="s">
        <v>54</v>
      </c>
      <c r="HY5" s="28" t="s">
        <v>55</v>
      </c>
      <c r="HZ5" s="28" t="s">
        <v>56</v>
      </c>
      <c r="IB5" s="70" t="s">
        <v>54</v>
      </c>
      <c r="IC5" s="28" t="s">
        <v>55</v>
      </c>
      <c r="ID5" s="28" t="s">
        <v>56</v>
      </c>
      <c r="IF5" s="70" t="s">
        <v>54</v>
      </c>
      <c r="IG5" s="28" t="s">
        <v>55</v>
      </c>
      <c r="IH5" s="28" t="s">
        <v>56</v>
      </c>
      <c r="IJ5" s="70" t="s">
        <v>54</v>
      </c>
      <c r="IK5" s="28" t="s">
        <v>55</v>
      </c>
      <c r="IL5" s="28" t="s">
        <v>56</v>
      </c>
    </row>
    <row r="6" spans="1:246" s="85" customFormat="1" x14ac:dyDescent="0.25">
      <c r="A6" s="73">
        <v>1</v>
      </c>
      <c r="B6" s="74" t="s">
        <v>60</v>
      </c>
      <c r="C6" s="73" t="s">
        <v>61</v>
      </c>
      <c r="D6" s="75">
        <f>'[1]Univ Comm Fund'!D6</f>
        <v>59027776.670000002</v>
      </c>
      <c r="E6" s="75">
        <f>'[1]UNIV 2019'!D12</f>
        <v>59027776.770000003</v>
      </c>
      <c r="F6" s="75">
        <f>D6-E6</f>
        <v>-0.10000000149011612</v>
      </c>
      <c r="G6" s="75"/>
      <c r="H6" s="75">
        <f>'[1]Univ Comm Fund'!E6</f>
        <v>20000000</v>
      </c>
      <c r="I6" s="75">
        <f>'[1]UNIV 2019'!E12</f>
        <v>20000000</v>
      </c>
      <c r="J6" s="75">
        <f>H6-I6</f>
        <v>0</v>
      </c>
      <c r="K6" s="75"/>
      <c r="L6" s="75">
        <f>'[1]Univ Comm Fund'!F6</f>
        <v>40000000</v>
      </c>
      <c r="M6" s="75">
        <f>'[1]UNIV 2019'!F12</f>
        <v>40000000</v>
      </c>
      <c r="N6" s="75">
        <f>L6-M6</f>
        <v>0</v>
      </c>
      <c r="O6" s="75"/>
      <c r="P6" s="75">
        <f>'[1]Univ Comm Fund'!G6</f>
        <v>100000</v>
      </c>
      <c r="Q6" s="75">
        <f>'[1]UNIV 2019'!G12</f>
        <v>100000</v>
      </c>
      <c r="R6" s="75">
        <f>P6-Q6</f>
        <v>0</v>
      </c>
      <c r="S6" s="76"/>
      <c r="T6" s="75">
        <f>'[1]Univ Comm Fund'!H6</f>
        <v>50000000</v>
      </c>
      <c r="U6" s="75">
        <f>'[1]UNIV 2019'!H12</f>
        <v>50000000</v>
      </c>
      <c r="V6" s="75">
        <f>T6-U6</f>
        <v>0</v>
      </c>
      <c r="W6" s="75"/>
      <c r="X6" s="75">
        <f>'[1]Univ Comm Fund'!I6</f>
        <v>0</v>
      </c>
      <c r="Y6" s="75">
        <f>'[1]UNIV 2019'!I12</f>
        <v>0</v>
      </c>
      <c r="Z6" s="75">
        <f>X6-Y6</f>
        <v>0</v>
      </c>
      <c r="AA6" s="75"/>
      <c r="AB6" s="75">
        <f>'[1]Univ Comm Fund'!J6</f>
        <v>25500000</v>
      </c>
      <c r="AC6" s="75">
        <f>'[1]UNIV 2019'!J12</f>
        <v>25500000</v>
      </c>
      <c r="AD6" s="75">
        <f>AB6-AC6</f>
        <v>0</v>
      </c>
      <c r="AE6" s="75"/>
      <c r="AF6" s="77">
        <f>'[1]Univ Comm Fund'!K6</f>
        <v>25500000</v>
      </c>
      <c r="AG6" s="75">
        <f>'[1]UNIV 2019'!K12</f>
        <v>25500000</v>
      </c>
      <c r="AH6" s="75">
        <f>AF6-AG6</f>
        <v>0</v>
      </c>
      <c r="AI6" s="77"/>
      <c r="AJ6" s="75">
        <f>'[1]Univ Comm Fund'!L6</f>
        <v>0</v>
      </c>
      <c r="AK6" s="75">
        <f>'[1]UNIV 2019'!L12</f>
        <v>0</v>
      </c>
      <c r="AL6" s="75">
        <f>AJ6-AK6</f>
        <v>0</v>
      </c>
      <c r="AM6" s="75"/>
      <c r="AN6" s="75">
        <f>'[1]Univ Comm Fund'!M6</f>
        <v>40000000</v>
      </c>
      <c r="AO6" s="75">
        <f>'[1]UNIV 2019'!M12</f>
        <v>40000000</v>
      </c>
      <c r="AP6" s="75">
        <f>AN6-AO6</f>
        <v>0</v>
      </c>
      <c r="AQ6" s="75"/>
      <c r="AR6" s="75">
        <f>'[1]Univ Comm Fund'!N6</f>
        <v>0</v>
      </c>
      <c r="AS6" s="75">
        <f>'[1]UNIV 2019'!N12</f>
        <v>0</v>
      </c>
      <c r="AT6" s="75">
        <f>AR6-AS6</f>
        <v>0</v>
      </c>
      <c r="AU6" s="75"/>
      <c r="AV6" s="75">
        <f>'[1]Univ Comm Fund'!O6</f>
        <v>40000000</v>
      </c>
      <c r="AW6" s="75">
        <f>'[1]UNIV 2019'!O12</f>
        <v>40000000</v>
      </c>
      <c r="AX6" s="75">
        <f>AV6-AW6</f>
        <v>0</v>
      </c>
      <c r="AY6" s="75"/>
      <c r="AZ6" s="75">
        <f>'[1]Univ Comm Fund'!P6</f>
        <v>0</v>
      </c>
      <c r="BA6" s="75">
        <f>'[1]UNIV 2019'!P12</f>
        <v>0</v>
      </c>
      <c r="BB6" s="75">
        <f t="shared" ref="BB6:BB69" si="0">AZ6-BA6</f>
        <v>0</v>
      </c>
      <c r="BC6" s="75"/>
      <c r="BD6" s="75">
        <f>'[1]Univ Comm Fund'!Q6</f>
        <v>44200000</v>
      </c>
      <c r="BE6" s="75">
        <f>'[1]UNIV 2019'!Q12</f>
        <v>44200000</v>
      </c>
      <c r="BF6" s="75">
        <f t="shared" ref="BF6:BF69" si="1">BD6-BE6</f>
        <v>0</v>
      </c>
      <c r="BG6" s="75"/>
      <c r="BH6" s="75">
        <f>'[1]Univ Comm Fund'!R6</f>
        <v>56950000</v>
      </c>
      <c r="BI6" s="75">
        <f>'[1]UNIV 2019'!R12</f>
        <v>56950000</v>
      </c>
      <c r="BJ6" s="75">
        <f>BH6-BI6</f>
        <v>0</v>
      </c>
      <c r="BK6" s="75"/>
      <c r="BL6" s="75">
        <f>'[1]Univ Comm Fund'!S6</f>
        <v>48450000</v>
      </c>
      <c r="BM6" s="75">
        <f>'[1]UNIV 2019'!S12</f>
        <v>48450000</v>
      </c>
      <c r="BN6" s="75">
        <f>BL6-BM6</f>
        <v>0</v>
      </c>
      <c r="BO6" s="75"/>
      <c r="BP6" s="75">
        <f>'[1]Univ Comm Fund'!T6</f>
        <v>0</v>
      </c>
      <c r="BQ6" s="75">
        <f>'[1]UNIV 2019'!T12</f>
        <v>0</v>
      </c>
      <c r="BR6" s="75">
        <f>BP6-BQ6</f>
        <v>0</v>
      </c>
      <c r="BS6" s="75"/>
      <c r="BT6" s="75">
        <f>'[1]Univ Comm Fund'!U6</f>
        <v>0</v>
      </c>
      <c r="BU6" s="75">
        <f>'[1]UNIV 2019'!U12</f>
        <v>0</v>
      </c>
      <c r="BV6" s="75">
        <f t="shared" ref="BV6:BV69" si="2">BT6-BU6</f>
        <v>0</v>
      </c>
      <c r="BW6" s="75"/>
      <c r="BX6" s="75">
        <f>'[1]Univ Comm Fund'!V6</f>
        <v>0</v>
      </c>
      <c r="BY6" s="75">
        <f>'[1]UNIV 2019'!V12</f>
        <v>0</v>
      </c>
      <c r="BZ6" s="75">
        <f>BX6-BY6</f>
        <v>0</v>
      </c>
      <c r="CA6" s="75"/>
      <c r="CB6" s="75">
        <f>'[1]Univ Comm Fund'!W6</f>
        <v>175000000</v>
      </c>
      <c r="CC6" s="75">
        <f>'[1]UNIV 2019'!W12</f>
        <v>156008457.78</v>
      </c>
      <c r="CD6" s="75">
        <f>CB6-CC6</f>
        <v>18991542.219999999</v>
      </c>
      <c r="CE6" s="75"/>
      <c r="CF6" s="75">
        <v>75000000</v>
      </c>
      <c r="CG6" s="75">
        <f>'[1]UNIV 2019'!X12</f>
        <v>43500000</v>
      </c>
      <c r="CH6" s="75">
        <f>CF6-CG6</f>
        <v>31500000</v>
      </c>
      <c r="CI6" s="75"/>
      <c r="CJ6" s="75">
        <f>'[1]Univ Comm Fund'!Y6</f>
        <v>0</v>
      </c>
      <c r="CK6" s="75">
        <f>'[1]UNIV 2019'!Y12</f>
        <v>0</v>
      </c>
      <c r="CL6" s="75">
        <f>CJ6-CK6</f>
        <v>0</v>
      </c>
      <c r="CM6" s="75"/>
      <c r="CN6" s="78">
        <f>'[1]Univ Comm Fund'!Z6</f>
        <v>350000000</v>
      </c>
      <c r="CO6" s="75">
        <f>'[1]UNIV 2019'!Z12</f>
        <v>312016915.56</v>
      </c>
      <c r="CP6" s="75">
        <f>CN6-CO6</f>
        <v>37983084.439999998</v>
      </c>
      <c r="CQ6" s="78"/>
      <c r="CR6" s="75">
        <f>'[1]Univ Comm Fund'!AA6</f>
        <v>0</v>
      </c>
      <c r="CS6" s="75">
        <f>'[1]UNIV 2019'!AA12</f>
        <v>0</v>
      </c>
      <c r="CT6" s="75">
        <f>CR6-CS6</f>
        <v>0</v>
      </c>
      <c r="CU6" s="75"/>
      <c r="CV6" s="79">
        <f>'[1]Univ Comm Fund'!AB6</f>
        <v>500000000</v>
      </c>
      <c r="CW6" s="75">
        <f>'[1]UNIV 2019'!AB12</f>
        <v>500000000</v>
      </c>
      <c r="CX6" s="75">
        <f>CV6-CW6</f>
        <v>0</v>
      </c>
      <c r="CY6" s="75"/>
      <c r="CZ6" s="75">
        <f>'[1]Univ Comm Fund'!AC6</f>
        <v>356000000</v>
      </c>
      <c r="DA6" s="75">
        <f>'[1]UNIV 2019'!AC12</f>
        <v>317365776.96959996</v>
      </c>
      <c r="DB6" s="75">
        <f>CZ6-DA6</f>
        <v>38634223.030400038</v>
      </c>
      <c r="DC6" s="75"/>
      <c r="DD6" s="75">
        <f>'[1]Univ Comm Fund'!AD6</f>
        <v>20000000</v>
      </c>
      <c r="DE6" s="75">
        <f>'[1]UNIV 2019'!AD12</f>
        <v>11600000</v>
      </c>
      <c r="DF6" s="75">
        <f>DD6-DE6</f>
        <v>8400000</v>
      </c>
      <c r="DG6" s="75"/>
      <c r="DH6" s="75">
        <f>'[1]Univ Comm Fund'!AE6</f>
        <v>552000000</v>
      </c>
      <c r="DI6" s="75">
        <f>'[1]UNIV 2019'!AE12</f>
        <v>492095249.69319999</v>
      </c>
      <c r="DJ6" s="75">
        <f>DH6-DI6</f>
        <v>59904750.306800008</v>
      </c>
      <c r="DK6" s="75"/>
      <c r="DL6" s="75">
        <f>'[1]Univ Comm Fund'!AF6</f>
        <v>20000000</v>
      </c>
      <c r="DM6" s="75">
        <f>'[1]UNIV 2019'!AF12</f>
        <v>11600000</v>
      </c>
      <c r="DN6" s="75">
        <f>DL6-DM6</f>
        <v>8400000</v>
      </c>
      <c r="DO6" s="75"/>
      <c r="DP6" s="75">
        <f>'[1]Univ Comm Fund'!AG6</f>
        <v>250000000</v>
      </c>
      <c r="DQ6" s="75">
        <f>'[1]UNIV 2019'!AG12</f>
        <v>250000000</v>
      </c>
      <c r="DR6" s="75">
        <f>DP6-DQ6</f>
        <v>0</v>
      </c>
      <c r="DS6" s="75"/>
      <c r="DT6" s="66">
        <f>'[1]Univ Comm Fund'!AH6</f>
        <v>100000000</v>
      </c>
      <c r="DU6" s="75">
        <f>'[1]UNIV 2019'!AH12</f>
        <v>25600000</v>
      </c>
      <c r="DV6" s="66">
        <f>DT6-DU6</f>
        <v>74400000</v>
      </c>
      <c r="DW6" s="75"/>
      <c r="DX6" s="66">
        <f>'[1]Univ Comm Fund'!AI6</f>
        <v>15000000</v>
      </c>
      <c r="DY6" s="75">
        <f>'[1]UNIV 2019'!AI12</f>
        <v>15000000</v>
      </c>
      <c r="DZ6" s="66">
        <f>DX6-DY6</f>
        <v>0</v>
      </c>
      <c r="EA6" s="75"/>
      <c r="EB6" s="66">
        <f>'[1]Univ Comm Fund'!AJ6</f>
        <v>2000000</v>
      </c>
      <c r="EC6" s="75">
        <f>'[1]UNIV 2019'!AJ12</f>
        <v>0</v>
      </c>
      <c r="ED6" s="66">
        <f>EB6-EC6</f>
        <v>2000000</v>
      </c>
      <c r="EE6" s="75"/>
      <c r="EF6" s="66">
        <f>'[1]Univ Comm Fund'!AK6</f>
        <v>10000000</v>
      </c>
      <c r="EG6" s="75">
        <f>'[1]UNIV 2019'!AK12</f>
        <v>5800000</v>
      </c>
      <c r="EH6" s="66">
        <f>EF6-EG6</f>
        <v>4200000</v>
      </c>
      <c r="EI6" s="66"/>
      <c r="EJ6" s="66">
        <f>'[1]Univ Comm Fund'!AL6</f>
        <v>500000000</v>
      </c>
      <c r="EK6" s="66">
        <f>'[1]UNIV 2019'!AL12</f>
        <v>500000000</v>
      </c>
      <c r="EL6" s="66">
        <f>EJ6-EK6</f>
        <v>0</v>
      </c>
      <c r="EM6" s="75"/>
      <c r="EN6" s="80">
        <f>'[1]Univ Comm Fund'!AM6</f>
        <v>565410000</v>
      </c>
      <c r="EO6" s="75">
        <f>'[1]UNIV 2019'!AM12</f>
        <v>0</v>
      </c>
      <c r="EP6" s="75">
        <f>EN6-EO6</f>
        <v>565410000</v>
      </c>
      <c r="EQ6" s="75"/>
      <c r="ER6" s="75">
        <f>'[1]Univ Comm Fund'!AN6</f>
        <v>15000000</v>
      </c>
      <c r="ES6" s="75">
        <f>'[1]UNIV 2019'!AN12</f>
        <v>15000000</v>
      </c>
      <c r="ET6" s="75">
        <f>ER6-ES6</f>
        <v>0</v>
      </c>
      <c r="EU6" s="75"/>
      <c r="EV6" s="75">
        <f>'[1]Univ Comm Fund'!AO6</f>
        <v>15000000</v>
      </c>
      <c r="EW6" s="75">
        <f>'[1]UNIV 2019'!AO12</f>
        <v>0</v>
      </c>
      <c r="EX6" s="75">
        <f>EV6-EW6</f>
        <v>15000000</v>
      </c>
      <c r="EY6" s="75"/>
      <c r="EZ6" s="75">
        <f>'[1]Univ Comm Fund'!AP6</f>
        <v>10000000</v>
      </c>
      <c r="FA6" s="75">
        <f>'[1]UNIV 2019'!AP12</f>
        <v>0</v>
      </c>
      <c r="FB6" s="75">
        <f>EZ6-FA6</f>
        <v>10000000</v>
      </c>
      <c r="FC6" s="75"/>
      <c r="FD6" s="75">
        <f>'[1]Univ Comm Fund'!AQ6</f>
        <v>0</v>
      </c>
      <c r="FE6" s="75">
        <f>'[1]UNIV 2019'!AQ12</f>
        <v>0</v>
      </c>
      <c r="FF6" s="75">
        <f>FD6-FE6</f>
        <v>0</v>
      </c>
      <c r="FG6" s="75"/>
      <c r="FH6" s="81">
        <f>'[1]Univ Comm Fund'!AR6</f>
        <v>300000000</v>
      </c>
      <c r="FI6" s="75">
        <f>'[1]UNIV 2019'!AR12</f>
        <v>255000000</v>
      </c>
      <c r="FJ6" s="75">
        <f>FH6-FI6</f>
        <v>45000000</v>
      </c>
      <c r="FK6" s="75"/>
      <c r="FL6" s="75">
        <f>'[1]Univ Comm Fund'!AS6</f>
        <v>300000000</v>
      </c>
      <c r="FM6" s="75">
        <f>'[1]UNIV 2019'!AS12</f>
        <v>0</v>
      </c>
      <c r="FN6" s="75">
        <f>FL6-FM6</f>
        <v>300000000</v>
      </c>
      <c r="FO6" s="75"/>
      <c r="FP6" s="75">
        <f>'[1]Univ Comm Fund'!AT6</f>
        <v>120000000</v>
      </c>
      <c r="FQ6" s="75">
        <f>'[1]UNIV 2019'!AT12</f>
        <v>0</v>
      </c>
      <c r="FR6" s="75">
        <f>FP6-FQ6</f>
        <v>120000000</v>
      </c>
      <c r="FS6" s="75"/>
      <c r="FT6" s="75">
        <f>'[1]Univ Comm Fund'!AU6</f>
        <v>10000000</v>
      </c>
      <c r="FU6" s="75">
        <f>'[1]UNIV 2019'!AU12</f>
        <v>0</v>
      </c>
      <c r="FV6" s="75">
        <f>FT6-FU6</f>
        <v>10000000</v>
      </c>
      <c r="FW6" s="75"/>
      <c r="FX6" s="75">
        <f>'[1]Univ Comm Fund'!AV6</f>
        <v>5000000</v>
      </c>
      <c r="FY6" s="75">
        <f>'[1]UNIV 2019'!AV12</f>
        <v>0</v>
      </c>
      <c r="FZ6" s="75">
        <f>FX6-FY6</f>
        <v>5000000</v>
      </c>
      <c r="GA6" s="75"/>
      <c r="GB6" s="75">
        <f>'[1]Univ Comm Fund'!AW6</f>
        <v>10000000</v>
      </c>
      <c r="GC6" s="75">
        <f>'[1]UNIV 2019'!AW12</f>
        <v>0</v>
      </c>
      <c r="GD6" s="75">
        <f>GB6-GC6</f>
        <v>10000000</v>
      </c>
      <c r="GE6" s="75"/>
      <c r="GF6" s="75">
        <f>'[1]Univ Comm Fund'!AX6</f>
        <v>0</v>
      </c>
      <c r="GG6" s="75">
        <f>'[1]UNIV 2019'!AX12</f>
        <v>0</v>
      </c>
      <c r="GH6" s="75">
        <f>GF6-GG6</f>
        <v>0</v>
      </c>
      <c r="GI6" s="75"/>
      <c r="GJ6" s="75">
        <f>'[1]Univ Comm Fund'!AY6</f>
        <v>350000000</v>
      </c>
      <c r="GK6" s="75">
        <f>'[1]UNIV 2019'!AY12</f>
        <v>0</v>
      </c>
      <c r="GL6" s="75">
        <f>GJ6-GK6</f>
        <v>350000000</v>
      </c>
      <c r="GM6" s="75"/>
      <c r="GN6" s="75">
        <f>'[1]Univ Comm Fund'!AZ6</f>
        <v>175823700</v>
      </c>
      <c r="GO6" s="75">
        <f>'[1]UNIV 2019'!AZ12</f>
        <v>0</v>
      </c>
      <c r="GP6" s="75">
        <f>GN6-GO6</f>
        <v>175823700</v>
      </c>
      <c r="GQ6" s="75"/>
      <c r="GR6" s="75">
        <f>'[1]Univ Comm Fund'!BA6</f>
        <v>20000000</v>
      </c>
      <c r="GS6" s="75">
        <f>'[1]UNIV 2019'!BA12</f>
        <v>0</v>
      </c>
      <c r="GT6" s="75">
        <f>GR6-GS6</f>
        <v>20000000</v>
      </c>
      <c r="GU6" s="75"/>
      <c r="GV6" s="75">
        <f>'[1]Univ Comm Fund'!BB6</f>
        <v>5000000</v>
      </c>
      <c r="GW6" s="75">
        <f>'[1]UNIV 2019'!BB12</f>
        <v>0</v>
      </c>
      <c r="GX6" s="75">
        <f>GV6-GW6</f>
        <v>5000000</v>
      </c>
      <c r="GY6" s="75"/>
      <c r="GZ6" s="75">
        <f>'[1]Univ Comm Fund'!BC6</f>
        <v>10000000</v>
      </c>
      <c r="HA6" s="75">
        <f>'[1]UNIV 2019'!BD12</f>
        <v>0</v>
      </c>
      <c r="HB6" s="75">
        <f>GZ6-HA6</f>
        <v>10000000</v>
      </c>
      <c r="HC6" s="75"/>
      <c r="HD6" s="75">
        <f>'[1]Univ Comm Fund'!BD6</f>
        <v>0</v>
      </c>
      <c r="HE6" s="75">
        <f>'[1]UNIV 2019'!BC12</f>
        <v>0</v>
      </c>
      <c r="HF6" s="75">
        <f>HD6-HE6</f>
        <v>0</v>
      </c>
      <c r="HG6" s="75"/>
      <c r="HH6" s="75">
        <f>D6+H6+L6+P6+T6+X6+AB6+AF6+AJ6+AN6+AR6+AV6+AZ6+BD6+BH6+BL6+BP6+BT6+BX6+CB6+CJ6+CR6+CN6+CV6+CZ6+DD6+DH6+DP6+CF6+DT6+DX6+EB6+EF6+DL6+EJ6+EN6+ER6+EV6+EZ6+FD6+FH6+FL6+FP6+FT6+FX6+GB6+GF6+GJ6+GN6+GR6+GV6+GZ6+HD6</f>
        <v>5285961476.6700001</v>
      </c>
      <c r="HI6" s="75">
        <f>E6+I6+M6+Q6+U6+Y6+AC6+AG6+AK6+AO6+AS6+AW6+BA6+BE6+BI6+BM6+BQ6+BU6+BY6+CC6+CK6+CS6+CO6+CW6+DA6+DE6+DI6+DQ6+CG6+DU6+DY6+EC6+EG6+DM6+EK6+EO6+ES6+EW6+FA6+FE6+FI6+FM6+FQ6+FU6+FY6+GC6+GG6+GK6+GO6+GS6+GW6+HA6+HE6</f>
        <v>3360314176.7728</v>
      </c>
      <c r="HJ6" s="82">
        <f>HH6-HI6</f>
        <v>1925647299.8972001</v>
      </c>
      <c r="HK6" s="3"/>
      <c r="HL6" s="83">
        <f>D6+H6+L6+T6+AB6+AF6+AN6+AV6+BD6+BH6+BL6+BT6+CB6+CN6+CZ6+DH6+DT6+EN6+FL6+GJ6</f>
        <v>3198037776.6700001</v>
      </c>
      <c r="HM6" s="83">
        <f>E6+I6+M6+U6+AC6+AG6+AO6+AW6+BE6+BI6+BM6+BU6+CC6+CO6+DA6+DI6+DU6+EO6+FM6+GK6</f>
        <v>1752714176.7728</v>
      </c>
      <c r="HN6" s="84">
        <f>HL6-HM6</f>
        <v>1445323599.8972001</v>
      </c>
      <c r="HP6" s="83">
        <f>AZ6+BP6+BX6+
CJ6+CR6+CV6+DP6+EJ6+FD6+GF6+HD6</f>
        <v>1250000000</v>
      </c>
      <c r="HQ6" s="83">
        <f>BA6+BQ6+BY6+
CK6+CS6+CW6+DQ6+EK6+FE6+GG6+HE6</f>
        <v>1250000000</v>
      </c>
      <c r="HR6" s="84">
        <f>HP6-HQ6</f>
        <v>0</v>
      </c>
      <c r="HT6" s="83">
        <f>CF6+DD6+DL6+EF6+EZ6+FX6+GV6</f>
        <v>145000000</v>
      </c>
      <c r="HU6" s="83">
        <f>CG6+DE6+DM6+EG6+FA6+FY6+GW6</f>
        <v>72500000</v>
      </c>
      <c r="HV6" s="84">
        <f>HT6-HU6</f>
        <v>72500000</v>
      </c>
      <c r="HX6" s="83">
        <f>DX6+ER6+FT6+GR6</f>
        <v>60000000</v>
      </c>
      <c r="HY6" s="83">
        <f>DY6+ES6+FU6+GS6</f>
        <v>30000000</v>
      </c>
      <c r="HZ6" s="84">
        <f>HX6-HY6</f>
        <v>30000000</v>
      </c>
      <c r="IB6" s="83">
        <f>EV6+GB6+GZ6</f>
        <v>35000000</v>
      </c>
      <c r="IC6" s="83">
        <f>EW6+GC6+HA6</f>
        <v>0</v>
      </c>
      <c r="ID6" s="84">
        <f>IB6-IC6</f>
        <v>35000000</v>
      </c>
      <c r="IF6" s="83">
        <f t="shared" ref="IF6:IG37" si="3">EB6</f>
        <v>2000000</v>
      </c>
      <c r="IG6" s="83">
        <f t="shared" si="3"/>
        <v>0</v>
      </c>
      <c r="IH6" s="84">
        <f>IF6-IG6</f>
        <v>2000000</v>
      </c>
      <c r="IJ6" s="84">
        <f>FH6+FP6+GN6</f>
        <v>595823700</v>
      </c>
      <c r="IK6" s="84">
        <f>FI6+FQ6+GO6</f>
        <v>255000000</v>
      </c>
      <c r="IL6" s="84">
        <f>IJ6-IK6</f>
        <v>340823700</v>
      </c>
    </row>
    <row r="7" spans="1:246" s="4" customFormat="1" x14ac:dyDescent="0.25">
      <c r="A7" s="42">
        <v>2</v>
      </c>
      <c r="B7" s="86" t="s">
        <v>62</v>
      </c>
      <c r="C7" s="42" t="s">
        <v>63</v>
      </c>
      <c r="D7" s="66">
        <f>'[1]Univ Comm Fund'!D7</f>
        <v>59027776.670000002</v>
      </c>
      <c r="E7" s="66">
        <f>'[1]UNIV 2019'!D13</f>
        <v>59027776.670000002</v>
      </c>
      <c r="F7" s="75">
        <f t="shared" ref="F7:F70" si="4">D7-E7</f>
        <v>0</v>
      </c>
      <c r="G7" s="66"/>
      <c r="H7" s="66">
        <f>'[1]Univ Comm Fund'!E7</f>
        <v>20000000</v>
      </c>
      <c r="I7" s="66">
        <f>'[1]UNIV 2019'!E13</f>
        <v>20000000</v>
      </c>
      <c r="J7" s="66">
        <f t="shared" ref="J7:J70" si="5">H7-I7</f>
        <v>0</v>
      </c>
      <c r="K7" s="66"/>
      <c r="L7" s="66">
        <f>'[1]Univ Comm Fund'!F7</f>
        <v>40000000</v>
      </c>
      <c r="M7" s="66">
        <f>'[1]UNIV 2019'!F13</f>
        <v>40000000</v>
      </c>
      <c r="N7" s="66">
        <f t="shared" ref="N7:N70" si="6">L7-M7</f>
        <v>0</v>
      </c>
      <c r="O7" s="66"/>
      <c r="P7" s="66">
        <f>'[1]Univ Comm Fund'!G7</f>
        <v>0</v>
      </c>
      <c r="Q7" s="66">
        <f>'[1]UNIV 2019'!G13</f>
        <v>0</v>
      </c>
      <c r="R7" s="66">
        <f t="shared" ref="R7:R70" si="7">P7-Q7</f>
        <v>0</v>
      </c>
      <c r="S7" s="87"/>
      <c r="T7" s="66">
        <f>'[1]Univ Comm Fund'!H7</f>
        <v>50000000</v>
      </c>
      <c r="U7" s="66">
        <f>'[1]UNIV 2019'!H13</f>
        <v>50000000</v>
      </c>
      <c r="V7" s="66">
        <f t="shared" ref="V7:V70" si="8">T7-U7</f>
        <v>0</v>
      </c>
      <c r="W7" s="66"/>
      <c r="X7" s="66">
        <f>'[1]Univ Comm Fund'!I7</f>
        <v>21250000</v>
      </c>
      <c r="Y7" s="66">
        <f>'[1]UNIV 2019'!I13</f>
        <v>21250000</v>
      </c>
      <c r="Z7" s="66">
        <f t="shared" ref="Z7:Z70" si="9">X7-Y7</f>
        <v>0</v>
      </c>
      <c r="AA7" s="66"/>
      <c r="AB7" s="66">
        <f>'[1]Univ Comm Fund'!J7</f>
        <v>21900000</v>
      </c>
      <c r="AC7" s="66">
        <f>'[1]UNIV 2019'!J13</f>
        <v>21900000</v>
      </c>
      <c r="AD7" s="66">
        <f t="shared" ref="AD7:AD70" si="10">AB7-AC7</f>
        <v>0</v>
      </c>
      <c r="AE7" s="66"/>
      <c r="AF7" s="88">
        <f>'[1]Univ Comm Fund'!K7</f>
        <v>30000000</v>
      </c>
      <c r="AG7" s="66">
        <f>'[1]UNIV 2019'!K13</f>
        <v>30000000</v>
      </c>
      <c r="AH7" s="66">
        <f t="shared" ref="AH7:AH70" si="11">AF7-AG7</f>
        <v>0</v>
      </c>
      <c r="AI7" s="88"/>
      <c r="AJ7" s="66">
        <f>'[1]Univ Comm Fund'!L7</f>
        <v>0</v>
      </c>
      <c r="AK7" s="66">
        <f>'[1]UNIV 2019'!L13</f>
        <v>0</v>
      </c>
      <c r="AL7" s="66">
        <f t="shared" ref="AL7:AL69" si="12">AJ7-AK7</f>
        <v>0</v>
      </c>
      <c r="AM7" s="66"/>
      <c r="AN7" s="66">
        <f>'[1]Univ Comm Fund'!M7</f>
        <v>40000000</v>
      </c>
      <c r="AO7" s="66">
        <f>'[1]UNIV 2019'!M13</f>
        <v>40000000</v>
      </c>
      <c r="AP7" s="66">
        <f t="shared" ref="AP7:AP70" si="13">AN7-AO7</f>
        <v>0</v>
      </c>
      <c r="AQ7" s="66"/>
      <c r="AR7" s="66">
        <f>'[1]Univ Comm Fund'!N7</f>
        <v>0</v>
      </c>
      <c r="AS7" s="66">
        <f>'[1]UNIV 2019'!N13</f>
        <v>0</v>
      </c>
      <c r="AT7" s="66">
        <f t="shared" ref="AT7:AT70" si="14">AR7-AS7</f>
        <v>0</v>
      </c>
      <c r="AU7" s="66"/>
      <c r="AV7" s="66">
        <f>'[1]Univ Comm Fund'!O7</f>
        <v>34000000</v>
      </c>
      <c r="AW7" s="66">
        <f>'[1]UNIV 2019'!O13</f>
        <v>34000000</v>
      </c>
      <c r="AX7" s="66">
        <f t="shared" ref="AX7:AX70" si="15">AV7-AW7</f>
        <v>0</v>
      </c>
      <c r="AY7" s="66"/>
      <c r="AZ7" s="66">
        <f>'[1]Univ Comm Fund'!P7</f>
        <v>0</v>
      </c>
      <c r="BA7" s="66">
        <f>'[1]UNIV 2019'!P13</f>
        <v>0</v>
      </c>
      <c r="BB7" s="66">
        <f t="shared" si="0"/>
        <v>0</v>
      </c>
      <c r="BC7" s="66"/>
      <c r="BD7" s="66">
        <f>'[1]Univ Comm Fund'!Q7</f>
        <v>34840000</v>
      </c>
      <c r="BE7" s="66">
        <f>'[1]UNIV 2019'!Q13</f>
        <v>34840000</v>
      </c>
      <c r="BF7" s="66">
        <f t="shared" si="1"/>
        <v>0</v>
      </c>
      <c r="BG7" s="66"/>
      <c r="BH7" s="66">
        <f>'[1]Univ Comm Fund'!R7</f>
        <v>44890000</v>
      </c>
      <c r="BI7" s="66">
        <f>'[1]UNIV 2019'!R13</f>
        <v>44890000</v>
      </c>
      <c r="BJ7" s="66">
        <f t="shared" ref="BJ7:BJ70" si="16">BH7-BI7</f>
        <v>0</v>
      </c>
      <c r="BK7" s="66"/>
      <c r="BL7" s="66">
        <f>'[1]Univ Comm Fund'!S7</f>
        <v>38190000</v>
      </c>
      <c r="BM7" s="66">
        <f>'[1]UNIV 2019'!S13</f>
        <v>38190000</v>
      </c>
      <c r="BN7" s="66">
        <f t="shared" ref="BN7:BN70" si="17">BL7-BM7</f>
        <v>0</v>
      </c>
      <c r="BO7" s="66"/>
      <c r="BP7" s="66">
        <f>'[1]Univ Comm Fund'!T7</f>
        <v>0</v>
      </c>
      <c r="BQ7" s="66">
        <f>'[1]UNIV 2019'!T13</f>
        <v>0</v>
      </c>
      <c r="BR7" s="66">
        <f t="shared" ref="BR7:BR70" si="18">BP7-BQ7</f>
        <v>0</v>
      </c>
      <c r="BS7" s="66"/>
      <c r="BT7" s="66">
        <f>'[1]Univ Comm Fund'!U7</f>
        <v>140992200</v>
      </c>
      <c r="BU7" s="66">
        <f>'[1]UNIV 2019'!U13</f>
        <v>140992200</v>
      </c>
      <c r="BV7" s="66">
        <f t="shared" si="2"/>
        <v>0</v>
      </c>
      <c r="BW7" s="66"/>
      <c r="BX7" s="66">
        <f>'[1]Univ Comm Fund'!V7</f>
        <v>0</v>
      </c>
      <c r="BY7" s="66">
        <f>'[1]UNIV 2019'!V13</f>
        <v>0</v>
      </c>
      <c r="BZ7" s="66">
        <f t="shared" ref="BZ7:BZ70" si="19">BX7-BY7</f>
        <v>0</v>
      </c>
      <c r="CA7" s="66"/>
      <c r="CB7" s="66">
        <f>'[1]Univ Comm Fund'!W7</f>
        <v>175000000</v>
      </c>
      <c r="CC7" s="66">
        <f>'[1]UNIV 2019'!W13</f>
        <v>148750000</v>
      </c>
      <c r="CD7" s="66">
        <f t="shared" ref="CD7:CD70" si="20">CB7-CC7</f>
        <v>26250000</v>
      </c>
      <c r="CE7" s="66"/>
      <c r="CF7" s="66">
        <v>75000000</v>
      </c>
      <c r="CG7" s="66">
        <f>'[1]UNIV 2019'!X13</f>
        <v>63750000</v>
      </c>
      <c r="CH7" s="75">
        <f t="shared" ref="CH7:CH70" si="21">CF7-CG7</f>
        <v>11250000</v>
      </c>
      <c r="CI7" s="66"/>
      <c r="CJ7" s="89">
        <f>'[1]Univ Comm Fund'!Y7</f>
        <v>130000000</v>
      </c>
      <c r="CK7" s="66">
        <f>'[1]UNIV 2019'!Y13</f>
        <v>108400000</v>
      </c>
      <c r="CL7" s="66">
        <f t="shared" ref="CL7:CL70" si="22">CJ7-CK7</f>
        <v>21600000</v>
      </c>
      <c r="CM7" s="89"/>
      <c r="CN7" s="20">
        <f>'[1]Univ Comm Fund'!Z7</f>
        <v>350000000</v>
      </c>
      <c r="CO7" s="66">
        <f>'[1]UNIV 2019'!Z13</f>
        <v>297500000</v>
      </c>
      <c r="CP7" s="66">
        <f t="shared" ref="CP7:CP70" si="23">CN7-CO7</f>
        <v>52500000</v>
      </c>
      <c r="CQ7" s="20"/>
      <c r="CR7" s="66">
        <f>'[1]Univ Comm Fund'!AA7</f>
        <v>10000000</v>
      </c>
      <c r="CS7" s="66">
        <f>'[1]UNIV 2019'!AA13</f>
        <v>8500000</v>
      </c>
      <c r="CT7" s="75">
        <f t="shared" ref="CT7:CT70" si="24">CR7-CS7</f>
        <v>1500000</v>
      </c>
      <c r="CU7" s="66"/>
      <c r="CV7" s="66">
        <f>'[1]Univ Comm Fund'!AB7</f>
        <v>0</v>
      </c>
      <c r="CW7" s="66">
        <f>'[1]UNIV 2019'!AB13</f>
        <v>0</v>
      </c>
      <c r="CX7" s="75">
        <f t="shared" ref="CX7:CX70" si="25">CV7-CW7</f>
        <v>0</v>
      </c>
      <c r="CY7" s="66"/>
      <c r="CZ7" s="66">
        <f>'[1]Univ Comm Fund'!AC7</f>
        <v>356000000</v>
      </c>
      <c r="DA7" s="66">
        <f>'[1]UNIV 2019'!AC13</f>
        <v>302600000</v>
      </c>
      <c r="DB7" s="66">
        <f t="shared" ref="DB7:DB70" si="26">CZ7-DA7</f>
        <v>53400000</v>
      </c>
      <c r="DC7" s="66"/>
      <c r="DD7" s="66">
        <f>'[1]Univ Comm Fund'!AD7</f>
        <v>20000000</v>
      </c>
      <c r="DE7" s="66">
        <f>'[1]UNIV 2019'!AD13</f>
        <v>17000000</v>
      </c>
      <c r="DF7" s="66">
        <f t="shared" ref="DF7:DF70" si="27">DD7-DE7</f>
        <v>3000000</v>
      </c>
      <c r="DG7" s="66"/>
      <c r="DH7" s="66">
        <f>'[1]Univ Comm Fund'!AE7</f>
        <v>552000000</v>
      </c>
      <c r="DI7" s="66">
        <f>'[1]UNIV 2019'!AE13</f>
        <v>298080000</v>
      </c>
      <c r="DJ7" s="66">
        <f t="shared" ref="DJ7:DJ70" si="28">DH7-DI7</f>
        <v>253920000</v>
      </c>
      <c r="DK7" s="66"/>
      <c r="DL7" s="66">
        <f>'[1]Univ Comm Fund'!AF7</f>
        <v>20000000</v>
      </c>
      <c r="DM7" s="66">
        <f>'[1]UNIV 2019'!AF13</f>
        <v>0</v>
      </c>
      <c r="DN7" s="66">
        <f t="shared" ref="DN7:DN70" si="29">DL7-DM7</f>
        <v>20000000</v>
      </c>
      <c r="DO7" s="66"/>
      <c r="DP7" s="66">
        <f>'[1]Univ Comm Fund'!AG7</f>
        <v>300000000</v>
      </c>
      <c r="DQ7" s="66">
        <f>'[1]UNIV 2019'!AG13</f>
        <v>300000000</v>
      </c>
      <c r="DR7" s="66">
        <f t="shared" ref="DR7:DR70" si="30">DP7-DQ7</f>
        <v>0</v>
      </c>
      <c r="DS7" s="66"/>
      <c r="DT7" s="66">
        <f>'[1]Univ Comm Fund'!AH7</f>
        <v>100000000</v>
      </c>
      <c r="DU7" s="66">
        <f>'[1]UNIV 2019'!AH13</f>
        <v>54000000</v>
      </c>
      <c r="DV7" s="66">
        <f t="shared" ref="DV7:DV70" si="31">DT7-DU7</f>
        <v>46000000</v>
      </c>
      <c r="DW7" s="66"/>
      <c r="DX7" s="66">
        <f>'[1]Univ Comm Fund'!AI7</f>
        <v>15000000</v>
      </c>
      <c r="DY7" s="66">
        <f>'[1]UNIV 2019'!AI13</f>
        <v>7500000</v>
      </c>
      <c r="DZ7" s="66">
        <f t="shared" ref="DZ7:DZ70" si="32">DX7-DY7</f>
        <v>7500000</v>
      </c>
      <c r="EA7" s="66"/>
      <c r="EB7" s="66">
        <f>'[1]Univ Comm Fund'!AJ7</f>
        <v>2000000</v>
      </c>
      <c r="EC7" s="66">
        <f>'[1]UNIV 2019'!AJ13</f>
        <v>0</v>
      </c>
      <c r="ED7" s="66">
        <f t="shared" ref="ED7:ED70" si="33">EB7-EC7</f>
        <v>2000000</v>
      </c>
      <c r="EE7" s="66"/>
      <c r="EF7" s="66">
        <f>'[1]Univ Comm Fund'!AK7</f>
        <v>10000000</v>
      </c>
      <c r="EG7" s="66">
        <f>'[1]UNIV 2019'!AK13</f>
        <v>0</v>
      </c>
      <c r="EH7" s="66">
        <f t="shared" ref="EH7:EH70" si="34">EF7-EG7</f>
        <v>10000000</v>
      </c>
      <c r="EI7" s="66"/>
      <c r="EJ7" s="66">
        <f>'[1]Univ Comm Fund'!AL7</f>
        <v>750000000</v>
      </c>
      <c r="EK7" s="66">
        <f>'[1]UNIV 2019'!AL13</f>
        <v>642000000</v>
      </c>
      <c r="EL7" s="66">
        <f t="shared" ref="EL7:EL70" si="35">EJ7-EK7</f>
        <v>108000000</v>
      </c>
      <c r="EM7" s="66"/>
      <c r="EN7" s="80">
        <f>'[1]Univ Comm Fund'!AM7</f>
        <v>565410000</v>
      </c>
      <c r="EO7" s="66">
        <f>'[1]UNIV 2019'!AM13</f>
        <v>305321400</v>
      </c>
      <c r="EP7" s="75">
        <f t="shared" ref="EP7:EP70" si="36">EN7-EO7</f>
        <v>260088600</v>
      </c>
      <c r="EQ7" s="66"/>
      <c r="ER7" s="66">
        <f>'[1]Univ Comm Fund'!AN7</f>
        <v>15000000</v>
      </c>
      <c r="ES7" s="66">
        <f>'[1]UNIV 2019'!AN13</f>
        <v>7500000</v>
      </c>
      <c r="ET7" s="75">
        <f t="shared" ref="ET7:ET70" si="37">ER7-ES7</f>
        <v>7500000</v>
      </c>
      <c r="EU7" s="66"/>
      <c r="EV7" s="66">
        <f>'[1]Univ Comm Fund'!AO7</f>
        <v>15000000</v>
      </c>
      <c r="EW7" s="66">
        <f>'[1]UNIV 2019'!AO13</f>
        <v>0</v>
      </c>
      <c r="EX7" s="75">
        <f t="shared" ref="EX7:EX70" si="38">EV7-EW7</f>
        <v>15000000</v>
      </c>
      <c r="EY7" s="66"/>
      <c r="EZ7" s="66">
        <f>'[1]Univ Comm Fund'!AP7</f>
        <v>10000000</v>
      </c>
      <c r="FA7" s="66">
        <f>'[1]UNIV 2019'!AP13</f>
        <v>0</v>
      </c>
      <c r="FB7" s="75">
        <f t="shared" ref="FB7:FB70" si="39">EZ7-FA7</f>
        <v>10000000</v>
      </c>
      <c r="FC7" s="75"/>
      <c r="FD7" s="75">
        <f>'[1]Univ Comm Fund'!AQ7</f>
        <v>0</v>
      </c>
      <c r="FE7" s="75">
        <f>'[1]UNIV 2019'!AQ13</f>
        <v>0</v>
      </c>
      <c r="FF7" s="75">
        <f t="shared" ref="FF7:FF70" si="40">FD7-FE7</f>
        <v>0</v>
      </c>
      <c r="FG7" s="75"/>
      <c r="FH7" s="81">
        <f>'[1]Univ Comm Fund'!AR7</f>
        <v>300000000</v>
      </c>
      <c r="FI7" s="75">
        <f>'[1]UNIV 2019'!AR13</f>
        <v>255000000</v>
      </c>
      <c r="FJ7" s="75">
        <f t="shared" ref="FJ7:FJ70" si="41">FH7-FI7</f>
        <v>45000000</v>
      </c>
      <c r="FK7" s="75"/>
      <c r="FL7" s="75">
        <f>'[1]Univ Comm Fund'!AS7</f>
        <v>300000000</v>
      </c>
      <c r="FM7" s="75">
        <f>'[1]UNIV 2019'!AS13</f>
        <v>0</v>
      </c>
      <c r="FN7" s="75">
        <f t="shared" ref="FN7:FN70" si="42">FL7-FM7</f>
        <v>300000000</v>
      </c>
      <c r="FO7" s="75"/>
      <c r="FP7" s="75">
        <f>'[1]Univ Comm Fund'!AT7</f>
        <v>120000000</v>
      </c>
      <c r="FQ7" s="75">
        <f>'[1]UNIV 2019'!AT13</f>
        <v>79200000</v>
      </c>
      <c r="FR7" s="75">
        <f t="shared" ref="FR7:FR70" si="43">FP7-FQ7</f>
        <v>40800000</v>
      </c>
      <c r="FS7" s="75"/>
      <c r="FT7" s="75">
        <f>'[1]Univ Comm Fund'!AU7</f>
        <v>10000000</v>
      </c>
      <c r="FU7" s="75">
        <f>'[1]UNIV 2019'!AU13</f>
        <v>0</v>
      </c>
      <c r="FV7" s="75">
        <f t="shared" ref="FV7:FV70" si="44">FT7-FU7</f>
        <v>10000000</v>
      </c>
      <c r="FW7" s="75"/>
      <c r="FX7" s="75">
        <f>'[1]Univ Comm Fund'!AV7</f>
        <v>5000000</v>
      </c>
      <c r="FY7" s="75">
        <f>'[1]UNIV 2019'!AV13</f>
        <v>0</v>
      </c>
      <c r="FZ7" s="75">
        <f t="shared" ref="FZ7:FZ70" si="45">FX7-FY7</f>
        <v>5000000</v>
      </c>
      <c r="GA7" s="75"/>
      <c r="GB7" s="75">
        <f>'[1]Univ Comm Fund'!AW7</f>
        <v>10000000</v>
      </c>
      <c r="GC7" s="75">
        <f>'[1]UNIV 2019'!AW13</f>
        <v>0</v>
      </c>
      <c r="GD7" s="75">
        <f t="shared" ref="GD7:GD70" si="46">GB7-GC7</f>
        <v>10000000</v>
      </c>
      <c r="GE7" s="75"/>
      <c r="GF7" s="75">
        <f>'[1]Univ Comm Fund'!AX7</f>
        <v>0</v>
      </c>
      <c r="GG7" s="75">
        <f>'[1]UNIV 2019'!AX13</f>
        <v>0</v>
      </c>
      <c r="GH7" s="75">
        <f t="shared" ref="GH7:GH70" si="47">GF7-GG7</f>
        <v>0</v>
      </c>
      <c r="GI7" s="75"/>
      <c r="GJ7" s="75">
        <f>'[1]Univ Comm Fund'!AY7</f>
        <v>350000000</v>
      </c>
      <c r="GK7" s="75">
        <f>'[1]UNIV 2019'!AY13</f>
        <v>0</v>
      </c>
      <c r="GL7" s="75">
        <f t="shared" ref="GL7:GL70" si="48">GJ7-GK7</f>
        <v>350000000</v>
      </c>
      <c r="GM7" s="75"/>
      <c r="GN7" s="75">
        <f>'[1]Univ Comm Fund'!AZ7</f>
        <v>175823700</v>
      </c>
      <c r="GO7" s="75">
        <f>'[1]UNIV 2019'!AZ13</f>
        <v>0</v>
      </c>
      <c r="GP7" s="75">
        <f t="shared" ref="GP7:GP70" si="49">GN7-GO7</f>
        <v>175823700</v>
      </c>
      <c r="GQ7" s="75"/>
      <c r="GR7" s="75">
        <f>'[1]Univ Comm Fund'!BA7</f>
        <v>20000000</v>
      </c>
      <c r="GS7" s="75">
        <f>'[1]UNIV 2019'!BA13</f>
        <v>0</v>
      </c>
      <c r="GT7" s="75">
        <f t="shared" ref="GT7:GT70" si="50">GR7-GS7</f>
        <v>20000000</v>
      </c>
      <c r="GU7" s="75"/>
      <c r="GV7" s="75">
        <f>'[1]Univ Comm Fund'!BB7</f>
        <v>5000000</v>
      </c>
      <c r="GW7" s="75">
        <f>'[1]UNIV 2019'!BB13</f>
        <v>0</v>
      </c>
      <c r="GX7" s="75">
        <f t="shared" ref="GX7:GX70" si="51">GV7-GW7</f>
        <v>5000000</v>
      </c>
      <c r="GY7" s="75"/>
      <c r="GZ7" s="75">
        <f>'[1]Univ Comm Fund'!BC7</f>
        <v>10000000</v>
      </c>
      <c r="HA7" s="75">
        <f>'[1]UNIV 2019'!BD13</f>
        <v>0</v>
      </c>
      <c r="HB7" s="75">
        <f t="shared" ref="HB7:HB70" si="52">GZ7-HA7</f>
        <v>10000000</v>
      </c>
      <c r="HC7" s="75"/>
      <c r="HD7" s="75">
        <f>'[1]Univ Comm Fund'!BD7</f>
        <v>0</v>
      </c>
      <c r="HE7" s="75">
        <f>'[1]UNIV 2019'!BC13</f>
        <v>0</v>
      </c>
      <c r="HF7" s="75">
        <f t="shared" ref="HF7:HF70" si="53">HD7-HE7</f>
        <v>0</v>
      </c>
      <c r="HG7" s="75"/>
      <c r="HH7" s="75">
        <f t="shared" ref="HH7:HI70" si="54">D7+H7+L7+P7+T7+X7+AB7+AF7+AJ7+AN7+AR7+AV7+AZ7+BD7+BH7+BL7+BP7+BT7+BX7+CB7+CJ7+CR7+CN7+CV7+CZ7+DD7+DH7+DP7+CF7+DT7+DX7+EB7+EF7+DL7+EJ7+EN7+ER7+EV7+EZ7+FD7+FH7+FL7+FP7+FT7+FX7+GB7+GF7+GJ7+GN7+GR7+GV7+GZ7+HD7</f>
        <v>5351323676.6700001</v>
      </c>
      <c r="HI7" s="75">
        <f t="shared" si="54"/>
        <v>3470191376.6700001</v>
      </c>
      <c r="HJ7" s="82">
        <f t="shared" ref="HJ7:HJ70" si="55">HH7-HI7</f>
        <v>1881132300</v>
      </c>
      <c r="HK7" s="3"/>
      <c r="HL7" s="83">
        <f t="shared" ref="HL7:HM70" si="56">D7+H7+L7+T7+AB7+AF7+AN7+AV7+BD7+BH7+BL7+BT7+CB7+CN7+CZ7+DH7+DT7+EN7+FL7+GJ7</f>
        <v>3302249976.6700001</v>
      </c>
      <c r="HM7" s="83">
        <f t="shared" si="56"/>
        <v>1960091376.6700001</v>
      </c>
      <c r="HN7" s="84">
        <f t="shared" ref="HN7:HN70" si="57">HL7-HM7</f>
        <v>1342158600</v>
      </c>
      <c r="HP7" s="83">
        <f t="shared" ref="HP7:HQ70" si="58">AZ7+BP7+BX7+
CJ7+CR7+CV7+DP7+EJ7+FD7+GF7+HD7</f>
        <v>1190000000</v>
      </c>
      <c r="HQ7" s="83">
        <f t="shared" si="58"/>
        <v>1058900000</v>
      </c>
      <c r="HR7" s="84">
        <f t="shared" ref="HR7:HR70" si="59">HP7-HQ7</f>
        <v>131100000</v>
      </c>
      <c r="HT7" s="83">
        <f t="shared" ref="HT7:HU70" si="60">CF7+DD7+DL7+EF7+EZ7+FX7+GV7</f>
        <v>145000000</v>
      </c>
      <c r="HU7" s="83">
        <f t="shared" si="60"/>
        <v>80750000</v>
      </c>
      <c r="HV7" s="84">
        <f t="shared" ref="HV7:HV70" si="61">HT7-HU7</f>
        <v>64250000</v>
      </c>
      <c r="HX7" s="83">
        <f t="shared" ref="HX7:HY70" si="62">DX7+ER7+FT7+GR7</f>
        <v>60000000</v>
      </c>
      <c r="HY7" s="83">
        <f t="shared" si="62"/>
        <v>15000000</v>
      </c>
      <c r="HZ7" s="84">
        <f t="shared" ref="HZ7:HZ70" si="63">HX7-HY7</f>
        <v>45000000</v>
      </c>
      <c r="IB7" s="83">
        <f t="shared" ref="IB7:IC70" si="64">EV7+GB7+GZ7</f>
        <v>35000000</v>
      </c>
      <c r="IC7" s="83">
        <f t="shared" si="64"/>
        <v>0</v>
      </c>
      <c r="ID7" s="84">
        <f t="shared" ref="ID7:ID70" si="65">IB7-IC7</f>
        <v>35000000</v>
      </c>
      <c r="IF7" s="83">
        <f t="shared" si="3"/>
        <v>2000000</v>
      </c>
      <c r="IG7" s="83">
        <f t="shared" si="3"/>
        <v>0</v>
      </c>
      <c r="IH7" s="84">
        <f t="shared" ref="IH7:IH70" si="66">IF7-IG7</f>
        <v>2000000</v>
      </c>
      <c r="IJ7" s="84">
        <f t="shared" ref="IJ7:IK70" si="67">FH7+FP7+GN7</f>
        <v>595823700</v>
      </c>
      <c r="IK7" s="84">
        <f t="shared" si="67"/>
        <v>334200000</v>
      </c>
      <c r="IL7" s="84">
        <f t="shared" ref="IL7:IL70" si="68">IJ7-IK7</f>
        <v>261623700</v>
      </c>
    </row>
    <row r="8" spans="1:246" x14ac:dyDescent="0.25">
      <c r="A8" s="42">
        <v>3</v>
      </c>
      <c r="B8" s="86" t="s">
        <v>64</v>
      </c>
      <c r="C8" s="42" t="s">
        <v>65</v>
      </c>
      <c r="D8" s="66">
        <f>'[1]Univ Comm Fund'!D8</f>
        <v>59027776.670000002</v>
      </c>
      <c r="E8" s="66">
        <f>'[1]UNIV 2019'!D14</f>
        <v>59027776.670000002</v>
      </c>
      <c r="F8" s="75">
        <f t="shared" si="4"/>
        <v>0</v>
      </c>
      <c r="G8" s="66"/>
      <c r="H8" s="66">
        <f>'[1]Univ Comm Fund'!E8</f>
        <v>20000000</v>
      </c>
      <c r="I8" s="66">
        <f>'[1]UNIV 2019'!E14</f>
        <v>20000000</v>
      </c>
      <c r="J8" s="66">
        <f t="shared" si="5"/>
        <v>0</v>
      </c>
      <c r="K8" s="66"/>
      <c r="L8" s="66">
        <f>'[1]Univ Comm Fund'!F8</f>
        <v>40000000</v>
      </c>
      <c r="M8" s="66">
        <f>'[1]UNIV 2019'!F14</f>
        <v>40000000</v>
      </c>
      <c r="N8" s="66">
        <f t="shared" si="6"/>
        <v>0</v>
      </c>
      <c r="O8" s="66"/>
      <c r="P8" s="66">
        <f>'[1]Univ Comm Fund'!G8</f>
        <v>2217000</v>
      </c>
      <c r="Q8" s="66">
        <f>'[1]UNIV 2019'!G14</f>
        <v>2217000</v>
      </c>
      <c r="R8" s="66">
        <f t="shared" si="7"/>
        <v>0</v>
      </c>
      <c r="S8" s="87"/>
      <c r="T8" s="66">
        <f>'[1]Univ Comm Fund'!H8</f>
        <v>50000000</v>
      </c>
      <c r="U8" s="66">
        <f>'[1]UNIV 2019'!H14</f>
        <v>50000000</v>
      </c>
      <c r="V8" s="66">
        <f t="shared" si="8"/>
        <v>0</v>
      </c>
      <c r="W8" s="66"/>
      <c r="X8" s="66">
        <f>'[1]Univ Comm Fund'!I8</f>
        <v>25000000</v>
      </c>
      <c r="Y8" s="66">
        <f>'[1]UNIV 2019'!I14</f>
        <v>25000000</v>
      </c>
      <c r="Z8" s="66">
        <f t="shared" si="9"/>
        <v>0</v>
      </c>
      <c r="AA8" s="66"/>
      <c r="AB8" s="66">
        <f>'[1]Univ Comm Fund'!J8</f>
        <v>30000000</v>
      </c>
      <c r="AC8" s="66">
        <f>'[1]UNIV 2019'!J14</f>
        <v>30000000</v>
      </c>
      <c r="AD8" s="66">
        <f t="shared" si="10"/>
        <v>0</v>
      </c>
      <c r="AE8" s="66"/>
      <c r="AF8" s="88">
        <f>'[1]Univ Comm Fund'!K8</f>
        <v>30000000</v>
      </c>
      <c r="AG8" s="66">
        <f>'[1]UNIV 2019'!K14</f>
        <v>30000000</v>
      </c>
      <c r="AH8" s="66">
        <f t="shared" si="11"/>
        <v>0</v>
      </c>
      <c r="AI8" s="88"/>
      <c r="AJ8" s="66">
        <f>'[1]Univ Comm Fund'!L8</f>
        <v>0</v>
      </c>
      <c r="AK8" s="66">
        <f>'[1]UNIV 2019'!L14</f>
        <v>0</v>
      </c>
      <c r="AL8" s="66">
        <f t="shared" si="12"/>
        <v>0</v>
      </c>
      <c r="AM8" s="66"/>
      <c r="AN8" s="66">
        <f>'[1]Univ Comm Fund'!M8</f>
        <v>40000000</v>
      </c>
      <c r="AO8" s="66">
        <f>'[1]UNIV 2019'!M14</f>
        <v>40000000</v>
      </c>
      <c r="AP8" s="66">
        <f t="shared" si="13"/>
        <v>0</v>
      </c>
      <c r="AQ8" s="66"/>
      <c r="AR8" s="66">
        <f>'[1]Univ Comm Fund'!N8</f>
        <v>0</v>
      </c>
      <c r="AS8" s="66">
        <f>'[1]UNIV 2019'!N14</f>
        <v>0</v>
      </c>
      <c r="AT8" s="66">
        <f t="shared" si="14"/>
        <v>0</v>
      </c>
      <c r="AU8" s="66"/>
      <c r="AV8" s="66">
        <f>'[1]Univ Comm Fund'!O8</f>
        <v>40000000</v>
      </c>
      <c r="AW8" s="66">
        <f>'[1]UNIV 2019'!O14</f>
        <v>40000000</v>
      </c>
      <c r="AX8" s="66">
        <f t="shared" si="15"/>
        <v>0</v>
      </c>
      <c r="AY8" s="66"/>
      <c r="AZ8" s="66">
        <f>'[1]Univ Comm Fund'!P8</f>
        <v>0</v>
      </c>
      <c r="BA8" s="66">
        <f>'[1]UNIV 2019'!P14</f>
        <v>0</v>
      </c>
      <c r="BB8" s="66">
        <f t="shared" si="0"/>
        <v>0</v>
      </c>
      <c r="BC8" s="66"/>
      <c r="BD8" s="66">
        <f>'[1]Univ Comm Fund'!Q8</f>
        <v>52000000</v>
      </c>
      <c r="BE8" s="66">
        <f>'[1]UNIV 2019'!Q14</f>
        <v>52000000</v>
      </c>
      <c r="BF8" s="66">
        <f t="shared" si="1"/>
        <v>0</v>
      </c>
      <c r="BG8" s="66"/>
      <c r="BH8" s="66">
        <f>'[1]Univ Comm Fund'!R8</f>
        <v>67000000</v>
      </c>
      <c r="BI8" s="66">
        <f>'[1]UNIV 2019'!R14</f>
        <v>67000000</v>
      </c>
      <c r="BJ8" s="66">
        <f t="shared" si="16"/>
        <v>0</v>
      </c>
      <c r="BK8" s="66"/>
      <c r="BL8" s="66">
        <f>'[1]Univ Comm Fund'!S8</f>
        <v>57000000</v>
      </c>
      <c r="BM8" s="66">
        <f>'[1]UNIV 2019'!S14</f>
        <v>57000000</v>
      </c>
      <c r="BN8" s="66">
        <f t="shared" si="17"/>
        <v>0</v>
      </c>
      <c r="BO8" s="66"/>
      <c r="BP8" s="66">
        <f>'[1]Univ Comm Fund'!T8</f>
        <v>0</v>
      </c>
      <c r="BQ8" s="66">
        <f>'[1]UNIV 2019'!T14</f>
        <v>0</v>
      </c>
      <c r="BR8" s="66">
        <f t="shared" si="18"/>
        <v>0</v>
      </c>
      <c r="BS8" s="66"/>
      <c r="BT8" s="66">
        <f>'[1]Univ Comm Fund'!U8</f>
        <v>193140000</v>
      </c>
      <c r="BU8" s="66">
        <f>'[1]UNIV 2019'!U14</f>
        <v>193140000</v>
      </c>
      <c r="BV8" s="66">
        <f t="shared" si="2"/>
        <v>0</v>
      </c>
      <c r="BW8" s="66"/>
      <c r="BX8" s="66">
        <f>'[1]Univ Comm Fund'!V8</f>
        <v>85000000</v>
      </c>
      <c r="BY8" s="66">
        <f>'[1]UNIV 2019'!V14</f>
        <v>85000000</v>
      </c>
      <c r="BZ8" s="66">
        <f t="shared" si="19"/>
        <v>0</v>
      </c>
      <c r="CA8" s="66"/>
      <c r="CB8" s="66">
        <f>'[1]Univ Comm Fund'!W8</f>
        <v>175000000</v>
      </c>
      <c r="CC8" s="66">
        <f>'[1]UNIV 2019'!W14</f>
        <v>175000000</v>
      </c>
      <c r="CD8" s="66">
        <f t="shared" si="20"/>
        <v>0</v>
      </c>
      <c r="CE8" s="66"/>
      <c r="CF8" s="66">
        <v>75000000</v>
      </c>
      <c r="CG8" s="66">
        <f>'[1]UNIV 2019'!X14</f>
        <v>63750000</v>
      </c>
      <c r="CH8" s="75">
        <f t="shared" si="21"/>
        <v>11250000</v>
      </c>
      <c r="CI8" s="66"/>
      <c r="CJ8" s="66">
        <f>'[1]Univ Comm Fund'!Y8</f>
        <v>0</v>
      </c>
      <c r="CK8" s="66">
        <f>'[1]UNIV 2019'!Y14</f>
        <v>0</v>
      </c>
      <c r="CL8" s="66">
        <f t="shared" si="22"/>
        <v>0</v>
      </c>
      <c r="CM8" s="66"/>
      <c r="CN8" s="20">
        <f>'[1]Univ Comm Fund'!Z8</f>
        <v>350000000</v>
      </c>
      <c r="CO8" s="66">
        <f>'[1]UNIV 2019'!Z14</f>
        <v>199500000</v>
      </c>
      <c r="CP8" s="66">
        <f t="shared" si="23"/>
        <v>150500000</v>
      </c>
      <c r="CQ8" s="20"/>
      <c r="CR8" s="66">
        <f>'[1]Univ Comm Fund'!AA8</f>
        <v>50000000</v>
      </c>
      <c r="CS8" s="66">
        <f>'[1]UNIV 2019'!AA14</f>
        <v>42500000</v>
      </c>
      <c r="CT8" s="75">
        <f t="shared" si="24"/>
        <v>7500000</v>
      </c>
      <c r="CU8" s="66"/>
      <c r="CV8" s="66">
        <f>'[1]Univ Comm Fund'!AB8</f>
        <v>0</v>
      </c>
      <c r="CW8" s="66">
        <f>'[1]UNIV 2019'!AB14</f>
        <v>0</v>
      </c>
      <c r="CX8" s="75">
        <f t="shared" si="25"/>
        <v>0</v>
      </c>
      <c r="CY8" s="66"/>
      <c r="CZ8" s="66">
        <f>'[1]Univ Comm Fund'!AC8</f>
        <v>356000000</v>
      </c>
      <c r="DA8" s="66">
        <f>'[1]UNIV 2019'!AC14</f>
        <v>302600000</v>
      </c>
      <c r="DB8" s="66">
        <f t="shared" si="26"/>
        <v>53400000</v>
      </c>
      <c r="DC8" s="66"/>
      <c r="DD8" s="66">
        <f>'[1]Univ Comm Fund'!AD8</f>
        <v>20000000</v>
      </c>
      <c r="DE8" s="66">
        <f>'[1]UNIV 2019'!AD14</f>
        <v>17000000</v>
      </c>
      <c r="DF8" s="66">
        <f t="shared" si="27"/>
        <v>3000000</v>
      </c>
      <c r="DG8" s="66"/>
      <c r="DH8" s="66">
        <f>'[1]Univ Comm Fund'!AE8</f>
        <v>552000000</v>
      </c>
      <c r="DI8" s="66">
        <f>'[1]UNIV 2019'!AE14</f>
        <v>292560000</v>
      </c>
      <c r="DJ8" s="66">
        <f t="shared" si="28"/>
        <v>259440000</v>
      </c>
      <c r="DK8" s="66"/>
      <c r="DL8" s="66">
        <f>'[1]Univ Comm Fund'!AF8</f>
        <v>20000000</v>
      </c>
      <c r="DM8" s="66">
        <f>'[1]UNIV 2019'!AF14</f>
        <v>17000000</v>
      </c>
      <c r="DN8" s="66">
        <f t="shared" si="29"/>
        <v>3000000</v>
      </c>
      <c r="DO8" s="66"/>
      <c r="DP8" s="66">
        <f>'[1]Univ Comm Fund'!AG8</f>
        <v>0</v>
      </c>
      <c r="DQ8" s="66">
        <f>'[1]UNIV 2019'!AG14</f>
        <v>0</v>
      </c>
      <c r="DR8" s="66">
        <f t="shared" si="30"/>
        <v>0</v>
      </c>
      <c r="DS8" s="66"/>
      <c r="DT8" s="66">
        <f>'[1]Univ Comm Fund'!AH8</f>
        <v>100000000</v>
      </c>
      <c r="DU8" s="66">
        <f>'[1]UNIV 2019'!AH14</f>
        <v>53000000</v>
      </c>
      <c r="DV8" s="66">
        <f t="shared" si="31"/>
        <v>47000000</v>
      </c>
      <c r="DW8" s="66"/>
      <c r="DX8" s="66">
        <f>'[1]Univ Comm Fund'!AI8</f>
        <v>15000000</v>
      </c>
      <c r="DY8" s="66">
        <f>'[1]UNIV 2019'!AI14</f>
        <v>0</v>
      </c>
      <c r="DZ8" s="66">
        <f t="shared" si="32"/>
        <v>15000000</v>
      </c>
      <c r="EA8" s="66"/>
      <c r="EB8" s="66">
        <f>'[1]Univ Comm Fund'!AJ8</f>
        <v>2000000</v>
      </c>
      <c r="EC8" s="66">
        <f>'[1]UNIV 2019'!AJ14</f>
        <v>0</v>
      </c>
      <c r="ED8" s="66">
        <f t="shared" si="33"/>
        <v>2000000</v>
      </c>
      <c r="EE8" s="66"/>
      <c r="EF8" s="66">
        <f>'[1]Univ Comm Fund'!AK8</f>
        <v>10000000</v>
      </c>
      <c r="EG8" s="66">
        <f>'[1]UNIV 2019'!AK14</f>
        <v>8500000</v>
      </c>
      <c r="EH8" s="66">
        <f t="shared" si="34"/>
        <v>1500000</v>
      </c>
      <c r="EI8" s="66"/>
      <c r="EJ8" s="66">
        <f>'[1]Univ Comm Fund'!AL8</f>
        <v>300000000</v>
      </c>
      <c r="EK8" s="66">
        <f>'[1]UNIV 2019'!AL14</f>
        <v>300000000</v>
      </c>
      <c r="EL8" s="66">
        <f t="shared" si="35"/>
        <v>0</v>
      </c>
      <c r="EM8" s="66"/>
      <c r="EN8" s="80">
        <f>'[1]Univ Comm Fund'!AM8</f>
        <v>565410000</v>
      </c>
      <c r="EO8" s="66">
        <f>'[1]UNIV 2019'!AM14</f>
        <v>299667300</v>
      </c>
      <c r="EP8" s="75">
        <f t="shared" si="36"/>
        <v>265742700</v>
      </c>
      <c r="EQ8" s="66"/>
      <c r="ER8" s="66">
        <f>'[1]Univ Comm Fund'!AN8</f>
        <v>15000000</v>
      </c>
      <c r="ES8" s="66">
        <f>'[1]UNIV 2019'!AN14</f>
        <v>0</v>
      </c>
      <c r="ET8" s="75">
        <f t="shared" si="37"/>
        <v>15000000</v>
      </c>
      <c r="EU8" s="66"/>
      <c r="EV8" s="66">
        <f>'[1]Univ Comm Fund'!AO8</f>
        <v>15000000</v>
      </c>
      <c r="EW8" s="66">
        <f>'[1]UNIV 2019'!AO14</f>
        <v>0</v>
      </c>
      <c r="EX8" s="75">
        <f t="shared" si="38"/>
        <v>15000000</v>
      </c>
      <c r="EY8" s="66"/>
      <c r="EZ8" s="66">
        <f>'[1]Univ Comm Fund'!AP8</f>
        <v>10000000</v>
      </c>
      <c r="FA8" s="66">
        <f>'[1]UNIV 2019'!AP14</f>
        <v>0</v>
      </c>
      <c r="FB8" s="75">
        <f t="shared" si="39"/>
        <v>10000000</v>
      </c>
      <c r="FC8" s="75"/>
      <c r="FD8" s="75">
        <f>'[1]Univ Comm Fund'!AQ8</f>
        <v>0</v>
      </c>
      <c r="FE8" s="75">
        <f>'[1]UNIV 2019'!AQ14</f>
        <v>0</v>
      </c>
      <c r="FF8" s="75">
        <f t="shared" si="40"/>
        <v>0</v>
      </c>
      <c r="FG8" s="75"/>
      <c r="FH8" s="75">
        <f>'[1]Univ Comm Fund'!AR8</f>
        <v>0</v>
      </c>
      <c r="FI8" s="75">
        <f>'[1]UNIV 2019'!AR14</f>
        <v>0</v>
      </c>
      <c r="FJ8" s="75">
        <f t="shared" si="41"/>
        <v>0</v>
      </c>
      <c r="FK8" s="75"/>
      <c r="FL8" s="75">
        <f>'[1]Univ Comm Fund'!AS8</f>
        <v>300000000</v>
      </c>
      <c r="FM8" s="75">
        <f>'[1]UNIV 2019'!AS14</f>
        <v>0</v>
      </c>
      <c r="FN8" s="75">
        <f t="shared" si="42"/>
        <v>300000000</v>
      </c>
      <c r="FO8" s="75"/>
      <c r="FP8" s="75">
        <f>'[1]Univ Comm Fund'!AT8</f>
        <v>120000000</v>
      </c>
      <c r="FQ8" s="75">
        <f>'[1]UNIV 2019'!AT14</f>
        <v>0</v>
      </c>
      <c r="FR8" s="75">
        <f t="shared" si="43"/>
        <v>120000000</v>
      </c>
      <c r="FS8" s="75"/>
      <c r="FT8" s="75">
        <f>'[1]Univ Comm Fund'!AU8</f>
        <v>10000000</v>
      </c>
      <c r="FU8" s="75">
        <f>'[1]UNIV 2019'!AU14</f>
        <v>0</v>
      </c>
      <c r="FV8" s="75">
        <f t="shared" si="44"/>
        <v>10000000</v>
      </c>
      <c r="FW8" s="75"/>
      <c r="FX8" s="75">
        <f>'[1]Univ Comm Fund'!AV8</f>
        <v>5000000</v>
      </c>
      <c r="FY8" s="75">
        <f>'[1]UNIV 2019'!AV14</f>
        <v>0</v>
      </c>
      <c r="FZ8" s="75">
        <f t="shared" si="45"/>
        <v>5000000</v>
      </c>
      <c r="GA8" s="75"/>
      <c r="GB8" s="75">
        <f>'[1]Univ Comm Fund'!AW8</f>
        <v>10000000</v>
      </c>
      <c r="GC8" s="75">
        <f>'[1]UNIV 2019'!AW14</f>
        <v>0</v>
      </c>
      <c r="GD8" s="75">
        <f t="shared" si="46"/>
        <v>10000000</v>
      </c>
      <c r="GE8" s="75"/>
      <c r="GF8" s="75">
        <f>'[1]Univ Comm Fund'!AX8</f>
        <v>0</v>
      </c>
      <c r="GG8" s="75">
        <f>'[1]UNIV 2019'!AX14</f>
        <v>0</v>
      </c>
      <c r="GH8" s="75">
        <f t="shared" si="47"/>
        <v>0</v>
      </c>
      <c r="GI8" s="75"/>
      <c r="GJ8" s="75">
        <f>'[1]Univ Comm Fund'!AY8</f>
        <v>350000000</v>
      </c>
      <c r="GK8" s="75">
        <f>'[1]UNIV 2019'!AY14</f>
        <v>0</v>
      </c>
      <c r="GL8" s="75">
        <f t="shared" si="48"/>
        <v>350000000</v>
      </c>
      <c r="GM8" s="75"/>
      <c r="GN8" s="75">
        <f>'[1]Univ Comm Fund'!AZ8</f>
        <v>175823700</v>
      </c>
      <c r="GO8" s="75">
        <f>'[1]UNIV 2019'!AZ14</f>
        <v>0</v>
      </c>
      <c r="GP8" s="75">
        <f t="shared" si="49"/>
        <v>175823700</v>
      </c>
      <c r="GQ8" s="75"/>
      <c r="GR8" s="75">
        <f>'[1]Univ Comm Fund'!BA8</f>
        <v>20000000</v>
      </c>
      <c r="GS8" s="75">
        <f>'[1]UNIV 2019'!BA14</f>
        <v>0</v>
      </c>
      <c r="GT8" s="75">
        <f t="shared" si="50"/>
        <v>20000000</v>
      </c>
      <c r="GU8" s="75"/>
      <c r="GV8" s="75">
        <f>'[1]Univ Comm Fund'!BB8</f>
        <v>5000000</v>
      </c>
      <c r="GW8" s="75">
        <f>'[1]UNIV 2019'!BB14</f>
        <v>0</v>
      </c>
      <c r="GX8" s="75">
        <f t="shared" si="51"/>
        <v>5000000</v>
      </c>
      <c r="GY8" s="75"/>
      <c r="GZ8" s="75">
        <f>'[1]Univ Comm Fund'!BC8</f>
        <v>10000000</v>
      </c>
      <c r="HA8" s="75">
        <f>'[1]UNIV 2019'!BD14</f>
        <v>0</v>
      </c>
      <c r="HB8" s="75">
        <f t="shared" si="52"/>
        <v>10000000</v>
      </c>
      <c r="HC8" s="75"/>
      <c r="HD8" s="75">
        <f>'[1]Univ Comm Fund'!BD8</f>
        <v>0</v>
      </c>
      <c r="HE8" s="75">
        <f>'[1]UNIV 2019'!BC14</f>
        <v>0</v>
      </c>
      <c r="HF8" s="75">
        <f t="shared" si="53"/>
        <v>0</v>
      </c>
      <c r="HG8" s="75"/>
      <c r="HH8" s="75">
        <f t="shared" si="54"/>
        <v>4426618476.6700001</v>
      </c>
      <c r="HI8" s="75">
        <f t="shared" si="54"/>
        <v>2561462076.6700001</v>
      </c>
      <c r="HJ8" s="82">
        <f t="shared" si="55"/>
        <v>1865156400</v>
      </c>
      <c r="HL8" s="83">
        <f t="shared" si="56"/>
        <v>3426577776.6700001</v>
      </c>
      <c r="HM8" s="83">
        <f t="shared" si="56"/>
        <v>2000495076.6700001</v>
      </c>
      <c r="HN8" s="84">
        <f t="shared" si="57"/>
        <v>1426082700</v>
      </c>
      <c r="HP8" s="83">
        <f t="shared" si="58"/>
        <v>435000000</v>
      </c>
      <c r="HQ8" s="83">
        <f t="shared" si="58"/>
        <v>427500000</v>
      </c>
      <c r="HR8" s="84">
        <f t="shared" si="59"/>
        <v>7500000</v>
      </c>
      <c r="HT8" s="83">
        <f t="shared" si="60"/>
        <v>145000000</v>
      </c>
      <c r="HU8" s="83">
        <f t="shared" si="60"/>
        <v>106250000</v>
      </c>
      <c r="HV8" s="84">
        <f t="shared" si="61"/>
        <v>38750000</v>
      </c>
      <c r="HX8" s="83">
        <f t="shared" si="62"/>
        <v>60000000</v>
      </c>
      <c r="HY8" s="83">
        <f t="shared" si="62"/>
        <v>0</v>
      </c>
      <c r="HZ8" s="84">
        <f t="shared" si="63"/>
        <v>60000000</v>
      </c>
      <c r="IB8" s="83">
        <f t="shared" si="64"/>
        <v>35000000</v>
      </c>
      <c r="IC8" s="83">
        <f t="shared" si="64"/>
        <v>0</v>
      </c>
      <c r="ID8" s="84">
        <f t="shared" si="65"/>
        <v>35000000</v>
      </c>
      <c r="IF8" s="83">
        <f t="shared" si="3"/>
        <v>2000000</v>
      </c>
      <c r="IG8" s="83">
        <f t="shared" si="3"/>
        <v>0</v>
      </c>
      <c r="IH8" s="84">
        <f t="shared" si="66"/>
        <v>2000000</v>
      </c>
      <c r="IJ8" s="84">
        <f t="shared" si="67"/>
        <v>295823700</v>
      </c>
      <c r="IK8" s="84">
        <f t="shared" si="67"/>
        <v>0</v>
      </c>
      <c r="IL8" s="84">
        <f t="shared" si="68"/>
        <v>295823700</v>
      </c>
    </row>
    <row r="9" spans="1:246" s="85" customFormat="1" x14ac:dyDescent="0.25">
      <c r="A9" s="73">
        <v>4</v>
      </c>
      <c r="B9" s="74" t="s">
        <v>66</v>
      </c>
      <c r="C9" s="73" t="s">
        <v>63</v>
      </c>
      <c r="D9" s="75">
        <f>'[1]Univ Comm Fund'!D9</f>
        <v>59027776.670000002</v>
      </c>
      <c r="E9" s="75">
        <f>'[1]UNIV 2019'!D15</f>
        <v>59027776.670000002</v>
      </c>
      <c r="F9" s="75">
        <f t="shared" si="4"/>
        <v>0</v>
      </c>
      <c r="G9" s="75"/>
      <c r="H9" s="75">
        <f>'[1]Univ Comm Fund'!E9</f>
        <v>20000000</v>
      </c>
      <c r="I9" s="75">
        <f>'[1]UNIV 2019'!E15</f>
        <v>20000000</v>
      </c>
      <c r="J9" s="75">
        <f t="shared" si="5"/>
        <v>0</v>
      </c>
      <c r="K9" s="75"/>
      <c r="L9" s="75">
        <f>'[1]Univ Comm Fund'!F9</f>
        <v>40000000</v>
      </c>
      <c r="M9" s="75">
        <f>'[1]UNIV 2019'!F15</f>
        <v>40000000</v>
      </c>
      <c r="N9" s="75">
        <f t="shared" si="6"/>
        <v>0</v>
      </c>
      <c r="O9" s="75"/>
      <c r="P9" s="75">
        <f>'[1]Univ Comm Fund'!G9</f>
        <v>346000</v>
      </c>
      <c r="Q9" s="75">
        <f>'[1]UNIV 2019'!G15</f>
        <v>346000</v>
      </c>
      <c r="R9" s="75">
        <f t="shared" si="7"/>
        <v>0</v>
      </c>
      <c r="S9" s="76"/>
      <c r="T9" s="75">
        <f>'[1]Univ Comm Fund'!H9</f>
        <v>50000000</v>
      </c>
      <c r="U9" s="75">
        <f>'[1]UNIV 2019'!H15</f>
        <v>50000000</v>
      </c>
      <c r="V9" s="75">
        <f t="shared" si="8"/>
        <v>0</v>
      </c>
      <c r="W9" s="75"/>
      <c r="X9" s="75">
        <f>'[1]Univ Comm Fund'!I9</f>
        <v>25000000</v>
      </c>
      <c r="Y9" s="75">
        <f>'[1]UNIV 2019'!I15</f>
        <v>25000000</v>
      </c>
      <c r="Z9" s="75">
        <f t="shared" si="9"/>
        <v>0</v>
      </c>
      <c r="AA9" s="75"/>
      <c r="AB9" s="75">
        <f>'[1]Univ Comm Fund'!J9</f>
        <v>30000000</v>
      </c>
      <c r="AC9" s="75">
        <f>'[1]UNIV 2019'!J15</f>
        <v>30000000</v>
      </c>
      <c r="AD9" s="75">
        <f t="shared" si="10"/>
        <v>0</v>
      </c>
      <c r="AE9" s="75"/>
      <c r="AF9" s="77">
        <f>'[1]Univ Comm Fund'!K9</f>
        <v>25500000</v>
      </c>
      <c r="AG9" s="75">
        <f>'[1]UNIV 2019'!K15</f>
        <v>25500000</v>
      </c>
      <c r="AH9" s="75">
        <f t="shared" si="11"/>
        <v>0</v>
      </c>
      <c r="AI9" s="77"/>
      <c r="AJ9" s="75">
        <f>'[1]Univ Comm Fund'!L9</f>
        <v>0</v>
      </c>
      <c r="AK9" s="75">
        <f>'[1]UNIV 2019'!L15</f>
        <v>0</v>
      </c>
      <c r="AL9" s="75">
        <f t="shared" si="12"/>
        <v>0</v>
      </c>
      <c r="AM9" s="75"/>
      <c r="AN9" s="75">
        <f>'[1]Univ Comm Fund'!M9</f>
        <v>34000000</v>
      </c>
      <c r="AO9" s="75">
        <f>'[1]UNIV 2019'!M15</f>
        <v>34000000</v>
      </c>
      <c r="AP9" s="75">
        <f t="shared" si="13"/>
        <v>0</v>
      </c>
      <c r="AQ9" s="75"/>
      <c r="AR9" s="75">
        <f>'[1]Univ Comm Fund'!N9</f>
        <v>0</v>
      </c>
      <c r="AS9" s="75">
        <f>'[1]UNIV 2019'!N15</f>
        <v>0</v>
      </c>
      <c r="AT9" s="75">
        <f t="shared" si="14"/>
        <v>0</v>
      </c>
      <c r="AU9" s="75"/>
      <c r="AV9" s="75">
        <f>'[1]Univ Comm Fund'!O9</f>
        <v>40000000</v>
      </c>
      <c r="AW9" s="75">
        <f>'[1]UNIV 2019'!O15</f>
        <v>40000000</v>
      </c>
      <c r="AX9" s="75">
        <f t="shared" si="15"/>
        <v>0</v>
      </c>
      <c r="AY9" s="75"/>
      <c r="AZ9" s="75">
        <f>'[1]Univ Comm Fund'!P9</f>
        <v>0</v>
      </c>
      <c r="BA9" s="75">
        <f>'[1]UNIV 2019'!P15</f>
        <v>0</v>
      </c>
      <c r="BB9" s="75">
        <f t="shared" si="0"/>
        <v>0</v>
      </c>
      <c r="BC9" s="75"/>
      <c r="BD9" s="75">
        <f>'[1]Univ Comm Fund'!Q9</f>
        <v>52000000</v>
      </c>
      <c r="BE9" s="75">
        <f>'[1]UNIV 2019'!Q15</f>
        <v>52000000</v>
      </c>
      <c r="BF9" s="75">
        <f t="shared" si="1"/>
        <v>0</v>
      </c>
      <c r="BG9" s="75"/>
      <c r="BH9" s="75">
        <f>'[1]Univ Comm Fund'!R9</f>
        <v>67000000</v>
      </c>
      <c r="BI9" s="75">
        <f>'[1]UNIV 2019'!R15</f>
        <v>67000000</v>
      </c>
      <c r="BJ9" s="75">
        <f t="shared" si="16"/>
        <v>0</v>
      </c>
      <c r="BK9" s="75"/>
      <c r="BL9" s="75">
        <f>'[1]Univ Comm Fund'!S9</f>
        <v>57000000</v>
      </c>
      <c r="BM9" s="75">
        <f>'[1]UNIV 2019'!S15</f>
        <v>57000000</v>
      </c>
      <c r="BN9" s="75">
        <f t="shared" si="17"/>
        <v>0</v>
      </c>
      <c r="BO9" s="75"/>
      <c r="BP9" s="75">
        <f>'[1]Univ Comm Fund'!T9</f>
        <v>0</v>
      </c>
      <c r="BQ9" s="75">
        <f>'[1]UNIV 2019'!T15</f>
        <v>0</v>
      </c>
      <c r="BR9" s="75">
        <f t="shared" si="18"/>
        <v>0</v>
      </c>
      <c r="BS9" s="75"/>
      <c r="BT9" s="75">
        <f>'[1]Univ Comm Fund'!U9</f>
        <v>193140000</v>
      </c>
      <c r="BU9" s="75">
        <f>'[1]UNIV 2019'!U15</f>
        <v>193140000</v>
      </c>
      <c r="BV9" s="75">
        <f t="shared" si="2"/>
        <v>0</v>
      </c>
      <c r="BW9" s="75"/>
      <c r="BX9" s="75">
        <f>'[1]Univ Comm Fund'!V9</f>
        <v>580000000</v>
      </c>
      <c r="BY9" s="75">
        <f>'[1]UNIV 2019'!V15</f>
        <v>580000000</v>
      </c>
      <c r="BZ9" s="75">
        <f t="shared" si="19"/>
        <v>0</v>
      </c>
      <c r="CA9" s="75"/>
      <c r="CB9" s="75">
        <f>'[1]Univ Comm Fund'!W9</f>
        <v>175000000</v>
      </c>
      <c r="CC9" s="75">
        <f>'[1]UNIV 2019'!W15</f>
        <v>175000000</v>
      </c>
      <c r="CD9" s="75">
        <f t="shared" si="20"/>
        <v>0</v>
      </c>
      <c r="CE9" s="75"/>
      <c r="CF9" s="75">
        <v>75000000</v>
      </c>
      <c r="CG9" s="75">
        <f>'[1]UNIV 2019'!X15</f>
        <v>75000000</v>
      </c>
      <c r="CH9" s="75">
        <f t="shared" si="21"/>
        <v>0</v>
      </c>
      <c r="CI9" s="75"/>
      <c r="CJ9" s="75">
        <f>'[1]Univ Comm Fund'!Y9</f>
        <v>950000000</v>
      </c>
      <c r="CK9" s="75">
        <f>'[1]UNIV 2019'!Y15</f>
        <v>950000000</v>
      </c>
      <c r="CL9" s="75">
        <f t="shared" si="22"/>
        <v>0</v>
      </c>
      <c r="CM9" s="75"/>
      <c r="CN9" s="78">
        <f>'[1]Univ Comm Fund'!Z9</f>
        <v>350000000</v>
      </c>
      <c r="CO9" s="75">
        <f>'[1]UNIV 2019'!Z15</f>
        <v>350000000</v>
      </c>
      <c r="CP9" s="75">
        <f t="shared" si="23"/>
        <v>0</v>
      </c>
      <c r="CQ9" s="78"/>
      <c r="CR9" s="75">
        <f>'[1]Univ Comm Fund'!AA9</f>
        <v>572000000</v>
      </c>
      <c r="CS9" s="75">
        <f>'[1]UNIV 2019'!AA15</f>
        <v>572000000</v>
      </c>
      <c r="CT9" s="75">
        <f t="shared" si="24"/>
        <v>0</v>
      </c>
      <c r="CU9" s="75"/>
      <c r="CV9" s="75">
        <f>'[1]Univ Comm Fund'!AB9</f>
        <v>250000000</v>
      </c>
      <c r="CW9" s="75">
        <f>'[1]UNIV 2019'!AB15</f>
        <v>250000000</v>
      </c>
      <c r="CX9" s="75">
        <f t="shared" si="25"/>
        <v>0</v>
      </c>
      <c r="CY9" s="75"/>
      <c r="CZ9" s="75">
        <f>'[1]Univ Comm Fund'!AC9</f>
        <v>356000000</v>
      </c>
      <c r="DA9" s="75">
        <f>'[1]UNIV 2019'!AC15</f>
        <v>356000000</v>
      </c>
      <c r="DB9" s="75">
        <f t="shared" si="26"/>
        <v>0</v>
      </c>
      <c r="DC9" s="75"/>
      <c r="DD9" s="75">
        <f>'[1]Univ Comm Fund'!AD9</f>
        <v>20000000</v>
      </c>
      <c r="DE9" s="75">
        <f>'[1]UNIV 2019'!AD15</f>
        <v>0</v>
      </c>
      <c r="DF9" s="75">
        <f t="shared" si="27"/>
        <v>20000000</v>
      </c>
      <c r="DG9" s="75"/>
      <c r="DH9" s="75">
        <f>'[1]Univ Comm Fund'!AE9</f>
        <v>552000000</v>
      </c>
      <c r="DI9" s="75">
        <f>'[1]UNIV 2019'!AE15</f>
        <v>552000000</v>
      </c>
      <c r="DJ9" s="75">
        <f t="shared" si="28"/>
        <v>0</v>
      </c>
      <c r="DK9" s="75"/>
      <c r="DL9" s="75">
        <f>'[1]Univ Comm Fund'!AF9</f>
        <v>20000000</v>
      </c>
      <c r="DM9" s="75">
        <f>'[1]UNIV 2019'!AF15</f>
        <v>0</v>
      </c>
      <c r="DN9" s="75">
        <f t="shared" si="29"/>
        <v>20000000</v>
      </c>
      <c r="DO9" s="75"/>
      <c r="DP9" s="75">
        <f>'[1]Univ Comm Fund'!AG9</f>
        <v>200000000</v>
      </c>
      <c r="DQ9" s="75">
        <f>'[1]UNIV 2019'!AG15</f>
        <v>200000000</v>
      </c>
      <c r="DR9" s="75">
        <f t="shared" si="30"/>
        <v>0</v>
      </c>
      <c r="DS9" s="75"/>
      <c r="DT9" s="66">
        <f>'[1]Univ Comm Fund'!AH9</f>
        <v>100000000</v>
      </c>
      <c r="DU9" s="75">
        <f>'[1]UNIV 2019'!AH15</f>
        <v>85000000</v>
      </c>
      <c r="DV9" s="66">
        <f t="shared" si="31"/>
        <v>15000000</v>
      </c>
      <c r="DW9" s="75"/>
      <c r="DX9" s="66">
        <f>'[1]Univ Comm Fund'!AI9</f>
        <v>15000000</v>
      </c>
      <c r="DY9" s="75">
        <f>'[1]UNIV 2019'!AI15</f>
        <v>0</v>
      </c>
      <c r="DZ9" s="66">
        <f t="shared" si="32"/>
        <v>15000000</v>
      </c>
      <c r="EA9" s="75"/>
      <c r="EB9" s="66">
        <f>'[1]Univ Comm Fund'!AJ9</f>
        <v>2000000</v>
      </c>
      <c r="EC9" s="75">
        <f>'[1]UNIV 2019'!AJ15</f>
        <v>0</v>
      </c>
      <c r="ED9" s="66">
        <f t="shared" si="33"/>
        <v>2000000</v>
      </c>
      <c r="EE9" s="75"/>
      <c r="EF9" s="66">
        <f>'[1]Univ Comm Fund'!AK9</f>
        <v>10000000</v>
      </c>
      <c r="EG9" s="75">
        <f>'[1]UNIV 2019'!AK15</f>
        <v>0</v>
      </c>
      <c r="EH9" s="66">
        <f t="shared" si="34"/>
        <v>10000000</v>
      </c>
      <c r="EI9" s="66"/>
      <c r="EJ9" s="66">
        <f>'[1]Univ Comm Fund'!AL9</f>
        <v>5910000000</v>
      </c>
      <c r="EK9" s="66">
        <f>'[1]UNIV 2019'!AL15</f>
        <v>5557000000</v>
      </c>
      <c r="EL9" s="66">
        <f t="shared" si="35"/>
        <v>353000000</v>
      </c>
      <c r="EM9" s="75"/>
      <c r="EN9" s="80">
        <f>'[1]Univ Comm Fund'!AM9</f>
        <v>565410000</v>
      </c>
      <c r="EO9" s="75">
        <f>'[1]UNIV 2019'!AM15</f>
        <v>480598500</v>
      </c>
      <c r="EP9" s="75">
        <f t="shared" si="36"/>
        <v>84811500</v>
      </c>
      <c r="EQ9" s="75"/>
      <c r="ER9" s="75">
        <f>'[1]Univ Comm Fund'!AN9</f>
        <v>15000000</v>
      </c>
      <c r="ES9" s="75">
        <f>'[1]UNIV 2019'!AN15</f>
        <v>0</v>
      </c>
      <c r="ET9" s="75">
        <f t="shared" si="37"/>
        <v>15000000</v>
      </c>
      <c r="EU9" s="75"/>
      <c r="EV9" s="75">
        <f>'[1]Univ Comm Fund'!AO9</f>
        <v>15000000</v>
      </c>
      <c r="EW9" s="75">
        <f>'[1]UNIV 2019'!AO15</f>
        <v>0</v>
      </c>
      <c r="EX9" s="75">
        <f t="shared" si="38"/>
        <v>15000000</v>
      </c>
      <c r="EY9" s="75"/>
      <c r="EZ9" s="75">
        <f>'[1]Univ Comm Fund'!AP9</f>
        <v>10000000</v>
      </c>
      <c r="FA9" s="75">
        <f>'[1]UNIV 2019'!AP15</f>
        <v>0</v>
      </c>
      <c r="FB9" s="75">
        <f t="shared" si="39"/>
        <v>10000000</v>
      </c>
      <c r="FC9" s="75"/>
      <c r="FD9" s="75">
        <f>'[1]Univ Comm Fund'!AQ9</f>
        <v>0</v>
      </c>
      <c r="FE9" s="75">
        <f>'[1]UNIV 2019'!AQ15</f>
        <v>0</v>
      </c>
      <c r="FF9" s="75">
        <f t="shared" si="40"/>
        <v>0</v>
      </c>
      <c r="FG9" s="75"/>
      <c r="FH9" s="75">
        <f>'[1]Univ Comm Fund'!AR9</f>
        <v>0</v>
      </c>
      <c r="FI9" s="75">
        <f>'[1]UNIV 2019'!AR15</f>
        <v>0</v>
      </c>
      <c r="FJ9" s="75">
        <f t="shared" si="41"/>
        <v>0</v>
      </c>
      <c r="FK9" s="75"/>
      <c r="FL9" s="75">
        <f>'[1]Univ Comm Fund'!AS9</f>
        <v>300000000</v>
      </c>
      <c r="FM9" s="75">
        <f>'[1]UNIV 2019'!AS15</f>
        <v>0</v>
      </c>
      <c r="FN9" s="75">
        <f t="shared" si="42"/>
        <v>300000000</v>
      </c>
      <c r="FO9" s="75"/>
      <c r="FP9" s="75">
        <f>'[1]Univ Comm Fund'!AT9</f>
        <v>120000000</v>
      </c>
      <c r="FQ9" s="75">
        <f>'[1]UNIV 2019'!AT15</f>
        <v>120000000</v>
      </c>
      <c r="FR9" s="75">
        <f t="shared" si="43"/>
        <v>0</v>
      </c>
      <c r="FS9" s="75"/>
      <c r="FT9" s="75">
        <f>'[1]Univ Comm Fund'!AU9</f>
        <v>10000000</v>
      </c>
      <c r="FU9" s="75">
        <f>'[1]UNIV 2019'!AU15</f>
        <v>0</v>
      </c>
      <c r="FV9" s="75">
        <f t="shared" si="44"/>
        <v>10000000</v>
      </c>
      <c r="FW9" s="75"/>
      <c r="FX9" s="75">
        <f>'[1]Univ Comm Fund'!AV9</f>
        <v>5000000</v>
      </c>
      <c r="FY9" s="75">
        <f>'[1]UNIV 2019'!AV15</f>
        <v>0</v>
      </c>
      <c r="FZ9" s="75">
        <f t="shared" si="45"/>
        <v>5000000</v>
      </c>
      <c r="GA9" s="75"/>
      <c r="GB9" s="75">
        <f>'[1]Univ Comm Fund'!AW9</f>
        <v>10000000</v>
      </c>
      <c r="GC9" s="75">
        <f>'[1]UNIV 2019'!AW15</f>
        <v>0</v>
      </c>
      <c r="GD9" s="75">
        <f t="shared" si="46"/>
        <v>10000000</v>
      </c>
      <c r="GE9" s="75"/>
      <c r="GF9" s="75">
        <f>'[1]Univ Comm Fund'!AX9</f>
        <v>0</v>
      </c>
      <c r="GG9" s="75">
        <f>'[1]UNIV 2019'!AX15</f>
        <v>0</v>
      </c>
      <c r="GH9" s="75">
        <f t="shared" si="47"/>
        <v>0</v>
      </c>
      <c r="GI9" s="75"/>
      <c r="GJ9" s="75">
        <f>'[1]Univ Comm Fund'!AY9</f>
        <v>350000000</v>
      </c>
      <c r="GK9" s="75">
        <f>'[1]UNIV 2019'!AY15</f>
        <v>0</v>
      </c>
      <c r="GL9" s="75">
        <f t="shared" si="48"/>
        <v>350000000</v>
      </c>
      <c r="GM9" s="75"/>
      <c r="GN9" s="75">
        <f>'[1]Univ Comm Fund'!AZ9</f>
        <v>175823700</v>
      </c>
      <c r="GO9" s="75">
        <f>'[1]UNIV 2019'!AZ15</f>
        <v>0</v>
      </c>
      <c r="GP9" s="75">
        <f t="shared" si="49"/>
        <v>175823700</v>
      </c>
      <c r="GQ9" s="75"/>
      <c r="GR9" s="75">
        <f>'[1]Univ Comm Fund'!BA9</f>
        <v>20000000</v>
      </c>
      <c r="GS9" s="75">
        <f>'[1]UNIV 2019'!BA15</f>
        <v>0</v>
      </c>
      <c r="GT9" s="75">
        <f t="shared" si="50"/>
        <v>20000000</v>
      </c>
      <c r="GU9" s="75"/>
      <c r="GV9" s="75">
        <f>'[1]Univ Comm Fund'!BB9</f>
        <v>5000000</v>
      </c>
      <c r="GW9" s="75">
        <f>'[1]UNIV 2019'!BB15</f>
        <v>0</v>
      </c>
      <c r="GX9" s="75">
        <f t="shared" si="51"/>
        <v>5000000</v>
      </c>
      <c r="GY9" s="75"/>
      <c r="GZ9" s="75">
        <f>'[1]Univ Comm Fund'!BC9</f>
        <v>10000000</v>
      </c>
      <c r="HA9" s="75">
        <f>'[1]UNIV 2019'!BD15</f>
        <v>0</v>
      </c>
      <c r="HB9" s="75">
        <f t="shared" si="52"/>
        <v>10000000</v>
      </c>
      <c r="HC9" s="75"/>
      <c r="HD9" s="75">
        <f>'[1]Univ Comm Fund'!BD9</f>
        <v>0</v>
      </c>
      <c r="HE9" s="75">
        <f>'[1]UNIV 2019'!BC15</f>
        <v>0</v>
      </c>
      <c r="HF9" s="75">
        <f t="shared" si="53"/>
        <v>0</v>
      </c>
      <c r="HG9" s="75"/>
      <c r="HH9" s="75">
        <f t="shared" si="54"/>
        <v>12441247476.67</v>
      </c>
      <c r="HI9" s="75">
        <f t="shared" si="54"/>
        <v>10995612276.67</v>
      </c>
      <c r="HJ9" s="82">
        <f t="shared" si="55"/>
        <v>1445635200</v>
      </c>
      <c r="HK9" s="3"/>
      <c r="HL9" s="83">
        <f t="shared" si="56"/>
        <v>3416077776.6700001</v>
      </c>
      <c r="HM9" s="83">
        <f t="shared" si="56"/>
        <v>2666266276.6700001</v>
      </c>
      <c r="HN9" s="84">
        <f t="shared" si="57"/>
        <v>749811500</v>
      </c>
      <c r="HP9" s="83">
        <f t="shared" si="58"/>
        <v>8462000000</v>
      </c>
      <c r="HQ9" s="83">
        <f t="shared" si="58"/>
        <v>8109000000</v>
      </c>
      <c r="HR9" s="84">
        <f t="shared" si="59"/>
        <v>353000000</v>
      </c>
      <c r="HT9" s="83">
        <f t="shared" si="60"/>
        <v>145000000</v>
      </c>
      <c r="HU9" s="83">
        <f t="shared" si="60"/>
        <v>75000000</v>
      </c>
      <c r="HV9" s="84">
        <f t="shared" si="61"/>
        <v>70000000</v>
      </c>
      <c r="HX9" s="83">
        <f t="shared" si="62"/>
        <v>60000000</v>
      </c>
      <c r="HY9" s="83">
        <f t="shared" si="62"/>
        <v>0</v>
      </c>
      <c r="HZ9" s="84">
        <f t="shared" si="63"/>
        <v>60000000</v>
      </c>
      <c r="IB9" s="83">
        <f t="shared" si="64"/>
        <v>35000000</v>
      </c>
      <c r="IC9" s="83">
        <f t="shared" si="64"/>
        <v>0</v>
      </c>
      <c r="ID9" s="84">
        <f t="shared" si="65"/>
        <v>35000000</v>
      </c>
      <c r="IF9" s="83">
        <f t="shared" si="3"/>
        <v>2000000</v>
      </c>
      <c r="IG9" s="83">
        <f t="shared" si="3"/>
        <v>0</v>
      </c>
      <c r="IH9" s="84">
        <f t="shared" si="66"/>
        <v>2000000</v>
      </c>
      <c r="IJ9" s="84">
        <f t="shared" si="67"/>
        <v>295823700</v>
      </c>
      <c r="IK9" s="84">
        <f t="shared" si="67"/>
        <v>120000000</v>
      </c>
      <c r="IL9" s="84">
        <f t="shared" si="68"/>
        <v>175823700</v>
      </c>
    </row>
    <row r="10" spans="1:246" x14ac:dyDescent="0.25">
      <c r="A10" s="42">
        <v>5</v>
      </c>
      <c r="B10" s="86" t="s">
        <v>67</v>
      </c>
      <c r="C10" s="42" t="s">
        <v>65</v>
      </c>
      <c r="D10" s="66">
        <f>'[1]Univ Comm Fund'!D10</f>
        <v>59027776.670000002</v>
      </c>
      <c r="E10" s="66">
        <f>'[1]UNIV 2019'!D16</f>
        <v>59027776.670000002</v>
      </c>
      <c r="F10" s="75">
        <f t="shared" si="4"/>
        <v>0</v>
      </c>
      <c r="G10" s="66"/>
      <c r="H10" s="66">
        <f>'[1]Univ Comm Fund'!E10</f>
        <v>20000000</v>
      </c>
      <c r="I10" s="66">
        <f>'[1]UNIV 2019'!E16</f>
        <v>20000000</v>
      </c>
      <c r="J10" s="66">
        <f t="shared" si="5"/>
        <v>0</v>
      </c>
      <c r="K10" s="66"/>
      <c r="L10" s="66">
        <f>'[1]Univ Comm Fund'!F10</f>
        <v>40000000</v>
      </c>
      <c r="M10" s="66">
        <f>'[1]UNIV 2019'!F16</f>
        <v>40000000</v>
      </c>
      <c r="N10" s="66">
        <f t="shared" si="6"/>
        <v>0</v>
      </c>
      <c r="O10" s="66"/>
      <c r="P10" s="66">
        <f>'[1]Univ Comm Fund'!G10</f>
        <v>466000</v>
      </c>
      <c r="Q10" s="66">
        <f>'[1]UNIV 2019'!G16</f>
        <v>466000</v>
      </c>
      <c r="R10" s="66">
        <f t="shared" si="7"/>
        <v>0</v>
      </c>
      <c r="S10" s="87"/>
      <c r="T10" s="66">
        <f>'[1]Univ Comm Fund'!H10</f>
        <v>50000000</v>
      </c>
      <c r="U10" s="66">
        <f>'[1]UNIV 2019'!H16</f>
        <v>50000000</v>
      </c>
      <c r="V10" s="66">
        <f t="shared" si="8"/>
        <v>0</v>
      </c>
      <c r="W10" s="66"/>
      <c r="X10" s="66">
        <f>'[1]Univ Comm Fund'!I10</f>
        <v>21250000</v>
      </c>
      <c r="Y10" s="66">
        <f>'[1]UNIV 2019'!I16</f>
        <v>21250000</v>
      </c>
      <c r="Z10" s="66">
        <f t="shared" si="9"/>
        <v>0</v>
      </c>
      <c r="AA10" s="66"/>
      <c r="AB10" s="66">
        <f>'[1]Univ Comm Fund'!J10</f>
        <v>30000000</v>
      </c>
      <c r="AC10" s="66">
        <f>'[1]UNIV 2019'!J16</f>
        <v>30000000</v>
      </c>
      <c r="AD10" s="66">
        <f t="shared" si="10"/>
        <v>0</v>
      </c>
      <c r="AE10" s="66"/>
      <c r="AF10" s="88">
        <f>'[1]Univ Comm Fund'!K10</f>
        <v>30000000</v>
      </c>
      <c r="AG10" s="66">
        <f>'[1]UNIV 2019'!K16</f>
        <v>30000000</v>
      </c>
      <c r="AH10" s="66">
        <f t="shared" si="11"/>
        <v>0</v>
      </c>
      <c r="AI10" s="88"/>
      <c r="AJ10" s="66">
        <f>'[1]Univ Comm Fund'!L10</f>
        <v>0</v>
      </c>
      <c r="AK10" s="66">
        <f>'[1]UNIV 2019'!L16</f>
        <v>0</v>
      </c>
      <c r="AL10" s="66">
        <f t="shared" si="12"/>
        <v>0</v>
      </c>
      <c r="AM10" s="66"/>
      <c r="AN10" s="66">
        <f>'[1]Univ Comm Fund'!M10</f>
        <v>40000000</v>
      </c>
      <c r="AO10" s="66">
        <f>'[1]UNIV 2019'!M16</f>
        <v>40000000</v>
      </c>
      <c r="AP10" s="66">
        <f t="shared" si="13"/>
        <v>0</v>
      </c>
      <c r="AQ10" s="66"/>
      <c r="AR10" s="66">
        <f>'[1]Univ Comm Fund'!N10</f>
        <v>0</v>
      </c>
      <c r="AS10" s="66">
        <f>'[1]UNIV 2019'!N16</f>
        <v>0</v>
      </c>
      <c r="AT10" s="66">
        <f t="shared" si="14"/>
        <v>0</v>
      </c>
      <c r="AU10" s="66"/>
      <c r="AV10" s="66">
        <f>'[1]Univ Comm Fund'!O10</f>
        <v>40000000</v>
      </c>
      <c r="AW10" s="66">
        <f>'[1]UNIV 2019'!O16</f>
        <v>40000000</v>
      </c>
      <c r="AX10" s="66">
        <f t="shared" si="15"/>
        <v>0</v>
      </c>
      <c r="AY10" s="66"/>
      <c r="AZ10" s="66">
        <f>'[1]Univ Comm Fund'!P10</f>
        <v>0</v>
      </c>
      <c r="BA10" s="66">
        <f>'[1]UNIV 2019'!P16</f>
        <v>0</v>
      </c>
      <c r="BB10" s="66">
        <f t="shared" si="0"/>
        <v>0</v>
      </c>
      <c r="BC10" s="66"/>
      <c r="BD10" s="66">
        <f>'[1]Univ Comm Fund'!Q10</f>
        <v>52000000</v>
      </c>
      <c r="BE10" s="66">
        <f>'[1]UNIV 2019'!Q16</f>
        <v>52000000</v>
      </c>
      <c r="BF10" s="66">
        <f t="shared" si="1"/>
        <v>0</v>
      </c>
      <c r="BG10" s="66"/>
      <c r="BH10" s="66">
        <f>'[1]Univ Comm Fund'!R10</f>
        <v>56950000</v>
      </c>
      <c r="BI10" s="66">
        <f>'[1]UNIV 2019'!R16</f>
        <v>56950000</v>
      </c>
      <c r="BJ10" s="66">
        <f t="shared" si="16"/>
        <v>0</v>
      </c>
      <c r="BK10" s="66"/>
      <c r="BL10" s="66">
        <f>'[1]Univ Comm Fund'!S10</f>
        <v>48450000</v>
      </c>
      <c r="BM10" s="66">
        <f>'[1]UNIV 2019'!S16</f>
        <v>48450000</v>
      </c>
      <c r="BN10" s="66">
        <f t="shared" si="17"/>
        <v>0</v>
      </c>
      <c r="BO10" s="66"/>
      <c r="BP10" s="66">
        <f>'[1]Univ Comm Fund'!T10</f>
        <v>0</v>
      </c>
      <c r="BQ10" s="66">
        <f>'[1]UNIV 2019'!T16</f>
        <v>0</v>
      </c>
      <c r="BR10" s="66">
        <f t="shared" si="18"/>
        <v>0</v>
      </c>
      <c r="BS10" s="66"/>
      <c r="BT10" s="66">
        <f>'[1]Univ Comm Fund'!U10</f>
        <v>164169000</v>
      </c>
      <c r="BU10" s="66">
        <f>'[1]UNIV 2019'!U16</f>
        <v>164169000</v>
      </c>
      <c r="BV10" s="66">
        <f t="shared" si="2"/>
        <v>0</v>
      </c>
      <c r="BW10" s="66"/>
      <c r="BX10" s="66">
        <f>'[1]Univ Comm Fund'!V10</f>
        <v>12750000</v>
      </c>
      <c r="BY10" s="66">
        <f>'[1]UNIV 2019'!V16</f>
        <v>12750000</v>
      </c>
      <c r="BZ10" s="66">
        <f t="shared" si="19"/>
        <v>0</v>
      </c>
      <c r="CA10" s="66"/>
      <c r="CB10" s="66">
        <f>'[1]Univ Comm Fund'!W10</f>
        <v>175000000</v>
      </c>
      <c r="CC10" s="66">
        <f>'[1]UNIV 2019'!W16</f>
        <v>0</v>
      </c>
      <c r="CD10" s="66">
        <f t="shared" si="20"/>
        <v>175000000</v>
      </c>
      <c r="CE10" s="66"/>
      <c r="CF10" s="66">
        <v>75000000</v>
      </c>
      <c r="CG10" s="66">
        <f>'[1]UNIV 2019'!X16</f>
        <v>0</v>
      </c>
      <c r="CH10" s="75">
        <f t="shared" si="21"/>
        <v>75000000</v>
      </c>
      <c r="CI10" s="66"/>
      <c r="CJ10" s="66">
        <f>'[1]Univ Comm Fund'!Y10</f>
        <v>0</v>
      </c>
      <c r="CK10" s="66">
        <f>'[1]UNIV 2019'!Y16</f>
        <v>0</v>
      </c>
      <c r="CL10" s="66">
        <f t="shared" si="22"/>
        <v>0</v>
      </c>
      <c r="CM10" s="66"/>
      <c r="CN10" s="20">
        <f>'[1]Univ Comm Fund'!Z10</f>
        <v>350000000</v>
      </c>
      <c r="CO10" s="66">
        <f>'[1]UNIV 2019'!Z16</f>
        <v>297500000</v>
      </c>
      <c r="CP10" s="66">
        <f t="shared" si="23"/>
        <v>52500000</v>
      </c>
      <c r="CQ10" s="20"/>
      <c r="CR10" s="66">
        <f>'[1]Univ Comm Fund'!AA10</f>
        <v>0</v>
      </c>
      <c r="CS10" s="66">
        <f>'[1]UNIV 2019'!AA16</f>
        <v>0</v>
      </c>
      <c r="CT10" s="75">
        <f t="shared" si="24"/>
        <v>0</v>
      </c>
      <c r="CU10" s="66"/>
      <c r="CV10" s="66">
        <f>'[1]Univ Comm Fund'!AB10</f>
        <v>0</v>
      </c>
      <c r="CW10" s="66">
        <f>'[1]UNIV 2019'!AB16</f>
        <v>0</v>
      </c>
      <c r="CX10" s="75">
        <f t="shared" si="25"/>
        <v>0</v>
      </c>
      <c r="CY10" s="66"/>
      <c r="CZ10" s="66">
        <f>'[1]Univ Comm Fund'!AC10</f>
        <v>356000000</v>
      </c>
      <c r="DA10" s="66">
        <f>'[1]UNIV 2019'!AC16</f>
        <v>302600000</v>
      </c>
      <c r="DB10" s="66">
        <f t="shared" si="26"/>
        <v>53400000</v>
      </c>
      <c r="DC10" s="66"/>
      <c r="DD10" s="66">
        <f>'[1]Univ Comm Fund'!AD10</f>
        <v>20000000</v>
      </c>
      <c r="DE10" s="66">
        <f>'[1]UNIV 2019'!AD16</f>
        <v>0</v>
      </c>
      <c r="DF10" s="66">
        <f t="shared" si="27"/>
        <v>20000000</v>
      </c>
      <c r="DG10" s="66"/>
      <c r="DH10" s="66">
        <f>'[1]Univ Comm Fund'!AE10</f>
        <v>552000000</v>
      </c>
      <c r="DI10" s="66">
        <f>'[1]UNIV 2019'!AE16</f>
        <v>469200000</v>
      </c>
      <c r="DJ10" s="66">
        <f t="shared" si="28"/>
        <v>82800000</v>
      </c>
      <c r="DK10" s="66"/>
      <c r="DL10" s="66">
        <f>'[1]Univ Comm Fund'!AF10</f>
        <v>20000000</v>
      </c>
      <c r="DM10" s="66">
        <f>'[1]UNIV 2019'!AF16</f>
        <v>0</v>
      </c>
      <c r="DN10" s="66">
        <f t="shared" si="29"/>
        <v>20000000</v>
      </c>
      <c r="DO10" s="66"/>
      <c r="DP10" s="66">
        <f>'[1]Univ Comm Fund'!AG10</f>
        <v>0</v>
      </c>
      <c r="DQ10" s="66">
        <f>'[1]UNIV 2019'!AG16</f>
        <v>0</v>
      </c>
      <c r="DR10" s="66">
        <f t="shared" si="30"/>
        <v>0</v>
      </c>
      <c r="DS10" s="66"/>
      <c r="DT10" s="66">
        <f>'[1]Univ Comm Fund'!AH10</f>
        <v>100000000</v>
      </c>
      <c r="DU10" s="66">
        <f>'[1]UNIV 2019'!AH16</f>
        <v>0</v>
      </c>
      <c r="DV10" s="66">
        <f t="shared" si="31"/>
        <v>100000000</v>
      </c>
      <c r="DW10" s="66"/>
      <c r="DX10" s="66">
        <f>'[1]Univ Comm Fund'!AI10</f>
        <v>15000000</v>
      </c>
      <c r="DY10" s="66">
        <f>'[1]UNIV 2019'!AI16</f>
        <v>0</v>
      </c>
      <c r="DZ10" s="66">
        <f t="shared" si="32"/>
        <v>15000000</v>
      </c>
      <c r="EA10" s="66"/>
      <c r="EB10" s="66">
        <f>'[1]Univ Comm Fund'!AJ10</f>
        <v>2000000</v>
      </c>
      <c r="EC10" s="66">
        <f>'[1]UNIV 2019'!AJ16</f>
        <v>0</v>
      </c>
      <c r="ED10" s="66">
        <f t="shared" si="33"/>
        <v>2000000</v>
      </c>
      <c r="EE10" s="66"/>
      <c r="EF10" s="66">
        <f>'[1]Univ Comm Fund'!AK10</f>
        <v>10000000</v>
      </c>
      <c r="EG10" s="66">
        <f>'[1]UNIV 2019'!AK16</f>
        <v>0</v>
      </c>
      <c r="EH10" s="66">
        <f t="shared" si="34"/>
        <v>10000000</v>
      </c>
      <c r="EI10" s="66"/>
      <c r="EJ10" s="66">
        <f>'[1]Univ Comm Fund'!AL10</f>
        <v>0</v>
      </c>
      <c r="EK10" s="66">
        <f>'[1]UNIV 2019'!AL16</f>
        <v>0</v>
      </c>
      <c r="EL10" s="66">
        <f t="shared" si="35"/>
        <v>0</v>
      </c>
      <c r="EM10" s="66"/>
      <c r="EN10" s="80">
        <f>'[1]Univ Comm Fund'!AM10</f>
        <v>565410000</v>
      </c>
      <c r="EO10" s="66">
        <f>'[1]UNIV 2019'!AM16</f>
        <v>0</v>
      </c>
      <c r="EP10" s="75">
        <f t="shared" si="36"/>
        <v>565410000</v>
      </c>
      <c r="EQ10" s="66"/>
      <c r="ER10" s="66">
        <f>'[1]Univ Comm Fund'!AN10</f>
        <v>15000000</v>
      </c>
      <c r="ES10" s="66">
        <f>'[1]UNIV 2019'!AN16</f>
        <v>0</v>
      </c>
      <c r="ET10" s="75">
        <f t="shared" si="37"/>
        <v>15000000</v>
      </c>
      <c r="EU10" s="66"/>
      <c r="EV10" s="66">
        <f>'[1]Univ Comm Fund'!AO10</f>
        <v>15000000</v>
      </c>
      <c r="EW10" s="66">
        <f>'[1]UNIV 2019'!AO16</f>
        <v>0</v>
      </c>
      <c r="EX10" s="75">
        <f t="shared" si="38"/>
        <v>15000000</v>
      </c>
      <c r="EY10" s="66"/>
      <c r="EZ10" s="66">
        <f>'[1]Univ Comm Fund'!AP10</f>
        <v>10000000</v>
      </c>
      <c r="FA10" s="66">
        <f>'[1]UNIV 2019'!AP16</f>
        <v>0</v>
      </c>
      <c r="FB10" s="75">
        <f t="shared" si="39"/>
        <v>10000000</v>
      </c>
      <c r="FC10" s="75"/>
      <c r="FD10" s="75">
        <f>'[1]Univ Comm Fund'!AQ10</f>
        <v>0</v>
      </c>
      <c r="FE10" s="75">
        <f>'[1]UNIV 2019'!AQ16</f>
        <v>0</v>
      </c>
      <c r="FF10" s="75">
        <f t="shared" si="40"/>
        <v>0</v>
      </c>
      <c r="FG10" s="75"/>
      <c r="FH10" s="75">
        <f>'[1]Univ Comm Fund'!AR10</f>
        <v>0</v>
      </c>
      <c r="FI10" s="75">
        <f>'[1]UNIV 2019'!AR16</f>
        <v>0</v>
      </c>
      <c r="FJ10" s="75">
        <f t="shared" si="41"/>
        <v>0</v>
      </c>
      <c r="FK10" s="75"/>
      <c r="FL10" s="75">
        <f>'[1]Univ Comm Fund'!AS10</f>
        <v>300000000</v>
      </c>
      <c r="FM10" s="75">
        <f>'[1]UNIV 2019'!AS16</f>
        <v>0</v>
      </c>
      <c r="FN10" s="75">
        <f t="shared" si="42"/>
        <v>300000000</v>
      </c>
      <c r="FO10" s="75"/>
      <c r="FP10" s="75">
        <f>'[1]Univ Comm Fund'!AT10</f>
        <v>120000000</v>
      </c>
      <c r="FQ10" s="75">
        <f>'[1]UNIV 2019'!AT16</f>
        <v>0</v>
      </c>
      <c r="FR10" s="75">
        <f t="shared" si="43"/>
        <v>120000000</v>
      </c>
      <c r="FS10" s="75"/>
      <c r="FT10" s="75">
        <f>'[1]Univ Comm Fund'!AU10</f>
        <v>10000000</v>
      </c>
      <c r="FU10" s="75">
        <f>'[1]UNIV 2019'!AU16</f>
        <v>0</v>
      </c>
      <c r="FV10" s="75">
        <f t="shared" si="44"/>
        <v>10000000</v>
      </c>
      <c r="FW10" s="75"/>
      <c r="FX10" s="75">
        <f>'[1]Univ Comm Fund'!AV10</f>
        <v>5000000</v>
      </c>
      <c r="FY10" s="75">
        <f>'[1]UNIV 2019'!AV16</f>
        <v>0</v>
      </c>
      <c r="FZ10" s="75">
        <f t="shared" si="45"/>
        <v>5000000</v>
      </c>
      <c r="GA10" s="75"/>
      <c r="GB10" s="75">
        <f>'[1]Univ Comm Fund'!AW10</f>
        <v>10000000</v>
      </c>
      <c r="GC10" s="75">
        <f>'[1]UNIV 2019'!AW16</f>
        <v>0</v>
      </c>
      <c r="GD10" s="75">
        <f t="shared" si="46"/>
        <v>10000000</v>
      </c>
      <c r="GE10" s="75"/>
      <c r="GF10" s="75">
        <f>'[1]Univ Comm Fund'!AX10</f>
        <v>0</v>
      </c>
      <c r="GG10" s="75">
        <f>'[1]UNIV 2019'!AX16</f>
        <v>0</v>
      </c>
      <c r="GH10" s="75">
        <f t="shared" si="47"/>
        <v>0</v>
      </c>
      <c r="GI10" s="75"/>
      <c r="GJ10" s="75">
        <f>'[1]Univ Comm Fund'!AY10</f>
        <v>350000000</v>
      </c>
      <c r="GK10" s="75">
        <f>'[1]UNIV 2019'!AY16</f>
        <v>0</v>
      </c>
      <c r="GL10" s="75">
        <f t="shared" si="48"/>
        <v>350000000</v>
      </c>
      <c r="GM10" s="75"/>
      <c r="GN10" s="75">
        <f>'[1]Univ Comm Fund'!AZ10</f>
        <v>175823700</v>
      </c>
      <c r="GO10" s="75">
        <f>'[1]UNIV 2019'!AZ16</f>
        <v>0</v>
      </c>
      <c r="GP10" s="75">
        <f t="shared" si="49"/>
        <v>175823700</v>
      </c>
      <c r="GQ10" s="75"/>
      <c r="GR10" s="75">
        <f>'[1]Univ Comm Fund'!BA10</f>
        <v>20000000</v>
      </c>
      <c r="GS10" s="75">
        <f>'[1]UNIV 2019'!BA16</f>
        <v>0</v>
      </c>
      <c r="GT10" s="75">
        <f t="shared" si="50"/>
        <v>20000000</v>
      </c>
      <c r="GU10" s="75"/>
      <c r="GV10" s="75">
        <f>'[1]Univ Comm Fund'!BB10</f>
        <v>5000000</v>
      </c>
      <c r="GW10" s="75">
        <f>'[1]UNIV 2019'!BB16</f>
        <v>0</v>
      </c>
      <c r="GX10" s="75">
        <f t="shared" si="51"/>
        <v>5000000</v>
      </c>
      <c r="GY10" s="75"/>
      <c r="GZ10" s="75">
        <f>'[1]Univ Comm Fund'!BC10</f>
        <v>10000000</v>
      </c>
      <c r="HA10" s="75">
        <f>'[1]UNIV 2019'!BD16</f>
        <v>0</v>
      </c>
      <c r="HB10" s="75">
        <f t="shared" si="52"/>
        <v>10000000</v>
      </c>
      <c r="HC10" s="75"/>
      <c r="HD10" s="75">
        <f>'[1]Univ Comm Fund'!BD10</f>
        <v>0</v>
      </c>
      <c r="HE10" s="75">
        <f>'[1]UNIV 2019'!BC16</f>
        <v>0</v>
      </c>
      <c r="HF10" s="75">
        <f t="shared" si="53"/>
        <v>0</v>
      </c>
      <c r="HG10" s="75"/>
      <c r="HH10" s="75">
        <f t="shared" si="54"/>
        <v>3951296476.6700001</v>
      </c>
      <c r="HI10" s="75">
        <f t="shared" si="54"/>
        <v>1734362776.6700001</v>
      </c>
      <c r="HJ10" s="82">
        <f t="shared" si="55"/>
        <v>2216933700</v>
      </c>
      <c r="HL10" s="83">
        <f t="shared" si="56"/>
        <v>3379006776.6700001</v>
      </c>
      <c r="HM10" s="83">
        <f t="shared" si="56"/>
        <v>1699896776.6700001</v>
      </c>
      <c r="HN10" s="84">
        <f t="shared" si="57"/>
        <v>1679110000</v>
      </c>
      <c r="HP10" s="83">
        <f t="shared" si="58"/>
        <v>12750000</v>
      </c>
      <c r="HQ10" s="83">
        <f t="shared" si="58"/>
        <v>12750000</v>
      </c>
      <c r="HR10" s="84">
        <f t="shared" si="59"/>
        <v>0</v>
      </c>
      <c r="HT10" s="83">
        <f t="shared" si="60"/>
        <v>145000000</v>
      </c>
      <c r="HU10" s="83">
        <f t="shared" si="60"/>
        <v>0</v>
      </c>
      <c r="HV10" s="84">
        <f t="shared" si="61"/>
        <v>145000000</v>
      </c>
      <c r="HX10" s="83">
        <f t="shared" si="62"/>
        <v>60000000</v>
      </c>
      <c r="HY10" s="83">
        <f t="shared" si="62"/>
        <v>0</v>
      </c>
      <c r="HZ10" s="84">
        <f t="shared" si="63"/>
        <v>60000000</v>
      </c>
      <c r="IB10" s="83">
        <f t="shared" si="64"/>
        <v>35000000</v>
      </c>
      <c r="IC10" s="83">
        <f t="shared" si="64"/>
        <v>0</v>
      </c>
      <c r="ID10" s="84">
        <f t="shared" si="65"/>
        <v>35000000</v>
      </c>
      <c r="IF10" s="83">
        <f t="shared" si="3"/>
        <v>2000000</v>
      </c>
      <c r="IG10" s="83">
        <f t="shared" si="3"/>
        <v>0</v>
      </c>
      <c r="IH10" s="84">
        <f t="shared" si="66"/>
        <v>2000000</v>
      </c>
      <c r="IJ10" s="84">
        <f t="shared" si="67"/>
        <v>295823700</v>
      </c>
      <c r="IK10" s="84">
        <f t="shared" si="67"/>
        <v>0</v>
      </c>
      <c r="IL10" s="84">
        <f t="shared" si="68"/>
        <v>295823700</v>
      </c>
    </row>
    <row r="11" spans="1:246" x14ac:dyDescent="0.25">
      <c r="A11" s="42">
        <v>6</v>
      </c>
      <c r="B11" s="86" t="s">
        <v>68</v>
      </c>
      <c r="C11" s="42" t="s">
        <v>69</v>
      </c>
      <c r="D11" s="66">
        <f>'[1]Univ Comm Fund'!D11</f>
        <v>59027776.670000002</v>
      </c>
      <c r="E11" s="66">
        <f>'[1]UNIV 2019'!D17</f>
        <v>59027776.600000001</v>
      </c>
      <c r="F11" s="75">
        <f t="shared" si="4"/>
        <v>7.0000000298023224E-2</v>
      </c>
      <c r="G11" s="66"/>
      <c r="H11" s="66">
        <f>'[1]Univ Comm Fund'!E11</f>
        <v>20000000</v>
      </c>
      <c r="I11" s="66">
        <f>'[1]UNIV 2019'!E17</f>
        <v>20000000</v>
      </c>
      <c r="J11" s="66">
        <f t="shared" si="5"/>
        <v>0</v>
      </c>
      <c r="K11" s="66"/>
      <c r="L11" s="66">
        <f>'[1]Univ Comm Fund'!F11</f>
        <v>40000000</v>
      </c>
      <c r="M11" s="66">
        <f>'[1]UNIV 2019'!F17</f>
        <v>40000000</v>
      </c>
      <c r="N11" s="66">
        <f t="shared" si="6"/>
        <v>0</v>
      </c>
      <c r="O11" s="66"/>
      <c r="P11" s="66">
        <f>'[1]Univ Comm Fund'!G11</f>
        <v>0</v>
      </c>
      <c r="Q11" s="66">
        <f>'[1]UNIV 2019'!G17</f>
        <v>0</v>
      </c>
      <c r="R11" s="66">
        <f t="shared" si="7"/>
        <v>0</v>
      </c>
      <c r="S11" s="87"/>
      <c r="T11" s="66">
        <f>'[1]Univ Comm Fund'!H11</f>
        <v>50000000</v>
      </c>
      <c r="U11" s="66">
        <f>'[1]UNIV 2019'!H17</f>
        <v>50000000</v>
      </c>
      <c r="V11" s="66">
        <f t="shared" si="8"/>
        <v>0</v>
      </c>
      <c r="W11" s="66"/>
      <c r="X11" s="66">
        <f>'[1]Univ Comm Fund'!I11</f>
        <v>25000000</v>
      </c>
      <c r="Y11" s="66">
        <f>'[1]UNIV 2019'!I17</f>
        <v>25000000</v>
      </c>
      <c r="Z11" s="66">
        <f t="shared" si="9"/>
        <v>0</v>
      </c>
      <c r="AA11" s="66"/>
      <c r="AB11" s="66">
        <f>'[1]Univ Comm Fund'!J11</f>
        <v>30000000</v>
      </c>
      <c r="AC11" s="66">
        <f>'[1]UNIV 2019'!J17</f>
        <v>30000000</v>
      </c>
      <c r="AD11" s="66">
        <f t="shared" si="10"/>
        <v>0</v>
      </c>
      <c r="AE11" s="66"/>
      <c r="AF11" s="88">
        <f>'[1]Univ Comm Fund'!K11</f>
        <v>30000000</v>
      </c>
      <c r="AG11" s="66">
        <f>'[1]UNIV 2019'!K17</f>
        <v>30000000</v>
      </c>
      <c r="AH11" s="66">
        <f t="shared" si="11"/>
        <v>0</v>
      </c>
      <c r="AI11" s="88"/>
      <c r="AJ11" s="66">
        <f>'[1]Univ Comm Fund'!L11</f>
        <v>0</v>
      </c>
      <c r="AK11" s="66">
        <f>'[1]UNIV 2019'!L17</f>
        <v>0</v>
      </c>
      <c r="AL11" s="66">
        <f t="shared" si="12"/>
        <v>0</v>
      </c>
      <c r="AM11" s="66"/>
      <c r="AN11" s="66">
        <f>'[1]Univ Comm Fund'!M11</f>
        <v>22000000</v>
      </c>
      <c r="AO11" s="66">
        <f>'[1]UNIV 2019'!M17</f>
        <v>22000000</v>
      </c>
      <c r="AP11" s="66">
        <f t="shared" si="13"/>
        <v>0</v>
      </c>
      <c r="AQ11" s="66"/>
      <c r="AR11" s="66">
        <f>'[1]Univ Comm Fund'!N11</f>
        <v>0</v>
      </c>
      <c r="AS11" s="66">
        <f>'[1]UNIV 2019'!N17</f>
        <v>0</v>
      </c>
      <c r="AT11" s="66">
        <f t="shared" si="14"/>
        <v>0</v>
      </c>
      <c r="AU11" s="66"/>
      <c r="AV11" s="66">
        <f>'[1]Univ Comm Fund'!O11</f>
        <v>40000000</v>
      </c>
      <c r="AW11" s="66">
        <f>'[1]UNIV 2019'!O17</f>
        <v>40000000</v>
      </c>
      <c r="AX11" s="66">
        <f t="shared" si="15"/>
        <v>0</v>
      </c>
      <c r="AY11" s="66"/>
      <c r="AZ11" s="66">
        <f>'[1]Univ Comm Fund'!P11</f>
        <v>0</v>
      </c>
      <c r="BA11" s="66">
        <f>'[1]UNIV 2019'!P17</f>
        <v>0</v>
      </c>
      <c r="BB11" s="66">
        <f t="shared" si="0"/>
        <v>0</v>
      </c>
      <c r="BC11" s="66"/>
      <c r="BD11" s="66">
        <f>'[1]Univ Comm Fund'!Q11</f>
        <v>52000000</v>
      </c>
      <c r="BE11" s="66">
        <f>'[1]UNIV 2019'!Q17</f>
        <v>52000000</v>
      </c>
      <c r="BF11" s="66">
        <f t="shared" si="1"/>
        <v>0</v>
      </c>
      <c r="BG11" s="66"/>
      <c r="BH11" s="66">
        <f>'[1]Univ Comm Fund'!R11</f>
        <v>67000000</v>
      </c>
      <c r="BI11" s="66">
        <f>'[1]UNIV 2019'!R17</f>
        <v>67000000</v>
      </c>
      <c r="BJ11" s="66">
        <f t="shared" si="16"/>
        <v>0</v>
      </c>
      <c r="BK11" s="66"/>
      <c r="BL11" s="66">
        <f>'[1]Univ Comm Fund'!S11</f>
        <v>30210000</v>
      </c>
      <c r="BM11" s="66">
        <f>'[1]UNIV 2019'!S17</f>
        <v>30210000</v>
      </c>
      <c r="BN11" s="66">
        <f t="shared" si="17"/>
        <v>0</v>
      </c>
      <c r="BO11" s="66"/>
      <c r="BP11" s="66">
        <f>'[1]Univ Comm Fund'!T11</f>
        <v>0</v>
      </c>
      <c r="BQ11" s="66">
        <f>'[1]UNIV 2019'!T17</f>
        <v>0</v>
      </c>
      <c r="BR11" s="66">
        <f t="shared" si="18"/>
        <v>0</v>
      </c>
      <c r="BS11" s="66"/>
      <c r="BT11" s="66">
        <f>'[1]Univ Comm Fund'!U11</f>
        <v>172359000</v>
      </c>
      <c r="BU11" s="66">
        <f>'[1]UNIV 2019'!U17</f>
        <v>172359000</v>
      </c>
      <c r="BV11" s="66">
        <f t="shared" si="2"/>
        <v>0</v>
      </c>
      <c r="BW11" s="66"/>
      <c r="BX11" s="66">
        <f>'[1]Univ Comm Fund'!V11</f>
        <v>0</v>
      </c>
      <c r="BY11" s="66">
        <f>'[1]UNIV 2019'!V17</f>
        <v>0</v>
      </c>
      <c r="BZ11" s="66">
        <f t="shared" si="19"/>
        <v>0</v>
      </c>
      <c r="CA11" s="66"/>
      <c r="CB11" s="66">
        <f>'[1]Univ Comm Fund'!W11</f>
        <v>175000000</v>
      </c>
      <c r="CC11" s="66">
        <f>'[1]UNIV 2019'!W17</f>
        <v>148750000</v>
      </c>
      <c r="CD11" s="66">
        <f t="shared" si="20"/>
        <v>26250000</v>
      </c>
      <c r="CE11" s="66"/>
      <c r="CF11" s="66">
        <v>75000000</v>
      </c>
      <c r="CG11" s="66">
        <f>'[1]UNIV 2019'!X17</f>
        <v>63750000</v>
      </c>
      <c r="CH11" s="75">
        <f t="shared" si="21"/>
        <v>11250000</v>
      </c>
      <c r="CI11" s="66"/>
      <c r="CJ11" s="66">
        <f>'[1]Univ Comm Fund'!Y11</f>
        <v>0</v>
      </c>
      <c r="CK11" s="66">
        <f>'[1]UNIV 2019'!Y17</f>
        <v>0</v>
      </c>
      <c r="CL11" s="66">
        <f t="shared" si="22"/>
        <v>0</v>
      </c>
      <c r="CM11" s="66"/>
      <c r="CN11" s="20">
        <f>'[1]Univ Comm Fund'!Z11</f>
        <v>350000000</v>
      </c>
      <c r="CO11" s="66">
        <f>'[1]UNIV 2019'!Z17</f>
        <v>297500000</v>
      </c>
      <c r="CP11" s="66">
        <f t="shared" si="23"/>
        <v>52500000</v>
      </c>
      <c r="CQ11" s="20"/>
      <c r="CR11" s="66">
        <f>'[1]Univ Comm Fund'!AA11</f>
        <v>0</v>
      </c>
      <c r="CS11" s="66">
        <f>'[1]UNIV 2019'!AA17</f>
        <v>0</v>
      </c>
      <c r="CT11" s="75">
        <f t="shared" si="24"/>
        <v>0</v>
      </c>
      <c r="CU11" s="66"/>
      <c r="CV11" s="66">
        <f>'[1]Univ Comm Fund'!AB11</f>
        <v>0</v>
      </c>
      <c r="CW11" s="66">
        <f>'[1]UNIV 2019'!AB17</f>
        <v>0</v>
      </c>
      <c r="CX11" s="75">
        <f t="shared" si="25"/>
        <v>0</v>
      </c>
      <c r="CY11" s="66"/>
      <c r="CZ11" s="66">
        <f>'[1]Univ Comm Fund'!AC11</f>
        <v>356000000</v>
      </c>
      <c r="DA11" s="66">
        <f>'[1]UNIV 2019'!AC17</f>
        <v>302600000</v>
      </c>
      <c r="DB11" s="66">
        <f t="shared" si="26"/>
        <v>53400000</v>
      </c>
      <c r="DC11" s="66"/>
      <c r="DD11" s="66">
        <f>'[1]Univ Comm Fund'!AD11</f>
        <v>20000000</v>
      </c>
      <c r="DE11" s="66">
        <f>'[1]UNIV 2019'!AD17</f>
        <v>17000000</v>
      </c>
      <c r="DF11" s="66">
        <f t="shared" si="27"/>
        <v>3000000</v>
      </c>
      <c r="DG11" s="66"/>
      <c r="DH11" s="66">
        <f>'[1]Univ Comm Fund'!AE11</f>
        <v>552000000</v>
      </c>
      <c r="DI11" s="66">
        <f>'[1]UNIV 2019'!AE17</f>
        <v>469200000</v>
      </c>
      <c r="DJ11" s="66">
        <f t="shared" si="28"/>
        <v>82800000</v>
      </c>
      <c r="DK11" s="66"/>
      <c r="DL11" s="66">
        <f>'[1]Univ Comm Fund'!AF11</f>
        <v>20000000</v>
      </c>
      <c r="DM11" s="66">
        <f>'[1]UNIV 2019'!AF17</f>
        <v>17000000</v>
      </c>
      <c r="DN11" s="66">
        <f t="shared" si="29"/>
        <v>3000000</v>
      </c>
      <c r="DO11" s="66"/>
      <c r="DP11" s="66">
        <f>'[1]Univ Comm Fund'!AG11</f>
        <v>0</v>
      </c>
      <c r="DQ11" s="66">
        <f>'[1]UNIV 2019'!AG17</f>
        <v>0</v>
      </c>
      <c r="DR11" s="66">
        <f t="shared" si="30"/>
        <v>0</v>
      </c>
      <c r="DS11" s="66"/>
      <c r="DT11" s="66">
        <f>'[1]Univ Comm Fund'!AH11</f>
        <v>100000000</v>
      </c>
      <c r="DU11" s="66">
        <f>'[1]UNIV 2019'!AH17</f>
        <v>64000000</v>
      </c>
      <c r="DV11" s="66">
        <f t="shared" si="31"/>
        <v>36000000</v>
      </c>
      <c r="DW11" s="66"/>
      <c r="DX11" s="66">
        <f>'[1]Univ Comm Fund'!AI11</f>
        <v>15000000</v>
      </c>
      <c r="DY11" s="66">
        <f>'[1]UNIV 2019'!AI17</f>
        <v>0</v>
      </c>
      <c r="DZ11" s="66">
        <f t="shared" si="32"/>
        <v>15000000</v>
      </c>
      <c r="EA11" s="66"/>
      <c r="EB11" s="66">
        <f>'[1]Univ Comm Fund'!AJ11</f>
        <v>2000000</v>
      </c>
      <c r="EC11" s="66">
        <f>'[1]UNIV 2019'!AJ17</f>
        <v>0</v>
      </c>
      <c r="ED11" s="66">
        <f t="shared" si="33"/>
        <v>2000000</v>
      </c>
      <c r="EE11" s="66"/>
      <c r="EF11" s="66">
        <f>'[1]Univ Comm Fund'!AK11</f>
        <v>10000000</v>
      </c>
      <c r="EG11" s="66">
        <f>'[1]UNIV 2019'!AK17</f>
        <v>0</v>
      </c>
      <c r="EH11" s="66">
        <f t="shared" si="34"/>
        <v>10000000</v>
      </c>
      <c r="EI11" s="66"/>
      <c r="EJ11" s="66">
        <f>'[1]Univ Comm Fund'!AL11</f>
        <v>0</v>
      </c>
      <c r="EK11" s="66">
        <f>'[1]UNIV 2019'!AL17</f>
        <v>0</v>
      </c>
      <c r="EL11" s="66">
        <f t="shared" si="35"/>
        <v>0</v>
      </c>
      <c r="EM11" s="66"/>
      <c r="EN11" s="80">
        <f>'[1]Univ Comm Fund'!AM11</f>
        <v>565410000</v>
      </c>
      <c r="EO11" s="66">
        <f>'[1]UNIV 2019'!AM17</f>
        <v>361862400</v>
      </c>
      <c r="EP11" s="75">
        <f t="shared" si="36"/>
        <v>203547600</v>
      </c>
      <c r="EQ11" s="66"/>
      <c r="ER11" s="66">
        <f>'[1]Univ Comm Fund'!AN11</f>
        <v>15000000</v>
      </c>
      <c r="ES11" s="66">
        <f>'[1]UNIV 2019'!AN17</f>
        <v>0</v>
      </c>
      <c r="ET11" s="75">
        <f t="shared" si="37"/>
        <v>15000000</v>
      </c>
      <c r="EU11" s="66"/>
      <c r="EV11" s="66">
        <f>'[1]Univ Comm Fund'!AO11</f>
        <v>15000000</v>
      </c>
      <c r="EW11" s="66">
        <f>'[1]UNIV 2019'!AO17</f>
        <v>0</v>
      </c>
      <c r="EX11" s="75">
        <f t="shared" si="38"/>
        <v>15000000</v>
      </c>
      <c r="EY11" s="66"/>
      <c r="EZ11" s="66">
        <f>'[1]Univ Comm Fund'!AP11</f>
        <v>10000000</v>
      </c>
      <c r="FA11" s="66">
        <f>'[1]UNIV 2019'!AP17</f>
        <v>0</v>
      </c>
      <c r="FB11" s="75">
        <f t="shared" si="39"/>
        <v>10000000</v>
      </c>
      <c r="FC11" s="75"/>
      <c r="FD11" s="75">
        <f>'[1]Univ Comm Fund'!AQ11</f>
        <v>0</v>
      </c>
      <c r="FE11" s="75">
        <f>'[1]UNIV 2019'!AQ17</f>
        <v>0</v>
      </c>
      <c r="FF11" s="75">
        <f t="shared" si="40"/>
        <v>0</v>
      </c>
      <c r="FG11" s="75"/>
      <c r="FH11" s="75">
        <f>'[1]Univ Comm Fund'!AR11</f>
        <v>0</v>
      </c>
      <c r="FI11" s="75">
        <f>'[1]UNIV 2019'!AR17</f>
        <v>0</v>
      </c>
      <c r="FJ11" s="75">
        <f t="shared" si="41"/>
        <v>0</v>
      </c>
      <c r="FK11" s="75"/>
      <c r="FL11" s="75">
        <f>'[1]Univ Comm Fund'!AS11</f>
        <v>300000000</v>
      </c>
      <c r="FM11" s="75">
        <f>'[1]UNIV 2019'!AS17</f>
        <v>0</v>
      </c>
      <c r="FN11" s="75">
        <f t="shared" si="42"/>
        <v>300000000</v>
      </c>
      <c r="FO11" s="75"/>
      <c r="FP11" s="75">
        <f>'[1]Univ Comm Fund'!AT11</f>
        <v>120000000</v>
      </c>
      <c r="FQ11" s="75">
        <f>'[1]UNIV 2019'!AT17</f>
        <v>75600000</v>
      </c>
      <c r="FR11" s="75">
        <f t="shared" si="43"/>
        <v>44400000</v>
      </c>
      <c r="FS11" s="75"/>
      <c r="FT11" s="75">
        <f>'[1]Univ Comm Fund'!AU11</f>
        <v>10000000</v>
      </c>
      <c r="FU11" s="75">
        <f>'[1]UNIV 2019'!AU17</f>
        <v>0</v>
      </c>
      <c r="FV11" s="75">
        <f t="shared" si="44"/>
        <v>10000000</v>
      </c>
      <c r="FW11" s="75"/>
      <c r="FX11" s="75">
        <f>'[1]Univ Comm Fund'!AV11</f>
        <v>5000000</v>
      </c>
      <c r="FY11" s="75">
        <f>'[1]UNIV 2019'!AV17</f>
        <v>0</v>
      </c>
      <c r="FZ11" s="75">
        <f t="shared" si="45"/>
        <v>5000000</v>
      </c>
      <c r="GA11" s="75"/>
      <c r="GB11" s="75">
        <f>'[1]Univ Comm Fund'!AW11</f>
        <v>10000000</v>
      </c>
      <c r="GC11" s="75">
        <f>'[1]UNIV 2019'!AW17</f>
        <v>0</v>
      </c>
      <c r="GD11" s="75">
        <f t="shared" si="46"/>
        <v>10000000</v>
      </c>
      <c r="GE11" s="75"/>
      <c r="GF11" s="75">
        <f>'[1]Univ Comm Fund'!AX11</f>
        <v>0</v>
      </c>
      <c r="GG11" s="75">
        <f>'[1]UNIV 2019'!AX17</f>
        <v>0</v>
      </c>
      <c r="GH11" s="75">
        <f t="shared" si="47"/>
        <v>0</v>
      </c>
      <c r="GI11" s="75"/>
      <c r="GJ11" s="75">
        <f>'[1]Univ Comm Fund'!AY11</f>
        <v>350000000</v>
      </c>
      <c r="GK11" s="75">
        <f>'[1]UNIV 2019'!AY17</f>
        <v>0</v>
      </c>
      <c r="GL11" s="75">
        <f t="shared" si="48"/>
        <v>350000000</v>
      </c>
      <c r="GM11" s="75"/>
      <c r="GN11" s="75">
        <f>'[1]Univ Comm Fund'!AZ11</f>
        <v>175823700</v>
      </c>
      <c r="GO11" s="75">
        <f>'[1]UNIV 2019'!AZ17</f>
        <v>0</v>
      </c>
      <c r="GP11" s="75">
        <f t="shared" si="49"/>
        <v>175823700</v>
      </c>
      <c r="GQ11" s="75"/>
      <c r="GR11" s="75">
        <f>'[1]Univ Comm Fund'!BA11</f>
        <v>20000000</v>
      </c>
      <c r="GS11" s="75">
        <f>'[1]UNIV 2019'!BA17</f>
        <v>0</v>
      </c>
      <c r="GT11" s="75">
        <f t="shared" si="50"/>
        <v>20000000</v>
      </c>
      <c r="GU11" s="75"/>
      <c r="GV11" s="75">
        <f>'[1]Univ Comm Fund'!BB11</f>
        <v>5000000</v>
      </c>
      <c r="GW11" s="75">
        <f>'[1]UNIV 2019'!BB17</f>
        <v>0</v>
      </c>
      <c r="GX11" s="75">
        <f t="shared" si="51"/>
        <v>5000000</v>
      </c>
      <c r="GY11" s="75"/>
      <c r="GZ11" s="75">
        <f>'[1]Univ Comm Fund'!BC11</f>
        <v>10000000</v>
      </c>
      <c r="HA11" s="75">
        <f>'[1]UNIV 2019'!BD17</f>
        <v>0</v>
      </c>
      <c r="HB11" s="75">
        <f t="shared" si="52"/>
        <v>10000000</v>
      </c>
      <c r="HC11" s="75"/>
      <c r="HD11" s="75">
        <f>'[1]Univ Comm Fund'!BD11</f>
        <v>0</v>
      </c>
      <c r="HE11" s="75">
        <f>'[1]UNIV 2019'!BC17</f>
        <v>0</v>
      </c>
      <c r="HF11" s="75">
        <f t="shared" si="53"/>
        <v>0</v>
      </c>
      <c r="HG11" s="75"/>
      <c r="HH11" s="75">
        <f t="shared" si="54"/>
        <v>3923830476.6700001</v>
      </c>
      <c r="HI11" s="75">
        <f t="shared" si="54"/>
        <v>2454859176.5999999</v>
      </c>
      <c r="HJ11" s="82">
        <f t="shared" si="55"/>
        <v>1468971300.0700002</v>
      </c>
      <c r="HL11" s="83">
        <f t="shared" si="56"/>
        <v>3361006776.6700001</v>
      </c>
      <c r="HM11" s="83">
        <f t="shared" si="56"/>
        <v>2256509176.5999999</v>
      </c>
      <c r="HN11" s="84">
        <f t="shared" si="57"/>
        <v>1104497600.0700002</v>
      </c>
      <c r="HP11" s="83">
        <f t="shared" si="58"/>
        <v>0</v>
      </c>
      <c r="HQ11" s="83">
        <f t="shared" si="58"/>
        <v>0</v>
      </c>
      <c r="HR11" s="84">
        <f t="shared" si="59"/>
        <v>0</v>
      </c>
      <c r="HT11" s="83">
        <f t="shared" si="60"/>
        <v>145000000</v>
      </c>
      <c r="HU11" s="83">
        <f t="shared" si="60"/>
        <v>97750000</v>
      </c>
      <c r="HV11" s="84">
        <f t="shared" si="61"/>
        <v>47250000</v>
      </c>
      <c r="HX11" s="83">
        <f t="shared" si="62"/>
        <v>60000000</v>
      </c>
      <c r="HY11" s="83">
        <f t="shared" si="62"/>
        <v>0</v>
      </c>
      <c r="HZ11" s="84">
        <f t="shared" si="63"/>
        <v>60000000</v>
      </c>
      <c r="IB11" s="83">
        <f t="shared" si="64"/>
        <v>35000000</v>
      </c>
      <c r="IC11" s="83">
        <f t="shared" si="64"/>
        <v>0</v>
      </c>
      <c r="ID11" s="84">
        <f t="shared" si="65"/>
        <v>35000000</v>
      </c>
      <c r="IF11" s="83">
        <f t="shared" si="3"/>
        <v>2000000</v>
      </c>
      <c r="IG11" s="83">
        <f t="shared" si="3"/>
        <v>0</v>
      </c>
      <c r="IH11" s="84">
        <f t="shared" si="66"/>
        <v>2000000</v>
      </c>
      <c r="IJ11" s="84">
        <f t="shared" si="67"/>
        <v>295823700</v>
      </c>
      <c r="IK11" s="84">
        <f t="shared" si="67"/>
        <v>75600000</v>
      </c>
      <c r="IL11" s="84">
        <f t="shared" si="68"/>
        <v>220223700</v>
      </c>
    </row>
    <row r="12" spans="1:246" x14ac:dyDescent="0.25">
      <c r="A12" s="42">
        <v>7</v>
      </c>
      <c r="B12" s="86" t="s">
        <v>70</v>
      </c>
      <c r="C12" s="42" t="s">
        <v>69</v>
      </c>
      <c r="D12" s="66">
        <f>'[1]Univ Comm Fund'!D12</f>
        <v>59027776.670000002</v>
      </c>
      <c r="E12" s="66">
        <f>'[1]UNIV 2019'!D18</f>
        <v>59027776.350000001</v>
      </c>
      <c r="F12" s="75">
        <f t="shared" si="4"/>
        <v>0.32000000029802322</v>
      </c>
      <c r="G12" s="66"/>
      <c r="H12" s="66">
        <f>'[1]Univ Comm Fund'!E12</f>
        <v>20000000</v>
      </c>
      <c r="I12" s="66">
        <f>'[1]UNIV 2019'!E18</f>
        <v>20000000</v>
      </c>
      <c r="J12" s="66">
        <f t="shared" si="5"/>
        <v>0</v>
      </c>
      <c r="K12" s="66"/>
      <c r="L12" s="66">
        <f>'[1]Univ Comm Fund'!F12</f>
        <v>40000000</v>
      </c>
      <c r="M12" s="66">
        <f>'[1]UNIV 2019'!F18</f>
        <v>40000000</v>
      </c>
      <c r="N12" s="66">
        <f t="shared" si="6"/>
        <v>0</v>
      </c>
      <c r="O12" s="66"/>
      <c r="P12" s="66">
        <f>'[1]Univ Comm Fund'!G12</f>
        <v>1031000</v>
      </c>
      <c r="Q12" s="66">
        <f>'[1]UNIV 2019'!G18</f>
        <v>1031000</v>
      </c>
      <c r="R12" s="66">
        <f t="shared" si="7"/>
        <v>0</v>
      </c>
      <c r="S12" s="87"/>
      <c r="T12" s="66">
        <f>'[1]Univ Comm Fund'!H12</f>
        <v>50000000</v>
      </c>
      <c r="U12" s="66">
        <f>'[1]UNIV 2019'!H18</f>
        <v>50000000</v>
      </c>
      <c r="V12" s="66">
        <f t="shared" si="8"/>
        <v>0</v>
      </c>
      <c r="W12" s="66"/>
      <c r="X12" s="66">
        <f>'[1]Univ Comm Fund'!I12</f>
        <v>25000000</v>
      </c>
      <c r="Y12" s="66">
        <f>'[1]UNIV 2019'!I18</f>
        <v>25000000</v>
      </c>
      <c r="Z12" s="66">
        <f t="shared" si="9"/>
        <v>0</v>
      </c>
      <c r="AA12" s="66"/>
      <c r="AB12" s="66">
        <f>'[1]Univ Comm Fund'!J12</f>
        <v>30000000</v>
      </c>
      <c r="AC12" s="66">
        <f>'[1]UNIV 2019'!J18</f>
        <v>30000000</v>
      </c>
      <c r="AD12" s="66">
        <f t="shared" si="10"/>
        <v>0</v>
      </c>
      <c r="AE12" s="66"/>
      <c r="AF12" s="88">
        <f>'[1]Univ Comm Fund'!K12</f>
        <v>30000000</v>
      </c>
      <c r="AG12" s="66">
        <f>'[1]UNIV 2019'!K18</f>
        <v>30000000</v>
      </c>
      <c r="AH12" s="66">
        <f t="shared" si="11"/>
        <v>0</v>
      </c>
      <c r="AI12" s="88"/>
      <c r="AJ12" s="66">
        <f>'[1]Univ Comm Fund'!L12</f>
        <v>0</v>
      </c>
      <c r="AK12" s="66">
        <f>'[1]UNIV 2019'!L18</f>
        <v>0</v>
      </c>
      <c r="AL12" s="66">
        <f t="shared" si="12"/>
        <v>0</v>
      </c>
      <c r="AM12" s="66"/>
      <c r="AN12" s="66">
        <f>'[1]Univ Comm Fund'!M12</f>
        <v>40000000</v>
      </c>
      <c r="AO12" s="66">
        <f>'[1]UNIV 2019'!M18</f>
        <v>40000000</v>
      </c>
      <c r="AP12" s="66">
        <f t="shared" si="13"/>
        <v>0</v>
      </c>
      <c r="AQ12" s="66"/>
      <c r="AR12" s="66">
        <f>'[1]Univ Comm Fund'!N12</f>
        <v>7400000</v>
      </c>
      <c r="AS12" s="66">
        <f>'[1]UNIV 2019'!N18</f>
        <v>7400000</v>
      </c>
      <c r="AT12" s="66">
        <f t="shared" si="14"/>
        <v>0</v>
      </c>
      <c r="AU12" s="66"/>
      <c r="AV12" s="66">
        <f>'[1]Univ Comm Fund'!O12</f>
        <v>40000000</v>
      </c>
      <c r="AW12" s="66">
        <f>'[1]UNIV 2019'!O18</f>
        <v>40000000</v>
      </c>
      <c r="AX12" s="66">
        <f t="shared" si="15"/>
        <v>0</v>
      </c>
      <c r="AY12" s="66"/>
      <c r="AZ12" s="66">
        <f>'[1]Univ Comm Fund'!P12</f>
        <v>0</v>
      </c>
      <c r="BA12" s="66">
        <f>'[1]UNIV 2019'!P18</f>
        <v>0</v>
      </c>
      <c r="BB12" s="66">
        <f t="shared" si="0"/>
        <v>0</v>
      </c>
      <c r="BC12" s="66"/>
      <c r="BD12" s="66">
        <f>'[1]Univ Comm Fund'!Q12</f>
        <v>52000000</v>
      </c>
      <c r="BE12" s="66">
        <f>'[1]UNIV 2019'!Q18</f>
        <v>52000000</v>
      </c>
      <c r="BF12" s="66">
        <f t="shared" si="1"/>
        <v>0</v>
      </c>
      <c r="BG12" s="66"/>
      <c r="BH12" s="66">
        <f>'[1]Univ Comm Fund'!R12</f>
        <v>67000000</v>
      </c>
      <c r="BI12" s="66">
        <f>'[1]UNIV 2019'!R18</f>
        <v>67000000</v>
      </c>
      <c r="BJ12" s="66">
        <f t="shared" si="16"/>
        <v>0</v>
      </c>
      <c r="BK12" s="66"/>
      <c r="BL12" s="66">
        <f>'[1]Univ Comm Fund'!S12</f>
        <v>57000000</v>
      </c>
      <c r="BM12" s="66">
        <f>'[1]UNIV 2019'!S18</f>
        <v>57000000</v>
      </c>
      <c r="BN12" s="66">
        <f t="shared" si="17"/>
        <v>0</v>
      </c>
      <c r="BO12" s="66"/>
      <c r="BP12" s="66">
        <f>'[1]Univ Comm Fund'!T12</f>
        <v>0</v>
      </c>
      <c r="BQ12" s="66">
        <f>'[1]UNIV 2019'!T18</f>
        <v>0</v>
      </c>
      <c r="BR12" s="66">
        <f t="shared" si="18"/>
        <v>0</v>
      </c>
      <c r="BS12" s="66"/>
      <c r="BT12" s="66">
        <f>'[1]Univ Comm Fund'!U12</f>
        <v>193140000</v>
      </c>
      <c r="BU12" s="66">
        <f>'[1]UNIV 2019'!U18</f>
        <v>193140000</v>
      </c>
      <c r="BV12" s="66">
        <f t="shared" si="2"/>
        <v>0</v>
      </c>
      <c r="BW12" s="66"/>
      <c r="BX12" s="66">
        <f>'[1]Univ Comm Fund'!V12</f>
        <v>0</v>
      </c>
      <c r="BY12" s="66">
        <f>'[1]UNIV 2019'!V18</f>
        <v>0</v>
      </c>
      <c r="BZ12" s="66">
        <f t="shared" si="19"/>
        <v>0</v>
      </c>
      <c r="CA12" s="66"/>
      <c r="CB12" s="66">
        <f>'[1]Univ Comm Fund'!W12</f>
        <v>175000000</v>
      </c>
      <c r="CC12" s="66">
        <f>'[1]UNIV 2019'!W18</f>
        <v>175000000</v>
      </c>
      <c r="CD12" s="66">
        <f t="shared" si="20"/>
        <v>0</v>
      </c>
      <c r="CE12" s="66"/>
      <c r="CF12" s="66">
        <v>75000000</v>
      </c>
      <c r="CG12" s="66">
        <f>'[1]UNIV 2019'!X18</f>
        <v>75000000</v>
      </c>
      <c r="CH12" s="75">
        <f t="shared" si="21"/>
        <v>0</v>
      </c>
      <c r="CI12" s="66"/>
      <c r="CJ12" s="66">
        <f>'[1]Univ Comm Fund'!Y12</f>
        <v>30000000</v>
      </c>
      <c r="CK12" s="66">
        <f>'[1]UNIV 2019'!Y18</f>
        <v>30000000</v>
      </c>
      <c r="CL12" s="66">
        <f t="shared" si="22"/>
        <v>0</v>
      </c>
      <c r="CM12" s="66"/>
      <c r="CN12" s="20">
        <f>'[1]Univ Comm Fund'!Z12</f>
        <v>350000000</v>
      </c>
      <c r="CO12" s="66">
        <f>'[1]UNIV 2019'!Z18</f>
        <v>199500000</v>
      </c>
      <c r="CP12" s="66">
        <f t="shared" si="23"/>
        <v>150500000</v>
      </c>
      <c r="CQ12" s="20"/>
      <c r="CR12" s="66">
        <f>'[1]Univ Comm Fund'!AA12</f>
        <v>0</v>
      </c>
      <c r="CS12" s="66">
        <f>'[1]UNIV 2019'!AA18</f>
        <v>0</v>
      </c>
      <c r="CT12" s="75">
        <f t="shared" si="24"/>
        <v>0</v>
      </c>
      <c r="CU12" s="66"/>
      <c r="CV12" s="66">
        <f>'[1]Univ Comm Fund'!AB12</f>
        <v>0</v>
      </c>
      <c r="CW12" s="66">
        <f>'[1]UNIV 2019'!AB18</f>
        <v>0</v>
      </c>
      <c r="CX12" s="75">
        <f t="shared" si="25"/>
        <v>0</v>
      </c>
      <c r="CY12" s="66"/>
      <c r="CZ12" s="66">
        <f>'[1]Univ Comm Fund'!AC12</f>
        <v>356000000</v>
      </c>
      <c r="DA12" s="66">
        <f>'[1]UNIV 2019'!AC18</f>
        <v>202920000</v>
      </c>
      <c r="DB12" s="66">
        <f t="shared" si="26"/>
        <v>153080000</v>
      </c>
      <c r="DC12" s="66"/>
      <c r="DD12" s="66">
        <f>'[1]Univ Comm Fund'!AD12</f>
        <v>20000000</v>
      </c>
      <c r="DE12" s="66">
        <f>'[1]UNIV 2019'!AD18</f>
        <v>13400000</v>
      </c>
      <c r="DF12" s="66">
        <f t="shared" si="27"/>
        <v>6600000</v>
      </c>
      <c r="DG12" s="66"/>
      <c r="DH12" s="66">
        <f>'[1]Univ Comm Fund'!AE12</f>
        <v>552000000</v>
      </c>
      <c r="DI12" s="66">
        <f>'[1]UNIV 2019'!AE18</f>
        <v>314640000</v>
      </c>
      <c r="DJ12" s="66">
        <f t="shared" si="28"/>
        <v>237360000</v>
      </c>
      <c r="DK12" s="66"/>
      <c r="DL12" s="66">
        <f>'[1]Univ Comm Fund'!AF12</f>
        <v>20000000</v>
      </c>
      <c r="DM12" s="66">
        <f>'[1]UNIV 2019'!AF18</f>
        <v>13400000</v>
      </c>
      <c r="DN12" s="66">
        <f t="shared" si="29"/>
        <v>6600000</v>
      </c>
      <c r="DO12" s="66"/>
      <c r="DP12" s="66">
        <f>'[1]Univ Comm Fund'!AG12</f>
        <v>300000000</v>
      </c>
      <c r="DQ12" s="66">
        <f>'[1]UNIV 2019'!AG18</f>
        <v>300000000</v>
      </c>
      <c r="DR12" s="66">
        <f t="shared" si="30"/>
        <v>0</v>
      </c>
      <c r="DS12" s="66"/>
      <c r="DT12" s="66">
        <f>'[1]Univ Comm Fund'!AH12</f>
        <v>100000000</v>
      </c>
      <c r="DU12" s="66">
        <f>'[1]UNIV 2019'!AH18</f>
        <v>57000000</v>
      </c>
      <c r="DV12" s="66">
        <f t="shared" si="31"/>
        <v>43000000</v>
      </c>
      <c r="DW12" s="66"/>
      <c r="DX12" s="66">
        <f>'[1]Univ Comm Fund'!AI12</f>
        <v>15000000</v>
      </c>
      <c r="DY12" s="66">
        <f>'[1]UNIV 2019'!AI18</f>
        <v>0</v>
      </c>
      <c r="DZ12" s="66">
        <f t="shared" si="32"/>
        <v>15000000</v>
      </c>
      <c r="EA12" s="66"/>
      <c r="EB12" s="66">
        <f>'[1]Univ Comm Fund'!AJ12</f>
        <v>2000000</v>
      </c>
      <c r="EC12" s="66">
        <f>'[1]UNIV 2019'!AJ18</f>
        <v>0</v>
      </c>
      <c r="ED12" s="66">
        <f t="shared" si="33"/>
        <v>2000000</v>
      </c>
      <c r="EE12" s="66"/>
      <c r="EF12" s="66">
        <f>'[1]Univ Comm Fund'!AK12</f>
        <v>10000000</v>
      </c>
      <c r="EG12" s="66">
        <f>'[1]UNIV 2019'!AK18</f>
        <v>0</v>
      </c>
      <c r="EH12" s="66">
        <f t="shared" si="34"/>
        <v>10000000</v>
      </c>
      <c r="EI12" s="66"/>
      <c r="EJ12" s="66">
        <f>'[1]Univ Comm Fund'!AL12</f>
        <v>1000000000</v>
      </c>
      <c r="EK12" s="66">
        <f>'[1]UNIV 2019'!AL18</f>
        <v>850000000</v>
      </c>
      <c r="EL12" s="66">
        <f t="shared" si="35"/>
        <v>150000000</v>
      </c>
      <c r="EM12" s="66"/>
      <c r="EN12" s="80">
        <f>'[1]Univ Comm Fund'!AM12</f>
        <v>565410000</v>
      </c>
      <c r="EO12" s="66">
        <f>'[1]UNIV 2019'!AM18</f>
        <v>0</v>
      </c>
      <c r="EP12" s="75">
        <f t="shared" si="36"/>
        <v>565410000</v>
      </c>
      <c r="EQ12" s="66"/>
      <c r="ER12" s="66">
        <f>'[1]Univ Comm Fund'!AN12</f>
        <v>15000000</v>
      </c>
      <c r="ES12" s="66">
        <f>'[1]UNIV 2019'!AN18</f>
        <v>0</v>
      </c>
      <c r="ET12" s="75">
        <f t="shared" si="37"/>
        <v>15000000</v>
      </c>
      <c r="EU12" s="66"/>
      <c r="EV12" s="66">
        <f>'[1]Univ Comm Fund'!AO12</f>
        <v>15000000</v>
      </c>
      <c r="EW12" s="66">
        <f>'[1]UNIV 2019'!AO18</f>
        <v>0</v>
      </c>
      <c r="EX12" s="75">
        <f t="shared" si="38"/>
        <v>15000000</v>
      </c>
      <c r="EY12" s="66"/>
      <c r="EZ12" s="66">
        <f>'[1]Univ Comm Fund'!AP12</f>
        <v>10000000</v>
      </c>
      <c r="FA12" s="66">
        <f>'[1]UNIV 2019'!AP18</f>
        <v>0</v>
      </c>
      <c r="FB12" s="75">
        <f t="shared" si="39"/>
        <v>10000000</v>
      </c>
      <c r="FC12" s="75"/>
      <c r="FD12" s="75">
        <f>'[1]Univ Comm Fund'!AQ12</f>
        <v>0</v>
      </c>
      <c r="FE12" s="75">
        <f>'[1]UNIV 2019'!AQ18</f>
        <v>0</v>
      </c>
      <c r="FF12" s="75">
        <f t="shared" si="40"/>
        <v>0</v>
      </c>
      <c r="FG12" s="75"/>
      <c r="FH12" s="75">
        <f>'[1]Univ Comm Fund'!AR12</f>
        <v>0</v>
      </c>
      <c r="FI12" s="75">
        <f>'[1]UNIV 2019'!AR18</f>
        <v>0</v>
      </c>
      <c r="FJ12" s="75">
        <f t="shared" si="41"/>
        <v>0</v>
      </c>
      <c r="FK12" s="75"/>
      <c r="FL12" s="75">
        <f>'[1]Univ Comm Fund'!AS12</f>
        <v>300000000</v>
      </c>
      <c r="FM12" s="75">
        <f>'[1]UNIV 2019'!AS18</f>
        <v>0</v>
      </c>
      <c r="FN12" s="75">
        <f t="shared" si="42"/>
        <v>300000000</v>
      </c>
      <c r="FO12" s="75"/>
      <c r="FP12" s="75">
        <f>'[1]Univ Comm Fund'!AT12</f>
        <v>120000000</v>
      </c>
      <c r="FQ12" s="75">
        <f>'[1]UNIV 2019'!AT18</f>
        <v>78000000</v>
      </c>
      <c r="FR12" s="75">
        <f t="shared" si="43"/>
        <v>42000000</v>
      </c>
      <c r="FS12" s="75"/>
      <c r="FT12" s="75">
        <f>'[1]Univ Comm Fund'!AU12</f>
        <v>10000000</v>
      </c>
      <c r="FU12" s="75">
        <f>'[1]UNIV 2019'!AU18</f>
        <v>0</v>
      </c>
      <c r="FV12" s="75">
        <f t="shared" si="44"/>
        <v>10000000</v>
      </c>
      <c r="FW12" s="75"/>
      <c r="FX12" s="75">
        <f>'[1]Univ Comm Fund'!AV12</f>
        <v>5000000</v>
      </c>
      <c r="FY12" s="75">
        <f>'[1]UNIV 2019'!AV18</f>
        <v>0</v>
      </c>
      <c r="FZ12" s="75">
        <f t="shared" si="45"/>
        <v>5000000</v>
      </c>
      <c r="GA12" s="75"/>
      <c r="GB12" s="75">
        <f>'[1]Univ Comm Fund'!AW12</f>
        <v>10000000</v>
      </c>
      <c r="GC12" s="75">
        <f>'[1]UNIV 2019'!AW18</f>
        <v>0</v>
      </c>
      <c r="GD12" s="75">
        <f t="shared" si="46"/>
        <v>10000000</v>
      </c>
      <c r="GE12" s="75"/>
      <c r="GF12" s="75">
        <f>'[1]Univ Comm Fund'!AX12</f>
        <v>0</v>
      </c>
      <c r="GG12" s="75">
        <f>'[1]UNIV 2019'!AX18</f>
        <v>0</v>
      </c>
      <c r="GH12" s="75">
        <f t="shared" si="47"/>
        <v>0</v>
      </c>
      <c r="GI12" s="75"/>
      <c r="GJ12" s="75">
        <f>'[1]Univ Comm Fund'!AY12</f>
        <v>350000000</v>
      </c>
      <c r="GK12" s="75">
        <f>'[1]UNIV 2019'!AY18</f>
        <v>0</v>
      </c>
      <c r="GL12" s="75">
        <f t="shared" si="48"/>
        <v>350000000</v>
      </c>
      <c r="GM12" s="75"/>
      <c r="GN12" s="75">
        <f>'[1]Univ Comm Fund'!AZ12</f>
        <v>175823700</v>
      </c>
      <c r="GO12" s="75">
        <f>'[1]UNIV 2019'!AZ18</f>
        <v>0</v>
      </c>
      <c r="GP12" s="75">
        <f t="shared" si="49"/>
        <v>175823700</v>
      </c>
      <c r="GQ12" s="75"/>
      <c r="GR12" s="75">
        <f>'[1]Univ Comm Fund'!BA12</f>
        <v>20000000</v>
      </c>
      <c r="GS12" s="75">
        <f>'[1]UNIV 2019'!BA18</f>
        <v>0</v>
      </c>
      <c r="GT12" s="75">
        <f t="shared" si="50"/>
        <v>20000000</v>
      </c>
      <c r="GU12" s="75"/>
      <c r="GV12" s="75">
        <f>'[1]Univ Comm Fund'!BB12</f>
        <v>5000000</v>
      </c>
      <c r="GW12" s="75">
        <f>'[1]UNIV 2019'!BB18</f>
        <v>0</v>
      </c>
      <c r="GX12" s="75">
        <f t="shared" si="51"/>
        <v>5000000</v>
      </c>
      <c r="GY12" s="75"/>
      <c r="GZ12" s="75">
        <f>'[1]Univ Comm Fund'!BC12</f>
        <v>10000000</v>
      </c>
      <c r="HA12" s="75">
        <f>'[1]UNIV 2019'!BD18</f>
        <v>0</v>
      </c>
      <c r="HB12" s="75">
        <f t="shared" si="52"/>
        <v>10000000</v>
      </c>
      <c r="HC12" s="75"/>
      <c r="HD12" s="75">
        <f>'[1]Univ Comm Fund'!BD12</f>
        <v>0</v>
      </c>
      <c r="HE12" s="75">
        <f>'[1]UNIV 2019'!BC18</f>
        <v>0</v>
      </c>
      <c r="HF12" s="75">
        <f t="shared" si="53"/>
        <v>0</v>
      </c>
      <c r="HG12" s="75"/>
      <c r="HH12" s="75">
        <f t="shared" si="54"/>
        <v>5327832476.6700001</v>
      </c>
      <c r="HI12" s="75">
        <f t="shared" si="54"/>
        <v>3020458776.3499999</v>
      </c>
      <c r="HJ12" s="82">
        <f t="shared" si="55"/>
        <v>2307373700.3200002</v>
      </c>
      <c r="HL12" s="83">
        <f t="shared" si="56"/>
        <v>3426577776.6700001</v>
      </c>
      <c r="HM12" s="83">
        <f t="shared" si="56"/>
        <v>1627227776.3499999</v>
      </c>
      <c r="HN12" s="84">
        <f t="shared" si="57"/>
        <v>1799350000.3200002</v>
      </c>
      <c r="HP12" s="83">
        <f t="shared" si="58"/>
        <v>1330000000</v>
      </c>
      <c r="HQ12" s="83">
        <f t="shared" si="58"/>
        <v>1180000000</v>
      </c>
      <c r="HR12" s="84">
        <f t="shared" si="59"/>
        <v>150000000</v>
      </c>
      <c r="HT12" s="83">
        <f t="shared" si="60"/>
        <v>145000000</v>
      </c>
      <c r="HU12" s="83">
        <f t="shared" si="60"/>
        <v>101800000</v>
      </c>
      <c r="HV12" s="84">
        <f t="shared" si="61"/>
        <v>43200000</v>
      </c>
      <c r="HX12" s="83">
        <f t="shared" si="62"/>
        <v>60000000</v>
      </c>
      <c r="HY12" s="83">
        <f t="shared" si="62"/>
        <v>0</v>
      </c>
      <c r="HZ12" s="84">
        <f t="shared" si="63"/>
        <v>60000000</v>
      </c>
      <c r="IB12" s="83">
        <f t="shared" si="64"/>
        <v>35000000</v>
      </c>
      <c r="IC12" s="83">
        <f t="shared" si="64"/>
        <v>0</v>
      </c>
      <c r="ID12" s="84">
        <f t="shared" si="65"/>
        <v>35000000</v>
      </c>
      <c r="IF12" s="83">
        <f t="shared" si="3"/>
        <v>2000000</v>
      </c>
      <c r="IG12" s="83">
        <f t="shared" si="3"/>
        <v>0</v>
      </c>
      <c r="IH12" s="84">
        <f t="shared" si="66"/>
        <v>2000000</v>
      </c>
      <c r="IJ12" s="84">
        <f t="shared" si="67"/>
        <v>295823700</v>
      </c>
      <c r="IK12" s="84">
        <f t="shared" si="67"/>
        <v>78000000</v>
      </c>
      <c r="IL12" s="84">
        <f t="shared" si="68"/>
        <v>217823700</v>
      </c>
    </row>
    <row r="13" spans="1:246" x14ac:dyDescent="0.25">
      <c r="A13" s="42">
        <v>8</v>
      </c>
      <c r="B13" s="86" t="s">
        <v>71</v>
      </c>
      <c r="C13" s="42" t="s">
        <v>61</v>
      </c>
      <c r="D13" s="66">
        <f>'[1]Univ Comm Fund'!D13</f>
        <v>59027776.670000002</v>
      </c>
      <c r="E13" s="66">
        <f>'[1]UNIV 2019'!D19</f>
        <v>59027777.030000001</v>
      </c>
      <c r="F13" s="75">
        <f t="shared" si="4"/>
        <v>-0.35999999940395355</v>
      </c>
      <c r="G13" s="66"/>
      <c r="H13" s="66">
        <f>'[1]Univ Comm Fund'!E13</f>
        <v>20000000</v>
      </c>
      <c r="I13" s="66">
        <f>'[1]UNIV 2019'!E19</f>
        <v>20000000</v>
      </c>
      <c r="J13" s="66">
        <f t="shared" si="5"/>
        <v>0</v>
      </c>
      <c r="K13" s="66"/>
      <c r="L13" s="66">
        <f>'[1]Univ Comm Fund'!F13</f>
        <v>40000000</v>
      </c>
      <c r="M13" s="66">
        <f>'[1]UNIV 2019'!F19</f>
        <v>40000000</v>
      </c>
      <c r="N13" s="66">
        <f t="shared" si="6"/>
        <v>0</v>
      </c>
      <c r="O13" s="66"/>
      <c r="P13" s="66">
        <f>'[1]Univ Comm Fund'!G13</f>
        <v>0</v>
      </c>
      <c r="Q13" s="66">
        <f>'[1]UNIV 2019'!G19</f>
        <v>0</v>
      </c>
      <c r="R13" s="66">
        <f t="shared" si="7"/>
        <v>0</v>
      </c>
      <c r="S13" s="87"/>
      <c r="T13" s="66">
        <f>'[1]Univ Comm Fund'!H13</f>
        <v>50000000</v>
      </c>
      <c r="U13" s="66">
        <f>'[1]UNIV 2019'!H19</f>
        <v>50000000</v>
      </c>
      <c r="V13" s="66">
        <f t="shared" si="8"/>
        <v>0</v>
      </c>
      <c r="W13" s="66"/>
      <c r="X13" s="66">
        <f>'[1]Univ Comm Fund'!I13</f>
        <v>23000000</v>
      </c>
      <c r="Y13" s="66">
        <f>'[1]UNIV 2019'!I19</f>
        <v>23000000</v>
      </c>
      <c r="Z13" s="66">
        <f t="shared" si="9"/>
        <v>0</v>
      </c>
      <c r="AA13" s="66"/>
      <c r="AB13" s="66">
        <f>'[1]Univ Comm Fund'!J13</f>
        <v>30000000</v>
      </c>
      <c r="AC13" s="66">
        <f>'[1]UNIV 2019'!J19</f>
        <v>30000000</v>
      </c>
      <c r="AD13" s="66">
        <f t="shared" si="10"/>
        <v>0</v>
      </c>
      <c r="AE13" s="66"/>
      <c r="AF13" s="88">
        <f>'[1]Univ Comm Fund'!K13</f>
        <v>30000000</v>
      </c>
      <c r="AG13" s="66">
        <f>'[1]UNIV 2019'!K19</f>
        <v>30000000</v>
      </c>
      <c r="AH13" s="66">
        <f t="shared" si="11"/>
        <v>0</v>
      </c>
      <c r="AI13" s="88"/>
      <c r="AJ13" s="66">
        <f>'[1]Univ Comm Fund'!L13</f>
        <v>0</v>
      </c>
      <c r="AK13" s="66">
        <f>'[1]UNIV 2019'!L19</f>
        <v>0</v>
      </c>
      <c r="AL13" s="66">
        <f t="shared" si="12"/>
        <v>0</v>
      </c>
      <c r="AM13" s="66"/>
      <c r="AN13" s="66">
        <f>'[1]Univ Comm Fund'!M13</f>
        <v>40000000</v>
      </c>
      <c r="AO13" s="66">
        <f>'[1]UNIV 2019'!M19</f>
        <v>40000000</v>
      </c>
      <c r="AP13" s="66">
        <f t="shared" si="13"/>
        <v>0</v>
      </c>
      <c r="AQ13" s="66"/>
      <c r="AR13" s="66">
        <f>'[1]Univ Comm Fund'!N13</f>
        <v>0</v>
      </c>
      <c r="AS13" s="66">
        <f>'[1]UNIV 2019'!N19</f>
        <v>0</v>
      </c>
      <c r="AT13" s="66">
        <f t="shared" si="14"/>
        <v>0</v>
      </c>
      <c r="AU13" s="66"/>
      <c r="AV13" s="66">
        <f>'[1]Univ Comm Fund'!O13</f>
        <v>40000000</v>
      </c>
      <c r="AW13" s="66">
        <f>'[1]UNIV 2019'!O19</f>
        <v>40000000</v>
      </c>
      <c r="AX13" s="66">
        <f t="shared" si="15"/>
        <v>0</v>
      </c>
      <c r="AY13" s="66"/>
      <c r="AZ13" s="66">
        <f>'[1]Univ Comm Fund'!P13</f>
        <v>0</v>
      </c>
      <c r="BA13" s="66">
        <f>'[1]UNIV 2019'!P19</f>
        <v>0</v>
      </c>
      <c r="BB13" s="66">
        <f t="shared" si="0"/>
        <v>0</v>
      </c>
      <c r="BC13" s="66"/>
      <c r="BD13" s="66">
        <f>'[1]Univ Comm Fund'!Q13</f>
        <v>52000000</v>
      </c>
      <c r="BE13" s="66">
        <f>'[1]UNIV 2019'!Q19</f>
        <v>52000000</v>
      </c>
      <c r="BF13" s="66">
        <f t="shared" si="1"/>
        <v>0</v>
      </c>
      <c r="BG13" s="66"/>
      <c r="BH13" s="66">
        <f>'[1]Univ Comm Fund'!R13</f>
        <v>67000000</v>
      </c>
      <c r="BI13" s="66">
        <f>'[1]UNIV 2019'!R19</f>
        <v>67000000</v>
      </c>
      <c r="BJ13" s="66">
        <f t="shared" si="16"/>
        <v>0</v>
      </c>
      <c r="BK13" s="66"/>
      <c r="BL13" s="66">
        <f>'[1]Univ Comm Fund'!S13</f>
        <v>33060000</v>
      </c>
      <c r="BM13" s="66">
        <f>'[1]UNIV 2019'!S19</f>
        <v>33060000</v>
      </c>
      <c r="BN13" s="66">
        <f t="shared" si="17"/>
        <v>0</v>
      </c>
      <c r="BO13" s="66"/>
      <c r="BP13" s="90">
        <f>'[1]Univ Comm Fund'!T13</f>
        <v>0</v>
      </c>
      <c r="BQ13" s="90">
        <f>'[1]UNIV 2019'!T19</f>
        <v>0</v>
      </c>
      <c r="BR13" s="90">
        <f t="shared" si="18"/>
        <v>0</v>
      </c>
      <c r="BS13" s="66"/>
      <c r="BT13" s="66">
        <f>'[1]Univ Comm Fund'!U13</f>
        <v>112021200</v>
      </c>
      <c r="BU13" s="66">
        <f>'[1]UNIV 2019'!U19</f>
        <v>112021200</v>
      </c>
      <c r="BV13" s="66">
        <f t="shared" si="2"/>
        <v>0</v>
      </c>
      <c r="BW13" s="66"/>
      <c r="BX13" s="66">
        <f>'[1]Univ Comm Fund'!V13</f>
        <v>0</v>
      </c>
      <c r="BY13" s="66">
        <f>'[1]UNIV 2019'!V19</f>
        <v>0</v>
      </c>
      <c r="BZ13" s="66">
        <f t="shared" si="19"/>
        <v>0</v>
      </c>
      <c r="CA13" s="66"/>
      <c r="CB13" s="66">
        <f>'[1]Univ Comm Fund'!W13</f>
        <v>175000000</v>
      </c>
      <c r="CC13" s="66">
        <f>'[1]UNIV 2019'!W19</f>
        <v>148750000</v>
      </c>
      <c r="CD13" s="66">
        <f t="shared" si="20"/>
        <v>26250000</v>
      </c>
      <c r="CE13" s="66"/>
      <c r="CF13" s="66">
        <v>75000000</v>
      </c>
      <c r="CG13" s="66">
        <f>'[1]UNIV 2019'!X19</f>
        <v>75000000</v>
      </c>
      <c r="CH13" s="75">
        <f t="shared" si="21"/>
        <v>0</v>
      </c>
      <c r="CI13" s="66"/>
      <c r="CJ13" s="66">
        <f>'[1]Univ Comm Fund'!Y13</f>
        <v>120000000</v>
      </c>
      <c r="CK13" s="66">
        <f>'[1]UNIV 2019'!Y19</f>
        <v>120000000</v>
      </c>
      <c r="CL13" s="66">
        <f t="shared" si="22"/>
        <v>0</v>
      </c>
      <c r="CM13" s="66"/>
      <c r="CN13" s="20">
        <f>'[1]Univ Comm Fund'!Z13</f>
        <v>350000000</v>
      </c>
      <c r="CO13" s="66">
        <f>'[1]UNIV 2019'!Z19</f>
        <v>297500000</v>
      </c>
      <c r="CP13" s="66">
        <f t="shared" si="23"/>
        <v>52500000</v>
      </c>
      <c r="CQ13" s="20"/>
      <c r="CR13" s="66">
        <f>'[1]Univ Comm Fund'!AA13</f>
        <v>0</v>
      </c>
      <c r="CS13" s="66">
        <f>'[1]UNIV 2019'!AA19</f>
        <v>0</v>
      </c>
      <c r="CT13" s="75">
        <f t="shared" si="24"/>
        <v>0</v>
      </c>
      <c r="CU13" s="66"/>
      <c r="CV13" s="66">
        <f>'[1]Univ Comm Fund'!AB13</f>
        <v>0</v>
      </c>
      <c r="CW13" s="66">
        <f>'[1]UNIV 2019'!AB19</f>
        <v>0</v>
      </c>
      <c r="CX13" s="75">
        <f t="shared" si="25"/>
        <v>0</v>
      </c>
      <c r="CY13" s="66"/>
      <c r="CZ13" s="66">
        <f>'[1]Univ Comm Fund'!AC13</f>
        <v>356000000</v>
      </c>
      <c r="DA13" s="66">
        <f>'[1]UNIV 2019'!AC19</f>
        <v>302600000</v>
      </c>
      <c r="DB13" s="66">
        <f t="shared" si="26"/>
        <v>53400000</v>
      </c>
      <c r="DC13" s="66"/>
      <c r="DD13" s="66">
        <f>'[1]Univ Comm Fund'!AD13</f>
        <v>20000000</v>
      </c>
      <c r="DE13" s="66">
        <f>'[1]UNIV 2019'!AD19</f>
        <v>20000000</v>
      </c>
      <c r="DF13" s="66">
        <f t="shared" si="27"/>
        <v>0</v>
      </c>
      <c r="DG13" s="66"/>
      <c r="DH13" s="66">
        <f>'[1]Univ Comm Fund'!AE13</f>
        <v>552000000</v>
      </c>
      <c r="DI13" s="66">
        <f>'[1]UNIV 2019'!AE19</f>
        <v>469200000</v>
      </c>
      <c r="DJ13" s="66">
        <f t="shared" si="28"/>
        <v>82800000</v>
      </c>
      <c r="DK13" s="66"/>
      <c r="DL13" s="66">
        <f>'[1]Univ Comm Fund'!AF13</f>
        <v>20000000</v>
      </c>
      <c r="DM13" s="66">
        <f>'[1]UNIV 2019'!AF19</f>
        <v>0</v>
      </c>
      <c r="DN13" s="66">
        <f t="shared" si="29"/>
        <v>20000000</v>
      </c>
      <c r="DO13" s="66"/>
      <c r="DP13" s="66">
        <f>'[1]Univ Comm Fund'!AG13</f>
        <v>530000000</v>
      </c>
      <c r="DQ13" s="66">
        <f>'[1]UNIV 2019'!AG19</f>
        <v>530000000</v>
      </c>
      <c r="DR13" s="66">
        <f t="shared" si="30"/>
        <v>0</v>
      </c>
      <c r="DS13" s="66"/>
      <c r="DT13" s="66">
        <f>'[1]Univ Comm Fund'!AH13</f>
        <v>100000000</v>
      </c>
      <c r="DU13" s="66">
        <f>'[1]UNIV 2019'!AH19</f>
        <v>85000000</v>
      </c>
      <c r="DV13" s="66">
        <f t="shared" si="31"/>
        <v>15000000</v>
      </c>
      <c r="DW13" s="66"/>
      <c r="DX13" s="66">
        <f>'[1]Univ Comm Fund'!AI13</f>
        <v>15000000</v>
      </c>
      <c r="DY13" s="66">
        <f>'[1]UNIV 2019'!AI19</f>
        <v>0</v>
      </c>
      <c r="DZ13" s="66">
        <f t="shared" si="32"/>
        <v>15000000</v>
      </c>
      <c r="EA13" s="66"/>
      <c r="EB13" s="66">
        <f>'[1]Univ Comm Fund'!AJ13</f>
        <v>2000000</v>
      </c>
      <c r="EC13" s="66">
        <f>'[1]UNIV 2019'!AJ19</f>
        <v>0</v>
      </c>
      <c r="ED13" s="66">
        <f t="shared" si="33"/>
        <v>2000000</v>
      </c>
      <c r="EE13" s="66"/>
      <c r="EF13" s="66">
        <f>'[1]Univ Comm Fund'!AK13</f>
        <v>10000000</v>
      </c>
      <c r="EG13" s="66">
        <f>'[1]UNIV 2019'!AK19</f>
        <v>0</v>
      </c>
      <c r="EH13" s="66">
        <f t="shared" si="34"/>
        <v>10000000</v>
      </c>
      <c r="EI13" s="66"/>
      <c r="EJ13" s="66">
        <f>'[1]Univ Comm Fund'!AL13</f>
        <v>1400000000</v>
      </c>
      <c r="EK13" s="66">
        <f>'[1]UNIV 2019'!AL19</f>
        <v>1340000000</v>
      </c>
      <c r="EL13" s="66">
        <f t="shared" si="35"/>
        <v>60000000</v>
      </c>
      <c r="EM13" s="66"/>
      <c r="EN13" s="80">
        <f>'[1]Univ Comm Fund'!AM13</f>
        <v>565410000</v>
      </c>
      <c r="EO13" s="66">
        <f>'[1]UNIV 2019'!AM19</f>
        <v>480598500</v>
      </c>
      <c r="EP13" s="75">
        <f t="shared" si="36"/>
        <v>84811500</v>
      </c>
      <c r="EQ13" s="66"/>
      <c r="ER13" s="66">
        <f>'[1]Univ Comm Fund'!AN13</f>
        <v>15000000</v>
      </c>
      <c r="ES13" s="66">
        <f>'[1]UNIV 2019'!AN19</f>
        <v>0</v>
      </c>
      <c r="ET13" s="75">
        <f t="shared" si="37"/>
        <v>15000000</v>
      </c>
      <c r="EU13" s="66"/>
      <c r="EV13" s="66">
        <f>'[1]Univ Comm Fund'!AO13</f>
        <v>15000000</v>
      </c>
      <c r="EW13" s="66">
        <f>'[1]UNIV 2019'!AO19</f>
        <v>0</v>
      </c>
      <c r="EX13" s="75">
        <f t="shared" si="38"/>
        <v>15000000</v>
      </c>
      <c r="EY13" s="66"/>
      <c r="EZ13" s="66">
        <f>'[1]Univ Comm Fund'!AP13</f>
        <v>10000000</v>
      </c>
      <c r="FA13" s="66">
        <f>'[1]UNIV 2019'!AP19</f>
        <v>0</v>
      </c>
      <c r="FB13" s="75">
        <f t="shared" si="39"/>
        <v>10000000</v>
      </c>
      <c r="FC13" s="75"/>
      <c r="FD13" s="75">
        <f>'[1]Univ Comm Fund'!AQ13</f>
        <v>729381777.36000001</v>
      </c>
      <c r="FE13" s="75">
        <f>'[1]UNIV 2019'!AQ19</f>
        <v>619974510.75999999</v>
      </c>
      <c r="FF13" s="75">
        <f t="shared" si="40"/>
        <v>109407266.60000002</v>
      </c>
      <c r="FG13" s="75"/>
      <c r="FH13" s="75">
        <f>'[1]Univ Comm Fund'!AR13</f>
        <v>0</v>
      </c>
      <c r="FI13" s="75">
        <f>'[1]UNIV 2019'!AR19</f>
        <v>0</v>
      </c>
      <c r="FJ13" s="75">
        <f t="shared" si="41"/>
        <v>0</v>
      </c>
      <c r="FK13" s="75"/>
      <c r="FL13" s="75">
        <f>'[1]Univ Comm Fund'!AS13</f>
        <v>300000000</v>
      </c>
      <c r="FM13" s="75">
        <f>'[1]UNIV 2019'!AS19</f>
        <v>0</v>
      </c>
      <c r="FN13" s="75">
        <f t="shared" si="42"/>
        <v>300000000</v>
      </c>
      <c r="FO13" s="75"/>
      <c r="FP13" s="75">
        <f>'[1]Univ Comm Fund'!AT13</f>
        <v>120000000</v>
      </c>
      <c r="FQ13" s="75">
        <f>'[1]UNIV 2019'!AT19</f>
        <v>73200000</v>
      </c>
      <c r="FR13" s="75">
        <f t="shared" si="43"/>
        <v>46800000</v>
      </c>
      <c r="FS13" s="75"/>
      <c r="FT13" s="75">
        <f>'[1]Univ Comm Fund'!AU13</f>
        <v>10000000</v>
      </c>
      <c r="FU13" s="75">
        <f>'[1]UNIV 2019'!AU19</f>
        <v>0</v>
      </c>
      <c r="FV13" s="75">
        <f t="shared" si="44"/>
        <v>10000000</v>
      </c>
      <c r="FW13" s="75"/>
      <c r="FX13" s="75">
        <f>'[1]Univ Comm Fund'!AV13</f>
        <v>5000000</v>
      </c>
      <c r="FY13" s="75">
        <f>'[1]UNIV 2019'!AV19</f>
        <v>0</v>
      </c>
      <c r="FZ13" s="75">
        <f t="shared" si="45"/>
        <v>5000000</v>
      </c>
      <c r="GA13" s="75"/>
      <c r="GB13" s="75">
        <f>'[1]Univ Comm Fund'!AW13</f>
        <v>10000000</v>
      </c>
      <c r="GC13" s="75">
        <f>'[1]UNIV 2019'!AW19</f>
        <v>0</v>
      </c>
      <c r="GD13" s="75">
        <f t="shared" si="46"/>
        <v>10000000</v>
      </c>
      <c r="GE13" s="75"/>
      <c r="GF13" s="75">
        <f>'[1]Univ Comm Fund'!AX13</f>
        <v>0</v>
      </c>
      <c r="GG13" s="75">
        <f>'[1]UNIV 2019'!AX19</f>
        <v>0</v>
      </c>
      <c r="GH13" s="75">
        <f t="shared" si="47"/>
        <v>0</v>
      </c>
      <c r="GI13" s="75"/>
      <c r="GJ13" s="75">
        <f>'[1]Univ Comm Fund'!AY13</f>
        <v>350000000</v>
      </c>
      <c r="GK13" s="75">
        <f>'[1]UNIV 2019'!AY19</f>
        <v>0</v>
      </c>
      <c r="GL13" s="75">
        <f t="shared" si="48"/>
        <v>350000000</v>
      </c>
      <c r="GM13" s="75"/>
      <c r="GN13" s="75">
        <f>'[1]Univ Comm Fund'!AZ13</f>
        <v>175823700</v>
      </c>
      <c r="GO13" s="75">
        <f>'[1]UNIV 2019'!AZ19</f>
        <v>0</v>
      </c>
      <c r="GP13" s="75">
        <f t="shared" si="49"/>
        <v>175823700</v>
      </c>
      <c r="GQ13" s="75"/>
      <c r="GR13" s="75">
        <f>'[1]Univ Comm Fund'!BA13</f>
        <v>20000000</v>
      </c>
      <c r="GS13" s="75">
        <f>'[1]UNIV 2019'!BA19</f>
        <v>0</v>
      </c>
      <c r="GT13" s="75">
        <f t="shared" si="50"/>
        <v>20000000</v>
      </c>
      <c r="GU13" s="75"/>
      <c r="GV13" s="75">
        <f>'[1]Univ Comm Fund'!BB13</f>
        <v>5000000</v>
      </c>
      <c r="GW13" s="75">
        <f>'[1]UNIV 2019'!BB19</f>
        <v>0</v>
      </c>
      <c r="GX13" s="75">
        <f t="shared" si="51"/>
        <v>5000000</v>
      </c>
      <c r="GY13" s="75"/>
      <c r="GZ13" s="75">
        <f>'[1]Univ Comm Fund'!BC13</f>
        <v>10000000</v>
      </c>
      <c r="HA13" s="75">
        <f>'[1]UNIV 2019'!BD19</f>
        <v>0</v>
      </c>
      <c r="HB13" s="75">
        <f t="shared" si="52"/>
        <v>10000000</v>
      </c>
      <c r="HC13" s="75"/>
      <c r="HD13" s="75">
        <f>'[1]Univ Comm Fund'!BD13</f>
        <v>0</v>
      </c>
      <c r="HE13" s="75">
        <f>'[1]UNIV 2019'!BC19</f>
        <v>0</v>
      </c>
      <c r="HF13" s="75">
        <f t="shared" si="53"/>
        <v>0</v>
      </c>
      <c r="HG13" s="75"/>
      <c r="HH13" s="75">
        <f t="shared" si="54"/>
        <v>6661724454.0299997</v>
      </c>
      <c r="HI13" s="75">
        <f t="shared" si="54"/>
        <v>5157931987.79</v>
      </c>
      <c r="HJ13" s="82">
        <f t="shared" si="55"/>
        <v>1503792466.2399998</v>
      </c>
      <c r="HL13" s="83">
        <f t="shared" si="56"/>
        <v>3321518976.6700001</v>
      </c>
      <c r="HM13" s="83">
        <f t="shared" si="56"/>
        <v>2356757477.0299997</v>
      </c>
      <c r="HN13" s="84">
        <f t="shared" si="57"/>
        <v>964761499.64000034</v>
      </c>
      <c r="HP13" s="83">
        <f t="shared" si="58"/>
        <v>2779381777.3600001</v>
      </c>
      <c r="HQ13" s="83">
        <f t="shared" si="58"/>
        <v>2609974510.7600002</v>
      </c>
      <c r="HR13" s="84">
        <f t="shared" si="59"/>
        <v>169407266.5999999</v>
      </c>
      <c r="HT13" s="83">
        <f t="shared" si="60"/>
        <v>145000000</v>
      </c>
      <c r="HU13" s="83">
        <f t="shared" si="60"/>
        <v>95000000</v>
      </c>
      <c r="HV13" s="84">
        <f t="shared" si="61"/>
        <v>50000000</v>
      </c>
      <c r="HX13" s="83">
        <f t="shared" si="62"/>
        <v>60000000</v>
      </c>
      <c r="HY13" s="83">
        <f t="shared" si="62"/>
        <v>0</v>
      </c>
      <c r="HZ13" s="84">
        <f t="shared" si="63"/>
        <v>60000000</v>
      </c>
      <c r="IB13" s="83">
        <f t="shared" si="64"/>
        <v>35000000</v>
      </c>
      <c r="IC13" s="83">
        <f t="shared" si="64"/>
        <v>0</v>
      </c>
      <c r="ID13" s="84">
        <f t="shared" si="65"/>
        <v>35000000</v>
      </c>
      <c r="IF13" s="83">
        <f t="shared" si="3"/>
        <v>2000000</v>
      </c>
      <c r="IG13" s="83">
        <f t="shared" si="3"/>
        <v>0</v>
      </c>
      <c r="IH13" s="84">
        <f t="shared" si="66"/>
        <v>2000000</v>
      </c>
      <c r="IJ13" s="84">
        <f t="shared" si="67"/>
        <v>295823700</v>
      </c>
      <c r="IK13" s="84">
        <f t="shared" si="67"/>
        <v>73200000</v>
      </c>
      <c r="IL13" s="84">
        <f t="shared" si="68"/>
        <v>222623700</v>
      </c>
    </row>
    <row r="14" spans="1:246" s="85" customFormat="1" x14ac:dyDescent="0.25">
      <c r="A14" s="42">
        <v>9</v>
      </c>
      <c r="B14" s="74" t="s">
        <v>72</v>
      </c>
      <c r="C14" s="73" t="s">
        <v>61</v>
      </c>
      <c r="D14" s="75">
        <f>'[1]Univ Comm Fund'!D14</f>
        <v>59027776.670000002</v>
      </c>
      <c r="E14" s="75">
        <f>'[1]UNIV 2019'!D20</f>
        <v>59027776.659999996</v>
      </c>
      <c r="F14" s="75">
        <f t="shared" si="4"/>
        <v>1.000000536441803E-2</v>
      </c>
      <c r="G14" s="75"/>
      <c r="H14" s="75">
        <f>'[1]Univ Comm Fund'!E14</f>
        <v>20000000</v>
      </c>
      <c r="I14" s="75">
        <f>'[1]UNIV 2019'!E20</f>
        <v>20000000</v>
      </c>
      <c r="J14" s="75">
        <f t="shared" si="5"/>
        <v>0</v>
      </c>
      <c r="K14" s="75"/>
      <c r="L14" s="75">
        <f>'[1]Univ Comm Fund'!F14</f>
        <v>40000000</v>
      </c>
      <c r="M14" s="75">
        <f>'[1]UNIV 2019'!F20</f>
        <v>40000000</v>
      </c>
      <c r="N14" s="75">
        <f t="shared" si="6"/>
        <v>0</v>
      </c>
      <c r="O14" s="75"/>
      <c r="P14" s="75">
        <f>'[1]Univ Comm Fund'!G14</f>
        <v>1010000</v>
      </c>
      <c r="Q14" s="75">
        <f>'[1]UNIV 2019'!G20</f>
        <v>1010000</v>
      </c>
      <c r="R14" s="75">
        <f t="shared" si="7"/>
        <v>0</v>
      </c>
      <c r="S14" s="76"/>
      <c r="T14" s="75">
        <f>'[1]Univ Comm Fund'!H14</f>
        <v>42500000</v>
      </c>
      <c r="U14" s="75">
        <f>'[1]UNIV 2019'!H20</f>
        <v>42500000</v>
      </c>
      <c r="V14" s="75">
        <f t="shared" si="8"/>
        <v>0</v>
      </c>
      <c r="W14" s="75"/>
      <c r="X14" s="75">
        <f>'[1]Univ Comm Fund'!I14</f>
        <v>25000000</v>
      </c>
      <c r="Y14" s="75">
        <f>'[1]UNIV 2019'!I20</f>
        <v>25000000</v>
      </c>
      <c r="Z14" s="75">
        <f t="shared" si="9"/>
        <v>0</v>
      </c>
      <c r="AA14" s="75"/>
      <c r="AB14" s="75">
        <f>'[1]Univ Comm Fund'!J14</f>
        <v>30000000</v>
      </c>
      <c r="AC14" s="75">
        <f>'[1]UNIV 2019'!J20</f>
        <v>30000000</v>
      </c>
      <c r="AD14" s="75">
        <f t="shared" si="10"/>
        <v>0</v>
      </c>
      <c r="AE14" s="75"/>
      <c r="AF14" s="77">
        <f>'[1]Univ Comm Fund'!K14</f>
        <v>30000000</v>
      </c>
      <c r="AG14" s="75">
        <f>'[1]UNIV 2019'!K20</f>
        <v>30000000</v>
      </c>
      <c r="AH14" s="75">
        <f t="shared" si="11"/>
        <v>0</v>
      </c>
      <c r="AI14" s="77"/>
      <c r="AJ14" s="75">
        <f>'[1]Univ Comm Fund'!L14</f>
        <v>0</v>
      </c>
      <c r="AK14" s="75">
        <f>'[1]UNIV 2019'!L20</f>
        <v>0</v>
      </c>
      <c r="AL14" s="75">
        <f t="shared" si="12"/>
        <v>0</v>
      </c>
      <c r="AM14" s="75"/>
      <c r="AN14" s="75">
        <f>'[1]Univ Comm Fund'!M14</f>
        <v>40000000</v>
      </c>
      <c r="AO14" s="75">
        <f>'[1]UNIV 2019'!M20</f>
        <v>40000000</v>
      </c>
      <c r="AP14" s="75">
        <f t="shared" si="13"/>
        <v>0</v>
      </c>
      <c r="AQ14" s="75"/>
      <c r="AR14" s="75">
        <f>'[1]Univ Comm Fund'!N14</f>
        <v>0</v>
      </c>
      <c r="AS14" s="75">
        <f>'[1]UNIV 2019'!N20</f>
        <v>0</v>
      </c>
      <c r="AT14" s="75">
        <f t="shared" si="14"/>
        <v>0</v>
      </c>
      <c r="AU14" s="75"/>
      <c r="AV14" s="75">
        <f>'[1]Univ Comm Fund'!O14</f>
        <v>40000000</v>
      </c>
      <c r="AW14" s="75">
        <f>'[1]UNIV 2019'!O20</f>
        <v>40000000</v>
      </c>
      <c r="AX14" s="75">
        <f t="shared" si="15"/>
        <v>0</v>
      </c>
      <c r="AY14" s="75"/>
      <c r="AZ14" s="75">
        <f>'[1]Univ Comm Fund'!P14</f>
        <v>0</v>
      </c>
      <c r="BA14" s="75">
        <f>'[1]UNIV 2019'!P20</f>
        <v>0</v>
      </c>
      <c r="BB14" s="75">
        <f t="shared" si="0"/>
        <v>0</v>
      </c>
      <c r="BC14" s="75"/>
      <c r="BD14" s="75">
        <f>'[1]Univ Comm Fund'!Q14</f>
        <v>52000000</v>
      </c>
      <c r="BE14" s="75">
        <f>'[1]UNIV 2019'!Q20</f>
        <v>52000000</v>
      </c>
      <c r="BF14" s="75">
        <f t="shared" si="1"/>
        <v>0</v>
      </c>
      <c r="BG14" s="75"/>
      <c r="BH14" s="75">
        <f>'[1]Univ Comm Fund'!R14</f>
        <v>67000000</v>
      </c>
      <c r="BI14" s="75">
        <f>'[1]UNIV 2019'!R20</f>
        <v>67000000</v>
      </c>
      <c r="BJ14" s="75">
        <f t="shared" si="16"/>
        <v>0</v>
      </c>
      <c r="BK14" s="75"/>
      <c r="BL14" s="75">
        <f>'[1]Univ Comm Fund'!S14</f>
        <v>37050000</v>
      </c>
      <c r="BM14" s="75">
        <f>'[1]UNIV 2019'!S20</f>
        <v>37050000</v>
      </c>
      <c r="BN14" s="75">
        <f t="shared" si="17"/>
        <v>0</v>
      </c>
      <c r="BO14" s="75"/>
      <c r="BP14" s="75">
        <f>'[1]Univ Comm Fund'!T14</f>
        <v>0</v>
      </c>
      <c r="BQ14" s="75">
        <f>'[1]UNIV 2019'!T20</f>
        <v>0</v>
      </c>
      <c r="BR14" s="75">
        <f t="shared" si="18"/>
        <v>0</v>
      </c>
      <c r="BS14" s="75"/>
      <c r="BT14" s="75">
        <f>'[1]Univ Comm Fund'!U14</f>
        <v>125541000</v>
      </c>
      <c r="BU14" s="75">
        <f>'[1]UNIV 2019'!U20</f>
        <v>125541000</v>
      </c>
      <c r="BV14" s="75">
        <f t="shared" si="2"/>
        <v>0</v>
      </c>
      <c r="BW14" s="75"/>
      <c r="BX14" s="75">
        <f>'[1]Univ Comm Fund'!V14</f>
        <v>0</v>
      </c>
      <c r="BY14" s="75">
        <f>'[1]UNIV 2019'!V20</f>
        <v>0</v>
      </c>
      <c r="BZ14" s="75">
        <f t="shared" si="19"/>
        <v>0</v>
      </c>
      <c r="CA14" s="75"/>
      <c r="CB14" s="75">
        <f>'[1]Univ Comm Fund'!W14</f>
        <v>175000000</v>
      </c>
      <c r="CC14" s="75">
        <f>'[1]UNIV 2019'!W20</f>
        <v>148750000</v>
      </c>
      <c r="CD14" s="75">
        <f t="shared" si="20"/>
        <v>26250000</v>
      </c>
      <c r="CE14" s="75"/>
      <c r="CF14" s="75">
        <v>75000000</v>
      </c>
      <c r="CG14" s="75">
        <f>'[1]UNIV 2019'!X20</f>
        <v>63750000</v>
      </c>
      <c r="CH14" s="75">
        <f t="shared" si="21"/>
        <v>11250000</v>
      </c>
      <c r="CI14" s="75"/>
      <c r="CJ14" s="75">
        <f>'[1]Univ Comm Fund'!Y14</f>
        <v>0</v>
      </c>
      <c r="CK14" s="75">
        <f>'[1]UNIV 2019'!Y20</f>
        <v>0</v>
      </c>
      <c r="CL14" s="75">
        <f t="shared" si="22"/>
        <v>0</v>
      </c>
      <c r="CM14" s="75"/>
      <c r="CN14" s="78">
        <f>'[1]Univ Comm Fund'!Z14</f>
        <v>350000000</v>
      </c>
      <c r="CO14" s="75">
        <f>'[1]UNIV 2019'!Z20</f>
        <v>297500000</v>
      </c>
      <c r="CP14" s="75">
        <f t="shared" si="23"/>
        <v>52500000</v>
      </c>
      <c r="CQ14" s="78"/>
      <c r="CR14" s="75">
        <f>'[1]Univ Comm Fund'!AA14</f>
        <v>0</v>
      </c>
      <c r="CS14" s="75">
        <f>'[1]UNIV 2019'!AA20</f>
        <v>0</v>
      </c>
      <c r="CT14" s="75">
        <f t="shared" si="24"/>
        <v>0</v>
      </c>
      <c r="CU14" s="75"/>
      <c r="CV14" s="66">
        <f>'[1]Univ Comm Fund'!AB14</f>
        <v>0</v>
      </c>
      <c r="CW14" s="66">
        <f>'[1]UNIV 2019'!AB20</f>
        <v>0</v>
      </c>
      <c r="CX14" s="75">
        <f t="shared" si="25"/>
        <v>0</v>
      </c>
      <c r="CY14" s="75"/>
      <c r="CZ14" s="75">
        <f>'[1]Univ Comm Fund'!AC14</f>
        <v>356000000</v>
      </c>
      <c r="DA14" s="75">
        <f>'[1]UNIV 2019'!AC20</f>
        <v>195800000</v>
      </c>
      <c r="DB14" s="75">
        <f t="shared" si="26"/>
        <v>160200000</v>
      </c>
      <c r="DC14" s="75"/>
      <c r="DD14" s="75">
        <f>'[1]Univ Comm Fund'!AD14</f>
        <v>20000000</v>
      </c>
      <c r="DE14" s="75">
        <f>'[1]UNIV 2019'!AD20</f>
        <v>0</v>
      </c>
      <c r="DF14" s="75">
        <f t="shared" si="27"/>
        <v>20000000</v>
      </c>
      <c r="DG14" s="75"/>
      <c r="DH14" s="75">
        <f>'[1]Univ Comm Fund'!AE14</f>
        <v>552000000</v>
      </c>
      <c r="DI14" s="75">
        <f>'[1]UNIV 2019'!AE20</f>
        <v>303600000</v>
      </c>
      <c r="DJ14" s="75">
        <f t="shared" si="28"/>
        <v>248400000</v>
      </c>
      <c r="DK14" s="75"/>
      <c r="DL14" s="75">
        <f>'[1]Univ Comm Fund'!AF14</f>
        <v>20000000</v>
      </c>
      <c r="DM14" s="75">
        <f>'[1]UNIV 2019'!AF20</f>
        <v>0</v>
      </c>
      <c r="DN14" s="75">
        <f t="shared" si="29"/>
        <v>20000000</v>
      </c>
      <c r="DO14" s="75"/>
      <c r="DP14" s="75">
        <f>'[1]Univ Comm Fund'!AG14</f>
        <v>500000000</v>
      </c>
      <c r="DQ14" s="75">
        <f>'[1]UNIV 2019'!AG20</f>
        <v>500000000</v>
      </c>
      <c r="DR14" s="75">
        <f t="shared" si="30"/>
        <v>0</v>
      </c>
      <c r="DS14" s="75"/>
      <c r="DT14" s="66">
        <f>'[1]Univ Comm Fund'!AH14</f>
        <v>100000000</v>
      </c>
      <c r="DU14" s="75">
        <f>'[1]UNIV 2019'!AH20</f>
        <v>55000000</v>
      </c>
      <c r="DV14" s="66">
        <f t="shared" si="31"/>
        <v>45000000</v>
      </c>
      <c r="DW14" s="75"/>
      <c r="DX14" s="66">
        <f>'[1]Univ Comm Fund'!AI14</f>
        <v>15000000</v>
      </c>
      <c r="DY14" s="75">
        <f>'[1]UNIV 2019'!AI20</f>
        <v>7950000</v>
      </c>
      <c r="DZ14" s="66">
        <f t="shared" si="32"/>
        <v>7050000</v>
      </c>
      <c r="EA14" s="75"/>
      <c r="EB14" s="66">
        <f>'[1]Univ Comm Fund'!AJ14</f>
        <v>2000000</v>
      </c>
      <c r="EC14" s="75">
        <f>'[1]UNIV 2019'!AJ20</f>
        <v>0</v>
      </c>
      <c r="ED14" s="66">
        <f t="shared" si="33"/>
        <v>2000000</v>
      </c>
      <c r="EE14" s="75"/>
      <c r="EF14" s="66">
        <f>'[1]Univ Comm Fund'!AK14</f>
        <v>10000000</v>
      </c>
      <c r="EG14" s="75">
        <f>'[1]UNIV 2019'!AK20</f>
        <v>0</v>
      </c>
      <c r="EH14" s="66">
        <f t="shared" si="34"/>
        <v>10000000</v>
      </c>
      <c r="EI14" s="66"/>
      <c r="EJ14" s="66">
        <f>'[1]Univ Comm Fund'!AL14</f>
        <v>1850000000</v>
      </c>
      <c r="EK14" s="66">
        <f>'[1]UNIV 2019'!AL20</f>
        <v>1850000000</v>
      </c>
      <c r="EL14" s="66">
        <f t="shared" si="35"/>
        <v>0</v>
      </c>
      <c r="EM14" s="75"/>
      <c r="EN14" s="80">
        <f>'[1]Univ Comm Fund'!AM14</f>
        <v>565410000</v>
      </c>
      <c r="EO14" s="75">
        <f>'[1]UNIV 2019'!AM20</f>
        <v>310975500</v>
      </c>
      <c r="EP14" s="75">
        <f t="shared" si="36"/>
        <v>254434500</v>
      </c>
      <c r="EQ14" s="75"/>
      <c r="ER14" s="75">
        <f>'[1]Univ Comm Fund'!AN14</f>
        <v>15000000</v>
      </c>
      <c r="ES14" s="75">
        <f>'[1]UNIV 2019'!AN20</f>
        <v>7950000</v>
      </c>
      <c r="ET14" s="75">
        <f t="shared" si="37"/>
        <v>7050000</v>
      </c>
      <c r="EU14" s="75"/>
      <c r="EV14" s="75">
        <f>'[1]Univ Comm Fund'!AO14</f>
        <v>15000000</v>
      </c>
      <c r="EW14" s="75">
        <f>'[1]UNIV 2019'!AO20</f>
        <v>0</v>
      </c>
      <c r="EX14" s="75">
        <f t="shared" si="38"/>
        <v>15000000</v>
      </c>
      <c r="EY14" s="75"/>
      <c r="EZ14" s="75">
        <f>'[1]Univ Comm Fund'!AP14</f>
        <v>10000000</v>
      </c>
      <c r="FA14" s="75">
        <f>'[1]UNIV 2019'!AP20</f>
        <v>0</v>
      </c>
      <c r="FB14" s="75">
        <f t="shared" si="39"/>
        <v>10000000</v>
      </c>
      <c r="FC14" s="75"/>
      <c r="FD14" s="75">
        <f>'[1]Univ Comm Fund'!AQ14</f>
        <v>0</v>
      </c>
      <c r="FE14" s="75">
        <f>'[1]UNIV 2019'!AQ20</f>
        <v>0</v>
      </c>
      <c r="FF14" s="75">
        <f t="shared" si="40"/>
        <v>0</v>
      </c>
      <c r="FG14" s="75"/>
      <c r="FH14" s="75">
        <f>'[1]Univ Comm Fund'!AR14</f>
        <v>0</v>
      </c>
      <c r="FI14" s="75">
        <f>'[1]UNIV 2019'!AR20</f>
        <v>0</v>
      </c>
      <c r="FJ14" s="75">
        <f t="shared" si="41"/>
        <v>0</v>
      </c>
      <c r="FK14" s="75"/>
      <c r="FL14" s="75">
        <f>'[1]Univ Comm Fund'!AS14</f>
        <v>300000000</v>
      </c>
      <c r="FM14" s="75">
        <f>'[1]UNIV 2019'!AS20</f>
        <v>0</v>
      </c>
      <c r="FN14" s="75">
        <f t="shared" si="42"/>
        <v>300000000</v>
      </c>
      <c r="FO14" s="75"/>
      <c r="FP14" s="75">
        <f>'[1]Univ Comm Fund'!AT14</f>
        <v>120000000</v>
      </c>
      <c r="FQ14" s="75">
        <f>'[1]UNIV 2019'!AT20</f>
        <v>78000000</v>
      </c>
      <c r="FR14" s="75">
        <f t="shared" si="43"/>
        <v>42000000</v>
      </c>
      <c r="FS14" s="75"/>
      <c r="FT14" s="75">
        <f>'[1]Univ Comm Fund'!AU14</f>
        <v>10000000</v>
      </c>
      <c r="FU14" s="75">
        <f>'[1]UNIV 2019'!AU20</f>
        <v>0</v>
      </c>
      <c r="FV14" s="75">
        <f t="shared" si="44"/>
        <v>10000000</v>
      </c>
      <c r="FW14" s="75"/>
      <c r="FX14" s="75">
        <f>'[1]Univ Comm Fund'!AV14</f>
        <v>5000000</v>
      </c>
      <c r="FY14" s="75">
        <f>'[1]UNIV 2019'!AV20</f>
        <v>0</v>
      </c>
      <c r="FZ14" s="75">
        <f t="shared" si="45"/>
        <v>5000000</v>
      </c>
      <c r="GA14" s="75"/>
      <c r="GB14" s="75">
        <f>'[1]Univ Comm Fund'!AW14</f>
        <v>10000000</v>
      </c>
      <c r="GC14" s="75">
        <f>'[1]UNIV 2019'!AW20</f>
        <v>0</v>
      </c>
      <c r="GD14" s="75">
        <f t="shared" si="46"/>
        <v>10000000</v>
      </c>
      <c r="GE14" s="75"/>
      <c r="GF14" s="75">
        <f>'[1]Univ Comm Fund'!AX14</f>
        <v>0</v>
      </c>
      <c r="GG14" s="75">
        <f>'[1]UNIV 2019'!AX20</f>
        <v>0</v>
      </c>
      <c r="GH14" s="75">
        <f t="shared" si="47"/>
        <v>0</v>
      </c>
      <c r="GI14" s="75"/>
      <c r="GJ14" s="75">
        <f>'[1]Univ Comm Fund'!AY14</f>
        <v>350000000</v>
      </c>
      <c r="GK14" s="75">
        <f>'[1]UNIV 2019'!AY20</f>
        <v>0</v>
      </c>
      <c r="GL14" s="75">
        <f t="shared" si="48"/>
        <v>350000000</v>
      </c>
      <c r="GM14" s="75"/>
      <c r="GN14" s="75">
        <f>'[1]Univ Comm Fund'!AZ14</f>
        <v>175823700</v>
      </c>
      <c r="GO14" s="75">
        <f>'[1]UNIV 2019'!AZ20</f>
        <v>0</v>
      </c>
      <c r="GP14" s="75">
        <f t="shared" si="49"/>
        <v>175823700</v>
      </c>
      <c r="GQ14" s="75"/>
      <c r="GR14" s="75">
        <f>'[1]Univ Comm Fund'!BA14</f>
        <v>20000000</v>
      </c>
      <c r="GS14" s="75">
        <f>'[1]UNIV 2019'!BA20</f>
        <v>0</v>
      </c>
      <c r="GT14" s="75">
        <f t="shared" si="50"/>
        <v>20000000</v>
      </c>
      <c r="GU14" s="75"/>
      <c r="GV14" s="75">
        <f>'[1]Univ Comm Fund'!BB14</f>
        <v>5000000</v>
      </c>
      <c r="GW14" s="75">
        <f>'[1]UNIV 2019'!BB20</f>
        <v>0</v>
      </c>
      <c r="GX14" s="75">
        <f t="shared" si="51"/>
        <v>5000000</v>
      </c>
      <c r="GY14" s="75"/>
      <c r="GZ14" s="75">
        <f>'[1]Univ Comm Fund'!BC14</f>
        <v>10000000</v>
      </c>
      <c r="HA14" s="75">
        <f>'[1]UNIV 2019'!BD20</f>
        <v>0</v>
      </c>
      <c r="HB14" s="75">
        <f t="shared" si="52"/>
        <v>10000000</v>
      </c>
      <c r="HC14" s="75"/>
      <c r="HD14" s="75">
        <f>'[1]Univ Comm Fund'!BD14</f>
        <v>0</v>
      </c>
      <c r="HE14" s="75">
        <f>'[1]UNIV 2019'!BC20</f>
        <v>0</v>
      </c>
      <c r="HF14" s="75">
        <f t="shared" si="53"/>
        <v>0</v>
      </c>
      <c r="HG14" s="75"/>
      <c r="HH14" s="75">
        <f t="shared" si="54"/>
        <v>6245362476.6700001</v>
      </c>
      <c r="HI14" s="75">
        <f t="shared" si="54"/>
        <v>4428404276.6599998</v>
      </c>
      <c r="HJ14" s="82">
        <f t="shared" si="55"/>
        <v>1816958200.0100002</v>
      </c>
      <c r="HK14" s="3"/>
      <c r="HL14" s="83">
        <f t="shared" si="56"/>
        <v>3331528776.6700001</v>
      </c>
      <c r="HM14" s="83">
        <f t="shared" si="56"/>
        <v>1894744276.6599998</v>
      </c>
      <c r="HN14" s="84">
        <f t="shared" si="57"/>
        <v>1436784500.0100002</v>
      </c>
      <c r="HP14" s="83">
        <f t="shared" si="58"/>
        <v>2350000000</v>
      </c>
      <c r="HQ14" s="83">
        <f t="shared" si="58"/>
        <v>2350000000</v>
      </c>
      <c r="HR14" s="84">
        <f t="shared" si="59"/>
        <v>0</v>
      </c>
      <c r="HT14" s="83">
        <f t="shared" si="60"/>
        <v>145000000</v>
      </c>
      <c r="HU14" s="83">
        <f t="shared" si="60"/>
        <v>63750000</v>
      </c>
      <c r="HV14" s="84">
        <f t="shared" si="61"/>
        <v>81250000</v>
      </c>
      <c r="HX14" s="83">
        <f t="shared" si="62"/>
        <v>60000000</v>
      </c>
      <c r="HY14" s="83">
        <f t="shared" si="62"/>
        <v>15900000</v>
      </c>
      <c r="HZ14" s="84">
        <f t="shared" si="63"/>
        <v>44100000</v>
      </c>
      <c r="IB14" s="83">
        <f t="shared" si="64"/>
        <v>35000000</v>
      </c>
      <c r="IC14" s="83">
        <f t="shared" si="64"/>
        <v>0</v>
      </c>
      <c r="ID14" s="84">
        <f t="shared" si="65"/>
        <v>35000000</v>
      </c>
      <c r="IF14" s="83">
        <f t="shared" si="3"/>
        <v>2000000</v>
      </c>
      <c r="IG14" s="83">
        <f t="shared" si="3"/>
        <v>0</v>
      </c>
      <c r="IH14" s="84">
        <f t="shared" si="66"/>
        <v>2000000</v>
      </c>
      <c r="IJ14" s="84">
        <f t="shared" si="67"/>
        <v>295823700</v>
      </c>
      <c r="IK14" s="84">
        <f t="shared" si="67"/>
        <v>78000000</v>
      </c>
      <c r="IL14" s="84">
        <f t="shared" si="68"/>
        <v>217823700</v>
      </c>
    </row>
    <row r="15" spans="1:246" s="85" customFormat="1" x14ac:dyDescent="0.25">
      <c r="A15" s="42">
        <v>10</v>
      </c>
      <c r="B15" s="74" t="s">
        <v>73</v>
      </c>
      <c r="C15" s="73" t="s">
        <v>74</v>
      </c>
      <c r="D15" s="75">
        <f>'[1]Univ Comm Fund'!D15</f>
        <v>59001497.670000002</v>
      </c>
      <c r="E15" s="75">
        <f>'[1]UNIV 2019'!D21</f>
        <v>59001497.670000002</v>
      </c>
      <c r="F15" s="75">
        <f t="shared" si="4"/>
        <v>0</v>
      </c>
      <c r="G15" s="75"/>
      <c r="H15" s="75">
        <f>'[1]Univ Comm Fund'!E15</f>
        <v>20000000</v>
      </c>
      <c r="I15" s="75">
        <f>'[1]UNIV 2019'!E21</f>
        <v>20000000</v>
      </c>
      <c r="J15" s="75">
        <f t="shared" si="5"/>
        <v>0</v>
      </c>
      <c r="K15" s="75"/>
      <c r="L15" s="75">
        <f>'[1]Univ Comm Fund'!F15</f>
        <v>40000000</v>
      </c>
      <c r="M15" s="75">
        <f>'[1]UNIV 2019'!F21</f>
        <v>40000000</v>
      </c>
      <c r="N15" s="75">
        <f t="shared" si="6"/>
        <v>0</v>
      </c>
      <c r="O15" s="75"/>
      <c r="P15" s="75">
        <f>'[1]Univ Comm Fund'!G15</f>
        <v>0</v>
      </c>
      <c r="Q15" s="75">
        <f>'[1]UNIV 2019'!G21</f>
        <v>0</v>
      </c>
      <c r="R15" s="75">
        <f t="shared" si="7"/>
        <v>0</v>
      </c>
      <c r="S15" s="76"/>
      <c r="T15" s="75">
        <f>'[1]Univ Comm Fund'!H15</f>
        <v>50000000</v>
      </c>
      <c r="U15" s="75">
        <f>'[1]UNIV 2019'!H21</f>
        <v>50000000</v>
      </c>
      <c r="V15" s="75">
        <f t="shared" si="8"/>
        <v>0</v>
      </c>
      <c r="W15" s="75"/>
      <c r="X15" s="75">
        <f>'[1]Univ Comm Fund'!I15</f>
        <v>25000000</v>
      </c>
      <c r="Y15" s="75">
        <f>'[1]UNIV 2019'!I21</f>
        <v>25000000</v>
      </c>
      <c r="Z15" s="75">
        <f t="shared" si="9"/>
        <v>0</v>
      </c>
      <c r="AA15" s="75"/>
      <c r="AB15" s="75">
        <f>'[1]Univ Comm Fund'!J15</f>
        <v>30000000</v>
      </c>
      <c r="AC15" s="75">
        <f>'[1]UNIV 2019'!J21</f>
        <v>30000000</v>
      </c>
      <c r="AD15" s="75">
        <f t="shared" si="10"/>
        <v>0</v>
      </c>
      <c r="AE15" s="75"/>
      <c r="AF15" s="77">
        <f>'[1]Univ Comm Fund'!K15</f>
        <v>30000000</v>
      </c>
      <c r="AG15" s="75">
        <f>'[1]UNIV 2019'!K21</f>
        <v>30000000</v>
      </c>
      <c r="AH15" s="75">
        <f t="shared" si="11"/>
        <v>0</v>
      </c>
      <c r="AI15" s="77"/>
      <c r="AJ15" s="75">
        <f>'[1]Univ Comm Fund'!L15</f>
        <v>35400000</v>
      </c>
      <c r="AK15" s="75">
        <f>'[1]UNIV 2019'!L21</f>
        <v>35400000</v>
      </c>
      <c r="AL15" s="75">
        <f t="shared" si="12"/>
        <v>0</v>
      </c>
      <c r="AM15" s="75"/>
      <c r="AN15" s="75">
        <f>'[1]Univ Comm Fund'!M15</f>
        <v>40000000</v>
      </c>
      <c r="AO15" s="75">
        <f>'[1]UNIV 2019'!M21</f>
        <v>40000000</v>
      </c>
      <c r="AP15" s="75">
        <f t="shared" si="13"/>
        <v>0</v>
      </c>
      <c r="AQ15" s="75"/>
      <c r="AR15" s="75">
        <f>'[1]Univ Comm Fund'!N15</f>
        <v>0</v>
      </c>
      <c r="AS15" s="75">
        <f>'[1]UNIV 2019'!N21</f>
        <v>0</v>
      </c>
      <c r="AT15" s="75">
        <f t="shared" si="14"/>
        <v>0</v>
      </c>
      <c r="AU15" s="75"/>
      <c r="AV15" s="75">
        <f>'[1]Univ Comm Fund'!O15</f>
        <v>40000000</v>
      </c>
      <c r="AW15" s="75">
        <f>'[1]UNIV 2019'!O21</f>
        <v>40000000</v>
      </c>
      <c r="AX15" s="75">
        <f t="shared" si="15"/>
        <v>0</v>
      </c>
      <c r="AY15" s="75"/>
      <c r="AZ15" s="75">
        <f>'[1]Univ Comm Fund'!P15</f>
        <v>0</v>
      </c>
      <c r="BA15" s="75">
        <f>'[1]UNIV 2019'!P21</f>
        <v>0</v>
      </c>
      <c r="BB15" s="75">
        <f t="shared" si="0"/>
        <v>0</v>
      </c>
      <c r="BC15" s="75"/>
      <c r="BD15" s="75">
        <f>'[1]Univ Comm Fund'!Q15</f>
        <v>52000000</v>
      </c>
      <c r="BE15" s="75">
        <f>'[1]UNIV 2019'!Q21</f>
        <v>52000000</v>
      </c>
      <c r="BF15" s="75">
        <f t="shared" si="1"/>
        <v>0</v>
      </c>
      <c r="BG15" s="75"/>
      <c r="BH15" s="75">
        <f>'[1]Univ Comm Fund'!R15</f>
        <v>67000000</v>
      </c>
      <c r="BI15" s="75">
        <f>'[1]UNIV 2019'!R21</f>
        <v>67000000</v>
      </c>
      <c r="BJ15" s="75">
        <f t="shared" si="16"/>
        <v>0</v>
      </c>
      <c r="BK15" s="75"/>
      <c r="BL15" s="75">
        <f>'[1]Univ Comm Fund'!S15</f>
        <v>57000000</v>
      </c>
      <c r="BM15" s="75">
        <f>'[1]UNIV 2019'!S21</f>
        <v>57000000</v>
      </c>
      <c r="BN15" s="75">
        <f t="shared" si="17"/>
        <v>0</v>
      </c>
      <c r="BO15" s="75"/>
      <c r="BP15" s="75">
        <f>'[1]Univ Comm Fund'!T15</f>
        <v>0</v>
      </c>
      <c r="BQ15" s="75">
        <f>'[1]UNIV 2019'!T21</f>
        <v>0</v>
      </c>
      <c r="BR15" s="75">
        <f t="shared" si="18"/>
        <v>0</v>
      </c>
      <c r="BS15" s="75"/>
      <c r="BT15" s="75">
        <f>'[1]Univ Comm Fund'!U15</f>
        <v>193140000</v>
      </c>
      <c r="BU15" s="75">
        <f>'[1]UNIV 2019'!U21</f>
        <v>193140000</v>
      </c>
      <c r="BV15" s="75">
        <f t="shared" si="2"/>
        <v>0</v>
      </c>
      <c r="BW15" s="75"/>
      <c r="BX15" s="75">
        <f>'[1]Univ Comm Fund'!V15</f>
        <v>405000000</v>
      </c>
      <c r="BY15" s="75">
        <f>'[1]UNIV 2019'!V21</f>
        <v>405000000</v>
      </c>
      <c r="BZ15" s="75">
        <f t="shared" si="19"/>
        <v>0</v>
      </c>
      <c r="CA15" s="75"/>
      <c r="CB15" s="75">
        <f>'[1]Univ Comm Fund'!W15</f>
        <v>175000000</v>
      </c>
      <c r="CC15" s="75">
        <f>'[1]UNIV 2019'!W21</f>
        <v>175000000</v>
      </c>
      <c r="CD15" s="75">
        <f t="shared" si="20"/>
        <v>0</v>
      </c>
      <c r="CE15" s="75"/>
      <c r="CF15" s="75">
        <v>75000000</v>
      </c>
      <c r="CG15" s="75">
        <f>'[1]UNIV 2019'!X21</f>
        <v>75000000</v>
      </c>
      <c r="CH15" s="75">
        <f t="shared" si="21"/>
        <v>0</v>
      </c>
      <c r="CI15" s="75"/>
      <c r="CJ15" s="75">
        <f>'[1]Univ Comm Fund'!Y15</f>
        <v>0</v>
      </c>
      <c r="CK15" s="75">
        <f>'[1]UNIV 2019'!Y21</f>
        <v>0</v>
      </c>
      <c r="CL15" s="75">
        <f t="shared" si="22"/>
        <v>0</v>
      </c>
      <c r="CM15" s="75"/>
      <c r="CN15" s="78">
        <f>'[1]Univ Comm Fund'!Z15</f>
        <v>350000000</v>
      </c>
      <c r="CO15" s="75">
        <f>'[1]UNIV 2019'!Z21</f>
        <v>350000000</v>
      </c>
      <c r="CP15" s="75">
        <f t="shared" si="23"/>
        <v>0</v>
      </c>
      <c r="CQ15" s="78"/>
      <c r="CR15" s="75">
        <f>'[1]Univ Comm Fund'!AA15</f>
        <v>0</v>
      </c>
      <c r="CS15" s="75">
        <f>'[1]UNIV 2019'!AA21</f>
        <v>0</v>
      </c>
      <c r="CT15" s="75">
        <f t="shared" si="24"/>
        <v>0</v>
      </c>
      <c r="CU15" s="75"/>
      <c r="CV15" s="75">
        <f>'[1]Univ Comm Fund'!AB15</f>
        <v>600000000</v>
      </c>
      <c r="CW15" s="75">
        <f>'[1]UNIV 2019'!AB21</f>
        <v>600000000</v>
      </c>
      <c r="CX15" s="75">
        <f t="shared" si="25"/>
        <v>0</v>
      </c>
      <c r="CY15" s="75"/>
      <c r="CZ15" s="75">
        <f>'[1]Univ Comm Fund'!AC15</f>
        <v>356000000</v>
      </c>
      <c r="DA15" s="75">
        <f>'[1]UNIV 2019'!AC21</f>
        <v>302600000</v>
      </c>
      <c r="DB15" s="75">
        <f t="shared" si="26"/>
        <v>53400000</v>
      </c>
      <c r="DC15" s="75"/>
      <c r="DD15" s="75">
        <f>'[1]Univ Comm Fund'!AD15</f>
        <v>20000000</v>
      </c>
      <c r="DE15" s="75">
        <f>'[1]UNIV 2019'!AD21</f>
        <v>17000000</v>
      </c>
      <c r="DF15" s="75">
        <f t="shared" si="27"/>
        <v>3000000</v>
      </c>
      <c r="DG15" s="75"/>
      <c r="DH15" s="75">
        <f>'[1]Univ Comm Fund'!AE15</f>
        <v>552000000</v>
      </c>
      <c r="DI15" s="75">
        <f>'[1]UNIV 2019'!AE21</f>
        <v>552000000</v>
      </c>
      <c r="DJ15" s="75">
        <f t="shared" si="28"/>
        <v>0</v>
      </c>
      <c r="DK15" s="75"/>
      <c r="DL15" s="75">
        <f>'[1]Univ Comm Fund'!AF15</f>
        <v>20000000</v>
      </c>
      <c r="DM15" s="75">
        <f>'[1]UNIV 2019'!AF21</f>
        <v>17000000</v>
      </c>
      <c r="DN15" s="75">
        <f t="shared" si="29"/>
        <v>3000000</v>
      </c>
      <c r="DO15" s="75"/>
      <c r="DP15" s="75">
        <f>'[1]Univ Comm Fund'!AG15</f>
        <v>600000000</v>
      </c>
      <c r="DQ15" s="75">
        <f>'[1]UNIV 2019'!AG21</f>
        <v>600000000</v>
      </c>
      <c r="DR15" s="75">
        <f t="shared" si="30"/>
        <v>0</v>
      </c>
      <c r="DS15" s="75"/>
      <c r="DT15" s="66">
        <f>'[1]Univ Comm Fund'!AH15</f>
        <v>100000000</v>
      </c>
      <c r="DU15" s="75">
        <f>'[1]UNIV 2019'!AH21</f>
        <v>100000000</v>
      </c>
      <c r="DV15" s="66">
        <f t="shared" si="31"/>
        <v>0</v>
      </c>
      <c r="DW15" s="75"/>
      <c r="DX15" s="66">
        <f>'[1]Univ Comm Fund'!AI15</f>
        <v>15000000</v>
      </c>
      <c r="DY15" s="75">
        <f>'[1]UNIV 2019'!AI21</f>
        <v>0</v>
      </c>
      <c r="DZ15" s="66">
        <f t="shared" si="32"/>
        <v>15000000</v>
      </c>
      <c r="EA15" s="75"/>
      <c r="EB15" s="66">
        <f>'[1]Univ Comm Fund'!AJ15</f>
        <v>2000000</v>
      </c>
      <c r="EC15" s="75">
        <f>'[1]UNIV 2019'!AJ21</f>
        <v>1700000</v>
      </c>
      <c r="ED15" s="66">
        <f t="shared" si="33"/>
        <v>300000</v>
      </c>
      <c r="EE15" s="75"/>
      <c r="EF15" s="66">
        <f>'[1]Univ Comm Fund'!AK15</f>
        <v>10000000</v>
      </c>
      <c r="EG15" s="75">
        <f>'[1]UNIV 2019'!AK21</f>
        <v>8500000</v>
      </c>
      <c r="EH15" s="66">
        <f t="shared" si="34"/>
        <v>1500000</v>
      </c>
      <c r="EI15" s="66"/>
      <c r="EJ15" s="66">
        <f>'[1]Univ Comm Fund'!AL15</f>
        <v>3000000000</v>
      </c>
      <c r="EK15" s="66">
        <f>'[1]UNIV 2019'!AL21</f>
        <v>2970000000</v>
      </c>
      <c r="EL15" s="66">
        <f t="shared" si="35"/>
        <v>30000000</v>
      </c>
      <c r="EM15" s="75"/>
      <c r="EN15" s="80">
        <f>'[1]Univ Comm Fund'!AM15</f>
        <v>565410000</v>
      </c>
      <c r="EO15" s="75">
        <f>'[1]UNIV 2019'!AM21</f>
        <v>565410000</v>
      </c>
      <c r="EP15" s="75">
        <f t="shared" si="36"/>
        <v>0</v>
      </c>
      <c r="EQ15" s="75"/>
      <c r="ER15" s="75">
        <f>'[1]Univ Comm Fund'!AN15</f>
        <v>15000000</v>
      </c>
      <c r="ES15" s="75">
        <f>'[1]UNIV 2019'!AN21</f>
        <v>0</v>
      </c>
      <c r="ET15" s="75">
        <f t="shared" si="37"/>
        <v>15000000</v>
      </c>
      <c r="EU15" s="75"/>
      <c r="EV15" s="75">
        <f>'[1]Univ Comm Fund'!AO15</f>
        <v>15000000</v>
      </c>
      <c r="EW15" s="75">
        <f>'[1]UNIV 2019'!AO21</f>
        <v>0</v>
      </c>
      <c r="EX15" s="75">
        <f t="shared" si="38"/>
        <v>15000000</v>
      </c>
      <c r="EY15" s="75"/>
      <c r="EZ15" s="75">
        <f>'[1]Univ Comm Fund'!AP15</f>
        <v>10000000</v>
      </c>
      <c r="FA15" s="75">
        <f>'[1]UNIV 2019'!AP21</f>
        <v>8500000</v>
      </c>
      <c r="FB15" s="75">
        <f t="shared" si="39"/>
        <v>1500000</v>
      </c>
      <c r="FC15" s="75"/>
      <c r="FD15" s="75">
        <f>'[1]Univ Comm Fund'!AQ15</f>
        <v>0</v>
      </c>
      <c r="FE15" s="75">
        <f>'[1]UNIV 2019'!AQ21</f>
        <v>0</v>
      </c>
      <c r="FF15" s="75">
        <f t="shared" si="40"/>
        <v>0</v>
      </c>
      <c r="FG15" s="75"/>
      <c r="FH15" s="81">
        <f>'[1]Univ Comm Fund'!AR15</f>
        <v>300000000</v>
      </c>
      <c r="FI15" s="75">
        <f>'[1]UNIV 2019'!AR21</f>
        <v>300000000</v>
      </c>
      <c r="FJ15" s="75">
        <f t="shared" si="41"/>
        <v>0</v>
      </c>
      <c r="FK15" s="75"/>
      <c r="FL15" s="75">
        <f>'[1]Univ Comm Fund'!AS15</f>
        <v>300000000</v>
      </c>
      <c r="FM15" s="75">
        <f>'[1]UNIV 2019'!AS21</f>
        <v>0</v>
      </c>
      <c r="FN15" s="75">
        <f t="shared" si="42"/>
        <v>300000000</v>
      </c>
      <c r="FO15" s="75"/>
      <c r="FP15" s="75">
        <f>'[1]Univ Comm Fund'!AT15</f>
        <v>120000000</v>
      </c>
      <c r="FQ15" s="75">
        <f>'[1]UNIV 2019'!AT21</f>
        <v>85200000</v>
      </c>
      <c r="FR15" s="75">
        <f t="shared" si="43"/>
        <v>34800000</v>
      </c>
      <c r="FS15" s="75"/>
      <c r="FT15" s="75">
        <f>'[1]Univ Comm Fund'!AU15</f>
        <v>10000000</v>
      </c>
      <c r="FU15" s="75">
        <f>'[1]UNIV 2019'!AU21</f>
        <v>0</v>
      </c>
      <c r="FV15" s="75">
        <f t="shared" si="44"/>
        <v>10000000</v>
      </c>
      <c r="FW15" s="75"/>
      <c r="FX15" s="75">
        <f>'[1]Univ Comm Fund'!AV15</f>
        <v>5000000</v>
      </c>
      <c r="FY15" s="75">
        <f>'[1]UNIV 2019'!AV21</f>
        <v>0</v>
      </c>
      <c r="FZ15" s="75">
        <f t="shared" si="45"/>
        <v>5000000</v>
      </c>
      <c r="GA15" s="75"/>
      <c r="GB15" s="75">
        <f>'[1]Univ Comm Fund'!AW15</f>
        <v>10000000</v>
      </c>
      <c r="GC15" s="75">
        <f>'[1]UNIV 2019'!AW21</f>
        <v>0</v>
      </c>
      <c r="GD15" s="75">
        <f t="shared" si="46"/>
        <v>10000000</v>
      </c>
      <c r="GE15" s="75"/>
      <c r="GF15" s="75">
        <f>'[1]Univ Comm Fund'!AX15</f>
        <v>0</v>
      </c>
      <c r="GG15" s="75">
        <f>'[1]UNIV 2019'!AX21</f>
        <v>0</v>
      </c>
      <c r="GH15" s="75">
        <f t="shared" si="47"/>
        <v>0</v>
      </c>
      <c r="GI15" s="75"/>
      <c r="GJ15" s="75">
        <f>'[1]Univ Comm Fund'!AY15</f>
        <v>350000000</v>
      </c>
      <c r="GK15" s="75">
        <f>'[1]UNIV 2019'!AY21</f>
        <v>0</v>
      </c>
      <c r="GL15" s="75">
        <f t="shared" si="48"/>
        <v>350000000</v>
      </c>
      <c r="GM15" s="75"/>
      <c r="GN15" s="75">
        <f>'[1]Univ Comm Fund'!AZ15</f>
        <v>175823700</v>
      </c>
      <c r="GO15" s="75">
        <f>'[1]UNIV 2019'!AZ21</f>
        <v>0</v>
      </c>
      <c r="GP15" s="75">
        <f t="shared" si="49"/>
        <v>175823700</v>
      </c>
      <c r="GQ15" s="75"/>
      <c r="GR15" s="75">
        <f>'[1]Univ Comm Fund'!BA15</f>
        <v>20000000</v>
      </c>
      <c r="GS15" s="75">
        <f>'[1]UNIV 2019'!BA21</f>
        <v>0</v>
      </c>
      <c r="GT15" s="75">
        <f t="shared" si="50"/>
        <v>20000000</v>
      </c>
      <c r="GU15" s="75"/>
      <c r="GV15" s="75">
        <f>'[1]Univ Comm Fund'!BB15</f>
        <v>5000000</v>
      </c>
      <c r="GW15" s="75">
        <f>'[1]UNIV 2019'!BB21</f>
        <v>0</v>
      </c>
      <c r="GX15" s="75">
        <f t="shared" si="51"/>
        <v>5000000</v>
      </c>
      <c r="GY15" s="75"/>
      <c r="GZ15" s="75">
        <f>'[1]Univ Comm Fund'!BC15</f>
        <v>10000000</v>
      </c>
      <c r="HA15" s="75">
        <f>'[1]UNIV 2019'!BD21</f>
        <v>0</v>
      </c>
      <c r="HB15" s="75">
        <f t="shared" si="52"/>
        <v>10000000</v>
      </c>
      <c r="HC15" s="75"/>
      <c r="HD15" s="75">
        <f>'[1]Univ Comm Fund'!BD15</f>
        <v>0</v>
      </c>
      <c r="HE15" s="75">
        <f>'[1]UNIV 2019'!BC21</f>
        <v>0</v>
      </c>
      <c r="HF15" s="75">
        <f t="shared" si="53"/>
        <v>0</v>
      </c>
      <c r="HG15" s="75"/>
      <c r="HH15" s="75">
        <f t="shared" si="54"/>
        <v>8929775197.6700001</v>
      </c>
      <c r="HI15" s="75">
        <f t="shared" si="54"/>
        <v>7871451497.6700001</v>
      </c>
      <c r="HJ15" s="82">
        <f t="shared" si="55"/>
        <v>1058323700</v>
      </c>
      <c r="HK15" s="3"/>
      <c r="HL15" s="83">
        <f t="shared" si="56"/>
        <v>3426551497.6700001</v>
      </c>
      <c r="HM15" s="83">
        <f t="shared" si="56"/>
        <v>2723151497.6700001</v>
      </c>
      <c r="HN15" s="84">
        <f t="shared" si="57"/>
        <v>703400000</v>
      </c>
      <c r="HP15" s="83">
        <f t="shared" si="58"/>
        <v>4605000000</v>
      </c>
      <c r="HQ15" s="83">
        <f t="shared" si="58"/>
        <v>4575000000</v>
      </c>
      <c r="HR15" s="84">
        <f t="shared" si="59"/>
        <v>30000000</v>
      </c>
      <c r="HT15" s="83">
        <f t="shared" si="60"/>
        <v>145000000</v>
      </c>
      <c r="HU15" s="83">
        <f t="shared" si="60"/>
        <v>126000000</v>
      </c>
      <c r="HV15" s="84">
        <f t="shared" si="61"/>
        <v>19000000</v>
      </c>
      <c r="HX15" s="83">
        <f t="shared" si="62"/>
        <v>60000000</v>
      </c>
      <c r="HY15" s="83">
        <f t="shared" si="62"/>
        <v>0</v>
      </c>
      <c r="HZ15" s="84">
        <f t="shared" si="63"/>
        <v>60000000</v>
      </c>
      <c r="IB15" s="83">
        <f t="shared" si="64"/>
        <v>35000000</v>
      </c>
      <c r="IC15" s="83">
        <f t="shared" si="64"/>
        <v>0</v>
      </c>
      <c r="ID15" s="84">
        <f t="shared" si="65"/>
        <v>35000000</v>
      </c>
      <c r="IF15" s="83">
        <f t="shared" si="3"/>
        <v>2000000</v>
      </c>
      <c r="IG15" s="83">
        <f t="shared" si="3"/>
        <v>1700000</v>
      </c>
      <c r="IH15" s="84">
        <f t="shared" si="66"/>
        <v>300000</v>
      </c>
      <c r="IJ15" s="84">
        <f t="shared" si="67"/>
        <v>595823700</v>
      </c>
      <c r="IK15" s="84">
        <f t="shared" si="67"/>
        <v>385200000</v>
      </c>
      <c r="IL15" s="84">
        <f t="shared" si="68"/>
        <v>210623700</v>
      </c>
    </row>
    <row r="16" spans="1:246" x14ac:dyDescent="0.25">
      <c r="A16" s="42">
        <v>11</v>
      </c>
      <c r="B16" s="86" t="s">
        <v>75</v>
      </c>
      <c r="C16" s="42" t="s">
        <v>76</v>
      </c>
      <c r="D16" s="66">
        <f>'[1]Univ Comm Fund'!D16</f>
        <v>59027776.670000002</v>
      </c>
      <c r="E16" s="66">
        <f>'[1]UNIV 2019'!D22</f>
        <v>59027776.670000002</v>
      </c>
      <c r="F16" s="75">
        <f t="shared" si="4"/>
        <v>0</v>
      </c>
      <c r="G16" s="66"/>
      <c r="H16" s="66">
        <f>'[1]Univ Comm Fund'!E16</f>
        <v>20000000</v>
      </c>
      <c r="I16" s="66">
        <f>'[1]UNIV 2019'!E22</f>
        <v>20000000</v>
      </c>
      <c r="J16" s="66">
        <f t="shared" si="5"/>
        <v>0</v>
      </c>
      <c r="K16" s="66"/>
      <c r="L16" s="66">
        <f>'[1]Univ Comm Fund'!F16</f>
        <v>40000000</v>
      </c>
      <c r="M16" s="66">
        <f>'[1]UNIV 2019'!F22</f>
        <v>40000000</v>
      </c>
      <c r="N16" s="66">
        <f t="shared" si="6"/>
        <v>0</v>
      </c>
      <c r="O16" s="66"/>
      <c r="P16" s="66">
        <f>'[1]Univ Comm Fund'!G16</f>
        <v>0</v>
      </c>
      <c r="Q16" s="66">
        <f>'[1]UNIV 2019'!G22</f>
        <v>0</v>
      </c>
      <c r="R16" s="66">
        <f t="shared" si="7"/>
        <v>0</v>
      </c>
      <c r="S16" s="87"/>
      <c r="T16" s="66">
        <f>'[1]Univ Comm Fund'!H16</f>
        <v>42500000</v>
      </c>
      <c r="U16" s="66">
        <f>'[1]UNIV 2019'!H22</f>
        <v>42500000</v>
      </c>
      <c r="V16" s="66">
        <f t="shared" si="8"/>
        <v>0</v>
      </c>
      <c r="W16" s="66"/>
      <c r="X16" s="66">
        <f>'[1]Univ Comm Fund'!I16</f>
        <v>21250000</v>
      </c>
      <c r="Y16" s="66">
        <f>'[1]UNIV 2019'!I22</f>
        <v>21250000</v>
      </c>
      <c r="Z16" s="66">
        <f t="shared" si="9"/>
        <v>0</v>
      </c>
      <c r="AA16" s="66"/>
      <c r="AB16" s="66">
        <f>'[1]Univ Comm Fund'!J16</f>
        <v>25500000</v>
      </c>
      <c r="AC16" s="66">
        <f>'[1]UNIV 2019'!J22</f>
        <v>25500000</v>
      </c>
      <c r="AD16" s="66">
        <f t="shared" si="10"/>
        <v>0</v>
      </c>
      <c r="AE16" s="66"/>
      <c r="AF16" s="88">
        <f>'[1]Univ Comm Fund'!K16</f>
        <v>25500000</v>
      </c>
      <c r="AG16" s="66">
        <f>'[1]UNIV 2019'!K22</f>
        <v>25500000</v>
      </c>
      <c r="AH16" s="66">
        <f t="shared" si="11"/>
        <v>0</v>
      </c>
      <c r="AI16" s="88"/>
      <c r="AJ16" s="66">
        <f>'[1]Univ Comm Fund'!L16</f>
        <v>0</v>
      </c>
      <c r="AK16" s="66">
        <f>'[1]UNIV 2019'!L22</f>
        <v>0</v>
      </c>
      <c r="AL16" s="66">
        <f t="shared" si="12"/>
        <v>0</v>
      </c>
      <c r="AM16" s="66"/>
      <c r="AN16" s="66">
        <f>'[1]Univ Comm Fund'!M16</f>
        <v>34000000</v>
      </c>
      <c r="AO16" s="66">
        <f>'[1]UNIV 2019'!M22</f>
        <v>34000000</v>
      </c>
      <c r="AP16" s="66">
        <f t="shared" si="13"/>
        <v>0</v>
      </c>
      <c r="AQ16" s="66"/>
      <c r="AR16" s="66">
        <f>'[1]Univ Comm Fund'!N16</f>
        <v>0</v>
      </c>
      <c r="AS16" s="66">
        <f>'[1]UNIV 2019'!N22</f>
        <v>0</v>
      </c>
      <c r="AT16" s="66">
        <f t="shared" si="14"/>
        <v>0</v>
      </c>
      <c r="AU16" s="66"/>
      <c r="AV16" s="66">
        <f>'[1]Univ Comm Fund'!O16</f>
        <v>40000000</v>
      </c>
      <c r="AW16" s="66">
        <f>'[1]UNIV 2019'!O22</f>
        <v>40000000</v>
      </c>
      <c r="AX16" s="66">
        <f t="shared" si="15"/>
        <v>0</v>
      </c>
      <c r="AY16" s="66"/>
      <c r="AZ16" s="66">
        <f>'[1]Univ Comm Fund'!P16</f>
        <v>4250000</v>
      </c>
      <c r="BA16" s="66">
        <f>'[1]UNIV 2019'!P22</f>
        <v>4250000</v>
      </c>
      <c r="BB16" s="66">
        <f t="shared" si="0"/>
        <v>0</v>
      </c>
      <c r="BC16" s="66"/>
      <c r="BD16" s="66">
        <f>'[1]Univ Comm Fund'!Q16</f>
        <v>52000000</v>
      </c>
      <c r="BE16" s="66">
        <f>'[1]UNIV 2019'!Q22</f>
        <v>52000000</v>
      </c>
      <c r="BF16" s="66">
        <f t="shared" si="1"/>
        <v>0</v>
      </c>
      <c r="BG16" s="66"/>
      <c r="BH16" s="66">
        <f>'[1]Univ Comm Fund'!R16</f>
        <v>67000000</v>
      </c>
      <c r="BI16" s="66">
        <f>'[1]UNIV 2019'!R22</f>
        <v>67000000</v>
      </c>
      <c r="BJ16" s="66">
        <f t="shared" si="16"/>
        <v>0</v>
      </c>
      <c r="BK16" s="66"/>
      <c r="BL16" s="66">
        <f>'[1]Univ Comm Fund'!S16</f>
        <v>57000000</v>
      </c>
      <c r="BM16" s="66">
        <f>'[1]UNIV 2019'!S22</f>
        <v>57000000</v>
      </c>
      <c r="BN16" s="66">
        <f t="shared" si="17"/>
        <v>0</v>
      </c>
      <c r="BO16" s="66"/>
      <c r="BP16" s="66">
        <f>'[1]Univ Comm Fund'!T16</f>
        <v>0</v>
      </c>
      <c r="BQ16" s="66">
        <f>'[1]UNIV 2019'!T22</f>
        <v>0</v>
      </c>
      <c r="BR16" s="66">
        <f t="shared" si="18"/>
        <v>0</v>
      </c>
      <c r="BS16" s="66"/>
      <c r="BT16" s="66">
        <f>'[1]Univ Comm Fund'!U16</f>
        <v>113952600</v>
      </c>
      <c r="BU16" s="66">
        <f>'[1]UNIV 2019'!U22</f>
        <v>113952600</v>
      </c>
      <c r="BV16" s="66">
        <f t="shared" si="2"/>
        <v>0</v>
      </c>
      <c r="BW16" s="66"/>
      <c r="BX16" s="66">
        <f>'[1]Univ Comm Fund'!V16</f>
        <v>0</v>
      </c>
      <c r="BY16" s="66">
        <f>'[1]UNIV 2019'!V22</f>
        <v>0</v>
      </c>
      <c r="BZ16" s="66">
        <f t="shared" si="19"/>
        <v>0</v>
      </c>
      <c r="CA16" s="66"/>
      <c r="CB16" s="66">
        <f>'[1]Univ Comm Fund'!W16</f>
        <v>175000000</v>
      </c>
      <c r="CC16" s="66">
        <f>'[1]UNIV 2019'!W22</f>
        <v>103250000</v>
      </c>
      <c r="CD16" s="66">
        <f t="shared" si="20"/>
        <v>71750000</v>
      </c>
      <c r="CE16" s="66"/>
      <c r="CF16" s="66">
        <v>75000000</v>
      </c>
      <c r="CG16" s="66">
        <f>'[1]UNIV 2019'!X22</f>
        <v>0</v>
      </c>
      <c r="CH16" s="75">
        <f t="shared" si="21"/>
        <v>75000000</v>
      </c>
      <c r="CI16" s="66"/>
      <c r="CJ16" s="66">
        <f>'[1]Univ Comm Fund'!Y16</f>
        <v>1000000000</v>
      </c>
      <c r="CK16" s="66">
        <f>'[1]UNIV 2019'!Y22</f>
        <v>520000000</v>
      </c>
      <c r="CL16" s="66">
        <f t="shared" si="22"/>
        <v>480000000</v>
      </c>
      <c r="CM16" s="66"/>
      <c r="CN16" s="20">
        <f>'[1]Univ Comm Fund'!Z16</f>
        <v>350000000</v>
      </c>
      <c r="CO16" s="66">
        <f>'[1]UNIV 2019'!Z22</f>
        <v>206500000</v>
      </c>
      <c r="CP16" s="66">
        <f t="shared" si="23"/>
        <v>143500000</v>
      </c>
      <c r="CQ16" s="20"/>
      <c r="CR16" s="66">
        <f>'[1]Univ Comm Fund'!AA16</f>
        <v>0</v>
      </c>
      <c r="CS16" s="66">
        <f>'[1]UNIV 2019'!AA22</f>
        <v>0</v>
      </c>
      <c r="CT16" s="75">
        <f t="shared" si="24"/>
        <v>0</v>
      </c>
      <c r="CU16" s="66"/>
      <c r="CV16" s="66">
        <f>'[1]Univ Comm Fund'!AB16</f>
        <v>0</v>
      </c>
      <c r="CW16" s="66">
        <f>'[1]UNIV 2019'!AB22</f>
        <v>0</v>
      </c>
      <c r="CX16" s="75">
        <f t="shared" si="25"/>
        <v>0</v>
      </c>
      <c r="CY16" s="66"/>
      <c r="CZ16" s="66">
        <f>'[1]Univ Comm Fund'!AC16</f>
        <v>356000000</v>
      </c>
      <c r="DA16" s="66">
        <f>'[1]UNIV 2019'!AC22</f>
        <v>185120000</v>
      </c>
      <c r="DB16" s="66">
        <f t="shared" si="26"/>
        <v>170880000</v>
      </c>
      <c r="DC16" s="66"/>
      <c r="DD16" s="66">
        <f>'[1]Univ Comm Fund'!AD16</f>
        <v>20000000</v>
      </c>
      <c r="DE16" s="66">
        <f>'[1]UNIV 2019'!AD22</f>
        <v>0</v>
      </c>
      <c r="DF16" s="66">
        <f t="shared" si="27"/>
        <v>20000000</v>
      </c>
      <c r="DG16" s="66"/>
      <c r="DH16" s="66">
        <f>'[1]Univ Comm Fund'!AE16</f>
        <v>552000000</v>
      </c>
      <c r="DI16" s="66">
        <f>'[1]UNIV 2019'!AE22</f>
        <v>287040000</v>
      </c>
      <c r="DJ16" s="66">
        <f t="shared" si="28"/>
        <v>264960000</v>
      </c>
      <c r="DK16" s="66"/>
      <c r="DL16" s="66">
        <f>'[1]Univ Comm Fund'!AF16</f>
        <v>20000000</v>
      </c>
      <c r="DM16" s="66">
        <f>'[1]UNIV 2019'!AF22</f>
        <v>0</v>
      </c>
      <c r="DN16" s="66">
        <f t="shared" si="29"/>
        <v>20000000</v>
      </c>
      <c r="DO16" s="66"/>
      <c r="DP16" s="66">
        <f>'[1]Univ Comm Fund'!AG16</f>
        <v>400000000</v>
      </c>
      <c r="DQ16" s="66">
        <f>'[1]UNIV 2019'!AG22</f>
        <v>320000000</v>
      </c>
      <c r="DR16" s="66">
        <f t="shared" si="30"/>
        <v>80000000</v>
      </c>
      <c r="DS16" s="66"/>
      <c r="DT16" s="66">
        <f>'[1]Univ Comm Fund'!AH16</f>
        <v>100000000</v>
      </c>
      <c r="DU16" s="66">
        <f>'[1]UNIV 2019'!AH22</f>
        <v>52000000</v>
      </c>
      <c r="DV16" s="66">
        <f t="shared" si="31"/>
        <v>48000000</v>
      </c>
      <c r="DW16" s="66"/>
      <c r="DX16" s="66">
        <f>'[1]Univ Comm Fund'!AI16</f>
        <v>15000000</v>
      </c>
      <c r="DY16" s="66">
        <f>'[1]UNIV 2019'!AI22</f>
        <v>0</v>
      </c>
      <c r="DZ16" s="66">
        <f t="shared" si="32"/>
        <v>15000000</v>
      </c>
      <c r="EA16" s="66"/>
      <c r="EB16" s="66">
        <f>'[1]Univ Comm Fund'!AJ16</f>
        <v>2000000</v>
      </c>
      <c r="EC16" s="66">
        <f>'[1]UNIV 2019'!AJ22</f>
        <v>0</v>
      </c>
      <c r="ED16" s="66">
        <f t="shared" si="33"/>
        <v>2000000</v>
      </c>
      <c r="EE16" s="66"/>
      <c r="EF16" s="66">
        <f>'[1]Univ Comm Fund'!AK16</f>
        <v>10000000</v>
      </c>
      <c r="EG16" s="66">
        <f>'[1]UNIV 2019'!AK22</f>
        <v>0</v>
      </c>
      <c r="EH16" s="66">
        <f t="shared" si="34"/>
        <v>10000000</v>
      </c>
      <c r="EI16" s="66"/>
      <c r="EJ16" s="66">
        <f>'[1]Univ Comm Fund'!AL16</f>
        <v>250000000</v>
      </c>
      <c r="EK16" s="66">
        <f>'[1]UNIV 2019'!AL22</f>
        <v>250000000</v>
      </c>
      <c r="EL16" s="66">
        <f t="shared" si="35"/>
        <v>0</v>
      </c>
      <c r="EM16" s="66"/>
      <c r="EN16" s="80">
        <f>'[1]Univ Comm Fund'!AM16</f>
        <v>565410000</v>
      </c>
      <c r="EO16" s="66">
        <f>'[1]UNIV 2019'!AM22</f>
        <v>294013200</v>
      </c>
      <c r="EP16" s="75">
        <f t="shared" si="36"/>
        <v>271396800</v>
      </c>
      <c r="EQ16" s="66"/>
      <c r="ER16" s="66">
        <f>'[1]Univ Comm Fund'!AN16</f>
        <v>15000000</v>
      </c>
      <c r="ES16" s="66">
        <f>'[1]UNIV 2019'!AN22</f>
        <v>0</v>
      </c>
      <c r="ET16" s="75">
        <f t="shared" si="37"/>
        <v>15000000</v>
      </c>
      <c r="EU16" s="66"/>
      <c r="EV16" s="66">
        <f>'[1]Univ Comm Fund'!AO16</f>
        <v>15000000</v>
      </c>
      <c r="EW16" s="66">
        <f>'[1]UNIV 2019'!AO22</f>
        <v>0</v>
      </c>
      <c r="EX16" s="75">
        <f t="shared" si="38"/>
        <v>15000000</v>
      </c>
      <c r="EY16" s="66"/>
      <c r="EZ16" s="66">
        <f>'[1]Univ Comm Fund'!AP16</f>
        <v>10000000</v>
      </c>
      <c r="FA16" s="66">
        <f>'[1]UNIV 2019'!AP22</f>
        <v>0</v>
      </c>
      <c r="FB16" s="75">
        <f t="shared" si="39"/>
        <v>10000000</v>
      </c>
      <c r="FC16" s="75"/>
      <c r="FD16" s="75">
        <f>'[1]Univ Comm Fund'!AQ16</f>
        <v>0</v>
      </c>
      <c r="FE16" s="75">
        <f>'[1]UNIV 2019'!AQ22</f>
        <v>0</v>
      </c>
      <c r="FF16" s="75">
        <f t="shared" si="40"/>
        <v>0</v>
      </c>
      <c r="FG16" s="75"/>
      <c r="FH16" s="75">
        <f>'[1]Univ Comm Fund'!AR16</f>
        <v>0</v>
      </c>
      <c r="FI16" s="75">
        <f>'[1]UNIV 2019'!AR22</f>
        <v>0</v>
      </c>
      <c r="FJ16" s="75">
        <f t="shared" si="41"/>
        <v>0</v>
      </c>
      <c r="FK16" s="75"/>
      <c r="FL16" s="75">
        <f>'[1]Univ Comm Fund'!AS16</f>
        <v>300000000</v>
      </c>
      <c r="FM16" s="75">
        <f>'[1]UNIV 2019'!AS22</f>
        <v>0</v>
      </c>
      <c r="FN16" s="75">
        <f t="shared" si="42"/>
        <v>300000000</v>
      </c>
      <c r="FO16" s="75"/>
      <c r="FP16" s="75">
        <f>'[1]Univ Comm Fund'!AT16</f>
        <v>120000000</v>
      </c>
      <c r="FQ16" s="75">
        <f>'[1]UNIV 2019'!AT22</f>
        <v>81600000</v>
      </c>
      <c r="FR16" s="75">
        <f t="shared" si="43"/>
        <v>38400000</v>
      </c>
      <c r="FS16" s="75"/>
      <c r="FT16" s="75">
        <f>'[1]Univ Comm Fund'!AU16</f>
        <v>10000000</v>
      </c>
      <c r="FU16" s="75">
        <f>'[1]UNIV 2019'!AU22</f>
        <v>0</v>
      </c>
      <c r="FV16" s="75">
        <f t="shared" si="44"/>
        <v>10000000</v>
      </c>
      <c r="FW16" s="75"/>
      <c r="FX16" s="75">
        <f>'[1]Univ Comm Fund'!AV16</f>
        <v>5000000</v>
      </c>
      <c r="FY16" s="75">
        <f>'[1]UNIV 2019'!AV22</f>
        <v>0</v>
      </c>
      <c r="FZ16" s="75">
        <f t="shared" si="45"/>
        <v>5000000</v>
      </c>
      <c r="GA16" s="75"/>
      <c r="GB16" s="75">
        <f>'[1]Univ Comm Fund'!AW16</f>
        <v>10000000</v>
      </c>
      <c r="GC16" s="75">
        <f>'[1]UNIV 2019'!AW22</f>
        <v>0</v>
      </c>
      <c r="GD16" s="75">
        <f t="shared" si="46"/>
        <v>10000000</v>
      </c>
      <c r="GE16" s="75"/>
      <c r="GF16" s="75">
        <f>'[1]Univ Comm Fund'!AX16</f>
        <v>0</v>
      </c>
      <c r="GG16" s="75">
        <f>'[1]UNIV 2019'!AX22</f>
        <v>0</v>
      </c>
      <c r="GH16" s="75">
        <f t="shared" si="47"/>
        <v>0</v>
      </c>
      <c r="GI16" s="75"/>
      <c r="GJ16" s="75">
        <f>'[1]Univ Comm Fund'!AY16</f>
        <v>350000000</v>
      </c>
      <c r="GK16" s="75">
        <f>'[1]UNIV 2019'!AY22</f>
        <v>0</v>
      </c>
      <c r="GL16" s="75">
        <f t="shared" si="48"/>
        <v>350000000</v>
      </c>
      <c r="GM16" s="75"/>
      <c r="GN16" s="75">
        <f>'[1]Univ Comm Fund'!AZ16</f>
        <v>175823700</v>
      </c>
      <c r="GO16" s="75">
        <f>'[1]UNIV 2019'!AZ22</f>
        <v>0</v>
      </c>
      <c r="GP16" s="75">
        <f t="shared" si="49"/>
        <v>175823700</v>
      </c>
      <c r="GQ16" s="75"/>
      <c r="GR16" s="75">
        <f>'[1]Univ Comm Fund'!BA16</f>
        <v>20000000</v>
      </c>
      <c r="GS16" s="75">
        <f>'[1]UNIV 2019'!BA22</f>
        <v>0</v>
      </c>
      <c r="GT16" s="75">
        <f t="shared" si="50"/>
        <v>20000000</v>
      </c>
      <c r="GU16" s="75"/>
      <c r="GV16" s="75">
        <f>'[1]Univ Comm Fund'!BB16</f>
        <v>5000000</v>
      </c>
      <c r="GW16" s="75">
        <f>'[1]UNIV 2019'!BB22</f>
        <v>0</v>
      </c>
      <c r="GX16" s="75">
        <f t="shared" si="51"/>
        <v>5000000</v>
      </c>
      <c r="GY16" s="75"/>
      <c r="GZ16" s="75">
        <f>'[1]Univ Comm Fund'!BC16</f>
        <v>10000000</v>
      </c>
      <c r="HA16" s="75">
        <f>'[1]UNIV 2019'!BD22</f>
        <v>0</v>
      </c>
      <c r="HB16" s="75">
        <f t="shared" si="52"/>
        <v>10000000</v>
      </c>
      <c r="HC16" s="75"/>
      <c r="HD16" s="75">
        <f>'[1]Univ Comm Fund'!BD16</f>
        <v>0</v>
      </c>
      <c r="HE16" s="75">
        <f>'[1]UNIV 2019'!BC22</f>
        <v>0</v>
      </c>
      <c r="HF16" s="75">
        <f t="shared" si="53"/>
        <v>0</v>
      </c>
      <c r="HG16" s="75"/>
      <c r="HH16" s="75">
        <f t="shared" si="54"/>
        <v>5538214076.6700001</v>
      </c>
      <c r="HI16" s="75">
        <f t="shared" si="54"/>
        <v>2901503576.6700001</v>
      </c>
      <c r="HJ16" s="82">
        <f t="shared" si="55"/>
        <v>2636710500</v>
      </c>
      <c r="HL16" s="83">
        <f t="shared" si="56"/>
        <v>3324890376.6700001</v>
      </c>
      <c r="HM16" s="83">
        <f t="shared" si="56"/>
        <v>1704403576.6700001</v>
      </c>
      <c r="HN16" s="84">
        <f t="shared" si="57"/>
        <v>1620486800</v>
      </c>
      <c r="HP16" s="83">
        <f t="shared" si="58"/>
        <v>1654250000</v>
      </c>
      <c r="HQ16" s="83">
        <f t="shared" si="58"/>
        <v>1094250000</v>
      </c>
      <c r="HR16" s="84">
        <f t="shared" si="59"/>
        <v>560000000</v>
      </c>
      <c r="HT16" s="83">
        <f t="shared" si="60"/>
        <v>145000000</v>
      </c>
      <c r="HU16" s="83">
        <f t="shared" si="60"/>
        <v>0</v>
      </c>
      <c r="HV16" s="84">
        <f t="shared" si="61"/>
        <v>145000000</v>
      </c>
      <c r="HX16" s="83">
        <f t="shared" si="62"/>
        <v>60000000</v>
      </c>
      <c r="HY16" s="83">
        <f t="shared" si="62"/>
        <v>0</v>
      </c>
      <c r="HZ16" s="84">
        <f t="shared" si="63"/>
        <v>60000000</v>
      </c>
      <c r="IB16" s="83">
        <f t="shared" si="64"/>
        <v>35000000</v>
      </c>
      <c r="IC16" s="83">
        <f t="shared" si="64"/>
        <v>0</v>
      </c>
      <c r="ID16" s="84">
        <f t="shared" si="65"/>
        <v>35000000</v>
      </c>
      <c r="IF16" s="83">
        <f t="shared" si="3"/>
        <v>2000000</v>
      </c>
      <c r="IG16" s="83">
        <f t="shared" si="3"/>
        <v>0</v>
      </c>
      <c r="IH16" s="84">
        <f t="shared" si="66"/>
        <v>2000000</v>
      </c>
      <c r="IJ16" s="84">
        <f t="shared" si="67"/>
        <v>295823700</v>
      </c>
      <c r="IK16" s="84">
        <f t="shared" si="67"/>
        <v>81600000</v>
      </c>
      <c r="IL16" s="84">
        <f t="shared" si="68"/>
        <v>214223700</v>
      </c>
    </row>
    <row r="17" spans="1:246" x14ac:dyDescent="0.25">
      <c r="A17" s="42">
        <v>12</v>
      </c>
      <c r="B17" s="91" t="s">
        <v>77</v>
      </c>
      <c r="C17" s="42" t="s">
        <v>69</v>
      </c>
      <c r="D17" s="66">
        <f>'[1]Univ Comm Fund'!D17</f>
        <v>59027776.670000002</v>
      </c>
      <c r="E17" s="66">
        <f>'[1]UNIV 2019'!D23</f>
        <v>59027776.670000002</v>
      </c>
      <c r="F17" s="75">
        <f t="shared" si="4"/>
        <v>0</v>
      </c>
      <c r="G17" s="66"/>
      <c r="H17" s="66">
        <f>'[1]Univ Comm Fund'!E17</f>
        <v>20000000</v>
      </c>
      <c r="I17" s="66">
        <f>'[1]UNIV 2019'!E23</f>
        <v>20000000</v>
      </c>
      <c r="J17" s="66">
        <f t="shared" si="5"/>
        <v>0</v>
      </c>
      <c r="K17" s="66"/>
      <c r="L17" s="66">
        <f>'[1]Univ Comm Fund'!F17</f>
        <v>40000000</v>
      </c>
      <c r="M17" s="66">
        <f>'[1]UNIV 2019'!F23</f>
        <v>40000000</v>
      </c>
      <c r="N17" s="66">
        <f t="shared" si="6"/>
        <v>0</v>
      </c>
      <c r="O17" s="66"/>
      <c r="P17" s="66">
        <f>'[1]Univ Comm Fund'!G17</f>
        <v>71000</v>
      </c>
      <c r="Q17" s="66">
        <f>'[1]UNIV 2019'!G23</f>
        <v>71000</v>
      </c>
      <c r="R17" s="66">
        <f t="shared" si="7"/>
        <v>0</v>
      </c>
      <c r="S17" s="87"/>
      <c r="T17" s="66">
        <f>'[1]Univ Comm Fund'!H17</f>
        <v>50000000</v>
      </c>
      <c r="U17" s="66">
        <f>'[1]UNIV 2019'!H23</f>
        <v>50000000</v>
      </c>
      <c r="V17" s="66">
        <f t="shared" si="8"/>
        <v>0</v>
      </c>
      <c r="W17" s="66"/>
      <c r="X17" s="66">
        <f>'[1]Univ Comm Fund'!I17</f>
        <v>25000000</v>
      </c>
      <c r="Y17" s="66">
        <f>'[1]UNIV 2019'!I23</f>
        <v>25000000</v>
      </c>
      <c r="Z17" s="66">
        <f t="shared" si="9"/>
        <v>0</v>
      </c>
      <c r="AA17" s="66"/>
      <c r="AB17" s="66">
        <f>'[1]Univ Comm Fund'!J17</f>
        <v>30000000</v>
      </c>
      <c r="AC17" s="66">
        <f>'[1]UNIV 2019'!J23</f>
        <v>30000000</v>
      </c>
      <c r="AD17" s="66">
        <f t="shared" si="10"/>
        <v>0</v>
      </c>
      <c r="AE17" s="66"/>
      <c r="AF17" s="88">
        <f>'[1]Univ Comm Fund'!K17</f>
        <v>30000000</v>
      </c>
      <c r="AG17" s="66">
        <f>'[1]UNIV 2019'!K23</f>
        <v>30000000</v>
      </c>
      <c r="AH17" s="66">
        <f t="shared" si="11"/>
        <v>0</v>
      </c>
      <c r="AI17" s="88"/>
      <c r="AJ17" s="66">
        <f>'[1]Univ Comm Fund'!L17</f>
        <v>0</v>
      </c>
      <c r="AK17" s="66">
        <f>'[1]UNIV 2019'!L23</f>
        <v>0</v>
      </c>
      <c r="AL17" s="66">
        <f t="shared" si="12"/>
        <v>0</v>
      </c>
      <c r="AM17" s="66"/>
      <c r="AN17" s="66">
        <f>'[1]Univ Comm Fund'!M17</f>
        <v>40000000</v>
      </c>
      <c r="AO17" s="66">
        <f>'[1]UNIV 2019'!M23</f>
        <v>40000000</v>
      </c>
      <c r="AP17" s="66">
        <f t="shared" si="13"/>
        <v>0</v>
      </c>
      <c r="AQ17" s="66"/>
      <c r="AR17" s="66">
        <f>'[1]Univ Comm Fund'!N17</f>
        <v>0</v>
      </c>
      <c r="AS17" s="66">
        <f>'[1]UNIV 2019'!N23</f>
        <v>0</v>
      </c>
      <c r="AT17" s="66">
        <f t="shared" si="14"/>
        <v>0</v>
      </c>
      <c r="AU17" s="66"/>
      <c r="AV17" s="66">
        <f>'[1]Univ Comm Fund'!O17</f>
        <v>40000000</v>
      </c>
      <c r="AW17" s="66">
        <f>'[1]UNIV 2019'!O23</f>
        <v>40000000</v>
      </c>
      <c r="AX17" s="66">
        <f t="shared" si="15"/>
        <v>0</v>
      </c>
      <c r="AY17" s="66"/>
      <c r="AZ17" s="66">
        <f>'[1]Univ Comm Fund'!P17</f>
        <v>0</v>
      </c>
      <c r="BA17" s="66">
        <f>'[1]UNIV 2019'!P23</f>
        <v>0</v>
      </c>
      <c r="BB17" s="66">
        <f t="shared" si="0"/>
        <v>0</v>
      </c>
      <c r="BC17" s="66"/>
      <c r="BD17" s="66">
        <f>'[1]Univ Comm Fund'!Q17</f>
        <v>52000000</v>
      </c>
      <c r="BE17" s="66">
        <f>'[1]UNIV 2019'!Q23</f>
        <v>52000000</v>
      </c>
      <c r="BF17" s="66">
        <f t="shared" si="1"/>
        <v>0</v>
      </c>
      <c r="BG17" s="66"/>
      <c r="BH17" s="66">
        <f>'[1]Univ Comm Fund'!R17</f>
        <v>67000000</v>
      </c>
      <c r="BI17" s="66">
        <f>'[1]UNIV 2019'!R23</f>
        <v>67000000</v>
      </c>
      <c r="BJ17" s="66">
        <f t="shared" si="16"/>
        <v>0</v>
      </c>
      <c r="BK17" s="66"/>
      <c r="BL17" s="66">
        <f>'[1]Univ Comm Fund'!S17</f>
        <v>48450000</v>
      </c>
      <c r="BM17" s="66">
        <f>'[1]UNIV 2019'!S23</f>
        <v>48450000</v>
      </c>
      <c r="BN17" s="66">
        <f t="shared" si="17"/>
        <v>0</v>
      </c>
      <c r="BO17" s="66"/>
      <c r="BP17" s="66">
        <f>'[1]Univ Comm Fund'!T17</f>
        <v>0</v>
      </c>
      <c r="BQ17" s="66">
        <f>'[1]UNIV 2019'!T23</f>
        <v>0</v>
      </c>
      <c r="BR17" s="66">
        <f t="shared" si="18"/>
        <v>0</v>
      </c>
      <c r="BS17" s="66"/>
      <c r="BT17" s="66">
        <f>'[1]Univ Comm Fund'!U17</f>
        <v>164169000</v>
      </c>
      <c r="BU17" s="66">
        <f>'[1]UNIV 2019'!U23</f>
        <v>164169000</v>
      </c>
      <c r="BV17" s="66">
        <f t="shared" si="2"/>
        <v>0</v>
      </c>
      <c r="BW17" s="66"/>
      <c r="BX17" s="66">
        <f>'[1]Univ Comm Fund'!V17</f>
        <v>31500000</v>
      </c>
      <c r="BY17" s="66">
        <f>'[1]UNIV 2019'!V23</f>
        <v>31500000</v>
      </c>
      <c r="BZ17" s="66">
        <f t="shared" si="19"/>
        <v>0</v>
      </c>
      <c r="CA17" s="66"/>
      <c r="CB17" s="66">
        <f>'[1]Univ Comm Fund'!W17</f>
        <v>175000000</v>
      </c>
      <c r="CC17" s="66">
        <f>'[1]UNIV 2019'!W23</f>
        <v>175000000</v>
      </c>
      <c r="CD17" s="66">
        <f t="shared" si="20"/>
        <v>0</v>
      </c>
      <c r="CE17" s="66"/>
      <c r="CF17" s="66">
        <v>75000000</v>
      </c>
      <c r="CG17" s="66">
        <f>'[1]UNIV 2019'!X23</f>
        <v>75000000</v>
      </c>
      <c r="CH17" s="75">
        <f t="shared" si="21"/>
        <v>0</v>
      </c>
      <c r="CI17" s="66"/>
      <c r="CJ17" s="66">
        <f>'[1]Univ Comm Fund'!Y17</f>
        <v>0</v>
      </c>
      <c r="CK17" s="66">
        <f>'[1]UNIV 2019'!Y23</f>
        <v>0</v>
      </c>
      <c r="CL17" s="66">
        <f t="shared" si="22"/>
        <v>0</v>
      </c>
      <c r="CM17" s="66"/>
      <c r="CN17" s="20">
        <f>'[1]Univ Comm Fund'!Z17</f>
        <v>350000000</v>
      </c>
      <c r="CO17" s="66">
        <f>'[1]UNIV 2019'!Z23</f>
        <v>350000000</v>
      </c>
      <c r="CP17" s="66">
        <f t="shared" si="23"/>
        <v>0</v>
      </c>
      <c r="CQ17" s="20"/>
      <c r="CR17" s="66">
        <f>'[1]Univ Comm Fund'!AA17</f>
        <v>0</v>
      </c>
      <c r="CS17" s="66">
        <f>'[1]UNIV 2019'!AA23</f>
        <v>0</v>
      </c>
      <c r="CT17" s="75">
        <f t="shared" si="24"/>
        <v>0</v>
      </c>
      <c r="CU17" s="66"/>
      <c r="CV17" s="66">
        <f>'[1]Univ Comm Fund'!AB17</f>
        <v>0</v>
      </c>
      <c r="CW17" s="66">
        <f>'[1]UNIV 2019'!AB23</f>
        <v>0</v>
      </c>
      <c r="CX17" s="75">
        <f t="shared" si="25"/>
        <v>0</v>
      </c>
      <c r="CY17" s="66"/>
      <c r="CZ17" s="66">
        <f>'[1]Univ Comm Fund'!AC17</f>
        <v>356000000</v>
      </c>
      <c r="DA17" s="66">
        <f>'[1]UNIV 2019'!AC23</f>
        <v>227840000</v>
      </c>
      <c r="DB17" s="66">
        <f t="shared" si="26"/>
        <v>128160000</v>
      </c>
      <c r="DC17" s="66"/>
      <c r="DD17" s="66">
        <f>'[1]Univ Comm Fund'!AD17</f>
        <v>20000000</v>
      </c>
      <c r="DE17" s="66">
        <f>'[1]UNIV 2019'!AD23</f>
        <v>17000000</v>
      </c>
      <c r="DF17" s="66">
        <f t="shared" si="27"/>
        <v>3000000</v>
      </c>
      <c r="DG17" s="66"/>
      <c r="DH17" s="66">
        <f>'[1]Univ Comm Fund'!AE17</f>
        <v>552000000</v>
      </c>
      <c r="DI17" s="66">
        <f>'[1]UNIV 2019'!AE23</f>
        <v>353280000</v>
      </c>
      <c r="DJ17" s="66">
        <f t="shared" si="28"/>
        <v>198720000</v>
      </c>
      <c r="DK17" s="66"/>
      <c r="DL17" s="66">
        <f>'[1]Univ Comm Fund'!AF17</f>
        <v>20000000</v>
      </c>
      <c r="DM17" s="66">
        <f>'[1]UNIV 2019'!AF23</f>
        <v>17000000</v>
      </c>
      <c r="DN17" s="66">
        <f t="shared" si="29"/>
        <v>3000000</v>
      </c>
      <c r="DO17" s="66"/>
      <c r="DP17" s="66">
        <f>'[1]Univ Comm Fund'!AG17</f>
        <v>0</v>
      </c>
      <c r="DQ17" s="66">
        <f>'[1]UNIV 2019'!AG23</f>
        <v>0</v>
      </c>
      <c r="DR17" s="66">
        <f t="shared" si="30"/>
        <v>0</v>
      </c>
      <c r="DS17" s="66"/>
      <c r="DT17" s="66">
        <f>'[1]Univ Comm Fund'!AH17</f>
        <v>100000000</v>
      </c>
      <c r="DU17" s="66">
        <f>'[1]UNIV 2019'!AH23</f>
        <v>64000000</v>
      </c>
      <c r="DV17" s="66">
        <f t="shared" si="31"/>
        <v>36000000</v>
      </c>
      <c r="DW17" s="66"/>
      <c r="DX17" s="66">
        <f>'[1]Univ Comm Fund'!AI17</f>
        <v>15000000</v>
      </c>
      <c r="DY17" s="66">
        <f>'[1]UNIV 2019'!AI23</f>
        <v>8400000</v>
      </c>
      <c r="DZ17" s="66">
        <f t="shared" si="32"/>
        <v>6600000</v>
      </c>
      <c r="EA17" s="66"/>
      <c r="EB17" s="66">
        <f>'[1]Univ Comm Fund'!AJ17</f>
        <v>2000000</v>
      </c>
      <c r="EC17" s="66">
        <f>'[1]UNIV 2019'!AJ23</f>
        <v>0</v>
      </c>
      <c r="ED17" s="66">
        <f t="shared" si="33"/>
        <v>2000000</v>
      </c>
      <c r="EE17" s="66"/>
      <c r="EF17" s="66">
        <f>'[1]Univ Comm Fund'!AK17</f>
        <v>10000000</v>
      </c>
      <c r="EG17" s="66">
        <f>'[1]UNIV 2019'!AK23</f>
        <v>8500000</v>
      </c>
      <c r="EH17" s="66">
        <f t="shared" si="34"/>
        <v>1500000</v>
      </c>
      <c r="EI17" s="66"/>
      <c r="EJ17" s="66">
        <f>'[1]Univ Comm Fund'!AL17</f>
        <v>0</v>
      </c>
      <c r="EK17" s="66">
        <f>'[1]UNIV 2019'!AL23</f>
        <v>0</v>
      </c>
      <c r="EL17" s="66">
        <f t="shared" si="35"/>
        <v>0</v>
      </c>
      <c r="EM17" s="66"/>
      <c r="EN17" s="80">
        <f>'[1]Univ Comm Fund'!AM17</f>
        <v>565410000</v>
      </c>
      <c r="EO17" s="66">
        <f>'[1]UNIV 2019'!AM23</f>
        <v>361862400</v>
      </c>
      <c r="EP17" s="75">
        <f t="shared" si="36"/>
        <v>203547600</v>
      </c>
      <c r="EQ17" s="66"/>
      <c r="ER17" s="66">
        <f>'[1]Univ Comm Fund'!AN17</f>
        <v>15000000</v>
      </c>
      <c r="ES17" s="66">
        <f>'[1]UNIV 2019'!AN23</f>
        <v>8400000</v>
      </c>
      <c r="ET17" s="75">
        <f t="shared" si="37"/>
        <v>6600000</v>
      </c>
      <c r="EU17" s="66"/>
      <c r="EV17" s="66">
        <f>'[1]Univ Comm Fund'!AO17</f>
        <v>15000000</v>
      </c>
      <c r="EW17" s="66">
        <f>'[1]UNIV 2019'!AO23</f>
        <v>0</v>
      </c>
      <c r="EX17" s="75">
        <f t="shared" si="38"/>
        <v>15000000</v>
      </c>
      <c r="EY17" s="66"/>
      <c r="EZ17" s="66">
        <f>'[1]Univ Comm Fund'!AP17</f>
        <v>10000000</v>
      </c>
      <c r="FA17" s="66">
        <f>'[1]UNIV 2019'!AP23</f>
        <v>8500000</v>
      </c>
      <c r="FB17" s="75">
        <f t="shared" si="39"/>
        <v>1500000</v>
      </c>
      <c r="FC17" s="75"/>
      <c r="FD17" s="75">
        <f>'[1]Univ Comm Fund'!AQ17</f>
        <v>0</v>
      </c>
      <c r="FE17" s="75">
        <f>'[1]UNIV 2019'!AQ23</f>
        <v>0</v>
      </c>
      <c r="FF17" s="75">
        <f t="shared" si="40"/>
        <v>0</v>
      </c>
      <c r="FG17" s="75"/>
      <c r="FH17" s="81">
        <f>'[1]Univ Comm Fund'!AR17</f>
        <v>300000000</v>
      </c>
      <c r="FI17" s="75">
        <f>'[1]UNIV 2019'!AR23</f>
        <v>0</v>
      </c>
      <c r="FJ17" s="75">
        <f t="shared" si="41"/>
        <v>300000000</v>
      </c>
      <c r="FK17" s="75"/>
      <c r="FL17" s="75">
        <f>'[1]Univ Comm Fund'!AS17</f>
        <v>300000000</v>
      </c>
      <c r="FM17" s="75">
        <f>'[1]UNIV 2019'!AS23</f>
        <v>0</v>
      </c>
      <c r="FN17" s="75">
        <f t="shared" si="42"/>
        <v>300000000</v>
      </c>
      <c r="FO17" s="75"/>
      <c r="FP17" s="75">
        <f>'[1]Univ Comm Fund'!AT17</f>
        <v>120000000</v>
      </c>
      <c r="FQ17" s="75">
        <f>'[1]UNIV 2019'!AT23</f>
        <v>0</v>
      </c>
      <c r="FR17" s="75">
        <f t="shared" si="43"/>
        <v>120000000</v>
      </c>
      <c r="FS17" s="75"/>
      <c r="FT17" s="75">
        <f>'[1]Univ Comm Fund'!AU17</f>
        <v>10000000</v>
      </c>
      <c r="FU17" s="75">
        <f>'[1]UNIV 2019'!AU23</f>
        <v>0</v>
      </c>
      <c r="FV17" s="75">
        <f t="shared" si="44"/>
        <v>10000000</v>
      </c>
      <c r="FW17" s="75"/>
      <c r="FX17" s="75">
        <f>'[1]Univ Comm Fund'!AV17</f>
        <v>5000000</v>
      </c>
      <c r="FY17" s="75">
        <f>'[1]UNIV 2019'!AV23</f>
        <v>0</v>
      </c>
      <c r="FZ17" s="75">
        <f t="shared" si="45"/>
        <v>5000000</v>
      </c>
      <c r="GA17" s="75"/>
      <c r="GB17" s="75">
        <f>'[1]Univ Comm Fund'!AW17</f>
        <v>10000000</v>
      </c>
      <c r="GC17" s="75">
        <f>'[1]UNIV 2019'!AW23</f>
        <v>0</v>
      </c>
      <c r="GD17" s="75">
        <f t="shared" si="46"/>
        <v>10000000</v>
      </c>
      <c r="GE17" s="75"/>
      <c r="GF17" s="75">
        <f>'[1]Univ Comm Fund'!AX17</f>
        <v>0</v>
      </c>
      <c r="GG17" s="75">
        <f>'[1]UNIV 2019'!AX23</f>
        <v>0</v>
      </c>
      <c r="GH17" s="75">
        <f t="shared" si="47"/>
        <v>0</v>
      </c>
      <c r="GI17" s="75"/>
      <c r="GJ17" s="75">
        <f>'[1]Univ Comm Fund'!AY17</f>
        <v>350000000</v>
      </c>
      <c r="GK17" s="75">
        <f>'[1]UNIV 2019'!AY23</f>
        <v>0</v>
      </c>
      <c r="GL17" s="75">
        <f t="shared" si="48"/>
        <v>350000000</v>
      </c>
      <c r="GM17" s="75"/>
      <c r="GN17" s="75">
        <f>'[1]Univ Comm Fund'!AZ17</f>
        <v>175823700</v>
      </c>
      <c r="GO17" s="75">
        <f>'[1]UNIV 2019'!AZ23</f>
        <v>0</v>
      </c>
      <c r="GP17" s="75">
        <f t="shared" si="49"/>
        <v>175823700</v>
      </c>
      <c r="GQ17" s="75"/>
      <c r="GR17" s="75">
        <f>'[1]Univ Comm Fund'!BA17</f>
        <v>20000000</v>
      </c>
      <c r="GS17" s="75">
        <f>'[1]UNIV 2019'!BA23</f>
        <v>0</v>
      </c>
      <c r="GT17" s="75">
        <f t="shared" si="50"/>
        <v>20000000</v>
      </c>
      <c r="GU17" s="75"/>
      <c r="GV17" s="75">
        <f>'[1]Univ Comm Fund'!BB17</f>
        <v>5000000</v>
      </c>
      <c r="GW17" s="75">
        <f>'[1]UNIV 2019'!BB23</f>
        <v>0</v>
      </c>
      <c r="GX17" s="75">
        <f t="shared" si="51"/>
        <v>5000000</v>
      </c>
      <c r="GY17" s="75"/>
      <c r="GZ17" s="75">
        <f>'[1]Univ Comm Fund'!BC17</f>
        <v>10000000</v>
      </c>
      <c r="HA17" s="75">
        <f>'[1]UNIV 2019'!BD23</f>
        <v>0</v>
      </c>
      <c r="HB17" s="75">
        <f t="shared" si="52"/>
        <v>10000000</v>
      </c>
      <c r="HC17" s="75"/>
      <c r="HD17" s="75">
        <f>'[1]Univ Comm Fund'!BD17</f>
        <v>0</v>
      </c>
      <c r="HE17" s="75">
        <f>'[1]UNIV 2019'!BC23</f>
        <v>0</v>
      </c>
      <c r="HF17" s="75">
        <f t="shared" si="53"/>
        <v>0</v>
      </c>
      <c r="HG17" s="75"/>
      <c r="HH17" s="75">
        <f t="shared" si="54"/>
        <v>4283451476.6700001</v>
      </c>
      <c r="HI17" s="75">
        <f t="shared" si="54"/>
        <v>2372000176.6700001</v>
      </c>
      <c r="HJ17" s="82">
        <f t="shared" si="55"/>
        <v>1911451300</v>
      </c>
      <c r="HL17" s="83">
        <f t="shared" si="56"/>
        <v>3389056776.6700001</v>
      </c>
      <c r="HM17" s="83">
        <f t="shared" si="56"/>
        <v>2172629176.6700001</v>
      </c>
      <c r="HN17" s="84">
        <f t="shared" si="57"/>
        <v>1216427600</v>
      </c>
      <c r="HP17" s="83">
        <f t="shared" si="58"/>
        <v>31500000</v>
      </c>
      <c r="HQ17" s="83">
        <f t="shared" si="58"/>
        <v>31500000</v>
      </c>
      <c r="HR17" s="84">
        <f t="shared" si="59"/>
        <v>0</v>
      </c>
      <c r="HT17" s="83">
        <f t="shared" si="60"/>
        <v>145000000</v>
      </c>
      <c r="HU17" s="83">
        <f t="shared" si="60"/>
        <v>126000000</v>
      </c>
      <c r="HV17" s="84">
        <f t="shared" si="61"/>
        <v>19000000</v>
      </c>
      <c r="HX17" s="83">
        <f t="shared" si="62"/>
        <v>60000000</v>
      </c>
      <c r="HY17" s="83">
        <f t="shared" si="62"/>
        <v>16800000</v>
      </c>
      <c r="HZ17" s="84">
        <f t="shared" si="63"/>
        <v>43200000</v>
      </c>
      <c r="IB17" s="83">
        <f t="shared" si="64"/>
        <v>35000000</v>
      </c>
      <c r="IC17" s="83">
        <f t="shared" si="64"/>
        <v>0</v>
      </c>
      <c r="ID17" s="84">
        <f t="shared" si="65"/>
        <v>35000000</v>
      </c>
      <c r="IF17" s="83">
        <f t="shared" si="3"/>
        <v>2000000</v>
      </c>
      <c r="IG17" s="83">
        <f t="shared" si="3"/>
        <v>0</v>
      </c>
      <c r="IH17" s="84">
        <f t="shared" si="66"/>
        <v>2000000</v>
      </c>
      <c r="IJ17" s="84">
        <f t="shared" si="67"/>
        <v>595823700</v>
      </c>
      <c r="IK17" s="84">
        <f t="shared" si="67"/>
        <v>0</v>
      </c>
      <c r="IL17" s="84">
        <f t="shared" si="68"/>
        <v>595823700</v>
      </c>
    </row>
    <row r="18" spans="1:246" x14ac:dyDescent="0.25">
      <c r="A18" s="42">
        <v>13</v>
      </c>
      <c r="B18" s="86" t="s">
        <v>78</v>
      </c>
      <c r="C18" s="42" t="s">
        <v>63</v>
      </c>
      <c r="D18" s="66">
        <f>'[1]Univ Comm Fund'!D18</f>
        <v>59027776.670000002</v>
      </c>
      <c r="E18" s="66">
        <f>'[1]UNIV 2019'!D24</f>
        <v>59027776.670000002</v>
      </c>
      <c r="F18" s="75">
        <f t="shared" si="4"/>
        <v>0</v>
      </c>
      <c r="G18" s="66"/>
      <c r="H18" s="66">
        <f>'[1]Univ Comm Fund'!E18</f>
        <v>20000000</v>
      </c>
      <c r="I18" s="66">
        <f>'[1]UNIV 2019'!E24</f>
        <v>20000000</v>
      </c>
      <c r="J18" s="66">
        <f t="shared" si="5"/>
        <v>0</v>
      </c>
      <c r="K18" s="66"/>
      <c r="L18" s="66">
        <f>'[1]Univ Comm Fund'!F18</f>
        <v>40000000</v>
      </c>
      <c r="M18" s="66">
        <f>'[1]UNIV 2019'!F24</f>
        <v>40000000</v>
      </c>
      <c r="N18" s="66">
        <f t="shared" si="6"/>
        <v>0</v>
      </c>
      <c r="O18" s="66"/>
      <c r="P18" s="66">
        <f>'[1]Univ Comm Fund'!G18</f>
        <v>500000</v>
      </c>
      <c r="Q18" s="66">
        <f>'[1]UNIV 2019'!G24</f>
        <v>500000</v>
      </c>
      <c r="R18" s="66">
        <f t="shared" si="7"/>
        <v>0</v>
      </c>
      <c r="S18" s="87"/>
      <c r="T18" s="66">
        <f>'[1]Univ Comm Fund'!H18</f>
        <v>49332474.579999998</v>
      </c>
      <c r="U18" s="66">
        <f>'[1]UNIV 2019'!H24</f>
        <v>49332474.579999998</v>
      </c>
      <c r="V18" s="66">
        <f t="shared" si="8"/>
        <v>0</v>
      </c>
      <c r="W18" s="66"/>
      <c r="X18" s="66">
        <f>'[1]Univ Comm Fund'!I18</f>
        <v>25000000</v>
      </c>
      <c r="Y18" s="66">
        <f>'[1]UNIV 2019'!I24</f>
        <v>25000000</v>
      </c>
      <c r="Z18" s="66">
        <f t="shared" si="9"/>
        <v>0</v>
      </c>
      <c r="AA18" s="66"/>
      <c r="AB18" s="66">
        <f>'[1]Univ Comm Fund'!J18</f>
        <v>30000000</v>
      </c>
      <c r="AC18" s="66">
        <f>'[1]UNIV 2019'!J24</f>
        <v>30000000</v>
      </c>
      <c r="AD18" s="66">
        <f t="shared" si="10"/>
        <v>0</v>
      </c>
      <c r="AE18" s="66"/>
      <c r="AF18" s="88">
        <f>'[1]Univ Comm Fund'!K18</f>
        <v>30000000</v>
      </c>
      <c r="AG18" s="66">
        <f>'[1]UNIV 2019'!K24</f>
        <v>30000000</v>
      </c>
      <c r="AH18" s="66">
        <f t="shared" si="11"/>
        <v>0</v>
      </c>
      <c r="AI18" s="88"/>
      <c r="AJ18" s="66">
        <f>'[1]Univ Comm Fund'!L18</f>
        <v>0</v>
      </c>
      <c r="AK18" s="66">
        <f>'[1]UNIV 2019'!L24</f>
        <v>0</v>
      </c>
      <c r="AL18" s="66">
        <f t="shared" si="12"/>
        <v>0</v>
      </c>
      <c r="AM18" s="66"/>
      <c r="AN18" s="66">
        <f>'[1]Univ Comm Fund'!M18</f>
        <v>40000000</v>
      </c>
      <c r="AO18" s="66">
        <f>'[1]UNIV 2019'!M24</f>
        <v>40000000</v>
      </c>
      <c r="AP18" s="66">
        <f t="shared" si="13"/>
        <v>0</v>
      </c>
      <c r="AQ18" s="66"/>
      <c r="AR18" s="66">
        <f>'[1]Univ Comm Fund'!N18</f>
        <v>0</v>
      </c>
      <c r="AS18" s="66">
        <f>'[1]UNIV 2019'!N24</f>
        <v>0</v>
      </c>
      <c r="AT18" s="66">
        <f t="shared" si="14"/>
        <v>0</v>
      </c>
      <c r="AU18" s="66"/>
      <c r="AV18" s="66">
        <f>'[1]Univ Comm Fund'!O18</f>
        <v>40000000</v>
      </c>
      <c r="AW18" s="66">
        <f>'[1]UNIV 2019'!O24</f>
        <v>40000000</v>
      </c>
      <c r="AX18" s="66">
        <f t="shared" si="15"/>
        <v>0</v>
      </c>
      <c r="AY18" s="66"/>
      <c r="AZ18" s="66">
        <f>'[1]Univ Comm Fund'!P18</f>
        <v>0</v>
      </c>
      <c r="BA18" s="66">
        <f>'[1]UNIV 2019'!P24</f>
        <v>0</v>
      </c>
      <c r="BB18" s="66">
        <f t="shared" si="0"/>
        <v>0</v>
      </c>
      <c r="BC18" s="66"/>
      <c r="BD18" s="66">
        <f>'[1]Univ Comm Fund'!Q18</f>
        <v>52000000</v>
      </c>
      <c r="BE18" s="66">
        <f>'[1]UNIV 2019'!Q24</f>
        <v>52000000</v>
      </c>
      <c r="BF18" s="66">
        <f t="shared" si="1"/>
        <v>0</v>
      </c>
      <c r="BG18" s="66"/>
      <c r="BH18" s="66">
        <f>'[1]Univ Comm Fund'!R18</f>
        <v>67000000</v>
      </c>
      <c r="BI18" s="66">
        <f>'[1]UNIV 2019'!R24</f>
        <v>67000000</v>
      </c>
      <c r="BJ18" s="66">
        <f t="shared" si="16"/>
        <v>0</v>
      </c>
      <c r="BK18" s="66"/>
      <c r="BL18" s="66">
        <f>'[1]Univ Comm Fund'!S18</f>
        <v>57000000</v>
      </c>
      <c r="BM18" s="66">
        <f>'[1]UNIV 2019'!S24</f>
        <v>57000000</v>
      </c>
      <c r="BN18" s="66">
        <f t="shared" si="17"/>
        <v>0</v>
      </c>
      <c r="BO18" s="66"/>
      <c r="BP18" s="66">
        <f>'[1]Univ Comm Fund'!T18</f>
        <v>250000000</v>
      </c>
      <c r="BQ18" s="66">
        <f>'[1]UNIV 2019'!T24</f>
        <v>250000000</v>
      </c>
      <c r="BR18" s="66">
        <f t="shared" si="18"/>
        <v>0</v>
      </c>
      <c r="BS18" s="66"/>
      <c r="BT18" s="66">
        <f>'[1]Univ Comm Fund'!U18</f>
        <v>193140000</v>
      </c>
      <c r="BU18" s="66">
        <f>'[1]UNIV 2019'!U24</f>
        <v>193140000</v>
      </c>
      <c r="BV18" s="66">
        <f t="shared" si="2"/>
        <v>0</v>
      </c>
      <c r="BW18" s="66"/>
      <c r="BX18" s="66">
        <f>'[1]Univ Comm Fund'!V18</f>
        <v>124250000</v>
      </c>
      <c r="BY18" s="66">
        <f>'[1]UNIV 2019'!V24</f>
        <v>124250000</v>
      </c>
      <c r="BZ18" s="66">
        <f t="shared" si="19"/>
        <v>0</v>
      </c>
      <c r="CA18" s="66"/>
      <c r="CB18" s="66">
        <f>'[1]Univ Comm Fund'!W18</f>
        <v>175000000</v>
      </c>
      <c r="CC18" s="66">
        <f>'[1]UNIV 2019'!W24</f>
        <v>175000000</v>
      </c>
      <c r="CD18" s="66">
        <f t="shared" si="20"/>
        <v>0</v>
      </c>
      <c r="CE18" s="66"/>
      <c r="CF18" s="66">
        <v>75000000</v>
      </c>
      <c r="CG18" s="66">
        <f>'[1]UNIV 2019'!X24</f>
        <v>75000000</v>
      </c>
      <c r="CH18" s="75">
        <f t="shared" si="21"/>
        <v>0</v>
      </c>
      <c r="CI18" s="66"/>
      <c r="CJ18" s="66">
        <f>'[1]Univ Comm Fund'!Y18</f>
        <v>10000000</v>
      </c>
      <c r="CK18" s="66">
        <f>'[1]UNIV 2019'!Y24</f>
        <v>10000000</v>
      </c>
      <c r="CL18" s="66">
        <f t="shared" si="22"/>
        <v>0</v>
      </c>
      <c r="CM18" s="66"/>
      <c r="CN18" s="20">
        <f>'[1]Univ Comm Fund'!Z18</f>
        <v>350000000</v>
      </c>
      <c r="CO18" s="66">
        <f>'[1]UNIV 2019'!Z24</f>
        <v>350000000</v>
      </c>
      <c r="CP18" s="66">
        <f t="shared" si="23"/>
        <v>0</v>
      </c>
      <c r="CQ18" s="20"/>
      <c r="CR18" s="66">
        <f>'[1]Univ Comm Fund'!AA18</f>
        <v>30000000</v>
      </c>
      <c r="CS18" s="66">
        <f>'[1]UNIV 2019'!AA24</f>
        <v>30000000</v>
      </c>
      <c r="CT18" s="75">
        <f t="shared" si="24"/>
        <v>0</v>
      </c>
      <c r="CU18" s="66"/>
      <c r="CV18" s="66">
        <f>'[1]Univ Comm Fund'!AB18</f>
        <v>0</v>
      </c>
      <c r="CW18" s="66">
        <f>'[1]UNIV 2019'!AB24</f>
        <v>0</v>
      </c>
      <c r="CX18" s="75">
        <f t="shared" si="25"/>
        <v>0</v>
      </c>
      <c r="CY18" s="66"/>
      <c r="CZ18" s="66">
        <f>'[1]Univ Comm Fund'!AC18</f>
        <v>356000000</v>
      </c>
      <c r="DA18" s="66">
        <f>'[1]UNIV 2019'!AC24</f>
        <v>220720000</v>
      </c>
      <c r="DB18" s="66">
        <f t="shared" si="26"/>
        <v>135280000</v>
      </c>
      <c r="DC18" s="66"/>
      <c r="DD18" s="66">
        <f>'[1]Univ Comm Fund'!AD18</f>
        <v>20000000</v>
      </c>
      <c r="DE18" s="66">
        <f>'[1]UNIV 2019'!AD24</f>
        <v>0</v>
      </c>
      <c r="DF18" s="66">
        <f t="shared" si="27"/>
        <v>20000000</v>
      </c>
      <c r="DG18" s="66"/>
      <c r="DH18" s="66">
        <f>'[1]Univ Comm Fund'!AE18</f>
        <v>552000000</v>
      </c>
      <c r="DI18" s="66">
        <f>'[1]UNIV 2019'!AE24</f>
        <v>342240000</v>
      </c>
      <c r="DJ18" s="66">
        <f t="shared" si="28"/>
        <v>209760000</v>
      </c>
      <c r="DK18" s="66"/>
      <c r="DL18" s="66">
        <f>'[1]Univ Comm Fund'!AF18</f>
        <v>20000000</v>
      </c>
      <c r="DM18" s="66">
        <f>'[1]UNIV 2019'!AF24</f>
        <v>0</v>
      </c>
      <c r="DN18" s="66">
        <f t="shared" si="29"/>
        <v>20000000</v>
      </c>
      <c r="DO18" s="66"/>
      <c r="DP18" s="66">
        <f>'[1]Univ Comm Fund'!AG18</f>
        <v>500000000</v>
      </c>
      <c r="DQ18" s="66">
        <f>'[1]UNIV 2019'!AG24</f>
        <v>350000000</v>
      </c>
      <c r="DR18" s="66">
        <f>DP18-DQ18</f>
        <v>150000000</v>
      </c>
      <c r="DS18" s="66"/>
      <c r="DT18" s="66">
        <f>'[1]Univ Comm Fund'!AH18</f>
        <v>100000000</v>
      </c>
      <c r="DU18" s="66">
        <f>'[1]UNIV 2019'!AH24</f>
        <v>62000000</v>
      </c>
      <c r="DV18" s="66">
        <f t="shared" si="31"/>
        <v>38000000</v>
      </c>
      <c r="DW18" s="66"/>
      <c r="DX18" s="66">
        <f>'[1]Univ Comm Fund'!AI18</f>
        <v>15000000</v>
      </c>
      <c r="DY18" s="66">
        <f>'[1]UNIV 2019'!AI24</f>
        <v>7800000</v>
      </c>
      <c r="DZ18" s="66">
        <f t="shared" si="32"/>
        <v>7200000</v>
      </c>
      <c r="EA18" s="66"/>
      <c r="EB18" s="66">
        <f>'[1]Univ Comm Fund'!AJ18</f>
        <v>2000000</v>
      </c>
      <c r="EC18" s="66">
        <f>'[1]UNIV 2019'!AJ24</f>
        <v>0</v>
      </c>
      <c r="ED18" s="66">
        <f t="shared" si="33"/>
        <v>2000000</v>
      </c>
      <c r="EE18" s="66"/>
      <c r="EF18" s="66">
        <f>'[1]Univ Comm Fund'!AK18</f>
        <v>10000000</v>
      </c>
      <c r="EG18" s="66">
        <f>'[1]UNIV 2019'!AK24</f>
        <v>0</v>
      </c>
      <c r="EH18" s="66">
        <f t="shared" si="34"/>
        <v>10000000</v>
      </c>
      <c r="EI18" s="66"/>
      <c r="EJ18" s="66">
        <f>'[1]Univ Comm Fund'!AL18</f>
        <v>700000000</v>
      </c>
      <c r="EK18" s="66">
        <f>'[1]UNIV 2019'!AL24</f>
        <v>545000000</v>
      </c>
      <c r="EL18" s="66">
        <f t="shared" si="35"/>
        <v>155000000</v>
      </c>
      <c r="EM18" s="66"/>
      <c r="EN18" s="80">
        <f>'[1]Univ Comm Fund'!AM18</f>
        <v>565410000</v>
      </c>
      <c r="EO18" s="66">
        <f>'[1]UNIV 2019'!AM24</f>
        <v>350554200</v>
      </c>
      <c r="EP18" s="75">
        <f t="shared" si="36"/>
        <v>214855800</v>
      </c>
      <c r="EQ18" s="66"/>
      <c r="ER18" s="66">
        <f>'[1]Univ Comm Fund'!AN18</f>
        <v>15000000</v>
      </c>
      <c r="ES18" s="66">
        <f>'[1]UNIV 2019'!AN24</f>
        <v>7800000</v>
      </c>
      <c r="ET18" s="75">
        <f t="shared" si="37"/>
        <v>7200000</v>
      </c>
      <c r="EU18" s="66"/>
      <c r="EV18" s="66">
        <f>'[1]Univ Comm Fund'!AO18</f>
        <v>15000000</v>
      </c>
      <c r="EW18" s="66">
        <f>'[1]UNIV 2019'!AO24</f>
        <v>0</v>
      </c>
      <c r="EX18" s="75">
        <f t="shared" si="38"/>
        <v>15000000</v>
      </c>
      <c r="EY18" s="66"/>
      <c r="EZ18" s="66">
        <f>'[1]Univ Comm Fund'!AP18</f>
        <v>10000000</v>
      </c>
      <c r="FA18" s="66">
        <f>'[1]UNIV 2019'!AP24</f>
        <v>0</v>
      </c>
      <c r="FB18" s="75">
        <f t="shared" si="39"/>
        <v>10000000</v>
      </c>
      <c r="FC18" s="75"/>
      <c r="FD18" s="75">
        <f>'[1]Univ Comm Fund'!AQ18</f>
        <v>0</v>
      </c>
      <c r="FE18" s="75">
        <f>'[1]UNIV 2019'!AQ24</f>
        <v>0</v>
      </c>
      <c r="FF18" s="75">
        <f t="shared" si="40"/>
        <v>0</v>
      </c>
      <c r="FG18" s="75"/>
      <c r="FH18" s="81">
        <f>'[1]Univ Comm Fund'!AR18</f>
        <v>300000000</v>
      </c>
      <c r="FI18" s="75">
        <f>'[1]UNIV 2019'!AR24</f>
        <v>300000000</v>
      </c>
      <c r="FJ18" s="75">
        <f t="shared" si="41"/>
        <v>0</v>
      </c>
      <c r="FK18" s="75"/>
      <c r="FL18" s="75">
        <f>'[1]Univ Comm Fund'!AS18</f>
        <v>300000000</v>
      </c>
      <c r="FM18" s="75">
        <f>'[1]UNIV 2019'!AS24</f>
        <v>0</v>
      </c>
      <c r="FN18" s="75">
        <f t="shared" si="42"/>
        <v>300000000</v>
      </c>
      <c r="FO18" s="75"/>
      <c r="FP18" s="75">
        <f>'[1]Univ Comm Fund'!AT18</f>
        <v>240000000</v>
      </c>
      <c r="FQ18" s="75">
        <f>'[1]UNIV 2019'!AT24</f>
        <v>182400000</v>
      </c>
      <c r="FR18" s="75">
        <f t="shared" si="43"/>
        <v>57600000</v>
      </c>
      <c r="FS18" s="75"/>
      <c r="FT18" s="75">
        <f>'[1]Univ Comm Fund'!AU18</f>
        <v>10000000</v>
      </c>
      <c r="FU18" s="75">
        <f>'[1]UNIV 2019'!AU24</f>
        <v>0</v>
      </c>
      <c r="FV18" s="75">
        <f t="shared" si="44"/>
        <v>10000000</v>
      </c>
      <c r="FW18" s="75"/>
      <c r="FX18" s="75">
        <f>'[1]Univ Comm Fund'!AV18</f>
        <v>5000000</v>
      </c>
      <c r="FY18" s="75">
        <f>'[1]UNIV 2019'!AV24</f>
        <v>0</v>
      </c>
      <c r="FZ18" s="75">
        <f t="shared" si="45"/>
        <v>5000000</v>
      </c>
      <c r="GA18" s="75"/>
      <c r="GB18" s="75">
        <f>'[1]Univ Comm Fund'!AW18</f>
        <v>10000000</v>
      </c>
      <c r="GC18" s="75">
        <f>'[1]UNIV 2019'!AW24</f>
        <v>0</v>
      </c>
      <c r="GD18" s="75">
        <f t="shared" si="46"/>
        <v>10000000</v>
      </c>
      <c r="GE18" s="75"/>
      <c r="GF18" s="75">
        <f>'[1]Univ Comm Fund'!AX18</f>
        <v>0</v>
      </c>
      <c r="GG18" s="75">
        <f>'[1]UNIV 2019'!AX24</f>
        <v>0</v>
      </c>
      <c r="GH18" s="75">
        <f t="shared" si="47"/>
        <v>0</v>
      </c>
      <c r="GI18" s="75"/>
      <c r="GJ18" s="75">
        <f>'[1]Univ Comm Fund'!AY18</f>
        <v>350000000</v>
      </c>
      <c r="GK18" s="75">
        <f>'[1]UNIV 2019'!AY24</f>
        <v>0</v>
      </c>
      <c r="GL18" s="75">
        <f t="shared" si="48"/>
        <v>350000000</v>
      </c>
      <c r="GM18" s="75"/>
      <c r="GN18" s="75">
        <f>'[1]Univ Comm Fund'!AZ18</f>
        <v>175823700</v>
      </c>
      <c r="GO18" s="75">
        <f>'[1]UNIV 2019'!AZ24</f>
        <v>0</v>
      </c>
      <c r="GP18" s="75">
        <f t="shared" si="49"/>
        <v>175823700</v>
      </c>
      <c r="GQ18" s="75"/>
      <c r="GR18" s="75">
        <f>'[1]Univ Comm Fund'!BA18</f>
        <v>20000000</v>
      </c>
      <c r="GS18" s="75">
        <f>'[1]UNIV 2019'!BA24</f>
        <v>0</v>
      </c>
      <c r="GT18" s="75">
        <f t="shared" si="50"/>
        <v>20000000</v>
      </c>
      <c r="GU18" s="75"/>
      <c r="GV18" s="75">
        <f>'[1]Univ Comm Fund'!BB18</f>
        <v>5000000</v>
      </c>
      <c r="GW18" s="75">
        <f>'[1]UNIV 2019'!BB24</f>
        <v>0</v>
      </c>
      <c r="GX18" s="75">
        <f t="shared" si="51"/>
        <v>5000000</v>
      </c>
      <c r="GY18" s="75"/>
      <c r="GZ18" s="75">
        <f>'[1]Univ Comm Fund'!BC18</f>
        <v>10000000</v>
      </c>
      <c r="HA18" s="75">
        <f>'[1]UNIV 2019'!BD24</f>
        <v>0</v>
      </c>
      <c r="HB18" s="75">
        <f t="shared" si="52"/>
        <v>10000000</v>
      </c>
      <c r="HC18" s="75"/>
      <c r="HD18" s="75">
        <f>'[1]Univ Comm Fund'!BD18</f>
        <v>0</v>
      </c>
      <c r="HE18" s="75">
        <f>'[1]UNIV 2019'!BC24</f>
        <v>0</v>
      </c>
      <c r="HF18" s="75">
        <f t="shared" si="53"/>
        <v>0</v>
      </c>
      <c r="HG18" s="75"/>
      <c r="HH18" s="75">
        <f t="shared" si="54"/>
        <v>6023483951.25</v>
      </c>
      <c r="HI18" s="75">
        <f t="shared" si="54"/>
        <v>4085764451.25</v>
      </c>
      <c r="HJ18" s="82">
        <f t="shared" si="55"/>
        <v>1937719500</v>
      </c>
      <c r="HL18" s="83">
        <f t="shared" si="56"/>
        <v>3425910251.25</v>
      </c>
      <c r="HM18" s="83">
        <f t="shared" si="56"/>
        <v>2178014451.25</v>
      </c>
      <c r="HN18" s="84">
        <f t="shared" si="57"/>
        <v>1247895800</v>
      </c>
      <c r="HP18" s="83">
        <f t="shared" si="58"/>
        <v>1614250000</v>
      </c>
      <c r="HQ18" s="83">
        <f t="shared" si="58"/>
        <v>1309250000</v>
      </c>
      <c r="HR18" s="84">
        <f t="shared" si="59"/>
        <v>305000000</v>
      </c>
      <c r="HT18" s="83">
        <f t="shared" si="60"/>
        <v>145000000</v>
      </c>
      <c r="HU18" s="83">
        <f t="shared" si="60"/>
        <v>75000000</v>
      </c>
      <c r="HV18" s="84">
        <f t="shared" si="61"/>
        <v>70000000</v>
      </c>
      <c r="HX18" s="83">
        <f t="shared" si="62"/>
        <v>60000000</v>
      </c>
      <c r="HY18" s="83">
        <f t="shared" si="62"/>
        <v>15600000</v>
      </c>
      <c r="HZ18" s="84">
        <f t="shared" si="63"/>
        <v>44400000</v>
      </c>
      <c r="IB18" s="83">
        <f t="shared" si="64"/>
        <v>35000000</v>
      </c>
      <c r="IC18" s="83">
        <f t="shared" si="64"/>
        <v>0</v>
      </c>
      <c r="ID18" s="84">
        <f t="shared" si="65"/>
        <v>35000000</v>
      </c>
      <c r="IF18" s="83">
        <f t="shared" si="3"/>
        <v>2000000</v>
      </c>
      <c r="IG18" s="83">
        <f t="shared" si="3"/>
        <v>0</v>
      </c>
      <c r="IH18" s="84">
        <f t="shared" si="66"/>
        <v>2000000</v>
      </c>
      <c r="IJ18" s="84">
        <f t="shared" si="67"/>
        <v>715823700</v>
      </c>
      <c r="IK18" s="84">
        <f t="shared" si="67"/>
        <v>482400000</v>
      </c>
      <c r="IL18" s="84">
        <f t="shared" si="68"/>
        <v>233423700</v>
      </c>
    </row>
    <row r="19" spans="1:246" x14ac:dyDescent="0.25">
      <c r="A19" s="42">
        <v>14</v>
      </c>
      <c r="B19" s="86" t="s">
        <v>79</v>
      </c>
      <c r="C19" s="42" t="s">
        <v>65</v>
      </c>
      <c r="D19" s="66">
        <f>'[1]Univ Comm Fund'!D19</f>
        <v>59027776.670000002</v>
      </c>
      <c r="E19" s="66">
        <f>'[1]UNIV 2019'!D25</f>
        <v>59027776.670000002</v>
      </c>
      <c r="F19" s="75">
        <f t="shared" si="4"/>
        <v>0</v>
      </c>
      <c r="G19" s="66"/>
      <c r="H19" s="66">
        <f>'[1]Univ Comm Fund'!E19</f>
        <v>20000000</v>
      </c>
      <c r="I19" s="66">
        <f>'[1]UNIV 2019'!E25</f>
        <v>20000000</v>
      </c>
      <c r="J19" s="66">
        <f t="shared" si="5"/>
        <v>0</v>
      </c>
      <c r="K19" s="66"/>
      <c r="L19" s="66">
        <f>'[1]Univ Comm Fund'!F19</f>
        <v>40000000</v>
      </c>
      <c r="M19" s="66">
        <f>'[1]UNIV 2019'!F25</f>
        <v>40000000</v>
      </c>
      <c r="N19" s="66">
        <f t="shared" si="6"/>
        <v>0</v>
      </c>
      <c r="O19" s="66"/>
      <c r="P19" s="66">
        <f>'[1]Univ Comm Fund'!G19</f>
        <v>0</v>
      </c>
      <c r="Q19" s="66">
        <f>'[1]UNIV 2019'!G25</f>
        <v>0</v>
      </c>
      <c r="R19" s="66">
        <f t="shared" si="7"/>
        <v>0</v>
      </c>
      <c r="S19" s="87"/>
      <c r="T19" s="66">
        <f>'[1]Univ Comm Fund'!H19</f>
        <v>50000000</v>
      </c>
      <c r="U19" s="66">
        <f>'[1]UNIV 2019'!H25</f>
        <v>50000000</v>
      </c>
      <c r="V19" s="66">
        <f t="shared" si="8"/>
        <v>0</v>
      </c>
      <c r="W19" s="66"/>
      <c r="X19" s="66">
        <f>'[1]Univ Comm Fund'!I19</f>
        <v>19250000</v>
      </c>
      <c r="Y19" s="66">
        <f>'[1]UNIV 2019'!I25</f>
        <v>19250000</v>
      </c>
      <c r="Z19" s="66">
        <f t="shared" si="9"/>
        <v>0</v>
      </c>
      <c r="AA19" s="66"/>
      <c r="AB19" s="66">
        <f>'[1]Univ Comm Fund'!J19</f>
        <v>30000000</v>
      </c>
      <c r="AC19" s="66">
        <f>'[1]UNIV 2019'!J25</f>
        <v>30000000</v>
      </c>
      <c r="AD19" s="66">
        <f t="shared" si="10"/>
        <v>0</v>
      </c>
      <c r="AE19" s="66"/>
      <c r="AF19" s="88">
        <f>'[1]Univ Comm Fund'!K19</f>
        <v>30000000</v>
      </c>
      <c r="AG19" s="66">
        <f>'[1]UNIV 2019'!K25</f>
        <v>30000000</v>
      </c>
      <c r="AH19" s="66">
        <f t="shared" si="11"/>
        <v>0</v>
      </c>
      <c r="AI19" s="88"/>
      <c r="AJ19" s="66">
        <f>'[1]Univ Comm Fund'!L19</f>
        <v>0</v>
      </c>
      <c r="AK19" s="66">
        <f>'[1]UNIV 2019'!L25</f>
        <v>0</v>
      </c>
      <c r="AL19" s="66">
        <f t="shared" si="12"/>
        <v>0</v>
      </c>
      <c r="AM19" s="66"/>
      <c r="AN19" s="66">
        <f>'[1]Univ Comm Fund'!M19</f>
        <v>40000000</v>
      </c>
      <c r="AO19" s="66">
        <f>'[1]UNIV 2019'!M25</f>
        <v>40000000</v>
      </c>
      <c r="AP19" s="66">
        <f t="shared" si="13"/>
        <v>0</v>
      </c>
      <c r="AQ19" s="66"/>
      <c r="AR19" s="66">
        <f>'[1]Univ Comm Fund'!N19</f>
        <v>0</v>
      </c>
      <c r="AS19" s="66">
        <f>'[1]UNIV 2019'!N25</f>
        <v>0</v>
      </c>
      <c r="AT19" s="66">
        <f t="shared" si="14"/>
        <v>0</v>
      </c>
      <c r="AU19" s="66"/>
      <c r="AV19" s="66">
        <f>'[1]Univ Comm Fund'!O19</f>
        <v>40000000</v>
      </c>
      <c r="AW19" s="66">
        <f>'[1]UNIV 2019'!O25</f>
        <v>40000000</v>
      </c>
      <c r="AX19" s="66">
        <f t="shared" si="15"/>
        <v>0</v>
      </c>
      <c r="AY19" s="66"/>
      <c r="AZ19" s="66">
        <f>'[1]Univ Comm Fund'!P19</f>
        <v>0</v>
      </c>
      <c r="BA19" s="66">
        <f>'[1]UNIV 2019'!P25</f>
        <v>0</v>
      </c>
      <c r="BB19" s="66">
        <f t="shared" si="0"/>
        <v>0</v>
      </c>
      <c r="BC19" s="66"/>
      <c r="BD19" s="66">
        <f>'[1]Univ Comm Fund'!Q19</f>
        <v>52000000</v>
      </c>
      <c r="BE19" s="66">
        <f>'[1]UNIV 2019'!Q25</f>
        <v>52000000</v>
      </c>
      <c r="BF19" s="66">
        <f t="shared" si="1"/>
        <v>0</v>
      </c>
      <c r="BG19" s="66"/>
      <c r="BH19" s="66">
        <f>'[1]Univ Comm Fund'!R19</f>
        <v>67000000</v>
      </c>
      <c r="BI19" s="66">
        <f>'[1]UNIV 2019'!R25</f>
        <v>67000000</v>
      </c>
      <c r="BJ19" s="66">
        <f t="shared" si="16"/>
        <v>0</v>
      </c>
      <c r="BK19" s="66"/>
      <c r="BL19" s="66">
        <f>'[1]Univ Comm Fund'!S19</f>
        <v>33630000</v>
      </c>
      <c r="BM19" s="66">
        <f>'[1]UNIV 2019'!S25</f>
        <v>33630000</v>
      </c>
      <c r="BN19" s="66">
        <f t="shared" si="17"/>
        <v>0</v>
      </c>
      <c r="BO19" s="66"/>
      <c r="BP19" s="66">
        <f>'[1]Univ Comm Fund'!T19</f>
        <v>610000000</v>
      </c>
      <c r="BQ19" s="66">
        <f>'[1]UNIV 2019'!T25</f>
        <v>610000000</v>
      </c>
      <c r="BR19" s="66">
        <f>BP19-BQ19</f>
        <v>0</v>
      </c>
      <c r="BS19" s="66"/>
      <c r="BT19" s="66">
        <f>'[1]Univ Comm Fund'!U19</f>
        <v>113952600</v>
      </c>
      <c r="BU19" s="66">
        <f>'[1]UNIV 2019'!U25</f>
        <v>113952600</v>
      </c>
      <c r="BV19" s="66">
        <f t="shared" si="2"/>
        <v>0</v>
      </c>
      <c r="BW19" s="66"/>
      <c r="BX19" s="66">
        <f>'[1]Univ Comm Fund'!V19</f>
        <v>0</v>
      </c>
      <c r="BY19" s="66">
        <f>'[1]UNIV 2019'!V25</f>
        <v>0</v>
      </c>
      <c r="BZ19" s="66">
        <f t="shared" si="19"/>
        <v>0</v>
      </c>
      <c r="CA19" s="66"/>
      <c r="CB19" s="66">
        <f>'[1]Univ Comm Fund'!W19</f>
        <v>175000000</v>
      </c>
      <c r="CC19" s="66">
        <f>'[1]UNIV 2019'!W25</f>
        <v>103250000</v>
      </c>
      <c r="CD19" s="66">
        <f t="shared" si="20"/>
        <v>71750000</v>
      </c>
      <c r="CE19" s="66"/>
      <c r="CF19" s="66">
        <v>75000000</v>
      </c>
      <c r="CG19" s="66">
        <f>'[1]UNIV 2019'!X25</f>
        <v>44250000</v>
      </c>
      <c r="CH19" s="75">
        <f t="shared" si="21"/>
        <v>30750000</v>
      </c>
      <c r="CI19" s="66"/>
      <c r="CJ19" s="66">
        <f>'[1]Univ Comm Fund'!Y19</f>
        <v>2000000000</v>
      </c>
      <c r="CK19" s="66">
        <f>'[1]UNIV 2019'!Y25</f>
        <v>1700000000</v>
      </c>
      <c r="CL19" s="66">
        <f t="shared" si="22"/>
        <v>300000000</v>
      </c>
      <c r="CM19" s="66"/>
      <c r="CN19" s="20">
        <f>'[1]Univ Comm Fund'!Z19</f>
        <v>350000000</v>
      </c>
      <c r="CO19" s="66">
        <f>'[1]UNIV 2019'!Z25</f>
        <v>206500000</v>
      </c>
      <c r="CP19" s="66">
        <f t="shared" si="23"/>
        <v>143500000</v>
      </c>
      <c r="CQ19" s="20"/>
      <c r="CR19" s="66">
        <f>'[1]Univ Comm Fund'!AA19</f>
        <v>0</v>
      </c>
      <c r="CS19" s="66">
        <f>'[1]UNIV 2019'!AA25</f>
        <v>0</v>
      </c>
      <c r="CT19" s="75">
        <f t="shared" si="24"/>
        <v>0</v>
      </c>
      <c r="CU19" s="66"/>
      <c r="CV19" s="66">
        <f>'[1]Univ Comm Fund'!AB19</f>
        <v>0</v>
      </c>
      <c r="CW19" s="66">
        <f>'[1]UNIV 2019'!AB25</f>
        <v>0</v>
      </c>
      <c r="CX19" s="75">
        <f t="shared" si="25"/>
        <v>0</v>
      </c>
      <c r="CY19" s="66"/>
      <c r="CZ19" s="66">
        <f>'[1]Univ Comm Fund'!AC19</f>
        <v>356000000</v>
      </c>
      <c r="DA19" s="66">
        <f>'[1]UNIV 2019'!AC25</f>
        <v>0</v>
      </c>
      <c r="DB19" s="66">
        <f t="shared" si="26"/>
        <v>356000000</v>
      </c>
      <c r="DC19" s="66"/>
      <c r="DD19" s="66">
        <f>'[1]Univ Comm Fund'!AD19</f>
        <v>20000000</v>
      </c>
      <c r="DE19" s="66">
        <f>'[1]UNIV 2019'!AD25</f>
        <v>0</v>
      </c>
      <c r="DF19" s="66">
        <f t="shared" si="27"/>
        <v>20000000</v>
      </c>
      <c r="DG19" s="66"/>
      <c r="DH19" s="66">
        <f>'[1]Univ Comm Fund'!AE19</f>
        <v>552000000</v>
      </c>
      <c r="DI19" s="66">
        <f>'[1]UNIV 2019'!AE25</f>
        <v>0</v>
      </c>
      <c r="DJ19" s="66">
        <f t="shared" si="28"/>
        <v>552000000</v>
      </c>
      <c r="DK19" s="66"/>
      <c r="DL19" s="66">
        <f>'[1]Univ Comm Fund'!AF19</f>
        <v>20000000</v>
      </c>
      <c r="DM19" s="66">
        <f>'[1]UNIV 2019'!AF25</f>
        <v>0</v>
      </c>
      <c r="DN19" s="66">
        <f t="shared" si="29"/>
        <v>20000000</v>
      </c>
      <c r="DO19" s="66"/>
      <c r="DP19" s="66">
        <f>'[1]Univ Comm Fund'!AG19</f>
        <v>250000000</v>
      </c>
      <c r="DQ19" s="66">
        <f>'[1]UNIV 2019'!AG25</f>
        <v>250000000</v>
      </c>
      <c r="DR19" s="66">
        <f t="shared" si="30"/>
        <v>0</v>
      </c>
      <c r="DS19" s="66"/>
      <c r="DT19" s="66">
        <f>'[1]Univ Comm Fund'!AH19</f>
        <v>100000000</v>
      </c>
      <c r="DU19" s="66">
        <f>'[1]UNIV 2019'!AH25</f>
        <v>0</v>
      </c>
      <c r="DV19" s="66">
        <f t="shared" si="31"/>
        <v>100000000</v>
      </c>
      <c r="DW19" s="66"/>
      <c r="DX19" s="66">
        <f>'[1]Univ Comm Fund'!AI19</f>
        <v>15000000</v>
      </c>
      <c r="DY19" s="66">
        <f>'[1]UNIV 2019'!AI25</f>
        <v>0</v>
      </c>
      <c r="DZ19" s="66">
        <f t="shared" si="32"/>
        <v>15000000</v>
      </c>
      <c r="EA19" s="66"/>
      <c r="EB19" s="66">
        <f>'[1]Univ Comm Fund'!AJ19</f>
        <v>2000000</v>
      </c>
      <c r="EC19" s="66">
        <f>'[1]UNIV 2019'!AJ25</f>
        <v>0</v>
      </c>
      <c r="ED19" s="66">
        <f t="shared" si="33"/>
        <v>2000000</v>
      </c>
      <c r="EE19" s="66"/>
      <c r="EF19" s="66">
        <f>'[1]Univ Comm Fund'!AK19</f>
        <v>10000000</v>
      </c>
      <c r="EG19" s="66">
        <f>'[1]UNIV 2019'!AK25</f>
        <v>0</v>
      </c>
      <c r="EH19" s="66">
        <f t="shared" si="34"/>
        <v>10000000</v>
      </c>
      <c r="EI19" s="66"/>
      <c r="EJ19" s="66">
        <f>'[1]Univ Comm Fund'!AL19</f>
        <v>2340000000</v>
      </c>
      <c r="EK19" s="66">
        <f>'[1]UNIV 2019'!AL25</f>
        <v>2340000000</v>
      </c>
      <c r="EL19" s="66">
        <f t="shared" si="35"/>
        <v>0</v>
      </c>
      <c r="EM19" s="66"/>
      <c r="EN19" s="80">
        <f>'[1]Univ Comm Fund'!AM19</f>
        <v>565410000</v>
      </c>
      <c r="EO19" s="66">
        <f>'[1]UNIV 2019'!AM25</f>
        <v>0</v>
      </c>
      <c r="EP19" s="75">
        <f t="shared" si="36"/>
        <v>565410000</v>
      </c>
      <c r="EQ19" s="66"/>
      <c r="ER19" s="66">
        <f>'[1]Univ Comm Fund'!AN19</f>
        <v>15000000</v>
      </c>
      <c r="ES19" s="66">
        <f>'[1]UNIV 2019'!AN25</f>
        <v>0</v>
      </c>
      <c r="ET19" s="75">
        <f t="shared" si="37"/>
        <v>15000000</v>
      </c>
      <c r="EU19" s="66"/>
      <c r="EV19" s="66">
        <f>'[1]Univ Comm Fund'!AO19</f>
        <v>15000000</v>
      </c>
      <c r="EW19" s="66">
        <f>'[1]UNIV 2019'!AO25</f>
        <v>0</v>
      </c>
      <c r="EX19" s="75">
        <f t="shared" si="38"/>
        <v>15000000</v>
      </c>
      <c r="EY19" s="66"/>
      <c r="EZ19" s="66">
        <f>'[1]Univ Comm Fund'!AP19</f>
        <v>10000000</v>
      </c>
      <c r="FA19" s="66">
        <f>'[1]UNIV 2019'!AP25</f>
        <v>0</v>
      </c>
      <c r="FB19" s="75">
        <f t="shared" si="39"/>
        <v>10000000</v>
      </c>
      <c r="FC19" s="75"/>
      <c r="FD19" s="75">
        <f>'[1]Univ Comm Fund'!AQ19</f>
        <v>0</v>
      </c>
      <c r="FE19" s="75">
        <f>'[1]UNIV 2019'!AQ25</f>
        <v>0</v>
      </c>
      <c r="FF19" s="75">
        <f t="shared" si="40"/>
        <v>0</v>
      </c>
      <c r="FG19" s="75"/>
      <c r="FH19" s="75">
        <f>'[1]Univ Comm Fund'!AR19</f>
        <v>0</v>
      </c>
      <c r="FI19" s="75">
        <f>'[1]UNIV 2019'!AR25</f>
        <v>0</v>
      </c>
      <c r="FJ19" s="75">
        <f t="shared" si="41"/>
        <v>0</v>
      </c>
      <c r="FK19" s="75"/>
      <c r="FL19" s="75">
        <f>'[1]Univ Comm Fund'!AS19</f>
        <v>300000000</v>
      </c>
      <c r="FM19" s="75">
        <f>'[1]UNIV 2019'!AS25</f>
        <v>0</v>
      </c>
      <c r="FN19" s="75">
        <f t="shared" si="42"/>
        <v>300000000</v>
      </c>
      <c r="FO19" s="75"/>
      <c r="FP19" s="75">
        <f>'[1]Univ Comm Fund'!AT19</f>
        <v>120000000</v>
      </c>
      <c r="FQ19" s="75">
        <f>'[1]UNIV 2019'!AT25</f>
        <v>0</v>
      </c>
      <c r="FR19" s="75">
        <f t="shared" si="43"/>
        <v>120000000</v>
      </c>
      <c r="FS19" s="75"/>
      <c r="FT19" s="75">
        <f>'[1]Univ Comm Fund'!AU19</f>
        <v>10000000</v>
      </c>
      <c r="FU19" s="75">
        <f>'[1]UNIV 2019'!AU25</f>
        <v>0</v>
      </c>
      <c r="FV19" s="75">
        <f t="shared" si="44"/>
        <v>10000000</v>
      </c>
      <c r="FW19" s="75"/>
      <c r="FX19" s="75">
        <f>'[1]Univ Comm Fund'!AV19</f>
        <v>5000000</v>
      </c>
      <c r="FY19" s="75">
        <f>'[1]UNIV 2019'!AV25</f>
        <v>0</v>
      </c>
      <c r="FZ19" s="75">
        <f t="shared" si="45"/>
        <v>5000000</v>
      </c>
      <c r="GA19" s="75"/>
      <c r="GB19" s="75">
        <f>'[1]Univ Comm Fund'!AW19</f>
        <v>10000000</v>
      </c>
      <c r="GC19" s="75">
        <f>'[1]UNIV 2019'!AW25</f>
        <v>0</v>
      </c>
      <c r="GD19" s="75">
        <f t="shared" si="46"/>
        <v>10000000</v>
      </c>
      <c r="GE19" s="75"/>
      <c r="GF19" s="75">
        <f>'[1]Univ Comm Fund'!AX19</f>
        <v>0</v>
      </c>
      <c r="GG19" s="75">
        <f>'[1]UNIV 2019'!AX25</f>
        <v>0</v>
      </c>
      <c r="GH19" s="75">
        <f t="shared" si="47"/>
        <v>0</v>
      </c>
      <c r="GI19" s="75"/>
      <c r="GJ19" s="75">
        <f>'[1]Univ Comm Fund'!AY19</f>
        <v>350000000</v>
      </c>
      <c r="GK19" s="75">
        <f>'[1]UNIV 2019'!AY25</f>
        <v>0</v>
      </c>
      <c r="GL19" s="75">
        <f t="shared" si="48"/>
        <v>350000000</v>
      </c>
      <c r="GM19" s="75"/>
      <c r="GN19" s="75">
        <f>'[1]Univ Comm Fund'!AZ19</f>
        <v>175823700</v>
      </c>
      <c r="GO19" s="75">
        <f>'[1]UNIV 2019'!AZ25</f>
        <v>0</v>
      </c>
      <c r="GP19" s="75">
        <f t="shared" si="49"/>
        <v>175823700</v>
      </c>
      <c r="GQ19" s="75"/>
      <c r="GR19" s="75">
        <f>'[1]Univ Comm Fund'!BA19</f>
        <v>20000000</v>
      </c>
      <c r="GS19" s="75">
        <f>'[1]UNIV 2019'!BA25</f>
        <v>0</v>
      </c>
      <c r="GT19" s="75">
        <f t="shared" si="50"/>
        <v>20000000</v>
      </c>
      <c r="GU19" s="75"/>
      <c r="GV19" s="75">
        <f>'[1]Univ Comm Fund'!BB19</f>
        <v>5000000</v>
      </c>
      <c r="GW19" s="75">
        <f>'[1]UNIV 2019'!BB25</f>
        <v>0</v>
      </c>
      <c r="GX19" s="75">
        <f t="shared" si="51"/>
        <v>5000000</v>
      </c>
      <c r="GY19" s="75"/>
      <c r="GZ19" s="75">
        <f>'[1]Univ Comm Fund'!BC19</f>
        <v>10000000</v>
      </c>
      <c r="HA19" s="75">
        <f>'[1]UNIV 2019'!BD25</f>
        <v>0</v>
      </c>
      <c r="HB19" s="75">
        <f t="shared" si="52"/>
        <v>10000000</v>
      </c>
      <c r="HC19" s="75"/>
      <c r="HD19" s="75">
        <f>'[1]Univ Comm Fund'!BD19</f>
        <v>0</v>
      </c>
      <c r="HE19" s="75">
        <f>'[1]UNIV 2019'!BC25</f>
        <v>0</v>
      </c>
      <c r="HF19" s="75">
        <f t="shared" si="53"/>
        <v>0</v>
      </c>
      <c r="HG19" s="75"/>
      <c r="HH19" s="75">
        <f t="shared" si="54"/>
        <v>9081094076.6700001</v>
      </c>
      <c r="HI19" s="75">
        <f t="shared" si="54"/>
        <v>5848860376.6700001</v>
      </c>
      <c r="HJ19" s="82">
        <f t="shared" si="55"/>
        <v>3232233700</v>
      </c>
      <c r="HL19" s="83">
        <f t="shared" si="56"/>
        <v>3324020376.6700001</v>
      </c>
      <c r="HM19" s="83">
        <f t="shared" si="56"/>
        <v>885360376.67000008</v>
      </c>
      <c r="HN19" s="84">
        <f t="shared" si="57"/>
        <v>2438660000</v>
      </c>
      <c r="HP19" s="83">
        <f t="shared" si="58"/>
        <v>5200000000</v>
      </c>
      <c r="HQ19" s="83">
        <f t="shared" si="58"/>
        <v>4900000000</v>
      </c>
      <c r="HR19" s="84">
        <f t="shared" si="59"/>
        <v>300000000</v>
      </c>
      <c r="HT19" s="83">
        <f t="shared" si="60"/>
        <v>145000000</v>
      </c>
      <c r="HU19" s="83">
        <f t="shared" si="60"/>
        <v>44250000</v>
      </c>
      <c r="HV19" s="84">
        <f t="shared" si="61"/>
        <v>100750000</v>
      </c>
      <c r="HX19" s="83">
        <f t="shared" si="62"/>
        <v>60000000</v>
      </c>
      <c r="HY19" s="83">
        <f t="shared" si="62"/>
        <v>0</v>
      </c>
      <c r="HZ19" s="84">
        <f t="shared" si="63"/>
        <v>60000000</v>
      </c>
      <c r="IB19" s="83">
        <f t="shared" si="64"/>
        <v>35000000</v>
      </c>
      <c r="IC19" s="83">
        <f t="shared" si="64"/>
        <v>0</v>
      </c>
      <c r="ID19" s="84">
        <f t="shared" si="65"/>
        <v>35000000</v>
      </c>
      <c r="IF19" s="83">
        <f t="shared" si="3"/>
        <v>2000000</v>
      </c>
      <c r="IG19" s="83">
        <f t="shared" si="3"/>
        <v>0</v>
      </c>
      <c r="IH19" s="84">
        <f t="shared" si="66"/>
        <v>2000000</v>
      </c>
      <c r="IJ19" s="84">
        <f t="shared" si="67"/>
        <v>295823700</v>
      </c>
      <c r="IK19" s="84">
        <f t="shared" si="67"/>
        <v>0</v>
      </c>
      <c r="IL19" s="84">
        <f t="shared" si="68"/>
        <v>295823700</v>
      </c>
    </row>
    <row r="20" spans="1:246" s="85" customFormat="1" x14ac:dyDescent="0.25">
      <c r="A20" s="73">
        <v>15</v>
      </c>
      <c r="B20" s="92" t="s">
        <v>1</v>
      </c>
      <c r="C20" s="73" t="s">
        <v>63</v>
      </c>
      <c r="D20" s="75">
        <f>'[1]Univ Comm Fund'!D20</f>
        <v>59027776.670000002</v>
      </c>
      <c r="E20" s="75">
        <f>'[1]UNIV 2019'!D26</f>
        <v>59027776.670000002</v>
      </c>
      <c r="F20" s="75">
        <f t="shared" si="4"/>
        <v>0</v>
      </c>
      <c r="G20" s="75"/>
      <c r="H20" s="75">
        <f>'[1]Univ Comm Fund'!E20</f>
        <v>20000000</v>
      </c>
      <c r="I20" s="75">
        <f>'[1]UNIV 2019'!E26</f>
        <v>20000000</v>
      </c>
      <c r="J20" s="75">
        <f t="shared" si="5"/>
        <v>0</v>
      </c>
      <c r="K20" s="75"/>
      <c r="L20" s="75">
        <f>'[1]Univ Comm Fund'!F20</f>
        <v>40000000</v>
      </c>
      <c r="M20" s="75">
        <f>'[1]UNIV 2019'!F26</f>
        <v>40000000</v>
      </c>
      <c r="N20" s="75">
        <f t="shared" si="6"/>
        <v>0</v>
      </c>
      <c r="O20" s="75"/>
      <c r="P20" s="75">
        <f>'[1]Univ Comm Fund'!G20</f>
        <v>0</v>
      </c>
      <c r="Q20" s="75">
        <f>'[1]UNIV 2019'!G26</f>
        <v>0</v>
      </c>
      <c r="R20" s="75">
        <f t="shared" si="7"/>
        <v>0</v>
      </c>
      <c r="S20" s="76"/>
      <c r="T20" s="75">
        <f>'[1]Univ Comm Fund'!H20</f>
        <v>50000000</v>
      </c>
      <c r="U20" s="75">
        <f>'[1]UNIV 2019'!H26</f>
        <v>50000000</v>
      </c>
      <c r="V20" s="75">
        <f t="shared" si="8"/>
        <v>0</v>
      </c>
      <c r="W20" s="75"/>
      <c r="X20" s="75">
        <f>'[1]Univ Comm Fund'!I20</f>
        <v>0</v>
      </c>
      <c r="Y20" s="75">
        <f>'[1]UNIV 2019'!I26</f>
        <v>0</v>
      </c>
      <c r="Z20" s="75">
        <f t="shared" si="9"/>
        <v>0</v>
      </c>
      <c r="AA20" s="75"/>
      <c r="AB20" s="75">
        <f>'[1]Univ Comm Fund'!J20</f>
        <v>30000000</v>
      </c>
      <c r="AC20" s="75">
        <f>'[1]UNIV 2019'!J26</f>
        <v>30000000</v>
      </c>
      <c r="AD20" s="75">
        <f t="shared" si="10"/>
        <v>0</v>
      </c>
      <c r="AE20" s="75"/>
      <c r="AF20" s="77">
        <f>'[1]Univ Comm Fund'!K20</f>
        <v>30000000</v>
      </c>
      <c r="AG20" s="75">
        <f>'[1]UNIV 2019'!K26</f>
        <v>30000000</v>
      </c>
      <c r="AH20" s="75">
        <f t="shared" si="11"/>
        <v>0</v>
      </c>
      <c r="AI20" s="77"/>
      <c r="AJ20" s="75">
        <f>'[1]Univ Comm Fund'!L20</f>
        <v>0</v>
      </c>
      <c r="AK20" s="75">
        <f>'[1]UNIV 2019'!L26</f>
        <v>0</v>
      </c>
      <c r="AL20" s="75">
        <f t="shared" si="12"/>
        <v>0</v>
      </c>
      <c r="AM20" s="75"/>
      <c r="AN20" s="75">
        <f>'[1]Univ Comm Fund'!M20</f>
        <v>40000000</v>
      </c>
      <c r="AO20" s="75">
        <f>'[1]UNIV 2019'!M26</f>
        <v>40000000</v>
      </c>
      <c r="AP20" s="75">
        <f t="shared" si="13"/>
        <v>0</v>
      </c>
      <c r="AQ20" s="75"/>
      <c r="AR20" s="75">
        <f>'[1]Univ Comm Fund'!N20</f>
        <v>0</v>
      </c>
      <c r="AS20" s="75">
        <f>'[1]UNIV 2019'!N26</f>
        <v>0</v>
      </c>
      <c r="AT20" s="75">
        <f t="shared" si="14"/>
        <v>0</v>
      </c>
      <c r="AU20" s="75"/>
      <c r="AV20" s="75">
        <f>'[1]Univ Comm Fund'!O20</f>
        <v>40000000</v>
      </c>
      <c r="AW20" s="75">
        <f>'[1]UNIV 2019'!O26</f>
        <v>40000000</v>
      </c>
      <c r="AX20" s="75">
        <f t="shared" si="15"/>
        <v>0</v>
      </c>
      <c r="AY20" s="75"/>
      <c r="AZ20" s="75">
        <f>'[1]Univ Comm Fund'!P20</f>
        <v>0</v>
      </c>
      <c r="BA20" s="75">
        <f>'[1]UNIV 2019'!P26</f>
        <v>0</v>
      </c>
      <c r="BB20" s="75">
        <f t="shared" si="0"/>
        <v>0</v>
      </c>
      <c r="BC20" s="75"/>
      <c r="BD20" s="75">
        <f>'[1]Univ Comm Fund'!Q20</f>
        <v>52000000</v>
      </c>
      <c r="BE20" s="75">
        <f>'[1]UNIV 2019'!Q26</f>
        <v>52000000</v>
      </c>
      <c r="BF20" s="75">
        <f t="shared" si="1"/>
        <v>0</v>
      </c>
      <c r="BG20" s="75"/>
      <c r="BH20" s="75">
        <f>'[1]Univ Comm Fund'!R20</f>
        <v>67000000</v>
      </c>
      <c r="BI20" s="75">
        <f>'[1]UNIV 2019'!R26</f>
        <v>67000000</v>
      </c>
      <c r="BJ20" s="75">
        <f t="shared" si="16"/>
        <v>0</v>
      </c>
      <c r="BK20" s="75"/>
      <c r="BL20" s="75">
        <f>'[1]Univ Comm Fund'!S20</f>
        <v>57000000</v>
      </c>
      <c r="BM20" s="75">
        <f>'[1]UNIV 2019'!S26</f>
        <v>57000000</v>
      </c>
      <c r="BN20" s="75">
        <f t="shared" si="17"/>
        <v>0</v>
      </c>
      <c r="BO20" s="75"/>
      <c r="BP20" s="75">
        <f>'[1]Univ Comm Fund'!T20</f>
        <v>0</v>
      </c>
      <c r="BQ20" s="75">
        <f>'[1]UNIV 2019'!T26</f>
        <v>0</v>
      </c>
      <c r="BR20" s="75">
        <f t="shared" si="18"/>
        <v>0</v>
      </c>
      <c r="BS20" s="75"/>
      <c r="BT20" s="75">
        <f>'[1]Univ Comm Fund'!U20</f>
        <v>193140000</v>
      </c>
      <c r="BU20" s="75">
        <f>'[1]UNIV 2019'!U26</f>
        <v>193140000</v>
      </c>
      <c r="BV20" s="75">
        <f t="shared" si="2"/>
        <v>0</v>
      </c>
      <c r="BW20" s="75"/>
      <c r="BX20" s="75">
        <f>'[1]Univ Comm Fund'!V20</f>
        <v>275000000</v>
      </c>
      <c r="BY20" s="75">
        <f>'[1]UNIV 2019'!V26</f>
        <v>275000000</v>
      </c>
      <c r="BZ20" s="75">
        <f t="shared" si="19"/>
        <v>0</v>
      </c>
      <c r="CA20" s="75"/>
      <c r="CB20" s="75">
        <f>'[1]Univ Comm Fund'!W20</f>
        <v>175000000</v>
      </c>
      <c r="CC20" s="75">
        <f>'[1]UNIV 2019'!W26</f>
        <v>175000000</v>
      </c>
      <c r="CD20" s="75">
        <f t="shared" si="20"/>
        <v>0</v>
      </c>
      <c r="CE20" s="75"/>
      <c r="CF20" s="75">
        <v>75000000</v>
      </c>
      <c r="CG20" s="75">
        <f>'[1]UNIV 2019'!X26</f>
        <v>75000000</v>
      </c>
      <c r="CH20" s="75">
        <f t="shared" si="21"/>
        <v>0</v>
      </c>
      <c r="CI20" s="75"/>
      <c r="CJ20" s="75">
        <f>'[1]Univ Comm Fund'!Y20</f>
        <v>0</v>
      </c>
      <c r="CK20" s="75">
        <f>'[1]UNIV 2019'!Y26</f>
        <v>0</v>
      </c>
      <c r="CL20" s="75">
        <f t="shared" si="22"/>
        <v>0</v>
      </c>
      <c r="CM20" s="75"/>
      <c r="CN20" s="78">
        <f>'[1]Univ Comm Fund'!Z20</f>
        <v>350000000</v>
      </c>
      <c r="CO20" s="75">
        <f>'[1]UNIV 2019'!Z26</f>
        <v>350000000</v>
      </c>
      <c r="CP20" s="75">
        <f t="shared" si="23"/>
        <v>0</v>
      </c>
      <c r="CQ20" s="78"/>
      <c r="CR20" s="75">
        <f>'[1]Univ Comm Fund'!AA20</f>
        <v>200000000</v>
      </c>
      <c r="CS20" s="75">
        <f>'[1]UNIV 2019'!AA26</f>
        <v>200000000</v>
      </c>
      <c r="CT20" s="75">
        <f t="shared" si="24"/>
        <v>0</v>
      </c>
      <c r="CU20" s="75"/>
      <c r="CV20" s="66">
        <f>'[1]Univ Comm Fund'!AB20</f>
        <v>0</v>
      </c>
      <c r="CW20" s="66">
        <f>'[1]UNIV 2019'!AB26</f>
        <v>0</v>
      </c>
      <c r="CX20" s="75">
        <f t="shared" si="25"/>
        <v>0</v>
      </c>
      <c r="CY20" s="75"/>
      <c r="CZ20" s="75">
        <f>'[1]Univ Comm Fund'!AC20</f>
        <v>356000000</v>
      </c>
      <c r="DA20" s="75">
        <f>'[1]UNIV 2019'!AC26</f>
        <v>356000000</v>
      </c>
      <c r="DB20" s="75">
        <f t="shared" si="26"/>
        <v>0</v>
      </c>
      <c r="DC20" s="75"/>
      <c r="DD20" s="75">
        <f>'[1]Univ Comm Fund'!AD20</f>
        <v>20000000</v>
      </c>
      <c r="DE20" s="75">
        <f>'[1]UNIV 2019'!AD26</f>
        <v>0</v>
      </c>
      <c r="DF20" s="75">
        <f t="shared" si="27"/>
        <v>20000000</v>
      </c>
      <c r="DG20" s="75"/>
      <c r="DH20" s="75">
        <f>'[1]Univ Comm Fund'!AE20</f>
        <v>552000000</v>
      </c>
      <c r="DI20" s="75">
        <f>'[1]UNIV 2019'!AE26</f>
        <v>552000000</v>
      </c>
      <c r="DJ20" s="75">
        <f t="shared" si="28"/>
        <v>0</v>
      </c>
      <c r="DK20" s="75"/>
      <c r="DL20" s="75">
        <f>'[1]Univ Comm Fund'!AF20</f>
        <v>20000000</v>
      </c>
      <c r="DM20" s="75">
        <f>'[1]UNIV 2019'!AF26</f>
        <v>20000000</v>
      </c>
      <c r="DN20" s="75">
        <f t="shared" si="29"/>
        <v>0</v>
      </c>
      <c r="DO20" s="75"/>
      <c r="DP20" s="75">
        <f>'[1]Univ Comm Fund'!AG20</f>
        <v>250000000</v>
      </c>
      <c r="DQ20" s="75">
        <f>'[1]UNIV 2019'!AG26</f>
        <v>250000000</v>
      </c>
      <c r="DR20" s="75">
        <f t="shared" si="30"/>
        <v>0</v>
      </c>
      <c r="DS20" s="75"/>
      <c r="DT20" s="66">
        <f>'[1]Univ Comm Fund'!AH20</f>
        <v>100000000</v>
      </c>
      <c r="DU20" s="75">
        <f>'[1]UNIV 2019'!AH26</f>
        <v>0</v>
      </c>
      <c r="DV20" s="66">
        <f t="shared" si="31"/>
        <v>100000000</v>
      </c>
      <c r="DW20" s="75"/>
      <c r="DX20" s="66">
        <f>'[1]Univ Comm Fund'!AI20</f>
        <v>15000000</v>
      </c>
      <c r="DY20" s="75">
        <f>'[1]UNIV 2019'!AI26</f>
        <v>15000000</v>
      </c>
      <c r="DZ20" s="66">
        <f t="shared" si="32"/>
        <v>0</v>
      </c>
      <c r="EA20" s="75"/>
      <c r="EB20" s="66">
        <f>'[1]Univ Comm Fund'!AJ20</f>
        <v>2000000</v>
      </c>
      <c r="EC20" s="75">
        <f>'[1]UNIV 2019'!AJ26</f>
        <v>0</v>
      </c>
      <c r="ED20" s="66">
        <f t="shared" si="33"/>
        <v>2000000</v>
      </c>
      <c r="EE20" s="75"/>
      <c r="EF20" s="66">
        <f>'[1]Univ Comm Fund'!AK20</f>
        <v>10000000</v>
      </c>
      <c r="EG20" s="75">
        <f>'[1]UNIV 2019'!AK26</f>
        <v>0</v>
      </c>
      <c r="EH20" s="66">
        <f t="shared" si="34"/>
        <v>10000000</v>
      </c>
      <c r="EI20" s="66"/>
      <c r="EJ20" s="66">
        <f>'[1]Univ Comm Fund'!AL20</f>
        <v>50000000</v>
      </c>
      <c r="EK20" s="66">
        <f>'[1]UNIV 2019'!AL26</f>
        <v>50000000</v>
      </c>
      <c r="EL20" s="66">
        <f t="shared" si="35"/>
        <v>0</v>
      </c>
      <c r="EM20" s="75"/>
      <c r="EN20" s="80">
        <f>'[1]Univ Comm Fund'!AM20</f>
        <v>565410000</v>
      </c>
      <c r="EO20" s="75">
        <f>'[1]UNIV 2019'!AM26</f>
        <v>480598500</v>
      </c>
      <c r="EP20" s="75">
        <f t="shared" si="36"/>
        <v>84811500</v>
      </c>
      <c r="EQ20" s="75"/>
      <c r="ER20" s="75">
        <f>'[1]Univ Comm Fund'!AN20</f>
        <v>15000000</v>
      </c>
      <c r="ES20" s="75">
        <f>'[1]UNIV 2019'!AN26</f>
        <v>15000000</v>
      </c>
      <c r="ET20" s="75">
        <f t="shared" si="37"/>
        <v>0</v>
      </c>
      <c r="EU20" s="75"/>
      <c r="EV20" s="75">
        <f>'[1]Univ Comm Fund'!AO20</f>
        <v>15000000</v>
      </c>
      <c r="EW20" s="75">
        <f>'[1]UNIV 2019'!AO26</f>
        <v>0</v>
      </c>
      <c r="EX20" s="75">
        <f t="shared" si="38"/>
        <v>15000000</v>
      </c>
      <c r="EY20" s="75"/>
      <c r="EZ20" s="75">
        <f>'[1]Univ Comm Fund'!AP20</f>
        <v>10000000</v>
      </c>
      <c r="FA20" s="75">
        <f>'[1]UNIV 2019'!AP26</f>
        <v>0</v>
      </c>
      <c r="FB20" s="75">
        <f t="shared" si="39"/>
        <v>10000000</v>
      </c>
      <c r="FC20" s="75"/>
      <c r="FD20" s="75">
        <f>'[1]Univ Comm Fund'!AQ20</f>
        <v>0</v>
      </c>
      <c r="FE20" s="75">
        <f>'[1]UNIV 2019'!AQ26</f>
        <v>0</v>
      </c>
      <c r="FF20" s="75">
        <f t="shared" si="40"/>
        <v>0</v>
      </c>
      <c r="FG20" s="75"/>
      <c r="FH20" s="75">
        <f>'[1]Univ Comm Fund'!AR20</f>
        <v>0</v>
      </c>
      <c r="FI20" s="75">
        <f>'[1]UNIV 2019'!AR26</f>
        <v>0</v>
      </c>
      <c r="FJ20" s="75">
        <f t="shared" si="41"/>
        <v>0</v>
      </c>
      <c r="FK20" s="75"/>
      <c r="FL20" s="75">
        <f>'[1]Univ Comm Fund'!AS20</f>
        <v>300000000</v>
      </c>
      <c r="FM20" s="75">
        <f>'[1]UNIV 2019'!AS26</f>
        <v>0</v>
      </c>
      <c r="FN20" s="75">
        <f t="shared" si="42"/>
        <v>300000000</v>
      </c>
      <c r="FO20" s="75"/>
      <c r="FP20" s="75">
        <f>'[1]Univ Comm Fund'!AT20</f>
        <v>120000000</v>
      </c>
      <c r="FQ20" s="75">
        <f>'[1]UNIV 2019'!AT26</f>
        <v>0</v>
      </c>
      <c r="FR20" s="75">
        <f t="shared" si="43"/>
        <v>120000000</v>
      </c>
      <c r="FS20" s="75"/>
      <c r="FT20" s="75">
        <f>'[1]Univ Comm Fund'!AU20</f>
        <v>10000000</v>
      </c>
      <c r="FU20" s="75">
        <f>'[1]UNIV 2019'!AU26</f>
        <v>0</v>
      </c>
      <c r="FV20" s="75">
        <f t="shared" si="44"/>
        <v>10000000</v>
      </c>
      <c r="FW20" s="75"/>
      <c r="FX20" s="75">
        <f>'[1]Univ Comm Fund'!AV20</f>
        <v>5000000</v>
      </c>
      <c r="FY20" s="75">
        <f>'[1]UNIV 2019'!AV26</f>
        <v>0</v>
      </c>
      <c r="FZ20" s="75">
        <f t="shared" si="45"/>
        <v>5000000</v>
      </c>
      <c r="GA20" s="75"/>
      <c r="GB20" s="75">
        <f>'[1]Univ Comm Fund'!AW20</f>
        <v>10000000</v>
      </c>
      <c r="GC20" s="75">
        <f>'[1]UNIV 2019'!AW26</f>
        <v>0</v>
      </c>
      <c r="GD20" s="75">
        <f t="shared" si="46"/>
        <v>10000000</v>
      </c>
      <c r="GE20" s="75"/>
      <c r="GF20" s="75">
        <f>'[1]Univ Comm Fund'!AX20</f>
        <v>0</v>
      </c>
      <c r="GG20" s="75">
        <f>'[1]UNIV 2019'!AX26</f>
        <v>0</v>
      </c>
      <c r="GH20" s="75">
        <f t="shared" si="47"/>
        <v>0</v>
      </c>
      <c r="GI20" s="75"/>
      <c r="GJ20" s="75">
        <f>'[1]Univ Comm Fund'!AY20</f>
        <v>350000000</v>
      </c>
      <c r="GK20" s="75">
        <f>'[1]UNIV 2019'!AY26</f>
        <v>0</v>
      </c>
      <c r="GL20" s="75">
        <f t="shared" si="48"/>
        <v>350000000</v>
      </c>
      <c r="GM20" s="75"/>
      <c r="GN20" s="75">
        <f>'[1]Univ Comm Fund'!AZ20</f>
        <v>175823700</v>
      </c>
      <c r="GO20" s="75">
        <f>'[1]UNIV 2019'!AZ26</f>
        <v>0</v>
      </c>
      <c r="GP20" s="75">
        <f t="shared" si="49"/>
        <v>175823700</v>
      </c>
      <c r="GQ20" s="75"/>
      <c r="GR20" s="75">
        <f>'[1]Univ Comm Fund'!BA20</f>
        <v>20000000</v>
      </c>
      <c r="GS20" s="75">
        <f>'[1]UNIV 2019'!BA26</f>
        <v>0</v>
      </c>
      <c r="GT20" s="75">
        <f t="shared" si="50"/>
        <v>20000000</v>
      </c>
      <c r="GU20" s="75"/>
      <c r="GV20" s="75">
        <f>'[1]Univ Comm Fund'!BB20</f>
        <v>5000000</v>
      </c>
      <c r="GW20" s="75">
        <f>'[1]UNIV 2019'!BB26</f>
        <v>0</v>
      </c>
      <c r="GX20" s="75">
        <f t="shared" si="51"/>
        <v>5000000</v>
      </c>
      <c r="GY20" s="75"/>
      <c r="GZ20" s="75">
        <f>'[1]Univ Comm Fund'!BC20</f>
        <v>10000000</v>
      </c>
      <c r="HA20" s="75">
        <f>'[1]UNIV 2019'!BD26</f>
        <v>0</v>
      </c>
      <c r="HB20" s="75">
        <f t="shared" si="52"/>
        <v>10000000</v>
      </c>
      <c r="HC20" s="75"/>
      <c r="HD20" s="75">
        <f>'[1]Univ Comm Fund'!BD20</f>
        <v>0</v>
      </c>
      <c r="HE20" s="75">
        <f>'[1]UNIV 2019'!BC26</f>
        <v>0</v>
      </c>
      <c r="HF20" s="75">
        <f t="shared" si="53"/>
        <v>0</v>
      </c>
      <c r="HG20" s="75"/>
      <c r="HH20" s="75">
        <f t="shared" si="54"/>
        <v>4739401476.6700001</v>
      </c>
      <c r="HI20" s="75">
        <f t="shared" si="54"/>
        <v>3491766276.6700001</v>
      </c>
      <c r="HJ20" s="82">
        <f t="shared" si="55"/>
        <v>1247635200</v>
      </c>
      <c r="HK20" s="3"/>
      <c r="HL20" s="83">
        <f t="shared" si="56"/>
        <v>3426577776.6700001</v>
      </c>
      <c r="HM20" s="83">
        <f t="shared" si="56"/>
        <v>2591766276.6700001</v>
      </c>
      <c r="HN20" s="84">
        <f t="shared" si="57"/>
        <v>834811500</v>
      </c>
      <c r="HP20" s="83">
        <f t="shared" si="58"/>
        <v>775000000</v>
      </c>
      <c r="HQ20" s="83">
        <f t="shared" si="58"/>
        <v>775000000</v>
      </c>
      <c r="HR20" s="84">
        <f t="shared" si="59"/>
        <v>0</v>
      </c>
      <c r="HT20" s="83">
        <f t="shared" si="60"/>
        <v>145000000</v>
      </c>
      <c r="HU20" s="83">
        <f t="shared" si="60"/>
        <v>95000000</v>
      </c>
      <c r="HV20" s="84">
        <f t="shared" si="61"/>
        <v>50000000</v>
      </c>
      <c r="HX20" s="83">
        <f t="shared" si="62"/>
        <v>60000000</v>
      </c>
      <c r="HY20" s="83">
        <f t="shared" si="62"/>
        <v>30000000</v>
      </c>
      <c r="HZ20" s="84">
        <f t="shared" si="63"/>
        <v>30000000</v>
      </c>
      <c r="IB20" s="83">
        <f t="shared" si="64"/>
        <v>35000000</v>
      </c>
      <c r="IC20" s="83">
        <f t="shared" si="64"/>
        <v>0</v>
      </c>
      <c r="ID20" s="84">
        <f t="shared" si="65"/>
        <v>35000000</v>
      </c>
      <c r="IF20" s="83">
        <f t="shared" si="3"/>
        <v>2000000</v>
      </c>
      <c r="IG20" s="83">
        <f t="shared" si="3"/>
        <v>0</v>
      </c>
      <c r="IH20" s="84">
        <f t="shared" si="66"/>
        <v>2000000</v>
      </c>
      <c r="IJ20" s="84">
        <f t="shared" si="67"/>
        <v>295823700</v>
      </c>
      <c r="IK20" s="84">
        <f t="shared" si="67"/>
        <v>0</v>
      </c>
      <c r="IL20" s="84">
        <f t="shared" si="68"/>
        <v>295823700</v>
      </c>
    </row>
    <row r="21" spans="1:246" s="85" customFormat="1" x14ac:dyDescent="0.25">
      <c r="A21" s="73">
        <v>16</v>
      </c>
      <c r="B21" s="74" t="s">
        <v>80</v>
      </c>
      <c r="C21" s="73" t="s">
        <v>76</v>
      </c>
      <c r="D21" s="75">
        <f>'[1]Univ Comm Fund'!D21</f>
        <v>59027776.670000002</v>
      </c>
      <c r="E21" s="75">
        <f>'[1]UNIV 2019'!D27</f>
        <v>59027776.670000002</v>
      </c>
      <c r="F21" s="75">
        <f t="shared" si="4"/>
        <v>0</v>
      </c>
      <c r="G21" s="75"/>
      <c r="H21" s="75">
        <f>'[1]Univ Comm Fund'!E21</f>
        <v>20000000</v>
      </c>
      <c r="I21" s="75">
        <f>'[1]UNIV 2019'!E27</f>
        <v>20000000</v>
      </c>
      <c r="J21" s="75">
        <f t="shared" si="5"/>
        <v>0</v>
      </c>
      <c r="K21" s="75"/>
      <c r="L21" s="75">
        <f>'[1]Univ Comm Fund'!F21</f>
        <v>40000000</v>
      </c>
      <c r="M21" s="75">
        <f>'[1]UNIV 2019'!F27</f>
        <v>40000000</v>
      </c>
      <c r="N21" s="75">
        <f t="shared" si="6"/>
        <v>0</v>
      </c>
      <c r="O21" s="75"/>
      <c r="P21" s="75">
        <f>'[1]Univ Comm Fund'!G21</f>
        <v>0</v>
      </c>
      <c r="Q21" s="75">
        <f>'[1]UNIV 2019'!G27</f>
        <v>0</v>
      </c>
      <c r="R21" s="75">
        <f t="shared" si="7"/>
        <v>0</v>
      </c>
      <c r="S21" s="76"/>
      <c r="T21" s="75">
        <f>'[1]Univ Comm Fund'!H21</f>
        <v>50000000</v>
      </c>
      <c r="U21" s="75">
        <f>'[1]UNIV 2019'!H27</f>
        <v>50000000</v>
      </c>
      <c r="V21" s="75">
        <f t="shared" si="8"/>
        <v>0</v>
      </c>
      <c r="W21" s="75"/>
      <c r="X21" s="75">
        <f>'[1]Univ Comm Fund'!I21</f>
        <v>25000000</v>
      </c>
      <c r="Y21" s="75">
        <f>'[1]UNIV 2019'!I27</f>
        <v>25000000</v>
      </c>
      <c r="Z21" s="75">
        <f t="shared" si="9"/>
        <v>0</v>
      </c>
      <c r="AA21" s="75"/>
      <c r="AB21" s="75">
        <f>'[1]Univ Comm Fund'!J21</f>
        <v>30000000</v>
      </c>
      <c r="AC21" s="75">
        <f>'[1]UNIV 2019'!J27</f>
        <v>30000000</v>
      </c>
      <c r="AD21" s="75">
        <f t="shared" si="10"/>
        <v>0</v>
      </c>
      <c r="AE21" s="75"/>
      <c r="AF21" s="77">
        <f>'[1]Univ Comm Fund'!K21</f>
        <v>30000000</v>
      </c>
      <c r="AG21" s="75">
        <f>'[1]UNIV 2019'!K27</f>
        <v>30000000</v>
      </c>
      <c r="AH21" s="75">
        <f t="shared" si="11"/>
        <v>0</v>
      </c>
      <c r="AI21" s="77"/>
      <c r="AJ21" s="75">
        <f>'[1]Univ Comm Fund'!L21</f>
        <v>0</v>
      </c>
      <c r="AK21" s="75">
        <f>'[1]UNIV 2019'!L27</f>
        <v>0</v>
      </c>
      <c r="AL21" s="75">
        <f t="shared" si="12"/>
        <v>0</v>
      </c>
      <c r="AM21" s="75"/>
      <c r="AN21" s="75">
        <f>'[1]Univ Comm Fund'!M21</f>
        <v>40000000</v>
      </c>
      <c r="AO21" s="75">
        <f>'[1]UNIV 2019'!M27</f>
        <v>40000000</v>
      </c>
      <c r="AP21" s="75">
        <f t="shared" si="13"/>
        <v>0</v>
      </c>
      <c r="AQ21" s="75"/>
      <c r="AR21" s="75">
        <f>'[1]Univ Comm Fund'!N21</f>
        <v>0</v>
      </c>
      <c r="AS21" s="75">
        <f>'[1]UNIV 2019'!N27</f>
        <v>0</v>
      </c>
      <c r="AT21" s="75">
        <f t="shared" si="14"/>
        <v>0</v>
      </c>
      <c r="AU21" s="75"/>
      <c r="AV21" s="75">
        <f>'[1]Univ Comm Fund'!O21</f>
        <v>40000000</v>
      </c>
      <c r="AW21" s="75">
        <f>'[1]UNIV 2019'!O27</f>
        <v>40000000</v>
      </c>
      <c r="AX21" s="75">
        <f t="shared" si="15"/>
        <v>0</v>
      </c>
      <c r="AY21" s="75"/>
      <c r="AZ21" s="75">
        <f>'[1]Univ Comm Fund'!P21</f>
        <v>0</v>
      </c>
      <c r="BA21" s="75">
        <f>'[1]UNIV 2019'!P27</f>
        <v>0</v>
      </c>
      <c r="BB21" s="75">
        <f t="shared" si="0"/>
        <v>0</v>
      </c>
      <c r="BC21" s="75"/>
      <c r="BD21" s="75">
        <f>'[1]Univ Comm Fund'!Q21</f>
        <v>52000000</v>
      </c>
      <c r="BE21" s="75">
        <f>'[1]UNIV 2019'!Q27</f>
        <v>52000000</v>
      </c>
      <c r="BF21" s="75">
        <f t="shared" si="1"/>
        <v>0</v>
      </c>
      <c r="BG21" s="75"/>
      <c r="BH21" s="75">
        <f>'[1]Univ Comm Fund'!R21</f>
        <v>67000000</v>
      </c>
      <c r="BI21" s="75">
        <f>'[1]UNIV 2019'!R27</f>
        <v>67000000</v>
      </c>
      <c r="BJ21" s="75">
        <f t="shared" si="16"/>
        <v>0</v>
      </c>
      <c r="BK21" s="75"/>
      <c r="BL21" s="75">
        <f>'[1]Univ Comm Fund'!S21</f>
        <v>57000000</v>
      </c>
      <c r="BM21" s="75">
        <f>'[1]UNIV 2019'!S27</f>
        <v>57000000</v>
      </c>
      <c r="BN21" s="75">
        <f t="shared" si="17"/>
        <v>0</v>
      </c>
      <c r="BO21" s="75"/>
      <c r="BP21" s="93">
        <f>'[1]Univ Comm Fund'!T21</f>
        <v>138342820</v>
      </c>
      <c r="BQ21" s="75">
        <f>'[1]UNIV 2019'!T27</f>
        <v>138342820</v>
      </c>
      <c r="BR21" s="75">
        <f t="shared" si="18"/>
        <v>0</v>
      </c>
      <c r="BS21" s="93"/>
      <c r="BT21" s="75">
        <f>'[1]Univ Comm Fund'!U21</f>
        <v>193140000</v>
      </c>
      <c r="BU21" s="75">
        <f>'[1]UNIV 2019'!U27</f>
        <v>193140000</v>
      </c>
      <c r="BV21" s="75">
        <f t="shared" si="2"/>
        <v>0</v>
      </c>
      <c r="BW21" s="75"/>
      <c r="BX21" s="75">
        <f>'[1]Univ Comm Fund'!V21</f>
        <v>0</v>
      </c>
      <c r="BY21" s="75">
        <f>'[1]UNIV 2019'!V27</f>
        <v>0</v>
      </c>
      <c r="BZ21" s="75">
        <f t="shared" si="19"/>
        <v>0</v>
      </c>
      <c r="CA21" s="75"/>
      <c r="CB21" s="75">
        <f>'[1]Univ Comm Fund'!W21</f>
        <v>175000000</v>
      </c>
      <c r="CC21" s="75">
        <f>'[1]UNIV 2019'!W27</f>
        <v>175000000</v>
      </c>
      <c r="CD21" s="75">
        <f t="shared" si="20"/>
        <v>0</v>
      </c>
      <c r="CE21" s="75"/>
      <c r="CF21" s="75">
        <v>75000000</v>
      </c>
      <c r="CG21" s="75">
        <f>'[1]UNIV 2019'!X27</f>
        <v>75000000</v>
      </c>
      <c r="CH21" s="75">
        <f t="shared" si="21"/>
        <v>0</v>
      </c>
      <c r="CI21" s="75"/>
      <c r="CJ21" s="75">
        <f>'[1]Univ Comm Fund'!Y21</f>
        <v>200000000</v>
      </c>
      <c r="CK21" s="75">
        <f>'[1]UNIV 2019'!Y27</f>
        <v>200000000</v>
      </c>
      <c r="CL21" s="75">
        <f t="shared" si="22"/>
        <v>0</v>
      </c>
      <c r="CM21" s="75"/>
      <c r="CN21" s="78">
        <f>'[1]Univ Comm Fund'!Z21</f>
        <v>350000000</v>
      </c>
      <c r="CO21" s="75">
        <f>'[1]UNIV 2019'!Z27</f>
        <v>350000000</v>
      </c>
      <c r="CP21" s="75">
        <f t="shared" si="23"/>
        <v>0</v>
      </c>
      <c r="CQ21" s="78"/>
      <c r="CR21" s="75">
        <f>'[1]Univ Comm Fund'!AA21</f>
        <v>737000000</v>
      </c>
      <c r="CS21" s="75">
        <f>'[1]UNIV 2019'!AA27</f>
        <v>671450000</v>
      </c>
      <c r="CT21" s="75">
        <f t="shared" si="24"/>
        <v>65550000</v>
      </c>
      <c r="CU21" s="75"/>
      <c r="CV21" s="75">
        <f>'[1]Univ Comm Fund'!AB21</f>
        <v>150000000</v>
      </c>
      <c r="CW21" s="75">
        <f>'[1]UNIV 2019'!AB27</f>
        <v>150000000</v>
      </c>
      <c r="CX21" s="75">
        <f t="shared" si="25"/>
        <v>0</v>
      </c>
      <c r="CY21" s="75"/>
      <c r="CZ21" s="75">
        <f>'[1]Univ Comm Fund'!AC21</f>
        <v>356000000</v>
      </c>
      <c r="DA21" s="75">
        <f>'[1]UNIV 2019'!AC27</f>
        <v>227840000</v>
      </c>
      <c r="DB21" s="75">
        <f t="shared" si="26"/>
        <v>128160000</v>
      </c>
      <c r="DC21" s="75"/>
      <c r="DD21" s="75">
        <f>'[1]Univ Comm Fund'!AD21</f>
        <v>20000000</v>
      </c>
      <c r="DE21" s="75">
        <f>'[1]UNIV 2019'!AD27</f>
        <v>17000000</v>
      </c>
      <c r="DF21" s="75">
        <f t="shared" si="27"/>
        <v>3000000</v>
      </c>
      <c r="DG21" s="75"/>
      <c r="DH21" s="75">
        <f>'[1]Univ Comm Fund'!AE21</f>
        <v>552000000</v>
      </c>
      <c r="DI21" s="75">
        <f>'[1]UNIV 2019'!AE27</f>
        <v>353280000</v>
      </c>
      <c r="DJ21" s="75">
        <f t="shared" si="28"/>
        <v>198720000</v>
      </c>
      <c r="DK21" s="75"/>
      <c r="DL21" s="75">
        <f>'[1]Univ Comm Fund'!AF21</f>
        <v>20000000</v>
      </c>
      <c r="DM21" s="75">
        <f>'[1]UNIV 2019'!AF27</f>
        <v>17000000</v>
      </c>
      <c r="DN21" s="75">
        <f t="shared" si="29"/>
        <v>3000000</v>
      </c>
      <c r="DO21" s="75"/>
      <c r="DP21" s="75">
        <f>'[1]Univ Comm Fund'!AG21</f>
        <v>82400000</v>
      </c>
      <c r="DQ21" s="75">
        <f>'[1]UNIV 2019'!AG27</f>
        <v>79400000</v>
      </c>
      <c r="DR21" s="75">
        <f t="shared" si="30"/>
        <v>3000000</v>
      </c>
      <c r="DS21" s="75"/>
      <c r="DT21" s="66">
        <f>'[1]Univ Comm Fund'!AH21</f>
        <v>100000000</v>
      </c>
      <c r="DU21" s="75">
        <f>'[1]UNIV 2019'!AH27</f>
        <v>64000000</v>
      </c>
      <c r="DV21" s="66">
        <f t="shared" si="31"/>
        <v>36000000</v>
      </c>
      <c r="DW21" s="75"/>
      <c r="DX21" s="66">
        <f>'[1]Univ Comm Fund'!AI21</f>
        <v>15000000</v>
      </c>
      <c r="DY21" s="75">
        <f>'[1]UNIV 2019'!AI27</f>
        <v>15000000</v>
      </c>
      <c r="DZ21" s="66">
        <f t="shared" si="32"/>
        <v>0</v>
      </c>
      <c r="EA21" s="75"/>
      <c r="EB21" s="66">
        <f>'[1]Univ Comm Fund'!AJ21</f>
        <v>2000000</v>
      </c>
      <c r="EC21" s="75">
        <f>'[1]UNIV 2019'!AJ27</f>
        <v>0</v>
      </c>
      <c r="ED21" s="66">
        <f t="shared" si="33"/>
        <v>2000000</v>
      </c>
      <c r="EE21" s="75"/>
      <c r="EF21" s="66">
        <f>'[1]Univ Comm Fund'!AK21</f>
        <v>10000000</v>
      </c>
      <c r="EG21" s="75">
        <f>'[1]UNIV 2019'!AK27</f>
        <v>8500000</v>
      </c>
      <c r="EH21" s="66">
        <f t="shared" si="34"/>
        <v>1500000</v>
      </c>
      <c r="EI21" s="66"/>
      <c r="EJ21" s="66">
        <f>'[1]Univ Comm Fund'!AL21</f>
        <v>1500000000</v>
      </c>
      <c r="EK21" s="66">
        <f>'[1]UNIV 2019'!AL27</f>
        <v>1380000000</v>
      </c>
      <c r="EL21" s="66">
        <f t="shared" si="35"/>
        <v>120000000</v>
      </c>
      <c r="EM21" s="75"/>
      <c r="EN21" s="80">
        <f>'[1]Univ Comm Fund'!AM21</f>
        <v>565410000</v>
      </c>
      <c r="EO21" s="75">
        <f>'[1]UNIV 2019'!AM27</f>
        <v>0</v>
      </c>
      <c r="EP21" s="75">
        <f t="shared" si="36"/>
        <v>565410000</v>
      </c>
      <c r="EQ21" s="75"/>
      <c r="ER21" s="75">
        <f>'[1]Univ Comm Fund'!AN21</f>
        <v>15000000</v>
      </c>
      <c r="ES21" s="75">
        <f>'[1]UNIV 2019'!AN27</f>
        <v>15000000</v>
      </c>
      <c r="ET21" s="75">
        <f t="shared" si="37"/>
        <v>0</v>
      </c>
      <c r="EU21" s="75"/>
      <c r="EV21" s="75">
        <f>'[1]Univ Comm Fund'!AO21</f>
        <v>15000000</v>
      </c>
      <c r="EW21" s="75">
        <f>'[1]UNIV 2019'!AO27</f>
        <v>0</v>
      </c>
      <c r="EX21" s="75">
        <f t="shared" si="38"/>
        <v>15000000</v>
      </c>
      <c r="EY21" s="75"/>
      <c r="EZ21" s="75">
        <f>'[1]Univ Comm Fund'!AP21</f>
        <v>10000000</v>
      </c>
      <c r="FA21" s="75">
        <f>'[1]UNIV 2019'!AP27</f>
        <v>8500000</v>
      </c>
      <c r="FB21" s="75">
        <f t="shared" si="39"/>
        <v>1500000</v>
      </c>
      <c r="FC21" s="75"/>
      <c r="FD21" s="75">
        <f>'[1]Univ Comm Fund'!AQ21</f>
        <v>0</v>
      </c>
      <c r="FE21" s="75">
        <f>'[1]UNIV 2019'!AQ27</f>
        <v>0</v>
      </c>
      <c r="FF21" s="75">
        <f t="shared" si="40"/>
        <v>0</v>
      </c>
      <c r="FG21" s="75"/>
      <c r="FH21" s="81">
        <f>'[1]Univ Comm Fund'!AR21</f>
        <v>300000000</v>
      </c>
      <c r="FI21" s="75">
        <f>'[1]UNIV 2019'!AR27</f>
        <v>255000000</v>
      </c>
      <c r="FJ21" s="75">
        <f t="shared" si="41"/>
        <v>45000000</v>
      </c>
      <c r="FK21" s="75"/>
      <c r="FL21" s="75">
        <f>'[1]Univ Comm Fund'!AS21</f>
        <v>300000000</v>
      </c>
      <c r="FM21" s="75">
        <f>'[1]UNIV 2019'!AS27</f>
        <v>0</v>
      </c>
      <c r="FN21" s="75">
        <f t="shared" si="42"/>
        <v>300000000</v>
      </c>
      <c r="FO21" s="75"/>
      <c r="FP21" s="75">
        <f>'[1]Univ Comm Fund'!AT21</f>
        <v>120000000</v>
      </c>
      <c r="FQ21" s="75">
        <f>'[1]UNIV 2019'!AT27</f>
        <v>63600000</v>
      </c>
      <c r="FR21" s="75">
        <f t="shared" si="43"/>
        <v>56400000</v>
      </c>
      <c r="FS21" s="75"/>
      <c r="FT21" s="75">
        <f>'[1]Univ Comm Fund'!AU21</f>
        <v>10000000</v>
      </c>
      <c r="FU21" s="75">
        <f>'[1]UNIV 2019'!AU27</f>
        <v>0</v>
      </c>
      <c r="FV21" s="75">
        <f t="shared" si="44"/>
        <v>10000000</v>
      </c>
      <c r="FW21" s="75"/>
      <c r="FX21" s="75">
        <f>'[1]Univ Comm Fund'!AV21</f>
        <v>5000000</v>
      </c>
      <c r="FY21" s="75">
        <f>'[1]UNIV 2019'!AV27</f>
        <v>0</v>
      </c>
      <c r="FZ21" s="75">
        <f t="shared" si="45"/>
        <v>5000000</v>
      </c>
      <c r="GA21" s="75"/>
      <c r="GB21" s="75">
        <f>'[1]Univ Comm Fund'!AW21</f>
        <v>10000000</v>
      </c>
      <c r="GC21" s="75">
        <f>'[1]UNIV 2019'!AW27</f>
        <v>0</v>
      </c>
      <c r="GD21" s="75">
        <f t="shared" si="46"/>
        <v>10000000</v>
      </c>
      <c r="GE21" s="75"/>
      <c r="GF21" s="75">
        <f>'[1]Univ Comm Fund'!AX21</f>
        <v>0</v>
      </c>
      <c r="GG21" s="75">
        <f>'[1]UNIV 2019'!AX27</f>
        <v>0</v>
      </c>
      <c r="GH21" s="75">
        <f t="shared" si="47"/>
        <v>0</v>
      </c>
      <c r="GI21" s="75"/>
      <c r="GJ21" s="75">
        <f>'[1]Univ Comm Fund'!AY21</f>
        <v>350000000</v>
      </c>
      <c r="GK21" s="75">
        <f>'[1]UNIV 2019'!AY27</f>
        <v>0</v>
      </c>
      <c r="GL21" s="75">
        <f t="shared" si="48"/>
        <v>350000000</v>
      </c>
      <c r="GM21" s="75"/>
      <c r="GN21" s="75">
        <f>'[1]Univ Comm Fund'!AZ21</f>
        <v>175823700</v>
      </c>
      <c r="GO21" s="75">
        <f>'[1]UNIV 2019'!AZ27</f>
        <v>0</v>
      </c>
      <c r="GP21" s="75">
        <f t="shared" si="49"/>
        <v>175823700</v>
      </c>
      <c r="GQ21" s="75"/>
      <c r="GR21" s="75">
        <f>'[1]Univ Comm Fund'!BA21</f>
        <v>20000000</v>
      </c>
      <c r="GS21" s="75">
        <f>'[1]UNIV 2019'!BA27</f>
        <v>0</v>
      </c>
      <c r="GT21" s="75">
        <f t="shared" si="50"/>
        <v>20000000</v>
      </c>
      <c r="GU21" s="75"/>
      <c r="GV21" s="75">
        <f>'[1]Univ Comm Fund'!BB21</f>
        <v>5000000</v>
      </c>
      <c r="GW21" s="75">
        <f>'[1]UNIV 2019'!BB27</f>
        <v>0</v>
      </c>
      <c r="GX21" s="75">
        <f t="shared" si="51"/>
        <v>5000000</v>
      </c>
      <c r="GY21" s="75"/>
      <c r="GZ21" s="75">
        <f>'[1]Univ Comm Fund'!BC21</f>
        <v>10000000</v>
      </c>
      <c r="HA21" s="75">
        <f>'[1]UNIV 2019'!BD27</f>
        <v>0</v>
      </c>
      <c r="HB21" s="75">
        <f t="shared" si="52"/>
        <v>10000000</v>
      </c>
      <c r="HC21" s="75"/>
      <c r="HD21" s="75">
        <f>'[1]Univ Comm Fund'!BD21</f>
        <v>0</v>
      </c>
      <c r="HE21" s="75">
        <f>'[1]UNIV 2019'!BC27</f>
        <v>0</v>
      </c>
      <c r="HF21" s="75">
        <f t="shared" si="53"/>
        <v>0</v>
      </c>
      <c r="HG21" s="75"/>
      <c r="HH21" s="75">
        <f t="shared" si="54"/>
        <v>7097144296.6700001</v>
      </c>
      <c r="HI21" s="75">
        <f t="shared" si="54"/>
        <v>4967080596.6700001</v>
      </c>
      <c r="HJ21" s="82">
        <f t="shared" si="55"/>
        <v>2130063700</v>
      </c>
      <c r="HK21" s="3"/>
      <c r="HL21" s="83">
        <f t="shared" si="56"/>
        <v>3426577776.6700001</v>
      </c>
      <c r="HM21" s="83">
        <f t="shared" si="56"/>
        <v>1848287776.6700001</v>
      </c>
      <c r="HN21" s="84">
        <f t="shared" si="57"/>
        <v>1578290000</v>
      </c>
      <c r="HP21" s="83">
        <f t="shared" si="58"/>
        <v>2807742820</v>
      </c>
      <c r="HQ21" s="83">
        <f t="shared" si="58"/>
        <v>2619192820</v>
      </c>
      <c r="HR21" s="84">
        <f t="shared" si="59"/>
        <v>188550000</v>
      </c>
      <c r="HT21" s="83">
        <f t="shared" si="60"/>
        <v>145000000</v>
      </c>
      <c r="HU21" s="83">
        <f t="shared" si="60"/>
        <v>126000000</v>
      </c>
      <c r="HV21" s="84">
        <f t="shared" si="61"/>
        <v>19000000</v>
      </c>
      <c r="HX21" s="83">
        <f t="shared" si="62"/>
        <v>60000000</v>
      </c>
      <c r="HY21" s="83">
        <f t="shared" si="62"/>
        <v>30000000</v>
      </c>
      <c r="HZ21" s="84">
        <f t="shared" si="63"/>
        <v>30000000</v>
      </c>
      <c r="IB21" s="83">
        <f t="shared" si="64"/>
        <v>35000000</v>
      </c>
      <c r="IC21" s="83">
        <f t="shared" si="64"/>
        <v>0</v>
      </c>
      <c r="ID21" s="84">
        <f t="shared" si="65"/>
        <v>35000000</v>
      </c>
      <c r="IF21" s="83">
        <f t="shared" si="3"/>
        <v>2000000</v>
      </c>
      <c r="IG21" s="83">
        <f t="shared" si="3"/>
        <v>0</v>
      </c>
      <c r="IH21" s="84">
        <f t="shared" si="66"/>
        <v>2000000</v>
      </c>
      <c r="IJ21" s="84">
        <f t="shared" si="67"/>
        <v>595823700</v>
      </c>
      <c r="IK21" s="84">
        <f t="shared" si="67"/>
        <v>318600000</v>
      </c>
      <c r="IL21" s="84">
        <f t="shared" si="68"/>
        <v>277223700</v>
      </c>
    </row>
    <row r="22" spans="1:246" x14ac:dyDescent="0.25">
      <c r="A22" s="42">
        <v>17</v>
      </c>
      <c r="B22" s="94" t="s">
        <v>81</v>
      </c>
      <c r="C22" s="58" t="s">
        <v>74</v>
      </c>
      <c r="D22" s="66">
        <f>'[1]Univ Comm Fund'!D22</f>
        <v>59027776.670000002</v>
      </c>
      <c r="E22" s="66">
        <f>'[1]UNIV 2019'!D28</f>
        <v>59027776.600000001</v>
      </c>
      <c r="F22" s="75">
        <f t="shared" si="4"/>
        <v>7.0000000298023224E-2</v>
      </c>
      <c r="G22" s="66"/>
      <c r="H22" s="66">
        <f>'[1]Univ Comm Fund'!E22</f>
        <v>20000000</v>
      </c>
      <c r="I22" s="66">
        <f>'[1]UNIV 2019'!E28</f>
        <v>20000000</v>
      </c>
      <c r="J22" s="66">
        <f t="shared" si="5"/>
        <v>0</v>
      </c>
      <c r="K22" s="66"/>
      <c r="L22" s="66">
        <f>'[1]Univ Comm Fund'!F22</f>
        <v>40000000</v>
      </c>
      <c r="M22" s="66">
        <f>'[1]UNIV 2019'!F28</f>
        <v>40000000</v>
      </c>
      <c r="N22" s="66">
        <f t="shared" si="6"/>
        <v>0</v>
      </c>
      <c r="O22" s="66"/>
      <c r="P22" s="66">
        <f>'[1]Univ Comm Fund'!G22</f>
        <v>103000</v>
      </c>
      <c r="Q22" s="66">
        <f>'[1]UNIV 2019'!G28</f>
        <v>103000</v>
      </c>
      <c r="R22" s="66">
        <f t="shared" si="7"/>
        <v>0</v>
      </c>
      <c r="S22" s="87"/>
      <c r="T22" s="66">
        <f>'[1]Univ Comm Fund'!H22</f>
        <v>50000000</v>
      </c>
      <c r="U22" s="66">
        <f>'[1]UNIV 2019'!H28</f>
        <v>50000000</v>
      </c>
      <c r="V22" s="66">
        <f t="shared" si="8"/>
        <v>0</v>
      </c>
      <c r="W22" s="66"/>
      <c r="X22" s="66">
        <f>'[1]Univ Comm Fund'!I22</f>
        <v>0</v>
      </c>
      <c r="Y22" s="66">
        <f>'[1]UNIV 2019'!I28</f>
        <v>0</v>
      </c>
      <c r="Z22" s="66">
        <f t="shared" si="9"/>
        <v>0</v>
      </c>
      <c r="AA22" s="66"/>
      <c r="AB22" s="66">
        <f>'[1]Univ Comm Fund'!J22</f>
        <v>30000000</v>
      </c>
      <c r="AC22" s="66">
        <f>'[1]UNIV 2019'!J28</f>
        <v>30000000</v>
      </c>
      <c r="AD22" s="66">
        <f t="shared" si="10"/>
        <v>0</v>
      </c>
      <c r="AE22" s="66"/>
      <c r="AF22" s="88">
        <f>'[1]Univ Comm Fund'!K22</f>
        <v>30000000</v>
      </c>
      <c r="AG22" s="66">
        <f>'[1]UNIV 2019'!K28</f>
        <v>30000000</v>
      </c>
      <c r="AH22" s="66">
        <f t="shared" si="11"/>
        <v>0</v>
      </c>
      <c r="AI22" s="88"/>
      <c r="AJ22" s="66">
        <f>'[1]Univ Comm Fund'!L22</f>
        <v>55000000</v>
      </c>
      <c r="AK22" s="66">
        <f>'[1]UNIV 2019'!L28</f>
        <v>55000000</v>
      </c>
      <c r="AL22" s="66">
        <f t="shared" si="12"/>
        <v>0</v>
      </c>
      <c r="AM22" s="66"/>
      <c r="AN22" s="66">
        <f>'[1]Univ Comm Fund'!M22</f>
        <v>40000000</v>
      </c>
      <c r="AO22" s="66">
        <f>'[1]UNIV 2019'!M28</f>
        <v>40000000</v>
      </c>
      <c r="AP22" s="66">
        <f t="shared" si="13"/>
        <v>0</v>
      </c>
      <c r="AQ22" s="66"/>
      <c r="AR22" s="66">
        <f>'[1]Univ Comm Fund'!N22</f>
        <v>0</v>
      </c>
      <c r="AS22" s="66">
        <f>'[1]UNIV 2019'!N28</f>
        <v>0</v>
      </c>
      <c r="AT22" s="66">
        <f t="shared" si="14"/>
        <v>0</v>
      </c>
      <c r="AU22" s="66"/>
      <c r="AV22" s="66">
        <f>'[1]Univ Comm Fund'!O22</f>
        <v>40000000</v>
      </c>
      <c r="AW22" s="66">
        <f>'[1]UNIV 2019'!O28</f>
        <v>40000000</v>
      </c>
      <c r="AX22" s="66">
        <f t="shared" si="15"/>
        <v>0</v>
      </c>
      <c r="AY22" s="66"/>
      <c r="AZ22" s="66">
        <f>'[1]Univ Comm Fund'!P22</f>
        <v>0</v>
      </c>
      <c r="BA22" s="66">
        <f>'[1]UNIV 2019'!P28</f>
        <v>0</v>
      </c>
      <c r="BB22" s="66">
        <f t="shared" si="0"/>
        <v>0</v>
      </c>
      <c r="BC22" s="66"/>
      <c r="BD22" s="66">
        <f>'[1]Univ Comm Fund'!Q22</f>
        <v>52000000</v>
      </c>
      <c r="BE22" s="66">
        <f>'[1]UNIV 2019'!Q28</f>
        <v>52000000</v>
      </c>
      <c r="BF22" s="66">
        <f t="shared" si="1"/>
        <v>0</v>
      </c>
      <c r="BG22" s="66"/>
      <c r="BH22" s="66">
        <f>'[1]Univ Comm Fund'!R22</f>
        <v>67000000</v>
      </c>
      <c r="BI22" s="66">
        <f>'[1]UNIV 2019'!R28</f>
        <v>67000000</v>
      </c>
      <c r="BJ22" s="66">
        <f t="shared" si="16"/>
        <v>0</v>
      </c>
      <c r="BK22" s="66"/>
      <c r="BL22" s="66">
        <f>'[1]Univ Comm Fund'!S22</f>
        <v>48450000</v>
      </c>
      <c r="BM22" s="66">
        <f>'[1]UNIV 2019'!S28</f>
        <v>48450000</v>
      </c>
      <c r="BN22" s="66">
        <f t="shared" si="17"/>
        <v>0</v>
      </c>
      <c r="BO22" s="66"/>
      <c r="BP22" s="66">
        <f>'[1]Univ Comm Fund'!T22</f>
        <v>0</v>
      </c>
      <c r="BQ22" s="66">
        <f>'[1]UNIV 2019'!T28</f>
        <v>0</v>
      </c>
      <c r="BR22" s="66">
        <f t="shared" si="18"/>
        <v>0</v>
      </c>
      <c r="BS22" s="66"/>
      <c r="BT22" s="66">
        <f>'[1]Univ Comm Fund'!U22</f>
        <v>164169000</v>
      </c>
      <c r="BU22" s="66">
        <f>'[1]UNIV 2019'!U28</f>
        <v>164169000</v>
      </c>
      <c r="BV22" s="66">
        <f t="shared" si="2"/>
        <v>0</v>
      </c>
      <c r="BW22" s="66"/>
      <c r="BX22" s="66">
        <f>'[1]Univ Comm Fund'!V22</f>
        <v>0</v>
      </c>
      <c r="BY22" s="66">
        <f>'[1]UNIV 2019'!V28</f>
        <v>0</v>
      </c>
      <c r="BZ22" s="66">
        <f t="shared" si="19"/>
        <v>0</v>
      </c>
      <c r="CA22" s="66"/>
      <c r="CB22" s="66">
        <f>'[1]Univ Comm Fund'!W22</f>
        <v>175000000</v>
      </c>
      <c r="CC22" s="66">
        <f>'[1]UNIV 2019'!W28</f>
        <v>175000000</v>
      </c>
      <c r="CD22" s="66">
        <f t="shared" si="20"/>
        <v>0</v>
      </c>
      <c r="CE22" s="66"/>
      <c r="CF22" s="66">
        <v>75000000</v>
      </c>
      <c r="CG22" s="66">
        <f>'[1]UNIV 2019'!X28</f>
        <v>75000000</v>
      </c>
      <c r="CH22" s="75">
        <f t="shared" si="21"/>
        <v>0</v>
      </c>
      <c r="CI22" s="66"/>
      <c r="CJ22" s="66">
        <f>'[1]Univ Comm Fund'!Y22</f>
        <v>400000000</v>
      </c>
      <c r="CK22" s="66">
        <f>'[1]UNIV 2019'!Y28</f>
        <v>400000000</v>
      </c>
      <c r="CL22" s="66">
        <f t="shared" si="22"/>
        <v>0</v>
      </c>
      <c r="CM22" s="66"/>
      <c r="CN22" s="20">
        <f>'[1]Univ Comm Fund'!Z22</f>
        <v>350000000</v>
      </c>
      <c r="CO22" s="66">
        <f>'[1]UNIV 2019'!Z28</f>
        <v>350000000</v>
      </c>
      <c r="CP22" s="66">
        <f t="shared" si="23"/>
        <v>0</v>
      </c>
      <c r="CQ22" s="20"/>
      <c r="CR22" s="66">
        <f>'[1]Univ Comm Fund'!AA22</f>
        <v>0</v>
      </c>
      <c r="CS22" s="66">
        <f>'[1]UNIV 2019'!AA28</f>
        <v>0</v>
      </c>
      <c r="CT22" s="75">
        <f t="shared" si="24"/>
        <v>0</v>
      </c>
      <c r="CU22" s="66"/>
      <c r="CV22" s="66">
        <f>'[1]Univ Comm Fund'!AB22</f>
        <v>0</v>
      </c>
      <c r="CW22" s="66">
        <f>'[1]UNIV 2019'!AB28</f>
        <v>0</v>
      </c>
      <c r="CX22" s="75">
        <f t="shared" si="25"/>
        <v>0</v>
      </c>
      <c r="CY22" s="66"/>
      <c r="CZ22" s="66">
        <f>'[1]Univ Comm Fund'!AC22</f>
        <v>356000000</v>
      </c>
      <c r="DA22" s="66">
        <f>'[1]UNIV 2019'!AC28</f>
        <v>302600000</v>
      </c>
      <c r="DB22" s="66">
        <f t="shared" si="26"/>
        <v>53400000</v>
      </c>
      <c r="DC22" s="66"/>
      <c r="DD22" s="66">
        <f>'[1]Univ Comm Fund'!AD22</f>
        <v>20000000</v>
      </c>
      <c r="DE22" s="66">
        <f>'[1]UNIV 2019'!AD28</f>
        <v>13600000</v>
      </c>
      <c r="DF22" s="66">
        <f t="shared" si="27"/>
        <v>6400000</v>
      </c>
      <c r="DG22" s="66"/>
      <c r="DH22" s="66">
        <f>'[1]Univ Comm Fund'!AE22</f>
        <v>552000000</v>
      </c>
      <c r="DI22" s="66">
        <f>'[1]UNIV 2019'!AE28</f>
        <v>469200000</v>
      </c>
      <c r="DJ22" s="66">
        <f t="shared" si="28"/>
        <v>82800000</v>
      </c>
      <c r="DK22" s="66"/>
      <c r="DL22" s="66">
        <f>'[1]Univ Comm Fund'!AF22</f>
        <v>20000000</v>
      </c>
      <c r="DM22" s="66">
        <f>'[1]UNIV 2019'!AF28</f>
        <v>13600000</v>
      </c>
      <c r="DN22" s="66">
        <f t="shared" si="29"/>
        <v>6400000</v>
      </c>
      <c r="DO22" s="66"/>
      <c r="DP22" s="66">
        <f>'[1]Univ Comm Fund'!AG22</f>
        <v>650000000</v>
      </c>
      <c r="DQ22" s="66">
        <f>'[1]UNIV 2019'!AG28</f>
        <v>650000000</v>
      </c>
      <c r="DR22" s="66">
        <f t="shared" si="30"/>
        <v>0</v>
      </c>
      <c r="DS22" s="66"/>
      <c r="DT22" s="66">
        <f>'[1]Univ Comm Fund'!AH22</f>
        <v>100000000</v>
      </c>
      <c r="DU22" s="66">
        <f>'[1]UNIV 2019'!AH28</f>
        <v>85000000</v>
      </c>
      <c r="DV22" s="66">
        <f t="shared" si="31"/>
        <v>15000000</v>
      </c>
      <c r="DW22" s="66"/>
      <c r="DX22" s="66">
        <f>'[1]Univ Comm Fund'!AI22</f>
        <v>15000000</v>
      </c>
      <c r="DY22" s="66">
        <f>'[1]UNIV 2019'!AI28</f>
        <v>8850000</v>
      </c>
      <c r="DZ22" s="66">
        <f t="shared" si="32"/>
        <v>6150000</v>
      </c>
      <c r="EA22" s="66"/>
      <c r="EB22" s="66">
        <f>'[1]Univ Comm Fund'!AJ22</f>
        <v>2000000</v>
      </c>
      <c r="EC22" s="66">
        <f>'[1]UNIV 2019'!AJ28</f>
        <v>0</v>
      </c>
      <c r="ED22" s="66">
        <f t="shared" si="33"/>
        <v>2000000</v>
      </c>
      <c r="EE22" s="66"/>
      <c r="EF22" s="66">
        <f>'[1]Univ Comm Fund'!AK22</f>
        <v>10000000</v>
      </c>
      <c r="EG22" s="66">
        <f>'[1]UNIV 2019'!AK28</f>
        <v>6800000</v>
      </c>
      <c r="EH22" s="66">
        <f t="shared" si="34"/>
        <v>3200000</v>
      </c>
      <c r="EI22" s="66"/>
      <c r="EJ22" s="66">
        <f>'[1]Univ Comm Fund'!AL22</f>
        <v>5300000000</v>
      </c>
      <c r="EK22" s="66">
        <f>'[1]UNIV 2019'!AL28</f>
        <v>4805669699.6700001</v>
      </c>
      <c r="EL22" s="66">
        <f t="shared" si="35"/>
        <v>494330300.32999992</v>
      </c>
      <c r="EM22" s="66"/>
      <c r="EN22" s="80">
        <f>'[1]Univ Comm Fund'!AM22</f>
        <v>565410000</v>
      </c>
      <c r="EO22" s="66">
        <f>'[1]UNIV 2019'!AM28</f>
        <v>480598500</v>
      </c>
      <c r="EP22" s="75">
        <f t="shared" si="36"/>
        <v>84811500</v>
      </c>
      <c r="EQ22" s="66"/>
      <c r="ER22" s="66">
        <f>'[1]Univ Comm Fund'!AN22</f>
        <v>15000000</v>
      </c>
      <c r="ES22" s="66">
        <f>'[1]UNIV 2019'!AN28</f>
        <v>8850000</v>
      </c>
      <c r="ET22" s="75">
        <f t="shared" si="37"/>
        <v>6150000</v>
      </c>
      <c r="EU22" s="66"/>
      <c r="EV22" s="66">
        <f>'[1]Univ Comm Fund'!AO22</f>
        <v>15000000</v>
      </c>
      <c r="EW22" s="66">
        <f>'[1]UNIV 2019'!AO28</f>
        <v>0</v>
      </c>
      <c r="EX22" s="75">
        <f t="shared" si="38"/>
        <v>15000000</v>
      </c>
      <c r="EY22" s="66"/>
      <c r="EZ22" s="66">
        <f>'[1]Univ Comm Fund'!AP22</f>
        <v>10000000</v>
      </c>
      <c r="FA22" s="66">
        <f>'[1]UNIV 2019'!AP28</f>
        <v>6800000</v>
      </c>
      <c r="FB22" s="75">
        <f t="shared" si="39"/>
        <v>3200000</v>
      </c>
      <c r="FC22" s="75"/>
      <c r="FD22" s="75">
        <f>'[1]Univ Comm Fund'!AQ22</f>
        <v>0</v>
      </c>
      <c r="FE22" s="75">
        <f>'[1]UNIV 2019'!AQ28</f>
        <v>0</v>
      </c>
      <c r="FF22" s="75">
        <f t="shared" si="40"/>
        <v>0</v>
      </c>
      <c r="FG22" s="75"/>
      <c r="FH22" s="75">
        <f>'[1]Univ Comm Fund'!AR22</f>
        <v>0</v>
      </c>
      <c r="FI22" s="75">
        <f>'[1]UNIV 2019'!AR28</f>
        <v>0</v>
      </c>
      <c r="FJ22" s="75">
        <f t="shared" si="41"/>
        <v>0</v>
      </c>
      <c r="FK22" s="75"/>
      <c r="FL22" s="75">
        <f>'[1]Univ Comm Fund'!AS22</f>
        <v>300000000</v>
      </c>
      <c r="FM22" s="75">
        <f>'[1]UNIV 2019'!AS28</f>
        <v>0</v>
      </c>
      <c r="FN22" s="75">
        <f t="shared" si="42"/>
        <v>300000000</v>
      </c>
      <c r="FO22" s="75"/>
      <c r="FP22" s="75">
        <f>'[1]Univ Comm Fund'!AT22</f>
        <v>120000000</v>
      </c>
      <c r="FQ22" s="75">
        <f>'[1]UNIV 2019'!AT28</f>
        <v>66000000</v>
      </c>
      <c r="FR22" s="75">
        <f t="shared" si="43"/>
        <v>54000000</v>
      </c>
      <c r="FS22" s="75"/>
      <c r="FT22" s="75">
        <f>'[1]Univ Comm Fund'!AU22</f>
        <v>10000000</v>
      </c>
      <c r="FU22" s="75">
        <f>'[1]UNIV 2019'!AU28</f>
        <v>0</v>
      </c>
      <c r="FV22" s="75">
        <f t="shared" si="44"/>
        <v>10000000</v>
      </c>
      <c r="FW22" s="75"/>
      <c r="FX22" s="75">
        <f>'[1]Univ Comm Fund'!AV22</f>
        <v>5000000</v>
      </c>
      <c r="FY22" s="75">
        <f>'[1]UNIV 2019'!AV28</f>
        <v>0</v>
      </c>
      <c r="FZ22" s="75">
        <f t="shared" si="45"/>
        <v>5000000</v>
      </c>
      <c r="GA22" s="75"/>
      <c r="GB22" s="75">
        <f>'[1]Univ Comm Fund'!AW22</f>
        <v>10000000</v>
      </c>
      <c r="GC22" s="75">
        <f>'[1]UNIV 2019'!AW28</f>
        <v>0</v>
      </c>
      <c r="GD22" s="75">
        <f t="shared" si="46"/>
        <v>10000000</v>
      </c>
      <c r="GE22" s="75"/>
      <c r="GF22" s="75">
        <f>'[1]Univ Comm Fund'!AX22</f>
        <v>0</v>
      </c>
      <c r="GG22" s="75">
        <f>'[1]UNIV 2019'!AX28</f>
        <v>0</v>
      </c>
      <c r="GH22" s="75">
        <f t="shared" si="47"/>
        <v>0</v>
      </c>
      <c r="GI22" s="75"/>
      <c r="GJ22" s="75">
        <f>'[1]Univ Comm Fund'!AY22</f>
        <v>350000000</v>
      </c>
      <c r="GK22" s="75">
        <f>'[1]UNIV 2019'!AY28</f>
        <v>0</v>
      </c>
      <c r="GL22" s="75">
        <f t="shared" si="48"/>
        <v>350000000</v>
      </c>
      <c r="GM22" s="75"/>
      <c r="GN22" s="75">
        <f>'[1]Univ Comm Fund'!AZ22</f>
        <v>175823700</v>
      </c>
      <c r="GO22" s="75">
        <f>'[1]UNIV 2019'!AZ28</f>
        <v>0</v>
      </c>
      <c r="GP22" s="75">
        <f t="shared" si="49"/>
        <v>175823700</v>
      </c>
      <c r="GQ22" s="75"/>
      <c r="GR22" s="75">
        <f>'[1]Univ Comm Fund'!BA22</f>
        <v>20000000</v>
      </c>
      <c r="GS22" s="75">
        <f>'[1]UNIV 2019'!BA28</f>
        <v>0</v>
      </c>
      <c r="GT22" s="75">
        <f t="shared" si="50"/>
        <v>20000000</v>
      </c>
      <c r="GU22" s="75"/>
      <c r="GV22" s="75">
        <f>'[1]Univ Comm Fund'!BB22</f>
        <v>5000000</v>
      </c>
      <c r="GW22" s="75">
        <f>'[1]UNIV 2019'!BB28</f>
        <v>0</v>
      </c>
      <c r="GX22" s="75">
        <f t="shared" si="51"/>
        <v>5000000</v>
      </c>
      <c r="GY22" s="75"/>
      <c r="GZ22" s="75">
        <f>'[1]Univ Comm Fund'!BC22</f>
        <v>10000000</v>
      </c>
      <c r="HA22" s="75">
        <f>'[1]UNIV 2019'!BD28</f>
        <v>0</v>
      </c>
      <c r="HB22" s="75">
        <f t="shared" si="52"/>
        <v>10000000</v>
      </c>
      <c r="HC22" s="75"/>
      <c r="HD22" s="75">
        <f>'[1]Univ Comm Fund'!BD22</f>
        <v>0</v>
      </c>
      <c r="HE22" s="75">
        <f>'[1]UNIV 2019'!BC28</f>
        <v>0</v>
      </c>
      <c r="HF22" s="75">
        <f t="shared" si="53"/>
        <v>0</v>
      </c>
      <c r="HG22" s="75"/>
      <c r="HH22" s="75">
        <f t="shared" si="54"/>
        <v>10331983476.67</v>
      </c>
      <c r="HI22" s="75">
        <f t="shared" si="54"/>
        <v>8613317976.2700005</v>
      </c>
      <c r="HJ22" s="82">
        <f t="shared" si="55"/>
        <v>1718665500.3999996</v>
      </c>
      <c r="HL22" s="83">
        <f t="shared" si="56"/>
        <v>3389056776.6700001</v>
      </c>
      <c r="HM22" s="83">
        <f t="shared" si="56"/>
        <v>2503045276.5999999</v>
      </c>
      <c r="HN22" s="84">
        <f t="shared" si="57"/>
        <v>886011500.07000017</v>
      </c>
      <c r="HP22" s="83">
        <f t="shared" si="58"/>
        <v>6350000000</v>
      </c>
      <c r="HQ22" s="83">
        <f t="shared" si="58"/>
        <v>5855669699.6700001</v>
      </c>
      <c r="HR22" s="84">
        <f t="shared" si="59"/>
        <v>494330300.32999992</v>
      </c>
      <c r="HT22" s="83">
        <f t="shared" si="60"/>
        <v>145000000</v>
      </c>
      <c r="HU22" s="83">
        <f t="shared" si="60"/>
        <v>115800000</v>
      </c>
      <c r="HV22" s="84">
        <f t="shared" si="61"/>
        <v>29200000</v>
      </c>
      <c r="HX22" s="83">
        <f t="shared" si="62"/>
        <v>60000000</v>
      </c>
      <c r="HY22" s="83">
        <f t="shared" si="62"/>
        <v>17700000</v>
      </c>
      <c r="HZ22" s="84">
        <f t="shared" si="63"/>
        <v>42300000</v>
      </c>
      <c r="IB22" s="83">
        <f t="shared" si="64"/>
        <v>35000000</v>
      </c>
      <c r="IC22" s="83">
        <f t="shared" si="64"/>
        <v>0</v>
      </c>
      <c r="ID22" s="84">
        <f t="shared" si="65"/>
        <v>35000000</v>
      </c>
      <c r="IF22" s="83">
        <f t="shared" si="3"/>
        <v>2000000</v>
      </c>
      <c r="IG22" s="83">
        <f t="shared" si="3"/>
        <v>0</v>
      </c>
      <c r="IH22" s="84">
        <f t="shared" si="66"/>
        <v>2000000</v>
      </c>
      <c r="IJ22" s="84">
        <f t="shared" si="67"/>
        <v>295823700</v>
      </c>
      <c r="IK22" s="84">
        <f t="shared" si="67"/>
        <v>66000000</v>
      </c>
      <c r="IL22" s="84">
        <f t="shared" si="68"/>
        <v>229823700</v>
      </c>
    </row>
    <row r="23" spans="1:246" x14ac:dyDescent="0.25">
      <c r="A23" s="42">
        <v>18</v>
      </c>
      <c r="B23" s="95" t="s">
        <v>82</v>
      </c>
      <c r="C23" s="43" t="s">
        <v>69</v>
      </c>
      <c r="D23" s="66">
        <f>'[1]Univ Comm Fund'!D23</f>
        <v>0</v>
      </c>
      <c r="E23" s="66">
        <f>'[1]UNIV 2019'!D29</f>
        <v>0</v>
      </c>
      <c r="F23" s="75">
        <f t="shared" si="4"/>
        <v>0</v>
      </c>
      <c r="G23" s="66"/>
      <c r="H23" s="66">
        <f>'[1]Univ Comm Fund'!E23</f>
        <v>20000000</v>
      </c>
      <c r="I23" s="66">
        <f>'[1]UNIV 2019'!E29</f>
        <v>20000000</v>
      </c>
      <c r="J23" s="66">
        <f t="shared" si="5"/>
        <v>0</v>
      </c>
      <c r="K23" s="66"/>
      <c r="L23" s="66">
        <f>'[1]Univ Comm Fund'!F23</f>
        <v>40000000</v>
      </c>
      <c r="M23" s="66">
        <f>'[1]UNIV 2019'!F29</f>
        <v>40000000</v>
      </c>
      <c r="N23" s="66">
        <f t="shared" si="6"/>
        <v>0</v>
      </c>
      <c r="O23" s="66"/>
      <c r="P23" s="66">
        <f>'[1]Univ Comm Fund'!G23</f>
        <v>0</v>
      </c>
      <c r="Q23" s="66">
        <f>'[1]UNIV 2019'!G29</f>
        <v>0</v>
      </c>
      <c r="R23" s="66">
        <f t="shared" si="7"/>
        <v>0</v>
      </c>
      <c r="S23" s="87"/>
      <c r="T23" s="66">
        <f>'[1]Univ Comm Fund'!H23</f>
        <v>50000000</v>
      </c>
      <c r="U23" s="66">
        <f>'[1]UNIV 2019'!H29</f>
        <v>50000000</v>
      </c>
      <c r="V23" s="66">
        <f t="shared" si="8"/>
        <v>0</v>
      </c>
      <c r="W23" s="66"/>
      <c r="X23" s="66">
        <f>'[1]Univ Comm Fund'!I23</f>
        <v>0</v>
      </c>
      <c r="Y23" s="66">
        <f>'[1]UNIV 2019'!I29</f>
        <v>0</v>
      </c>
      <c r="Z23" s="66">
        <f t="shared" si="9"/>
        <v>0</v>
      </c>
      <c r="AA23" s="66"/>
      <c r="AB23" s="66">
        <f>'[1]Univ Comm Fund'!J23</f>
        <v>30000000</v>
      </c>
      <c r="AC23" s="66">
        <f>'[1]UNIV 2019'!J29</f>
        <v>30000000</v>
      </c>
      <c r="AD23" s="66">
        <f t="shared" si="10"/>
        <v>0</v>
      </c>
      <c r="AE23" s="66"/>
      <c r="AF23" s="88">
        <f>'[1]Univ Comm Fund'!K23</f>
        <v>30000000</v>
      </c>
      <c r="AG23" s="66">
        <f>'[1]UNIV 2019'!K29</f>
        <v>30000000</v>
      </c>
      <c r="AH23" s="66">
        <f t="shared" si="11"/>
        <v>0</v>
      </c>
      <c r="AI23" s="88"/>
      <c r="AJ23" s="66">
        <f>'[1]Univ Comm Fund'!L23</f>
        <v>0</v>
      </c>
      <c r="AK23" s="66">
        <f>'[1]UNIV 2019'!L29</f>
        <v>0</v>
      </c>
      <c r="AL23" s="66">
        <f t="shared" si="12"/>
        <v>0</v>
      </c>
      <c r="AM23" s="66"/>
      <c r="AN23" s="66">
        <f>'[1]Univ Comm Fund'!M23</f>
        <v>36312592.479999997</v>
      </c>
      <c r="AO23" s="66">
        <f>'[1]UNIV 2019'!M29</f>
        <v>36312592.479999997</v>
      </c>
      <c r="AP23" s="66">
        <f t="shared" si="13"/>
        <v>0</v>
      </c>
      <c r="AQ23" s="66"/>
      <c r="AR23" s="66">
        <f>'[1]Univ Comm Fund'!N23</f>
        <v>0</v>
      </c>
      <c r="AS23" s="66">
        <f>'[1]UNIV 2019'!N29</f>
        <v>0</v>
      </c>
      <c r="AT23" s="66">
        <f t="shared" si="14"/>
        <v>0</v>
      </c>
      <c r="AU23" s="66"/>
      <c r="AV23" s="66">
        <f>'[1]Univ Comm Fund'!O23</f>
        <v>40000000</v>
      </c>
      <c r="AW23" s="66">
        <f>'[1]UNIV 2019'!O29</f>
        <v>40000000</v>
      </c>
      <c r="AX23" s="66">
        <f t="shared" si="15"/>
        <v>0</v>
      </c>
      <c r="AY23" s="66"/>
      <c r="AZ23" s="66">
        <f>'[1]Univ Comm Fund'!P23</f>
        <v>0</v>
      </c>
      <c r="BA23" s="66">
        <f>'[1]UNIV 2019'!P29</f>
        <v>0</v>
      </c>
      <c r="BB23" s="66">
        <f t="shared" si="0"/>
        <v>0</v>
      </c>
      <c r="BC23" s="66"/>
      <c r="BD23" s="66">
        <f>'[1]Univ Comm Fund'!Q23</f>
        <v>52000000</v>
      </c>
      <c r="BE23" s="66">
        <f>'[1]UNIV 2019'!Q29</f>
        <v>52000000</v>
      </c>
      <c r="BF23" s="66">
        <f t="shared" si="1"/>
        <v>0</v>
      </c>
      <c r="BG23" s="66"/>
      <c r="BH23" s="66">
        <f>'[1]Univ Comm Fund'!R23</f>
        <v>67000000</v>
      </c>
      <c r="BI23" s="66">
        <f>'[1]UNIV 2019'!R29</f>
        <v>67000000</v>
      </c>
      <c r="BJ23" s="66">
        <f t="shared" si="16"/>
        <v>0</v>
      </c>
      <c r="BK23" s="66"/>
      <c r="BL23" s="66">
        <f>'[1]Univ Comm Fund'!S23</f>
        <v>57000000</v>
      </c>
      <c r="BM23" s="66">
        <f>'[1]UNIV 2019'!S29</f>
        <v>57000000</v>
      </c>
      <c r="BN23" s="66">
        <f t="shared" si="17"/>
        <v>0</v>
      </c>
      <c r="BO23" s="66"/>
      <c r="BP23" s="66">
        <f>'[1]Univ Comm Fund'!T23</f>
        <v>0</v>
      </c>
      <c r="BQ23" s="66">
        <f>'[1]UNIV 2019'!T29</f>
        <v>0</v>
      </c>
      <c r="BR23" s="66">
        <f t="shared" si="18"/>
        <v>0</v>
      </c>
      <c r="BS23" s="66"/>
      <c r="BT23" s="66">
        <f>'[1]Univ Comm Fund'!U23</f>
        <v>193140000</v>
      </c>
      <c r="BU23" s="66">
        <f>'[1]UNIV 2019'!U29</f>
        <v>193140000</v>
      </c>
      <c r="BV23" s="66">
        <f t="shared" si="2"/>
        <v>0</v>
      </c>
      <c r="BW23" s="66"/>
      <c r="BX23" s="66">
        <f>'[1]Univ Comm Fund'!V23</f>
        <v>300000000</v>
      </c>
      <c r="BY23" s="66">
        <f>'[1]UNIV 2019'!V29</f>
        <v>307500000</v>
      </c>
      <c r="BZ23" s="66">
        <f t="shared" si="19"/>
        <v>-7500000</v>
      </c>
      <c r="CA23" s="66"/>
      <c r="CB23" s="66">
        <f>'[1]Univ Comm Fund'!W23</f>
        <v>175000000</v>
      </c>
      <c r="CC23" s="66">
        <f>'[1]UNIV 2019'!W29</f>
        <v>148750000</v>
      </c>
      <c r="CD23" s="66">
        <f t="shared" si="20"/>
        <v>26250000</v>
      </c>
      <c r="CE23" s="66"/>
      <c r="CF23" s="66">
        <v>75000000</v>
      </c>
      <c r="CG23" s="66">
        <f>'[1]UNIV 2019'!X29</f>
        <v>37500000</v>
      </c>
      <c r="CH23" s="75">
        <f t="shared" si="21"/>
        <v>37500000</v>
      </c>
      <c r="CI23" s="66"/>
      <c r="CJ23" s="66">
        <f>'[1]Univ Comm Fund'!Y23</f>
        <v>0</v>
      </c>
      <c r="CK23" s="66">
        <f>'[1]UNIV 2019'!Y29</f>
        <v>0</v>
      </c>
      <c r="CL23" s="66">
        <f t="shared" si="22"/>
        <v>0</v>
      </c>
      <c r="CM23" s="66"/>
      <c r="CN23" s="20">
        <f>'[1]Univ Comm Fund'!Z23</f>
        <v>350000000</v>
      </c>
      <c r="CO23" s="66">
        <f>'[1]UNIV 2019'!Z29</f>
        <v>297500000</v>
      </c>
      <c r="CP23" s="66">
        <f t="shared" si="23"/>
        <v>52500000</v>
      </c>
      <c r="CQ23" s="20"/>
      <c r="CR23" s="66">
        <f>'[1]Univ Comm Fund'!AA23</f>
        <v>0</v>
      </c>
      <c r="CS23" s="66">
        <f>'[1]UNIV 2019'!AA29</f>
        <v>0</v>
      </c>
      <c r="CT23" s="75">
        <f t="shared" si="24"/>
        <v>0</v>
      </c>
      <c r="CU23" s="66"/>
      <c r="CV23" s="66">
        <f>'[1]Univ Comm Fund'!AB23</f>
        <v>0</v>
      </c>
      <c r="CW23" s="66">
        <f>'[1]UNIV 2019'!AB29</f>
        <v>0</v>
      </c>
      <c r="CX23" s="75">
        <f t="shared" si="25"/>
        <v>0</v>
      </c>
      <c r="CY23" s="66"/>
      <c r="CZ23" s="66">
        <f>'[1]Univ Comm Fund'!AC23</f>
        <v>356000000</v>
      </c>
      <c r="DA23" s="66">
        <f>'[1]UNIV 2019'!AC29</f>
        <v>302600000</v>
      </c>
      <c r="DB23" s="66">
        <f t="shared" si="26"/>
        <v>53400000</v>
      </c>
      <c r="DC23" s="66"/>
      <c r="DD23" s="66">
        <f>'[1]Univ Comm Fund'!AD23</f>
        <v>20000000</v>
      </c>
      <c r="DE23" s="66">
        <f>'[1]UNIV 2019'!AD29</f>
        <v>16200000</v>
      </c>
      <c r="DF23" s="66">
        <f t="shared" si="27"/>
        <v>3800000</v>
      </c>
      <c r="DG23" s="66"/>
      <c r="DH23" s="66">
        <f>'[1]Univ Comm Fund'!AE23</f>
        <v>552000000</v>
      </c>
      <c r="DI23" s="66">
        <f>'[1]UNIV 2019'!AE29</f>
        <v>469200000</v>
      </c>
      <c r="DJ23" s="66">
        <f t="shared" si="28"/>
        <v>82800000</v>
      </c>
      <c r="DK23" s="66"/>
      <c r="DL23" s="66">
        <f>'[1]Univ Comm Fund'!AF23</f>
        <v>20000000</v>
      </c>
      <c r="DM23" s="66">
        <f>'[1]UNIV 2019'!AF29</f>
        <v>16200000</v>
      </c>
      <c r="DN23" s="66">
        <f t="shared" si="29"/>
        <v>3800000</v>
      </c>
      <c r="DO23" s="66"/>
      <c r="DP23" s="66">
        <f>'[1]Univ Comm Fund'!AG23</f>
        <v>600000000</v>
      </c>
      <c r="DQ23" s="66">
        <f>'[1]UNIV 2019'!AG29</f>
        <v>600000000</v>
      </c>
      <c r="DR23" s="66">
        <f t="shared" si="30"/>
        <v>0</v>
      </c>
      <c r="DS23" s="66"/>
      <c r="DT23" s="66">
        <f>'[1]Univ Comm Fund'!AH23</f>
        <v>100000000</v>
      </c>
      <c r="DU23" s="66">
        <f>'[1]UNIV 2019'!AH29</f>
        <v>0</v>
      </c>
      <c r="DV23" s="66">
        <f t="shared" si="31"/>
        <v>100000000</v>
      </c>
      <c r="DW23" s="66"/>
      <c r="DX23" s="66">
        <f>'[1]Univ Comm Fund'!AI23</f>
        <v>15000000</v>
      </c>
      <c r="DY23" s="66">
        <f>'[1]UNIV 2019'!AI29</f>
        <v>0</v>
      </c>
      <c r="DZ23" s="66">
        <f t="shared" si="32"/>
        <v>15000000</v>
      </c>
      <c r="EA23" s="66"/>
      <c r="EB23" s="66">
        <f>'[1]Univ Comm Fund'!AJ23</f>
        <v>2000000</v>
      </c>
      <c r="EC23" s="66">
        <f>'[1]UNIV 2019'!AJ29</f>
        <v>0</v>
      </c>
      <c r="ED23" s="66">
        <f t="shared" si="33"/>
        <v>2000000</v>
      </c>
      <c r="EE23" s="66"/>
      <c r="EF23" s="66">
        <f>'[1]Univ Comm Fund'!AK23</f>
        <v>10000000</v>
      </c>
      <c r="EG23" s="66">
        <f>'[1]UNIV 2019'!AK29</f>
        <v>0</v>
      </c>
      <c r="EH23" s="66">
        <f t="shared" si="34"/>
        <v>10000000</v>
      </c>
      <c r="EI23" s="66"/>
      <c r="EJ23" s="66">
        <f>'[1]Univ Comm Fund'!AL23</f>
        <v>200000000</v>
      </c>
      <c r="EK23" s="66">
        <f>'[1]UNIV 2019'!AL29</f>
        <v>200000000</v>
      </c>
      <c r="EL23" s="66">
        <f t="shared" si="35"/>
        <v>0</v>
      </c>
      <c r="EM23" s="66"/>
      <c r="EN23" s="80">
        <f>'[1]Univ Comm Fund'!AM23</f>
        <v>565410000</v>
      </c>
      <c r="EO23" s="66">
        <f>'[1]UNIV 2019'!AM29</f>
        <v>0</v>
      </c>
      <c r="EP23" s="75">
        <f t="shared" si="36"/>
        <v>565410000</v>
      </c>
      <c r="EQ23" s="66"/>
      <c r="ER23" s="66">
        <f>'[1]Univ Comm Fund'!AN23</f>
        <v>15000000</v>
      </c>
      <c r="ES23" s="66">
        <f>'[1]UNIV 2019'!AN29</f>
        <v>0</v>
      </c>
      <c r="ET23" s="75">
        <f t="shared" si="37"/>
        <v>15000000</v>
      </c>
      <c r="EU23" s="66"/>
      <c r="EV23" s="66">
        <f>'[1]Univ Comm Fund'!AO23</f>
        <v>15000000</v>
      </c>
      <c r="EW23" s="66">
        <f>'[1]UNIV 2019'!AO29</f>
        <v>0</v>
      </c>
      <c r="EX23" s="75">
        <f t="shared" si="38"/>
        <v>15000000</v>
      </c>
      <c r="EY23" s="66"/>
      <c r="EZ23" s="66">
        <f>'[1]Univ Comm Fund'!AP23</f>
        <v>10000000</v>
      </c>
      <c r="FA23" s="66">
        <f>'[1]UNIV 2019'!AP29</f>
        <v>0</v>
      </c>
      <c r="FB23" s="75">
        <f t="shared" si="39"/>
        <v>10000000</v>
      </c>
      <c r="FC23" s="75"/>
      <c r="FD23" s="75">
        <f>'[1]Univ Comm Fund'!AQ23</f>
        <v>0</v>
      </c>
      <c r="FE23" s="75">
        <f>'[1]UNIV 2019'!AQ29</f>
        <v>0</v>
      </c>
      <c r="FF23" s="75">
        <f t="shared" si="40"/>
        <v>0</v>
      </c>
      <c r="FG23" s="75"/>
      <c r="FH23" s="75">
        <f>'[1]Univ Comm Fund'!AR23</f>
        <v>0</v>
      </c>
      <c r="FI23" s="75">
        <f>'[1]UNIV 2019'!AR29</f>
        <v>0</v>
      </c>
      <c r="FJ23" s="75">
        <f t="shared" si="41"/>
        <v>0</v>
      </c>
      <c r="FK23" s="75"/>
      <c r="FL23" s="75">
        <f>'[1]Univ Comm Fund'!AS23</f>
        <v>300000000</v>
      </c>
      <c r="FM23" s="75">
        <f>'[1]UNIV 2019'!AS29</f>
        <v>0</v>
      </c>
      <c r="FN23" s="75">
        <f t="shared" si="42"/>
        <v>300000000</v>
      </c>
      <c r="FO23" s="75"/>
      <c r="FP23" s="75">
        <f>'[1]Univ Comm Fund'!AT23</f>
        <v>120000000</v>
      </c>
      <c r="FQ23" s="75">
        <f>'[1]UNIV 2019'!AT29</f>
        <v>0</v>
      </c>
      <c r="FR23" s="75">
        <f t="shared" si="43"/>
        <v>120000000</v>
      </c>
      <c r="FS23" s="75"/>
      <c r="FT23" s="75">
        <f>'[1]Univ Comm Fund'!AU23</f>
        <v>10000000</v>
      </c>
      <c r="FU23" s="75">
        <f>'[1]UNIV 2019'!AU29</f>
        <v>0</v>
      </c>
      <c r="FV23" s="75">
        <f t="shared" si="44"/>
        <v>10000000</v>
      </c>
      <c r="FW23" s="75"/>
      <c r="FX23" s="75">
        <f>'[1]Univ Comm Fund'!AV23</f>
        <v>5000000</v>
      </c>
      <c r="FY23" s="75">
        <f>'[1]UNIV 2019'!AV29</f>
        <v>0</v>
      </c>
      <c r="FZ23" s="75">
        <f t="shared" si="45"/>
        <v>5000000</v>
      </c>
      <c r="GA23" s="75"/>
      <c r="GB23" s="75">
        <f>'[1]Univ Comm Fund'!AW23</f>
        <v>10000000</v>
      </c>
      <c r="GC23" s="75">
        <f>'[1]UNIV 2019'!AW29</f>
        <v>0</v>
      </c>
      <c r="GD23" s="75">
        <f t="shared" si="46"/>
        <v>10000000</v>
      </c>
      <c r="GE23" s="75"/>
      <c r="GF23" s="75">
        <f>'[1]Univ Comm Fund'!AX23</f>
        <v>0</v>
      </c>
      <c r="GG23" s="75">
        <f>'[1]UNIV 2019'!AX29</f>
        <v>0</v>
      </c>
      <c r="GH23" s="75">
        <f t="shared" si="47"/>
        <v>0</v>
      </c>
      <c r="GI23" s="75"/>
      <c r="GJ23" s="75">
        <f>'[1]Univ Comm Fund'!AY23</f>
        <v>350000000</v>
      </c>
      <c r="GK23" s="75">
        <f>'[1]UNIV 2019'!AY29</f>
        <v>0</v>
      </c>
      <c r="GL23" s="75">
        <f t="shared" si="48"/>
        <v>350000000</v>
      </c>
      <c r="GM23" s="75"/>
      <c r="GN23" s="75">
        <f>'[1]Univ Comm Fund'!AZ23</f>
        <v>175823700</v>
      </c>
      <c r="GO23" s="75">
        <f>'[1]UNIV 2019'!AZ29</f>
        <v>0</v>
      </c>
      <c r="GP23" s="75">
        <f t="shared" si="49"/>
        <v>175823700</v>
      </c>
      <c r="GQ23" s="75"/>
      <c r="GR23" s="75">
        <f>'[1]Univ Comm Fund'!BA23</f>
        <v>20000000</v>
      </c>
      <c r="GS23" s="75">
        <f>'[1]UNIV 2019'!BA29</f>
        <v>0</v>
      </c>
      <c r="GT23" s="75">
        <f t="shared" si="50"/>
        <v>20000000</v>
      </c>
      <c r="GU23" s="75"/>
      <c r="GV23" s="75">
        <f>'[1]Univ Comm Fund'!BB23</f>
        <v>5000000</v>
      </c>
      <c r="GW23" s="75">
        <f>'[1]UNIV 2019'!BB29</f>
        <v>0</v>
      </c>
      <c r="GX23" s="75">
        <f t="shared" si="51"/>
        <v>5000000</v>
      </c>
      <c r="GY23" s="75"/>
      <c r="GZ23" s="75">
        <f>'[1]Univ Comm Fund'!BC23</f>
        <v>10000000</v>
      </c>
      <c r="HA23" s="75">
        <f>'[1]UNIV 2019'!BD29</f>
        <v>0</v>
      </c>
      <c r="HB23" s="75">
        <f t="shared" si="52"/>
        <v>10000000</v>
      </c>
      <c r="HC23" s="75"/>
      <c r="HD23" s="75">
        <f>'[1]Univ Comm Fund'!BD23</f>
        <v>0</v>
      </c>
      <c r="HE23" s="75">
        <f>'[1]UNIV 2019'!BC29</f>
        <v>0</v>
      </c>
      <c r="HF23" s="75">
        <f t="shared" si="53"/>
        <v>0</v>
      </c>
      <c r="HG23" s="75"/>
      <c r="HH23" s="75">
        <f t="shared" si="54"/>
        <v>5001686292.4799995</v>
      </c>
      <c r="HI23" s="75">
        <f t="shared" si="54"/>
        <v>3010902592.48</v>
      </c>
      <c r="HJ23" s="82">
        <f t="shared" si="55"/>
        <v>1990783699.9999995</v>
      </c>
      <c r="HL23" s="83">
        <f t="shared" si="56"/>
        <v>3363862592.48</v>
      </c>
      <c r="HM23" s="83">
        <f t="shared" si="56"/>
        <v>1833502592.48</v>
      </c>
      <c r="HN23" s="84">
        <f t="shared" si="57"/>
        <v>1530360000</v>
      </c>
      <c r="HP23" s="83">
        <f t="shared" si="58"/>
        <v>1100000000</v>
      </c>
      <c r="HQ23" s="83">
        <f t="shared" si="58"/>
        <v>1107500000</v>
      </c>
      <c r="HR23" s="84">
        <f t="shared" si="59"/>
        <v>-7500000</v>
      </c>
      <c r="HT23" s="83">
        <f t="shared" si="60"/>
        <v>145000000</v>
      </c>
      <c r="HU23" s="83">
        <f t="shared" si="60"/>
        <v>69900000</v>
      </c>
      <c r="HV23" s="84">
        <f t="shared" si="61"/>
        <v>75100000</v>
      </c>
      <c r="HX23" s="83">
        <f t="shared" si="62"/>
        <v>60000000</v>
      </c>
      <c r="HY23" s="83">
        <f t="shared" si="62"/>
        <v>0</v>
      </c>
      <c r="HZ23" s="84">
        <f t="shared" si="63"/>
        <v>60000000</v>
      </c>
      <c r="IB23" s="83">
        <f t="shared" si="64"/>
        <v>35000000</v>
      </c>
      <c r="IC23" s="83">
        <f t="shared" si="64"/>
        <v>0</v>
      </c>
      <c r="ID23" s="84">
        <f t="shared" si="65"/>
        <v>35000000</v>
      </c>
      <c r="IF23" s="83">
        <f t="shared" si="3"/>
        <v>2000000</v>
      </c>
      <c r="IG23" s="83">
        <f t="shared" si="3"/>
        <v>0</v>
      </c>
      <c r="IH23" s="84">
        <f t="shared" si="66"/>
        <v>2000000</v>
      </c>
      <c r="IJ23" s="84">
        <f t="shared" si="67"/>
        <v>295823700</v>
      </c>
      <c r="IK23" s="84">
        <f t="shared" si="67"/>
        <v>0</v>
      </c>
      <c r="IL23" s="84">
        <f t="shared" si="68"/>
        <v>295823700</v>
      </c>
    </row>
    <row r="24" spans="1:246" s="100" customFormat="1" x14ac:dyDescent="0.25">
      <c r="A24" s="73">
        <v>19</v>
      </c>
      <c r="B24" s="92" t="s">
        <v>83</v>
      </c>
      <c r="C24" s="73" t="s">
        <v>65</v>
      </c>
      <c r="D24" s="75">
        <f>'[1]Univ Comm Fund'!D24</f>
        <v>59027776.670000002</v>
      </c>
      <c r="E24" s="75">
        <f>'[1]UNIV 2019'!D30</f>
        <v>59027776.670000002</v>
      </c>
      <c r="F24" s="75">
        <f t="shared" si="4"/>
        <v>0</v>
      </c>
      <c r="G24" s="75"/>
      <c r="H24" s="75">
        <f>'[1]Univ Comm Fund'!E24</f>
        <v>20000000</v>
      </c>
      <c r="I24" s="75">
        <f>'[1]UNIV 2019'!E30</f>
        <v>20000000</v>
      </c>
      <c r="J24" s="75">
        <f t="shared" si="5"/>
        <v>0</v>
      </c>
      <c r="K24" s="75"/>
      <c r="L24" s="75">
        <f>'[1]Univ Comm Fund'!F24</f>
        <v>40000000</v>
      </c>
      <c r="M24" s="75">
        <f>'[1]UNIV 2019'!F30</f>
        <v>40000000</v>
      </c>
      <c r="N24" s="75">
        <f t="shared" si="6"/>
        <v>0</v>
      </c>
      <c r="O24" s="75"/>
      <c r="P24" s="75">
        <f>'[1]Univ Comm Fund'!G24</f>
        <v>3930000</v>
      </c>
      <c r="Q24" s="75">
        <f>'[1]UNIV 2019'!G30</f>
        <v>3930000</v>
      </c>
      <c r="R24" s="75">
        <f t="shared" si="7"/>
        <v>0</v>
      </c>
      <c r="S24" s="76"/>
      <c r="T24" s="75">
        <f>'[1]Univ Comm Fund'!H24</f>
        <v>50000000</v>
      </c>
      <c r="U24" s="75">
        <f>'[1]UNIV 2019'!H30</f>
        <v>50000000</v>
      </c>
      <c r="V24" s="75">
        <f t="shared" si="8"/>
        <v>0</v>
      </c>
      <c r="W24" s="75"/>
      <c r="X24" s="75">
        <f>'[1]Univ Comm Fund'!I24</f>
        <v>25000000</v>
      </c>
      <c r="Y24" s="75">
        <f>'[1]UNIV 2019'!I30</f>
        <v>25000000</v>
      </c>
      <c r="Z24" s="75">
        <f t="shared" si="9"/>
        <v>0</v>
      </c>
      <c r="AA24" s="75"/>
      <c r="AB24" s="75">
        <f>'[1]Univ Comm Fund'!J24</f>
        <v>30000000</v>
      </c>
      <c r="AC24" s="75">
        <f>'[1]UNIV 2019'!J30</f>
        <v>30000000</v>
      </c>
      <c r="AD24" s="75">
        <f t="shared" si="10"/>
        <v>0</v>
      </c>
      <c r="AE24" s="75"/>
      <c r="AF24" s="77">
        <f>'[1]Univ Comm Fund'!K24</f>
        <v>30000000</v>
      </c>
      <c r="AG24" s="75">
        <f>'[1]UNIV 2019'!K30</f>
        <v>30000000</v>
      </c>
      <c r="AH24" s="75">
        <f t="shared" si="11"/>
        <v>0</v>
      </c>
      <c r="AI24" s="77"/>
      <c r="AJ24" s="75">
        <f>'[1]Univ Comm Fund'!L24</f>
        <v>0</v>
      </c>
      <c r="AK24" s="75">
        <f>'[1]UNIV 2019'!L30</f>
        <v>0</v>
      </c>
      <c r="AL24" s="75">
        <f t="shared" si="12"/>
        <v>0</v>
      </c>
      <c r="AM24" s="75"/>
      <c r="AN24" s="75">
        <f>'[1]Univ Comm Fund'!M24</f>
        <v>40000000</v>
      </c>
      <c r="AO24" s="75">
        <f>'[1]UNIV 2019'!M30</f>
        <v>40000000</v>
      </c>
      <c r="AP24" s="75">
        <f t="shared" si="13"/>
        <v>0</v>
      </c>
      <c r="AQ24" s="75"/>
      <c r="AR24" s="75">
        <f>'[1]Univ Comm Fund'!N24</f>
        <v>0</v>
      </c>
      <c r="AS24" s="75">
        <f>'[1]UNIV 2019'!N30</f>
        <v>0</v>
      </c>
      <c r="AT24" s="75">
        <f t="shared" si="14"/>
        <v>0</v>
      </c>
      <c r="AU24" s="75"/>
      <c r="AV24" s="75">
        <f>'[1]Univ Comm Fund'!O24</f>
        <v>40000000</v>
      </c>
      <c r="AW24" s="75">
        <f>'[1]UNIV 2019'!O30</f>
        <v>40000000</v>
      </c>
      <c r="AX24" s="75">
        <f t="shared" si="15"/>
        <v>0</v>
      </c>
      <c r="AY24" s="75"/>
      <c r="AZ24" s="75">
        <f>'[1]Univ Comm Fund'!P24</f>
        <v>0</v>
      </c>
      <c r="BA24" s="75">
        <f>'[1]UNIV 2019'!P30</f>
        <v>0</v>
      </c>
      <c r="BB24" s="75">
        <f t="shared" si="0"/>
        <v>0</v>
      </c>
      <c r="BC24" s="75"/>
      <c r="BD24" s="75">
        <f>'[1]Univ Comm Fund'!Q24</f>
        <v>52000000</v>
      </c>
      <c r="BE24" s="75">
        <f>'[1]UNIV 2019'!Q30</f>
        <v>52000000</v>
      </c>
      <c r="BF24" s="75">
        <f t="shared" si="1"/>
        <v>0</v>
      </c>
      <c r="BG24" s="75"/>
      <c r="BH24" s="75">
        <f>'[1]Univ Comm Fund'!R24</f>
        <v>56950000</v>
      </c>
      <c r="BI24" s="75">
        <f>'[1]UNIV 2019'!R30</f>
        <v>56950000</v>
      </c>
      <c r="BJ24" s="75">
        <f t="shared" si="16"/>
        <v>0</v>
      </c>
      <c r="BK24" s="75"/>
      <c r="BL24" s="75">
        <f>'[1]Univ Comm Fund'!S24</f>
        <v>48450000</v>
      </c>
      <c r="BM24" s="75">
        <f>'[1]UNIV 2019'!S30</f>
        <v>48450000</v>
      </c>
      <c r="BN24" s="75">
        <f t="shared" si="17"/>
        <v>0</v>
      </c>
      <c r="BO24" s="75"/>
      <c r="BP24" s="75">
        <f>'[1]Univ Comm Fund'!T24</f>
        <v>0</v>
      </c>
      <c r="BQ24" s="75">
        <f>'[1]UNIV 2019'!T30</f>
        <v>0</v>
      </c>
      <c r="BR24" s="75">
        <f t="shared" si="18"/>
        <v>0</v>
      </c>
      <c r="BS24" s="75"/>
      <c r="BT24" s="75">
        <f>'[1]Univ Comm Fund'!U24</f>
        <v>164169000</v>
      </c>
      <c r="BU24" s="75">
        <f>'[1]UNIV 2019'!U30</f>
        <v>164169000</v>
      </c>
      <c r="BV24" s="75">
        <f t="shared" si="2"/>
        <v>0</v>
      </c>
      <c r="BW24" s="75"/>
      <c r="BX24" s="75">
        <f>'[1]Univ Comm Fund'!V24</f>
        <v>0</v>
      </c>
      <c r="BY24" s="75">
        <f>'[1]UNIV 2019'!V30</f>
        <v>0</v>
      </c>
      <c r="BZ24" s="75">
        <f t="shared" si="19"/>
        <v>0</v>
      </c>
      <c r="CA24" s="75"/>
      <c r="CB24" s="75">
        <f>'[1]Univ Comm Fund'!W24</f>
        <v>175000000</v>
      </c>
      <c r="CC24" s="75">
        <f>'[1]UNIV 2019'!W30</f>
        <v>175000000</v>
      </c>
      <c r="CD24" s="75">
        <f t="shared" si="20"/>
        <v>0</v>
      </c>
      <c r="CE24" s="75"/>
      <c r="CF24" s="75">
        <v>75000000</v>
      </c>
      <c r="CG24" s="75">
        <f>'[1]UNIV 2019'!X30</f>
        <v>75000000</v>
      </c>
      <c r="CH24" s="75">
        <f t="shared" si="21"/>
        <v>0</v>
      </c>
      <c r="CI24" s="75"/>
      <c r="CJ24" s="96">
        <f>'[1]Univ Comm Fund'!Y24</f>
        <v>1400000000</v>
      </c>
      <c r="CK24" s="75">
        <f>'[1]UNIV 2019'!Y30</f>
        <v>1400000000</v>
      </c>
      <c r="CL24" s="75">
        <f t="shared" si="22"/>
        <v>0</v>
      </c>
      <c r="CM24" s="96"/>
      <c r="CN24" s="78">
        <f>'[1]Univ Comm Fund'!Z24</f>
        <v>350000000</v>
      </c>
      <c r="CO24" s="75">
        <f>'[1]UNIV 2019'!Z30</f>
        <v>350000000</v>
      </c>
      <c r="CP24" s="75">
        <f t="shared" si="23"/>
        <v>0</v>
      </c>
      <c r="CQ24" s="78"/>
      <c r="CR24" s="75">
        <f>'[1]Univ Comm Fund'!AA24</f>
        <v>0</v>
      </c>
      <c r="CS24" s="75">
        <f>'[1]UNIV 2019'!AA30</f>
        <v>0</v>
      </c>
      <c r="CT24" s="75">
        <f t="shared" si="24"/>
        <v>0</v>
      </c>
      <c r="CU24" s="75"/>
      <c r="CV24" s="97">
        <f>'[1]Univ Comm Fund'!AB24</f>
        <v>650000000</v>
      </c>
      <c r="CW24" s="97">
        <f>'[1]UNIV 2019'!AB30</f>
        <v>650000000</v>
      </c>
      <c r="CX24" s="97">
        <f t="shared" si="25"/>
        <v>0</v>
      </c>
      <c r="CY24" s="75"/>
      <c r="CZ24" s="75">
        <f>'[1]Univ Comm Fund'!AC24</f>
        <v>356000000</v>
      </c>
      <c r="DA24" s="75">
        <f>'[1]UNIV 2019'!AC30</f>
        <v>356000000</v>
      </c>
      <c r="DB24" s="75">
        <f t="shared" si="26"/>
        <v>0</v>
      </c>
      <c r="DC24" s="75"/>
      <c r="DD24" s="75">
        <f>'[1]Univ Comm Fund'!AD24</f>
        <v>20000000</v>
      </c>
      <c r="DE24" s="75">
        <f>'[1]UNIV 2019'!AD30</f>
        <v>12200000</v>
      </c>
      <c r="DF24" s="75">
        <f t="shared" si="27"/>
        <v>7800000</v>
      </c>
      <c r="DG24" s="75"/>
      <c r="DH24" s="75">
        <f>'[1]Univ Comm Fund'!AE24</f>
        <v>552000000</v>
      </c>
      <c r="DI24" s="75">
        <f>'[1]UNIV 2019'!AE30</f>
        <v>552000000</v>
      </c>
      <c r="DJ24" s="75">
        <f t="shared" si="28"/>
        <v>0</v>
      </c>
      <c r="DK24" s="75"/>
      <c r="DL24" s="75">
        <f>'[1]Univ Comm Fund'!AF24</f>
        <v>20000000</v>
      </c>
      <c r="DM24" s="75">
        <f>'[1]UNIV 2019'!AF30</f>
        <v>12200000</v>
      </c>
      <c r="DN24" s="75">
        <f t="shared" si="29"/>
        <v>7800000</v>
      </c>
      <c r="DO24" s="75"/>
      <c r="DP24" s="75">
        <f>'[1]Univ Comm Fund'!AG24</f>
        <v>250000000</v>
      </c>
      <c r="DQ24" s="75">
        <f>'[1]UNIV 2019'!AG30</f>
        <v>250000000</v>
      </c>
      <c r="DR24" s="75">
        <f t="shared" si="30"/>
        <v>0</v>
      </c>
      <c r="DS24" s="75"/>
      <c r="DT24" s="66">
        <f>'[1]Univ Comm Fund'!AH24</f>
        <v>100000000</v>
      </c>
      <c r="DU24" s="75">
        <f>'[1]UNIV 2019'!AH30</f>
        <v>100000000</v>
      </c>
      <c r="DV24" s="66">
        <f t="shared" si="31"/>
        <v>0</v>
      </c>
      <c r="DW24" s="98"/>
      <c r="DX24" s="99">
        <f>'[1]Univ Comm Fund'!AI24</f>
        <v>15000000</v>
      </c>
      <c r="DY24" s="98">
        <f>'[1]UNIV 2019'!AI30</f>
        <v>7500000</v>
      </c>
      <c r="DZ24" s="66">
        <f t="shared" si="32"/>
        <v>7500000</v>
      </c>
      <c r="EA24" s="98"/>
      <c r="EB24" s="99">
        <f>'[1]Univ Comm Fund'!AJ24</f>
        <v>2000000</v>
      </c>
      <c r="EC24" s="98">
        <f>'[1]UNIV 2019'!AJ30</f>
        <v>0</v>
      </c>
      <c r="ED24" s="66">
        <f t="shared" si="33"/>
        <v>2000000</v>
      </c>
      <c r="EE24" s="98"/>
      <c r="EF24" s="99">
        <f>'[1]Univ Comm Fund'!AK24</f>
        <v>10000000</v>
      </c>
      <c r="EG24" s="98">
        <f>'[1]UNIV 2019'!AK30</f>
        <v>6100000</v>
      </c>
      <c r="EH24" s="66">
        <f t="shared" si="34"/>
        <v>3900000</v>
      </c>
      <c r="EI24" s="66"/>
      <c r="EJ24" s="66">
        <f>'[1]Univ Comm Fund'!AL24</f>
        <v>350000000</v>
      </c>
      <c r="EK24" s="66">
        <f>'[1]UNIV 2019'!AL30</f>
        <v>350000000</v>
      </c>
      <c r="EL24" s="66">
        <f t="shared" si="35"/>
        <v>0</v>
      </c>
      <c r="EM24" s="75"/>
      <c r="EN24" s="80">
        <f>'[1]Univ Comm Fund'!AM24</f>
        <v>565410000</v>
      </c>
      <c r="EO24" s="75">
        <f>'[1]UNIV 2019'!AM30</f>
        <v>480598500</v>
      </c>
      <c r="EP24" s="75">
        <f t="shared" si="36"/>
        <v>84811500</v>
      </c>
      <c r="EQ24" s="75"/>
      <c r="ER24" s="75">
        <f>'[1]Univ Comm Fund'!AN24</f>
        <v>15000000</v>
      </c>
      <c r="ES24" s="75">
        <f>'[1]UNIV 2019'!AN30</f>
        <v>7500000</v>
      </c>
      <c r="ET24" s="75">
        <f t="shared" si="37"/>
        <v>7500000</v>
      </c>
      <c r="EU24" s="75"/>
      <c r="EV24" s="75">
        <f>'[1]Univ Comm Fund'!AO24</f>
        <v>15000000</v>
      </c>
      <c r="EW24" s="75">
        <f>'[1]UNIV 2019'!AO30</f>
        <v>0</v>
      </c>
      <c r="EX24" s="75">
        <f t="shared" si="38"/>
        <v>15000000</v>
      </c>
      <c r="EY24" s="75"/>
      <c r="EZ24" s="75">
        <f>'[1]Univ Comm Fund'!AP24</f>
        <v>10000000</v>
      </c>
      <c r="FA24" s="75">
        <f>'[1]UNIV 2019'!AP30</f>
        <v>6100000</v>
      </c>
      <c r="FB24" s="75">
        <f t="shared" si="39"/>
        <v>3900000</v>
      </c>
      <c r="FC24" s="75"/>
      <c r="FD24" s="75">
        <f>'[1]Univ Comm Fund'!AQ24</f>
        <v>0</v>
      </c>
      <c r="FE24" s="75">
        <f>'[1]UNIV 2019'!AQ30</f>
        <v>0</v>
      </c>
      <c r="FF24" s="75">
        <f t="shared" si="40"/>
        <v>0</v>
      </c>
      <c r="FG24" s="75"/>
      <c r="FH24" s="75">
        <f>'[1]Univ Comm Fund'!AR24</f>
        <v>0</v>
      </c>
      <c r="FI24" s="75">
        <f>'[1]UNIV 2019'!AR30</f>
        <v>0</v>
      </c>
      <c r="FJ24" s="75">
        <f t="shared" si="41"/>
        <v>0</v>
      </c>
      <c r="FK24" s="75"/>
      <c r="FL24" s="75">
        <f>'[1]Univ Comm Fund'!AS24</f>
        <v>300000000</v>
      </c>
      <c r="FM24" s="75">
        <f>'[1]UNIV 2019'!AS30</f>
        <v>0</v>
      </c>
      <c r="FN24" s="75">
        <f t="shared" si="42"/>
        <v>300000000</v>
      </c>
      <c r="FO24" s="75"/>
      <c r="FP24" s="75">
        <f>'[1]Univ Comm Fund'!AT24</f>
        <v>120000000</v>
      </c>
      <c r="FQ24" s="75">
        <f>'[1]UNIV 2019'!AT30</f>
        <v>84000000</v>
      </c>
      <c r="FR24" s="75">
        <f t="shared" si="43"/>
        <v>36000000</v>
      </c>
      <c r="FS24" s="75"/>
      <c r="FT24" s="75">
        <f>'[1]Univ Comm Fund'!AU24</f>
        <v>10000000</v>
      </c>
      <c r="FU24" s="75">
        <f>'[1]UNIV 2019'!AU30</f>
        <v>0</v>
      </c>
      <c r="FV24" s="75">
        <f t="shared" si="44"/>
        <v>10000000</v>
      </c>
      <c r="FW24" s="75"/>
      <c r="FX24" s="75">
        <f>'[1]Univ Comm Fund'!AV24</f>
        <v>5000000</v>
      </c>
      <c r="FY24" s="75">
        <f>'[1]UNIV 2019'!AV30</f>
        <v>0</v>
      </c>
      <c r="FZ24" s="75">
        <f t="shared" si="45"/>
        <v>5000000</v>
      </c>
      <c r="GA24" s="75"/>
      <c r="GB24" s="75">
        <f>'[1]Univ Comm Fund'!AW24</f>
        <v>10000000</v>
      </c>
      <c r="GC24" s="75">
        <f>'[1]UNIV 2019'!AW30</f>
        <v>0</v>
      </c>
      <c r="GD24" s="75">
        <f t="shared" si="46"/>
        <v>10000000</v>
      </c>
      <c r="GE24" s="75"/>
      <c r="GF24" s="75">
        <f>'[1]Univ Comm Fund'!AX24</f>
        <v>0</v>
      </c>
      <c r="GG24" s="75">
        <f>'[1]UNIV 2019'!AX30</f>
        <v>0</v>
      </c>
      <c r="GH24" s="75">
        <f t="shared" si="47"/>
        <v>0</v>
      </c>
      <c r="GI24" s="75"/>
      <c r="GJ24" s="75">
        <f>'[1]Univ Comm Fund'!AY24</f>
        <v>350000000</v>
      </c>
      <c r="GK24" s="75">
        <f>'[1]UNIV 2019'!AY30</f>
        <v>0</v>
      </c>
      <c r="GL24" s="75">
        <f t="shared" si="48"/>
        <v>350000000</v>
      </c>
      <c r="GM24" s="75"/>
      <c r="GN24" s="75">
        <f>'[1]Univ Comm Fund'!AZ24</f>
        <v>175823700</v>
      </c>
      <c r="GO24" s="75">
        <f>'[1]UNIV 2019'!AZ30</f>
        <v>0</v>
      </c>
      <c r="GP24" s="75">
        <f t="shared" si="49"/>
        <v>175823700</v>
      </c>
      <c r="GQ24" s="75"/>
      <c r="GR24" s="75">
        <f>'[1]Univ Comm Fund'!BA24</f>
        <v>20000000</v>
      </c>
      <c r="GS24" s="75">
        <f>'[1]UNIV 2019'!BA30</f>
        <v>0</v>
      </c>
      <c r="GT24" s="75">
        <f t="shared" si="50"/>
        <v>20000000</v>
      </c>
      <c r="GU24" s="75"/>
      <c r="GV24" s="75">
        <f>'[1]Univ Comm Fund'!BB24</f>
        <v>5000000</v>
      </c>
      <c r="GW24" s="75">
        <f>'[1]UNIV 2019'!BB30</f>
        <v>0</v>
      </c>
      <c r="GX24" s="75">
        <f t="shared" si="51"/>
        <v>5000000</v>
      </c>
      <c r="GY24" s="75"/>
      <c r="GZ24" s="75">
        <f>'[1]Univ Comm Fund'!BC24</f>
        <v>10000000</v>
      </c>
      <c r="HA24" s="75">
        <f>'[1]UNIV 2019'!BD30</f>
        <v>0</v>
      </c>
      <c r="HB24" s="75">
        <f t="shared" si="52"/>
        <v>10000000</v>
      </c>
      <c r="HC24" s="75"/>
      <c r="HD24" s="75">
        <f>'[1]Univ Comm Fund'!BD24</f>
        <v>0</v>
      </c>
      <c r="HE24" s="75">
        <f>'[1]UNIV 2019'!BC30</f>
        <v>0</v>
      </c>
      <c r="HF24" s="75">
        <f t="shared" si="53"/>
        <v>0</v>
      </c>
      <c r="HG24" s="75"/>
      <c r="HH24" s="75">
        <f t="shared" si="54"/>
        <v>6595760476.6700001</v>
      </c>
      <c r="HI24" s="75">
        <f t="shared" si="54"/>
        <v>5533725276.6700001</v>
      </c>
      <c r="HJ24" s="82">
        <f t="shared" si="55"/>
        <v>1062035200</v>
      </c>
      <c r="HK24" s="3"/>
      <c r="HL24" s="83">
        <f t="shared" si="56"/>
        <v>3379006776.6700001</v>
      </c>
      <c r="HM24" s="83">
        <f t="shared" si="56"/>
        <v>2644195276.6700001</v>
      </c>
      <c r="HN24" s="84">
        <f t="shared" si="57"/>
        <v>734811500</v>
      </c>
      <c r="HP24" s="83">
        <f t="shared" si="58"/>
        <v>2650000000</v>
      </c>
      <c r="HQ24" s="83">
        <f t="shared" si="58"/>
        <v>2650000000</v>
      </c>
      <c r="HR24" s="84">
        <f t="shared" si="59"/>
        <v>0</v>
      </c>
      <c r="HT24" s="83">
        <f t="shared" si="60"/>
        <v>145000000</v>
      </c>
      <c r="HU24" s="83">
        <f t="shared" si="60"/>
        <v>111600000</v>
      </c>
      <c r="HV24" s="84">
        <f t="shared" si="61"/>
        <v>33400000</v>
      </c>
      <c r="HX24" s="83">
        <f t="shared" si="62"/>
        <v>60000000</v>
      </c>
      <c r="HY24" s="83">
        <f t="shared" si="62"/>
        <v>15000000</v>
      </c>
      <c r="HZ24" s="84">
        <f t="shared" si="63"/>
        <v>45000000</v>
      </c>
      <c r="IB24" s="83">
        <f t="shared" si="64"/>
        <v>35000000</v>
      </c>
      <c r="IC24" s="83">
        <f t="shared" si="64"/>
        <v>0</v>
      </c>
      <c r="ID24" s="84">
        <f t="shared" si="65"/>
        <v>35000000</v>
      </c>
      <c r="IF24" s="83">
        <f t="shared" si="3"/>
        <v>2000000</v>
      </c>
      <c r="IG24" s="83">
        <f t="shared" si="3"/>
        <v>0</v>
      </c>
      <c r="IH24" s="84">
        <f t="shared" si="66"/>
        <v>2000000</v>
      </c>
      <c r="IJ24" s="84">
        <f t="shared" si="67"/>
        <v>295823700</v>
      </c>
      <c r="IK24" s="84">
        <f t="shared" si="67"/>
        <v>84000000</v>
      </c>
      <c r="IL24" s="84">
        <f t="shared" si="68"/>
        <v>211823700</v>
      </c>
    </row>
    <row r="25" spans="1:246" x14ac:dyDescent="0.25">
      <c r="A25" s="42">
        <v>20</v>
      </c>
      <c r="B25" s="86" t="s">
        <v>84</v>
      </c>
      <c r="C25" s="42" t="s">
        <v>61</v>
      </c>
      <c r="D25" s="66">
        <f>'[1]Univ Comm Fund'!D25</f>
        <v>59027776.670000002</v>
      </c>
      <c r="E25" s="66">
        <f>'[1]UNIV 2019'!D31</f>
        <v>59027776.670000002</v>
      </c>
      <c r="F25" s="75">
        <f t="shared" si="4"/>
        <v>0</v>
      </c>
      <c r="G25" s="66"/>
      <c r="H25" s="66">
        <f>'[1]Univ Comm Fund'!E25</f>
        <v>20000000</v>
      </c>
      <c r="I25" s="66">
        <f>'[1]UNIV 2019'!E31</f>
        <v>20000000</v>
      </c>
      <c r="J25" s="66">
        <f t="shared" si="5"/>
        <v>0</v>
      </c>
      <c r="K25" s="66"/>
      <c r="L25" s="66">
        <f>'[1]Univ Comm Fund'!F25</f>
        <v>40000000</v>
      </c>
      <c r="M25" s="66">
        <f>'[1]UNIV 2019'!F31</f>
        <v>40000000</v>
      </c>
      <c r="N25" s="66">
        <f t="shared" si="6"/>
        <v>0</v>
      </c>
      <c r="O25" s="66"/>
      <c r="P25" s="66">
        <f>'[1]Univ Comm Fund'!G25</f>
        <v>0</v>
      </c>
      <c r="Q25" s="66">
        <f>'[1]UNIV 2019'!G31</f>
        <v>0</v>
      </c>
      <c r="R25" s="66">
        <f t="shared" si="7"/>
        <v>0</v>
      </c>
      <c r="S25" s="87"/>
      <c r="T25" s="66">
        <f>'[1]Univ Comm Fund'!H25</f>
        <v>50000000</v>
      </c>
      <c r="U25" s="66">
        <f>'[1]UNIV 2019'!H31</f>
        <v>50000000</v>
      </c>
      <c r="V25" s="66">
        <f t="shared" si="8"/>
        <v>0</v>
      </c>
      <c r="W25" s="66"/>
      <c r="X25" s="66">
        <f>'[1]Univ Comm Fund'!I25</f>
        <v>0</v>
      </c>
      <c r="Y25" s="66">
        <f>'[1]UNIV 2019'!I31</f>
        <v>0</v>
      </c>
      <c r="Z25" s="66">
        <f t="shared" si="9"/>
        <v>0</v>
      </c>
      <c r="AA25" s="66"/>
      <c r="AB25" s="66">
        <f>'[1]Univ Comm Fund'!J25</f>
        <v>30000000</v>
      </c>
      <c r="AC25" s="66">
        <f>'[1]UNIV 2019'!J31</f>
        <v>30000000</v>
      </c>
      <c r="AD25" s="66">
        <f t="shared" si="10"/>
        <v>0</v>
      </c>
      <c r="AE25" s="66"/>
      <c r="AF25" s="88">
        <f>'[1]Univ Comm Fund'!K25</f>
        <v>30000000</v>
      </c>
      <c r="AG25" s="66">
        <f>'[1]UNIV 2019'!K31</f>
        <v>30000000</v>
      </c>
      <c r="AH25" s="66">
        <f t="shared" si="11"/>
        <v>0</v>
      </c>
      <c r="AI25" s="88"/>
      <c r="AJ25" s="66">
        <f>'[1]Univ Comm Fund'!L25</f>
        <v>0</v>
      </c>
      <c r="AK25" s="66">
        <f>'[1]UNIV 2019'!L31</f>
        <v>0</v>
      </c>
      <c r="AL25" s="66">
        <f t="shared" si="12"/>
        <v>0</v>
      </c>
      <c r="AM25" s="66"/>
      <c r="AN25" s="66">
        <f>'[1]Univ Comm Fund'!M25</f>
        <v>40000000</v>
      </c>
      <c r="AO25" s="66">
        <f>'[1]UNIV 2019'!M31</f>
        <v>40000000</v>
      </c>
      <c r="AP25" s="66">
        <f t="shared" si="13"/>
        <v>0</v>
      </c>
      <c r="AQ25" s="66"/>
      <c r="AR25" s="66">
        <f>'[1]Univ Comm Fund'!N25</f>
        <v>0</v>
      </c>
      <c r="AS25" s="66">
        <f>'[1]UNIV 2019'!N31</f>
        <v>0</v>
      </c>
      <c r="AT25" s="66">
        <f t="shared" si="14"/>
        <v>0</v>
      </c>
      <c r="AU25" s="66"/>
      <c r="AV25" s="66">
        <f>'[1]Univ Comm Fund'!O25</f>
        <v>40000000</v>
      </c>
      <c r="AW25" s="66">
        <f>'[1]UNIV 2019'!O31</f>
        <v>40000000</v>
      </c>
      <c r="AX25" s="66">
        <f t="shared" si="15"/>
        <v>0</v>
      </c>
      <c r="AY25" s="66"/>
      <c r="AZ25" s="66">
        <f>'[1]Univ Comm Fund'!P25</f>
        <v>0</v>
      </c>
      <c r="BA25" s="66">
        <f>'[1]UNIV 2019'!P31</f>
        <v>0</v>
      </c>
      <c r="BB25" s="66">
        <f t="shared" si="0"/>
        <v>0</v>
      </c>
      <c r="BC25" s="66"/>
      <c r="BD25" s="66">
        <f>'[1]Univ Comm Fund'!Q25</f>
        <v>52000000</v>
      </c>
      <c r="BE25" s="66">
        <f>'[1]UNIV 2019'!Q31</f>
        <v>52000000</v>
      </c>
      <c r="BF25" s="66">
        <f t="shared" si="1"/>
        <v>0</v>
      </c>
      <c r="BG25" s="66"/>
      <c r="BH25" s="66">
        <f>'[1]Univ Comm Fund'!R25</f>
        <v>67000000</v>
      </c>
      <c r="BI25" s="66">
        <f>'[1]UNIV 2019'!R31</f>
        <v>67000000</v>
      </c>
      <c r="BJ25" s="66">
        <f t="shared" si="16"/>
        <v>0</v>
      </c>
      <c r="BK25" s="66"/>
      <c r="BL25" s="66">
        <f>'[1]Univ Comm Fund'!S25</f>
        <v>57000000</v>
      </c>
      <c r="BM25" s="66">
        <f>'[1]UNIV 2019'!S31</f>
        <v>57000000</v>
      </c>
      <c r="BN25" s="66">
        <f t="shared" si="17"/>
        <v>0</v>
      </c>
      <c r="BO25" s="66"/>
      <c r="BP25" s="66">
        <f>'[1]Univ Comm Fund'!T25</f>
        <v>0</v>
      </c>
      <c r="BQ25" s="66">
        <f>'[1]UNIV 2019'!T31</f>
        <v>0</v>
      </c>
      <c r="BR25" s="66">
        <f t="shared" si="18"/>
        <v>0</v>
      </c>
      <c r="BS25" s="66"/>
      <c r="BT25" s="66">
        <f>'[1]Univ Comm Fund'!U25</f>
        <v>193140000</v>
      </c>
      <c r="BU25" s="66">
        <f>'[1]UNIV 2019'!U31</f>
        <v>193140000</v>
      </c>
      <c r="BV25" s="66">
        <f t="shared" si="2"/>
        <v>0</v>
      </c>
      <c r="BW25" s="66"/>
      <c r="BX25" s="66">
        <f>'[1]Univ Comm Fund'!V25</f>
        <v>0</v>
      </c>
      <c r="BY25" s="66">
        <f>'[1]UNIV 2019'!V31</f>
        <v>0</v>
      </c>
      <c r="BZ25" s="66">
        <f t="shared" si="19"/>
        <v>0</v>
      </c>
      <c r="CA25" s="66"/>
      <c r="CB25" s="66">
        <f>'[1]Univ Comm Fund'!W25</f>
        <v>175000000</v>
      </c>
      <c r="CC25" s="66">
        <f>'[1]UNIV 2019'!W31</f>
        <v>148750000</v>
      </c>
      <c r="CD25" s="66">
        <f t="shared" si="20"/>
        <v>26250000</v>
      </c>
      <c r="CE25" s="66"/>
      <c r="CF25" s="66">
        <v>75000000</v>
      </c>
      <c r="CG25" s="66">
        <f>'[1]UNIV 2019'!X31</f>
        <v>75000000</v>
      </c>
      <c r="CH25" s="75">
        <f t="shared" si="21"/>
        <v>0</v>
      </c>
      <c r="CI25" s="66"/>
      <c r="CJ25" s="66">
        <f>'[1]Univ Comm Fund'!Y25</f>
        <v>0</v>
      </c>
      <c r="CK25" s="66">
        <f>'[1]UNIV 2019'!Y31</f>
        <v>0</v>
      </c>
      <c r="CL25" s="66">
        <f t="shared" si="22"/>
        <v>0</v>
      </c>
      <c r="CM25" s="66"/>
      <c r="CN25" s="20">
        <f>'[1]Univ Comm Fund'!Z25</f>
        <v>350000000</v>
      </c>
      <c r="CO25" s="66">
        <f>'[1]UNIV 2019'!Z31</f>
        <v>297500000</v>
      </c>
      <c r="CP25" s="66">
        <f t="shared" si="23"/>
        <v>52500000</v>
      </c>
      <c r="CQ25" s="20"/>
      <c r="CR25" s="66">
        <f>'[1]Univ Comm Fund'!AA25</f>
        <v>42000000</v>
      </c>
      <c r="CS25" s="66">
        <f>'[1]UNIV 2019'!AA31</f>
        <v>42000000</v>
      </c>
      <c r="CT25" s="75">
        <f t="shared" si="24"/>
        <v>0</v>
      </c>
      <c r="CU25" s="66"/>
      <c r="CV25" s="66">
        <f>'[1]Univ Comm Fund'!AB25</f>
        <v>0</v>
      </c>
      <c r="CW25" s="66">
        <f>'[1]UNIV 2019'!AB31</f>
        <v>0</v>
      </c>
      <c r="CX25" s="75">
        <f t="shared" si="25"/>
        <v>0</v>
      </c>
      <c r="CY25" s="66"/>
      <c r="CZ25" s="66">
        <f>'[1]Univ Comm Fund'!AC25</f>
        <v>356000000</v>
      </c>
      <c r="DA25" s="66">
        <f>'[1]UNIV 2019'!AC31</f>
        <v>302600000</v>
      </c>
      <c r="DB25" s="66">
        <f t="shared" si="26"/>
        <v>53400000</v>
      </c>
      <c r="DC25" s="66"/>
      <c r="DD25" s="66">
        <f>'[1]Univ Comm Fund'!AD25</f>
        <v>20000000</v>
      </c>
      <c r="DE25" s="66">
        <f>'[1]UNIV 2019'!AD31</f>
        <v>17000000</v>
      </c>
      <c r="DF25" s="66">
        <f t="shared" si="27"/>
        <v>3000000</v>
      </c>
      <c r="DG25" s="66"/>
      <c r="DH25" s="66">
        <f>'[1]Univ Comm Fund'!AE25</f>
        <v>552000000</v>
      </c>
      <c r="DI25" s="66">
        <f>'[1]UNIV 2019'!AE31</f>
        <v>336720000</v>
      </c>
      <c r="DJ25" s="66">
        <f t="shared" si="28"/>
        <v>215280000</v>
      </c>
      <c r="DK25" s="66"/>
      <c r="DL25" s="66">
        <f>'[1]Univ Comm Fund'!AF25</f>
        <v>20000000</v>
      </c>
      <c r="DM25" s="66">
        <f>'[1]UNIV 2019'!AF31</f>
        <v>17000000</v>
      </c>
      <c r="DN25" s="66">
        <f t="shared" si="29"/>
        <v>3000000</v>
      </c>
      <c r="DO25" s="66"/>
      <c r="DP25" s="66">
        <f>'[1]Univ Comm Fund'!AG25</f>
        <v>200000000</v>
      </c>
      <c r="DQ25" s="66">
        <f>'[1]UNIV 2019'!AG31</f>
        <v>200000000</v>
      </c>
      <c r="DR25" s="66">
        <f t="shared" si="30"/>
        <v>0</v>
      </c>
      <c r="DS25" s="66"/>
      <c r="DT25" s="66">
        <f>'[1]Univ Comm Fund'!AH25</f>
        <v>100000000</v>
      </c>
      <c r="DU25" s="66">
        <f>'[1]UNIV 2019'!AH31</f>
        <v>61000000</v>
      </c>
      <c r="DV25" s="66">
        <f t="shared" si="31"/>
        <v>39000000</v>
      </c>
      <c r="DW25" s="66"/>
      <c r="DX25" s="66">
        <f>'[1]Univ Comm Fund'!AI25</f>
        <v>15000000</v>
      </c>
      <c r="DY25" s="66">
        <f>'[1]UNIV 2019'!AI31</f>
        <v>7650000</v>
      </c>
      <c r="DZ25" s="66">
        <f t="shared" si="32"/>
        <v>7350000</v>
      </c>
      <c r="EA25" s="66"/>
      <c r="EB25" s="66">
        <f>'[1]Univ Comm Fund'!AJ25</f>
        <v>2000000</v>
      </c>
      <c r="EC25" s="66">
        <f>'[1]UNIV 2019'!AJ31</f>
        <v>0</v>
      </c>
      <c r="ED25" s="66">
        <f t="shared" si="33"/>
        <v>2000000</v>
      </c>
      <c r="EE25" s="66"/>
      <c r="EF25" s="66">
        <f>'[1]Univ Comm Fund'!AK25</f>
        <v>10000000</v>
      </c>
      <c r="EG25" s="66">
        <f>'[1]UNIV 2019'!AK31</f>
        <v>0</v>
      </c>
      <c r="EH25" s="66">
        <f t="shared" si="34"/>
        <v>10000000</v>
      </c>
      <c r="EI25" s="66"/>
      <c r="EJ25" s="66">
        <f>'[1]Univ Comm Fund'!AL25</f>
        <v>200000000</v>
      </c>
      <c r="EK25" s="66">
        <f>'[1]UNIV 2019'!AL31</f>
        <v>108000000</v>
      </c>
      <c r="EL25" s="66">
        <f t="shared" si="35"/>
        <v>92000000</v>
      </c>
      <c r="EM25" s="66"/>
      <c r="EN25" s="80">
        <f>'[1]Univ Comm Fund'!AM25</f>
        <v>565410000</v>
      </c>
      <c r="EO25" s="66">
        <f>'[1]UNIV 2019'!AM31</f>
        <v>344900100</v>
      </c>
      <c r="EP25" s="75">
        <f t="shared" si="36"/>
        <v>220509900</v>
      </c>
      <c r="EQ25" s="66"/>
      <c r="ER25" s="66">
        <f>'[1]Univ Comm Fund'!AN25</f>
        <v>15000000</v>
      </c>
      <c r="ES25" s="66">
        <f>'[1]UNIV 2019'!AN31</f>
        <v>7650000</v>
      </c>
      <c r="ET25" s="75">
        <f t="shared" si="37"/>
        <v>7350000</v>
      </c>
      <c r="EU25" s="66"/>
      <c r="EV25" s="66">
        <f>'[1]Univ Comm Fund'!AO25</f>
        <v>15000000</v>
      </c>
      <c r="EW25" s="66">
        <f>'[1]UNIV 2019'!AO31</f>
        <v>0</v>
      </c>
      <c r="EX25" s="75">
        <f t="shared" si="38"/>
        <v>15000000</v>
      </c>
      <c r="EY25" s="66"/>
      <c r="EZ25" s="66">
        <f>'[1]Univ Comm Fund'!AP25</f>
        <v>10000000</v>
      </c>
      <c r="FA25" s="66">
        <f>'[1]UNIV 2019'!AP31</f>
        <v>0</v>
      </c>
      <c r="FB25" s="75">
        <f t="shared" si="39"/>
        <v>10000000</v>
      </c>
      <c r="FC25" s="75"/>
      <c r="FD25" s="75">
        <f>'[1]Univ Comm Fund'!AQ25</f>
        <v>0</v>
      </c>
      <c r="FE25" s="75">
        <f>'[1]UNIV 2019'!AQ31</f>
        <v>0</v>
      </c>
      <c r="FF25" s="75">
        <f t="shared" si="40"/>
        <v>0</v>
      </c>
      <c r="FG25" s="75"/>
      <c r="FH25" s="75">
        <f>'[1]Univ Comm Fund'!AR25</f>
        <v>0</v>
      </c>
      <c r="FI25" s="75">
        <f>'[1]UNIV 2019'!AR31</f>
        <v>0</v>
      </c>
      <c r="FJ25" s="75">
        <f t="shared" si="41"/>
        <v>0</v>
      </c>
      <c r="FK25" s="75"/>
      <c r="FL25" s="75">
        <f>'[1]Univ Comm Fund'!AS25</f>
        <v>300000000</v>
      </c>
      <c r="FM25" s="75">
        <f>'[1]UNIV 2019'!AS31</f>
        <v>0</v>
      </c>
      <c r="FN25" s="75">
        <f t="shared" si="42"/>
        <v>300000000</v>
      </c>
      <c r="FO25" s="75"/>
      <c r="FP25" s="75">
        <f>'[1]Univ Comm Fund'!AT25</f>
        <v>120000000</v>
      </c>
      <c r="FQ25" s="75">
        <f>'[1]UNIV 2019'!AT31</f>
        <v>81600000</v>
      </c>
      <c r="FR25" s="75">
        <f t="shared" si="43"/>
        <v>38400000</v>
      </c>
      <c r="FS25" s="75"/>
      <c r="FT25" s="75">
        <f>'[1]Univ Comm Fund'!AU25</f>
        <v>10000000</v>
      </c>
      <c r="FU25" s="75">
        <f>'[1]UNIV 2019'!AU31</f>
        <v>0</v>
      </c>
      <c r="FV25" s="75">
        <f t="shared" si="44"/>
        <v>10000000</v>
      </c>
      <c r="FW25" s="75"/>
      <c r="FX25" s="75">
        <f>'[1]Univ Comm Fund'!AV25</f>
        <v>5000000</v>
      </c>
      <c r="FY25" s="75">
        <f>'[1]UNIV 2019'!AV31</f>
        <v>0</v>
      </c>
      <c r="FZ25" s="75">
        <f t="shared" si="45"/>
        <v>5000000</v>
      </c>
      <c r="GA25" s="75"/>
      <c r="GB25" s="75">
        <f>'[1]Univ Comm Fund'!AW25</f>
        <v>10000000</v>
      </c>
      <c r="GC25" s="75">
        <f>'[1]UNIV 2019'!AW31</f>
        <v>0</v>
      </c>
      <c r="GD25" s="75">
        <f t="shared" si="46"/>
        <v>10000000</v>
      </c>
      <c r="GE25" s="75"/>
      <c r="GF25" s="75">
        <f>'[1]Univ Comm Fund'!AX25</f>
        <v>0</v>
      </c>
      <c r="GG25" s="75">
        <f>'[1]UNIV 2019'!AX31</f>
        <v>0</v>
      </c>
      <c r="GH25" s="75">
        <f t="shared" si="47"/>
        <v>0</v>
      </c>
      <c r="GI25" s="75"/>
      <c r="GJ25" s="75">
        <f>'[1]Univ Comm Fund'!AY25</f>
        <v>350000000</v>
      </c>
      <c r="GK25" s="75">
        <f>'[1]UNIV 2019'!AY31</f>
        <v>0</v>
      </c>
      <c r="GL25" s="75">
        <f t="shared" si="48"/>
        <v>350000000</v>
      </c>
      <c r="GM25" s="75"/>
      <c r="GN25" s="75">
        <f>'[1]Univ Comm Fund'!AZ25</f>
        <v>175823700</v>
      </c>
      <c r="GO25" s="75">
        <f>'[1]UNIV 2019'!AZ31</f>
        <v>0</v>
      </c>
      <c r="GP25" s="75">
        <f t="shared" si="49"/>
        <v>175823700</v>
      </c>
      <c r="GQ25" s="75"/>
      <c r="GR25" s="75">
        <f>'[1]Univ Comm Fund'!BA25</f>
        <v>20000000</v>
      </c>
      <c r="GS25" s="75">
        <f>'[1]UNIV 2019'!BA31</f>
        <v>0</v>
      </c>
      <c r="GT25" s="75">
        <f t="shared" si="50"/>
        <v>20000000</v>
      </c>
      <c r="GU25" s="75"/>
      <c r="GV25" s="75">
        <f>'[1]Univ Comm Fund'!BB25</f>
        <v>5000000</v>
      </c>
      <c r="GW25" s="75">
        <f>'[1]UNIV 2019'!BB31</f>
        <v>0</v>
      </c>
      <c r="GX25" s="75">
        <f t="shared" si="51"/>
        <v>5000000</v>
      </c>
      <c r="GY25" s="75"/>
      <c r="GZ25" s="75">
        <f>'[1]Univ Comm Fund'!BC25</f>
        <v>10000000</v>
      </c>
      <c r="HA25" s="75">
        <f>'[1]UNIV 2019'!BD31</f>
        <v>0</v>
      </c>
      <c r="HB25" s="75">
        <f t="shared" si="52"/>
        <v>10000000</v>
      </c>
      <c r="HC25" s="75"/>
      <c r="HD25" s="75">
        <f>'[1]Univ Comm Fund'!BD25</f>
        <v>0</v>
      </c>
      <c r="HE25" s="75">
        <f>'[1]UNIV 2019'!BC31</f>
        <v>0</v>
      </c>
      <c r="HF25" s="75">
        <f t="shared" si="53"/>
        <v>0</v>
      </c>
      <c r="HG25" s="75"/>
      <c r="HH25" s="75">
        <f t="shared" si="54"/>
        <v>4406401476.6700001</v>
      </c>
      <c r="HI25" s="75">
        <f t="shared" si="54"/>
        <v>2725537876.6700001</v>
      </c>
      <c r="HJ25" s="82">
        <f t="shared" si="55"/>
        <v>1680863600</v>
      </c>
      <c r="HL25" s="83">
        <f t="shared" si="56"/>
        <v>3426577776.6700001</v>
      </c>
      <c r="HM25" s="83">
        <f t="shared" si="56"/>
        <v>2169637876.6700001</v>
      </c>
      <c r="HN25" s="84">
        <f t="shared" si="57"/>
        <v>1256939900</v>
      </c>
      <c r="HP25" s="83">
        <f t="shared" si="58"/>
        <v>442000000</v>
      </c>
      <c r="HQ25" s="83">
        <f t="shared" si="58"/>
        <v>350000000</v>
      </c>
      <c r="HR25" s="84">
        <f t="shared" si="59"/>
        <v>92000000</v>
      </c>
      <c r="HT25" s="83">
        <f t="shared" si="60"/>
        <v>145000000</v>
      </c>
      <c r="HU25" s="83">
        <f t="shared" si="60"/>
        <v>109000000</v>
      </c>
      <c r="HV25" s="84">
        <f t="shared" si="61"/>
        <v>36000000</v>
      </c>
      <c r="HX25" s="83">
        <f t="shared" si="62"/>
        <v>60000000</v>
      </c>
      <c r="HY25" s="83">
        <f t="shared" si="62"/>
        <v>15300000</v>
      </c>
      <c r="HZ25" s="84">
        <f t="shared" si="63"/>
        <v>44700000</v>
      </c>
      <c r="IB25" s="83">
        <f t="shared" si="64"/>
        <v>35000000</v>
      </c>
      <c r="IC25" s="83">
        <f t="shared" si="64"/>
        <v>0</v>
      </c>
      <c r="ID25" s="84">
        <f t="shared" si="65"/>
        <v>35000000</v>
      </c>
      <c r="IF25" s="83">
        <f t="shared" si="3"/>
        <v>2000000</v>
      </c>
      <c r="IG25" s="83">
        <f t="shared" si="3"/>
        <v>0</v>
      </c>
      <c r="IH25" s="84">
        <f t="shared" si="66"/>
        <v>2000000</v>
      </c>
      <c r="IJ25" s="84">
        <f t="shared" si="67"/>
        <v>295823700</v>
      </c>
      <c r="IK25" s="84">
        <f t="shared" si="67"/>
        <v>81600000</v>
      </c>
      <c r="IL25" s="84">
        <f t="shared" si="68"/>
        <v>214223700</v>
      </c>
    </row>
    <row r="26" spans="1:246" x14ac:dyDescent="0.25">
      <c r="A26" s="42">
        <v>21</v>
      </c>
      <c r="B26" s="86" t="s">
        <v>85</v>
      </c>
      <c r="C26" s="42" t="s">
        <v>65</v>
      </c>
      <c r="D26" s="66">
        <f>'[1]Univ Comm Fund'!D26</f>
        <v>53715276.090000004</v>
      </c>
      <c r="E26" s="66">
        <f>'[1]UNIV 2019'!D32</f>
        <v>53715276.090000004</v>
      </c>
      <c r="F26" s="75">
        <f t="shared" si="4"/>
        <v>0</v>
      </c>
      <c r="G26" s="66"/>
      <c r="H26" s="66">
        <f>'[1]Univ Comm Fund'!E26</f>
        <v>20000000</v>
      </c>
      <c r="I26" s="66">
        <f>'[1]UNIV 2019'!E32</f>
        <v>20000000</v>
      </c>
      <c r="J26" s="66">
        <f t="shared" si="5"/>
        <v>0</v>
      </c>
      <c r="K26" s="66"/>
      <c r="L26" s="66">
        <f>'[1]Univ Comm Fund'!F26</f>
        <v>40000000</v>
      </c>
      <c r="M26" s="66">
        <f>'[1]UNIV 2019'!F32</f>
        <v>40000000</v>
      </c>
      <c r="N26" s="66">
        <f t="shared" si="6"/>
        <v>0</v>
      </c>
      <c r="O26" s="66"/>
      <c r="P26" s="66">
        <f>'[1]Univ Comm Fund'!G26</f>
        <v>716000</v>
      </c>
      <c r="Q26" s="66">
        <f>'[1]UNIV 2019'!G32</f>
        <v>716000</v>
      </c>
      <c r="R26" s="66">
        <f t="shared" si="7"/>
        <v>0</v>
      </c>
      <c r="S26" s="87"/>
      <c r="T26" s="66">
        <f>'[1]Univ Comm Fund'!H26</f>
        <v>50000000</v>
      </c>
      <c r="U26" s="66">
        <f>'[1]UNIV 2019'!H32</f>
        <v>50000000</v>
      </c>
      <c r="V26" s="66">
        <f t="shared" si="8"/>
        <v>0</v>
      </c>
      <c r="W26" s="66"/>
      <c r="X26" s="66">
        <f>'[1]Univ Comm Fund'!I26</f>
        <v>21250000</v>
      </c>
      <c r="Y26" s="66">
        <f>'[1]UNIV 2019'!I32</f>
        <v>21250000</v>
      </c>
      <c r="Z26" s="66">
        <f t="shared" si="9"/>
        <v>0</v>
      </c>
      <c r="AA26" s="66"/>
      <c r="AB26" s="66">
        <f>'[1]Univ Comm Fund'!J26</f>
        <v>30000000</v>
      </c>
      <c r="AC26" s="66">
        <f>'[1]UNIV 2019'!J32</f>
        <v>30000000</v>
      </c>
      <c r="AD26" s="66">
        <f t="shared" si="10"/>
        <v>0</v>
      </c>
      <c r="AE26" s="66"/>
      <c r="AF26" s="88">
        <f>'[1]Univ Comm Fund'!K26</f>
        <v>30000000</v>
      </c>
      <c r="AG26" s="66">
        <f>'[1]UNIV 2019'!K32</f>
        <v>30000000</v>
      </c>
      <c r="AH26" s="66">
        <f t="shared" si="11"/>
        <v>0</v>
      </c>
      <c r="AI26" s="88"/>
      <c r="AJ26" s="66">
        <f>'[1]Univ Comm Fund'!L26</f>
        <v>0</v>
      </c>
      <c r="AK26" s="66">
        <f>'[1]UNIV 2019'!L32</f>
        <v>0</v>
      </c>
      <c r="AL26" s="66">
        <f t="shared" si="12"/>
        <v>0</v>
      </c>
      <c r="AM26" s="66"/>
      <c r="AN26" s="66">
        <f>'[1]Univ Comm Fund'!M26</f>
        <v>40000000</v>
      </c>
      <c r="AO26" s="66">
        <f>'[1]UNIV 2019'!M32</f>
        <v>40000000</v>
      </c>
      <c r="AP26" s="66">
        <f t="shared" si="13"/>
        <v>0</v>
      </c>
      <c r="AQ26" s="66"/>
      <c r="AR26" s="66">
        <f>'[1]Univ Comm Fund'!N26</f>
        <v>0</v>
      </c>
      <c r="AS26" s="66">
        <f>'[1]UNIV 2019'!N32</f>
        <v>0</v>
      </c>
      <c r="AT26" s="66">
        <f t="shared" si="14"/>
        <v>0</v>
      </c>
      <c r="AU26" s="66"/>
      <c r="AV26" s="66">
        <f>'[1]Univ Comm Fund'!O26</f>
        <v>40000000</v>
      </c>
      <c r="AW26" s="66">
        <f>'[1]UNIV 2019'!O32</f>
        <v>40000000</v>
      </c>
      <c r="AX26" s="66">
        <f t="shared" si="15"/>
        <v>0</v>
      </c>
      <c r="AY26" s="66"/>
      <c r="AZ26" s="66">
        <f>'[1]Univ Comm Fund'!P26</f>
        <v>0</v>
      </c>
      <c r="BA26" s="66">
        <f>'[1]UNIV 2019'!P32</f>
        <v>0</v>
      </c>
      <c r="BB26" s="66">
        <f t="shared" si="0"/>
        <v>0</v>
      </c>
      <c r="BC26" s="66"/>
      <c r="BD26" s="66">
        <f>'[1]Univ Comm Fund'!Q26</f>
        <v>52000000</v>
      </c>
      <c r="BE26" s="66">
        <f>'[1]UNIV 2019'!Q32</f>
        <v>52000000</v>
      </c>
      <c r="BF26" s="66">
        <f t="shared" si="1"/>
        <v>0</v>
      </c>
      <c r="BG26" s="66"/>
      <c r="BH26" s="66">
        <f>'[1]Univ Comm Fund'!R26</f>
        <v>67000000</v>
      </c>
      <c r="BI26" s="66">
        <f>'[1]UNIV 2019'!R32</f>
        <v>67000000</v>
      </c>
      <c r="BJ26" s="66">
        <f t="shared" si="16"/>
        <v>0</v>
      </c>
      <c r="BK26" s="66"/>
      <c r="BL26" s="66">
        <f>'[1]Univ Comm Fund'!S26</f>
        <v>57000000</v>
      </c>
      <c r="BM26" s="66">
        <f>'[1]UNIV 2019'!S32</f>
        <v>57000000</v>
      </c>
      <c r="BN26" s="66">
        <f t="shared" si="17"/>
        <v>0</v>
      </c>
      <c r="BO26" s="66"/>
      <c r="BP26" s="66">
        <f>'[1]Univ Comm Fund'!T26</f>
        <v>0</v>
      </c>
      <c r="BQ26" s="66">
        <f>'[1]UNIV 2019'!T32</f>
        <v>0</v>
      </c>
      <c r="BR26" s="66">
        <f t="shared" si="18"/>
        <v>0</v>
      </c>
      <c r="BS26" s="66"/>
      <c r="BT26" s="66">
        <f>'[1]Univ Comm Fund'!U26</f>
        <v>193140000</v>
      </c>
      <c r="BU26" s="66">
        <f>'[1]UNIV 2019'!U32</f>
        <v>193140000</v>
      </c>
      <c r="BV26" s="66">
        <f t="shared" si="2"/>
        <v>0</v>
      </c>
      <c r="BW26" s="66"/>
      <c r="BX26" s="66">
        <f>'[1]Univ Comm Fund'!V26</f>
        <v>1280500000</v>
      </c>
      <c r="BY26" s="66">
        <f>'[1]UNIV 2019'!V32</f>
        <v>1280500000</v>
      </c>
      <c r="BZ26" s="66">
        <f t="shared" si="19"/>
        <v>0</v>
      </c>
      <c r="CA26" s="66"/>
      <c r="CB26" s="66">
        <f>'[1]Univ Comm Fund'!W26</f>
        <v>175000000</v>
      </c>
      <c r="CC26" s="66">
        <f>'[1]UNIV 2019'!W32</f>
        <v>175000000</v>
      </c>
      <c r="CD26" s="66">
        <f t="shared" si="20"/>
        <v>0</v>
      </c>
      <c r="CE26" s="66"/>
      <c r="CF26" s="66">
        <v>75000000</v>
      </c>
      <c r="CG26" s="66">
        <f>'[1]UNIV 2019'!X32</f>
        <v>75000000</v>
      </c>
      <c r="CH26" s="75">
        <f t="shared" si="21"/>
        <v>0</v>
      </c>
      <c r="CI26" s="66"/>
      <c r="CJ26" s="66">
        <f>'[1]Univ Comm Fund'!Y26</f>
        <v>445000000</v>
      </c>
      <c r="CK26" s="66">
        <f>'[1]UNIV 2019'!Y32</f>
        <v>427000000</v>
      </c>
      <c r="CL26" s="66">
        <f t="shared" si="22"/>
        <v>18000000</v>
      </c>
      <c r="CM26" s="66"/>
      <c r="CN26" s="20">
        <f>'[1]Univ Comm Fund'!Z26</f>
        <v>350000000</v>
      </c>
      <c r="CO26" s="66">
        <f>'[1]UNIV 2019'!Z32</f>
        <v>350000000</v>
      </c>
      <c r="CP26" s="66">
        <f t="shared" si="23"/>
        <v>0</v>
      </c>
      <c r="CQ26" s="20"/>
      <c r="CR26" s="66">
        <f>'[1]Univ Comm Fund'!AA26</f>
        <v>0</v>
      </c>
      <c r="CS26" s="66">
        <f>'[1]UNIV 2019'!AA32</f>
        <v>0</v>
      </c>
      <c r="CT26" s="75">
        <f t="shared" si="24"/>
        <v>0</v>
      </c>
      <c r="CU26" s="66"/>
      <c r="CV26" s="66">
        <f>'[1]Univ Comm Fund'!AB26</f>
        <v>150000000</v>
      </c>
      <c r="CW26" s="66">
        <f>'[1]UNIV 2019'!AB32</f>
        <v>150000000</v>
      </c>
      <c r="CX26" s="75">
        <f t="shared" si="25"/>
        <v>0</v>
      </c>
      <c r="CY26" s="66"/>
      <c r="CZ26" s="66">
        <f>'[1]Univ Comm Fund'!AC26</f>
        <v>356000000</v>
      </c>
      <c r="DA26" s="66">
        <f>'[1]UNIV 2019'!AC32</f>
        <v>356000000</v>
      </c>
      <c r="DB26" s="66">
        <f t="shared" si="26"/>
        <v>0</v>
      </c>
      <c r="DC26" s="66"/>
      <c r="DD26" s="66">
        <f>'[1]Univ Comm Fund'!AD26</f>
        <v>20000000</v>
      </c>
      <c r="DE26" s="66">
        <f>'[1]UNIV 2019'!AD32</f>
        <v>17000000</v>
      </c>
      <c r="DF26" s="66">
        <f t="shared" si="27"/>
        <v>3000000</v>
      </c>
      <c r="DG26" s="66"/>
      <c r="DH26" s="66">
        <f>'[1]Univ Comm Fund'!AE26</f>
        <v>552000000</v>
      </c>
      <c r="DI26" s="66">
        <f>'[1]UNIV 2019'!AE32</f>
        <v>552000000</v>
      </c>
      <c r="DJ26" s="66">
        <f t="shared" si="28"/>
        <v>0</v>
      </c>
      <c r="DK26" s="66"/>
      <c r="DL26" s="66">
        <f>'[1]Univ Comm Fund'!AF26</f>
        <v>20000000</v>
      </c>
      <c r="DM26" s="66">
        <f>'[1]UNIV 2019'!AF32</f>
        <v>17000000</v>
      </c>
      <c r="DN26" s="66">
        <f t="shared" si="29"/>
        <v>3000000</v>
      </c>
      <c r="DO26" s="66"/>
      <c r="DP26" s="66">
        <f>'[1]Univ Comm Fund'!AG26</f>
        <v>350000000</v>
      </c>
      <c r="DQ26" s="66">
        <f>'[1]UNIV 2019'!AG32</f>
        <v>350000000</v>
      </c>
      <c r="DR26" s="66">
        <f t="shared" si="30"/>
        <v>0</v>
      </c>
      <c r="DS26" s="66"/>
      <c r="DT26" s="66">
        <f>'[1]Univ Comm Fund'!AH26</f>
        <v>100000000</v>
      </c>
      <c r="DU26" s="66">
        <f>'[1]UNIV 2019'!AH32</f>
        <v>85000000</v>
      </c>
      <c r="DV26" s="66">
        <f t="shared" si="31"/>
        <v>15000000</v>
      </c>
      <c r="DW26" s="66"/>
      <c r="DX26" s="66">
        <f>'[1]Univ Comm Fund'!AI26</f>
        <v>15000000</v>
      </c>
      <c r="DY26" s="66">
        <f>'[1]UNIV 2019'!AI32</f>
        <v>8400000</v>
      </c>
      <c r="DZ26" s="66">
        <f t="shared" si="32"/>
        <v>6600000</v>
      </c>
      <c r="EA26" s="66"/>
      <c r="EB26" s="66">
        <f>'[1]Univ Comm Fund'!AJ26</f>
        <v>2000000</v>
      </c>
      <c r="EC26" s="66">
        <f>'[1]UNIV 2019'!AJ32</f>
        <v>0</v>
      </c>
      <c r="ED26" s="66">
        <f t="shared" si="33"/>
        <v>2000000</v>
      </c>
      <c r="EE26" s="66"/>
      <c r="EF26" s="66">
        <f>'[1]Univ Comm Fund'!AK26</f>
        <v>10000000</v>
      </c>
      <c r="EG26" s="66">
        <f>'[1]UNIV 2019'!AK32</f>
        <v>8500000</v>
      </c>
      <c r="EH26" s="66">
        <f t="shared" si="34"/>
        <v>1500000</v>
      </c>
      <c r="EI26" s="66"/>
      <c r="EJ26" s="66">
        <f>'[1]Univ Comm Fund'!AL26</f>
        <v>2300000000</v>
      </c>
      <c r="EK26" s="66">
        <f>'[1]UNIV 2019'!AL32</f>
        <v>2270000000</v>
      </c>
      <c r="EL26" s="66">
        <f t="shared" si="35"/>
        <v>30000000</v>
      </c>
      <c r="EM26" s="66"/>
      <c r="EN26" s="80">
        <f>'[1]Univ Comm Fund'!AM26</f>
        <v>565410000</v>
      </c>
      <c r="EO26" s="66">
        <f>'[1]UNIV 2019'!AM32</f>
        <v>480598500</v>
      </c>
      <c r="EP26" s="75">
        <f t="shared" si="36"/>
        <v>84811500</v>
      </c>
      <c r="EQ26" s="66"/>
      <c r="ER26" s="66">
        <f>'[1]Univ Comm Fund'!AN26</f>
        <v>15000000</v>
      </c>
      <c r="ES26" s="66">
        <f>'[1]UNIV 2019'!AN32</f>
        <v>8400000</v>
      </c>
      <c r="ET26" s="75">
        <f t="shared" si="37"/>
        <v>6600000</v>
      </c>
      <c r="EU26" s="66"/>
      <c r="EV26" s="66">
        <f>'[1]Univ Comm Fund'!AO26</f>
        <v>15000000</v>
      </c>
      <c r="EW26" s="66">
        <f>'[1]UNIV 2019'!AO32</f>
        <v>0</v>
      </c>
      <c r="EX26" s="75">
        <f t="shared" si="38"/>
        <v>15000000</v>
      </c>
      <c r="EY26" s="66"/>
      <c r="EZ26" s="66">
        <f>'[1]Univ Comm Fund'!AP26</f>
        <v>10000000</v>
      </c>
      <c r="FA26" s="66">
        <f>'[1]UNIV 2019'!AP32</f>
        <v>8500000</v>
      </c>
      <c r="FB26" s="75">
        <f t="shared" si="39"/>
        <v>1500000</v>
      </c>
      <c r="FC26" s="75"/>
      <c r="FD26" s="75">
        <f>'[1]Univ Comm Fund'!AQ26</f>
        <v>0</v>
      </c>
      <c r="FE26" s="75">
        <f>'[1]UNIV 2019'!AQ32</f>
        <v>0</v>
      </c>
      <c r="FF26" s="75">
        <f t="shared" si="40"/>
        <v>0</v>
      </c>
      <c r="FG26" s="75"/>
      <c r="FH26" s="75">
        <f>'[1]Univ Comm Fund'!AR26</f>
        <v>0</v>
      </c>
      <c r="FI26" s="75">
        <f>'[1]UNIV 2019'!AR32</f>
        <v>0</v>
      </c>
      <c r="FJ26" s="75">
        <f t="shared" si="41"/>
        <v>0</v>
      </c>
      <c r="FK26" s="75"/>
      <c r="FL26" s="75">
        <f>'[1]Univ Comm Fund'!AS26</f>
        <v>300000000</v>
      </c>
      <c r="FM26" s="75">
        <f>'[1]UNIV 2019'!AS32</f>
        <v>0</v>
      </c>
      <c r="FN26" s="75">
        <f t="shared" si="42"/>
        <v>300000000</v>
      </c>
      <c r="FO26" s="75"/>
      <c r="FP26" s="75">
        <f>'[1]Univ Comm Fund'!AT26</f>
        <v>120000000</v>
      </c>
      <c r="FQ26" s="75">
        <f>'[1]UNIV 2019'!AT32</f>
        <v>82800000</v>
      </c>
      <c r="FR26" s="75">
        <f t="shared" si="43"/>
        <v>37200000</v>
      </c>
      <c r="FS26" s="75"/>
      <c r="FT26" s="75">
        <f>'[1]Univ Comm Fund'!AU26</f>
        <v>10000000</v>
      </c>
      <c r="FU26" s="75">
        <f>'[1]UNIV 2019'!AU32</f>
        <v>0</v>
      </c>
      <c r="FV26" s="75">
        <f t="shared" si="44"/>
        <v>10000000</v>
      </c>
      <c r="FW26" s="75"/>
      <c r="FX26" s="75">
        <f>'[1]Univ Comm Fund'!AV26</f>
        <v>5000000</v>
      </c>
      <c r="FY26" s="75">
        <f>'[1]UNIV 2019'!AV32</f>
        <v>0</v>
      </c>
      <c r="FZ26" s="75">
        <f t="shared" si="45"/>
        <v>5000000</v>
      </c>
      <c r="GA26" s="75"/>
      <c r="GB26" s="75">
        <f>'[1]Univ Comm Fund'!AW26</f>
        <v>10000000</v>
      </c>
      <c r="GC26" s="75">
        <f>'[1]UNIV 2019'!AW32</f>
        <v>0</v>
      </c>
      <c r="GD26" s="75">
        <f t="shared" si="46"/>
        <v>10000000</v>
      </c>
      <c r="GE26" s="75"/>
      <c r="GF26" s="75">
        <f>'[1]Univ Comm Fund'!AX26</f>
        <v>0</v>
      </c>
      <c r="GG26" s="75">
        <f>'[1]UNIV 2019'!AX32</f>
        <v>0</v>
      </c>
      <c r="GH26" s="75">
        <f t="shared" si="47"/>
        <v>0</v>
      </c>
      <c r="GI26" s="75"/>
      <c r="GJ26" s="75">
        <f>'[1]Univ Comm Fund'!AY26</f>
        <v>350000000</v>
      </c>
      <c r="GK26" s="75">
        <f>'[1]UNIV 2019'!AY32</f>
        <v>0</v>
      </c>
      <c r="GL26" s="75">
        <f t="shared" si="48"/>
        <v>350000000</v>
      </c>
      <c r="GM26" s="75"/>
      <c r="GN26" s="75">
        <f>'[1]Univ Comm Fund'!AZ26</f>
        <v>175823700</v>
      </c>
      <c r="GO26" s="75">
        <f>'[1]UNIV 2019'!AZ32</f>
        <v>0</v>
      </c>
      <c r="GP26" s="75">
        <f t="shared" si="49"/>
        <v>175823700</v>
      </c>
      <c r="GQ26" s="75"/>
      <c r="GR26" s="75">
        <f>'[1]Univ Comm Fund'!BA26</f>
        <v>20000000</v>
      </c>
      <c r="GS26" s="75">
        <f>'[1]UNIV 2019'!BA32</f>
        <v>0</v>
      </c>
      <c r="GT26" s="75">
        <f t="shared" si="50"/>
        <v>20000000</v>
      </c>
      <c r="GU26" s="75"/>
      <c r="GV26" s="75">
        <f>'[1]Univ Comm Fund'!BB26</f>
        <v>5000000</v>
      </c>
      <c r="GW26" s="75">
        <f>'[1]UNIV 2019'!BB32</f>
        <v>0</v>
      </c>
      <c r="GX26" s="75">
        <f t="shared" si="51"/>
        <v>5000000</v>
      </c>
      <c r="GY26" s="75"/>
      <c r="GZ26" s="75">
        <f>'[1]Univ Comm Fund'!BC26</f>
        <v>10000000</v>
      </c>
      <c r="HA26" s="75">
        <f>'[1]UNIV 2019'!BD32</f>
        <v>0</v>
      </c>
      <c r="HB26" s="75">
        <f t="shared" si="52"/>
        <v>10000000</v>
      </c>
      <c r="HC26" s="75"/>
      <c r="HD26" s="75">
        <f>'[1]Univ Comm Fund'!BD26</f>
        <v>0</v>
      </c>
      <c r="HE26" s="75">
        <f>'[1]UNIV 2019'!BC32</f>
        <v>0</v>
      </c>
      <c r="HF26" s="75">
        <f t="shared" si="53"/>
        <v>0</v>
      </c>
      <c r="HG26" s="75"/>
      <c r="HH26" s="75">
        <f t="shared" si="54"/>
        <v>8506554976.0900002</v>
      </c>
      <c r="HI26" s="75">
        <f t="shared" si="54"/>
        <v>7396519776.0900002</v>
      </c>
      <c r="HJ26" s="82">
        <f t="shared" si="55"/>
        <v>1110035200</v>
      </c>
      <c r="HL26" s="83">
        <f t="shared" si="56"/>
        <v>3421265276.0900002</v>
      </c>
      <c r="HM26" s="83">
        <f t="shared" si="56"/>
        <v>2671453776.0900002</v>
      </c>
      <c r="HN26" s="84">
        <f t="shared" si="57"/>
        <v>749811500</v>
      </c>
      <c r="HP26" s="83">
        <f t="shared" si="58"/>
        <v>4525500000</v>
      </c>
      <c r="HQ26" s="83">
        <f t="shared" si="58"/>
        <v>4477500000</v>
      </c>
      <c r="HR26" s="84">
        <f t="shared" si="59"/>
        <v>48000000</v>
      </c>
      <c r="HT26" s="83">
        <f t="shared" si="60"/>
        <v>145000000</v>
      </c>
      <c r="HU26" s="83">
        <f t="shared" si="60"/>
        <v>126000000</v>
      </c>
      <c r="HV26" s="84">
        <f t="shared" si="61"/>
        <v>19000000</v>
      </c>
      <c r="HX26" s="83">
        <f t="shared" si="62"/>
        <v>60000000</v>
      </c>
      <c r="HY26" s="83">
        <f t="shared" si="62"/>
        <v>16800000</v>
      </c>
      <c r="HZ26" s="84">
        <f t="shared" si="63"/>
        <v>43200000</v>
      </c>
      <c r="IB26" s="83">
        <f t="shared" si="64"/>
        <v>35000000</v>
      </c>
      <c r="IC26" s="83">
        <f t="shared" si="64"/>
        <v>0</v>
      </c>
      <c r="ID26" s="84">
        <f t="shared" si="65"/>
        <v>35000000</v>
      </c>
      <c r="IF26" s="83">
        <f t="shared" si="3"/>
        <v>2000000</v>
      </c>
      <c r="IG26" s="83">
        <f t="shared" si="3"/>
        <v>0</v>
      </c>
      <c r="IH26" s="84">
        <f t="shared" si="66"/>
        <v>2000000</v>
      </c>
      <c r="IJ26" s="84">
        <f t="shared" si="67"/>
        <v>295823700</v>
      </c>
      <c r="IK26" s="84">
        <f t="shared" si="67"/>
        <v>82800000</v>
      </c>
      <c r="IL26" s="84">
        <f t="shared" si="68"/>
        <v>213023700</v>
      </c>
    </row>
    <row r="27" spans="1:246" x14ac:dyDescent="0.25">
      <c r="A27" s="42">
        <v>22</v>
      </c>
      <c r="B27" s="86" t="s">
        <v>86</v>
      </c>
      <c r="C27" s="42" t="s">
        <v>76</v>
      </c>
      <c r="D27" s="66">
        <f>'[1]Univ Comm Fund'!D27</f>
        <v>0</v>
      </c>
      <c r="E27" s="66">
        <f>'[1]UNIV 2019'!D33</f>
        <v>0</v>
      </c>
      <c r="F27" s="75">
        <f t="shared" si="4"/>
        <v>0</v>
      </c>
      <c r="G27" s="66"/>
      <c r="H27" s="66">
        <f>'[1]Univ Comm Fund'!E27</f>
        <v>20000000</v>
      </c>
      <c r="I27" s="66">
        <f>'[1]UNIV 2019'!E33</f>
        <v>20000000</v>
      </c>
      <c r="J27" s="66">
        <f t="shared" si="5"/>
        <v>0</v>
      </c>
      <c r="K27" s="66"/>
      <c r="L27" s="66">
        <f>'[1]Univ Comm Fund'!F27</f>
        <v>40000000</v>
      </c>
      <c r="M27" s="66">
        <f>'[1]UNIV 2019'!F33</f>
        <v>40000000</v>
      </c>
      <c r="N27" s="66">
        <f t="shared" si="6"/>
        <v>0</v>
      </c>
      <c r="O27" s="66"/>
      <c r="P27" s="66">
        <f>'[1]Univ Comm Fund'!G27</f>
        <v>301000</v>
      </c>
      <c r="Q27" s="66">
        <f>'[1]UNIV 2019'!G33</f>
        <v>301000</v>
      </c>
      <c r="R27" s="66">
        <f t="shared" si="7"/>
        <v>0</v>
      </c>
      <c r="S27" s="87"/>
      <c r="T27" s="66">
        <f>'[1]Univ Comm Fund'!H27</f>
        <v>50000000</v>
      </c>
      <c r="U27" s="66">
        <f>'[1]UNIV 2019'!H33</f>
        <v>50000000</v>
      </c>
      <c r="V27" s="66">
        <f t="shared" si="8"/>
        <v>0</v>
      </c>
      <c r="W27" s="66"/>
      <c r="X27" s="66">
        <f>'[1]Univ Comm Fund'!I27</f>
        <v>25000000</v>
      </c>
      <c r="Y27" s="66">
        <f>'[1]UNIV 2019'!I33</f>
        <v>25000000</v>
      </c>
      <c r="Z27" s="66">
        <f t="shared" si="9"/>
        <v>0</v>
      </c>
      <c r="AA27" s="66"/>
      <c r="AB27" s="66">
        <f>'[1]Univ Comm Fund'!J27</f>
        <v>30000000</v>
      </c>
      <c r="AC27" s="66">
        <f>'[1]UNIV 2019'!J33</f>
        <v>30000000</v>
      </c>
      <c r="AD27" s="66">
        <f t="shared" si="10"/>
        <v>0</v>
      </c>
      <c r="AE27" s="66"/>
      <c r="AF27" s="88">
        <f>'[1]Univ Comm Fund'!K27</f>
        <v>30000000</v>
      </c>
      <c r="AG27" s="66">
        <f>'[1]UNIV 2019'!K33</f>
        <v>30000000</v>
      </c>
      <c r="AH27" s="66">
        <f t="shared" si="11"/>
        <v>0</v>
      </c>
      <c r="AI27" s="88"/>
      <c r="AJ27" s="66">
        <f>'[1]Univ Comm Fund'!L27</f>
        <v>0</v>
      </c>
      <c r="AK27" s="66">
        <f>'[1]UNIV 2019'!L33</f>
        <v>0</v>
      </c>
      <c r="AL27" s="66">
        <f t="shared" si="12"/>
        <v>0</v>
      </c>
      <c r="AM27" s="66"/>
      <c r="AN27" s="66">
        <f>'[1]Univ Comm Fund'!M27</f>
        <v>40000000</v>
      </c>
      <c r="AO27" s="66">
        <f>'[1]UNIV 2019'!M33</f>
        <v>40000000</v>
      </c>
      <c r="AP27" s="66">
        <f t="shared" si="13"/>
        <v>0</v>
      </c>
      <c r="AQ27" s="66"/>
      <c r="AR27" s="66">
        <f>'[1]Univ Comm Fund'!N27</f>
        <v>0</v>
      </c>
      <c r="AS27" s="66">
        <f>'[1]UNIV 2019'!N33</f>
        <v>0</v>
      </c>
      <c r="AT27" s="66">
        <f t="shared" si="14"/>
        <v>0</v>
      </c>
      <c r="AU27" s="66"/>
      <c r="AV27" s="66">
        <f>'[1]Univ Comm Fund'!O27</f>
        <v>40000000</v>
      </c>
      <c r="AW27" s="66">
        <f>'[1]UNIV 2019'!O33</f>
        <v>40000000</v>
      </c>
      <c r="AX27" s="66">
        <f t="shared" si="15"/>
        <v>0</v>
      </c>
      <c r="AY27" s="66"/>
      <c r="AZ27" s="66">
        <f>'[1]Univ Comm Fund'!P27</f>
        <v>0</v>
      </c>
      <c r="BA27" s="66">
        <f>'[1]UNIV 2019'!P33</f>
        <v>0</v>
      </c>
      <c r="BB27" s="66">
        <f t="shared" si="0"/>
        <v>0</v>
      </c>
      <c r="BC27" s="66"/>
      <c r="BD27" s="66">
        <f>'[1]Univ Comm Fund'!Q27</f>
        <v>52000000</v>
      </c>
      <c r="BE27" s="66">
        <f>'[1]UNIV 2019'!Q33</f>
        <v>52000000</v>
      </c>
      <c r="BF27" s="66">
        <f t="shared" si="1"/>
        <v>0</v>
      </c>
      <c r="BG27" s="66"/>
      <c r="BH27" s="66">
        <f>'[1]Univ Comm Fund'!R27</f>
        <v>67000000</v>
      </c>
      <c r="BI27" s="66">
        <f>'[1]UNIV 2019'!R33</f>
        <v>67000000</v>
      </c>
      <c r="BJ27" s="66">
        <f t="shared" si="16"/>
        <v>0</v>
      </c>
      <c r="BK27" s="66"/>
      <c r="BL27" s="66">
        <f>'[1]Univ Comm Fund'!S27</f>
        <v>41610000</v>
      </c>
      <c r="BM27" s="66">
        <f>'[1]UNIV 2019'!S33</f>
        <v>41610000</v>
      </c>
      <c r="BN27" s="66">
        <f t="shared" si="17"/>
        <v>0</v>
      </c>
      <c r="BO27" s="66"/>
      <c r="BP27" s="66">
        <f>'[1]Univ Comm Fund'!T27</f>
        <v>0</v>
      </c>
      <c r="BQ27" s="66">
        <f>'[1]UNIV 2019'!T33</f>
        <v>0</v>
      </c>
      <c r="BR27" s="66">
        <f t="shared" si="18"/>
        <v>0</v>
      </c>
      <c r="BS27" s="66"/>
      <c r="BT27" s="66">
        <f>'[1]Univ Comm Fund'!U27</f>
        <v>140992200</v>
      </c>
      <c r="BU27" s="66">
        <f>'[1]UNIV 2019'!U33</f>
        <v>140992200</v>
      </c>
      <c r="BV27" s="66">
        <f t="shared" si="2"/>
        <v>0</v>
      </c>
      <c r="BW27" s="66"/>
      <c r="BX27" s="66">
        <f>'[1]Univ Comm Fund'!V27</f>
        <v>250000000</v>
      </c>
      <c r="BY27" s="66">
        <f>'[1]UNIV 2019'!V33</f>
        <v>250000000</v>
      </c>
      <c r="BZ27" s="66">
        <f t="shared" si="19"/>
        <v>0</v>
      </c>
      <c r="CA27" s="66"/>
      <c r="CB27" s="66">
        <f>'[1]Univ Comm Fund'!W27</f>
        <v>175000000</v>
      </c>
      <c r="CC27" s="66">
        <f>'[1]UNIV 2019'!W33</f>
        <v>175000000</v>
      </c>
      <c r="CD27" s="66">
        <f t="shared" si="20"/>
        <v>0</v>
      </c>
      <c r="CE27" s="66"/>
      <c r="CF27" s="66">
        <v>75000000</v>
      </c>
      <c r="CG27" s="66">
        <f>'[1]UNIV 2019'!X33</f>
        <v>49500000</v>
      </c>
      <c r="CH27" s="75">
        <f t="shared" si="21"/>
        <v>25500000</v>
      </c>
      <c r="CI27" s="66"/>
      <c r="CJ27" s="66">
        <f>'[1]Univ Comm Fund'!Y27</f>
        <v>0</v>
      </c>
      <c r="CK27" s="66">
        <f>'[1]UNIV 2019'!Y33</f>
        <v>0</v>
      </c>
      <c r="CL27" s="66">
        <f t="shared" si="22"/>
        <v>0</v>
      </c>
      <c r="CM27" s="66"/>
      <c r="CN27" s="20">
        <f>'[1]Univ Comm Fund'!Z27</f>
        <v>350000000</v>
      </c>
      <c r="CO27" s="66">
        <f>'[1]UNIV 2019'!Z33</f>
        <v>297500000</v>
      </c>
      <c r="CP27" s="66">
        <f t="shared" si="23"/>
        <v>52500000</v>
      </c>
      <c r="CQ27" s="20"/>
      <c r="CR27" s="66">
        <f>'[1]Univ Comm Fund'!AA27</f>
        <v>0</v>
      </c>
      <c r="CS27" s="66">
        <f>'[1]UNIV 2019'!AA33</f>
        <v>0</v>
      </c>
      <c r="CT27" s="75">
        <f t="shared" si="24"/>
        <v>0</v>
      </c>
      <c r="CU27" s="66"/>
      <c r="CV27" s="66">
        <f>'[1]Univ Comm Fund'!AB27</f>
        <v>0</v>
      </c>
      <c r="CW27" s="66">
        <f>'[1]UNIV 2019'!AB33</f>
        <v>0</v>
      </c>
      <c r="CX27" s="75">
        <f t="shared" si="25"/>
        <v>0</v>
      </c>
      <c r="CY27" s="66"/>
      <c r="CZ27" s="66">
        <f>'[1]Univ Comm Fund'!AC27</f>
        <v>356000000</v>
      </c>
      <c r="DA27" s="66">
        <f>'[1]UNIV 2019'!AC33</f>
        <v>302600000</v>
      </c>
      <c r="DB27" s="66">
        <f t="shared" si="26"/>
        <v>53400000</v>
      </c>
      <c r="DC27" s="66"/>
      <c r="DD27" s="66">
        <f>'[1]Univ Comm Fund'!AD27</f>
        <v>20000000</v>
      </c>
      <c r="DE27" s="66">
        <f>'[1]UNIV 2019'!AD33</f>
        <v>13200000</v>
      </c>
      <c r="DF27" s="66">
        <f t="shared" si="27"/>
        <v>6800000</v>
      </c>
      <c r="DG27" s="66"/>
      <c r="DH27" s="66">
        <f>'[1]Univ Comm Fund'!AE27</f>
        <v>552000000</v>
      </c>
      <c r="DI27" s="66">
        <f>'[1]UNIV 2019'!AE33</f>
        <v>469200000</v>
      </c>
      <c r="DJ27" s="66">
        <f t="shared" si="28"/>
        <v>82800000</v>
      </c>
      <c r="DK27" s="66"/>
      <c r="DL27" s="66">
        <f>'[1]Univ Comm Fund'!AF27</f>
        <v>20000000</v>
      </c>
      <c r="DM27" s="66">
        <f>'[1]UNIV 2019'!AF33</f>
        <v>13200000</v>
      </c>
      <c r="DN27" s="66">
        <f t="shared" si="29"/>
        <v>6800000</v>
      </c>
      <c r="DO27" s="66"/>
      <c r="DP27" s="66">
        <f>'[1]Univ Comm Fund'!AG27</f>
        <v>0</v>
      </c>
      <c r="DQ27" s="66">
        <f>'[1]UNIV 2019'!AG33</f>
        <v>0</v>
      </c>
      <c r="DR27" s="66">
        <f t="shared" si="30"/>
        <v>0</v>
      </c>
      <c r="DS27" s="66"/>
      <c r="DT27" s="66">
        <f>'[1]Univ Comm Fund'!AH27</f>
        <v>100000000</v>
      </c>
      <c r="DU27" s="66">
        <f>'[1]UNIV 2019'!AH33</f>
        <v>85000000</v>
      </c>
      <c r="DV27" s="66">
        <f t="shared" si="31"/>
        <v>15000000</v>
      </c>
      <c r="DW27" s="66"/>
      <c r="DX27" s="66">
        <f>'[1]Univ Comm Fund'!AI27</f>
        <v>15000000</v>
      </c>
      <c r="DY27" s="66">
        <f>'[1]UNIV 2019'!AI33</f>
        <v>0</v>
      </c>
      <c r="DZ27" s="66">
        <f t="shared" si="32"/>
        <v>15000000</v>
      </c>
      <c r="EA27" s="66"/>
      <c r="EB27" s="66">
        <f>'[1]Univ Comm Fund'!AJ27</f>
        <v>2000000</v>
      </c>
      <c r="EC27" s="66">
        <f>'[1]UNIV 2019'!AJ33</f>
        <v>0</v>
      </c>
      <c r="ED27" s="66">
        <f t="shared" si="33"/>
        <v>2000000</v>
      </c>
      <c r="EE27" s="66"/>
      <c r="EF27" s="66">
        <f>'[1]Univ Comm Fund'!AK27</f>
        <v>10000000</v>
      </c>
      <c r="EG27" s="66">
        <f>'[1]UNIV 2019'!AK33</f>
        <v>0</v>
      </c>
      <c r="EH27" s="66">
        <f t="shared" si="34"/>
        <v>10000000</v>
      </c>
      <c r="EI27" s="66"/>
      <c r="EJ27" s="66">
        <f>'[1]Univ Comm Fund'!AL27</f>
        <v>0</v>
      </c>
      <c r="EK27" s="66">
        <f>'[1]UNIV 2019'!AL33</f>
        <v>0</v>
      </c>
      <c r="EL27" s="66">
        <f t="shared" si="35"/>
        <v>0</v>
      </c>
      <c r="EM27" s="66"/>
      <c r="EN27" s="80">
        <f>'[1]Univ Comm Fund'!AM27</f>
        <v>565410000</v>
      </c>
      <c r="EO27" s="66">
        <f>'[1]UNIV 2019'!AM33</f>
        <v>0</v>
      </c>
      <c r="EP27" s="75">
        <f t="shared" si="36"/>
        <v>565410000</v>
      </c>
      <c r="EQ27" s="66"/>
      <c r="ER27" s="66">
        <f>'[1]Univ Comm Fund'!AN27</f>
        <v>15000000</v>
      </c>
      <c r="ES27" s="66">
        <f>'[1]UNIV 2019'!AN33</f>
        <v>0</v>
      </c>
      <c r="ET27" s="75">
        <f t="shared" si="37"/>
        <v>15000000</v>
      </c>
      <c r="EU27" s="66"/>
      <c r="EV27" s="66">
        <f>'[1]Univ Comm Fund'!AO27</f>
        <v>15000000</v>
      </c>
      <c r="EW27" s="66">
        <f>'[1]UNIV 2019'!AO33</f>
        <v>0</v>
      </c>
      <c r="EX27" s="75">
        <f t="shared" si="38"/>
        <v>15000000</v>
      </c>
      <c r="EY27" s="66"/>
      <c r="EZ27" s="66">
        <f>'[1]Univ Comm Fund'!AP27</f>
        <v>10000000</v>
      </c>
      <c r="FA27" s="66">
        <f>'[1]UNIV 2019'!AP33</f>
        <v>0</v>
      </c>
      <c r="FB27" s="75">
        <f t="shared" si="39"/>
        <v>10000000</v>
      </c>
      <c r="FC27" s="75"/>
      <c r="FD27" s="75">
        <f>'[1]Univ Comm Fund'!AQ27</f>
        <v>0</v>
      </c>
      <c r="FE27" s="75">
        <f>'[1]UNIV 2019'!AQ33</f>
        <v>0</v>
      </c>
      <c r="FF27" s="75">
        <f t="shared" si="40"/>
        <v>0</v>
      </c>
      <c r="FG27" s="75"/>
      <c r="FH27" s="81">
        <f>'[1]Univ Comm Fund'!AR27</f>
        <v>200000000</v>
      </c>
      <c r="FI27" s="75">
        <f>'[1]UNIV 2019'!AR33</f>
        <v>170000000</v>
      </c>
      <c r="FJ27" s="75">
        <f t="shared" si="41"/>
        <v>30000000</v>
      </c>
      <c r="FK27" s="75"/>
      <c r="FL27" s="75">
        <f>'[1]Univ Comm Fund'!AS27</f>
        <v>300000000</v>
      </c>
      <c r="FM27" s="75">
        <f>'[1]UNIV 2019'!AS33</f>
        <v>0</v>
      </c>
      <c r="FN27" s="75">
        <f t="shared" si="42"/>
        <v>300000000</v>
      </c>
      <c r="FO27" s="75"/>
      <c r="FP27" s="75">
        <f>'[1]Univ Comm Fund'!AT27</f>
        <v>120000000</v>
      </c>
      <c r="FQ27" s="75">
        <f>'[1]UNIV 2019'!AT33</f>
        <v>81600000</v>
      </c>
      <c r="FR27" s="75">
        <f t="shared" si="43"/>
        <v>38400000</v>
      </c>
      <c r="FS27" s="75"/>
      <c r="FT27" s="75">
        <f>'[1]Univ Comm Fund'!AU27</f>
        <v>10000000</v>
      </c>
      <c r="FU27" s="75">
        <f>'[1]UNIV 2019'!AU33</f>
        <v>0</v>
      </c>
      <c r="FV27" s="75">
        <f t="shared" si="44"/>
        <v>10000000</v>
      </c>
      <c r="FW27" s="75"/>
      <c r="FX27" s="75">
        <f>'[1]Univ Comm Fund'!AV27</f>
        <v>5000000</v>
      </c>
      <c r="FY27" s="75">
        <f>'[1]UNIV 2019'!AV33</f>
        <v>0</v>
      </c>
      <c r="FZ27" s="75">
        <f t="shared" si="45"/>
        <v>5000000</v>
      </c>
      <c r="GA27" s="75"/>
      <c r="GB27" s="75">
        <f>'[1]Univ Comm Fund'!AW27</f>
        <v>10000000</v>
      </c>
      <c r="GC27" s="75">
        <f>'[1]UNIV 2019'!AW33</f>
        <v>0</v>
      </c>
      <c r="GD27" s="75">
        <f t="shared" si="46"/>
        <v>10000000</v>
      </c>
      <c r="GE27" s="75"/>
      <c r="GF27" s="75">
        <f>'[1]Univ Comm Fund'!AX27</f>
        <v>0</v>
      </c>
      <c r="GG27" s="75">
        <f>'[1]UNIV 2019'!AX33</f>
        <v>0</v>
      </c>
      <c r="GH27" s="75">
        <f t="shared" si="47"/>
        <v>0</v>
      </c>
      <c r="GI27" s="75"/>
      <c r="GJ27" s="75">
        <f>'[1]Univ Comm Fund'!AY27</f>
        <v>350000000</v>
      </c>
      <c r="GK27" s="75">
        <f>'[1]UNIV 2019'!AY33</f>
        <v>0</v>
      </c>
      <c r="GL27" s="75">
        <f t="shared" si="48"/>
        <v>350000000</v>
      </c>
      <c r="GM27" s="75"/>
      <c r="GN27" s="75">
        <f>'[1]Univ Comm Fund'!AZ27</f>
        <v>175823700</v>
      </c>
      <c r="GO27" s="75">
        <f>'[1]UNIV 2019'!AZ33</f>
        <v>0</v>
      </c>
      <c r="GP27" s="75">
        <f t="shared" si="49"/>
        <v>175823700</v>
      </c>
      <c r="GQ27" s="75"/>
      <c r="GR27" s="75">
        <f>'[1]Univ Comm Fund'!BA27</f>
        <v>20000000</v>
      </c>
      <c r="GS27" s="75">
        <f>'[1]UNIV 2019'!BA33</f>
        <v>0</v>
      </c>
      <c r="GT27" s="75">
        <f t="shared" si="50"/>
        <v>20000000</v>
      </c>
      <c r="GU27" s="75"/>
      <c r="GV27" s="75">
        <f>'[1]Univ Comm Fund'!BB27</f>
        <v>5000000</v>
      </c>
      <c r="GW27" s="75">
        <f>'[1]UNIV 2019'!BB33</f>
        <v>0</v>
      </c>
      <c r="GX27" s="75">
        <f t="shared" si="51"/>
        <v>5000000</v>
      </c>
      <c r="GY27" s="75"/>
      <c r="GZ27" s="75">
        <f>'[1]Univ Comm Fund'!BC27</f>
        <v>10000000</v>
      </c>
      <c r="HA27" s="75">
        <f>'[1]UNIV 2019'!BD33</f>
        <v>0</v>
      </c>
      <c r="HB27" s="75">
        <f t="shared" si="52"/>
        <v>10000000</v>
      </c>
      <c r="HC27" s="75"/>
      <c r="HD27" s="75">
        <f>'[1]Univ Comm Fund'!BD27</f>
        <v>0</v>
      </c>
      <c r="HE27" s="75">
        <f>'[1]UNIV 2019'!BC33</f>
        <v>0</v>
      </c>
      <c r="HF27" s="75">
        <f t="shared" si="53"/>
        <v>0</v>
      </c>
      <c r="HG27" s="75"/>
      <c r="HH27" s="75">
        <f t="shared" si="54"/>
        <v>4313136900</v>
      </c>
      <c r="HI27" s="75">
        <f t="shared" si="54"/>
        <v>2483703200</v>
      </c>
      <c r="HJ27" s="82">
        <f t="shared" si="55"/>
        <v>1829433700</v>
      </c>
      <c r="HL27" s="83">
        <f t="shared" si="56"/>
        <v>3300012200</v>
      </c>
      <c r="HM27" s="83">
        <f t="shared" si="56"/>
        <v>1880902200</v>
      </c>
      <c r="HN27" s="84">
        <f t="shared" si="57"/>
        <v>1419110000</v>
      </c>
      <c r="HP27" s="83">
        <f t="shared" si="58"/>
        <v>250000000</v>
      </c>
      <c r="HQ27" s="83">
        <f t="shared" si="58"/>
        <v>250000000</v>
      </c>
      <c r="HR27" s="84">
        <f t="shared" si="59"/>
        <v>0</v>
      </c>
      <c r="HT27" s="83">
        <f t="shared" si="60"/>
        <v>145000000</v>
      </c>
      <c r="HU27" s="83">
        <f t="shared" si="60"/>
        <v>75900000</v>
      </c>
      <c r="HV27" s="84">
        <f t="shared" si="61"/>
        <v>69100000</v>
      </c>
      <c r="HX27" s="83">
        <f t="shared" si="62"/>
        <v>60000000</v>
      </c>
      <c r="HY27" s="83">
        <f t="shared" si="62"/>
        <v>0</v>
      </c>
      <c r="HZ27" s="84">
        <f t="shared" si="63"/>
        <v>60000000</v>
      </c>
      <c r="IB27" s="83">
        <f t="shared" si="64"/>
        <v>35000000</v>
      </c>
      <c r="IC27" s="83">
        <f t="shared" si="64"/>
        <v>0</v>
      </c>
      <c r="ID27" s="84">
        <f t="shared" si="65"/>
        <v>35000000</v>
      </c>
      <c r="IF27" s="83">
        <f t="shared" si="3"/>
        <v>2000000</v>
      </c>
      <c r="IG27" s="83">
        <f t="shared" si="3"/>
        <v>0</v>
      </c>
      <c r="IH27" s="84">
        <f t="shared" si="66"/>
        <v>2000000</v>
      </c>
      <c r="IJ27" s="84">
        <f t="shared" si="67"/>
        <v>495823700</v>
      </c>
      <c r="IK27" s="84">
        <f t="shared" si="67"/>
        <v>251600000</v>
      </c>
      <c r="IL27" s="84">
        <f t="shared" si="68"/>
        <v>244223700</v>
      </c>
    </row>
    <row r="28" spans="1:246" ht="16.5" customHeight="1" x14ac:dyDescent="0.25">
      <c r="A28" s="42">
        <v>23</v>
      </c>
      <c r="B28" s="101" t="s">
        <v>87</v>
      </c>
      <c r="C28" s="102" t="s">
        <v>76</v>
      </c>
      <c r="D28" s="66">
        <f>'[1]Univ Comm Fund'!D28</f>
        <v>59027776.670000002</v>
      </c>
      <c r="E28" s="66">
        <f>'[1]UNIV 2019'!D34</f>
        <v>59027777.340000004</v>
      </c>
      <c r="F28" s="75">
        <f t="shared" si="4"/>
        <v>-0.67000000178813934</v>
      </c>
      <c r="G28" s="66"/>
      <c r="H28" s="66">
        <f>'[1]Univ Comm Fund'!E28</f>
        <v>20000000</v>
      </c>
      <c r="I28" s="66">
        <f>'[1]UNIV 2019'!E34</f>
        <v>20000000</v>
      </c>
      <c r="J28" s="66">
        <f t="shared" si="5"/>
        <v>0</v>
      </c>
      <c r="K28" s="66"/>
      <c r="L28" s="66">
        <f>'[1]Univ Comm Fund'!F28</f>
        <v>40000000</v>
      </c>
      <c r="M28" s="66">
        <f>'[1]UNIV 2019'!F34</f>
        <v>40000000</v>
      </c>
      <c r="N28" s="66">
        <f t="shared" si="6"/>
        <v>0</v>
      </c>
      <c r="O28" s="66"/>
      <c r="P28" s="66">
        <f>'[1]Univ Comm Fund'!G28</f>
        <v>0</v>
      </c>
      <c r="Q28" s="66">
        <f>'[1]UNIV 2019'!G34</f>
        <v>0</v>
      </c>
      <c r="R28" s="66">
        <f t="shared" si="7"/>
        <v>0</v>
      </c>
      <c r="S28" s="87"/>
      <c r="T28" s="66">
        <f>'[1]Univ Comm Fund'!H28</f>
        <v>50000000</v>
      </c>
      <c r="U28" s="66">
        <f>'[1]UNIV 2019'!H34</f>
        <v>50000000</v>
      </c>
      <c r="V28" s="66">
        <f t="shared" si="8"/>
        <v>0</v>
      </c>
      <c r="W28" s="66"/>
      <c r="X28" s="66">
        <f>'[1]Univ Comm Fund'!I28</f>
        <v>25000000</v>
      </c>
      <c r="Y28" s="66">
        <f>'[1]UNIV 2019'!I34</f>
        <v>25000000</v>
      </c>
      <c r="Z28" s="66">
        <f t="shared" si="9"/>
        <v>0</v>
      </c>
      <c r="AA28" s="66"/>
      <c r="AB28" s="66">
        <f>'[1]Univ Comm Fund'!J28</f>
        <v>30000000</v>
      </c>
      <c r="AC28" s="66">
        <f>'[1]UNIV 2019'!J34</f>
        <v>30000000</v>
      </c>
      <c r="AD28" s="66">
        <f t="shared" si="10"/>
        <v>0</v>
      </c>
      <c r="AE28" s="66"/>
      <c r="AF28" s="88">
        <f>'[1]Univ Comm Fund'!K28</f>
        <v>30000000</v>
      </c>
      <c r="AG28" s="66">
        <f>'[1]UNIV 2019'!K34</f>
        <v>30000000</v>
      </c>
      <c r="AH28" s="66">
        <f t="shared" si="11"/>
        <v>0</v>
      </c>
      <c r="AI28" s="88"/>
      <c r="AJ28" s="66">
        <f>'[1]Univ Comm Fund'!L28</f>
        <v>0</v>
      </c>
      <c r="AK28" s="66">
        <f>'[1]UNIV 2019'!L34</f>
        <v>0</v>
      </c>
      <c r="AL28" s="66">
        <f t="shared" si="12"/>
        <v>0</v>
      </c>
      <c r="AM28" s="66"/>
      <c r="AN28" s="66">
        <f>'[1]Univ Comm Fund'!M28</f>
        <v>40000000</v>
      </c>
      <c r="AO28" s="66">
        <f>'[1]UNIV 2019'!M34</f>
        <v>40000000</v>
      </c>
      <c r="AP28" s="66">
        <f t="shared" si="13"/>
        <v>0</v>
      </c>
      <c r="AQ28" s="66"/>
      <c r="AR28" s="66">
        <f>'[1]Univ Comm Fund'!N28</f>
        <v>0</v>
      </c>
      <c r="AS28" s="66">
        <f>'[1]UNIV 2019'!N34</f>
        <v>0</v>
      </c>
      <c r="AT28" s="66">
        <f t="shared" si="14"/>
        <v>0</v>
      </c>
      <c r="AU28" s="66"/>
      <c r="AV28" s="66">
        <f>'[1]Univ Comm Fund'!O28</f>
        <v>40000000</v>
      </c>
      <c r="AW28" s="66">
        <f>'[1]UNIV 2019'!O34</f>
        <v>40000000</v>
      </c>
      <c r="AX28" s="66">
        <f t="shared" si="15"/>
        <v>0</v>
      </c>
      <c r="AY28" s="66"/>
      <c r="AZ28" s="66">
        <f>'[1]Univ Comm Fund'!P28</f>
        <v>0</v>
      </c>
      <c r="BA28" s="66">
        <f>'[1]UNIV 2019'!P34</f>
        <v>0</v>
      </c>
      <c r="BB28" s="66">
        <f t="shared" si="0"/>
        <v>0</v>
      </c>
      <c r="BC28" s="66"/>
      <c r="BD28" s="66">
        <f>'[1]Univ Comm Fund'!Q28</f>
        <v>52000000</v>
      </c>
      <c r="BE28" s="66">
        <f>'[1]UNIV 2019'!Q34</f>
        <v>52000000</v>
      </c>
      <c r="BF28" s="66">
        <f t="shared" si="1"/>
        <v>0</v>
      </c>
      <c r="BG28" s="66"/>
      <c r="BH28" s="66">
        <f>'[1]Univ Comm Fund'!R28</f>
        <v>67000000</v>
      </c>
      <c r="BI28" s="66">
        <f>'[1]UNIV 2019'!R34</f>
        <v>67000000</v>
      </c>
      <c r="BJ28" s="66">
        <f t="shared" si="16"/>
        <v>0</v>
      </c>
      <c r="BK28" s="66"/>
      <c r="BL28" s="66">
        <f>'[1]Univ Comm Fund'!S28</f>
        <v>57000000</v>
      </c>
      <c r="BM28" s="66">
        <f>'[1]UNIV 2019'!S34</f>
        <v>57000000</v>
      </c>
      <c r="BN28" s="66">
        <f t="shared" si="17"/>
        <v>0</v>
      </c>
      <c r="BO28" s="66"/>
      <c r="BP28" s="66">
        <f>'[1]Univ Comm Fund'!T28</f>
        <v>0</v>
      </c>
      <c r="BQ28" s="66">
        <f>'[1]UNIV 2019'!T34</f>
        <v>0</v>
      </c>
      <c r="BR28" s="66">
        <f t="shared" si="18"/>
        <v>0</v>
      </c>
      <c r="BS28" s="66"/>
      <c r="BT28" s="66">
        <f>'[1]Univ Comm Fund'!U28</f>
        <v>193140000</v>
      </c>
      <c r="BU28" s="66">
        <f>'[1]UNIV 2019'!U34</f>
        <v>193140000</v>
      </c>
      <c r="BV28" s="66">
        <f t="shared" si="2"/>
        <v>0</v>
      </c>
      <c r="BW28" s="66"/>
      <c r="BX28" s="66">
        <f>'[1]Univ Comm Fund'!V28</f>
        <v>60000000</v>
      </c>
      <c r="BY28" s="66">
        <f>'[1]UNIV 2019'!V34</f>
        <v>60000000</v>
      </c>
      <c r="BZ28" s="66">
        <f t="shared" si="19"/>
        <v>0</v>
      </c>
      <c r="CA28" s="66"/>
      <c r="CB28" s="66">
        <f>'[1]Univ Comm Fund'!W28</f>
        <v>175000000</v>
      </c>
      <c r="CC28" s="66">
        <f>'[1]UNIV 2019'!W34</f>
        <v>148750000</v>
      </c>
      <c r="CD28" s="66">
        <f t="shared" si="20"/>
        <v>26250000</v>
      </c>
      <c r="CE28" s="66"/>
      <c r="CF28" s="66">
        <v>75000000</v>
      </c>
      <c r="CG28" s="66">
        <f>'[1]UNIV 2019'!X34</f>
        <v>63750000</v>
      </c>
      <c r="CH28" s="75">
        <f t="shared" si="21"/>
        <v>11250000</v>
      </c>
      <c r="CI28" s="66"/>
      <c r="CJ28" s="66">
        <f>'[1]Univ Comm Fund'!Y28</f>
        <v>0</v>
      </c>
      <c r="CK28" s="66">
        <f>'[1]UNIV 2019'!Y34</f>
        <v>0</v>
      </c>
      <c r="CL28" s="66">
        <f t="shared" si="22"/>
        <v>0</v>
      </c>
      <c r="CM28" s="66"/>
      <c r="CN28" s="20">
        <f>'[1]Univ Comm Fund'!Z28</f>
        <v>350000000</v>
      </c>
      <c r="CO28" s="66">
        <f>'[1]UNIV 2019'!Z34</f>
        <v>297500000</v>
      </c>
      <c r="CP28" s="66">
        <f t="shared" si="23"/>
        <v>52500000</v>
      </c>
      <c r="CQ28" s="20"/>
      <c r="CR28" s="66">
        <f>'[1]Univ Comm Fund'!AA28</f>
        <v>0</v>
      </c>
      <c r="CS28" s="66">
        <f>'[1]UNIV 2019'!AA34</f>
        <v>0</v>
      </c>
      <c r="CT28" s="75">
        <f t="shared" si="24"/>
        <v>0</v>
      </c>
      <c r="CU28" s="66"/>
      <c r="CV28" s="66">
        <f>'[1]Univ Comm Fund'!AB28</f>
        <v>0</v>
      </c>
      <c r="CW28" s="66">
        <f>'[1]UNIV 2019'!AB34</f>
        <v>0</v>
      </c>
      <c r="CX28" s="75">
        <f t="shared" si="25"/>
        <v>0</v>
      </c>
      <c r="CY28" s="66"/>
      <c r="CZ28" s="66">
        <f>'[1]Univ Comm Fund'!AC28</f>
        <v>356000000</v>
      </c>
      <c r="DA28" s="66">
        <f>'[1]UNIV 2019'!AC34</f>
        <v>302600000</v>
      </c>
      <c r="DB28" s="66">
        <f t="shared" si="26"/>
        <v>53400000</v>
      </c>
      <c r="DC28" s="66"/>
      <c r="DD28" s="66">
        <f>'[1]Univ Comm Fund'!AD28</f>
        <v>20000000</v>
      </c>
      <c r="DE28" s="66">
        <f>'[1]UNIV 2019'!AD34</f>
        <v>17000000</v>
      </c>
      <c r="DF28" s="66">
        <f t="shared" si="27"/>
        <v>3000000</v>
      </c>
      <c r="DG28" s="66"/>
      <c r="DH28" s="66">
        <f>'[1]Univ Comm Fund'!AE28</f>
        <v>552000000</v>
      </c>
      <c r="DI28" s="66">
        <f>'[1]UNIV 2019'!AE34</f>
        <v>469200000</v>
      </c>
      <c r="DJ28" s="66">
        <f t="shared" si="28"/>
        <v>82800000</v>
      </c>
      <c r="DK28" s="66"/>
      <c r="DL28" s="66">
        <f>'[1]Univ Comm Fund'!AF28</f>
        <v>20000000</v>
      </c>
      <c r="DM28" s="66">
        <f>'[1]UNIV 2019'!AF34</f>
        <v>17000000</v>
      </c>
      <c r="DN28" s="66">
        <f t="shared" si="29"/>
        <v>3000000</v>
      </c>
      <c r="DO28" s="66"/>
      <c r="DP28" s="66">
        <f>'[1]Univ Comm Fund'!AG28</f>
        <v>500000000</v>
      </c>
      <c r="DQ28" s="66">
        <f>'[1]UNIV 2019'!AG34</f>
        <v>500000000</v>
      </c>
      <c r="DR28" s="66">
        <f t="shared" si="30"/>
        <v>0</v>
      </c>
      <c r="DS28" s="66"/>
      <c r="DT28" s="66">
        <f>'[1]Univ Comm Fund'!AH28</f>
        <v>100000000</v>
      </c>
      <c r="DU28" s="66">
        <f>'[1]UNIV 2019'!AH34</f>
        <v>85000000</v>
      </c>
      <c r="DV28" s="66">
        <f t="shared" si="31"/>
        <v>15000000</v>
      </c>
      <c r="DW28" s="66"/>
      <c r="DX28" s="66">
        <f>'[1]Univ Comm Fund'!AI28</f>
        <v>15000000</v>
      </c>
      <c r="DY28" s="66">
        <f>'[1]UNIV 2019'!AI34</f>
        <v>0</v>
      </c>
      <c r="DZ28" s="66">
        <f t="shared" si="32"/>
        <v>15000000</v>
      </c>
      <c r="EA28" s="66"/>
      <c r="EB28" s="66">
        <f>'[1]Univ Comm Fund'!AJ28</f>
        <v>2000000</v>
      </c>
      <c r="EC28" s="66">
        <f>'[1]UNIV 2019'!AJ34</f>
        <v>0</v>
      </c>
      <c r="ED28" s="66">
        <f t="shared" si="33"/>
        <v>2000000</v>
      </c>
      <c r="EE28" s="66"/>
      <c r="EF28" s="66">
        <f>'[1]Univ Comm Fund'!AK28</f>
        <v>10000000</v>
      </c>
      <c r="EG28" s="66">
        <f>'[1]UNIV 2019'!AK34</f>
        <v>8500000</v>
      </c>
      <c r="EH28" s="66">
        <f t="shared" si="34"/>
        <v>1500000</v>
      </c>
      <c r="EI28" s="66"/>
      <c r="EJ28" s="66">
        <f>'[1]Univ Comm Fund'!AL28</f>
        <v>1200000000</v>
      </c>
      <c r="EK28" s="66">
        <f>'[1]UNIV 2019'!AL34</f>
        <v>1120000000</v>
      </c>
      <c r="EL28" s="66">
        <f t="shared" si="35"/>
        <v>80000000</v>
      </c>
      <c r="EM28" s="66"/>
      <c r="EN28" s="80">
        <f>'[1]Univ Comm Fund'!AM28</f>
        <v>565410000</v>
      </c>
      <c r="EO28" s="66">
        <f>'[1]UNIV 2019'!AM34</f>
        <v>480598500</v>
      </c>
      <c r="EP28" s="75">
        <f t="shared" si="36"/>
        <v>84811500</v>
      </c>
      <c r="EQ28" s="66"/>
      <c r="ER28" s="66">
        <f>'[1]Univ Comm Fund'!AN28</f>
        <v>15000000</v>
      </c>
      <c r="ES28" s="66">
        <f>'[1]UNIV 2019'!AN34</f>
        <v>0</v>
      </c>
      <c r="ET28" s="75">
        <f t="shared" si="37"/>
        <v>15000000</v>
      </c>
      <c r="EU28" s="66"/>
      <c r="EV28" s="66">
        <f>'[1]Univ Comm Fund'!AO28</f>
        <v>15000000</v>
      </c>
      <c r="EW28" s="66">
        <f>'[1]UNIV 2019'!AO34</f>
        <v>0</v>
      </c>
      <c r="EX28" s="75">
        <f t="shared" si="38"/>
        <v>15000000</v>
      </c>
      <c r="EY28" s="66"/>
      <c r="EZ28" s="66">
        <f>'[1]Univ Comm Fund'!AP28</f>
        <v>10000000</v>
      </c>
      <c r="FA28" s="66">
        <f>'[1]UNIV 2019'!AP34</f>
        <v>8500000</v>
      </c>
      <c r="FB28" s="75">
        <f t="shared" si="39"/>
        <v>1500000</v>
      </c>
      <c r="FC28" s="75"/>
      <c r="FD28" s="75">
        <f>'[1]Univ Comm Fund'!AQ28</f>
        <v>0</v>
      </c>
      <c r="FE28" s="75">
        <f>'[1]UNIV 2019'!AQ34</f>
        <v>0</v>
      </c>
      <c r="FF28" s="75">
        <f t="shared" si="40"/>
        <v>0</v>
      </c>
      <c r="FG28" s="75"/>
      <c r="FH28" s="75">
        <f>'[1]Univ Comm Fund'!AR28</f>
        <v>0</v>
      </c>
      <c r="FI28" s="75">
        <f>'[1]UNIV 2019'!AR34</f>
        <v>0</v>
      </c>
      <c r="FJ28" s="75">
        <f t="shared" si="41"/>
        <v>0</v>
      </c>
      <c r="FK28" s="75"/>
      <c r="FL28" s="75">
        <f>'[1]Univ Comm Fund'!AS28</f>
        <v>300000000</v>
      </c>
      <c r="FM28" s="75">
        <f>'[1]UNIV 2019'!AS34</f>
        <v>0</v>
      </c>
      <c r="FN28" s="75">
        <f t="shared" si="42"/>
        <v>300000000</v>
      </c>
      <c r="FO28" s="75"/>
      <c r="FP28" s="75">
        <f>'[1]Univ Comm Fund'!AT28</f>
        <v>120000000</v>
      </c>
      <c r="FQ28" s="75">
        <f>'[1]UNIV 2019'!AT34</f>
        <v>90000000</v>
      </c>
      <c r="FR28" s="75">
        <f t="shared" si="43"/>
        <v>30000000</v>
      </c>
      <c r="FS28" s="75"/>
      <c r="FT28" s="75">
        <f>'[1]Univ Comm Fund'!AU28</f>
        <v>10000000</v>
      </c>
      <c r="FU28" s="75">
        <f>'[1]UNIV 2019'!AU34</f>
        <v>0</v>
      </c>
      <c r="FV28" s="75">
        <f t="shared" si="44"/>
        <v>10000000</v>
      </c>
      <c r="FW28" s="75"/>
      <c r="FX28" s="75">
        <f>'[1]Univ Comm Fund'!AV28</f>
        <v>5000000</v>
      </c>
      <c r="FY28" s="75">
        <f>'[1]UNIV 2019'!AV34</f>
        <v>0</v>
      </c>
      <c r="FZ28" s="75">
        <f t="shared" si="45"/>
        <v>5000000</v>
      </c>
      <c r="GA28" s="75"/>
      <c r="GB28" s="75">
        <f>'[1]Univ Comm Fund'!AW28</f>
        <v>10000000</v>
      </c>
      <c r="GC28" s="75">
        <f>'[1]UNIV 2019'!AW34</f>
        <v>0</v>
      </c>
      <c r="GD28" s="75">
        <f t="shared" si="46"/>
        <v>10000000</v>
      </c>
      <c r="GE28" s="75"/>
      <c r="GF28" s="75">
        <f>'[1]Univ Comm Fund'!AX28</f>
        <v>0</v>
      </c>
      <c r="GG28" s="75">
        <f>'[1]UNIV 2019'!AX34</f>
        <v>0</v>
      </c>
      <c r="GH28" s="75">
        <f t="shared" si="47"/>
        <v>0</v>
      </c>
      <c r="GI28" s="75"/>
      <c r="GJ28" s="75">
        <f>'[1]Univ Comm Fund'!AY28</f>
        <v>350000000</v>
      </c>
      <c r="GK28" s="75">
        <f>'[1]UNIV 2019'!AY34</f>
        <v>0</v>
      </c>
      <c r="GL28" s="75">
        <f t="shared" si="48"/>
        <v>350000000</v>
      </c>
      <c r="GM28" s="75"/>
      <c r="GN28" s="75">
        <f>'[1]Univ Comm Fund'!AZ28</f>
        <v>175823700</v>
      </c>
      <c r="GO28" s="75">
        <f>'[1]UNIV 2019'!AZ34</f>
        <v>0</v>
      </c>
      <c r="GP28" s="75">
        <f t="shared" si="49"/>
        <v>175823700</v>
      </c>
      <c r="GQ28" s="75"/>
      <c r="GR28" s="75">
        <f>'[1]Univ Comm Fund'!BA28</f>
        <v>20000000</v>
      </c>
      <c r="GS28" s="75">
        <f>'[1]UNIV 2019'!BA34</f>
        <v>0</v>
      </c>
      <c r="GT28" s="75">
        <f t="shared" si="50"/>
        <v>20000000</v>
      </c>
      <c r="GU28" s="75"/>
      <c r="GV28" s="75">
        <f>'[1]Univ Comm Fund'!BB28</f>
        <v>5000000</v>
      </c>
      <c r="GW28" s="75">
        <f>'[1]UNIV 2019'!BB34</f>
        <v>0</v>
      </c>
      <c r="GX28" s="75">
        <f t="shared" si="51"/>
        <v>5000000</v>
      </c>
      <c r="GY28" s="75"/>
      <c r="GZ28" s="75">
        <f>'[1]Univ Comm Fund'!BC28</f>
        <v>10000000</v>
      </c>
      <c r="HA28" s="75">
        <f>'[1]UNIV 2019'!BD34</f>
        <v>0</v>
      </c>
      <c r="HB28" s="75">
        <f t="shared" si="52"/>
        <v>10000000</v>
      </c>
      <c r="HC28" s="75"/>
      <c r="HD28" s="75">
        <f>'[1]Univ Comm Fund'!BD28</f>
        <v>0</v>
      </c>
      <c r="HE28" s="75">
        <f>'[1]UNIV 2019'!BC34</f>
        <v>0</v>
      </c>
      <c r="HF28" s="75">
        <f t="shared" si="53"/>
        <v>0</v>
      </c>
      <c r="HG28" s="75"/>
      <c r="HH28" s="75">
        <f t="shared" si="54"/>
        <v>5749401476.6700001</v>
      </c>
      <c r="HI28" s="75">
        <f t="shared" si="54"/>
        <v>4371566277.3400002</v>
      </c>
      <c r="HJ28" s="82">
        <f t="shared" si="55"/>
        <v>1377835199.3299999</v>
      </c>
      <c r="HL28" s="83">
        <f t="shared" si="56"/>
        <v>3426577776.6700001</v>
      </c>
      <c r="HM28" s="83">
        <f t="shared" si="56"/>
        <v>2461816277.3400002</v>
      </c>
      <c r="HN28" s="84">
        <f t="shared" si="57"/>
        <v>964761499.32999992</v>
      </c>
      <c r="HP28" s="83">
        <f t="shared" si="58"/>
        <v>1760000000</v>
      </c>
      <c r="HQ28" s="83">
        <f t="shared" si="58"/>
        <v>1680000000</v>
      </c>
      <c r="HR28" s="84">
        <f t="shared" si="59"/>
        <v>80000000</v>
      </c>
      <c r="HT28" s="83">
        <f t="shared" si="60"/>
        <v>145000000</v>
      </c>
      <c r="HU28" s="83">
        <f t="shared" si="60"/>
        <v>114750000</v>
      </c>
      <c r="HV28" s="84">
        <f t="shared" si="61"/>
        <v>30250000</v>
      </c>
      <c r="HX28" s="83">
        <f t="shared" si="62"/>
        <v>60000000</v>
      </c>
      <c r="HY28" s="83">
        <f t="shared" si="62"/>
        <v>0</v>
      </c>
      <c r="HZ28" s="84">
        <f t="shared" si="63"/>
        <v>60000000</v>
      </c>
      <c r="IB28" s="83">
        <f t="shared" si="64"/>
        <v>35000000</v>
      </c>
      <c r="IC28" s="83">
        <f t="shared" si="64"/>
        <v>0</v>
      </c>
      <c r="ID28" s="84">
        <f t="shared" si="65"/>
        <v>35000000</v>
      </c>
      <c r="IF28" s="83">
        <f t="shared" si="3"/>
        <v>2000000</v>
      </c>
      <c r="IG28" s="83">
        <f t="shared" si="3"/>
        <v>0</v>
      </c>
      <c r="IH28" s="84">
        <f t="shared" si="66"/>
        <v>2000000</v>
      </c>
      <c r="IJ28" s="84">
        <f t="shared" si="67"/>
        <v>295823700</v>
      </c>
      <c r="IK28" s="84">
        <f t="shared" si="67"/>
        <v>90000000</v>
      </c>
      <c r="IL28" s="84">
        <f t="shared" si="68"/>
        <v>205823700</v>
      </c>
    </row>
    <row r="29" spans="1:246" x14ac:dyDescent="0.25">
      <c r="A29" s="42">
        <v>24</v>
      </c>
      <c r="B29" s="86" t="s">
        <v>88</v>
      </c>
      <c r="C29" s="42" t="s">
        <v>76</v>
      </c>
      <c r="D29" s="66">
        <f>'[1]Univ Comm Fund'!D29</f>
        <v>59027776.670000002</v>
      </c>
      <c r="E29" s="66">
        <f>'[1]UNIV 2019'!D35</f>
        <v>59027776.670000002</v>
      </c>
      <c r="F29" s="75">
        <f t="shared" si="4"/>
        <v>0</v>
      </c>
      <c r="G29" s="66"/>
      <c r="H29" s="66">
        <f>'[1]Univ Comm Fund'!E29</f>
        <v>20000000</v>
      </c>
      <c r="I29" s="66">
        <f>'[1]UNIV 2019'!E35</f>
        <v>20000000</v>
      </c>
      <c r="J29" s="66">
        <f t="shared" si="5"/>
        <v>0</v>
      </c>
      <c r="K29" s="66"/>
      <c r="L29" s="66">
        <f>'[1]Univ Comm Fund'!F29</f>
        <v>40000000</v>
      </c>
      <c r="M29" s="66">
        <f>'[1]UNIV 2019'!F35</f>
        <v>40000000</v>
      </c>
      <c r="N29" s="66">
        <f t="shared" si="6"/>
        <v>0</v>
      </c>
      <c r="O29" s="66"/>
      <c r="P29" s="66">
        <f>'[1]Univ Comm Fund'!G29</f>
        <v>302000</v>
      </c>
      <c r="Q29" s="66">
        <f>'[1]UNIV 2019'!G35</f>
        <v>302000</v>
      </c>
      <c r="R29" s="66">
        <f t="shared" si="7"/>
        <v>0</v>
      </c>
      <c r="S29" s="87"/>
      <c r="T29" s="66">
        <f>'[1]Univ Comm Fund'!H29</f>
        <v>50000000</v>
      </c>
      <c r="U29" s="66">
        <f>'[1]UNIV 2019'!H35</f>
        <v>50000000</v>
      </c>
      <c r="V29" s="66">
        <f t="shared" si="8"/>
        <v>0</v>
      </c>
      <c r="W29" s="66"/>
      <c r="X29" s="66">
        <f>'[1]Univ Comm Fund'!I29</f>
        <v>25000000</v>
      </c>
      <c r="Y29" s="66">
        <f>'[1]UNIV 2019'!I35</f>
        <v>25000000</v>
      </c>
      <c r="Z29" s="66">
        <f t="shared" si="9"/>
        <v>0</v>
      </c>
      <c r="AA29" s="66"/>
      <c r="AB29" s="66">
        <f>'[1]Univ Comm Fund'!J29</f>
        <v>30000000</v>
      </c>
      <c r="AC29" s="66">
        <f>'[1]UNIV 2019'!J35</f>
        <v>30000000</v>
      </c>
      <c r="AD29" s="66">
        <f t="shared" si="10"/>
        <v>0</v>
      </c>
      <c r="AE29" s="66"/>
      <c r="AF29" s="88">
        <f>'[1]Univ Comm Fund'!K29</f>
        <v>30000000</v>
      </c>
      <c r="AG29" s="66">
        <f>'[1]UNIV 2019'!K35</f>
        <v>30000000</v>
      </c>
      <c r="AH29" s="66">
        <f t="shared" si="11"/>
        <v>0</v>
      </c>
      <c r="AI29" s="88"/>
      <c r="AJ29" s="66">
        <f>'[1]Univ Comm Fund'!L29</f>
        <v>0</v>
      </c>
      <c r="AK29" s="66">
        <f>'[1]UNIV 2019'!L35</f>
        <v>0</v>
      </c>
      <c r="AL29" s="66">
        <f t="shared" si="12"/>
        <v>0</v>
      </c>
      <c r="AM29" s="66"/>
      <c r="AN29" s="66">
        <f>'[1]Univ Comm Fund'!M29</f>
        <v>40000000</v>
      </c>
      <c r="AO29" s="66">
        <f>'[1]UNIV 2019'!M35</f>
        <v>40000000</v>
      </c>
      <c r="AP29" s="66">
        <f t="shared" si="13"/>
        <v>0</v>
      </c>
      <c r="AQ29" s="66"/>
      <c r="AR29" s="66">
        <f>'[1]Univ Comm Fund'!N29</f>
        <v>0</v>
      </c>
      <c r="AS29" s="66">
        <f>'[1]UNIV 2019'!N35</f>
        <v>0</v>
      </c>
      <c r="AT29" s="66">
        <f t="shared" si="14"/>
        <v>0</v>
      </c>
      <c r="AU29" s="66"/>
      <c r="AV29" s="66">
        <f>'[1]Univ Comm Fund'!O29</f>
        <v>40000000</v>
      </c>
      <c r="AW29" s="66">
        <f>'[1]UNIV 2019'!O35</f>
        <v>40000000</v>
      </c>
      <c r="AX29" s="66">
        <f t="shared" si="15"/>
        <v>0</v>
      </c>
      <c r="AY29" s="66"/>
      <c r="AZ29" s="66">
        <f>'[1]Univ Comm Fund'!P29</f>
        <v>0</v>
      </c>
      <c r="BA29" s="66">
        <f>'[1]UNIV 2019'!P35</f>
        <v>0</v>
      </c>
      <c r="BB29" s="66">
        <f t="shared" si="0"/>
        <v>0</v>
      </c>
      <c r="BC29" s="66"/>
      <c r="BD29" s="66">
        <f>'[1]Univ Comm Fund'!Q29</f>
        <v>52000000</v>
      </c>
      <c r="BE29" s="66">
        <f>'[1]UNIV 2019'!Q35</f>
        <v>52000000</v>
      </c>
      <c r="BF29" s="66">
        <f t="shared" si="1"/>
        <v>0</v>
      </c>
      <c r="BG29" s="66"/>
      <c r="BH29" s="66">
        <f>'[1]Univ Comm Fund'!R29</f>
        <v>67000000</v>
      </c>
      <c r="BI29" s="66">
        <f>'[1]UNIV 2019'!R35</f>
        <v>67000000</v>
      </c>
      <c r="BJ29" s="66">
        <f t="shared" si="16"/>
        <v>0</v>
      </c>
      <c r="BK29" s="66"/>
      <c r="BL29" s="66">
        <f>'[1]Univ Comm Fund'!S29</f>
        <v>57000000</v>
      </c>
      <c r="BM29" s="66">
        <f>'[1]UNIV 2019'!S35</f>
        <v>57000000</v>
      </c>
      <c r="BN29" s="66">
        <f t="shared" si="17"/>
        <v>0</v>
      </c>
      <c r="BO29" s="66"/>
      <c r="BP29" s="66">
        <f>'[1]Univ Comm Fund'!T29</f>
        <v>0</v>
      </c>
      <c r="BQ29" s="66">
        <f>'[1]UNIV 2019'!T35</f>
        <v>0</v>
      </c>
      <c r="BR29" s="66">
        <f t="shared" si="18"/>
        <v>0</v>
      </c>
      <c r="BS29" s="66"/>
      <c r="BT29" s="66">
        <f>'[1]Univ Comm Fund'!U29</f>
        <v>193140000</v>
      </c>
      <c r="BU29" s="66">
        <f>'[1]UNIV 2019'!U35</f>
        <v>193140000</v>
      </c>
      <c r="BV29" s="66">
        <f t="shared" si="2"/>
        <v>0</v>
      </c>
      <c r="BW29" s="66"/>
      <c r="BX29" s="66">
        <f>'[1]Univ Comm Fund'!V29</f>
        <v>200000000</v>
      </c>
      <c r="BY29" s="66">
        <f>'[1]UNIV 2019'!V35</f>
        <v>200000000</v>
      </c>
      <c r="BZ29" s="66">
        <f t="shared" si="19"/>
        <v>0</v>
      </c>
      <c r="CA29" s="66"/>
      <c r="CB29" s="66">
        <f>'[1]Univ Comm Fund'!W29</f>
        <v>175000000</v>
      </c>
      <c r="CC29" s="66">
        <f>'[1]UNIV 2019'!W35</f>
        <v>94500000</v>
      </c>
      <c r="CD29" s="66">
        <f t="shared" si="20"/>
        <v>80500000</v>
      </c>
      <c r="CE29" s="66"/>
      <c r="CF29" s="66">
        <v>75000000</v>
      </c>
      <c r="CG29" s="66">
        <f>'[1]UNIV 2019'!X35</f>
        <v>0</v>
      </c>
      <c r="CH29" s="75">
        <f t="shared" si="21"/>
        <v>75000000</v>
      </c>
      <c r="CI29" s="66"/>
      <c r="CJ29" s="66">
        <f>'[1]Univ Comm Fund'!Y29</f>
        <v>0</v>
      </c>
      <c r="CK29" s="66">
        <f>'[1]UNIV 2019'!Y35</f>
        <v>0</v>
      </c>
      <c r="CL29" s="66">
        <f t="shared" si="22"/>
        <v>0</v>
      </c>
      <c r="CM29" s="66"/>
      <c r="CN29" s="20">
        <f>'[1]Univ Comm Fund'!Z29</f>
        <v>350000000</v>
      </c>
      <c r="CO29" s="66">
        <f>'[1]UNIV 2019'!Z35</f>
        <v>189000000</v>
      </c>
      <c r="CP29" s="66">
        <f t="shared" si="23"/>
        <v>161000000</v>
      </c>
      <c r="CQ29" s="20"/>
      <c r="CR29" s="66">
        <f>'[1]Univ Comm Fund'!AA29</f>
        <v>65000000</v>
      </c>
      <c r="CS29" s="66">
        <f>'[1]UNIV 2019'!AA35</f>
        <v>65000000</v>
      </c>
      <c r="CT29" s="75">
        <f t="shared" si="24"/>
        <v>0</v>
      </c>
      <c r="CU29" s="66"/>
      <c r="CV29" s="66">
        <f>'[1]Univ Comm Fund'!AB29</f>
        <v>350000000</v>
      </c>
      <c r="CW29" s="66">
        <f>'[1]UNIV 2019'!AB35</f>
        <v>350000000</v>
      </c>
      <c r="CX29" s="75">
        <f t="shared" si="25"/>
        <v>0</v>
      </c>
      <c r="CY29" s="66"/>
      <c r="CZ29" s="66">
        <f>'[1]Univ Comm Fund'!AC29</f>
        <v>356000000</v>
      </c>
      <c r="DA29" s="66">
        <f>'[1]UNIV 2019'!AC35</f>
        <v>192240000</v>
      </c>
      <c r="DB29" s="66">
        <f t="shared" si="26"/>
        <v>163760000</v>
      </c>
      <c r="DC29" s="66"/>
      <c r="DD29" s="66">
        <f>'[1]Univ Comm Fund'!AD29</f>
        <v>20000000</v>
      </c>
      <c r="DE29" s="66">
        <f>'[1]UNIV 2019'!AD35</f>
        <v>0</v>
      </c>
      <c r="DF29" s="66">
        <f t="shared" si="27"/>
        <v>20000000</v>
      </c>
      <c r="DG29" s="66"/>
      <c r="DH29" s="66">
        <f>'[1]Univ Comm Fund'!AE29</f>
        <v>552000000</v>
      </c>
      <c r="DI29" s="66">
        <f>'[1]UNIV 2019'!AE35</f>
        <v>552000000</v>
      </c>
      <c r="DJ29" s="66">
        <f t="shared" si="28"/>
        <v>0</v>
      </c>
      <c r="DK29" s="66"/>
      <c r="DL29" s="66">
        <f>'[1]Univ Comm Fund'!AF29</f>
        <v>20000000</v>
      </c>
      <c r="DM29" s="66">
        <f>'[1]UNIV 2019'!AF35</f>
        <v>0</v>
      </c>
      <c r="DN29" s="66">
        <f t="shared" si="29"/>
        <v>20000000</v>
      </c>
      <c r="DO29" s="66"/>
      <c r="DP29" s="66">
        <f>'[1]Univ Comm Fund'!AG29</f>
        <v>1300000000</v>
      </c>
      <c r="DQ29" s="66">
        <f>'[1]UNIV 2019'!AG35</f>
        <v>1212500000</v>
      </c>
      <c r="DR29" s="66">
        <f t="shared" si="30"/>
        <v>87500000</v>
      </c>
      <c r="DS29" s="66"/>
      <c r="DT29" s="66">
        <f>'[1]Univ Comm Fund'!AH29</f>
        <v>100000000</v>
      </c>
      <c r="DU29" s="66">
        <f>'[1]UNIV 2019'!AH35</f>
        <v>85000000</v>
      </c>
      <c r="DV29" s="66">
        <f t="shared" si="31"/>
        <v>15000000</v>
      </c>
      <c r="DW29" s="66"/>
      <c r="DX29" s="66">
        <f>'[1]Univ Comm Fund'!AI29</f>
        <v>15000000</v>
      </c>
      <c r="DY29" s="66">
        <f>'[1]UNIV 2019'!AI35</f>
        <v>0</v>
      </c>
      <c r="DZ29" s="66">
        <f t="shared" si="32"/>
        <v>15000000</v>
      </c>
      <c r="EA29" s="66"/>
      <c r="EB29" s="66">
        <f>'[1]Univ Comm Fund'!AJ29</f>
        <v>2000000</v>
      </c>
      <c r="EC29" s="66">
        <f>'[1]UNIV 2019'!AJ35</f>
        <v>0</v>
      </c>
      <c r="ED29" s="66">
        <f t="shared" si="33"/>
        <v>2000000</v>
      </c>
      <c r="EE29" s="66"/>
      <c r="EF29" s="66">
        <f>'[1]Univ Comm Fund'!AK29</f>
        <v>10000000</v>
      </c>
      <c r="EG29" s="66">
        <f>'[1]UNIV 2019'!AK35</f>
        <v>0</v>
      </c>
      <c r="EH29" s="66">
        <f t="shared" si="34"/>
        <v>10000000</v>
      </c>
      <c r="EI29" s="66"/>
      <c r="EJ29" s="66">
        <f>'[1]Univ Comm Fund'!AL29</f>
        <v>4186000000</v>
      </c>
      <c r="EK29" s="66">
        <f>'[1]UNIV 2019'!AL35</f>
        <v>4178100000</v>
      </c>
      <c r="EL29" s="66">
        <f t="shared" si="35"/>
        <v>7900000</v>
      </c>
      <c r="EM29" s="66"/>
      <c r="EN29" s="80">
        <f>'[1]Univ Comm Fund'!AM29</f>
        <v>565410000</v>
      </c>
      <c r="EO29" s="66">
        <f>'[1]UNIV 2019'!AM35</f>
        <v>480598500</v>
      </c>
      <c r="EP29" s="75">
        <f t="shared" si="36"/>
        <v>84811500</v>
      </c>
      <c r="EQ29" s="66"/>
      <c r="ER29" s="66">
        <f>'[1]Univ Comm Fund'!AN29</f>
        <v>15000000</v>
      </c>
      <c r="ES29" s="66">
        <f>'[1]UNIV 2019'!AN35</f>
        <v>0</v>
      </c>
      <c r="ET29" s="75">
        <f t="shared" si="37"/>
        <v>15000000</v>
      </c>
      <c r="EU29" s="66"/>
      <c r="EV29" s="66">
        <f>'[1]Univ Comm Fund'!AO29</f>
        <v>15000000</v>
      </c>
      <c r="EW29" s="66">
        <f>'[1]UNIV 2019'!AO35</f>
        <v>0</v>
      </c>
      <c r="EX29" s="75">
        <f t="shared" si="38"/>
        <v>15000000</v>
      </c>
      <c r="EY29" s="66"/>
      <c r="EZ29" s="66">
        <f>'[1]Univ Comm Fund'!AP29</f>
        <v>10000000</v>
      </c>
      <c r="FA29" s="66">
        <f>'[1]UNIV 2019'!AP35</f>
        <v>0</v>
      </c>
      <c r="FB29" s="75">
        <f t="shared" si="39"/>
        <v>10000000</v>
      </c>
      <c r="FC29" s="75"/>
      <c r="FD29" s="75">
        <f>'[1]Univ Comm Fund'!AQ29</f>
        <v>0</v>
      </c>
      <c r="FE29" s="75">
        <f>'[1]UNIV 2019'!AQ35</f>
        <v>0</v>
      </c>
      <c r="FF29" s="75">
        <f t="shared" si="40"/>
        <v>0</v>
      </c>
      <c r="FG29" s="75"/>
      <c r="FH29" s="75">
        <f>'[1]Univ Comm Fund'!AR29</f>
        <v>0</v>
      </c>
      <c r="FI29" s="75">
        <f>'[1]UNIV 2019'!AR35</f>
        <v>0</v>
      </c>
      <c r="FJ29" s="75">
        <f t="shared" si="41"/>
        <v>0</v>
      </c>
      <c r="FK29" s="75"/>
      <c r="FL29" s="75">
        <f>'[1]Univ Comm Fund'!AS29</f>
        <v>300000000</v>
      </c>
      <c r="FM29" s="75">
        <f>'[1]UNIV 2019'!AS35</f>
        <v>0</v>
      </c>
      <c r="FN29" s="75">
        <f t="shared" si="42"/>
        <v>300000000</v>
      </c>
      <c r="FO29" s="75"/>
      <c r="FP29" s="75">
        <f>'[1]Univ Comm Fund'!AT29</f>
        <v>120000000</v>
      </c>
      <c r="FQ29" s="75">
        <f>'[1]UNIV 2019'!AT35</f>
        <v>81600000</v>
      </c>
      <c r="FR29" s="75">
        <f t="shared" si="43"/>
        <v>38400000</v>
      </c>
      <c r="FS29" s="75"/>
      <c r="FT29" s="75">
        <f>'[1]Univ Comm Fund'!AU29</f>
        <v>10000000</v>
      </c>
      <c r="FU29" s="75">
        <f>'[1]UNIV 2019'!AU35</f>
        <v>0</v>
      </c>
      <c r="FV29" s="75">
        <f t="shared" si="44"/>
        <v>10000000</v>
      </c>
      <c r="FW29" s="75"/>
      <c r="FX29" s="75">
        <f>'[1]Univ Comm Fund'!AV29</f>
        <v>5000000</v>
      </c>
      <c r="FY29" s="75">
        <f>'[1]UNIV 2019'!AV35</f>
        <v>0</v>
      </c>
      <c r="FZ29" s="75">
        <f t="shared" si="45"/>
        <v>5000000</v>
      </c>
      <c r="GA29" s="75"/>
      <c r="GB29" s="75">
        <f>'[1]Univ Comm Fund'!AW29</f>
        <v>10000000</v>
      </c>
      <c r="GC29" s="75">
        <f>'[1]UNIV 2019'!AW35</f>
        <v>0</v>
      </c>
      <c r="GD29" s="75">
        <f t="shared" si="46"/>
        <v>10000000</v>
      </c>
      <c r="GE29" s="75"/>
      <c r="GF29" s="75">
        <f>'[1]Univ Comm Fund'!AX29</f>
        <v>0</v>
      </c>
      <c r="GG29" s="75">
        <f>'[1]UNIV 2019'!AX35</f>
        <v>0</v>
      </c>
      <c r="GH29" s="75">
        <f t="shared" si="47"/>
        <v>0</v>
      </c>
      <c r="GI29" s="75"/>
      <c r="GJ29" s="75">
        <f>'[1]Univ Comm Fund'!AY29</f>
        <v>350000000</v>
      </c>
      <c r="GK29" s="75">
        <f>'[1]UNIV 2019'!AY35</f>
        <v>0</v>
      </c>
      <c r="GL29" s="75">
        <f t="shared" si="48"/>
        <v>350000000</v>
      </c>
      <c r="GM29" s="75"/>
      <c r="GN29" s="75">
        <f>'[1]Univ Comm Fund'!AZ29</f>
        <v>175823700</v>
      </c>
      <c r="GO29" s="75">
        <f>'[1]UNIV 2019'!AZ35</f>
        <v>0</v>
      </c>
      <c r="GP29" s="75">
        <f t="shared" si="49"/>
        <v>175823700</v>
      </c>
      <c r="GQ29" s="75"/>
      <c r="GR29" s="75">
        <f>'[1]Univ Comm Fund'!BA29</f>
        <v>20000000</v>
      </c>
      <c r="GS29" s="75">
        <f>'[1]UNIV 2019'!BA35</f>
        <v>0</v>
      </c>
      <c r="GT29" s="75">
        <f t="shared" si="50"/>
        <v>20000000</v>
      </c>
      <c r="GU29" s="75"/>
      <c r="GV29" s="75">
        <f>'[1]Univ Comm Fund'!BB29</f>
        <v>5000000</v>
      </c>
      <c r="GW29" s="75">
        <f>'[1]UNIV 2019'!BB35</f>
        <v>0</v>
      </c>
      <c r="GX29" s="75">
        <f t="shared" si="51"/>
        <v>5000000</v>
      </c>
      <c r="GY29" s="75"/>
      <c r="GZ29" s="75">
        <f>'[1]Univ Comm Fund'!BC29</f>
        <v>10000000</v>
      </c>
      <c r="HA29" s="75">
        <f>'[1]UNIV 2019'!BD35</f>
        <v>0</v>
      </c>
      <c r="HB29" s="75">
        <f t="shared" si="52"/>
        <v>10000000</v>
      </c>
      <c r="HC29" s="75"/>
      <c r="HD29" s="75">
        <f>'[1]Univ Comm Fund'!BD29</f>
        <v>0</v>
      </c>
      <c r="HE29" s="75">
        <f>'[1]UNIV 2019'!BC35</f>
        <v>0</v>
      </c>
      <c r="HF29" s="75">
        <f t="shared" si="53"/>
        <v>0</v>
      </c>
      <c r="HG29" s="75"/>
      <c r="HH29" s="75">
        <f t="shared" si="54"/>
        <v>10090703476.67</v>
      </c>
      <c r="HI29" s="75">
        <f t="shared" si="54"/>
        <v>8384008276.6700001</v>
      </c>
      <c r="HJ29" s="82">
        <f t="shared" si="55"/>
        <v>1706695200</v>
      </c>
      <c r="HL29" s="83">
        <f t="shared" si="56"/>
        <v>3426577776.6700001</v>
      </c>
      <c r="HM29" s="83">
        <f t="shared" si="56"/>
        <v>2271506276.6700001</v>
      </c>
      <c r="HN29" s="84">
        <f t="shared" si="57"/>
        <v>1155071500</v>
      </c>
      <c r="HP29" s="83">
        <f t="shared" si="58"/>
        <v>6101000000</v>
      </c>
      <c r="HQ29" s="83">
        <f t="shared" si="58"/>
        <v>6005600000</v>
      </c>
      <c r="HR29" s="84">
        <f t="shared" si="59"/>
        <v>95400000</v>
      </c>
      <c r="HT29" s="83">
        <f t="shared" si="60"/>
        <v>145000000</v>
      </c>
      <c r="HU29" s="83">
        <f t="shared" si="60"/>
        <v>0</v>
      </c>
      <c r="HV29" s="84">
        <f t="shared" si="61"/>
        <v>145000000</v>
      </c>
      <c r="HX29" s="83">
        <f t="shared" si="62"/>
        <v>60000000</v>
      </c>
      <c r="HY29" s="83">
        <f t="shared" si="62"/>
        <v>0</v>
      </c>
      <c r="HZ29" s="84">
        <f t="shared" si="63"/>
        <v>60000000</v>
      </c>
      <c r="IB29" s="83">
        <f t="shared" si="64"/>
        <v>35000000</v>
      </c>
      <c r="IC29" s="83">
        <f t="shared" si="64"/>
        <v>0</v>
      </c>
      <c r="ID29" s="84">
        <f t="shared" si="65"/>
        <v>35000000</v>
      </c>
      <c r="IF29" s="83">
        <f t="shared" si="3"/>
        <v>2000000</v>
      </c>
      <c r="IG29" s="83">
        <f t="shared" si="3"/>
        <v>0</v>
      </c>
      <c r="IH29" s="84">
        <f t="shared" si="66"/>
        <v>2000000</v>
      </c>
      <c r="IJ29" s="84">
        <f t="shared" si="67"/>
        <v>295823700</v>
      </c>
      <c r="IK29" s="84">
        <f t="shared" si="67"/>
        <v>81600000</v>
      </c>
      <c r="IL29" s="84">
        <f t="shared" si="68"/>
        <v>214223700</v>
      </c>
    </row>
    <row r="30" spans="1:246" x14ac:dyDescent="0.25">
      <c r="A30" s="42">
        <v>25</v>
      </c>
      <c r="B30" s="91" t="s">
        <v>89</v>
      </c>
      <c r="C30" s="42" t="s">
        <v>63</v>
      </c>
      <c r="D30" s="66">
        <f>'[1]Univ Comm Fund'!D30</f>
        <v>0</v>
      </c>
      <c r="E30" s="66">
        <f>'[1]UNIV 2019'!D36</f>
        <v>0</v>
      </c>
      <c r="F30" s="75">
        <f t="shared" si="4"/>
        <v>0</v>
      </c>
      <c r="G30" s="66"/>
      <c r="H30" s="66">
        <f>'[1]Univ Comm Fund'!E30</f>
        <v>20000000</v>
      </c>
      <c r="I30" s="66">
        <f>'[1]UNIV 2019'!E36</f>
        <v>20000000</v>
      </c>
      <c r="J30" s="66">
        <f t="shared" si="5"/>
        <v>0</v>
      </c>
      <c r="K30" s="66"/>
      <c r="L30" s="66">
        <f>'[1]Univ Comm Fund'!F30</f>
        <v>40000000</v>
      </c>
      <c r="M30" s="66">
        <f>'[1]UNIV 2019'!F36</f>
        <v>40000000</v>
      </c>
      <c r="N30" s="66">
        <f t="shared" si="6"/>
        <v>0</v>
      </c>
      <c r="O30" s="66"/>
      <c r="P30" s="66">
        <f>'[1]Univ Comm Fund'!G30</f>
        <v>0</v>
      </c>
      <c r="Q30" s="66">
        <f>'[1]UNIV 2019'!G36</f>
        <v>0</v>
      </c>
      <c r="R30" s="66">
        <f t="shared" si="7"/>
        <v>0</v>
      </c>
      <c r="S30" s="87"/>
      <c r="T30" s="66">
        <f>'[1]Univ Comm Fund'!H30</f>
        <v>50000000</v>
      </c>
      <c r="U30" s="66">
        <f>'[1]UNIV 2019'!H36</f>
        <v>50000000</v>
      </c>
      <c r="V30" s="66">
        <f t="shared" si="8"/>
        <v>0</v>
      </c>
      <c r="W30" s="66"/>
      <c r="X30" s="66">
        <f>'[1]Univ Comm Fund'!I30</f>
        <v>0</v>
      </c>
      <c r="Y30" s="66">
        <f>'[1]UNIV 2019'!I36</f>
        <v>0</v>
      </c>
      <c r="Z30" s="66">
        <f t="shared" si="9"/>
        <v>0</v>
      </c>
      <c r="AA30" s="66"/>
      <c r="AB30" s="66">
        <f>'[1]Univ Comm Fund'!J30</f>
        <v>30000000</v>
      </c>
      <c r="AC30" s="66">
        <f>'[1]UNIV 2019'!J36</f>
        <v>30000000</v>
      </c>
      <c r="AD30" s="66">
        <f t="shared" si="10"/>
        <v>0</v>
      </c>
      <c r="AE30" s="66"/>
      <c r="AF30" s="88">
        <f>'[1]Univ Comm Fund'!K30</f>
        <v>30000000</v>
      </c>
      <c r="AG30" s="66">
        <f>'[1]UNIV 2019'!K36</f>
        <v>30000000</v>
      </c>
      <c r="AH30" s="66">
        <f t="shared" si="11"/>
        <v>0</v>
      </c>
      <c r="AI30" s="88"/>
      <c r="AJ30" s="66">
        <f>'[1]Univ Comm Fund'!L30</f>
        <v>0</v>
      </c>
      <c r="AK30" s="66">
        <f>'[1]UNIV 2019'!L36</f>
        <v>0</v>
      </c>
      <c r="AL30" s="66">
        <f t="shared" si="12"/>
        <v>0</v>
      </c>
      <c r="AM30" s="66"/>
      <c r="AN30" s="66">
        <f>'[1]Univ Comm Fund'!M30</f>
        <v>40000000</v>
      </c>
      <c r="AO30" s="66">
        <f>'[1]UNIV 2019'!M36</f>
        <v>40000000</v>
      </c>
      <c r="AP30" s="66">
        <f t="shared" si="13"/>
        <v>0</v>
      </c>
      <c r="AQ30" s="66"/>
      <c r="AR30" s="66">
        <f>'[1]Univ Comm Fund'!N30</f>
        <v>0</v>
      </c>
      <c r="AS30" s="66">
        <f>'[1]UNIV 2019'!N36</f>
        <v>0</v>
      </c>
      <c r="AT30" s="66">
        <f t="shared" si="14"/>
        <v>0</v>
      </c>
      <c r="AU30" s="66"/>
      <c r="AV30" s="66">
        <f>'[1]Univ Comm Fund'!O30</f>
        <v>40000000</v>
      </c>
      <c r="AW30" s="66">
        <f>'[1]UNIV 2019'!O36</f>
        <v>40000000</v>
      </c>
      <c r="AX30" s="66">
        <f t="shared" si="15"/>
        <v>0</v>
      </c>
      <c r="AY30" s="66"/>
      <c r="AZ30" s="66">
        <f>'[1]Univ Comm Fund'!P30</f>
        <v>0</v>
      </c>
      <c r="BA30" s="66">
        <f>'[1]UNIV 2019'!P36</f>
        <v>0</v>
      </c>
      <c r="BB30" s="66">
        <f t="shared" si="0"/>
        <v>0</v>
      </c>
      <c r="BC30" s="66"/>
      <c r="BD30" s="66">
        <f>'[1]Univ Comm Fund'!Q30</f>
        <v>52000000</v>
      </c>
      <c r="BE30" s="66">
        <f>'[1]UNIV 2019'!Q36</f>
        <v>52000000</v>
      </c>
      <c r="BF30" s="66">
        <f t="shared" si="1"/>
        <v>0</v>
      </c>
      <c r="BG30" s="66"/>
      <c r="BH30" s="66">
        <f>'[1]Univ Comm Fund'!R30</f>
        <v>67000000</v>
      </c>
      <c r="BI30" s="66">
        <f>'[1]UNIV 2019'!R36</f>
        <v>67000000</v>
      </c>
      <c r="BJ30" s="66">
        <f t="shared" si="16"/>
        <v>0</v>
      </c>
      <c r="BK30" s="66"/>
      <c r="BL30" s="66">
        <f>'[1]Univ Comm Fund'!S30</f>
        <v>57000000</v>
      </c>
      <c r="BM30" s="66">
        <f>'[1]UNIV 2019'!S36</f>
        <v>57000000</v>
      </c>
      <c r="BN30" s="66">
        <f t="shared" si="17"/>
        <v>0</v>
      </c>
      <c r="BO30" s="66"/>
      <c r="BP30" s="66">
        <f>'[1]Univ Comm Fund'!T30</f>
        <v>0</v>
      </c>
      <c r="BQ30" s="66">
        <f>'[1]UNIV 2019'!T36</f>
        <v>0</v>
      </c>
      <c r="BR30" s="66">
        <f t="shared" si="18"/>
        <v>0</v>
      </c>
      <c r="BS30" s="66"/>
      <c r="BT30" s="66">
        <f>'[1]Univ Comm Fund'!U30</f>
        <v>193140000</v>
      </c>
      <c r="BU30" s="66">
        <f>'[1]UNIV 2019'!U36</f>
        <v>193140000</v>
      </c>
      <c r="BV30" s="66">
        <f t="shared" si="2"/>
        <v>0</v>
      </c>
      <c r="BW30" s="66"/>
      <c r="BX30" s="66">
        <f>'[1]Univ Comm Fund'!V30</f>
        <v>400000000</v>
      </c>
      <c r="BY30" s="66">
        <f>'[1]UNIV 2019'!V36</f>
        <v>400000000</v>
      </c>
      <c r="BZ30" s="66">
        <f t="shared" si="19"/>
        <v>0</v>
      </c>
      <c r="CA30" s="66"/>
      <c r="CB30" s="66">
        <f>'[1]Univ Comm Fund'!W30</f>
        <v>175000000</v>
      </c>
      <c r="CC30" s="66">
        <f>'[1]UNIV 2019'!W36</f>
        <v>175000000</v>
      </c>
      <c r="CD30" s="66">
        <f t="shared" si="20"/>
        <v>0</v>
      </c>
      <c r="CE30" s="66"/>
      <c r="CF30" s="66">
        <v>75000000</v>
      </c>
      <c r="CG30" s="66">
        <f>'[1]UNIV 2019'!X36</f>
        <v>75000000</v>
      </c>
      <c r="CH30" s="75">
        <f t="shared" si="21"/>
        <v>0</v>
      </c>
      <c r="CI30" s="66"/>
      <c r="CJ30" s="66">
        <f>'[1]Univ Comm Fund'!Y30</f>
        <v>750000000</v>
      </c>
      <c r="CK30" s="66">
        <f>'[1]UNIV 2019'!Y36</f>
        <v>742500000</v>
      </c>
      <c r="CL30" s="66">
        <f t="shared" si="22"/>
        <v>7500000</v>
      </c>
      <c r="CM30" s="66"/>
      <c r="CN30" s="20">
        <f>'[1]Univ Comm Fund'!Z30</f>
        <v>350000000</v>
      </c>
      <c r="CO30" s="66">
        <f>'[1]UNIV 2019'!Z36</f>
        <v>350000000</v>
      </c>
      <c r="CP30" s="66">
        <f t="shared" si="23"/>
        <v>0</v>
      </c>
      <c r="CQ30" s="20"/>
      <c r="CR30" s="66">
        <f>'[1]Univ Comm Fund'!AA30</f>
        <v>100000000</v>
      </c>
      <c r="CS30" s="66">
        <f>'[1]UNIV 2019'!AA36</f>
        <v>100000000</v>
      </c>
      <c r="CT30" s="75">
        <f t="shared" si="24"/>
        <v>0</v>
      </c>
      <c r="CU30" s="66"/>
      <c r="CV30" s="66">
        <f>'[1]Univ Comm Fund'!AB30</f>
        <v>350000000</v>
      </c>
      <c r="CW30" s="66">
        <f>'[1]UNIV 2019'!AB36</f>
        <v>350000000</v>
      </c>
      <c r="CX30" s="75">
        <f t="shared" si="25"/>
        <v>0</v>
      </c>
      <c r="CY30" s="66"/>
      <c r="CZ30" s="66">
        <f>'[1]Univ Comm Fund'!AC30</f>
        <v>356000000</v>
      </c>
      <c r="DA30" s="66">
        <f>'[1]UNIV 2019'!AC36</f>
        <v>302600000</v>
      </c>
      <c r="DB30" s="66">
        <f t="shared" si="26"/>
        <v>53400000</v>
      </c>
      <c r="DC30" s="66"/>
      <c r="DD30" s="66">
        <f>'[1]Univ Comm Fund'!AD30</f>
        <v>20000000</v>
      </c>
      <c r="DE30" s="66">
        <f>'[1]UNIV 2019'!AD36</f>
        <v>17000000</v>
      </c>
      <c r="DF30" s="66">
        <f t="shared" si="27"/>
        <v>3000000</v>
      </c>
      <c r="DG30" s="66"/>
      <c r="DH30" s="66">
        <f>'[1]Univ Comm Fund'!AE30</f>
        <v>0</v>
      </c>
      <c r="DI30" s="66">
        <f>'[1]UNIV 2019'!AE36</f>
        <v>0</v>
      </c>
      <c r="DJ30" s="66">
        <f t="shared" si="28"/>
        <v>0</v>
      </c>
      <c r="DK30" s="66"/>
      <c r="DL30" s="66">
        <f>'[1]Univ Comm Fund'!AF30</f>
        <v>0</v>
      </c>
      <c r="DM30" s="66">
        <f>'[1]UNIV 2019'!AF36</f>
        <v>0</v>
      </c>
      <c r="DN30" s="66">
        <f t="shared" si="29"/>
        <v>0</v>
      </c>
      <c r="DO30" s="66"/>
      <c r="DP30" s="103">
        <f>'[1]Univ Comm Fund'!AG30</f>
        <v>300000000</v>
      </c>
      <c r="DQ30" s="103">
        <f>'[1]UNIV 2019'!AG36</f>
        <v>300000000</v>
      </c>
      <c r="DR30" s="103">
        <f t="shared" si="30"/>
        <v>0</v>
      </c>
      <c r="DS30" s="103"/>
      <c r="DT30" s="66">
        <f>'[1]Univ Comm Fund'!AH30</f>
        <v>0</v>
      </c>
      <c r="DU30" s="103">
        <f>'[1]UNIV 2019'!AH36</f>
        <v>0</v>
      </c>
      <c r="DV30" s="66">
        <f t="shared" si="31"/>
        <v>0</v>
      </c>
      <c r="DW30" s="103"/>
      <c r="DX30" s="66">
        <f>'[1]Univ Comm Fund'!AI30</f>
        <v>0</v>
      </c>
      <c r="DY30" s="103">
        <f>'[1]UNIV 2019'!AI36</f>
        <v>0</v>
      </c>
      <c r="DZ30" s="66">
        <f t="shared" si="32"/>
        <v>0</v>
      </c>
      <c r="EA30" s="103"/>
      <c r="EB30" s="66">
        <f>'[1]Univ Comm Fund'!AJ30</f>
        <v>0</v>
      </c>
      <c r="EC30" s="103">
        <f>'[1]UNIV 2019'!AJ36</f>
        <v>0</v>
      </c>
      <c r="ED30" s="66">
        <f t="shared" si="33"/>
        <v>0</v>
      </c>
      <c r="EE30" s="103"/>
      <c r="EF30" s="66">
        <f>'[1]Univ Comm Fund'!AK30</f>
        <v>0</v>
      </c>
      <c r="EG30" s="103">
        <f>'[1]UNIV 2019'!AK36</f>
        <v>0</v>
      </c>
      <c r="EH30" s="66">
        <f t="shared" si="34"/>
        <v>0</v>
      </c>
      <c r="EI30" s="66"/>
      <c r="EJ30" s="66">
        <f>'[1]Univ Comm Fund'!AL30</f>
        <v>700000000</v>
      </c>
      <c r="EK30" s="66">
        <f>'[1]UNIV 2019'!AL36</f>
        <v>700000000</v>
      </c>
      <c r="EL30" s="66">
        <f t="shared" si="35"/>
        <v>0</v>
      </c>
      <c r="EM30" s="66"/>
      <c r="EN30" s="80">
        <f>'[1]Univ Comm Fund'!AM30</f>
        <v>565410000</v>
      </c>
      <c r="EO30" s="66">
        <f>'[1]UNIV 2019'!AM36</f>
        <v>0</v>
      </c>
      <c r="EP30" s="75">
        <f t="shared" si="36"/>
        <v>565410000</v>
      </c>
      <c r="EQ30" s="66"/>
      <c r="ER30" s="66">
        <f>'[1]Univ Comm Fund'!AN30</f>
        <v>15000000</v>
      </c>
      <c r="ES30" s="66">
        <f>'[1]UNIV 2019'!AN36</f>
        <v>0</v>
      </c>
      <c r="ET30" s="75">
        <f t="shared" si="37"/>
        <v>15000000</v>
      </c>
      <c r="EU30" s="66"/>
      <c r="EV30" s="66">
        <f>'[1]Univ Comm Fund'!AO30</f>
        <v>15000000</v>
      </c>
      <c r="EW30" s="66">
        <f>'[1]UNIV 2019'!AO36</f>
        <v>0</v>
      </c>
      <c r="EX30" s="75">
        <f t="shared" si="38"/>
        <v>15000000</v>
      </c>
      <c r="EY30" s="66"/>
      <c r="EZ30" s="66">
        <f>'[1]Univ Comm Fund'!AP30</f>
        <v>10000000</v>
      </c>
      <c r="FA30" s="66">
        <f>'[1]UNIV 2019'!AP36</f>
        <v>0</v>
      </c>
      <c r="FB30" s="75">
        <f t="shared" si="39"/>
        <v>10000000</v>
      </c>
      <c r="FC30" s="75"/>
      <c r="FD30" s="75">
        <f>'[1]Univ Comm Fund'!AQ30</f>
        <v>0</v>
      </c>
      <c r="FE30" s="75">
        <f>'[1]UNIV 2019'!AQ36</f>
        <v>0</v>
      </c>
      <c r="FF30" s="75">
        <f t="shared" si="40"/>
        <v>0</v>
      </c>
      <c r="FG30" s="75"/>
      <c r="FH30" s="75">
        <f>'[1]Univ Comm Fund'!AR30</f>
        <v>0</v>
      </c>
      <c r="FI30" s="75">
        <f>'[1]UNIV 2019'!AR36</f>
        <v>0</v>
      </c>
      <c r="FJ30" s="75">
        <f t="shared" si="41"/>
        <v>0</v>
      </c>
      <c r="FK30" s="75"/>
      <c r="FL30" s="75">
        <f>'[1]Univ Comm Fund'!AS30</f>
        <v>0</v>
      </c>
      <c r="FM30" s="75">
        <f>'[1]UNIV 2019'!AS36</f>
        <v>0</v>
      </c>
      <c r="FN30" s="75">
        <f t="shared" si="42"/>
        <v>0</v>
      </c>
      <c r="FO30" s="75"/>
      <c r="FP30" s="75">
        <f>'[1]Univ Comm Fund'!AT30</f>
        <v>120000000</v>
      </c>
      <c r="FQ30" s="75">
        <f>'[1]UNIV 2019'!AT36</f>
        <v>67200000</v>
      </c>
      <c r="FR30" s="75">
        <f t="shared" si="43"/>
        <v>52800000</v>
      </c>
      <c r="FS30" s="75"/>
      <c r="FT30" s="75">
        <f>'[1]Univ Comm Fund'!AU30</f>
        <v>0</v>
      </c>
      <c r="FU30" s="75">
        <f>'[1]UNIV 2019'!AU36</f>
        <v>0</v>
      </c>
      <c r="FV30" s="75">
        <f t="shared" si="44"/>
        <v>0</v>
      </c>
      <c r="FW30" s="75"/>
      <c r="FX30" s="75">
        <f>'[1]Univ Comm Fund'!AV30</f>
        <v>0</v>
      </c>
      <c r="FY30" s="75">
        <f>'[1]UNIV 2019'!AV36</f>
        <v>0</v>
      </c>
      <c r="FZ30" s="75">
        <f t="shared" si="45"/>
        <v>0</v>
      </c>
      <c r="GA30" s="75"/>
      <c r="GB30" s="75">
        <f>'[1]Univ Comm Fund'!AW30</f>
        <v>0</v>
      </c>
      <c r="GC30" s="75">
        <f>'[1]UNIV 2019'!AW36</f>
        <v>0</v>
      </c>
      <c r="GD30" s="75">
        <f t="shared" si="46"/>
        <v>0</v>
      </c>
      <c r="GE30" s="75"/>
      <c r="GF30" s="75">
        <f>'[1]Univ Comm Fund'!AX30</f>
        <v>0</v>
      </c>
      <c r="GG30" s="75">
        <f>'[1]UNIV 2019'!AX36</f>
        <v>0</v>
      </c>
      <c r="GH30" s="75">
        <f t="shared" si="47"/>
        <v>0</v>
      </c>
      <c r="GI30" s="75"/>
      <c r="GJ30" s="75">
        <f>'[1]Univ Comm Fund'!AY30</f>
        <v>350000000</v>
      </c>
      <c r="GK30" s="75">
        <f>'[1]UNIV 2019'!AY36</f>
        <v>0</v>
      </c>
      <c r="GL30" s="75">
        <f t="shared" si="48"/>
        <v>350000000</v>
      </c>
      <c r="GM30" s="75"/>
      <c r="GN30" s="75">
        <f>'[1]Univ Comm Fund'!AZ30</f>
        <v>175823700</v>
      </c>
      <c r="GO30" s="75">
        <f>'[1]UNIV 2019'!AZ36</f>
        <v>0</v>
      </c>
      <c r="GP30" s="75">
        <f t="shared" si="49"/>
        <v>175823700</v>
      </c>
      <c r="GQ30" s="75"/>
      <c r="GR30" s="75">
        <f>'[1]Univ Comm Fund'!BA30</f>
        <v>20000000</v>
      </c>
      <c r="GS30" s="75">
        <f>'[1]UNIV 2019'!BA36</f>
        <v>0</v>
      </c>
      <c r="GT30" s="75">
        <f t="shared" si="50"/>
        <v>20000000</v>
      </c>
      <c r="GU30" s="75"/>
      <c r="GV30" s="75">
        <f>'[1]Univ Comm Fund'!BB30</f>
        <v>5000000</v>
      </c>
      <c r="GW30" s="75">
        <f>'[1]UNIV 2019'!BB36</f>
        <v>0</v>
      </c>
      <c r="GX30" s="75">
        <f t="shared" si="51"/>
        <v>5000000</v>
      </c>
      <c r="GY30" s="75"/>
      <c r="GZ30" s="75">
        <f>'[1]Univ Comm Fund'!BC30</f>
        <v>10000000</v>
      </c>
      <c r="HA30" s="75">
        <f>'[1]UNIV 2019'!BD36</f>
        <v>0</v>
      </c>
      <c r="HB30" s="75">
        <f t="shared" si="52"/>
        <v>10000000</v>
      </c>
      <c r="HC30" s="75"/>
      <c r="HD30" s="75">
        <f>'[1]Univ Comm Fund'!BD30</f>
        <v>0</v>
      </c>
      <c r="HE30" s="75">
        <f>'[1]UNIV 2019'!BC36</f>
        <v>0</v>
      </c>
      <c r="HF30" s="75">
        <f t="shared" si="53"/>
        <v>0</v>
      </c>
      <c r="HG30" s="75"/>
      <c r="HH30" s="75">
        <f t="shared" si="54"/>
        <v>5481373700</v>
      </c>
      <c r="HI30" s="75">
        <f t="shared" si="54"/>
        <v>4198440000</v>
      </c>
      <c r="HJ30" s="82">
        <f t="shared" si="55"/>
        <v>1282933700</v>
      </c>
      <c r="HL30" s="83">
        <f t="shared" si="56"/>
        <v>2415550000</v>
      </c>
      <c r="HM30" s="83">
        <f t="shared" si="56"/>
        <v>1446740000</v>
      </c>
      <c r="HN30" s="84">
        <f t="shared" si="57"/>
        <v>968810000</v>
      </c>
      <c r="HP30" s="83">
        <f t="shared" si="58"/>
        <v>2600000000</v>
      </c>
      <c r="HQ30" s="83">
        <f t="shared" si="58"/>
        <v>2592500000</v>
      </c>
      <c r="HR30" s="84">
        <f t="shared" si="59"/>
        <v>7500000</v>
      </c>
      <c r="HT30" s="83">
        <f t="shared" si="60"/>
        <v>110000000</v>
      </c>
      <c r="HU30" s="83">
        <f t="shared" si="60"/>
        <v>92000000</v>
      </c>
      <c r="HV30" s="84">
        <f t="shared" si="61"/>
        <v>18000000</v>
      </c>
      <c r="HX30" s="83">
        <f t="shared" si="62"/>
        <v>35000000</v>
      </c>
      <c r="HY30" s="83">
        <f t="shared" si="62"/>
        <v>0</v>
      </c>
      <c r="HZ30" s="84">
        <f t="shared" si="63"/>
        <v>35000000</v>
      </c>
      <c r="IB30" s="83">
        <f t="shared" si="64"/>
        <v>25000000</v>
      </c>
      <c r="IC30" s="83">
        <f t="shared" si="64"/>
        <v>0</v>
      </c>
      <c r="ID30" s="84">
        <f t="shared" si="65"/>
        <v>25000000</v>
      </c>
      <c r="IF30" s="83">
        <f t="shared" si="3"/>
        <v>0</v>
      </c>
      <c r="IG30" s="83">
        <f t="shared" si="3"/>
        <v>0</v>
      </c>
      <c r="IH30" s="84">
        <f t="shared" si="66"/>
        <v>0</v>
      </c>
      <c r="IJ30" s="84">
        <f t="shared" si="67"/>
        <v>295823700</v>
      </c>
      <c r="IK30" s="84">
        <f t="shared" si="67"/>
        <v>67200000</v>
      </c>
      <c r="IL30" s="84">
        <f t="shared" si="68"/>
        <v>228623700</v>
      </c>
    </row>
    <row r="31" spans="1:246" x14ac:dyDescent="0.25">
      <c r="A31" s="42">
        <v>26</v>
      </c>
      <c r="B31" s="86" t="s">
        <v>90</v>
      </c>
      <c r="C31" s="42" t="s">
        <v>61</v>
      </c>
      <c r="D31" s="66">
        <f>'[1]Univ Comm Fund'!D31</f>
        <v>0</v>
      </c>
      <c r="E31" s="66">
        <f>'[1]UNIV 2019'!D37</f>
        <v>0</v>
      </c>
      <c r="F31" s="75">
        <f t="shared" si="4"/>
        <v>0</v>
      </c>
      <c r="G31" s="66"/>
      <c r="H31" s="66">
        <f>'[1]Univ Comm Fund'!E31</f>
        <v>20000000</v>
      </c>
      <c r="I31" s="66">
        <f>'[1]UNIV 2019'!E37</f>
        <v>20000000</v>
      </c>
      <c r="J31" s="66">
        <f t="shared" si="5"/>
        <v>0</v>
      </c>
      <c r="K31" s="66"/>
      <c r="L31" s="66">
        <f>'[1]Univ Comm Fund'!F31</f>
        <v>40000000</v>
      </c>
      <c r="M31" s="66">
        <f>'[1]UNIV 2019'!F37</f>
        <v>40000000</v>
      </c>
      <c r="N31" s="66">
        <f t="shared" si="6"/>
        <v>0</v>
      </c>
      <c r="O31" s="66"/>
      <c r="P31" s="66">
        <f>'[1]Univ Comm Fund'!G31</f>
        <v>0</v>
      </c>
      <c r="Q31" s="66">
        <f>'[1]UNIV 2019'!G37</f>
        <v>0</v>
      </c>
      <c r="R31" s="66">
        <f t="shared" si="7"/>
        <v>0</v>
      </c>
      <c r="S31" s="87"/>
      <c r="T31" s="66">
        <f>'[1]Univ Comm Fund'!H31</f>
        <v>50000000</v>
      </c>
      <c r="U31" s="66">
        <f>'[1]UNIV 2019'!H37</f>
        <v>50000000</v>
      </c>
      <c r="V31" s="66">
        <f t="shared" si="8"/>
        <v>0</v>
      </c>
      <c r="W31" s="66"/>
      <c r="X31" s="66">
        <f>'[1]Univ Comm Fund'!I31</f>
        <v>0</v>
      </c>
      <c r="Y31" s="66">
        <f>'[1]UNIV 2019'!I37</f>
        <v>0</v>
      </c>
      <c r="Z31" s="66">
        <f t="shared" si="9"/>
        <v>0</v>
      </c>
      <c r="AA31" s="66"/>
      <c r="AB31" s="66">
        <f>'[1]Univ Comm Fund'!J31</f>
        <v>30000000</v>
      </c>
      <c r="AC31" s="66">
        <f>'[1]UNIV 2019'!J37</f>
        <v>30000000</v>
      </c>
      <c r="AD31" s="66">
        <f t="shared" si="10"/>
        <v>0</v>
      </c>
      <c r="AE31" s="66"/>
      <c r="AF31" s="88">
        <f>'[1]Univ Comm Fund'!K31</f>
        <v>30000000</v>
      </c>
      <c r="AG31" s="66">
        <f>'[1]UNIV 2019'!K37</f>
        <v>30000000</v>
      </c>
      <c r="AH31" s="66">
        <f t="shared" si="11"/>
        <v>0</v>
      </c>
      <c r="AI31" s="88"/>
      <c r="AJ31" s="66">
        <f>'[1]Univ Comm Fund'!L31</f>
        <v>0</v>
      </c>
      <c r="AK31" s="66">
        <f>'[1]UNIV 2019'!L37</f>
        <v>0</v>
      </c>
      <c r="AL31" s="66">
        <f t="shared" si="12"/>
        <v>0</v>
      </c>
      <c r="AM31" s="66"/>
      <c r="AN31" s="66">
        <f>'[1]Univ Comm Fund'!M31</f>
        <v>40000000</v>
      </c>
      <c r="AO31" s="66">
        <f>'[1]UNIV 2019'!M37</f>
        <v>40000000</v>
      </c>
      <c r="AP31" s="66">
        <f t="shared" si="13"/>
        <v>0</v>
      </c>
      <c r="AQ31" s="66"/>
      <c r="AR31" s="66">
        <f>'[1]Univ Comm Fund'!N31</f>
        <v>0</v>
      </c>
      <c r="AS31" s="66">
        <f>'[1]UNIV 2019'!N37</f>
        <v>0</v>
      </c>
      <c r="AT31" s="66">
        <f t="shared" si="14"/>
        <v>0</v>
      </c>
      <c r="AU31" s="66"/>
      <c r="AV31" s="66">
        <f>'[1]Univ Comm Fund'!O31</f>
        <v>40000000</v>
      </c>
      <c r="AW31" s="66">
        <f>'[1]UNIV 2019'!O37</f>
        <v>40000000</v>
      </c>
      <c r="AX31" s="66">
        <f t="shared" si="15"/>
        <v>0</v>
      </c>
      <c r="AY31" s="66"/>
      <c r="AZ31" s="66">
        <f>'[1]Univ Comm Fund'!P31</f>
        <v>0</v>
      </c>
      <c r="BA31" s="66">
        <f>'[1]UNIV 2019'!P37</f>
        <v>0</v>
      </c>
      <c r="BB31" s="66">
        <f t="shared" si="0"/>
        <v>0</v>
      </c>
      <c r="BC31" s="66"/>
      <c r="BD31" s="66">
        <f>'[1]Univ Comm Fund'!Q31</f>
        <v>52000000</v>
      </c>
      <c r="BE31" s="66">
        <f>'[1]UNIV 2019'!Q37</f>
        <v>52000000</v>
      </c>
      <c r="BF31" s="66">
        <f t="shared" si="1"/>
        <v>0</v>
      </c>
      <c r="BG31" s="66"/>
      <c r="BH31" s="66">
        <f>'[1]Univ Comm Fund'!R31</f>
        <v>67000000</v>
      </c>
      <c r="BI31" s="66">
        <f>'[1]UNIV 2019'!R37</f>
        <v>67000000</v>
      </c>
      <c r="BJ31" s="66">
        <f t="shared" si="16"/>
        <v>0</v>
      </c>
      <c r="BK31" s="66"/>
      <c r="BL31" s="66">
        <f>'[1]Univ Comm Fund'!S31</f>
        <v>57000000</v>
      </c>
      <c r="BM31" s="66">
        <f>'[1]UNIV 2019'!S37</f>
        <v>57000000</v>
      </c>
      <c r="BN31" s="66">
        <f t="shared" si="17"/>
        <v>0</v>
      </c>
      <c r="BO31" s="66"/>
      <c r="BP31" s="66">
        <f>'[1]Univ Comm Fund'!T31</f>
        <v>0</v>
      </c>
      <c r="BQ31" s="66">
        <f>'[1]UNIV 2019'!T37</f>
        <v>0</v>
      </c>
      <c r="BR31" s="66">
        <f t="shared" si="18"/>
        <v>0</v>
      </c>
      <c r="BS31" s="66"/>
      <c r="BT31" s="66">
        <f>'[1]Univ Comm Fund'!U31</f>
        <v>193140000</v>
      </c>
      <c r="BU31" s="66">
        <f>'[1]UNIV 2019'!U37</f>
        <v>193140000</v>
      </c>
      <c r="BV31" s="66">
        <f t="shared" si="2"/>
        <v>0</v>
      </c>
      <c r="BW31" s="66"/>
      <c r="BX31" s="66">
        <f>'[1]Univ Comm Fund'!V31</f>
        <v>0</v>
      </c>
      <c r="BY31" s="66">
        <f>'[1]UNIV 2019'!V37</f>
        <v>0</v>
      </c>
      <c r="BZ31" s="66">
        <f t="shared" si="19"/>
        <v>0</v>
      </c>
      <c r="CA31" s="66"/>
      <c r="CB31" s="66">
        <f>'[1]Univ Comm Fund'!W31</f>
        <v>175000000</v>
      </c>
      <c r="CC31" s="66">
        <f>'[1]UNIV 2019'!W37</f>
        <v>175000000</v>
      </c>
      <c r="CD31" s="66">
        <f t="shared" si="20"/>
        <v>0</v>
      </c>
      <c r="CE31" s="66"/>
      <c r="CF31" s="66">
        <v>75000000</v>
      </c>
      <c r="CG31" s="66">
        <f>'[1]UNIV 2019'!X37</f>
        <v>75000000</v>
      </c>
      <c r="CH31" s="75">
        <f t="shared" si="21"/>
        <v>0</v>
      </c>
      <c r="CI31" s="66"/>
      <c r="CJ31" s="66">
        <f>'[1]Univ Comm Fund'!Y31</f>
        <v>0</v>
      </c>
      <c r="CK31" s="66">
        <f>'[1]UNIV 2019'!Y37</f>
        <v>0</v>
      </c>
      <c r="CL31" s="66">
        <f t="shared" si="22"/>
        <v>0</v>
      </c>
      <c r="CM31" s="66"/>
      <c r="CN31" s="20">
        <f>'[1]Univ Comm Fund'!Z31</f>
        <v>350000000</v>
      </c>
      <c r="CO31" s="66">
        <f>'[1]UNIV 2019'!Z37</f>
        <v>350000000</v>
      </c>
      <c r="CP31" s="66">
        <f t="shared" si="23"/>
        <v>0</v>
      </c>
      <c r="CQ31" s="20"/>
      <c r="CR31" s="66">
        <f>'[1]Univ Comm Fund'!AA31</f>
        <v>100000000</v>
      </c>
      <c r="CS31" s="66">
        <f>'[1]UNIV 2019'!AA37</f>
        <v>100000000</v>
      </c>
      <c r="CT31" s="75">
        <f t="shared" si="24"/>
        <v>0</v>
      </c>
      <c r="CU31" s="66"/>
      <c r="CV31" s="66">
        <f>'[1]Univ Comm Fund'!AB31</f>
        <v>0</v>
      </c>
      <c r="CW31" s="66">
        <f>'[1]UNIV 2019'!AB37</f>
        <v>0</v>
      </c>
      <c r="CX31" s="75">
        <f t="shared" si="25"/>
        <v>0</v>
      </c>
      <c r="CY31" s="66"/>
      <c r="CZ31" s="66">
        <f>'[1]Univ Comm Fund'!AC31</f>
        <v>356000000</v>
      </c>
      <c r="DA31" s="66">
        <f>'[1]UNIV 2019'!AC37</f>
        <v>206480000</v>
      </c>
      <c r="DB31" s="66">
        <f t="shared" si="26"/>
        <v>149520000</v>
      </c>
      <c r="DC31" s="66"/>
      <c r="DD31" s="66">
        <f>'[1]Univ Comm Fund'!AD31</f>
        <v>20000000</v>
      </c>
      <c r="DE31" s="66">
        <f>'[1]UNIV 2019'!AD37</f>
        <v>20000000</v>
      </c>
      <c r="DF31" s="66">
        <f t="shared" si="27"/>
        <v>0</v>
      </c>
      <c r="DG31" s="66"/>
      <c r="DH31" s="66">
        <f>'[1]Univ Comm Fund'!AE31</f>
        <v>552000000</v>
      </c>
      <c r="DI31" s="66">
        <f>'[1]UNIV 2019'!AE37</f>
        <v>320160000</v>
      </c>
      <c r="DJ31" s="66">
        <f t="shared" si="28"/>
        <v>231840000</v>
      </c>
      <c r="DK31" s="66"/>
      <c r="DL31" s="66">
        <f>'[1]Univ Comm Fund'!AF31</f>
        <v>20000000</v>
      </c>
      <c r="DM31" s="66">
        <f>'[1]UNIV 2019'!AF37</f>
        <v>20000000</v>
      </c>
      <c r="DN31" s="66">
        <f t="shared" si="29"/>
        <v>0</v>
      </c>
      <c r="DO31" s="66"/>
      <c r="DP31" s="66">
        <f>'[1]Univ Comm Fund'!AG31</f>
        <v>500000000</v>
      </c>
      <c r="DQ31" s="66">
        <f>'[1]UNIV 2019'!AG37</f>
        <v>425000000</v>
      </c>
      <c r="DR31" s="66">
        <f t="shared" si="30"/>
        <v>75000000</v>
      </c>
      <c r="DS31" s="66"/>
      <c r="DT31" s="66">
        <f>'[1]Univ Comm Fund'!AH31</f>
        <v>100000000</v>
      </c>
      <c r="DU31" s="66">
        <f>'[1]UNIV 2019'!AH37</f>
        <v>58000000</v>
      </c>
      <c r="DV31" s="66">
        <f t="shared" si="31"/>
        <v>42000000</v>
      </c>
      <c r="DW31" s="66"/>
      <c r="DX31" s="66">
        <f>'[1]Univ Comm Fund'!AI31</f>
        <v>15000000</v>
      </c>
      <c r="DY31" s="66">
        <f>'[1]UNIV 2019'!AI37</f>
        <v>0</v>
      </c>
      <c r="DZ31" s="66">
        <f t="shared" si="32"/>
        <v>15000000</v>
      </c>
      <c r="EA31" s="66"/>
      <c r="EB31" s="66">
        <f>'[1]Univ Comm Fund'!AJ31</f>
        <v>2000000</v>
      </c>
      <c r="EC31" s="66">
        <f>'[1]UNIV 2019'!AJ37</f>
        <v>0</v>
      </c>
      <c r="ED31" s="66">
        <f t="shared" si="33"/>
        <v>2000000</v>
      </c>
      <c r="EE31" s="66"/>
      <c r="EF31" s="66">
        <f>'[1]Univ Comm Fund'!AK31</f>
        <v>10000000</v>
      </c>
      <c r="EG31" s="66">
        <f>'[1]UNIV 2019'!AK37</f>
        <v>10000000</v>
      </c>
      <c r="EH31" s="66">
        <f t="shared" si="34"/>
        <v>0</v>
      </c>
      <c r="EI31" s="66"/>
      <c r="EJ31" s="66">
        <f>'[1]Univ Comm Fund'!AL31</f>
        <v>950000000</v>
      </c>
      <c r="EK31" s="66">
        <f>'[1]UNIV 2019'!AL37</f>
        <v>815000000</v>
      </c>
      <c r="EL31" s="66">
        <f t="shared" si="35"/>
        <v>135000000</v>
      </c>
      <c r="EM31" s="66"/>
      <c r="EN31" s="80">
        <f>'[1]Univ Comm Fund'!AM31</f>
        <v>565410000</v>
      </c>
      <c r="EO31" s="66">
        <f>'[1]UNIV 2019'!AM37</f>
        <v>327937800</v>
      </c>
      <c r="EP31" s="75">
        <f t="shared" si="36"/>
        <v>237472200</v>
      </c>
      <c r="EQ31" s="66"/>
      <c r="ER31" s="66">
        <f>'[1]Univ Comm Fund'!AN31</f>
        <v>15000000</v>
      </c>
      <c r="ES31" s="66">
        <f>'[1]UNIV 2019'!AN37</f>
        <v>0</v>
      </c>
      <c r="ET31" s="75">
        <f t="shared" si="37"/>
        <v>15000000</v>
      </c>
      <c r="EU31" s="66"/>
      <c r="EV31" s="66">
        <f>'[1]Univ Comm Fund'!AO31</f>
        <v>15000000</v>
      </c>
      <c r="EW31" s="66">
        <f>'[1]UNIV 2019'!AO37</f>
        <v>0</v>
      </c>
      <c r="EX31" s="75">
        <f t="shared" si="38"/>
        <v>15000000</v>
      </c>
      <c r="EY31" s="66"/>
      <c r="EZ31" s="66">
        <f>'[1]Univ Comm Fund'!AP31</f>
        <v>10000000</v>
      </c>
      <c r="FA31" s="66">
        <f>'[1]UNIV 2019'!AP37</f>
        <v>10000000</v>
      </c>
      <c r="FB31" s="75">
        <f t="shared" si="39"/>
        <v>0</v>
      </c>
      <c r="FC31" s="75"/>
      <c r="FD31" s="75">
        <f>'[1]Univ Comm Fund'!AQ31</f>
        <v>0</v>
      </c>
      <c r="FE31" s="75">
        <f>'[1]UNIV 2019'!AQ37</f>
        <v>0</v>
      </c>
      <c r="FF31" s="75">
        <f t="shared" si="40"/>
        <v>0</v>
      </c>
      <c r="FG31" s="75"/>
      <c r="FH31" s="81">
        <f>'[1]Univ Comm Fund'!AR31</f>
        <v>200000000</v>
      </c>
      <c r="FI31" s="75">
        <f>'[1]UNIV 2019'!AR37</f>
        <v>200000000</v>
      </c>
      <c r="FJ31" s="75">
        <f t="shared" si="41"/>
        <v>0</v>
      </c>
      <c r="FK31" s="75"/>
      <c r="FL31" s="75">
        <f>'[1]Univ Comm Fund'!AS31</f>
        <v>300000000</v>
      </c>
      <c r="FM31" s="75">
        <f>'[1]UNIV 2019'!AS37</f>
        <v>0</v>
      </c>
      <c r="FN31" s="75">
        <f t="shared" si="42"/>
        <v>300000000</v>
      </c>
      <c r="FO31" s="75"/>
      <c r="FP31" s="75">
        <f>'[1]Univ Comm Fund'!AT31</f>
        <v>120000000</v>
      </c>
      <c r="FQ31" s="75">
        <f>'[1]UNIV 2019'!AT37</f>
        <v>80400000</v>
      </c>
      <c r="FR31" s="75">
        <f t="shared" si="43"/>
        <v>39600000</v>
      </c>
      <c r="FS31" s="75"/>
      <c r="FT31" s="75">
        <f>'[1]Univ Comm Fund'!AU31</f>
        <v>10000000</v>
      </c>
      <c r="FU31" s="75">
        <f>'[1]UNIV 2019'!AU37</f>
        <v>0</v>
      </c>
      <c r="FV31" s="75">
        <f t="shared" si="44"/>
        <v>10000000</v>
      </c>
      <c r="FW31" s="75"/>
      <c r="FX31" s="75">
        <f>'[1]Univ Comm Fund'!AV31</f>
        <v>5000000</v>
      </c>
      <c r="FY31" s="75">
        <f>'[1]UNIV 2019'!AV37</f>
        <v>0</v>
      </c>
      <c r="FZ31" s="75">
        <f t="shared" si="45"/>
        <v>5000000</v>
      </c>
      <c r="GA31" s="75"/>
      <c r="GB31" s="75">
        <f>'[1]Univ Comm Fund'!AW31</f>
        <v>10000000</v>
      </c>
      <c r="GC31" s="75">
        <f>'[1]UNIV 2019'!AW37</f>
        <v>0</v>
      </c>
      <c r="GD31" s="75">
        <f t="shared" si="46"/>
        <v>10000000</v>
      </c>
      <c r="GE31" s="75"/>
      <c r="GF31" s="75">
        <f>'[1]Univ Comm Fund'!AX31</f>
        <v>0</v>
      </c>
      <c r="GG31" s="75">
        <f>'[1]UNIV 2019'!AX37</f>
        <v>0</v>
      </c>
      <c r="GH31" s="75">
        <f t="shared" si="47"/>
        <v>0</v>
      </c>
      <c r="GI31" s="75"/>
      <c r="GJ31" s="75">
        <f>'[1]Univ Comm Fund'!AY31</f>
        <v>350000000</v>
      </c>
      <c r="GK31" s="75">
        <f>'[1]UNIV 2019'!AY37</f>
        <v>0</v>
      </c>
      <c r="GL31" s="75">
        <f t="shared" si="48"/>
        <v>350000000</v>
      </c>
      <c r="GM31" s="75"/>
      <c r="GN31" s="75">
        <f>'[1]Univ Comm Fund'!AZ31</f>
        <v>175823700</v>
      </c>
      <c r="GO31" s="75">
        <f>'[1]UNIV 2019'!AZ37</f>
        <v>0</v>
      </c>
      <c r="GP31" s="75">
        <f t="shared" si="49"/>
        <v>175823700</v>
      </c>
      <c r="GQ31" s="75"/>
      <c r="GR31" s="75">
        <f>'[1]Univ Comm Fund'!BA31</f>
        <v>20000000</v>
      </c>
      <c r="GS31" s="75">
        <f>'[1]UNIV 2019'!BA37</f>
        <v>0</v>
      </c>
      <c r="GT31" s="75">
        <f t="shared" si="50"/>
        <v>20000000</v>
      </c>
      <c r="GU31" s="75"/>
      <c r="GV31" s="75">
        <f>'[1]Univ Comm Fund'!BB31</f>
        <v>5000000</v>
      </c>
      <c r="GW31" s="75">
        <f>'[1]UNIV 2019'!BB37</f>
        <v>0</v>
      </c>
      <c r="GX31" s="75">
        <f t="shared" si="51"/>
        <v>5000000</v>
      </c>
      <c r="GY31" s="75"/>
      <c r="GZ31" s="75">
        <f>'[1]Univ Comm Fund'!BC31</f>
        <v>10000000</v>
      </c>
      <c r="HA31" s="75">
        <f>'[1]UNIV 2019'!BD37</f>
        <v>0</v>
      </c>
      <c r="HB31" s="75">
        <f t="shared" si="52"/>
        <v>10000000</v>
      </c>
      <c r="HC31" s="75"/>
      <c r="HD31" s="75">
        <f>'[1]Univ Comm Fund'!BD31</f>
        <v>0</v>
      </c>
      <c r="HE31" s="75">
        <f>'[1]UNIV 2019'!BC37</f>
        <v>0</v>
      </c>
      <c r="HF31" s="75">
        <f t="shared" si="53"/>
        <v>0</v>
      </c>
      <c r="HG31" s="75"/>
      <c r="HH31" s="75">
        <f t="shared" si="54"/>
        <v>5655373700</v>
      </c>
      <c r="HI31" s="75">
        <f t="shared" si="54"/>
        <v>3812117800</v>
      </c>
      <c r="HJ31" s="82">
        <f t="shared" si="55"/>
        <v>1843255900</v>
      </c>
      <c r="HL31" s="83">
        <f t="shared" si="56"/>
        <v>3367550000</v>
      </c>
      <c r="HM31" s="83">
        <f t="shared" si="56"/>
        <v>2056717800</v>
      </c>
      <c r="HN31" s="84">
        <f t="shared" si="57"/>
        <v>1310832200</v>
      </c>
      <c r="HP31" s="83">
        <f t="shared" si="58"/>
        <v>1550000000</v>
      </c>
      <c r="HQ31" s="83">
        <f t="shared" si="58"/>
        <v>1340000000</v>
      </c>
      <c r="HR31" s="84">
        <f t="shared" si="59"/>
        <v>210000000</v>
      </c>
      <c r="HT31" s="83">
        <f t="shared" si="60"/>
        <v>145000000</v>
      </c>
      <c r="HU31" s="83">
        <f t="shared" si="60"/>
        <v>135000000</v>
      </c>
      <c r="HV31" s="84">
        <f t="shared" si="61"/>
        <v>10000000</v>
      </c>
      <c r="HX31" s="83">
        <f t="shared" si="62"/>
        <v>60000000</v>
      </c>
      <c r="HY31" s="83">
        <f t="shared" si="62"/>
        <v>0</v>
      </c>
      <c r="HZ31" s="84">
        <f t="shared" si="63"/>
        <v>60000000</v>
      </c>
      <c r="IB31" s="83">
        <f t="shared" si="64"/>
        <v>35000000</v>
      </c>
      <c r="IC31" s="83">
        <f t="shared" si="64"/>
        <v>0</v>
      </c>
      <c r="ID31" s="84">
        <f t="shared" si="65"/>
        <v>35000000</v>
      </c>
      <c r="IF31" s="83">
        <f t="shared" si="3"/>
        <v>2000000</v>
      </c>
      <c r="IG31" s="83">
        <f t="shared" si="3"/>
        <v>0</v>
      </c>
      <c r="IH31" s="84">
        <f t="shared" si="66"/>
        <v>2000000</v>
      </c>
      <c r="IJ31" s="84">
        <f t="shared" si="67"/>
        <v>495823700</v>
      </c>
      <c r="IK31" s="84">
        <f t="shared" si="67"/>
        <v>280400000</v>
      </c>
      <c r="IL31" s="84">
        <f t="shared" si="68"/>
        <v>215423700</v>
      </c>
    </row>
    <row r="32" spans="1:246" x14ac:dyDescent="0.25">
      <c r="A32" s="42">
        <v>27</v>
      </c>
      <c r="B32" s="86" t="s">
        <v>91</v>
      </c>
      <c r="C32" s="42" t="s">
        <v>69</v>
      </c>
      <c r="D32" s="66">
        <f>'[1]Univ Comm Fund'!D32</f>
        <v>59027776.670000002</v>
      </c>
      <c r="E32" s="66">
        <f>'[1]UNIV 2019'!D38</f>
        <v>59027776.68</v>
      </c>
      <c r="F32" s="75">
        <f t="shared" si="4"/>
        <v>-9.9999979138374329E-3</v>
      </c>
      <c r="G32" s="66"/>
      <c r="H32" s="66">
        <f>'[1]Univ Comm Fund'!E32</f>
        <v>20000000</v>
      </c>
      <c r="I32" s="66">
        <f>'[1]UNIV 2019'!E38</f>
        <v>20000000</v>
      </c>
      <c r="J32" s="66">
        <f t="shared" si="5"/>
        <v>0</v>
      </c>
      <c r="K32" s="66"/>
      <c r="L32" s="66">
        <f>'[1]Univ Comm Fund'!F32</f>
        <v>40000000</v>
      </c>
      <c r="M32" s="66">
        <f>'[1]UNIV 2019'!F38</f>
        <v>40000000</v>
      </c>
      <c r="N32" s="66">
        <f t="shared" si="6"/>
        <v>0</v>
      </c>
      <c r="O32" s="66"/>
      <c r="P32" s="66">
        <f>'[1]Univ Comm Fund'!G32</f>
        <v>589000</v>
      </c>
      <c r="Q32" s="66">
        <f>'[1]UNIV 2019'!G38</f>
        <v>589000</v>
      </c>
      <c r="R32" s="66">
        <f t="shared" si="7"/>
        <v>0</v>
      </c>
      <c r="S32" s="87"/>
      <c r="T32" s="66">
        <f>'[1]Univ Comm Fund'!H32</f>
        <v>50000000</v>
      </c>
      <c r="U32" s="66">
        <f>'[1]UNIV 2019'!H38</f>
        <v>50000000</v>
      </c>
      <c r="V32" s="66">
        <f t="shared" si="8"/>
        <v>0</v>
      </c>
      <c r="W32" s="66"/>
      <c r="X32" s="66">
        <f>'[1]Univ Comm Fund'!I32</f>
        <v>25000000</v>
      </c>
      <c r="Y32" s="66">
        <f>'[1]UNIV 2019'!I38</f>
        <v>25000000</v>
      </c>
      <c r="Z32" s="66">
        <f t="shared" si="9"/>
        <v>0</v>
      </c>
      <c r="AA32" s="66"/>
      <c r="AB32" s="66">
        <f>'[1]Univ Comm Fund'!J32</f>
        <v>30000000</v>
      </c>
      <c r="AC32" s="66">
        <f>'[1]UNIV 2019'!J38</f>
        <v>30000000</v>
      </c>
      <c r="AD32" s="66">
        <f t="shared" si="10"/>
        <v>0</v>
      </c>
      <c r="AE32" s="66"/>
      <c r="AF32" s="88">
        <f>'[1]Univ Comm Fund'!K32</f>
        <v>30000000</v>
      </c>
      <c r="AG32" s="66">
        <f>'[1]UNIV 2019'!K38</f>
        <v>30000000</v>
      </c>
      <c r="AH32" s="66">
        <f t="shared" si="11"/>
        <v>0</v>
      </c>
      <c r="AI32" s="88"/>
      <c r="AJ32" s="66">
        <f>'[1]Univ Comm Fund'!L32</f>
        <v>0</v>
      </c>
      <c r="AK32" s="66">
        <f>'[1]UNIV 2019'!L38</f>
        <v>0</v>
      </c>
      <c r="AL32" s="66">
        <f t="shared" si="12"/>
        <v>0</v>
      </c>
      <c r="AM32" s="66"/>
      <c r="AN32" s="66">
        <f>'[1]Univ Comm Fund'!M32</f>
        <v>40000000</v>
      </c>
      <c r="AO32" s="66">
        <f>'[1]UNIV 2019'!M38</f>
        <v>40000000</v>
      </c>
      <c r="AP32" s="66">
        <f t="shared" si="13"/>
        <v>0</v>
      </c>
      <c r="AQ32" s="66"/>
      <c r="AR32" s="66">
        <f>'[1]Univ Comm Fund'!N32</f>
        <v>0</v>
      </c>
      <c r="AS32" s="66">
        <f>'[1]UNIV 2019'!N38</f>
        <v>0</v>
      </c>
      <c r="AT32" s="66">
        <f t="shared" si="14"/>
        <v>0</v>
      </c>
      <c r="AU32" s="66"/>
      <c r="AV32" s="66">
        <f>'[1]Univ Comm Fund'!O32</f>
        <v>40000000</v>
      </c>
      <c r="AW32" s="66">
        <f>'[1]UNIV 2019'!O38</f>
        <v>40000000</v>
      </c>
      <c r="AX32" s="66">
        <f t="shared" si="15"/>
        <v>0</v>
      </c>
      <c r="AY32" s="66"/>
      <c r="AZ32" s="66">
        <f>'[1]Univ Comm Fund'!P32</f>
        <v>0</v>
      </c>
      <c r="BA32" s="66">
        <f>'[1]UNIV 2019'!P38</f>
        <v>0</v>
      </c>
      <c r="BB32" s="66">
        <f t="shared" si="0"/>
        <v>0</v>
      </c>
      <c r="BC32" s="66"/>
      <c r="BD32" s="66">
        <f>'[1]Univ Comm Fund'!Q32</f>
        <v>52000000</v>
      </c>
      <c r="BE32" s="66">
        <f>'[1]UNIV 2019'!Q38</f>
        <v>52000000</v>
      </c>
      <c r="BF32" s="66">
        <f t="shared" si="1"/>
        <v>0</v>
      </c>
      <c r="BG32" s="66"/>
      <c r="BH32" s="66">
        <f>'[1]Univ Comm Fund'!R32</f>
        <v>67000000</v>
      </c>
      <c r="BI32" s="66">
        <f>'[1]UNIV 2019'!R38</f>
        <v>67000000</v>
      </c>
      <c r="BJ32" s="66">
        <f t="shared" si="16"/>
        <v>0</v>
      </c>
      <c r="BK32" s="66"/>
      <c r="BL32" s="66">
        <f>'[1]Univ Comm Fund'!S32</f>
        <v>57000000</v>
      </c>
      <c r="BM32" s="66">
        <f>'[1]UNIV 2019'!S38</f>
        <v>57000000</v>
      </c>
      <c r="BN32" s="66">
        <f t="shared" si="17"/>
        <v>0</v>
      </c>
      <c r="BO32" s="66"/>
      <c r="BP32" s="66">
        <f>'[1]Univ Comm Fund'!T32</f>
        <v>0</v>
      </c>
      <c r="BQ32" s="66">
        <f>'[1]UNIV 2019'!T38</f>
        <v>0</v>
      </c>
      <c r="BR32" s="66">
        <f t="shared" si="18"/>
        <v>0</v>
      </c>
      <c r="BS32" s="66"/>
      <c r="BT32" s="66">
        <f>'[1]Univ Comm Fund'!U32</f>
        <v>0</v>
      </c>
      <c r="BU32" s="66">
        <f>'[1]UNIV 2019'!U38</f>
        <v>0</v>
      </c>
      <c r="BV32" s="66">
        <f t="shared" si="2"/>
        <v>0</v>
      </c>
      <c r="BW32" s="66"/>
      <c r="BX32" s="66">
        <f>'[1]Univ Comm Fund'!V32</f>
        <v>0</v>
      </c>
      <c r="BY32" s="66">
        <f>'[1]UNIV 2019'!V38</f>
        <v>0</v>
      </c>
      <c r="BZ32" s="66">
        <f t="shared" si="19"/>
        <v>0</v>
      </c>
      <c r="CA32" s="66"/>
      <c r="CB32" s="66">
        <f>'[1]Univ Comm Fund'!W32</f>
        <v>175000000</v>
      </c>
      <c r="CC32" s="66">
        <f>'[1]UNIV 2019'!W38</f>
        <v>148750000</v>
      </c>
      <c r="CD32" s="66">
        <f t="shared" si="20"/>
        <v>26250000</v>
      </c>
      <c r="CE32" s="66"/>
      <c r="CF32" s="66">
        <v>75000000</v>
      </c>
      <c r="CG32" s="66">
        <f>'[1]UNIV 2019'!X38</f>
        <v>75000000</v>
      </c>
      <c r="CH32" s="75">
        <f t="shared" si="21"/>
        <v>0</v>
      </c>
      <c r="CI32" s="66"/>
      <c r="CJ32" s="66">
        <f>'[1]Univ Comm Fund'!Y32</f>
        <v>0</v>
      </c>
      <c r="CK32" s="66">
        <f>'[1]UNIV 2019'!Y38</f>
        <v>0</v>
      </c>
      <c r="CL32" s="66">
        <f t="shared" si="22"/>
        <v>0</v>
      </c>
      <c r="CM32" s="66"/>
      <c r="CN32" s="20">
        <f>'[1]Univ Comm Fund'!Z32</f>
        <v>350000000</v>
      </c>
      <c r="CO32" s="66">
        <f>'[1]UNIV 2019'!Z38</f>
        <v>297500000</v>
      </c>
      <c r="CP32" s="66">
        <f t="shared" si="23"/>
        <v>52500000</v>
      </c>
      <c r="CQ32" s="20"/>
      <c r="CR32" s="66">
        <f>'[1]Univ Comm Fund'!AA32</f>
        <v>108000000</v>
      </c>
      <c r="CS32" s="66">
        <f>'[1]UNIV 2019'!AA38</f>
        <v>91800000</v>
      </c>
      <c r="CT32" s="75">
        <f t="shared" si="24"/>
        <v>16200000</v>
      </c>
      <c r="CU32" s="66"/>
      <c r="CV32" s="66">
        <f>'[1]Univ Comm Fund'!AB32</f>
        <v>0</v>
      </c>
      <c r="CW32" s="66">
        <f>'[1]UNIV 2019'!AB38</f>
        <v>0</v>
      </c>
      <c r="CX32" s="75">
        <f t="shared" si="25"/>
        <v>0</v>
      </c>
      <c r="CY32" s="66"/>
      <c r="CZ32" s="66">
        <f>'[1]Univ Comm Fund'!AC32</f>
        <v>356000000</v>
      </c>
      <c r="DA32" s="66">
        <f>'[1]UNIV 2019'!AC38</f>
        <v>302600000</v>
      </c>
      <c r="DB32" s="66">
        <f t="shared" si="26"/>
        <v>53400000</v>
      </c>
      <c r="DC32" s="66"/>
      <c r="DD32" s="66">
        <f>'[1]Univ Comm Fund'!AD32</f>
        <v>20000000</v>
      </c>
      <c r="DE32" s="66">
        <f>'[1]UNIV 2019'!AD38</f>
        <v>20000000</v>
      </c>
      <c r="DF32" s="66">
        <f t="shared" si="27"/>
        <v>0</v>
      </c>
      <c r="DG32" s="66"/>
      <c r="DH32" s="66">
        <f>'[1]Univ Comm Fund'!AE32</f>
        <v>552000000</v>
      </c>
      <c r="DI32" s="66">
        <f>'[1]UNIV 2019'!AE38</f>
        <v>469200000</v>
      </c>
      <c r="DJ32" s="66">
        <f t="shared" si="28"/>
        <v>82800000</v>
      </c>
      <c r="DK32" s="66"/>
      <c r="DL32" s="66">
        <f>'[1]Univ Comm Fund'!AF32</f>
        <v>20000000</v>
      </c>
      <c r="DM32" s="66">
        <f>'[1]UNIV 2019'!AF38</f>
        <v>20000000</v>
      </c>
      <c r="DN32" s="66">
        <f t="shared" si="29"/>
        <v>0</v>
      </c>
      <c r="DO32" s="66"/>
      <c r="DP32" s="66">
        <f>'[1]Univ Comm Fund'!AG32</f>
        <v>0</v>
      </c>
      <c r="DQ32" s="66">
        <f>'[1]UNIV 2019'!AG38</f>
        <v>0</v>
      </c>
      <c r="DR32" s="66">
        <f t="shared" si="30"/>
        <v>0</v>
      </c>
      <c r="DS32" s="66"/>
      <c r="DT32" s="66">
        <f>'[1]Univ Comm Fund'!AH32</f>
        <v>100000000</v>
      </c>
      <c r="DU32" s="66">
        <f>'[1]UNIV 2019'!AH38</f>
        <v>0</v>
      </c>
      <c r="DV32" s="66">
        <f t="shared" si="31"/>
        <v>100000000</v>
      </c>
      <c r="DW32" s="66"/>
      <c r="DX32" s="66">
        <f>'[1]Univ Comm Fund'!AI32</f>
        <v>15000000</v>
      </c>
      <c r="DY32" s="66">
        <f>'[1]UNIV 2019'!AI38</f>
        <v>0</v>
      </c>
      <c r="DZ32" s="66">
        <f t="shared" si="32"/>
        <v>15000000</v>
      </c>
      <c r="EA32" s="66"/>
      <c r="EB32" s="66">
        <f>'[1]Univ Comm Fund'!AJ32</f>
        <v>2000000</v>
      </c>
      <c r="EC32" s="66">
        <f>'[1]UNIV 2019'!AJ38</f>
        <v>0</v>
      </c>
      <c r="ED32" s="66">
        <f t="shared" si="33"/>
        <v>2000000</v>
      </c>
      <c r="EE32" s="66"/>
      <c r="EF32" s="66">
        <f>'[1]Univ Comm Fund'!AK32</f>
        <v>10000000</v>
      </c>
      <c r="EG32" s="66">
        <f>'[1]UNIV 2019'!AK38</f>
        <v>10000000</v>
      </c>
      <c r="EH32" s="66">
        <f t="shared" si="34"/>
        <v>0</v>
      </c>
      <c r="EI32" s="66"/>
      <c r="EJ32" s="66">
        <f>'[1]Univ Comm Fund'!AL32</f>
        <v>0</v>
      </c>
      <c r="EK32" s="66">
        <f>'[1]UNIV 2019'!AL38</f>
        <v>0</v>
      </c>
      <c r="EL32" s="66">
        <f t="shared" si="35"/>
        <v>0</v>
      </c>
      <c r="EM32" s="66"/>
      <c r="EN32" s="80">
        <f>'[1]Univ Comm Fund'!AM32</f>
        <v>565410000</v>
      </c>
      <c r="EO32" s="66">
        <f>'[1]UNIV 2019'!AM38</f>
        <v>0</v>
      </c>
      <c r="EP32" s="75">
        <f t="shared" si="36"/>
        <v>565410000</v>
      </c>
      <c r="EQ32" s="66"/>
      <c r="ER32" s="66">
        <f>'[1]Univ Comm Fund'!AN32</f>
        <v>15000000</v>
      </c>
      <c r="ES32" s="66">
        <f>'[1]UNIV 2019'!AN38</f>
        <v>0</v>
      </c>
      <c r="ET32" s="75">
        <f t="shared" si="37"/>
        <v>15000000</v>
      </c>
      <c r="EU32" s="66"/>
      <c r="EV32" s="66">
        <f>'[1]Univ Comm Fund'!AO32</f>
        <v>15000000</v>
      </c>
      <c r="EW32" s="66">
        <f>'[1]UNIV 2019'!AO38</f>
        <v>0</v>
      </c>
      <c r="EX32" s="75">
        <f t="shared" si="38"/>
        <v>15000000</v>
      </c>
      <c r="EY32" s="66"/>
      <c r="EZ32" s="66">
        <f>'[1]Univ Comm Fund'!AP32</f>
        <v>10000000</v>
      </c>
      <c r="FA32" s="66">
        <f>'[1]UNIV 2019'!AP38</f>
        <v>0</v>
      </c>
      <c r="FB32" s="75">
        <f t="shared" si="39"/>
        <v>10000000</v>
      </c>
      <c r="FC32" s="75"/>
      <c r="FD32" s="75">
        <f>'[1]Univ Comm Fund'!AQ32</f>
        <v>0</v>
      </c>
      <c r="FE32" s="75">
        <f>'[1]UNIV 2019'!AQ38</f>
        <v>0</v>
      </c>
      <c r="FF32" s="75">
        <f t="shared" si="40"/>
        <v>0</v>
      </c>
      <c r="FG32" s="75"/>
      <c r="FH32" s="81">
        <f>'[1]Univ Comm Fund'!AR32</f>
        <v>300000000</v>
      </c>
      <c r="FI32" s="75">
        <f>'[1]UNIV 2019'!AR38</f>
        <v>189000000</v>
      </c>
      <c r="FJ32" s="75">
        <f t="shared" si="41"/>
        <v>111000000</v>
      </c>
      <c r="FK32" s="75"/>
      <c r="FL32" s="75">
        <f>'[1]Univ Comm Fund'!AS32</f>
        <v>300000000</v>
      </c>
      <c r="FM32" s="75">
        <f>'[1]UNIV 2019'!AS38</f>
        <v>0</v>
      </c>
      <c r="FN32" s="75">
        <f t="shared" si="42"/>
        <v>300000000</v>
      </c>
      <c r="FO32" s="75"/>
      <c r="FP32" s="75">
        <f>'[1]Univ Comm Fund'!AT32</f>
        <v>120000000</v>
      </c>
      <c r="FQ32" s="75">
        <f>'[1]UNIV 2019'!AT38</f>
        <v>120000000</v>
      </c>
      <c r="FR32" s="75">
        <f t="shared" si="43"/>
        <v>0</v>
      </c>
      <c r="FS32" s="75"/>
      <c r="FT32" s="75">
        <f>'[1]Univ Comm Fund'!AU32</f>
        <v>10000000</v>
      </c>
      <c r="FU32" s="75">
        <f>'[1]UNIV 2019'!AU38</f>
        <v>0</v>
      </c>
      <c r="FV32" s="75">
        <f t="shared" si="44"/>
        <v>10000000</v>
      </c>
      <c r="FW32" s="75"/>
      <c r="FX32" s="75">
        <f>'[1]Univ Comm Fund'!AV32</f>
        <v>5000000</v>
      </c>
      <c r="FY32" s="75">
        <f>'[1]UNIV 2019'!AV38</f>
        <v>0</v>
      </c>
      <c r="FZ32" s="75">
        <f t="shared" si="45"/>
        <v>5000000</v>
      </c>
      <c r="GA32" s="75"/>
      <c r="GB32" s="75">
        <f>'[1]Univ Comm Fund'!AW32</f>
        <v>10000000</v>
      </c>
      <c r="GC32" s="75">
        <f>'[1]UNIV 2019'!AW38</f>
        <v>0</v>
      </c>
      <c r="GD32" s="75">
        <f t="shared" si="46"/>
        <v>10000000</v>
      </c>
      <c r="GE32" s="75"/>
      <c r="GF32" s="75">
        <f>'[1]Univ Comm Fund'!AX32</f>
        <v>0</v>
      </c>
      <c r="GG32" s="75">
        <f>'[1]UNIV 2019'!AX38</f>
        <v>0</v>
      </c>
      <c r="GH32" s="75">
        <f t="shared" si="47"/>
        <v>0</v>
      </c>
      <c r="GI32" s="75"/>
      <c r="GJ32" s="75">
        <f>'[1]Univ Comm Fund'!AY32</f>
        <v>350000000</v>
      </c>
      <c r="GK32" s="75">
        <f>'[1]UNIV 2019'!AY38</f>
        <v>0</v>
      </c>
      <c r="GL32" s="75">
        <f t="shared" si="48"/>
        <v>350000000</v>
      </c>
      <c r="GM32" s="75"/>
      <c r="GN32" s="75">
        <f>'[1]Univ Comm Fund'!AZ32</f>
        <v>175823700</v>
      </c>
      <c r="GO32" s="75">
        <f>'[1]UNIV 2019'!AZ38</f>
        <v>0</v>
      </c>
      <c r="GP32" s="75">
        <f t="shared" si="49"/>
        <v>175823700</v>
      </c>
      <c r="GQ32" s="75"/>
      <c r="GR32" s="75">
        <f>'[1]Univ Comm Fund'!BA32</f>
        <v>20000000</v>
      </c>
      <c r="GS32" s="75">
        <f>'[1]UNIV 2019'!BA38</f>
        <v>0</v>
      </c>
      <c r="GT32" s="75">
        <f t="shared" si="50"/>
        <v>20000000</v>
      </c>
      <c r="GU32" s="75"/>
      <c r="GV32" s="75">
        <f>'[1]Univ Comm Fund'!BB32</f>
        <v>5000000</v>
      </c>
      <c r="GW32" s="75">
        <f>'[1]UNIV 2019'!BB38</f>
        <v>0</v>
      </c>
      <c r="GX32" s="75">
        <f t="shared" si="51"/>
        <v>5000000</v>
      </c>
      <c r="GY32" s="75"/>
      <c r="GZ32" s="75">
        <f>'[1]Univ Comm Fund'!BC32</f>
        <v>10000000</v>
      </c>
      <c r="HA32" s="75">
        <f>'[1]UNIV 2019'!BD38</f>
        <v>0</v>
      </c>
      <c r="HB32" s="75">
        <f t="shared" si="52"/>
        <v>10000000</v>
      </c>
      <c r="HC32" s="75"/>
      <c r="HD32" s="75">
        <f>'[1]Univ Comm Fund'!BD32</f>
        <v>0</v>
      </c>
      <c r="HE32" s="75">
        <f>'[1]UNIV 2019'!BC38</f>
        <v>0</v>
      </c>
      <c r="HF32" s="75">
        <f t="shared" si="53"/>
        <v>0</v>
      </c>
      <c r="HG32" s="75"/>
      <c r="HH32" s="75">
        <f t="shared" si="54"/>
        <v>4204850476.6700001</v>
      </c>
      <c r="HI32" s="75">
        <f t="shared" si="54"/>
        <v>2254466776.6800003</v>
      </c>
      <c r="HJ32" s="82">
        <f t="shared" si="55"/>
        <v>1950383699.9899998</v>
      </c>
      <c r="HL32" s="83">
        <f t="shared" si="56"/>
        <v>3233437776.6700001</v>
      </c>
      <c r="HM32" s="83">
        <f t="shared" si="56"/>
        <v>1703077776.6800001</v>
      </c>
      <c r="HN32" s="84">
        <f t="shared" si="57"/>
        <v>1530359999.99</v>
      </c>
      <c r="HP32" s="83">
        <f t="shared" si="58"/>
        <v>108000000</v>
      </c>
      <c r="HQ32" s="83">
        <f t="shared" si="58"/>
        <v>91800000</v>
      </c>
      <c r="HR32" s="84">
        <f t="shared" si="59"/>
        <v>16200000</v>
      </c>
      <c r="HT32" s="83">
        <f t="shared" si="60"/>
        <v>145000000</v>
      </c>
      <c r="HU32" s="83">
        <f t="shared" si="60"/>
        <v>125000000</v>
      </c>
      <c r="HV32" s="84">
        <f t="shared" si="61"/>
        <v>20000000</v>
      </c>
      <c r="HX32" s="83">
        <f t="shared" si="62"/>
        <v>60000000</v>
      </c>
      <c r="HY32" s="83">
        <f t="shared" si="62"/>
        <v>0</v>
      </c>
      <c r="HZ32" s="84">
        <f t="shared" si="63"/>
        <v>60000000</v>
      </c>
      <c r="IB32" s="83">
        <f t="shared" si="64"/>
        <v>35000000</v>
      </c>
      <c r="IC32" s="83">
        <f t="shared" si="64"/>
        <v>0</v>
      </c>
      <c r="ID32" s="84">
        <f t="shared" si="65"/>
        <v>35000000</v>
      </c>
      <c r="IF32" s="83">
        <f t="shared" si="3"/>
        <v>2000000</v>
      </c>
      <c r="IG32" s="83">
        <f t="shared" si="3"/>
        <v>0</v>
      </c>
      <c r="IH32" s="84">
        <f t="shared" si="66"/>
        <v>2000000</v>
      </c>
      <c r="IJ32" s="84">
        <f t="shared" si="67"/>
        <v>595823700</v>
      </c>
      <c r="IK32" s="84">
        <f t="shared" si="67"/>
        <v>309000000</v>
      </c>
      <c r="IL32" s="84">
        <f t="shared" si="68"/>
        <v>286823700</v>
      </c>
    </row>
    <row r="33" spans="1:246" x14ac:dyDescent="0.25">
      <c r="A33" s="42">
        <v>28</v>
      </c>
      <c r="B33" s="86" t="s">
        <v>92</v>
      </c>
      <c r="C33" s="42" t="s">
        <v>76</v>
      </c>
      <c r="D33" s="66">
        <f>'[1]Univ Comm Fund'!D33</f>
        <v>59027776.670000002</v>
      </c>
      <c r="E33" s="66">
        <f>'[1]UNIV 2019'!D39</f>
        <v>59027776.670000002</v>
      </c>
      <c r="F33" s="75">
        <f t="shared" si="4"/>
        <v>0</v>
      </c>
      <c r="G33" s="66"/>
      <c r="H33" s="66">
        <f>'[1]Univ Comm Fund'!E33</f>
        <v>20000000</v>
      </c>
      <c r="I33" s="66">
        <f>'[1]UNIV 2019'!E39</f>
        <v>20000000</v>
      </c>
      <c r="J33" s="66">
        <f t="shared" si="5"/>
        <v>0</v>
      </c>
      <c r="K33" s="66"/>
      <c r="L33" s="66">
        <f>'[1]Univ Comm Fund'!F33</f>
        <v>40000000</v>
      </c>
      <c r="M33" s="66">
        <f>'[1]UNIV 2019'!F39</f>
        <v>40000000</v>
      </c>
      <c r="N33" s="66">
        <f t="shared" si="6"/>
        <v>0</v>
      </c>
      <c r="O33" s="66"/>
      <c r="P33" s="66">
        <f>'[1]Univ Comm Fund'!G33</f>
        <v>473000</v>
      </c>
      <c r="Q33" s="66">
        <f>'[1]UNIV 2019'!G39</f>
        <v>473000</v>
      </c>
      <c r="R33" s="66">
        <f t="shared" si="7"/>
        <v>0</v>
      </c>
      <c r="S33" s="87"/>
      <c r="T33" s="66">
        <f>'[1]Univ Comm Fund'!H33</f>
        <v>50000000</v>
      </c>
      <c r="U33" s="66">
        <f>'[1]UNIV 2019'!H39</f>
        <v>50000000</v>
      </c>
      <c r="V33" s="66">
        <f t="shared" si="8"/>
        <v>0</v>
      </c>
      <c r="W33" s="66"/>
      <c r="X33" s="66">
        <f>'[1]Univ Comm Fund'!I33</f>
        <v>25000000</v>
      </c>
      <c r="Y33" s="66">
        <f>'[1]UNIV 2019'!I39</f>
        <v>25000000</v>
      </c>
      <c r="Z33" s="66">
        <f t="shared" si="9"/>
        <v>0</v>
      </c>
      <c r="AA33" s="66"/>
      <c r="AB33" s="66">
        <f>'[1]Univ Comm Fund'!J33</f>
        <v>30000000</v>
      </c>
      <c r="AC33" s="66">
        <f>'[1]UNIV 2019'!J39</f>
        <v>30000000</v>
      </c>
      <c r="AD33" s="66">
        <f t="shared" si="10"/>
        <v>0</v>
      </c>
      <c r="AE33" s="66"/>
      <c r="AF33" s="88">
        <f>'[1]Univ Comm Fund'!K33</f>
        <v>30000000</v>
      </c>
      <c r="AG33" s="66">
        <f>'[1]UNIV 2019'!K39</f>
        <v>30000000</v>
      </c>
      <c r="AH33" s="66">
        <f t="shared" si="11"/>
        <v>0</v>
      </c>
      <c r="AI33" s="88"/>
      <c r="AJ33" s="66">
        <f>'[1]Univ Comm Fund'!L33</f>
        <v>0</v>
      </c>
      <c r="AK33" s="66">
        <f>'[1]UNIV 2019'!L39</f>
        <v>0</v>
      </c>
      <c r="AL33" s="66">
        <f t="shared" si="12"/>
        <v>0</v>
      </c>
      <c r="AM33" s="66"/>
      <c r="AN33" s="66">
        <f>'[1]Univ Comm Fund'!M33</f>
        <v>40000000</v>
      </c>
      <c r="AO33" s="66">
        <f>'[1]UNIV 2019'!M39</f>
        <v>40000000</v>
      </c>
      <c r="AP33" s="66">
        <f t="shared" si="13"/>
        <v>0</v>
      </c>
      <c r="AQ33" s="66"/>
      <c r="AR33" s="66">
        <f>'[1]Univ Comm Fund'!N33</f>
        <v>0</v>
      </c>
      <c r="AS33" s="66">
        <f>'[1]UNIV 2019'!N39</f>
        <v>0</v>
      </c>
      <c r="AT33" s="66">
        <f t="shared" si="14"/>
        <v>0</v>
      </c>
      <c r="AU33" s="66"/>
      <c r="AV33" s="66">
        <f>'[1]Univ Comm Fund'!O33</f>
        <v>40000000</v>
      </c>
      <c r="AW33" s="66">
        <f>'[1]UNIV 2019'!O39</f>
        <v>40000000</v>
      </c>
      <c r="AX33" s="66">
        <f t="shared" si="15"/>
        <v>0</v>
      </c>
      <c r="AY33" s="66"/>
      <c r="AZ33" s="66">
        <f>'[1]Univ Comm Fund'!P33</f>
        <v>0</v>
      </c>
      <c r="BA33" s="66">
        <f>'[1]UNIV 2019'!P39</f>
        <v>0</v>
      </c>
      <c r="BB33" s="66">
        <f t="shared" si="0"/>
        <v>0</v>
      </c>
      <c r="BC33" s="66"/>
      <c r="BD33" s="66">
        <f>'[1]Univ Comm Fund'!Q33</f>
        <v>44200000</v>
      </c>
      <c r="BE33" s="66">
        <f>'[1]UNIV 2019'!Q39</f>
        <v>44200000</v>
      </c>
      <c r="BF33" s="66">
        <f t="shared" si="1"/>
        <v>0</v>
      </c>
      <c r="BG33" s="66"/>
      <c r="BH33" s="66">
        <f>'[1]Univ Comm Fund'!R33</f>
        <v>56950000</v>
      </c>
      <c r="BI33" s="66">
        <f>'[1]UNIV 2019'!R39</f>
        <v>56950000</v>
      </c>
      <c r="BJ33" s="66">
        <f t="shared" si="16"/>
        <v>0</v>
      </c>
      <c r="BK33" s="66"/>
      <c r="BL33" s="66">
        <f>'[1]Univ Comm Fund'!S33</f>
        <v>57000000</v>
      </c>
      <c r="BM33" s="66">
        <f>'[1]UNIV 2019'!S39</f>
        <v>57000000</v>
      </c>
      <c r="BN33" s="66">
        <f t="shared" si="17"/>
        <v>0</v>
      </c>
      <c r="BO33" s="66"/>
      <c r="BP33" s="66">
        <f>'[1]Univ Comm Fund'!T33</f>
        <v>0</v>
      </c>
      <c r="BQ33" s="66">
        <f>'[1]UNIV 2019'!T39</f>
        <v>0</v>
      </c>
      <c r="BR33" s="66">
        <f t="shared" si="18"/>
        <v>0</v>
      </c>
      <c r="BS33" s="66"/>
      <c r="BT33" s="66">
        <f>'[1]Univ Comm Fund'!U33</f>
        <v>193140000</v>
      </c>
      <c r="BU33" s="66">
        <f>'[1]UNIV 2019'!U39</f>
        <v>193140000</v>
      </c>
      <c r="BV33" s="66">
        <f t="shared" si="2"/>
        <v>0</v>
      </c>
      <c r="BW33" s="66"/>
      <c r="BX33" s="66">
        <f>'[1]Univ Comm Fund'!V33</f>
        <v>0</v>
      </c>
      <c r="BY33" s="66">
        <f>'[1]UNIV 2019'!V39</f>
        <v>0</v>
      </c>
      <c r="BZ33" s="66">
        <f t="shared" si="19"/>
        <v>0</v>
      </c>
      <c r="CA33" s="66"/>
      <c r="CB33" s="66">
        <f>'[1]Univ Comm Fund'!W33</f>
        <v>175000000</v>
      </c>
      <c r="CC33" s="66">
        <f>'[1]UNIV 2019'!W39</f>
        <v>148750000</v>
      </c>
      <c r="CD33" s="66">
        <f t="shared" si="20"/>
        <v>26250000</v>
      </c>
      <c r="CE33" s="66"/>
      <c r="CF33" s="66">
        <v>75000000</v>
      </c>
      <c r="CG33" s="66">
        <f>'[1]UNIV 2019'!X39</f>
        <v>63750000</v>
      </c>
      <c r="CH33" s="75">
        <f t="shared" si="21"/>
        <v>11250000</v>
      </c>
      <c r="CI33" s="66"/>
      <c r="CJ33" s="66">
        <f>'[1]Univ Comm Fund'!Y33</f>
        <v>50000000</v>
      </c>
      <c r="CK33" s="66">
        <f>'[1]UNIV 2019'!Y39</f>
        <v>50000000</v>
      </c>
      <c r="CL33" s="66">
        <f t="shared" si="22"/>
        <v>0</v>
      </c>
      <c r="CM33" s="66"/>
      <c r="CN33" s="20">
        <f>'[1]Univ Comm Fund'!Z33</f>
        <v>350000000</v>
      </c>
      <c r="CO33" s="66">
        <f>'[1]UNIV 2019'!Z39</f>
        <v>297500000</v>
      </c>
      <c r="CP33" s="66">
        <f t="shared" si="23"/>
        <v>52500000</v>
      </c>
      <c r="CQ33" s="20"/>
      <c r="CR33" s="66">
        <f>'[1]Univ Comm Fund'!AA33</f>
        <v>0</v>
      </c>
      <c r="CS33" s="66">
        <f>'[1]UNIV 2019'!AA39</f>
        <v>0</v>
      </c>
      <c r="CT33" s="75">
        <f t="shared" si="24"/>
        <v>0</v>
      </c>
      <c r="CU33" s="66"/>
      <c r="CV33" s="66">
        <f>'[1]Univ Comm Fund'!AB33</f>
        <v>0</v>
      </c>
      <c r="CW33" s="66">
        <f>'[1]UNIV 2019'!AB39</f>
        <v>0</v>
      </c>
      <c r="CX33" s="75">
        <f t="shared" si="25"/>
        <v>0</v>
      </c>
      <c r="CY33" s="66"/>
      <c r="CZ33" s="66">
        <f>'[1]Univ Comm Fund'!AC33</f>
        <v>356000000</v>
      </c>
      <c r="DA33" s="66">
        <f>'[1]UNIV 2019'!AC39</f>
        <v>302600000</v>
      </c>
      <c r="DB33" s="66">
        <f t="shared" si="26"/>
        <v>53400000</v>
      </c>
      <c r="DC33" s="66"/>
      <c r="DD33" s="66">
        <f>'[1]Univ Comm Fund'!AD33</f>
        <v>20000000</v>
      </c>
      <c r="DE33" s="66">
        <f>'[1]UNIV 2019'!AD39</f>
        <v>17000000</v>
      </c>
      <c r="DF33" s="66">
        <f t="shared" si="27"/>
        <v>3000000</v>
      </c>
      <c r="DG33" s="66"/>
      <c r="DH33" s="66">
        <f>'[1]Univ Comm Fund'!AE33</f>
        <v>552000000</v>
      </c>
      <c r="DI33" s="66">
        <f>'[1]UNIV 2019'!AE39</f>
        <v>292560000</v>
      </c>
      <c r="DJ33" s="66">
        <f t="shared" si="28"/>
        <v>259440000</v>
      </c>
      <c r="DK33" s="66"/>
      <c r="DL33" s="66">
        <f>'[1]Univ Comm Fund'!AF33</f>
        <v>20000000</v>
      </c>
      <c r="DM33" s="66">
        <f>'[1]UNIV 2019'!AF39</f>
        <v>0</v>
      </c>
      <c r="DN33" s="66">
        <f t="shared" si="29"/>
        <v>20000000</v>
      </c>
      <c r="DO33" s="66"/>
      <c r="DP33" s="66">
        <f>'[1]Univ Comm Fund'!AG33</f>
        <v>0</v>
      </c>
      <c r="DQ33" s="66">
        <f>'[1]UNIV 2019'!AG39</f>
        <v>0</v>
      </c>
      <c r="DR33" s="66">
        <f t="shared" si="30"/>
        <v>0</v>
      </c>
      <c r="DS33" s="66"/>
      <c r="DT33" s="66">
        <f>'[1]Univ Comm Fund'!AH33</f>
        <v>100000000</v>
      </c>
      <c r="DU33" s="66">
        <f>'[1]UNIV 2019'!AH39</f>
        <v>53000000</v>
      </c>
      <c r="DV33" s="66">
        <f t="shared" si="31"/>
        <v>47000000</v>
      </c>
      <c r="DW33" s="66"/>
      <c r="DX33" s="66">
        <f>'[1]Univ Comm Fund'!AI33</f>
        <v>15000000</v>
      </c>
      <c r="DY33" s="66">
        <f>'[1]UNIV 2019'!AI39</f>
        <v>0</v>
      </c>
      <c r="DZ33" s="66">
        <f t="shared" si="32"/>
        <v>15000000</v>
      </c>
      <c r="EA33" s="66"/>
      <c r="EB33" s="66">
        <f>'[1]Univ Comm Fund'!AJ33</f>
        <v>2000000</v>
      </c>
      <c r="EC33" s="66">
        <f>'[1]UNIV 2019'!AJ39</f>
        <v>0</v>
      </c>
      <c r="ED33" s="66">
        <f t="shared" si="33"/>
        <v>2000000</v>
      </c>
      <c r="EE33" s="66"/>
      <c r="EF33" s="66">
        <f>'[1]Univ Comm Fund'!AK33</f>
        <v>10000000</v>
      </c>
      <c r="EG33" s="66">
        <f>'[1]UNIV 2019'!AK39</f>
        <v>0</v>
      </c>
      <c r="EH33" s="66">
        <f t="shared" si="34"/>
        <v>10000000</v>
      </c>
      <c r="EI33" s="66"/>
      <c r="EJ33" s="66">
        <f>'[1]Univ Comm Fund'!AL33</f>
        <v>0</v>
      </c>
      <c r="EK33" s="66">
        <f>'[1]UNIV 2019'!AL39</f>
        <v>0</v>
      </c>
      <c r="EL33" s="66">
        <f t="shared" si="35"/>
        <v>0</v>
      </c>
      <c r="EM33" s="66"/>
      <c r="EN33" s="80">
        <f>'[1]Univ Comm Fund'!AM33</f>
        <v>565410000</v>
      </c>
      <c r="EO33" s="66">
        <f>'[1]UNIV 2019'!AM39</f>
        <v>299667300</v>
      </c>
      <c r="EP33" s="75">
        <f t="shared" si="36"/>
        <v>265742700</v>
      </c>
      <c r="EQ33" s="66"/>
      <c r="ER33" s="66">
        <f>'[1]Univ Comm Fund'!AN33</f>
        <v>15000000</v>
      </c>
      <c r="ES33" s="66">
        <f>'[1]UNIV 2019'!AN39</f>
        <v>0</v>
      </c>
      <c r="ET33" s="75">
        <f t="shared" si="37"/>
        <v>15000000</v>
      </c>
      <c r="EU33" s="66"/>
      <c r="EV33" s="66">
        <f>'[1]Univ Comm Fund'!AO33</f>
        <v>15000000</v>
      </c>
      <c r="EW33" s="66">
        <f>'[1]UNIV 2019'!AO39</f>
        <v>0</v>
      </c>
      <c r="EX33" s="75">
        <f t="shared" si="38"/>
        <v>15000000</v>
      </c>
      <c r="EY33" s="66"/>
      <c r="EZ33" s="66">
        <f>'[1]Univ Comm Fund'!AP33</f>
        <v>10000000</v>
      </c>
      <c r="FA33" s="66">
        <f>'[1]UNIV 2019'!AP39</f>
        <v>0</v>
      </c>
      <c r="FB33" s="75">
        <f t="shared" si="39"/>
        <v>10000000</v>
      </c>
      <c r="FC33" s="75"/>
      <c r="FD33" s="75">
        <f>'[1]Univ Comm Fund'!AQ33</f>
        <v>0</v>
      </c>
      <c r="FE33" s="75">
        <f>'[1]UNIV 2019'!AQ39</f>
        <v>0</v>
      </c>
      <c r="FF33" s="75">
        <f t="shared" si="40"/>
        <v>0</v>
      </c>
      <c r="FG33" s="75"/>
      <c r="FH33" s="81">
        <f>'[1]Univ Comm Fund'!AR33</f>
        <v>300000000</v>
      </c>
      <c r="FI33" s="75">
        <f>'[1]UNIV 2019'!AR39</f>
        <v>150000000</v>
      </c>
      <c r="FJ33" s="75">
        <f t="shared" si="41"/>
        <v>150000000</v>
      </c>
      <c r="FK33" s="75"/>
      <c r="FL33" s="75">
        <f>'[1]Univ Comm Fund'!AS33</f>
        <v>300000000</v>
      </c>
      <c r="FM33" s="75">
        <f>'[1]UNIV 2019'!AS39</f>
        <v>0</v>
      </c>
      <c r="FN33" s="75">
        <f t="shared" si="42"/>
        <v>300000000</v>
      </c>
      <c r="FO33" s="75"/>
      <c r="FP33" s="75">
        <f>'[1]Univ Comm Fund'!AT33</f>
        <v>120000000</v>
      </c>
      <c r="FQ33" s="75">
        <f>'[1]UNIV 2019'!AT39</f>
        <v>80400000</v>
      </c>
      <c r="FR33" s="75">
        <f t="shared" si="43"/>
        <v>39600000</v>
      </c>
      <c r="FS33" s="75"/>
      <c r="FT33" s="75">
        <f>'[1]Univ Comm Fund'!AU33</f>
        <v>10000000</v>
      </c>
      <c r="FU33" s="75">
        <f>'[1]UNIV 2019'!AU39</f>
        <v>0</v>
      </c>
      <c r="FV33" s="75">
        <f t="shared" si="44"/>
        <v>10000000</v>
      </c>
      <c r="FW33" s="75"/>
      <c r="FX33" s="75">
        <f>'[1]Univ Comm Fund'!AV33</f>
        <v>5000000</v>
      </c>
      <c r="FY33" s="75">
        <f>'[1]UNIV 2019'!AV39</f>
        <v>0</v>
      </c>
      <c r="FZ33" s="75">
        <f t="shared" si="45"/>
        <v>5000000</v>
      </c>
      <c r="GA33" s="75"/>
      <c r="GB33" s="75">
        <f>'[1]Univ Comm Fund'!AW33</f>
        <v>10000000</v>
      </c>
      <c r="GC33" s="75">
        <f>'[1]UNIV 2019'!AW39</f>
        <v>0</v>
      </c>
      <c r="GD33" s="75">
        <f t="shared" si="46"/>
        <v>10000000</v>
      </c>
      <c r="GE33" s="75"/>
      <c r="GF33" s="75">
        <f>'[1]Univ Comm Fund'!AX33</f>
        <v>0</v>
      </c>
      <c r="GG33" s="75">
        <f>'[1]UNIV 2019'!AX39</f>
        <v>0</v>
      </c>
      <c r="GH33" s="75">
        <f t="shared" si="47"/>
        <v>0</v>
      </c>
      <c r="GI33" s="75"/>
      <c r="GJ33" s="75">
        <f>'[1]Univ Comm Fund'!AY33</f>
        <v>350000000</v>
      </c>
      <c r="GK33" s="75">
        <f>'[1]UNIV 2019'!AY39</f>
        <v>0</v>
      </c>
      <c r="GL33" s="75">
        <f t="shared" si="48"/>
        <v>350000000</v>
      </c>
      <c r="GM33" s="75"/>
      <c r="GN33" s="75">
        <f>'[1]Univ Comm Fund'!AZ33</f>
        <v>175823700</v>
      </c>
      <c r="GO33" s="75">
        <f>'[1]UNIV 2019'!AZ39</f>
        <v>0</v>
      </c>
      <c r="GP33" s="75">
        <f t="shared" si="49"/>
        <v>175823700</v>
      </c>
      <c r="GQ33" s="75"/>
      <c r="GR33" s="75">
        <f>'[1]Univ Comm Fund'!BA33</f>
        <v>20000000</v>
      </c>
      <c r="GS33" s="75">
        <f>'[1]UNIV 2019'!BA39</f>
        <v>0</v>
      </c>
      <c r="GT33" s="75">
        <f t="shared" si="50"/>
        <v>20000000</v>
      </c>
      <c r="GU33" s="75"/>
      <c r="GV33" s="75">
        <f>'[1]Univ Comm Fund'!BB33</f>
        <v>5000000</v>
      </c>
      <c r="GW33" s="75">
        <f>'[1]UNIV 2019'!BB39</f>
        <v>0</v>
      </c>
      <c r="GX33" s="75">
        <f t="shared" si="51"/>
        <v>5000000</v>
      </c>
      <c r="GY33" s="75"/>
      <c r="GZ33" s="75">
        <f>'[1]Univ Comm Fund'!BC33</f>
        <v>10000000</v>
      </c>
      <c r="HA33" s="75">
        <f>'[1]UNIV 2019'!BD39</f>
        <v>0</v>
      </c>
      <c r="HB33" s="75">
        <f t="shared" si="52"/>
        <v>10000000</v>
      </c>
      <c r="HC33" s="75"/>
      <c r="HD33" s="75">
        <f>'[1]Univ Comm Fund'!BD33</f>
        <v>0</v>
      </c>
      <c r="HE33" s="75">
        <f>'[1]UNIV 2019'!BC39</f>
        <v>0</v>
      </c>
      <c r="HF33" s="75">
        <f t="shared" si="53"/>
        <v>0</v>
      </c>
      <c r="HG33" s="75"/>
      <c r="HH33" s="75">
        <f t="shared" si="54"/>
        <v>4322024476.6700001</v>
      </c>
      <c r="HI33" s="75">
        <f t="shared" si="54"/>
        <v>2441018076.6700001</v>
      </c>
      <c r="HJ33" s="82">
        <f t="shared" si="55"/>
        <v>1881006400</v>
      </c>
      <c r="HL33" s="83">
        <f t="shared" si="56"/>
        <v>3408727776.6700001</v>
      </c>
      <c r="HM33" s="83">
        <f t="shared" si="56"/>
        <v>2054395076.6700001</v>
      </c>
      <c r="HN33" s="84">
        <f t="shared" si="57"/>
        <v>1354332700</v>
      </c>
      <c r="HP33" s="83">
        <f t="shared" si="58"/>
        <v>50000000</v>
      </c>
      <c r="HQ33" s="83">
        <f t="shared" si="58"/>
        <v>50000000</v>
      </c>
      <c r="HR33" s="84">
        <f t="shared" si="59"/>
        <v>0</v>
      </c>
      <c r="HT33" s="83">
        <f t="shared" si="60"/>
        <v>145000000</v>
      </c>
      <c r="HU33" s="83">
        <f t="shared" si="60"/>
        <v>80750000</v>
      </c>
      <c r="HV33" s="84">
        <f t="shared" si="61"/>
        <v>64250000</v>
      </c>
      <c r="HX33" s="83">
        <f t="shared" si="62"/>
        <v>60000000</v>
      </c>
      <c r="HY33" s="83">
        <f t="shared" si="62"/>
        <v>0</v>
      </c>
      <c r="HZ33" s="84">
        <f t="shared" si="63"/>
        <v>60000000</v>
      </c>
      <c r="IB33" s="83">
        <f t="shared" si="64"/>
        <v>35000000</v>
      </c>
      <c r="IC33" s="83">
        <f t="shared" si="64"/>
        <v>0</v>
      </c>
      <c r="ID33" s="84">
        <f t="shared" si="65"/>
        <v>35000000</v>
      </c>
      <c r="IF33" s="83">
        <f t="shared" si="3"/>
        <v>2000000</v>
      </c>
      <c r="IG33" s="83">
        <f t="shared" si="3"/>
        <v>0</v>
      </c>
      <c r="IH33" s="84">
        <f t="shared" si="66"/>
        <v>2000000</v>
      </c>
      <c r="IJ33" s="84">
        <f t="shared" si="67"/>
        <v>595823700</v>
      </c>
      <c r="IK33" s="84">
        <f t="shared" si="67"/>
        <v>230400000</v>
      </c>
      <c r="IL33" s="84">
        <f t="shared" si="68"/>
        <v>365423700</v>
      </c>
    </row>
    <row r="34" spans="1:246" x14ac:dyDescent="0.25">
      <c r="A34" s="42">
        <v>29</v>
      </c>
      <c r="B34" s="86" t="s">
        <v>93</v>
      </c>
      <c r="C34" s="42" t="s">
        <v>69</v>
      </c>
      <c r="D34" s="66">
        <f>'[1]Univ Comm Fund'!D34</f>
        <v>59027776.670000002</v>
      </c>
      <c r="E34" s="66">
        <f>'[1]UNIV 2019'!D40</f>
        <v>59027776.670000002</v>
      </c>
      <c r="F34" s="75">
        <f t="shared" si="4"/>
        <v>0</v>
      </c>
      <c r="G34" s="66"/>
      <c r="H34" s="66">
        <f>'[1]Univ Comm Fund'!E34</f>
        <v>20000000</v>
      </c>
      <c r="I34" s="66">
        <f>'[1]UNIV 2019'!E40</f>
        <v>20000000</v>
      </c>
      <c r="J34" s="66">
        <f t="shared" si="5"/>
        <v>0</v>
      </c>
      <c r="K34" s="66"/>
      <c r="L34" s="66">
        <f>'[1]Univ Comm Fund'!F34</f>
        <v>40000000</v>
      </c>
      <c r="M34" s="66">
        <f>'[1]UNIV 2019'!F40</f>
        <v>40000000</v>
      </c>
      <c r="N34" s="66">
        <f t="shared" si="6"/>
        <v>0</v>
      </c>
      <c r="O34" s="66"/>
      <c r="P34" s="66">
        <f>'[1]Univ Comm Fund'!G34</f>
        <v>376000</v>
      </c>
      <c r="Q34" s="66">
        <f>'[1]UNIV 2019'!G40</f>
        <v>376000</v>
      </c>
      <c r="R34" s="66">
        <f t="shared" si="7"/>
        <v>0</v>
      </c>
      <c r="S34" s="87"/>
      <c r="T34" s="66">
        <f>'[1]Univ Comm Fund'!H34</f>
        <v>50000000</v>
      </c>
      <c r="U34" s="66">
        <f>'[1]UNIV 2019'!H40</f>
        <v>50000000</v>
      </c>
      <c r="V34" s="66">
        <f t="shared" si="8"/>
        <v>0</v>
      </c>
      <c r="W34" s="66"/>
      <c r="X34" s="66">
        <f>'[1]Univ Comm Fund'!I34</f>
        <v>25000000</v>
      </c>
      <c r="Y34" s="66">
        <f>'[1]UNIV 2019'!I40</f>
        <v>25000000</v>
      </c>
      <c r="Z34" s="66">
        <f t="shared" si="9"/>
        <v>0</v>
      </c>
      <c r="AA34" s="66"/>
      <c r="AB34" s="66">
        <f>'[1]Univ Comm Fund'!J34</f>
        <v>30000000</v>
      </c>
      <c r="AC34" s="66">
        <f>'[1]UNIV 2019'!J40</f>
        <v>30000000</v>
      </c>
      <c r="AD34" s="66">
        <f t="shared" si="10"/>
        <v>0</v>
      </c>
      <c r="AE34" s="66"/>
      <c r="AF34" s="88">
        <f>'[1]Univ Comm Fund'!K34</f>
        <v>30000000</v>
      </c>
      <c r="AG34" s="66">
        <f>'[1]UNIV 2019'!K40</f>
        <v>30000000</v>
      </c>
      <c r="AH34" s="66">
        <f t="shared" si="11"/>
        <v>0</v>
      </c>
      <c r="AI34" s="88"/>
      <c r="AJ34" s="66">
        <f>'[1]Univ Comm Fund'!L34</f>
        <v>0</v>
      </c>
      <c r="AK34" s="66">
        <f>'[1]UNIV 2019'!L40</f>
        <v>0</v>
      </c>
      <c r="AL34" s="66">
        <f t="shared" si="12"/>
        <v>0</v>
      </c>
      <c r="AM34" s="66"/>
      <c r="AN34" s="66">
        <f>'[1]Univ Comm Fund'!M34</f>
        <v>40000000</v>
      </c>
      <c r="AO34" s="66">
        <f>'[1]UNIV 2019'!M40</f>
        <v>40000000</v>
      </c>
      <c r="AP34" s="66">
        <f t="shared" si="13"/>
        <v>0</v>
      </c>
      <c r="AQ34" s="66"/>
      <c r="AR34" s="66">
        <f>'[1]Univ Comm Fund'!N34</f>
        <v>0</v>
      </c>
      <c r="AS34" s="66">
        <f>'[1]UNIV 2019'!N40</f>
        <v>0</v>
      </c>
      <c r="AT34" s="66">
        <f t="shared" si="14"/>
        <v>0</v>
      </c>
      <c r="AU34" s="66"/>
      <c r="AV34" s="66">
        <f>'[1]Univ Comm Fund'!O34</f>
        <v>40000000</v>
      </c>
      <c r="AW34" s="66">
        <f>'[1]UNIV 2019'!O40</f>
        <v>40000000</v>
      </c>
      <c r="AX34" s="66">
        <f t="shared" si="15"/>
        <v>0</v>
      </c>
      <c r="AY34" s="66"/>
      <c r="AZ34" s="66">
        <f>'[1]Univ Comm Fund'!P34</f>
        <v>100000000</v>
      </c>
      <c r="BA34" s="66">
        <f>'[1]UNIV 2019'!P40</f>
        <v>100000000</v>
      </c>
      <c r="BB34" s="66">
        <f t="shared" si="0"/>
        <v>0</v>
      </c>
      <c r="BC34" s="66"/>
      <c r="BD34" s="66">
        <f>'[1]Univ Comm Fund'!Q34</f>
        <v>52000000</v>
      </c>
      <c r="BE34" s="66">
        <f>'[1]UNIV 2019'!Q40</f>
        <v>52000000</v>
      </c>
      <c r="BF34" s="66">
        <f t="shared" si="1"/>
        <v>0</v>
      </c>
      <c r="BG34" s="66"/>
      <c r="BH34" s="66">
        <f>'[1]Univ Comm Fund'!R34</f>
        <v>67000000</v>
      </c>
      <c r="BI34" s="66">
        <f>'[1]UNIV 2019'!R40</f>
        <v>67000000</v>
      </c>
      <c r="BJ34" s="66">
        <f t="shared" si="16"/>
        <v>0</v>
      </c>
      <c r="BK34" s="66"/>
      <c r="BL34" s="66">
        <f>'[1]Univ Comm Fund'!S34</f>
        <v>48450000</v>
      </c>
      <c r="BM34" s="66">
        <f>'[1]UNIV 2019'!S40</f>
        <v>48450000</v>
      </c>
      <c r="BN34" s="66">
        <f t="shared" si="17"/>
        <v>0</v>
      </c>
      <c r="BO34" s="66"/>
      <c r="BP34" s="66">
        <f>'[1]Univ Comm Fund'!T34</f>
        <v>0</v>
      </c>
      <c r="BQ34" s="66">
        <f>'[1]UNIV 2019'!T40</f>
        <v>0</v>
      </c>
      <c r="BR34" s="66">
        <f t="shared" si="18"/>
        <v>0</v>
      </c>
      <c r="BS34" s="66"/>
      <c r="BT34" s="66">
        <f>'[1]Univ Comm Fund'!U34</f>
        <v>164169000</v>
      </c>
      <c r="BU34" s="66">
        <f>'[1]UNIV 2019'!U40</f>
        <v>164169000</v>
      </c>
      <c r="BV34" s="66">
        <f t="shared" si="2"/>
        <v>0</v>
      </c>
      <c r="BW34" s="66"/>
      <c r="BX34" s="66">
        <f>'[1]Univ Comm Fund'!V34</f>
        <v>0</v>
      </c>
      <c r="BY34" s="66">
        <f>'[1]UNIV 2019'!V40</f>
        <v>0</v>
      </c>
      <c r="BZ34" s="66">
        <f t="shared" si="19"/>
        <v>0</v>
      </c>
      <c r="CA34" s="66"/>
      <c r="CB34" s="66">
        <f>'[1]Univ Comm Fund'!W34</f>
        <v>175000000</v>
      </c>
      <c r="CC34" s="66">
        <f>'[1]UNIV 2019'!W40</f>
        <v>175000000</v>
      </c>
      <c r="CD34" s="66">
        <f t="shared" si="20"/>
        <v>0</v>
      </c>
      <c r="CE34" s="66"/>
      <c r="CF34" s="66">
        <v>75000000</v>
      </c>
      <c r="CG34" s="66">
        <f>'[1]UNIV 2019'!X40</f>
        <v>75000000</v>
      </c>
      <c r="CH34" s="75">
        <f t="shared" si="21"/>
        <v>0</v>
      </c>
      <c r="CI34" s="66"/>
      <c r="CJ34" s="66">
        <f>'[1]Univ Comm Fund'!Y34</f>
        <v>0</v>
      </c>
      <c r="CK34" s="66">
        <f>'[1]UNIV 2019'!Y40</f>
        <v>0</v>
      </c>
      <c r="CL34" s="66">
        <f t="shared" si="22"/>
        <v>0</v>
      </c>
      <c r="CM34" s="66"/>
      <c r="CN34" s="20">
        <f>'[1]Univ Comm Fund'!Z34</f>
        <v>350000000</v>
      </c>
      <c r="CO34" s="66">
        <f>'[1]UNIV 2019'!Z40</f>
        <v>350000000</v>
      </c>
      <c r="CP34" s="66">
        <f t="shared" si="23"/>
        <v>0</v>
      </c>
      <c r="CQ34" s="20"/>
      <c r="CR34" s="66">
        <f>'[1]Univ Comm Fund'!AA34</f>
        <v>0</v>
      </c>
      <c r="CS34" s="66">
        <f>'[1]UNIV 2019'!AA40</f>
        <v>0</v>
      </c>
      <c r="CT34" s="75">
        <f t="shared" si="24"/>
        <v>0</v>
      </c>
      <c r="CU34" s="66"/>
      <c r="CV34" s="104">
        <f>'[1]Univ Comm Fund'!AB34</f>
        <v>600000000</v>
      </c>
      <c r="CW34" s="66">
        <f>'[1]UNIV 2019'!AB40</f>
        <v>562500000</v>
      </c>
      <c r="CX34" s="75">
        <f t="shared" si="25"/>
        <v>37500000</v>
      </c>
      <c r="CY34" s="66"/>
      <c r="CZ34" s="66">
        <f>'[1]Univ Comm Fund'!AC34</f>
        <v>0</v>
      </c>
      <c r="DA34" s="66">
        <f>'[1]UNIV 2019'!AC40</f>
        <v>0</v>
      </c>
      <c r="DB34" s="66">
        <f t="shared" si="26"/>
        <v>0</v>
      </c>
      <c r="DC34" s="66"/>
      <c r="DD34" s="66">
        <f>'[1]Univ Comm Fund'!AD34</f>
        <v>0</v>
      </c>
      <c r="DE34" s="66">
        <f>'[1]UNIV 2019'!AD40</f>
        <v>0</v>
      </c>
      <c r="DF34" s="66">
        <f t="shared" si="27"/>
        <v>0</v>
      </c>
      <c r="DG34" s="66"/>
      <c r="DH34" s="66">
        <f>'[1]Univ Comm Fund'!AE34</f>
        <v>552000000</v>
      </c>
      <c r="DI34" s="66">
        <f>'[1]UNIV 2019'!AE40</f>
        <v>506721000</v>
      </c>
      <c r="DJ34" s="66">
        <f t="shared" si="28"/>
        <v>45279000</v>
      </c>
      <c r="DK34" s="66"/>
      <c r="DL34" s="66">
        <f>'[1]Univ Comm Fund'!AF34</f>
        <v>20000000</v>
      </c>
      <c r="DM34" s="66">
        <f>'[1]UNIV 2019'!AF40</f>
        <v>17000000</v>
      </c>
      <c r="DN34" s="66">
        <f t="shared" si="29"/>
        <v>3000000</v>
      </c>
      <c r="DO34" s="66"/>
      <c r="DP34" s="66">
        <f>'[1]Univ Comm Fund'!AG34</f>
        <v>200000000</v>
      </c>
      <c r="DQ34" s="66">
        <f>'[1]UNIV 2019'!AG40</f>
        <v>200000000</v>
      </c>
      <c r="DR34" s="66">
        <f t="shared" si="30"/>
        <v>0</v>
      </c>
      <c r="DS34" s="66"/>
      <c r="DT34" s="66">
        <f>'[1]Univ Comm Fund'!AH34</f>
        <v>0</v>
      </c>
      <c r="DU34" s="66">
        <f>'[1]UNIV 2019'!AH40</f>
        <v>0</v>
      </c>
      <c r="DV34" s="66">
        <f t="shared" si="31"/>
        <v>0</v>
      </c>
      <c r="DW34" s="66"/>
      <c r="DX34" s="66">
        <f>'[1]Univ Comm Fund'!AI34</f>
        <v>0</v>
      </c>
      <c r="DY34" s="66">
        <f>'[1]UNIV 2019'!AI40</f>
        <v>0</v>
      </c>
      <c r="DZ34" s="66">
        <f t="shared" si="32"/>
        <v>0</v>
      </c>
      <c r="EA34" s="66"/>
      <c r="EB34" s="66">
        <f>'[1]Univ Comm Fund'!AJ34</f>
        <v>0</v>
      </c>
      <c r="EC34" s="66">
        <f>'[1]UNIV 2019'!AJ40</f>
        <v>0</v>
      </c>
      <c r="ED34" s="66">
        <f t="shared" si="33"/>
        <v>0</v>
      </c>
      <c r="EE34" s="66"/>
      <c r="EF34" s="66">
        <f>'[1]Univ Comm Fund'!AK34</f>
        <v>0</v>
      </c>
      <c r="EG34" s="66">
        <f>'[1]UNIV 2019'!AK40</f>
        <v>0</v>
      </c>
      <c r="EH34" s="66">
        <f t="shared" si="34"/>
        <v>0</v>
      </c>
      <c r="EI34" s="66"/>
      <c r="EJ34" s="66">
        <f>'[1]Univ Comm Fund'!AL34</f>
        <v>2500000000</v>
      </c>
      <c r="EK34" s="66">
        <f>'[1]UNIV 2019'!AL40</f>
        <v>2500000000</v>
      </c>
      <c r="EL34" s="66">
        <f t="shared" si="35"/>
        <v>0</v>
      </c>
      <c r="EM34" s="66"/>
      <c r="EN34" s="80">
        <f>'[1]Univ Comm Fund'!AM34</f>
        <v>565410000</v>
      </c>
      <c r="EO34" s="66">
        <f>'[1]UNIV 2019'!AM40</f>
        <v>0</v>
      </c>
      <c r="EP34" s="75">
        <f t="shared" si="36"/>
        <v>565410000</v>
      </c>
      <c r="EQ34" s="66"/>
      <c r="ER34" s="66">
        <f>'[1]Univ Comm Fund'!AN34</f>
        <v>15000000</v>
      </c>
      <c r="ES34" s="66">
        <f>'[1]UNIV 2019'!AN40</f>
        <v>0</v>
      </c>
      <c r="ET34" s="75">
        <f t="shared" si="37"/>
        <v>15000000</v>
      </c>
      <c r="EU34" s="66"/>
      <c r="EV34" s="66">
        <f>'[1]Univ Comm Fund'!AO34</f>
        <v>15000000</v>
      </c>
      <c r="EW34" s="66">
        <f>'[1]UNIV 2019'!AO40</f>
        <v>0</v>
      </c>
      <c r="EX34" s="75">
        <f t="shared" si="38"/>
        <v>15000000</v>
      </c>
      <c r="EY34" s="66"/>
      <c r="EZ34" s="66">
        <f>'[1]Univ Comm Fund'!AP34</f>
        <v>10000000</v>
      </c>
      <c r="FA34" s="66">
        <f>'[1]UNIV 2019'!AP40</f>
        <v>0</v>
      </c>
      <c r="FB34" s="75">
        <f t="shared" si="39"/>
        <v>10000000</v>
      </c>
      <c r="FC34" s="75"/>
      <c r="FD34" s="75">
        <f>'[1]Univ Comm Fund'!AQ34</f>
        <v>0</v>
      </c>
      <c r="FE34" s="75">
        <f>'[1]UNIV 2019'!AQ40</f>
        <v>0</v>
      </c>
      <c r="FF34" s="75">
        <f t="shared" si="40"/>
        <v>0</v>
      </c>
      <c r="FG34" s="75"/>
      <c r="FH34" s="75">
        <f>'[1]Univ Comm Fund'!AR34</f>
        <v>0</v>
      </c>
      <c r="FI34" s="75">
        <f>'[1]UNIV 2019'!AR40</f>
        <v>0</v>
      </c>
      <c r="FJ34" s="75">
        <f t="shared" si="41"/>
        <v>0</v>
      </c>
      <c r="FK34" s="75"/>
      <c r="FL34" s="75">
        <f>'[1]Univ Comm Fund'!AS34</f>
        <v>0</v>
      </c>
      <c r="FM34" s="75">
        <f>'[1]UNIV 2019'!AS40</f>
        <v>0</v>
      </c>
      <c r="FN34" s="75">
        <f t="shared" si="42"/>
        <v>0</v>
      </c>
      <c r="FO34" s="75"/>
      <c r="FP34" s="75">
        <f>'[1]Univ Comm Fund'!AT34</f>
        <v>120000000</v>
      </c>
      <c r="FQ34" s="75">
        <f>'[1]UNIV 2019'!AT40</f>
        <v>80400000</v>
      </c>
      <c r="FR34" s="75">
        <f t="shared" si="43"/>
        <v>39600000</v>
      </c>
      <c r="FS34" s="75"/>
      <c r="FT34" s="75">
        <f>'[1]Univ Comm Fund'!AU34</f>
        <v>0</v>
      </c>
      <c r="FU34" s="75">
        <f>'[1]UNIV 2019'!AU40</f>
        <v>0</v>
      </c>
      <c r="FV34" s="75">
        <f t="shared" si="44"/>
        <v>0</v>
      </c>
      <c r="FW34" s="75"/>
      <c r="FX34" s="75">
        <f>'[1]Univ Comm Fund'!AV34</f>
        <v>0</v>
      </c>
      <c r="FY34" s="75">
        <f>'[1]UNIV 2019'!AV40</f>
        <v>0</v>
      </c>
      <c r="FZ34" s="75">
        <f t="shared" si="45"/>
        <v>0</v>
      </c>
      <c r="GA34" s="75"/>
      <c r="GB34" s="75">
        <f>'[1]Univ Comm Fund'!AW34</f>
        <v>0</v>
      </c>
      <c r="GC34" s="75">
        <f>'[1]UNIV 2019'!AW40</f>
        <v>0</v>
      </c>
      <c r="GD34" s="75">
        <f t="shared" si="46"/>
        <v>0</v>
      </c>
      <c r="GE34" s="75"/>
      <c r="GF34" s="75">
        <f>'[1]Univ Comm Fund'!AX34</f>
        <v>0</v>
      </c>
      <c r="GG34" s="75">
        <f>'[1]UNIV 2019'!AX40</f>
        <v>0</v>
      </c>
      <c r="GH34" s="75">
        <f t="shared" si="47"/>
        <v>0</v>
      </c>
      <c r="GI34" s="75"/>
      <c r="GJ34" s="75">
        <f>'[1]Univ Comm Fund'!AY34</f>
        <v>350000000</v>
      </c>
      <c r="GK34" s="75">
        <f>'[1]UNIV 2019'!AY40</f>
        <v>0</v>
      </c>
      <c r="GL34" s="75">
        <f t="shared" si="48"/>
        <v>350000000</v>
      </c>
      <c r="GM34" s="75"/>
      <c r="GN34" s="75">
        <f>'[1]Univ Comm Fund'!AZ34</f>
        <v>175823700</v>
      </c>
      <c r="GO34" s="75">
        <f>'[1]UNIV 2019'!AZ40</f>
        <v>0</v>
      </c>
      <c r="GP34" s="75">
        <f t="shared" si="49"/>
        <v>175823700</v>
      </c>
      <c r="GQ34" s="75"/>
      <c r="GR34" s="75">
        <f>'[1]Univ Comm Fund'!BA34</f>
        <v>20000000</v>
      </c>
      <c r="GS34" s="75">
        <f>'[1]UNIV 2019'!BA40</f>
        <v>0</v>
      </c>
      <c r="GT34" s="75">
        <f t="shared" si="50"/>
        <v>20000000</v>
      </c>
      <c r="GU34" s="75"/>
      <c r="GV34" s="75">
        <f>'[1]Univ Comm Fund'!BB34</f>
        <v>5000000</v>
      </c>
      <c r="GW34" s="75">
        <f>'[1]UNIV 2019'!BB40</f>
        <v>0</v>
      </c>
      <c r="GX34" s="75">
        <f t="shared" si="51"/>
        <v>5000000</v>
      </c>
      <c r="GY34" s="75"/>
      <c r="GZ34" s="75">
        <f>'[1]Univ Comm Fund'!BC34</f>
        <v>10000000</v>
      </c>
      <c r="HA34" s="75">
        <f>'[1]UNIV 2019'!BD40</f>
        <v>0</v>
      </c>
      <c r="HB34" s="75">
        <f t="shared" si="52"/>
        <v>10000000</v>
      </c>
      <c r="HC34" s="75"/>
      <c r="HD34" s="75">
        <f>'[1]Univ Comm Fund'!BD34</f>
        <v>0</v>
      </c>
      <c r="HE34" s="75">
        <f>'[1]UNIV 2019'!BC40</f>
        <v>0</v>
      </c>
      <c r="HF34" s="75">
        <f t="shared" si="53"/>
        <v>0</v>
      </c>
      <c r="HG34" s="75"/>
      <c r="HH34" s="75">
        <f t="shared" si="54"/>
        <v>6524256476.6700001</v>
      </c>
      <c r="HI34" s="75">
        <f t="shared" si="54"/>
        <v>5232643776.6700001</v>
      </c>
      <c r="HJ34" s="82">
        <f t="shared" si="55"/>
        <v>1291612700</v>
      </c>
      <c r="HL34" s="83">
        <f t="shared" si="56"/>
        <v>2633056776.6700001</v>
      </c>
      <c r="HM34" s="83">
        <f t="shared" si="56"/>
        <v>1672367776.6700001</v>
      </c>
      <c r="HN34" s="84">
        <f t="shared" si="57"/>
        <v>960689000</v>
      </c>
      <c r="HP34" s="83">
        <f t="shared" si="58"/>
        <v>3400000000</v>
      </c>
      <c r="HQ34" s="83">
        <f t="shared" si="58"/>
        <v>3362500000</v>
      </c>
      <c r="HR34" s="84">
        <f t="shared" si="59"/>
        <v>37500000</v>
      </c>
      <c r="HT34" s="83">
        <f t="shared" si="60"/>
        <v>110000000</v>
      </c>
      <c r="HU34" s="83">
        <f t="shared" si="60"/>
        <v>92000000</v>
      </c>
      <c r="HV34" s="84">
        <f t="shared" si="61"/>
        <v>18000000</v>
      </c>
      <c r="HX34" s="83">
        <f t="shared" si="62"/>
        <v>35000000</v>
      </c>
      <c r="HY34" s="83">
        <f t="shared" si="62"/>
        <v>0</v>
      </c>
      <c r="HZ34" s="84">
        <f t="shared" si="63"/>
        <v>35000000</v>
      </c>
      <c r="IB34" s="83">
        <f t="shared" si="64"/>
        <v>25000000</v>
      </c>
      <c r="IC34" s="83">
        <f t="shared" si="64"/>
        <v>0</v>
      </c>
      <c r="ID34" s="84">
        <f t="shared" si="65"/>
        <v>25000000</v>
      </c>
      <c r="IF34" s="83">
        <f t="shared" si="3"/>
        <v>0</v>
      </c>
      <c r="IG34" s="83">
        <f t="shared" si="3"/>
        <v>0</v>
      </c>
      <c r="IH34" s="84">
        <f t="shared" si="66"/>
        <v>0</v>
      </c>
      <c r="IJ34" s="84">
        <f t="shared" si="67"/>
        <v>295823700</v>
      </c>
      <c r="IK34" s="84">
        <f t="shared" si="67"/>
        <v>80400000</v>
      </c>
      <c r="IL34" s="84">
        <f t="shared" si="68"/>
        <v>215423700</v>
      </c>
    </row>
    <row r="35" spans="1:246" x14ac:dyDescent="0.25">
      <c r="A35" s="42">
        <v>30</v>
      </c>
      <c r="B35" s="91" t="s">
        <v>94</v>
      </c>
      <c r="C35" s="42" t="s">
        <v>69</v>
      </c>
      <c r="D35" s="66">
        <f>'[1]Univ Comm Fund'!D35</f>
        <v>59027776.670000002</v>
      </c>
      <c r="E35" s="66">
        <f>'[1]UNIV 2019'!D41</f>
        <v>59027776.670000002</v>
      </c>
      <c r="F35" s="75">
        <f t="shared" si="4"/>
        <v>0</v>
      </c>
      <c r="G35" s="66"/>
      <c r="H35" s="66">
        <f>'[1]Univ Comm Fund'!E35</f>
        <v>20000000</v>
      </c>
      <c r="I35" s="66">
        <f>'[1]UNIV 2019'!E41</f>
        <v>20000000</v>
      </c>
      <c r="J35" s="66">
        <f t="shared" si="5"/>
        <v>0</v>
      </c>
      <c r="K35" s="66"/>
      <c r="L35" s="66">
        <f>'[1]Univ Comm Fund'!F35</f>
        <v>40000000</v>
      </c>
      <c r="M35" s="66">
        <f>'[1]UNIV 2019'!F41</f>
        <v>40000000</v>
      </c>
      <c r="N35" s="66">
        <f t="shared" si="6"/>
        <v>0</v>
      </c>
      <c r="O35" s="66"/>
      <c r="P35" s="66">
        <f>'[1]Univ Comm Fund'!G35</f>
        <v>1463000</v>
      </c>
      <c r="Q35" s="66">
        <f>'[1]UNIV 2019'!G41</f>
        <v>1463000</v>
      </c>
      <c r="R35" s="66">
        <f t="shared" si="7"/>
        <v>0</v>
      </c>
      <c r="S35" s="87"/>
      <c r="T35" s="66">
        <f>'[1]Univ Comm Fund'!H35</f>
        <v>50000000</v>
      </c>
      <c r="U35" s="66">
        <f>'[1]UNIV 2019'!H41</f>
        <v>50000000</v>
      </c>
      <c r="V35" s="66">
        <f t="shared" si="8"/>
        <v>0</v>
      </c>
      <c r="W35" s="66"/>
      <c r="X35" s="66">
        <f>'[1]Univ Comm Fund'!I35</f>
        <v>0</v>
      </c>
      <c r="Y35" s="66">
        <f>'[1]UNIV 2019'!I41</f>
        <v>0</v>
      </c>
      <c r="Z35" s="66">
        <f t="shared" si="9"/>
        <v>0</v>
      </c>
      <c r="AA35" s="66"/>
      <c r="AB35" s="66">
        <f>'[1]Univ Comm Fund'!J35</f>
        <v>25500000</v>
      </c>
      <c r="AC35" s="66">
        <f>'[1]UNIV 2019'!J41</f>
        <v>25500000</v>
      </c>
      <c r="AD35" s="66">
        <f t="shared" si="10"/>
        <v>0</v>
      </c>
      <c r="AE35" s="66"/>
      <c r="AF35" s="88">
        <f>'[1]Univ Comm Fund'!K35</f>
        <v>25500000</v>
      </c>
      <c r="AG35" s="66">
        <f>'[1]UNIV 2019'!K41</f>
        <v>25500000</v>
      </c>
      <c r="AH35" s="66">
        <f t="shared" si="11"/>
        <v>0</v>
      </c>
      <c r="AI35" s="88"/>
      <c r="AJ35" s="66">
        <f>'[1]Univ Comm Fund'!L35</f>
        <v>0</v>
      </c>
      <c r="AK35" s="66">
        <f>'[1]UNIV 2019'!L41</f>
        <v>0</v>
      </c>
      <c r="AL35" s="66">
        <f t="shared" si="12"/>
        <v>0</v>
      </c>
      <c r="AM35" s="66"/>
      <c r="AN35" s="66">
        <f>'[1]Univ Comm Fund'!M35</f>
        <v>34000000</v>
      </c>
      <c r="AO35" s="66">
        <f>'[1]UNIV 2019'!M41</f>
        <v>34000000</v>
      </c>
      <c r="AP35" s="66">
        <f t="shared" si="13"/>
        <v>0</v>
      </c>
      <c r="AQ35" s="66"/>
      <c r="AR35" s="66">
        <f>'[1]Univ Comm Fund'!N35</f>
        <v>0</v>
      </c>
      <c r="AS35" s="66">
        <f>'[1]UNIV 2019'!N41</f>
        <v>0</v>
      </c>
      <c r="AT35" s="66">
        <f t="shared" si="14"/>
        <v>0</v>
      </c>
      <c r="AU35" s="66"/>
      <c r="AV35" s="66">
        <f>'[1]Univ Comm Fund'!O35</f>
        <v>40000000</v>
      </c>
      <c r="AW35" s="66">
        <f>'[1]UNIV 2019'!O41</f>
        <v>40000000</v>
      </c>
      <c r="AX35" s="66">
        <f t="shared" si="15"/>
        <v>0</v>
      </c>
      <c r="AY35" s="66"/>
      <c r="AZ35" s="66">
        <f>'[1]Univ Comm Fund'!P35</f>
        <v>0</v>
      </c>
      <c r="BA35" s="66">
        <f>'[1]UNIV 2019'!P41</f>
        <v>0</v>
      </c>
      <c r="BB35" s="66">
        <f t="shared" si="0"/>
        <v>0</v>
      </c>
      <c r="BC35" s="66"/>
      <c r="BD35" s="66">
        <f>'[1]Univ Comm Fund'!Q35</f>
        <v>52000000</v>
      </c>
      <c r="BE35" s="66">
        <f>'[1]UNIV 2019'!Q41</f>
        <v>52000000</v>
      </c>
      <c r="BF35" s="66">
        <f t="shared" si="1"/>
        <v>0</v>
      </c>
      <c r="BG35" s="66"/>
      <c r="BH35" s="66">
        <f>'[1]Univ Comm Fund'!R35</f>
        <v>46230000</v>
      </c>
      <c r="BI35" s="66">
        <f>'[1]UNIV 2019'!R41</f>
        <v>46230000</v>
      </c>
      <c r="BJ35" s="66">
        <f t="shared" si="16"/>
        <v>0</v>
      </c>
      <c r="BK35" s="66"/>
      <c r="BL35" s="66">
        <f>'[1]Univ Comm Fund'!S35</f>
        <v>39330000</v>
      </c>
      <c r="BM35" s="66">
        <f>'[1]UNIV 2019'!S41</f>
        <v>39330000</v>
      </c>
      <c r="BN35" s="66">
        <f t="shared" si="17"/>
        <v>0</v>
      </c>
      <c r="BO35" s="66"/>
      <c r="BP35" s="66">
        <f>'[1]Univ Comm Fund'!T35</f>
        <v>0</v>
      </c>
      <c r="BQ35" s="66">
        <f>'[1]UNIV 2019'!T41</f>
        <v>0</v>
      </c>
      <c r="BR35" s="66">
        <f t="shared" si="18"/>
        <v>0</v>
      </c>
      <c r="BS35" s="66"/>
      <c r="BT35" s="90">
        <f>'[1]Univ Comm Fund'!U35</f>
        <v>193140000</v>
      </c>
      <c r="BU35" s="90">
        <f>'[1]UNIV 2019'!U41</f>
        <v>193140000</v>
      </c>
      <c r="BV35" s="90">
        <f t="shared" si="2"/>
        <v>0</v>
      </c>
      <c r="BW35" s="66"/>
      <c r="BX35" s="66">
        <f>'[1]Univ Comm Fund'!V35</f>
        <v>250000000</v>
      </c>
      <c r="BY35" s="66">
        <f>'[1]UNIV 2019'!V41</f>
        <v>250000000</v>
      </c>
      <c r="BZ35" s="66">
        <f t="shared" si="19"/>
        <v>0</v>
      </c>
      <c r="CA35" s="66"/>
      <c r="CB35" s="66">
        <f>'[1]Univ Comm Fund'!W35</f>
        <v>175000000</v>
      </c>
      <c r="CC35" s="66">
        <f>'[1]UNIV 2019'!W41</f>
        <v>175000000</v>
      </c>
      <c r="CD35" s="66">
        <f t="shared" si="20"/>
        <v>0</v>
      </c>
      <c r="CE35" s="66"/>
      <c r="CF35" s="66">
        <v>75000000</v>
      </c>
      <c r="CG35" s="66">
        <f>'[1]UNIV 2019'!X41</f>
        <v>75000000</v>
      </c>
      <c r="CH35" s="75">
        <f t="shared" si="21"/>
        <v>0</v>
      </c>
      <c r="CI35" s="66"/>
      <c r="CJ35" s="66">
        <f>'[1]Univ Comm Fund'!Y35</f>
        <v>0</v>
      </c>
      <c r="CK35" s="66">
        <f>'[1]UNIV 2019'!Y41</f>
        <v>0</v>
      </c>
      <c r="CL35" s="66">
        <f t="shared" si="22"/>
        <v>0</v>
      </c>
      <c r="CM35" s="66"/>
      <c r="CN35" s="20">
        <f>'[1]Univ Comm Fund'!Z35</f>
        <v>350000000</v>
      </c>
      <c r="CO35" s="66">
        <f>'[1]UNIV 2019'!Z41</f>
        <v>350000000</v>
      </c>
      <c r="CP35" s="66">
        <f t="shared" si="23"/>
        <v>0</v>
      </c>
      <c r="CQ35" s="20"/>
      <c r="CR35" s="66">
        <f>'[1]Univ Comm Fund'!AA35</f>
        <v>300000000</v>
      </c>
      <c r="CS35" s="66">
        <f>'[1]UNIV 2019'!AA41</f>
        <v>300000000</v>
      </c>
      <c r="CT35" s="75">
        <f t="shared" si="24"/>
        <v>0</v>
      </c>
      <c r="CU35" s="66"/>
      <c r="CV35" s="66">
        <f>'[1]Univ Comm Fund'!AB35</f>
        <v>70000000</v>
      </c>
      <c r="CW35" s="66">
        <f>'[1]UNIV 2019'!AB41</f>
        <v>62500000</v>
      </c>
      <c r="CX35" s="75">
        <f t="shared" si="25"/>
        <v>7500000</v>
      </c>
      <c r="CY35" s="66"/>
      <c r="CZ35" s="66">
        <f>'[1]Univ Comm Fund'!AC35</f>
        <v>356000000</v>
      </c>
      <c r="DA35" s="66">
        <f>'[1]UNIV 2019'!AC41</f>
        <v>302600000</v>
      </c>
      <c r="DB35" s="66">
        <f t="shared" si="26"/>
        <v>53400000</v>
      </c>
      <c r="DC35" s="66"/>
      <c r="DD35" s="66">
        <f>'[1]Univ Comm Fund'!AD35</f>
        <v>20000000</v>
      </c>
      <c r="DE35" s="66">
        <f>'[1]UNIV 2019'!AD41</f>
        <v>20000000</v>
      </c>
      <c r="DF35" s="66">
        <f t="shared" si="27"/>
        <v>0</v>
      </c>
      <c r="DG35" s="66"/>
      <c r="DH35" s="66">
        <f>'[1]Univ Comm Fund'!AE35</f>
        <v>552000000</v>
      </c>
      <c r="DI35" s="66">
        <f>'[1]UNIV 2019'!AE41</f>
        <v>552000000</v>
      </c>
      <c r="DJ35" s="66">
        <f t="shared" si="28"/>
        <v>0</v>
      </c>
      <c r="DK35" s="66"/>
      <c r="DL35" s="66">
        <f>'[1]Univ Comm Fund'!AF35</f>
        <v>20000000</v>
      </c>
      <c r="DM35" s="66">
        <f>'[1]UNIV 2019'!AF41</f>
        <v>0</v>
      </c>
      <c r="DN35" s="66">
        <f t="shared" si="29"/>
        <v>20000000</v>
      </c>
      <c r="DO35" s="66"/>
      <c r="DP35" s="66">
        <f>'[1]Univ Comm Fund'!AG35</f>
        <v>120000000</v>
      </c>
      <c r="DQ35" s="66">
        <f>'[1]UNIV 2019'!AG41</f>
        <v>102000000</v>
      </c>
      <c r="DR35" s="66">
        <f t="shared" si="30"/>
        <v>18000000</v>
      </c>
      <c r="DS35" s="66"/>
      <c r="DT35" s="66">
        <f>'[1]Univ Comm Fund'!AH35</f>
        <v>100000000</v>
      </c>
      <c r="DU35" s="66">
        <f>'[1]UNIV 2019'!AH41</f>
        <v>56000000</v>
      </c>
      <c r="DV35" s="66">
        <f t="shared" si="31"/>
        <v>44000000</v>
      </c>
      <c r="DW35" s="66"/>
      <c r="DX35" s="66">
        <f>'[1]Univ Comm Fund'!AI35</f>
        <v>15000000</v>
      </c>
      <c r="DY35" s="66">
        <f>'[1]UNIV 2019'!AI41</f>
        <v>0</v>
      </c>
      <c r="DZ35" s="66">
        <f t="shared" si="32"/>
        <v>15000000</v>
      </c>
      <c r="EA35" s="66"/>
      <c r="EB35" s="66">
        <f>'[1]Univ Comm Fund'!AJ35</f>
        <v>2000000</v>
      </c>
      <c r="EC35" s="66">
        <f>'[1]UNIV 2019'!AJ41</f>
        <v>0</v>
      </c>
      <c r="ED35" s="66">
        <f t="shared" si="33"/>
        <v>2000000</v>
      </c>
      <c r="EE35" s="66"/>
      <c r="EF35" s="66">
        <f>'[1]Univ Comm Fund'!AK35</f>
        <v>10000000</v>
      </c>
      <c r="EG35" s="66">
        <f>'[1]UNIV 2019'!AK41</f>
        <v>0</v>
      </c>
      <c r="EH35" s="66">
        <f t="shared" si="34"/>
        <v>10000000</v>
      </c>
      <c r="EI35" s="66"/>
      <c r="EJ35" s="66">
        <f>'[1]Univ Comm Fund'!AL35</f>
        <v>0</v>
      </c>
      <c r="EK35" s="66">
        <f>'[1]UNIV 2019'!AL41</f>
        <v>0</v>
      </c>
      <c r="EL35" s="66">
        <f t="shared" si="35"/>
        <v>0</v>
      </c>
      <c r="EM35" s="66"/>
      <c r="EN35" s="80">
        <f>'[1]Univ Comm Fund'!AM35</f>
        <v>565410000</v>
      </c>
      <c r="EO35" s="66">
        <f>'[1]UNIV 2019'!AM41</f>
        <v>316629600</v>
      </c>
      <c r="EP35" s="75">
        <f t="shared" si="36"/>
        <v>248780400</v>
      </c>
      <c r="EQ35" s="66"/>
      <c r="ER35" s="66">
        <f>'[1]Univ Comm Fund'!AN35</f>
        <v>15000000</v>
      </c>
      <c r="ES35" s="66">
        <f>'[1]UNIV 2019'!AN41</f>
        <v>0</v>
      </c>
      <c r="ET35" s="75">
        <f t="shared" si="37"/>
        <v>15000000</v>
      </c>
      <c r="EU35" s="66"/>
      <c r="EV35" s="66">
        <f>'[1]Univ Comm Fund'!AO35</f>
        <v>15000000</v>
      </c>
      <c r="EW35" s="66">
        <f>'[1]UNIV 2019'!AO41</f>
        <v>0</v>
      </c>
      <c r="EX35" s="75">
        <f t="shared" si="38"/>
        <v>15000000</v>
      </c>
      <c r="EY35" s="66"/>
      <c r="EZ35" s="66">
        <f>'[1]Univ Comm Fund'!AP35</f>
        <v>10000000</v>
      </c>
      <c r="FA35" s="66">
        <f>'[1]UNIV 2019'!AP41</f>
        <v>0</v>
      </c>
      <c r="FB35" s="75">
        <f t="shared" si="39"/>
        <v>10000000</v>
      </c>
      <c r="FC35" s="75"/>
      <c r="FD35" s="75">
        <f>'[1]Univ Comm Fund'!AQ35</f>
        <v>0</v>
      </c>
      <c r="FE35" s="75">
        <f>'[1]UNIV 2019'!AQ41</f>
        <v>0</v>
      </c>
      <c r="FF35" s="75">
        <f t="shared" si="40"/>
        <v>0</v>
      </c>
      <c r="FG35" s="75"/>
      <c r="FH35" s="75">
        <f>'[1]Univ Comm Fund'!AR35</f>
        <v>0</v>
      </c>
      <c r="FI35" s="75">
        <f>'[1]UNIV 2019'!AR41</f>
        <v>0</v>
      </c>
      <c r="FJ35" s="75">
        <f t="shared" si="41"/>
        <v>0</v>
      </c>
      <c r="FK35" s="75"/>
      <c r="FL35" s="75">
        <f>'[1]Univ Comm Fund'!AS35</f>
        <v>300000000</v>
      </c>
      <c r="FM35" s="75">
        <f>'[1]UNIV 2019'!AS41</f>
        <v>0</v>
      </c>
      <c r="FN35" s="75">
        <f t="shared" si="42"/>
        <v>300000000</v>
      </c>
      <c r="FO35" s="75"/>
      <c r="FP35" s="75">
        <f>'[1]Univ Comm Fund'!AT35</f>
        <v>120000000</v>
      </c>
      <c r="FQ35" s="75">
        <f>'[1]UNIV 2019'!AT41</f>
        <v>0</v>
      </c>
      <c r="FR35" s="75">
        <f t="shared" si="43"/>
        <v>120000000</v>
      </c>
      <c r="FS35" s="75"/>
      <c r="FT35" s="75">
        <f>'[1]Univ Comm Fund'!AU35</f>
        <v>10000000</v>
      </c>
      <c r="FU35" s="75">
        <f>'[1]UNIV 2019'!AU41</f>
        <v>0</v>
      </c>
      <c r="FV35" s="75">
        <f t="shared" si="44"/>
        <v>10000000</v>
      </c>
      <c r="FW35" s="75"/>
      <c r="FX35" s="75">
        <f>'[1]Univ Comm Fund'!AV35</f>
        <v>5000000</v>
      </c>
      <c r="FY35" s="75">
        <f>'[1]UNIV 2019'!AV41</f>
        <v>0</v>
      </c>
      <c r="FZ35" s="75">
        <f t="shared" si="45"/>
        <v>5000000</v>
      </c>
      <c r="GA35" s="75"/>
      <c r="GB35" s="75">
        <f>'[1]Univ Comm Fund'!AW35</f>
        <v>10000000</v>
      </c>
      <c r="GC35" s="75">
        <f>'[1]UNIV 2019'!AW41</f>
        <v>0</v>
      </c>
      <c r="GD35" s="75">
        <f t="shared" si="46"/>
        <v>10000000</v>
      </c>
      <c r="GE35" s="75"/>
      <c r="GF35" s="75">
        <f>'[1]Univ Comm Fund'!AX35</f>
        <v>0</v>
      </c>
      <c r="GG35" s="75">
        <f>'[1]UNIV 2019'!AX41</f>
        <v>0</v>
      </c>
      <c r="GH35" s="75">
        <f t="shared" si="47"/>
        <v>0</v>
      </c>
      <c r="GI35" s="75"/>
      <c r="GJ35" s="75">
        <f>'[1]Univ Comm Fund'!AY35</f>
        <v>350000000</v>
      </c>
      <c r="GK35" s="75">
        <f>'[1]UNIV 2019'!AY41</f>
        <v>0</v>
      </c>
      <c r="GL35" s="75">
        <f t="shared" si="48"/>
        <v>350000000</v>
      </c>
      <c r="GM35" s="75"/>
      <c r="GN35" s="75">
        <f>'[1]Univ Comm Fund'!AZ35</f>
        <v>175823700</v>
      </c>
      <c r="GO35" s="75">
        <f>'[1]UNIV 2019'!AZ41</f>
        <v>0</v>
      </c>
      <c r="GP35" s="75">
        <f t="shared" si="49"/>
        <v>175823700</v>
      </c>
      <c r="GQ35" s="75"/>
      <c r="GR35" s="75">
        <f>'[1]Univ Comm Fund'!BA35</f>
        <v>20000000</v>
      </c>
      <c r="GS35" s="75">
        <f>'[1]UNIV 2019'!BA41</f>
        <v>0</v>
      </c>
      <c r="GT35" s="75">
        <f t="shared" si="50"/>
        <v>20000000</v>
      </c>
      <c r="GU35" s="75"/>
      <c r="GV35" s="75">
        <f>'[1]Univ Comm Fund'!BB35</f>
        <v>5000000</v>
      </c>
      <c r="GW35" s="75">
        <f>'[1]UNIV 2019'!BB41</f>
        <v>0</v>
      </c>
      <c r="GX35" s="75">
        <f t="shared" si="51"/>
        <v>5000000</v>
      </c>
      <c r="GY35" s="75"/>
      <c r="GZ35" s="75">
        <f>'[1]Univ Comm Fund'!BC35</f>
        <v>10000000</v>
      </c>
      <c r="HA35" s="75">
        <f>'[1]UNIV 2019'!BD41</f>
        <v>0</v>
      </c>
      <c r="HB35" s="75">
        <f t="shared" si="52"/>
        <v>10000000</v>
      </c>
      <c r="HC35" s="75"/>
      <c r="HD35" s="75">
        <f>'[1]Univ Comm Fund'!BD35</f>
        <v>0</v>
      </c>
      <c r="HE35" s="75">
        <f>'[1]UNIV 2019'!BC41</f>
        <v>0</v>
      </c>
      <c r="HF35" s="75">
        <f t="shared" si="53"/>
        <v>0</v>
      </c>
      <c r="HG35" s="75"/>
      <c r="HH35" s="75">
        <f t="shared" si="54"/>
        <v>4652424476.6700001</v>
      </c>
      <c r="HI35" s="75">
        <f t="shared" si="54"/>
        <v>3187920376.6700001</v>
      </c>
      <c r="HJ35" s="82">
        <f t="shared" si="55"/>
        <v>1464504100</v>
      </c>
      <c r="HL35" s="83">
        <f t="shared" si="56"/>
        <v>3373137776.6700001</v>
      </c>
      <c r="HM35" s="83">
        <f t="shared" si="56"/>
        <v>2376957376.6700001</v>
      </c>
      <c r="HN35" s="84">
        <f t="shared" si="57"/>
        <v>996180400</v>
      </c>
      <c r="HP35" s="83">
        <f t="shared" si="58"/>
        <v>740000000</v>
      </c>
      <c r="HQ35" s="83">
        <f t="shared" si="58"/>
        <v>714500000</v>
      </c>
      <c r="HR35" s="84">
        <f t="shared" si="59"/>
        <v>25500000</v>
      </c>
      <c r="HT35" s="83">
        <f t="shared" si="60"/>
        <v>145000000</v>
      </c>
      <c r="HU35" s="83">
        <f t="shared" si="60"/>
        <v>95000000</v>
      </c>
      <c r="HV35" s="84">
        <f t="shared" si="61"/>
        <v>50000000</v>
      </c>
      <c r="HX35" s="83">
        <f t="shared" si="62"/>
        <v>60000000</v>
      </c>
      <c r="HY35" s="83">
        <f t="shared" si="62"/>
        <v>0</v>
      </c>
      <c r="HZ35" s="84">
        <f t="shared" si="63"/>
        <v>60000000</v>
      </c>
      <c r="IB35" s="83">
        <f t="shared" si="64"/>
        <v>35000000</v>
      </c>
      <c r="IC35" s="83">
        <f t="shared" si="64"/>
        <v>0</v>
      </c>
      <c r="ID35" s="84">
        <f t="shared" si="65"/>
        <v>35000000</v>
      </c>
      <c r="IF35" s="83">
        <f t="shared" si="3"/>
        <v>2000000</v>
      </c>
      <c r="IG35" s="83">
        <f t="shared" si="3"/>
        <v>0</v>
      </c>
      <c r="IH35" s="84">
        <f t="shared" si="66"/>
        <v>2000000</v>
      </c>
      <c r="IJ35" s="84">
        <f t="shared" si="67"/>
        <v>295823700</v>
      </c>
      <c r="IK35" s="84">
        <f t="shared" si="67"/>
        <v>0</v>
      </c>
      <c r="IL35" s="84">
        <f t="shared" si="68"/>
        <v>295823700</v>
      </c>
    </row>
    <row r="36" spans="1:246" x14ac:dyDescent="0.25">
      <c r="A36" s="42">
        <v>31</v>
      </c>
      <c r="B36" s="91" t="s">
        <v>95</v>
      </c>
      <c r="C36" s="105" t="s">
        <v>65</v>
      </c>
      <c r="D36" s="13">
        <f>'[1]Univ Comm Fund'!D36</f>
        <v>59027776.670000002</v>
      </c>
      <c r="E36" s="66">
        <f>'[1]UNIV 2019'!D42</f>
        <v>59027776.670000002</v>
      </c>
      <c r="F36" s="75">
        <f t="shared" si="4"/>
        <v>0</v>
      </c>
      <c r="G36" s="13"/>
      <c r="H36" s="13">
        <f>'[1]Univ Comm Fund'!E36</f>
        <v>20000000</v>
      </c>
      <c r="I36" s="66">
        <f>'[1]UNIV 2019'!E42</f>
        <v>20000000</v>
      </c>
      <c r="J36" s="66">
        <f t="shared" si="5"/>
        <v>0</v>
      </c>
      <c r="K36" s="13"/>
      <c r="L36" s="13">
        <f>'[1]Univ Comm Fund'!F36</f>
        <v>40000000</v>
      </c>
      <c r="M36" s="66">
        <f>'[1]UNIV 2019'!F42</f>
        <v>40000000</v>
      </c>
      <c r="N36" s="66">
        <f t="shared" si="6"/>
        <v>0</v>
      </c>
      <c r="O36" s="13"/>
      <c r="P36" s="66">
        <f>'[1]Univ Comm Fund'!G36</f>
        <v>231000</v>
      </c>
      <c r="Q36" s="66">
        <f>'[1]UNIV 2019'!G42</f>
        <v>231000</v>
      </c>
      <c r="R36" s="66">
        <f t="shared" si="7"/>
        <v>0</v>
      </c>
      <c r="S36" s="106"/>
      <c r="T36" s="89">
        <f>'[1]Univ Comm Fund'!H36</f>
        <v>50000000</v>
      </c>
      <c r="U36" s="66">
        <f>'[1]UNIV 2019'!H42</f>
        <v>50000000</v>
      </c>
      <c r="V36" s="66">
        <f t="shared" si="8"/>
        <v>0</v>
      </c>
      <c r="W36" s="89"/>
      <c r="X36" s="66">
        <f>'[1]Univ Comm Fund'!I36</f>
        <v>0</v>
      </c>
      <c r="Y36" s="66">
        <f>'[1]UNIV 2019'!I42</f>
        <v>0</v>
      </c>
      <c r="Z36" s="66">
        <f t="shared" si="9"/>
        <v>0</v>
      </c>
      <c r="AA36" s="66"/>
      <c r="AB36" s="89">
        <f>'[1]Univ Comm Fund'!J36</f>
        <v>30000000</v>
      </c>
      <c r="AC36" s="66">
        <f>'[1]UNIV 2019'!J42</f>
        <v>30000000</v>
      </c>
      <c r="AD36" s="66">
        <f t="shared" si="10"/>
        <v>0</v>
      </c>
      <c r="AE36" s="89"/>
      <c r="AF36" s="89">
        <f>'[1]Univ Comm Fund'!K36</f>
        <v>30000000</v>
      </c>
      <c r="AG36" s="66">
        <f>'[1]UNIV 2019'!K42</f>
        <v>30000000</v>
      </c>
      <c r="AH36" s="66">
        <f t="shared" si="11"/>
        <v>0</v>
      </c>
      <c r="AI36" s="89"/>
      <c r="AJ36" s="66">
        <f>'[1]Univ Comm Fund'!L36</f>
        <v>0</v>
      </c>
      <c r="AK36" s="66">
        <f>'[1]UNIV 2019'!L42</f>
        <v>0</v>
      </c>
      <c r="AL36" s="66">
        <f t="shared" si="12"/>
        <v>0</v>
      </c>
      <c r="AM36" s="66"/>
      <c r="AN36" s="89">
        <f>'[1]Univ Comm Fund'!M36</f>
        <v>40000000</v>
      </c>
      <c r="AO36" s="66">
        <f>'[1]UNIV 2019'!M42</f>
        <v>40000000</v>
      </c>
      <c r="AP36" s="66">
        <f t="shared" si="13"/>
        <v>0</v>
      </c>
      <c r="AQ36" s="89"/>
      <c r="AR36" s="66">
        <f>'[1]Univ Comm Fund'!N36</f>
        <v>0</v>
      </c>
      <c r="AS36" s="66">
        <f>'[1]UNIV 2019'!N42</f>
        <v>0</v>
      </c>
      <c r="AT36" s="66">
        <f t="shared" si="14"/>
        <v>0</v>
      </c>
      <c r="AU36" s="66"/>
      <c r="AV36" s="89">
        <f>'[1]Univ Comm Fund'!O36</f>
        <v>40000000</v>
      </c>
      <c r="AW36" s="66">
        <f>'[1]UNIV 2019'!O42</f>
        <v>40000000</v>
      </c>
      <c r="AX36" s="66">
        <f t="shared" si="15"/>
        <v>0</v>
      </c>
      <c r="AY36" s="89"/>
      <c r="AZ36" s="66">
        <f>'[1]Univ Comm Fund'!P36</f>
        <v>0</v>
      </c>
      <c r="BA36" s="66">
        <f>'[1]UNIV 2019'!P42</f>
        <v>0</v>
      </c>
      <c r="BB36" s="66">
        <f t="shared" si="0"/>
        <v>0</v>
      </c>
      <c r="BC36" s="66"/>
      <c r="BD36" s="66">
        <f>'[1]Univ Comm Fund'!Q36</f>
        <v>52000000</v>
      </c>
      <c r="BE36" s="66">
        <f>'[1]UNIV 2019'!Q42</f>
        <v>52000000</v>
      </c>
      <c r="BF36" s="66">
        <f t="shared" si="1"/>
        <v>0</v>
      </c>
      <c r="BG36" s="66"/>
      <c r="BH36" s="66">
        <f>'[1]Univ Comm Fund'!R36</f>
        <v>67000000</v>
      </c>
      <c r="BI36" s="66">
        <f>'[1]UNIV 2019'!R42</f>
        <v>67000000</v>
      </c>
      <c r="BJ36" s="66">
        <f t="shared" si="16"/>
        <v>0</v>
      </c>
      <c r="BK36" s="66"/>
      <c r="BL36" s="66">
        <f>'[1]Univ Comm Fund'!S36</f>
        <v>57000000</v>
      </c>
      <c r="BM36" s="66">
        <f>'[1]UNIV 2019'!S42</f>
        <v>57000000</v>
      </c>
      <c r="BN36" s="66">
        <f t="shared" si="17"/>
        <v>0</v>
      </c>
      <c r="BO36" s="66"/>
      <c r="BP36" s="66">
        <f>'[1]Univ Comm Fund'!T36</f>
        <v>0</v>
      </c>
      <c r="BQ36" s="66">
        <f>'[1]UNIV 2019'!T42</f>
        <v>0</v>
      </c>
      <c r="BR36" s="66">
        <f t="shared" si="18"/>
        <v>0</v>
      </c>
      <c r="BS36" s="66"/>
      <c r="BT36" s="66">
        <f>'[1]Univ Comm Fund'!U36</f>
        <v>193140000</v>
      </c>
      <c r="BU36" s="66">
        <f>'[1]UNIV 2019'!U42</f>
        <v>193140000</v>
      </c>
      <c r="BV36" s="66">
        <f t="shared" si="2"/>
        <v>0</v>
      </c>
      <c r="BW36" s="66"/>
      <c r="BX36" s="66">
        <f>'[1]Univ Comm Fund'!V36</f>
        <v>0</v>
      </c>
      <c r="BY36" s="66">
        <f>'[1]UNIV 2019'!V42</f>
        <v>0</v>
      </c>
      <c r="BZ36" s="66">
        <f t="shared" si="19"/>
        <v>0</v>
      </c>
      <c r="CA36" s="66"/>
      <c r="CB36" s="66">
        <f>'[1]Univ Comm Fund'!W36</f>
        <v>175000000</v>
      </c>
      <c r="CC36" s="66">
        <f>'[1]UNIV 2019'!W42</f>
        <v>175000000</v>
      </c>
      <c r="CD36" s="66">
        <f t="shared" si="20"/>
        <v>0</v>
      </c>
      <c r="CE36" s="66"/>
      <c r="CF36" s="66">
        <v>75000000</v>
      </c>
      <c r="CG36" s="66">
        <f>'[1]UNIV 2019'!X42</f>
        <v>63750000</v>
      </c>
      <c r="CH36" s="75">
        <f t="shared" si="21"/>
        <v>11250000</v>
      </c>
      <c r="CI36" s="66"/>
      <c r="CJ36" s="66">
        <f>'[1]Univ Comm Fund'!Y36</f>
        <v>0</v>
      </c>
      <c r="CK36" s="66">
        <f>'[1]UNIV 2019'!Y42</f>
        <v>0</v>
      </c>
      <c r="CL36" s="66">
        <f t="shared" si="22"/>
        <v>0</v>
      </c>
      <c r="CM36" s="66"/>
      <c r="CN36" s="20">
        <f>'[1]Univ Comm Fund'!Z36</f>
        <v>350000000</v>
      </c>
      <c r="CO36" s="66">
        <f>'[1]UNIV 2019'!Z42</f>
        <v>350000000</v>
      </c>
      <c r="CP36" s="66">
        <f t="shared" si="23"/>
        <v>0</v>
      </c>
      <c r="CQ36" s="20"/>
      <c r="CR36" s="66">
        <f>'[1]Univ Comm Fund'!AA36</f>
        <v>0</v>
      </c>
      <c r="CS36" s="66">
        <f>'[1]UNIV 2019'!AA42</f>
        <v>0</v>
      </c>
      <c r="CT36" s="75">
        <f t="shared" si="24"/>
        <v>0</v>
      </c>
      <c r="CU36" s="66"/>
      <c r="CV36" s="66">
        <f>'[1]Univ Comm Fund'!AB36</f>
        <v>0</v>
      </c>
      <c r="CW36" s="66">
        <f>'[1]UNIV 2019'!AB42</f>
        <v>0</v>
      </c>
      <c r="CX36" s="75">
        <f t="shared" si="25"/>
        <v>0</v>
      </c>
      <c r="CY36" s="66"/>
      <c r="CZ36" s="66">
        <f>'[1]Univ Comm Fund'!AC36</f>
        <v>0</v>
      </c>
      <c r="DA36" s="66">
        <f>'[1]UNIV 2019'!AC42</f>
        <v>0</v>
      </c>
      <c r="DB36" s="66">
        <f t="shared" si="26"/>
        <v>0</v>
      </c>
      <c r="DC36" s="66"/>
      <c r="DD36" s="66">
        <f>'[1]Univ Comm Fund'!AD36</f>
        <v>0</v>
      </c>
      <c r="DE36" s="66">
        <f>'[1]UNIV 2019'!AD42</f>
        <v>0</v>
      </c>
      <c r="DF36" s="66">
        <f t="shared" si="27"/>
        <v>0</v>
      </c>
      <c r="DG36" s="66"/>
      <c r="DH36" s="66">
        <f>'[1]Univ Comm Fund'!AE36</f>
        <v>552000000</v>
      </c>
      <c r="DI36" s="66">
        <f>'[1]UNIV 2019'!AE42</f>
        <v>325680000</v>
      </c>
      <c r="DJ36" s="66">
        <f t="shared" si="28"/>
        <v>226320000</v>
      </c>
      <c r="DK36" s="66"/>
      <c r="DL36" s="66">
        <f>'[1]Univ Comm Fund'!AF36</f>
        <v>20000000</v>
      </c>
      <c r="DM36" s="66">
        <f>'[1]UNIV 2019'!AF42</f>
        <v>17000000</v>
      </c>
      <c r="DN36" s="66">
        <f t="shared" si="29"/>
        <v>3000000</v>
      </c>
      <c r="DO36" s="66"/>
      <c r="DP36" s="66">
        <f>'[1]Univ Comm Fund'!AG36</f>
        <v>0</v>
      </c>
      <c r="DQ36" s="66">
        <f>'[1]UNIV 2019'!AG42</f>
        <v>0</v>
      </c>
      <c r="DR36" s="66">
        <f t="shared" si="30"/>
        <v>0</v>
      </c>
      <c r="DS36" s="66"/>
      <c r="DT36" s="66">
        <f>'[1]Univ Comm Fund'!AH36</f>
        <v>0</v>
      </c>
      <c r="DU36" s="66">
        <f>'[1]UNIV 2019'!AH42</f>
        <v>0</v>
      </c>
      <c r="DV36" s="66">
        <f t="shared" si="31"/>
        <v>0</v>
      </c>
      <c r="DW36" s="66"/>
      <c r="DX36" s="66">
        <f>'[1]Univ Comm Fund'!AI36</f>
        <v>0</v>
      </c>
      <c r="DY36" s="66">
        <f>'[1]UNIV 2019'!AI42</f>
        <v>0</v>
      </c>
      <c r="DZ36" s="66">
        <f t="shared" si="32"/>
        <v>0</v>
      </c>
      <c r="EA36" s="66"/>
      <c r="EB36" s="66">
        <f>'[1]Univ Comm Fund'!AJ36</f>
        <v>0</v>
      </c>
      <c r="EC36" s="66">
        <f>'[1]UNIV 2019'!AJ42</f>
        <v>0</v>
      </c>
      <c r="ED36" s="66">
        <f t="shared" si="33"/>
        <v>0</v>
      </c>
      <c r="EE36" s="66"/>
      <c r="EF36" s="66">
        <f>'[1]Univ Comm Fund'!AK36</f>
        <v>0</v>
      </c>
      <c r="EG36" s="66">
        <f>'[1]UNIV 2019'!AK42</f>
        <v>0</v>
      </c>
      <c r="EH36" s="66">
        <f t="shared" si="34"/>
        <v>0</v>
      </c>
      <c r="EI36" s="66"/>
      <c r="EJ36" s="66">
        <f>'[1]Univ Comm Fund'!AL36</f>
        <v>0</v>
      </c>
      <c r="EK36" s="66">
        <f>'[1]UNIV 2019'!AL42</f>
        <v>0</v>
      </c>
      <c r="EL36" s="66">
        <f t="shared" si="35"/>
        <v>0</v>
      </c>
      <c r="EM36" s="66"/>
      <c r="EN36" s="80">
        <f>'[1]Univ Comm Fund'!AM36</f>
        <v>565410000</v>
      </c>
      <c r="EO36" s="66">
        <f>'[1]UNIV 2019'!AM42</f>
        <v>333591900</v>
      </c>
      <c r="EP36" s="75">
        <f t="shared" si="36"/>
        <v>231818100</v>
      </c>
      <c r="EQ36" s="66"/>
      <c r="ER36" s="66">
        <f>'[1]Univ Comm Fund'!AN36</f>
        <v>15000000</v>
      </c>
      <c r="ES36" s="66">
        <f>'[1]UNIV 2019'!AN42</f>
        <v>0</v>
      </c>
      <c r="ET36" s="75">
        <f t="shared" si="37"/>
        <v>15000000</v>
      </c>
      <c r="EU36" s="66"/>
      <c r="EV36" s="66">
        <f>'[1]Univ Comm Fund'!AO36</f>
        <v>15000000</v>
      </c>
      <c r="EW36" s="66">
        <f>'[1]UNIV 2019'!AO42</f>
        <v>0</v>
      </c>
      <c r="EX36" s="75">
        <f t="shared" si="38"/>
        <v>15000000</v>
      </c>
      <c r="EY36" s="66"/>
      <c r="EZ36" s="66">
        <f>'[1]Univ Comm Fund'!AP36</f>
        <v>10000000</v>
      </c>
      <c r="FA36" s="66">
        <f>'[1]UNIV 2019'!AP42</f>
        <v>0</v>
      </c>
      <c r="FB36" s="75">
        <f t="shared" si="39"/>
        <v>10000000</v>
      </c>
      <c r="FC36" s="75"/>
      <c r="FD36" s="75">
        <f>'[1]Univ Comm Fund'!AQ36</f>
        <v>0</v>
      </c>
      <c r="FE36" s="75">
        <f>'[1]UNIV 2019'!AQ42</f>
        <v>0</v>
      </c>
      <c r="FF36" s="75">
        <f t="shared" si="40"/>
        <v>0</v>
      </c>
      <c r="FG36" s="75"/>
      <c r="FH36" s="75">
        <f>'[1]Univ Comm Fund'!AR36</f>
        <v>0</v>
      </c>
      <c r="FI36" s="75">
        <f>'[1]UNIV 2019'!AR42</f>
        <v>0</v>
      </c>
      <c r="FJ36" s="75">
        <f t="shared" si="41"/>
        <v>0</v>
      </c>
      <c r="FK36" s="75"/>
      <c r="FL36" s="75">
        <f>'[1]Univ Comm Fund'!AS36</f>
        <v>0</v>
      </c>
      <c r="FM36" s="75">
        <f>'[1]UNIV 2019'!AS42</f>
        <v>0</v>
      </c>
      <c r="FN36" s="75">
        <f t="shared" si="42"/>
        <v>0</v>
      </c>
      <c r="FO36" s="75"/>
      <c r="FP36" s="75">
        <f>'[1]Univ Comm Fund'!AT36</f>
        <v>120000000</v>
      </c>
      <c r="FQ36" s="75">
        <f>'[1]UNIV 2019'!AT42</f>
        <v>102000000</v>
      </c>
      <c r="FR36" s="75">
        <f t="shared" si="43"/>
        <v>18000000</v>
      </c>
      <c r="FS36" s="75"/>
      <c r="FT36" s="75">
        <f>'[1]Univ Comm Fund'!AU36</f>
        <v>0</v>
      </c>
      <c r="FU36" s="75">
        <f>'[1]UNIV 2019'!AU42</f>
        <v>0</v>
      </c>
      <c r="FV36" s="75">
        <f t="shared" si="44"/>
        <v>0</v>
      </c>
      <c r="FW36" s="75"/>
      <c r="FX36" s="75">
        <f>'[1]Univ Comm Fund'!AV36</f>
        <v>0</v>
      </c>
      <c r="FY36" s="75">
        <f>'[1]UNIV 2019'!AV42</f>
        <v>0</v>
      </c>
      <c r="FZ36" s="75">
        <f t="shared" si="45"/>
        <v>0</v>
      </c>
      <c r="GA36" s="75"/>
      <c r="GB36" s="75">
        <f>'[1]Univ Comm Fund'!AW36</f>
        <v>0</v>
      </c>
      <c r="GC36" s="75">
        <f>'[1]UNIV 2019'!AW42</f>
        <v>0</v>
      </c>
      <c r="GD36" s="75">
        <f t="shared" si="46"/>
        <v>0</v>
      </c>
      <c r="GE36" s="75"/>
      <c r="GF36" s="75">
        <f>'[1]Univ Comm Fund'!AX36</f>
        <v>0</v>
      </c>
      <c r="GG36" s="75">
        <f>'[1]UNIV 2019'!AX42</f>
        <v>0</v>
      </c>
      <c r="GH36" s="75">
        <f t="shared" si="47"/>
        <v>0</v>
      </c>
      <c r="GI36" s="75"/>
      <c r="GJ36" s="75">
        <f>'[1]Univ Comm Fund'!AY36</f>
        <v>350000000</v>
      </c>
      <c r="GK36" s="75">
        <f>'[1]UNIV 2019'!AY42</f>
        <v>0</v>
      </c>
      <c r="GL36" s="75">
        <f t="shared" si="48"/>
        <v>350000000</v>
      </c>
      <c r="GM36" s="75"/>
      <c r="GN36" s="75">
        <f>'[1]Univ Comm Fund'!AZ36</f>
        <v>175823700</v>
      </c>
      <c r="GO36" s="75">
        <f>'[1]UNIV 2019'!AZ42</f>
        <v>0</v>
      </c>
      <c r="GP36" s="75">
        <f t="shared" si="49"/>
        <v>175823700</v>
      </c>
      <c r="GQ36" s="75"/>
      <c r="GR36" s="75">
        <f>'[1]Univ Comm Fund'!BA36</f>
        <v>20000000</v>
      </c>
      <c r="GS36" s="75">
        <f>'[1]UNIV 2019'!BA42</f>
        <v>0</v>
      </c>
      <c r="GT36" s="75">
        <f t="shared" si="50"/>
        <v>20000000</v>
      </c>
      <c r="GU36" s="75"/>
      <c r="GV36" s="75">
        <f>'[1]Univ Comm Fund'!BB36</f>
        <v>5000000</v>
      </c>
      <c r="GW36" s="75">
        <f>'[1]UNIV 2019'!BB42</f>
        <v>0</v>
      </c>
      <c r="GX36" s="75">
        <f t="shared" si="51"/>
        <v>5000000</v>
      </c>
      <c r="GY36" s="75"/>
      <c r="GZ36" s="75">
        <f>'[1]Univ Comm Fund'!BC36</f>
        <v>10000000</v>
      </c>
      <c r="HA36" s="75">
        <f>'[1]UNIV 2019'!BD42</f>
        <v>0</v>
      </c>
      <c r="HB36" s="75">
        <f t="shared" si="52"/>
        <v>10000000</v>
      </c>
      <c r="HC36" s="75"/>
      <c r="HD36" s="75">
        <f>'[1]Univ Comm Fund'!BD36</f>
        <v>0</v>
      </c>
      <c r="HE36" s="75">
        <f>'[1]UNIV 2019'!BC42</f>
        <v>0</v>
      </c>
      <c r="HF36" s="75">
        <f t="shared" si="53"/>
        <v>0</v>
      </c>
      <c r="HG36" s="75"/>
      <c r="HH36" s="75">
        <f t="shared" si="54"/>
        <v>3136632476.6700001</v>
      </c>
      <c r="HI36" s="75">
        <f t="shared" si="54"/>
        <v>2045420676.6700001</v>
      </c>
      <c r="HJ36" s="82">
        <f t="shared" si="55"/>
        <v>1091211800</v>
      </c>
      <c r="HL36" s="83">
        <f t="shared" si="56"/>
        <v>2670577776.6700001</v>
      </c>
      <c r="HM36" s="83">
        <f t="shared" si="56"/>
        <v>1862439676.6700001</v>
      </c>
      <c r="HN36" s="84">
        <f t="shared" si="57"/>
        <v>808138100</v>
      </c>
      <c r="HP36" s="83">
        <f t="shared" si="58"/>
        <v>0</v>
      </c>
      <c r="HQ36" s="83">
        <f t="shared" si="58"/>
        <v>0</v>
      </c>
      <c r="HR36" s="84">
        <f t="shared" si="59"/>
        <v>0</v>
      </c>
      <c r="HT36" s="83">
        <f t="shared" si="60"/>
        <v>110000000</v>
      </c>
      <c r="HU36" s="83">
        <f t="shared" si="60"/>
        <v>80750000</v>
      </c>
      <c r="HV36" s="84">
        <f t="shared" si="61"/>
        <v>29250000</v>
      </c>
      <c r="HX36" s="83">
        <f t="shared" si="62"/>
        <v>35000000</v>
      </c>
      <c r="HY36" s="83">
        <f t="shared" si="62"/>
        <v>0</v>
      </c>
      <c r="HZ36" s="84">
        <f t="shared" si="63"/>
        <v>35000000</v>
      </c>
      <c r="IB36" s="83">
        <f t="shared" si="64"/>
        <v>25000000</v>
      </c>
      <c r="IC36" s="83">
        <f t="shared" si="64"/>
        <v>0</v>
      </c>
      <c r="ID36" s="84">
        <f t="shared" si="65"/>
        <v>25000000</v>
      </c>
      <c r="IF36" s="83">
        <f t="shared" si="3"/>
        <v>0</v>
      </c>
      <c r="IG36" s="83">
        <f t="shared" si="3"/>
        <v>0</v>
      </c>
      <c r="IH36" s="84">
        <f t="shared" si="66"/>
        <v>0</v>
      </c>
      <c r="IJ36" s="84">
        <f t="shared" si="67"/>
        <v>295823700</v>
      </c>
      <c r="IK36" s="84">
        <f t="shared" si="67"/>
        <v>102000000</v>
      </c>
      <c r="IL36" s="84">
        <f t="shared" si="68"/>
        <v>193823700</v>
      </c>
    </row>
    <row r="37" spans="1:246" x14ac:dyDescent="0.25">
      <c r="A37" s="42">
        <v>32</v>
      </c>
      <c r="B37" s="91" t="s">
        <v>96</v>
      </c>
      <c r="C37" s="42" t="s">
        <v>65</v>
      </c>
      <c r="D37" s="66">
        <f>'[1]Univ Comm Fund'!D37</f>
        <v>59027776.670000002</v>
      </c>
      <c r="E37" s="66">
        <f>'[1]UNIV 2019'!D43</f>
        <v>59027777.140000001</v>
      </c>
      <c r="F37" s="75">
        <f t="shared" si="4"/>
        <v>-0.4699999988079071</v>
      </c>
      <c r="G37" s="66"/>
      <c r="H37" s="66">
        <f>'[1]Univ Comm Fund'!E37</f>
        <v>20000000</v>
      </c>
      <c r="I37" s="66">
        <f>'[1]UNIV 2019'!E43</f>
        <v>20000000</v>
      </c>
      <c r="J37" s="66">
        <f t="shared" si="5"/>
        <v>0</v>
      </c>
      <c r="K37" s="66"/>
      <c r="L37" s="66">
        <f>'[1]Univ Comm Fund'!F37</f>
        <v>40000000</v>
      </c>
      <c r="M37" s="66">
        <f>'[1]UNIV 2019'!F43</f>
        <v>40000000</v>
      </c>
      <c r="N37" s="66">
        <f t="shared" si="6"/>
        <v>0</v>
      </c>
      <c r="O37" s="66"/>
      <c r="P37" s="66">
        <f>'[1]Univ Comm Fund'!G37</f>
        <v>592000</v>
      </c>
      <c r="Q37" s="66">
        <f>'[1]UNIV 2019'!G43</f>
        <v>592000</v>
      </c>
      <c r="R37" s="66">
        <f t="shared" si="7"/>
        <v>0</v>
      </c>
      <c r="S37" s="87"/>
      <c r="T37" s="66">
        <f>'[1]Univ Comm Fund'!H37</f>
        <v>50000000</v>
      </c>
      <c r="U37" s="66">
        <f>'[1]UNIV 2019'!H43</f>
        <v>50000000</v>
      </c>
      <c r="V37" s="66">
        <f t="shared" si="8"/>
        <v>0</v>
      </c>
      <c r="W37" s="66"/>
      <c r="X37" s="66">
        <f>'[1]Univ Comm Fund'!I37</f>
        <v>24988950</v>
      </c>
      <c r="Y37" s="66">
        <f>'[1]UNIV 2019'!I43</f>
        <v>24988950</v>
      </c>
      <c r="Z37" s="66">
        <f t="shared" si="9"/>
        <v>0</v>
      </c>
      <c r="AA37" s="66"/>
      <c r="AB37" s="66">
        <f>'[1]Univ Comm Fund'!J37</f>
        <v>30000000</v>
      </c>
      <c r="AC37" s="66">
        <f>'[1]UNIV 2019'!J43</f>
        <v>30000000</v>
      </c>
      <c r="AD37" s="66">
        <f t="shared" si="10"/>
        <v>0</v>
      </c>
      <c r="AE37" s="66"/>
      <c r="AF37" s="88">
        <f>'[1]Univ Comm Fund'!K37</f>
        <v>30000000</v>
      </c>
      <c r="AG37" s="66">
        <f>'[1]UNIV 2019'!K43</f>
        <v>30000000</v>
      </c>
      <c r="AH37" s="66">
        <f t="shared" si="11"/>
        <v>0</v>
      </c>
      <c r="AI37" s="88"/>
      <c r="AJ37" s="66">
        <f>'[1]Univ Comm Fund'!L37</f>
        <v>0</v>
      </c>
      <c r="AK37" s="66">
        <f>'[1]UNIV 2019'!L43</f>
        <v>0</v>
      </c>
      <c r="AL37" s="66">
        <f t="shared" si="12"/>
        <v>0</v>
      </c>
      <c r="AM37" s="66"/>
      <c r="AN37" s="66">
        <f>'[1]Univ Comm Fund'!M37</f>
        <v>40000000</v>
      </c>
      <c r="AO37" s="66">
        <f>'[1]UNIV 2019'!M43</f>
        <v>40000000</v>
      </c>
      <c r="AP37" s="66">
        <f t="shared" si="13"/>
        <v>0</v>
      </c>
      <c r="AQ37" s="66"/>
      <c r="AR37" s="66">
        <f>'[1]Univ Comm Fund'!N37</f>
        <v>0</v>
      </c>
      <c r="AS37" s="66">
        <f>'[1]UNIV 2019'!N43</f>
        <v>0</v>
      </c>
      <c r="AT37" s="66">
        <f t="shared" si="14"/>
        <v>0</v>
      </c>
      <c r="AU37" s="66"/>
      <c r="AV37" s="66">
        <f>'[1]Univ Comm Fund'!O37</f>
        <v>40000000</v>
      </c>
      <c r="AW37" s="66">
        <f>'[1]UNIV 2019'!O43</f>
        <v>40000000</v>
      </c>
      <c r="AX37" s="66">
        <f t="shared" si="15"/>
        <v>0</v>
      </c>
      <c r="AY37" s="66"/>
      <c r="AZ37" s="66">
        <f>'[1]Univ Comm Fund'!P37</f>
        <v>0</v>
      </c>
      <c r="BA37" s="66">
        <f>'[1]UNIV 2019'!P43</f>
        <v>0</v>
      </c>
      <c r="BB37" s="66">
        <f t="shared" si="0"/>
        <v>0</v>
      </c>
      <c r="BC37" s="66"/>
      <c r="BD37" s="66">
        <f>'[1]Univ Comm Fund'!Q37</f>
        <v>52000000</v>
      </c>
      <c r="BE37" s="66">
        <f>'[1]UNIV 2019'!Q43</f>
        <v>52000000</v>
      </c>
      <c r="BF37" s="66">
        <f t="shared" si="1"/>
        <v>0</v>
      </c>
      <c r="BG37" s="66"/>
      <c r="BH37" s="66">
        <f>'[1]Univ Comm Fund'!R37</f>
        <v>67000000</v>
      </c>
      <c r="BI37" s="66">
        <f>'[1]UNIV 2019'!R43</f>
        <v>67000000</v>
      </c>
      <c r="BJ37" s="66">
        <f t="shared" si="16"/>
        <v>0</v>
      </c>
      <c r="BK37" s="66"/>
      <c r="BL37" s="66">
        <f>'[1]Univ Comm Fund'!S37</f>
        <v>30210000</v>
      </c>
      <c r="BM37" s="66">
        <f>'[1]UNIV 2019'!S43</f>
        <v>30210000</v>
      </c>
      <c r="BN37" s="66">
        <f t="shared" si="17"/>
        <v>0</v>
      </c>
      <c r="BO37" s="66"/>
      <c r="BP37" s="66">
        <f>'[1]Univ Comm Fund'!T37</f>
        <v>0</v>
      </c>
      <c r="BQ37" s="66">
        <f>'[1]UNIV 2019'!T43</f>
        <v>0</v>
      </c>
      <c r="BR37" s="66">
        <f t="shared" si="18"/>
        <v>0</v>
      </c>
      <c r="BS37" s="66"/>
      <c r="BT37" s="66">
        <f>'[1]Univ Comm Fund'!U37</f>
        <v>102364200</v>
      </c>
      <c r="BU37" s="66">
        <f>'[1]UNIV 2019'!U43</f>
        <v>102364200</v>
      </c>
      <c r="BV37" s="66">
        <f t="shared" si="2"/>
        <v>0</v>
      </c>
      <c r="BW37" s="66"/>
      <c r="BX37" s="66">
        <f>'[1]Univ Comm Fund'!V37</f>
        <v>0</v>
      </c>
      <c r="BY37" s="66">
        <f>'[1]UNIV 2019'!V43</f>
        <v>0</v>
      </c>
      <c r="BZ37" s="66">
        <f t="shared" si="19"/>
        <v>0</v>
      </c>
      <c r="CA37" s="66"/>
      <c r="CB37" s="66">
        <f>'[1]Univ Comm Fund'!W37</f>
        <v>175000000</v>
      </c>
      <c r="CC37" s="66">
        <f>'[1]UNIV 2019'!W43</f>
        <v>148750000</v>
      </c>
      <c r="CD37" s="66">
        <f t="shared" si="20"/>
        <v>26250000</v>
      </c>
      <c r="CE37" s="66"/>
      <c r="CF37" s="66">
        <v>75000000</v>
      </c>
      <c r="CG37" s="66">
        <f>'[1]UNIV 2019'!X43</f>
        <v>63750000</v>
      </c>
      <c r="CH37" s="75">
        <f t="shared" si="21"/>
        <v>11250000</v>
      </c>
      <c r="CI37" s="66"/>
      <c r="CJ37" s="66">
        <f>'[1]Univ Comm Fund'!Y37</f>
        <v>0</v>
      </c>
      <c r="CK37" s="66">
        <f>'[1]UNIV 2019'!Y43</f>
        <v>0</v>
      </c>
      <c r="CL37" s="66">
        <f t="shared" si="22"/>
        <v>0</v>
      </c>
      <c r="CM37" s="66"/>
      <c r="CN37" s="20">
        <f>'[1]Univ Comm Fund'!Z37</f>
        <v>350000000</v>
      </c>
      <c r="CO37" s="66">
        <f>'[1]UNIV 2019'!Z43</f>
        <v>297500000</v>
      </c>
      <c r="CP37" s="66">
        <f t="shared" si="23"/>
        <v>52500000</v>
      </c>
      <c r="CQ37" s="20"/>
      <c r="CR37" s="66">
        <f>'[1]Univ Comm Fund'!AA37</f>
        <v>0</v>
      </c>
      <c r="CS37" s="66">
        <f>'[1]UNIV 2019'!AA43</f>
        <v>0</v>
      </c>
      <c r="CT37" s="75">
        <f t="shared" si="24"/>
        <v>0</v>
      </c>
      <c r="CU37" s="66"/>
      <c r="CV37" s="66">
        <f>'[1]Univ Comm Fund'!AB37</f>
        <v>200000000</v>
      </c>
      <c r="CW37" s="66">
        <f>'[1]UNIV 2019'!AB43</f>
        <v>200000000</v>
      </c>
      <c r="CX37" s="75">
        <f t="shared" si="25"/>
        <v>0</v>
      </c>
      <c r="CY37" s="66"/>
      <c r="CZ37" s="66">
        <f>'[1]Univ Comm Fund'!AC37</f>
        <v>356000000</v>
      </c>
      <c r="DA37" s="66">
        <f>'[1]UNIV 2019'!AC43</f>
        <v>0</v>
      </c>
      <c r="DB37" s="66">
        <f t="shared" si="26"/>
        <v>356000000</v>
      </c>
      <c r="DC37" s="66"/>
      <c r="DD37" s="66">
        <f>'[1]Univ Comm Fund'!AD37</f>
        <v>20000000</v>
      </c>
      <c r="DE37" s="66">
        <f>'[1]UNIV 2019'!AD43</f>
        <v>0</v>
      </c>
      <c r="DF37" s="66">
        <f t="shared" si="27"/>
        <v>20000000</v>
      </c>
      <c r="DG37" s="66"/>
      <c r="DH37" s="66">
        <f>'[1]Univ Comm Fund'!AE37</f>
        <v>552000000</v>
      </c>
      <c r="DI37" s="66">
        <f>'[1]UNIV 2019'!AE43</f>
        <v>0</v>
      </c>
      <c r="DJ37" s="66">
        <f t="shared" si="28"/>
        <v>552000000</v>
      </c>
      <c r="DK37" s="66"/>
      <c r="DL37" s="66">
        <f>'[1]Univ Comm Fund'!AF37</f>
        <v>20000000</v>
      </c>
      <c r="DM37" s="66">
        <f>'[1]UNIV 2019'!AF43</f>
        <v>0</v>
      </c>
      <c r="DN37" s="66">
        <f t="shared" si="29"/>
        <v>20000000</v>
      </c>
      <c r="DO37" s="66"/>
      <c r="DP37" s="66">
        <f>'[1]Univ Comm Fund'!AG37</f>
        <v>0</v>
      </c>
      <c r="DQ37" s="66">
        <f>'[1]UNIV 2019'!AG43</f>
        <v>0</v>
      </c>
      <c r="DR37" s="66">
        <f t="shared" si="30"/>
        <v>0</v>
      </c>
      <c r="DS37" s="66"/>
      <c r="DT37" s="66">
        <f>'[1]Univ Comm Fund'!AH37</f>
        <v>100000000</v>
      </c>
      <c r="DU37" s="66">
        <f>'[1]UNIV 2019'!AH43</f>
        <v>0</v>
      </c>
      <c r="DV37" s="66">
        <f t="shared" si="31"/>
        <v>100000000</v>
      </c>
      <c r="DW37" s="66"/>
      <c r="DX37" s="66">
        <f>'[1]Univ Comm Fund'!AI37</f>
        <v>15000000</v>
      </c>
      <c r="DY37" s="66">
        <f>'[1]UNIV 2019'!AI43</f>
        <v>0</v>
      </c>
      <c r="DZ37" s="66">
        <f t="shared" si="32"/>
        <v>15000000</v>
      </c>
      <c r="EA37" s="66"/>
      <c r="EB37" s="66">
        <f>'[1]Univ Comm Fund'!AJ37</f>
        <v>2000000</v>
      </c>
      <c r="EC37" s="66">
        <f>'[1]UNIV 2019'!AJ43</f>
        <v>0</v>
      </c>
      <c r="ED37" s="66">
        <f t="shared" si="33"/>
        <v>2000000</v>
      </c>
      <c r="EE37" s="66"/>
      <c r="EF37" s="66">
        <f>'[1]Univ Comm Fund'!AK37</f>
        <v>10000000</v>
      </c>
      <c r="EG37" s="66">
        <f>'[1]UNIV 2019'!AK43</f>
        <v>0</v>
      </c>
      <c r="EH37" s="66">
        <f t="shared" si="34"/>
        <v>10000000</v>
      </c>
      <c r="EI37" s="66"/>
      <c r="EJ37" s="66">
        <f>'[1]Univ Comm Fund'!AL37</f>
        <v>1000000000</v>
      </c>
      <c r="EK37" s="66">
        <f>'[1]UNIV 2019'!AL43</f>
        <v>1000000000</v>
      </c>
      <c r="EL37" s="66">
        <f t="shared" si="35"/>
        <v>0</v>
      </c>
      <c r="EM37" s="66"/>
      <c r="EN37" s="80">
        <f>'[1]Univ Comm Fund'!AM37</f>
        <v>565410000</v>
      </c>
      <c r="EO37" s="66">
        <f>'[1]UNIV 2019'!AM43</f>
        <v>0</v>
      </c>
      <c r="EP37" s="75">
        <f t="shared" si="36"/>
        <v>565410000</v>
      </c>
      <c r="EQ37" s="66"/>
      <c r="ER37" s="66">
        <f>'[1]Univ Comm Fund'!AN37</f>
        <v>15000000</v>
      </c>
      <c r="ES37" s="66">
        <f>'[1]UNIV 2019'!AN43</f>
        <v>0</v>
      </c>
      <c r="ET37" s="75">
        <f t="shared" si="37"/>
        <v>15000000</v>
      </c>
      <c r="EU37" s="66"/>
      <c r="EV37" s="66">
        <f>'[1]Univ Comm Fund'!AO37</f>
        <v>15000000</v>
      </c>
      <c r="EW37" s="66">
        <f>'[1]UNIV 2019'!AO43</f>
        <v>0</v>
      </c>
      <c r="EX37" s="75">
        <f t="shared" si="38"/>
        <v>15000000</v>
      </c>
      <c r="EY37" s="66"/>
      <c r="EZ37" s="66">
        <f>'[1]Univ Comm Fund'!AP37</f>
        <v>10000000</v>
      </c>
      <c r="FA37" s="66">
        <f>'[1]UNIV 2019'!AP43</f>
        <v>0</v>
      </c>
      <c r="FB37" s="75">
        <f t="shared" si="39"/>
        <v>10000000</v>
      </c>
      <c r="FC37" s="75"/>
      <c r="FD37" s="75">
        <f>'[1]Univ Comm Fund'!AQ37</f>
        <v>0</v>
      </c>
      <c r="FE37" s="75">
        <f>'[1]UNIV 2019'!AQ43</f>
        <v>0</v>
      </c>
      <c r="FF37" s="75">
        <f t="shared" si="40"/>
        <v>0</v>
      </c>
      <c r="FG37" s="75"/>
      <c r="FH37" s="81">
        <f>'[1]Univ Comm Fund'!AR37</f>
        <v>200000000</v>
      </c>
      <c r="FI37" s="75">
        <f>'[1]UNIV 2019'!AR43</f>
        <v>0</v>
      </c>
      <c r="FJ37" s="75">
        <f t="shared" si="41"/>
        <v>200000000</v>
      </c>
      <c r="FK37" s="75"/>
      <c r="FL37" s="75">
        <f>'[1]Univ Comm Fund'!AS37</f>
        <v>300000000</v>
      </c>
      <c r="FM37" s="75">
        <f>'[1]UNIV 2019'!AS43</f>
        <v>0</v>
      </c>
      <c r="FN37" s="75">
        <f t="shared" si="42"/>
        <v>300000000</v>
      </c>
      <c r="FO37" s="75"/>
      <c r="FP37" s="75">
        <f>'[1]Univ Comm Fund'!AT37</f>
        <v>120000000</v>
      </c>
      <c r="FQ37" s="75">
        <f>'[1]UNIV 2019'!AT43</f>
        <v>0</v>
      </c>
      <c r="FR37" s="75">
        <f t="shared" si="43"/>
        <v>120000000</v>
      </c>
      <c r="FS37" s="75"/>
      <c r="FT37" s="75">
        <f>'[1]Univ Comm Fund'!AU37</f>
        <v>10000000</v>
      </c>
      <c r="FU37" s="75">
        <f>'[1]UNIV 2019'!AU43</f>
        <v>0</v>
      </c>
      <c r="FV37" s="75">
        <f t="shared" si="44"/>
        <v>10000000</v>
      </c>
      <c r="FW37" s="75"/>
      <c r="FX37" s="75">
        <f>'[1]Univ Comm Fund'!AV37</f>
        <v>5000000</v>
      </c>
      <c r="FY37" s="75">
        <f>'[1]UNIV 2019'!AV43</f>
        <v>0</v>
      </c>
      <c r="FZ37" s="75">
        <f t="shared" si="45"/>
        <v>5000000</v>
      </c>
      <c r="GA37" s="75"/>
      <c r="GB37" s="75">
        <f>'[1]Univ Comm Fund'!AW37</f>
        <v>10000000</v>
      </c>
      <c r="GC37" s="75">
        <f>'[1]UNIV 2019'!AW43</f>
        <v>0</v>
      </c>
      <c r="GD37" s="75">
        <f t="shared" si="46"/>
        <v>10000000</v>
      </c>
      <c r="GE37" s="75"/>
      <c r="GF37" s="75">
        <f>'[1]Univ Comm Fund'!AX37</f>
        <v>0</v>
      </c>
      <c r="GG37" s="75">
        <f>'[1]UNIV 2019'!AX43</f>
        <v>0</v>
      </c>
      <c r="GH37" s="75">
        <f t="shared" si="47"/>
        <v>0</v>
      </c>
      <c r="GI37" s="75"/>
      <c r="GJ37" s="75">
        <f>'[1]Univ Comm Fund'!AY37</f>
        <v>350000000</v>
      </c>
      <c r="GK37" s="75">
        <f>'[1]UNIV 2019'!AY43</f>
        <v>0</v>
      </c>
      <c r="GL37" s="75">
        <f t="shared" si="48"/>
        <v>350000000</v>
      </c>
      <c r="GM37" s="75"/>
      <c r="GN37" s="75">
        <f>'[1]Univ Comm Fund'!AZ37</f>
        <v>175823700</v>
      </c>
      <c r="GO37" s="75">
        <f>'[1]UNIV 2019'!AZ43</f>
        <v>0</v>
      </c>
      <c r="GP37" s="75">
        <f t="shared" si="49"/>
        <v>175823700</v>
      </c>
      <c r="GQ37" s="75"/>
      <c r="GR37" s="75">
        <f>'[1]Univ Comm Fund'!BA37</f>
        <v>20000000</v>
      </c>
      <c r="GS37" s="75">
        <f>'[1]UNIV 2019'!BA43</f>
        <v>0</v>
      </c>
      <c r="GT37" s="75">
        <f t="shared" si="50"/>
        <v>20000000</v>
      </c>
      <c r="GU37" s="75"/>
      <c r="GV37" s="75">
        <f>'[1]Univ Comm Fund'!BB37</f>
        <v>5000000</v>
      </c>
      <c r="GW37" s="75">
        <f>'[1]UNIV 2019'!BB43</f>
        <v>0</v>
      </c>
      <c r="GX37" s="75">
        <f t="shared" si="51"/>
        <v>5000000</v>
      </c>
      <c r="GY37" s="75"/>
      <c r="GZ37" s="75">
        <f>'[1]Univ Comm Fund'!BC37</f>
        <v>10000000</v>
      </c>
      <c r="HA37" s="75">
        <f>'[1]UNIV 2019'!BD43</f>
        <v>0</v>
      </c>
      <c r="HB37" s="75">
        <f t="shared" si="52"/>
        <v>10000000</v>
      </c>
      <c r="HC37" s="75"/>
      <c r="HD37" s="75">
        <f>'[1]Univ Comm Fund'!BD37</f>
        <v>0</v>
      </c>
      <c r="HE37" s="75">
        <f>'[1]UNIV 2019'!BC43</f>
        <v>0</v>
      </c>
      <c r="HF37" s="75">
        <f t="shared" si="53"/>
        <v>0</v>
      </c>
      <c r="HG37" s="75"/>
      <c r="HH37" s="75">
        <f t="shared" si="54"/>
        <v>5272416626.6700001</v>
      </c>
      <c r="HI37" s="75">
        <f t="shared" si="54"/>
        <v>2296182927.1399999</v>
      </c>
      <c r="HJ37" s="82">
        <f t="shared" si="55"/>
        <v>2976233699.5300002</v>
      </c>
      <c r="HL37" s="83">
        <f t="shared" si="56"/>
        <v>3309011976.6700001</v>
      </c>
      <c r="HM37" s="83">
        <f t="shared" si="56"/>
        <v>1006851977.14</v>
      </c>
      <c r="HN37" s="84">
        <f t="shared" si="57"/>
        <v>2302159999.5300002</v>
      </c>
      <c r="HP37" s="83">
        <f t="shared" si="58"/>
        <v>1200000000</v>
      </c>
      <c r="HQ37" s="83">
        <f t="shared" si="58"/>
        <v>1200000000</v>
      </c>
      <c r="HR37" s="84">
        <f t="shared" si="59"/>
        <v>0</v>
      </c>
      <c r="HT37" s="83">
        <f t="shared" si="60"/>
        <v>145000000</v>
      </c>
      <c r="HU37" s="83">
        <f t="shared" si="60"/>
        <v>63750000</v>
      </c>
      <c r="HV37" s="84">
        <f t="shared" si="61"/>
        <v>81250000</v>
      </c>
      <c r="HX37" s="83">
        <f t="shared" si="62"/>
        <v>60000000</v>
      </c>
      <c r="HY37" s="83">
        <f t="shared" si="62"/>
        <v>0</v>
      </c>
      <c r="HZ37" s="84">
        <f t="shared" si="63"/>
        <v>60000000</v>
      </c>
      <c r="IB37" s="83">
        <f t="shared" si="64"/>
        <v>35000000</v>
      </c>
      <c r="IC37" s="83">
        <f t="shared" si="64"/>
        <v>0</v>
      </c>
      <c r="ID37" s="84">
        <f t="shared" si="65"/>
        <v>35000000</v>
      </c>
      <c r="IF37" s="83">
        <f t="shared" si="3"/>
        <v>2000000</v>
      </c>
      <c r="IG37" s="83">
        <f t="shared" si="3"/>
        <v>0</v>
      </c>
      <c r="IH37" s="84">
        <f t="shared" si="66"/>
        <v>2000000</v>
      </c>
      <c r="IJ37" s="84">
        <f t="shared" si="67"/>
        <v>495823700</v>
      </c>
      <c r="IK37" s="84">
        <f t="shared" si="67"/>
        <v>0</v>
      </c>
      <c r="IL37" s="84">
        <f t="shared" si="68"/>
        <v>495823700</v>
      </c>
    </row>
    <row r="38" spans="1:246" x14ac:dyDescent="0.25">
      <c r="A38" s="42">
        <v>33</v>
      </c>
      <c r="B38" s="91" t="s">
        <v>97</v>
      </c>
      <c r="C38" s="42" t="s">
        <v>65</v>
      </c>
      <c r="D38" s="66">
        <f>'[1]Univ Comm Fund'!D38</f>
        <v>0</v>
      </c>
      <c r="E38" s="66">
        <f>'[1]UNIV 2019'!D44</f>
        <v>0</v>
      </c>
      <c r="F38" s="75">
        <f t="shared" si="4"/>
        <v>0</v>
      </c>
      <c r="G38" s="66"/>
      <c r="H38" s="66">
        <f>'[1]Univ Comm Fund'!E38</f>
        <v>250000000</v>
      </c>
      <c r="I38" s="66">
        <f>'[1]UNIV 2019'!E44</f>
        <v>250000000</v>
      </c>
      <c r="J38" s="66">
        <f t="shared" si="5"/>
        <v>0</v>
      </c>
      <c r="K38" s="66"/>
      <c r="L38" s="66">
        <f>'[1]Univ Comm Fund'!F38</f>
        <v>40000000</v>
      </c>
      <c r="M38" s="66">
        <f>'[1]UNIV 2019'!F44</f>
        <v>40000000</v>
      </c>
      <c r="N38" s="66">
        <f t="shared" si="6"/>
        <v>0</v>
      </c>
      <c r="O38" s="66"/>
      <c r="P38" s="66">
        <f>'[1]Univ Comm Fund'!G38</f>
        <v>0</v>
      </c>
      <c r="Q38" s="66">
        <f>'[1]UNIV 2019'!G44</f>
        <v>0</v>
      </c>
      <c r="R38" s="66">
        <f t="shared" si="7"/>
        <v>0</v>
      </c>
      <c r="S38" s="87"/>
      <c r="T38" s="66">
        <f>'[1]Univ Comm Fund'!H38</f>
        <v>50000000</v>
      </c>
      <c r="U38" s="66">
        <f>'[1]UNIV 2019'!H44</f>
        <v>50000000</v>
      </c>
      <c r="V38" s="66">
        <f t="shared" si="8"/>
        <v>0</v>
      </c>
      <c r="W38" s="66"/>
      <c r="X38" s="66">
        <f>'[1]Univ Comm Fund'!I38</f>
        <v>0</v>
      </c>
      <c r="Y38" s="66">
        <f>'[1]UNIV 2019'!I44</f>
        <v>0</v>
      </c>
      <c r="Z38" s="66">
        <f t="shared" si="9"/>
        <v>0</v>
      </c>
      <c r="AA38" s="66"/>
      <c r="AB38" s="66">
        <f>'[1]Univ Comm Fund'!J38</f>
        <v>30000000</v>
      </c>
      <c r="AC38" s="66">
        <f>'[1]UNIV 2019'!J44</f>
        <v>30000000</v>
      </c>
      <c r="AD38" s="66">
        <f t="shared" si="10"/>
        <v>0</v>
      </c>
      <c r="AE38" s="66"/>
      <c r="AF38" s="88">
        <f>'[1]Univ Comm Fund'!K38</f>
        <v>30000000</v>
      </c>
      <c r="AG38" s="66">
        <f>'[1]UNIV 2019'!K44</f>
        <v>30000000</v>
      </c>
      <c r="AH38" s="66">
        <f t="shared" si="11"/>
        <v>0</v>
      </c>
      <c r="AI38" s="88"/>
      <c r="AJ38" s="66">
        <f>'[1]Univ Comm Fund'!L38</f>
        <v>0</v>
      </c>
      <c r="AK38" s="66">
        <f>'[1]UNIV 2019'!L44</f>
        <v>0</v>
      </c>
      <c r="AL38" s="66">
        <f t="shared" si="12"/>
        <v>0</v>
      </c>
      <c r="AM38" s="66"/>
      <c r="AN38" s="66">
        <f>'[1]Univ Comm Fund'!M38</f>
        <v>40000000</v>
      </c>
      <c r="AO38" s="66">
        <f>'[1]UNIV 2019'!M44</f>
        <v>40000000</v>
      </c>
      <c r="AP38" s="66">
        <f t="shared" si="13"/>
        <v>0</v>
      </c>
      <c r="AQ38" s="66"/>
      <c r="AR38" s="66">
        <f>'[1]Univ Comm Fund'!N38</f>
        <v>0</v>
      </c>
      <c r="AS38" s="66">
        <f>'[1]UNIV 2019'!N44</f>
        <v>0</v>
      </c>
      <c r="AT38" s="66">
        <f t="shared" si="14"/>
        <v>0</v>
      </c>
      <c r="AU38" s="66"/>
      <c r="AV38" s="66">
        <f>'[1]Univ Comm Fund'!O38</f>
        <v>40000000</v>
      </c>
      <c r="AW38" s="66">
        <f>'[1]UNIV 2019'!O44</f>
        <v>40000000</v>
      </c>
      <c r="AX38" s="66">
        <f t="shared" si="15"/>
        <v>0</v>
      </c>
      <c r="AY38" s="66"/>
      <c r="AZ38" s="66">
        <f>'[1]Univ Comm Fund'!P38</f>
        <v>0</v>
      </c>
      <c r="BA38" s="66">
        <f>'[1]UNIV 2019'!P44</f>
        <v>0</v>
      </c>
      <c r="BB38" s="66">
        <f t="shared" si="0"/>
        <v>0</v>
      </c>
      <c r="BC38" s="66"/>
      <c r="BD38" s="66">
        <f>'[1]Univ Comm Fund'!Q38</f>
        <v>27560000</v>
      </c>
      <c r="BE38" s="66">
        <f>'[1]UNIV 2019'!Q44</f>
        <v>27560000</v>
      </c>
      <c r="BF38" s="66">
        <f t="shared" si="1"/>
        <v>0</v>
      </c>
      <c r="BG38" s="66"/>
      <c r="BH38" s="66">
        <f>'[1]Univ Comm Fund'!R38</f>
        <v>35510000</v>
      </c>
      <c r="BI38" s="66">
        <f>'[1]UNIV 2019'!R44</f>
        <v>35510000</v>
      </c>
      <c r="BJ38" s="66">
        <f t="shared" si="16"/>
        <v>0</v>
      </c>
      <c r="BK38" s="66"/>
      <c r="BL38" s="66">
        <f>'[1]Univ Comm Fund'!S38</f>
        <v>30210000</v>
      </c>
      <c r="BM38" s="66">
        <f>'[1]UNIV 2019'!S44</f>
        <v>30210000</v>
      </c>
      <c r="BN38" s="66">
        <f t="shared" si="17"/>
        <v>0</v>
      </c>
      <c r="BO38" s="66"/>
      <c r="BP38" s="66">
        <f>'[1]Univ Comm Fund'!T38</f>
        <v>1955771279.4000001</v>
      </c>
      <c r="BQ38" s="66">
        <f>'[1]UNIV 2019'!T44</f>
        <v>1955771279.4000001</v>
      </c>
      <c r="BR38" s="66">
        <f t="shared" si="18"/>
        <v>0</v>
      </c>
      <c r="BS38" s="66"/>
      <c r="BT38" s="66">
        <f>'[1]Univ Comm Fund'!U38</f>
        <v>172364200</v>
      </c>
      <c r="BU38" s="66">
        <f>'[1]UNIV 2019'!U44</f>
        <v>172364200</v>
      </c>
      <c r="BV38" s="66">
        <f t="shared" si="2"/>
        <v>0</v>
      </c>
      <c r="BW38" s="66"/>
      <c r="BX38" s="66">
        <f>'[1]Univ Comm Fund'!V38</f>
        <v>855000000</v>
      </c>
      <c r="BY38" s="66">
        <f>'[1]UNIV 2019'!V44</f>
        <v>855000000</v>
      </c>
      <c r="BZ38" s="66">
        <f t="shared" si="19"/>
        <v>0</v>
      </c>
      <c r="CA38" s="66"/>
      <c r="CB38" s="66">
        <f>'[1]Univ Comm Fund'!W38</f>
        <v>175000000</v>
      </c>
      <c r="CC38" s="66">
        <f>'[1]UNIV 2019'!W44</f>
        <v>175000000</v>
      </c>
      <c r="CD38" s="66">
        <f t="shared" si="20"/>
        <v>0</v>
      </c>
      <c r="CE38" s="66"/>
      <c r="CF38" s="66">
        <v>75000000</v>
      </c>
      <c r="CG38" s="66">
        <f>'[1]UNIV 2019'!X44</f>
        <v>0</v>
      </c>
      <c r="CH38" s="75">
        <f t="shared" si="21"/>
        <v>75000000</v>
      </c>
      <c r="CI38" s="66"/>
      <c r="CJ38" s="66">
        <f>'[1]Univ Comm Fund'!Y38</f>
        <v>0</v>
      </c>
      <c r="CK38" s="66">
        <f>'[1]UNIV 2019'!Y44</f>
        <v>0</v>
      </c>
      <c r="CL38" s="66">
        <f t="shared" si="22"/>
        <v>0</v>
      </c>
      <c r="CM38" s="66"/>
      <c r="CN38" s="20">
        <f>'[1]Univ Comm Fund'!Z38</f>
        <v>350000000</v>
      </c>
      <c r="CO38" s="66">
        <f>'[1]UNIV 2019'!Z44</f>
        <v>350000000</v>
      </c>
      <c r="CP38" s="66">
        <f t="shared" si="23"/>
        <v>0</v>
      </c>
      <c r="CQ38" s="20"/>
      <c r="CR38" s="66">
        <f>'[1]Univ Comm Fund'!AA38</f>
        <v>0</v>
      </c>
      <c r="CS38" s="66">
        <f>'[1]UNIV 2019'!AA44</f>
        <v>0</v>
      </c>
      <c r="CT38" s="75">
        <f t="shared" si="24"/>
        <v>0</v>
      </c>
      <c r="CU38" s="66"/>
      <c r="CV38" s="66">
        <f>'[1]Univ Comm Fund'!AB38</f>
        <v>0</v>
      </c>
      <c r="CW38" s="66">
        <f>'[1]UNIV 2019'!AB44</f>
        <v>0</v>
      </c>
      <c r="CX38" s="75">
        <f t="shared" si="25"/>
        <v>0</v>
      </c>
      <c r="CY38" s="66"/>
      <c r="CZ38" s="66">
        <f>'[1]Univ Comm Fund'!AC38</f>
        <v>356000000</v>
      </c>
      <c r="DA38" s="66">
        <f>'[1]UNIV 2019'!AC44</f>
        <v>356000000</v>
      </c>
      <c r="DB38" s="66">
        <f t="shared" si="26"/>
        <v>0</v>
      </c>
      <c r="DC38" s="66"/>
      <c r="DD38" s="66">
        <f>'[1]Univ Comm Fund'!AD38</f>
        <v>20000000</v>
      </c>
      <c r="DE38" s="66">
        <f>'[1]UNIV 2019'!AD44</f>
        <v>20000000</v>
      </c>
      <c r="DF38" s="66">
        <f t="shared" si="27"/>
        <v>0</v>
      </c>
      <c r="DG38" s="66"/>
      <c r="DH38" s="66">
        <f>'[1]Univ Comm Fund'!AE38</f>
        <v>552000000</v>
      </c>
      <c r="DI38" s="66">
        <f>'[1]UNIV 2019'!AE44</f>
        <v>0</v>
      </c>
      <c r="DJ38" s="66">
        <f t="shared" si="28"/>
        <v>552000000</v>
      </c>
      <c r="DK38" s="66"/>
      <c r="DL38" s="66">
        <f>'[1]Univ Comm Fund'!AF38</f>
        <v>20000000</v>
      </c>
      <c r="DM38" s="66">
        <f>'[1]UNIV 2019'!AF44</f>
        <v>20000000</v>
      </c>
      <c r="DN38" s="66">
        <f t="shared" si="29"/>
        <v>0</v>
      </c>
      <c r="DO38" s="66"/>
      <c r="DP38" s="66">
        <f>'[1]Univ Comm Fund'!AG38</f>
        <v>0</v>
      </c>
      <c r="DQ38" s="66">
        <f>'[1]UNIV 2019'!AG44</f>
        <v>0</v>
      </c>
      <c r="DR38" s="66">
        <f t="shared" si="30"/>
        <v>0</v>
      </c>
      <c r="DS38" s="66"/>
      <c r="DT38" s="66">
        <f>'[1]Univ Comm Fund'!AH38</f>
        <v>100000000</v>
      </c>
      <c r="DU38" s="66">
        <f>'[1]UNIV 2019'!AH44</f>
        <v>0</v>
      </c>
      <c r="DV38" s="66">
        <f t="shared" si="31"/>
        <v>100000000</v>
      </c>
      <c r="DW38" s="66"/>
      <c r="DX38" s="66">
        <f>'[1]Univ Comm Fund'!AI38</f>
        <v>15000000</v>
      </c>
      <c r="DY38" s="66">
        <f>'[1]UNIV 2019'!AI44</f>
        <v>0</v>
      </c>
      <c r="DZ38" s="66">
        <f t="shared" si="32"/>
        <v>15000000</v>
      </c>
      <c r="EA38" s="66"/>
      <c r="EB38" s="66">
        <f>'[1]Univ Comm Fund'!AJ38</f>
        <v>2000000</v>
      </c>
      <c r="EC38" s="66">
        <f>'[1]UNIV 2019'!AJ44</f>
        <v>0</v>
      </c>
      <c r="ED38" s="66">
        <f t="shared" si="33"/>
        <v>2000000</v>
      </c>
      <c r="EE38" s="66"/>
      <c r="EF38" s="66">
        <f>'[1]Univ Comm Fund'!AK38</f>
        <v>10000000</v>
      </c>
      <c r="EG38" s="66">
        <f>'[1]UNIV 2019'!AK44</f>
        <v>0</v>
      </c>
      <c r="EH38" s="66">
        <f t="shared" si="34"/>
        <v>10000000</v>
      </c>
      <c r="EI38" s="66"/>
      <c r="EJ38" s="66">
        <f>'[1]Univ Comm Fund'!AL38</f>
        <v>500000000</v>
      </c>
      <c r="EK38" s="66">
        <f>'[1]UNIV 2019'!AL44</f>
        <v>500000000</v>
      </c>
      <c r="EL38" s="66">
        <f t="shared" si="35"/>
        <v>0</v>
      </c>
      <c r="EM38" s="66"/>
      <c r="EN38" s="80">
        <f>'[1]Univ Comm Fund'!AM38</f>
        <v>565410000</v>
      </c>
      <c r="EO38" s="66">
        <f>'[1]UNIV 2019'!AM44</f>
        <v>0</v>
      </c>
      <c r="EP38" s="75">
        <f t="shared" si="36"/>
        <v>565410000</v>
      </c>
      <c r="EQ38" s="66"/>
      <c r="ER38" s="66">
        <f>'[1]Univ Comm Fund'!AN38</f>
        <v>15000000</v>
      </c>
      <c r="ES38" s="66">
        <f>'[1]UNIV 2019'!AN44</f>
        <v>0</v>
      </c>
      <c r="ET38" s="75">
        <f t="shared" si="37"/>
        <v>15000000</v>
      </c>
      <c r="EU38" s="66"/>
      <c r="EV38" s="66">
        <f>'[1]Univ Comm Fund'!AO38</f>
        <v>15000000</v>
      </c>
      <c r="EW38" s="66">
        <f>'[1]UNIV 2019'!AO44</f>
        <v>0</v>
      </c>
      <c r="EX38" s="75">
        <f t="shared" si="38"/>
        <v>15000000</v>
      </c>
      <c r="EY38" s="66"/>
      <c r="EZ38" s="66">
        <f>'[1]Univ Comm Fund'!AP38</f>
        <v>10000000</v>
      </c>
      <c r="FA38" s="66">
        <f>'[1]UNIV 2019'!AP44</f>
        <v>0</v>
      </c>
      <c r="FB38" s="75">
        <f t="shared" si="39"/>
        <v>10000000</v>
      </c>
      <c r="FC38" s="75"/>
      <c r="FD38" s="75">
        <f>'[1]Univ Comm Fund'!AQ38</f>
        <v>0</v>
      </c>
      <c r="FE38" s="75">
        <f>'[1]UNIV 2019'!AQ44</f>
        <v>0</v>
      </c>
      <c r="FF38" s="75">
        <f t="shared" si="40"/>
        <v>0</v>
      </c>
      <c r="FG38" s="75"/>
      <c r="FH38" s="75">
        <f>'[1]Univ Comm Fund'!AR38</f>
        <v>0</v>
      </c>
      <c r="FI38" s="75">
        <f>'[1]UNIV 2019'!AR44</f>
        <v>0</v>
      </c>
      <c r="FJ38" s="75">
        <f t="shared" si="41"/>
        <v>0</v>
      </c>
      <c r="FK38" s="75"/>
      <c r="FL38" s="75">
        <f>'[1]Univ Comm Fund'!AS38</f>
        <v>300000000</v>
      </c>
      <c r="FM38" s="75">
        <f>'[1]UNIV 2019'!AS44</f>
        <v>0</v>
      </c>
      <c r="FN38" s="75">
        <f t="shared" si="42"/>
        <v>300000000</v>
      </c>
      <c r="FO38" s="75"/>
      <c r="FP38" s="75">
        <f>'[1]Univ Comm Fund'!AT38</f>
        <v>120000000</v>
      </c>
      <c r="FQ38" s="75">
        <f>'[1]UNIV 2019'!AT44</f>
        <v>102000000</v>
      </c>
      <c r="FR38" s="75">
        <f t="shared" si="43"/>
        <v>18000000</v>
      </c>
      <c r="FS38" s="75"/>
      <c r="FT38" s="75">
        <f>'[1]Univ Comm Fund'!AU38</f>
        <v>10000000</v>
      </c>
      <c r="FU38" s="75">
        <f>'[1]UNIV 2019'!AU44</f>
        <v>0</v>
      </c>
      <c r="FV38" s="75">
        <f t="shared" si="44"/>
        <v>10000000</v>
      </c>
      <c r="FW38" s="75"/>
      <c r="FX38" s="75">
        <f>'[1]Univ Comm Fund'!AV38</f>
        <v>5000000</v>
      </c>
      <c r="FY38" s="75">
        <f>'[1]UNIV 2019'!AV44</f>
        <v>0</v>
      </c>
      <c r="FZ38" s="75">
        <f t="shared" si="45"/>
        <v>5000000</v>
      </c>
      <c r="GA38" s="75"/>
      <c r="GB38" s="75">
        <f>'[1]Univ Comm Fund'!AW38</f>
        <v>10000000</v>
      </c>
      <c r="GC38" s="75">
        <f>'[1]UNIV 2019'!AW44</f>
        <v>0</v>
      </c>
      <c r="GD38" s="75">
        <f t="shared" si="46"/>
        <v>10000000</v>
      </c>
      <c r="GE38" s="75"/>
      <c r="GF38" s="75">
        <f>'[1]Univ Comm Fund'!AX38</f>
        <v>0</v>
      </c>
      <c r="GG38" s="75">
        <f>'[1]UNIV 2019'!AX44</f>
        <v>0</v>
      </c>
      <c r="GH38" s="75">
        <f t="shared" si="47"/>
        <v>0</v>
      </c>
      <c r="GI38" s="75"/>
      <c r="GJ38" s="75">
        <f>'[1]Univ Comm Fund'!AY38</f>
        <v>350000000</v>
      </c>
      <c r="GK38" s="75">
        <f>'[1]UNIV 2019'!AY44</f>
        <v>0</v>
      </c>
      <c r="GL38" s="75">
        <f t="shared" si="48"/>
        <v>350000000</v>
      </c>
      <c r="GM38" s="75"/>
      <c r="GN38" s="75">
        <f>'[1]Univ Comm Fund'!AZ38</f>
        <v>175823700</v>
      </c>
      <c r="GO38" s="75">
        <f>'[1]UNIV 2019'!AZ44</f>
        <v>0</v>
      </c>
      <c r="GP38" s="75">
        <f t="shared" si="49"/>
        <v>175823700</v>
      </c>
      <c r="GQ38" s="75"/>
      <c r="GR38" s="75">
        <f>'[1]Univ Comm Fund'!BA38</f>
        <v>20000000</v>
      </c>
      <c r="GS38" s="75">
        <f>'[1]UNIV 2019'!BA44</f>
        <v>0</v>
      </c>
      <c r="GT38" s="75">
        <f t="shared" si="50"/>
        <v>20000000</v>
      </c>
      <c r="GU38" s="75"/>
      <c r="GV38" s="75">
        <f>'[1]Univ Comm Fund'!BB38</f>
        <v>5000000</v>
      </c>
      <c r="GW38" s="75">
        <f>'[1]UNIV 2019'!BB44</f>
        <v>0</v>
      </c>
      <c r="GX38" s="75">
        <f t="shared" si="51"/>
        <v>5000000</v>
      </c>
      <c r="GY38" s="75"/>
      <c r="GZ38" s="75">
        <f>'[1]Univ Comm Fund'!BC38</f>
        <v>10000000</v>
      </c>
      <c r="HA38" s="75">
        <f>'[1]UNIV 2019'!BD44</f>
        <v>0</v>
      </c>
      <c r="HB38" s="75">
        <f t="shared" si="52"/>
        <v>10000000</v>
      </c>
      <c r="HC38" s="75"/>
      <c r="HD38" s="75">
        <f>'[1]Univ Comm Fund'!BD38</f>
        <v>0</v>
      </c>
      <c r="HE38" s="75">
        <f>'[1]UNIV 2019'!BC44</f>
        <v>0</v>
      </c>
      <c r="HF38" s="75">
        <f t="shared" si="53"/>
        <v>0</v>
      </c>
      <c r="HG38" s="75"/>
      <c r="HH38" s="75">
        <f t="shared" si="54"/>
        <v>7342649179.3999996</v>
      </c>
      <c r="HI38" s="75">
        <f t="shared" si="54"/>
        <v>5079415479.3999996</v>
      </c>
      <c r="HJ38" s="82">
        <f t="shared" si="55"/>
        <v>2263233700</v>
      </c>
      <c r="HL38" s="83">
        <f t="shared" si="56"/>
        <v>3494054200</v>
      </c>
      <c r="HM38" s="83">
        <f t="shared" si="56"/>
        <v>1626644200</v>
      </c>
      <c r="HN38" s="84">
        <f t="shared" si="57"/>
        <v>1867410000</v>
      </c>
      <c r="HP38" s="83">
        <f t="shared" si="58"/>
        <v>3310771279.4000001</v>
      </c>
      <c r="HQ38" s="83">
        <f t="shared" si="58"/>
        <v>3310771279.4000001</v>
      </c>
      <c r="HR38" s="84">
        <f t="shared" si="59"/>
        <v>0</v>
      </c>
      <c r="HT38" s="83">
        <f t="shared" si="60"/>
        <v>145000000</v>
      </c>
      <c r="HU38" s="83">
        <f t="shared" si="60"/>
        <v>40000000</v>
      </c>
      <c r="HV38" s="84">
        <f t="shared" si="61"/>
        <v>105000000</v>
      </c>
      <c r="HX38" s="83">
        <f t="shared" si="62"/>
        <v>60000000</v>
      </c>
      <c r="HY38" s="83">
        <f t="shared" si="62"/>
        <v>0</v>
      </c>
      <c r="HZ38" s="84">
        <f t="shared" si="63"/>
        <v>60000000</v>
      </c>
      <c r="IB38" s="83">
        <f t="shared" si="64"/>
        <v>35000000</v>
      </c>
      <c r="IC38" s="83">
        <f t="shared" si="64"/>
        <v>0</v>
      </c>
      <c r="ID38" s="84">
        <f t="shared" si="65"/>
        <v>35000000</v>
      </c>
      <c r="IF38" s="83">
        <f t="shared" ref="IF38:IG69" si="69">EB38</f>
        <v>2000000</v>
      </c>
      <c r="IG38" s="83">
        <f t="shared" si="69"/>
        <v>0</v>
      </c>
      <c r="IH38" s="84">
        <f t="shared" si="66"/>
        <v>2000000</v>
      </c>
      <c r="IJ38" s="84">
        <f t="shared" si="67"/>
        <v>295823700</v>
      </c>
      <c r="IK38" s="84">
        <f t="shared" si="67"/>
        <v>102000000</v>
      </c>
      <c r="IL38" s="84">
        <f t="shared" si="68"/>
        <v>193823700</v>
      </c>
    </row>
    <row r="39" spans="1:246" x14ac:dyDescent="0.25">
      <c r="A39" s="42">
        <v>34</v>
      </c>
      <c r="B39" s="86" t="s">
        <v>98</v>
      </c>
      <c r="C39" s="42" t="s">
        <v>69</v>
      </c>
      <c r="D39" s="66">
        <f>'[1]Univ Comm Fund'!D39</f>
        <v>59027776.670000002</v>
      </c>
      <c r="E39" s="66">
        <f>'[1]UNIV 2019'!D45</f>
        <v>59027776.670000002</v>
      </c>
      <c r="F39" s="75">
        <f t="shared" si="4"/>
        <v>0</v>
      </c>
      <c r="G39" s="66"/>
      <c r="H39" s="66">
        <f>'[1]Univ Comm Fund'!E39</f>
        <v>20000000</v>
      </c>
      <c r="I39" s="66">
        <f>'[1]UNIV 2019'!E45</f>
        <v>20000000</v>
      </c>
      <c r="J39" s="66">
        <f t="shared" si="5"/>
        <v>0</v>
      </c>
      <c r="K39" s="66"/>
      <c r="L39" s="66">
        <f>'[1]Univ Comm Fund'!F39</f>
        <v>40000000</v>
      </c>
      <c r="M39" s="66">
        <f>'[1]UNIV 2019'!F45</f>
        <v>40000000</v>
      </c>
      <c r="N39" s="66">
        <f t="shared" si="6"/>
        <v>0</v>
      </c>
      <c r="O39" s="66"/>
      <c r="P39" s="66">
        <f>'[1]Univ Comm Fund'!G39</f>
        <v>3750000</v>
      </c>
      <c r="Q39" s="66">
        <f>'[1]UNIV 2019'!G45</f>
        <v>3750000</v>
      </c>
      <c r="R39" s="66">
        <f t="shared" si="7"/>
        <v>0</v>
      </c>
      <c r="S39" s="87"/>
      <c r="T39" s="66">
        <f>'[1]Univ Comm Fund'!H39</f>
        <v>50000000</v>
      </c>
      <c r="U39" s="66">
        <f>'[1]UNIV 2019'!H45</f>
        <v>50000000</v>
      </c>
      <c r="V39" s="66">
        <f t="shared" si="8"/>
        <v>0</v>
      </c>
      <c r="W39" s="66"/>
      <c r="X39" s="66">
        <f>'[1]Univ Comm Fund'!I39</f>
        <v>0</v>
      </c>
      <c r="Y39" s="66">
        <f>'[1]UNIV 2019'!I45</f>
        <v>0</v>
      </c>
      <c r="Z39" s="66">
        <f t="shared" si="9"/>
        <v>0</v>
      </c>
      <c r="AA39" s="66"/>
      <c r="AB39" s="66">
        <f>'[1]Univ Comm Fund'!J39</f>
        <v>30000000</v>
      </c>
      <c r="AC39" s="66">
        <f>'[1]UNIV 2019'!J45</f>
        <v>30000000</v>
      </c>
      <c r="AD39" s="66">
        <f t="shared" si="10"/>
        <v>0</v>
      </c>
      <c r="AE39" s="66"/>
      <c r="AF39" s="88">
        <f>'[1]Univ Comm Fund'!K39</f>
        <v>30000000</v>
      </c>
      <c r="AG39" s="66">
        <f>'[1]UNIV 2019'!K45</f>
        <v>30000000</v>
      </c>
      <c r="AH39" s="66">
        <f t="shared" si="11"/>
        <v>0</v>
      </c>
      <c r="AI39" s="88"/>
      <c r="AJ39" s="66">
        <f>'[1]Univ Comm Fund'!L39</f>
        <v>0</v>
      </c>
      <c r="AK39" s="66">
        <f>'[1]UNIV 2019'!L45</f>
        <v>0</v>
      </c>
      <c r="AL39" s="66">
        <f t="shared" si="12"/>
        <v>0</v>
      </c>
      <c r="AM39" s="66"/>
      <c r="AN39" s="66">
        <f>'[1]Univ Comm Fund'!M39</f>
        <v>40000000</v>
      </c>
      <c r="AO39" s="66">
        <f>'[1]UNIV 2019'!M45</f>
        <v>40000000</v>
      </c>
      <c r="AP39" s="66">
        <f t="shared" si="13"/>
        <v>0</v>
      </c>
      <c r="AQ39" s="66"/>
      <c r="AR39" s="66">
        <f>'[1]Univ Comm Fund'!N39</f>
        <v>0</v>
      </c>
      <c r="AS39" s="66">
        <f>'[1]UNIV 2019'!N45</f>
        <v>0</v>
      </c>
      <c r="AT39" s="66">
        <f t="shared" si="14"/>
        <v>0</v>
      </c>
      <c r="AU39" s="66"/>
      <c r="AV39" s="66">
        <f>'[1]Univ Comm Fund'!O39</f>
        <v>40000000</v>
      </c>
      <c r="AW39" s="66">
        <f>'[1]UNIV 2019'!O45</f>
        <v>40000000</v>
      </c>
      <c r="AX39" s="66">
        <f t="shared" si="15"/>
        <v>0</v>
      </c>
      <c r="AY39" s="66"/>
      <c r="AZ39" s="66">
        <f>'[1]Univ Comm Fund'!P39</f>
        <v>0</v>
      </c>
      <c r="BA39" s="66">
        <f>'[1]UNIV 2019'!P45</f>
        <v>0</v>
      </c>
      <c r="BB39" s="66">
        <f t="shared" si="0"/>
        <v>0</v>
      </c>
      <c r="BC39" s="66"/>
      <c r="BD39" s="66">
        <f>'[1]Univ Comm Fund'!Q39</f>
        <v>52000000</v>
      </c>
      <c r="BE39" s="66">
        <f>'[1]UNIV 2019'!Q45</f>
        <v>52000000</v>
      </c>
      <c r="BF39" s="66">
        <f t="shared" si="1"/>
        <v>0</v>
      </c>
      <c r="BG39" s="66"/>
      <c r="BH39" s="66">
        <f>'[1]Univ Comm Fund'!R39</f>
        <v>67000000</v>
      </c>
      <c r="BI39" s="66">
        <f>'[1]UNIV 2019'!R45</f>
        <v>67000000</v>
      </c>
      <c r="BJ39" s="66">
        <f t="shared" si="16"/>
        <v>0</v>
      </c>
      <c r="BK39" s="66"/>
      <c r="BL39" s="66">
        <f>'[1]Univ Comm Fund'!S39</f>
        <v>57000000</v>
      </c>
      <c r="BM39" s="66">
        <f>'[1]UNIV 2019'!S45</f>
        <v>57000000</v>
      </c>
      <c r="BN39" s="66">
        <f t="shared" si="17"/>
        <v>0</v>
      </c>
      <c r="BO39" s="66"/>
      <c r="BP39" s="66">
        <f>'[1]Univ Comm Fund'!T39</f>
        <v>0</v>
      </c>
      <c r="BQ39" s="66">
        <f>'[1]UNIV 2019'!T45</f>
        <v>0</v>
      </c>
      <c r="BR39" s="66">
        <f t="shared" si="18"/>
        <v>0</v>
      </c>
      <c r="BS39" s="66"/>
      <c r="BT39" s="66">
        <f>'[1]Univ Comm Fund'!U39</f>
        <v>193140000</v>
      </c>
      <c r="BU39" s="66">
        <f>'[1]UNIV 2019'!U45</f>
        <v>193140000</v>
      </c>
      <c r="BV39" s="66">
        <f t="shared" si="2"/>
        <v>0</v>
      </c>
      <c r="BW39" s="66"/>
      <c r="BX39" s="66">
        <f>'[1]Univ Comm Fund'!V39</f>
        <v>235000000</v>
      </c>
      <c r="BY39" s="66">
        <f>'[1]UNIV 2019'!V45</f>
        <v>235000000</v>
      </c>
      <c r="BZ39" s="66">
        <f t="shared" si="19"/>
        <v>0</v>
      </c>
      <c r="CA39" s="66"/>
      <c r="CB39" s="66">
        <f>'[1]Univ Comm Fund'!W39</f>
        <v>175000000</v>
      </c>
      <c r="CC39" s="66">
        <f>'[1]UNIV 2019'!W45</f>
        <v>175000000</v>
      </c>
      <c r="CD39" s="66">
        <f t="shared" si="20"/>
        <v>0</v>
      </c>
      <c r="CE39" s="66"/>
      <c r="CF39" s="66">
        <v>75000000</v>
      </c>
      <c r="CG39" s="66">
        <f>'[1]UNIV 2019'!X45</f>
        <v>75000000</v>
      </c>
      <c r="CH39" s="75">
        <f t="shared" si="21"/>
        <v>0</v>
      </c>
      <c r="CI39" s="66"/>
      <c r="CJ39" s="66">
        <f>'[1]Univ Comm Fund'!Y39</f>
        <v>750000000</v>
      </c>
      <c r="CK39" s="66">
        <f>'[1]UNIV 2019'!Y45</f>
        <v>500000000</v>
      </c>
      <c r="CL39" s="66">
        <f t="shared" si="22"/>
        <v>250000000</v>
      </c>
      <c r="CM39" s="66"/>
      <c r="CN39" s="20">
        <f>'[1]Univ Comm Fund'!Z39</f>
        <v>350000000</v>
      </c>
      <c r="CO39" s="66">
        <f>'[1]UNIV 2019'!Z45</f>
        <v>350000000</v>
      </c>
      <c r="CP39" s="66">
        <f t="shared" si="23"/>
        <v>0</v>
      </c>
      <c r="CQ39" s="20"/>
      <c r="CR39" s="66">
        <f>'[1]Univ Comm Fund'!AA39</f>
        <v>0</v>
      </c>
      <c r="CS39" s="66">
        <f>'[1]UNIV 2019'!AA45</f>
        <v>0</v>
      </c>
      <c r="CT39" s="75">
        <f t="shared" si="24"/>
        <v>0</v>
      </c>
      <c r="CU39" s="66"/>
      <c r="CV39" s="66">
        <f>'[1]Univ Comm Fund'!AB39</f>
        <v>0</v>
      </c>
      <c r="CW39" s="66">
        <f>'[1]UNIV 2019'!AB45</f>
        <v>0</v>
      </c>
      <c r="CX39" s="75">
        <f t="shared" si="25"/>
        <v>0</v>
      </c>
      <c r="CY39" s="66"/>
      <c r="CZ39" s="66">
        <f>'[1]Univ Comm Fund'!AC39</f>
        <v>356000000</v>
      </c>
      <c r="DA39" s="66">
        <f>'[1]UNIV 2019'!AC45</f>
        <v>0</v>
      </c>
      <c r="DB39" s="66">
        <f t="shared" si="26"/>
        <v>356000000</v>
      </c>
      <c r="DC39" s="66"/>
      <c r="DD39" s="66">
        <f>'[1]Univ Comm Fund'!AD39</f>
        <v>20000000</v>
      </c>
      <c r="DE39" s="66">
        <f>'[1]UNIV 2019'!AD45</f>
        <v>0</v>
      </c>
      <c r="DF39" s="66">
        <f t="shared" si="27"/>
        <v>20000000</v>
      </c>
      <c r="DG39" s="66"/>
      <c r="DH39" s="66">
        <f>'[1]Univ Comm Fund'!AE39</f>
        <v>552000000</v>
      </c>
      <c r="DI39" s="66">
        <f>'[1]UNIV 2019'!AE45</f>
        <v>0</v>
      </c>
      <c r="DJ39" s="66">
        <f t="shared" si="28"/>
        <v>552000000</v>
      </c>
      <c r="DK39" s="66"/>
      <c r="DL39" s="66">
        <f>'[1]Univ Comm Fund'!AF39</f>
        <v>20000000</v>
      </c>
      <c r="DM39" s="66">
        <f>'[1]UNIV 2019'!AF45</f>
        <v>0</v>
      </c>
      <c r="DN39" s="66">
        <f t="shared" si="29"/>
        <v>20000000</v>
      </c>
      <c r="DO39" s="66"/>
      <c r="DP39" s="66">
        <f>'[1]Univ Comm Fund'!AG39</f>
        <v>0</v>
      </c>
      <c r="DQ39" s="66">
        <f>'[1]UNIV 2019'!AG45</f>
        <v>0</v>
      </c>
      <c r="DR39" s="66">
        <f t="shared" si="30"/>
        <v>0</v>
      </c>
      <c r="DS39" s="66"/>
      <c r="DT39" s="66">
        <f>'[1]Univ Comm Fund'!AH39</f>
        <v>100000000</v>
      </c>
      <c r="DU39" s="66">
        <f>'[1]UNIV 2019'!AH45</f>
        <v>0</v>
      </c>
      <c r="DV39" s="66">
        <f t="shared" si="31"/>
        <v>100000000</v>
      </c>
      <c r="DW39" s="66"/>
      <c r="DX39" s="66">
        <f>'[1]Univ Comm Fund'!AI39</f>
        <v>15000000</v>
      </c>
      <c r="DY39" s="66">
        <f>'[1]UNIV 2019'!AI45</f>
        <v>0</v>
      </c>
      <c r="DZ39" s="66">
        <f t="shared" si="32"/>
        <v>15000000</v>
      </c>
      <c r="EA39" s="66"/>
      <c r="EB39" s="66">
        <f>'[1]Univ Comm Fund'!AJ39</f>
        <v>2000000</v>
      </c>
      <c r="EC39" s="66">
        <f>'[1]UNIV 2019'!AJ45</f>
        <v>2000000</v>
      </c>
      <c r="ED39" s="66">
        <f t="shared" si="33"/>
        <v>0</v>
      </c>
      <c r="EE39" s="66"/>
      <c r="EF39" s="66">
        <f>'[1]Univ Comm Fund'!AK39</f>
        <v>10000000</v>
      </c>
      <c r="EG39" s="66">
        <f>'[1]UNIV 2019'!AK45</f>
        <v>0</v>
      </c>
      <c r="EH39" s="66">
        <f t="shared" si="34"/>
        <v>10000000</v>
      </c>
      <c r="EI39" s="66"/>
      <c r="EJ39" s="66">
        <f>'[1]Univ Comm Fund'!AL39</f>
        <v>0</v>
      </c>
      <c r="EK39" s="66">
        <f>'[1]UNIV 2019'!AL45</f>
        <v>0</v>
      </c>
      <c r="EL39" s="66">
        <f t="shared" si="35"/>
        <v>0</v>
      </c>
      <c r="EM39" s="66"/>
      <c r="EN39" s="80">
        <f>'[1]Univ Comm Fund'!AM39</f>
        <v>565410000</v>
      </c>
      <c r="EO39" s="66">
        <f>'[1]UNIV 2019'!AM45</f>
        <v>0</v>
      </c>
      <c r="EP39" s="75">
        <f t="shared" si="36"/>
        <v>565410000</v>
      </c>
      <c r="EQ39" s="66"/>
      <c r="ER39" s="66">
        <f>'[1]Univ Comm Fund'!AN39</f>
        <v>15000000</v>
      </c>
      <c r="ES39" s="66">
        <f>'[1]UNIV 2019'!AN45</f>
        <v>0</v>
      </c>
      <c r="ET39" s="75">
        <f t="shared" si="37"/>
        <v>15000000</v>
      </c>
      <c r="EU39" s="66"/>
      <c r="EV39" s="66">
        <f>'[1]Univ Comm Fund'!AO39</f>
        <v>15000000</v>
      </c>
      <c r="EW39" s="66">
        <f>'[1]UNIV 2019'!AO45</f>
        <v>0</v>
      </c>
      <c r="EX39" s="75">
        <f t="shared" si="38"/>
        <v>15000000</v>
      </c>
      <c r="EY39" s="66"/>
      <c r="EZ39" s="66">
        <f>'[1]Univ Comm Fund'!AP39</f>
        <v>10000000</v>
      </c>
      <c r="FA39" s="66">
        <f>'[1]UNIV 2019'!AP45</f>
        <v>0</v>
      </c>
      <c r="FB39" s="75">
        <f t="shared" si="39"/>
        <v>10000000</v>
      </c>
      <c r="FC39" s="75"/>
      <c r="FD39" s="75">
        <f>'[1]Univ Comm Fund'!AQ39</f>
        <v>0</v>
      </c>
      <c r="FE39" s="75">
        <f>'[1]UNIV 2019'!AQ45</f>
        <v>0</v>
      </c>
      <c r="FF39" s="75">
        <f t="shared" si="40"/>
        <v>0</v>
      </c>
      <c r="FG39" s="75"/>
      <c r="FH39" s="81">
        <f>'[1]Univ Comm Fund'!AR39</f>
        <v>200000000</v>
      </c>
      <c r="FI39" s="75">
        <f>'[1]UNIV 2019'!AR45</f>
        <v>170000000</v>
      </c>
      <c r="FJ39" s="75">
        <f t="shared" si="41"/>
        <v>30000000</v>
      </c>
      <c r="FK39" s="75"/>
      <c r="FL39" s="75">
        <f>'[1]Univ Comm Fund'!AS39</f>
        <v>300000000</v>
      </c>
      <c r="FM39" s="75">
        <f>'[1]UNIV 2019'!AS45</f>
        <v>0</v>
      </c>
      <c r="FN39" s="75">
        <f t="shared" si="42"/>
        <v>300000000</v>
      </c>
      <c r="FO39" s="75"/>
      <c r="FP39" s="75">
        <f>'[1]Univ Comm Fund'!AT39</f>
        <v>120000000</v>
      </c>
      <c r="FQ39" s="75">
        <f>'[1]UNIV 2019'!AT45</f>
        <v>0</v>
      </c>
      <c r="FR39" s="75">
        <f t="shared" si="43"/>
        <v>120000000</v>
      </c>
      <c r="FS39" s="75"/>
      <c r="FT39" s="75">
        <f>'[1]Univ Comm Fund'!AU39</f>
        <v>10000000</v>
      </c>
      <c r="FU39" s="75">
        <f>'[1]UNIV 2019'!AU45</f>
        <v>0</v>
      </c>
      <c r="FV39" s="75">
        <f t="shared" si="44"/>
        <v>10000000</v>
      </c>
      <c r="FW39" s="75"/>
      <c r="FX39" s="75">
        <f>'[1]Univ Comm Fund'!AV39</f>
        <v>5000000</v>
      </c>
      <c r="FY39" s="75">
        <f>'[1]UNIV 2019'!AV45</f>
        <v>0</v>
      </c>
      <c r="FZ39" s="75">
        <f t="shared" si="45"/>
        <v>5000000</v>
      </c>
      <c r="GA39" s="75"/>
      <c r="GB39" s="75">
        <f>'[1]Univ Comm Fund'!AW39</f>
        <v>10000000</v>
      </c>
      <c r="GC39" s="75">
        <f>'[1]UNIV 2019'!AW45</f>
        <v>0</v>
      </c>
      <c r="GD39" s="75">
        <f t="shared" si="46"/>
        <v>10000000</v>
      </c>
      <c r="GE39" s="75"/>
      <c r="GF39" s="75">
        <f>'[1]Univ Comm Fund'!AX39</f>
        <v>0</v>
      </c>
      <c r="GG39" s="75">
        <f>'[1]UNIV 2019'!AX45</f>
        <v>0</v>
      </c>
      <c r="GH39" s="75">
        <f t="shared" si="47"/>
        <v>0</v>
      </c>
      <c r="GI39" s="75"/>
      <c r="GJ39" s="75">
        <f>'[1]Univ Comm Fund'!AY39</f>
        <v>350000000</v>
      </c>
      <c r="GK39" s="75">
        <f>'[1]UNIV 2019'!AY45</f>
        <v>0</v>
      </c>
      <c r="GL39" s="75">
        <f t="shared" si="48"/>
        <v>350000000</v>
      </c>
      <c r="GM39" s="75"/>
      <c r="GN39" s="75">
        <f>'[1]Univ Comm Fund'!AZ39</f>
        <v>175823700</v>
      </c>
      <c r="GO39" s="75">
        <f>'[1]UNIV 2019'!AZ45</f>
        <v>0</v>
      </c>
      <c r="GP39" s="75">
        <f t="shared" si="49"/>
        <v>175823700</v>
      </c>
      <c r="GQ39" s="75"/>
      <c r="GR39" s="75">
        <f>'[1]Univ Comm Fund'!BA39</f>
        <v>20000000</v>
      </c>
      <c r="GS39" s="75">
        <f>'[1]UNIV 2019'!BA45</f>
        <v>0</v>
      </c>
      <c r="GT39" s="75">
        <f t="shared" si="50"/>
        <v>20000000</v>
      </c>
      <c r="GU39" s="75"/>
      <c r="GV39" s="75">
        <f>'[1]Univ Comm Fund'!BB39</f>
        <v>5000000</v>
      </c>
      <c r="GW39" s="75">
        <f>'[1]UNIV 2019'!BB45</f>
        <v>0</v>
      </c>
      <c r="GX39" s="75">
        <f t="shared" si="51"/>
        <v>5000000</v>
      </c>
      <c r="GY39" s="75"/>
      <c r="GZ39" s="75">
        <f>'[1]Univ Comm Fund'!BC39</f>
        <v>10000000</v>
      </c>
      <c r="HA39" s="75">
        <f>'[1]UNIV 2019'!BD45</f>
        <v>0</v>
      </c>
      <c r="HB39" s="75">
        <f t="shared" si="52"/>
        <v>10000000</v>
      </c>
      <c r="HC39" s="75"/>
      <c r="HD39" s="75">
        <f>'[1]Univ Comm Fund'!BD39</f>
        <v>0</v>
      </c>
      <c r="HE39" s="75">
        <f>'[1]UNIV 2019'!BC45</f>
        <v>0</v>
      </c>
      <c r="HF39" s="75">
        <f t="shared" si="53"/>
        <v>0</v>
      </c>
      <c r="HG39" s="75"/>
      <c r="HH39" s="75">
        <f t="shared" si="54"/>
        <v>5153151476.6700001</v>
      </c>
      <c r="HI39" s="75">
        <f t="shared" si="54"/>
        <v>2188917776.6700001</v>
      </c>
      <c r="HJ39" s="82">
        <f t="shared" si="55"/>
        <v>2964233700</v>
      </c>
      <c r="HL39" s="83">
        <f t="shared" si="56"/>
        <v>3426577776.6700001</v>
      </c>
      <c r="HM39" s="83">
        <f t="shared" si="56"/>
        <v>1203167776.6700001</v>
      </c>
      <c r="HN39" s="84">
        <f t="shared" si="57"/>
        <v>2223410000</v>
      </c>
      <c r="HP39" s="83">
        <f t="shared" si="58"/>
        <v>985000000</v>
      </c>
      <c r="HQ39" s="83">
        <f t="shared" si="58"/>
        <v>735000000</v>
      </c>
      <c r="HR39" s="84">
        <f t="shared" si="59"/>
        <v>250000000</v>
      </c>
      <c r="HT39" s="83">
        <f t="shared" si="60"/>
        <v>145000000</v>
      </c>
      <c r="HU39" s="83">
        <f t="shared" si="60"/>
        <v>75000000</v>
      </c>
      <c r="HV39" s="84">
        <f t="shared" si="61"/>
        <v>70000000</v>
      </c>
      <c r="HX39" s="83">
        <f t="shared" si="62"/>
        <v>60000000</v>
      </c>
      <c r="HY39" s="83">
        <f t="shared" si="62"/>
        <v>0</v>
      </c>
      <c r="HZ39" s="84">
        <f t="shared" si="63"/>
        <v>60000000</v>
      </c>
      <c r="IB39" s="83">
        <f t="shared" si="64"/>
        <v>35000000</v>
      </c>
      <c r="IC39" s="83">
        <f t="shared" si="64"/>
        <v>0</v>
      </c>
      <c r="ID39" s="84">
        <f t="shared" si="65"/>
        <v>35000000</v>
      </c>
      <c r="IF39" s="83">
        <f t="shared" si="69"/>
        <v>2000000</v>
      </c>
      <c r="IG39" s="83">
        <f t="shared" si="69"/>
        <v>2000000</v>
      </c>
      <c r="IH39" s="84">
        <f t="shared" si="66"/>
        <v>0</v>
      </c>
      <c r="IJ39" s="84">
        <f t="shared" si="67"/>
        <v>495823700</v>
      </c>
      <c r="IK39" s="84">
        <f t="shared" si="67"/>
        <v>170000000</v>
      </c>
      <c r="IL39" s="84">
        <f t="shared" si="68"/>
        <v>325823700</v>
      </c>
    </row>
    <row r="40" spans="1:246" x14ac:dyDescent="0.25">
      <c r="A40" s="42">
        <v>35</v>
      </c>
      <c r="B40" s="86" t="s">
        <v>99</v>
      </c>
      <c r="C40" s="42" t="s">
        <v>61</v>
      </c>
      <c r="D40" s="66">
        <f>'[1]Univ Comm Fund'!D40</f>
        <v>59027776.670000002</v>
      </c>
      <c r="E40" s="66">
        <f>'[1]UNIV 2019'!D46</f>
        <v>59027776.939999998</v>
      </c>
      <c r="F40" s="75">
        <f t="shared" si="4"/>
        <v>-0.26999999582767487</v>
      </c>
      <c r="G40" s="66"/>
      <c r="H40" s="66">
        <f>'[1]Univ Comm Fund'!E40</f>
        <v>20000000</v>
      </c>
      <c r="I40" s="66">
        <f>'[1]UNIV 2019'!E46</f>
        <v>20000000</v>
      </c>
      <c r="J40" s="66">
        <f t="shared" si="5"/>
        <v>0</v>
      </c>
      <c r="K40" s="66"/>
      <c r="L40" s="66">
        <f>'[1]Univ Comm Fund'!F40</f>
        <v>40000000</v>
      </c>
      <c r="M40" s="66">
        <f>'[1]UNIV 2019'!F46</f>
        <v>40000000</v>
      </c>
      <c r="N40" s="66">
        <f t="shared" si="6"/>
        <v>0</v>
      </c>
      <c r="O40" s="66"/>
      <c r="P40" s="66">
        <f>'[1]Univ Comm Fund'!G40</f>
        <v>0</v>
      </c>
      <c r="Q40" s="66">
        <f>'[1]UNIV 2019'!G46</f>
        <v>0</v>
      </c>
      <c r="R40" s="66">
        <f t="shared" si="7"/>
        <v>0</v>
      </c>
      <c r="S40" s="87"/>
      <c r="T40" s="66">
        <f>'[1]Univ Comm Fund'!H40</f>
        <v>50000000</v>
      </c>
      <c r="U40" s="66">
        <f>'[1]UNIV 2019'!H46</f>
        <v>50000000</v>
      </c>
      <c r="V40" s="66">
        <f t="shared" si="8"/>
        <v>0</v>
      </c>
      <c r="W40" s="66"/>
      <c r="X40" s="66">
        <f>'[1]Univ Comm Fund'!I40</f>
        <v>0</v>
      </c>
      <c r="Y40" s="66">
        <f>'[1]UNIV 2019'!I46</f>
        <v>0</v>
      </c>
      <c r="Z40" s="66">
        <f t="shared" si="9"/>
        <v>0</v>
      </c>
      <c r="AA40" s="66"/>
      <c r="AB40" s="66">
        <f>'[1]Univ Comm Fund'!J40</f>
        <v>19800000</v>
      </c>
      <c r="AC40" s="66">
        <f>'[1]UNIV 2019'!J46</f>
        <v>19800000</v>
      </c>
      <c r="AD40" s="66">
        <f t="shared" si="10"/>
        <v>0</v>
      </c>
      <c r="AE40" s="66"/>
      <c r="AF40" s="88">
        <f>'[1]Univ Comm Fund'!K40</f>
        <v>30000000</v>
      </c>
      <c r="AG40" s="66">
        <f>'[1]UNIV 2019'!K46</f>
        <v>30000000</v>
      </c>
      <c r="AH40" s="66">
        <f t="shared" si="11"/>
        <v>0</v>
      </c>
      <c r="AI40" s="88"/>
      <c r="AJ40" s="66">
        <f>'[1]Univ Comm Fund'!L40</f>
        <v>0</v>
      </c>
      <c r="AK40" s="66">
        <f>'[1]UNIV 2019'!L46</f>
        <v>0</v>
      </c>
      <c r="AL40" s="66">
        <f t="shared" si="12"/>
        <v>0</v>
      </c>
      <c r="AM40" s="66"/>
      <c r="AN40" s="66">
        <f>'[1]Univ Comm Fund'!M40</f>
        <v>40000000</v>
      </c>
      <c r="AO40" s="66">
        <f>'[1]UNIV 2019'!M46</f>
        <v>40000000</v>
      </c>
      <c r="AP40" s="66">
        <f t="shared" si="13"/>
        <v>0</v>
      </c>
      <c r="AQ40" s="66"/>
      <c r="AR40" s="66">
        <f>'[1]Univ Comm Fund'!N40</f>
        <v>0</v>
      </c>
      <c r="AS40" s="66">
        <f>'[1]UNIV 2019'!N46</f>
        <v>0</v>
      </c>
      <c r="AT40" s="66">
        <f t="shared" si="14"/>
        <v>0</v>
      </c>
      <c r="AU40" s="66"/>
      <c r="AV40" s="66">
        <f>'[1]Univ Comm Fund'!O40</f>
        <v>40000000</v>
      </c>
      <c r="AW40" s="66">
        <f>'[1]UNIV 2019'!O46</f>
        <v>40000000</v>
      </c>
      <c r="AX40" s="66">
        <f t="shared" si="15"/>
        <v>0</v>
      </c>
      <c r="AY40" s="66"/>
      <c r="AZ40" s="66">
        <f>'[1]Univ Comm Fund'!P40</f>
        <v>0</v>
      </c>
      <c r="BA40" s="66">
        <f>'[1]UNIV 2019'!P46</f>
        <v>0</v>
      </c>
      <c r="BB40" s="66">
        <f t="shared" si="0"/>
        <v>0</v>
      </c>
      <c r="BC40" s="66"/>
      <c r="BD40" s="66">
        <f>'[1]Univ Comm Fund'!Q40</f>
        <v>52000000</v>
      </c>
      <c r="BE40" s="66">
        <f>'[1]UNIV 2019'!Q46</f>
        <v>52000000</v>
      </c>
      <c r="BF40" s="66">
        <f t="shared" si="1"/>
        <v>0</v>
      </c>
      <c r="BG40" s="66"/>
      <c r="BH40" s="66">
        <f>'[1]Univ Comm Fund'!R40</f>
        <v>67000000</v>
      </c>
      <c r="BI40" s="66">
        <f>'[1]UNIV 2019'!R46</f>
        <v>67000000</v>
      </c>
      <c r="BJ40" s="66">
        <f t="shared" si="16"/>
        <v>0</v>
      </c>
      <c r="BK40" s="66"/>
      <c r="BL40" s="66">
        <f>'[1]Univ Comm Fund'!S40</f>
        <v>30780000.000000004</v>
      </c>
      <c r="BM40" s="66">
        <f>'[1]UNIV 2019'!S46</f>
        <v>30780000.000000004</v>
      </c>
      <c r="BN40" s="66">
        <f t="shared" si="17"/>
        <v>0</v>
      </c>
      <c r="BO40" s="66"/>
      <c r="BP40" s="66">
        <f>'[1]Univ Comm Fund'!T40</f>
        <v>0</v>
      </c>
      <c r="BQ40" s="66">
        <f>'[1]UNIV 2019'!T46</f>
        <v>0</v>
      </c>
      <c r="BR40" s="66">
        <f t="shared" si="18"/>
        <v>0</v>
      </c>
      <c r="BS40" s="66"/>
      <c r="BT40" s="66">
        <f>'[1]Univ Comm Fund'!U40</f>
        <v>104295600</v>
      </c>
      <c r="BU40" s="66">
        <f>'[1]UNIV 2019'!U46</f>
        <v>104295600</v>
      </c>
      <c r="BV40" s="66">
        <f t="shared" si="2"/>
        <v>0</v>
      </c>
      <c r="BW40" s="66"/>
      <c r="BX40" s="66">
        <f>'[1]Univ Comm Fund'!V40</f>
        <v>0</v>
      </c>
      <c r="BY40" s="66">
        <f>'[1]UNIV 2019'!V46</f>
        <v>0</v>
      </c>
      <c r="BZ40" s="66">
        <f t="shared" si="19"/>
        <v>0</v>
      </c>
      <c r="CA40" s="66"/>
      <c r="CB40" s="66">
        <f>'[1]Univ Comm Fund'!W40</f>
        <v>175000000</v>
      </c>
      <c r="CC40" s="66">
        <f>'[1]UNIV 2019'!W46</f>
        <v>148749790</v>
      </c>
      <c r="CD40" s="66">
        <f t="shared" si="20"/>
        <v>26250210</v>
      </c>
      <c r="CE40" s="66"/>
      <c r="CF40" s="66">
        <v>75000000</v>
      </c>
      <c r="CG40" s="66">
        <f>'[1]UNIV 2019'!X46</f>
        <v>75000000</v>
      </c>
      <c r="CH40" s="75">
        <f t="shared" si="21"/>
        <v>0</v>
      </c>
      <c r="CI40" s="66"/>
      <c r="CJ40" s="66">
        <f>'[1]Univ Comm Fund'!Y40</f>
        <v>200000000</v>
      </c>
      <c r="CK40" s="66">
        <f>'[1]UNIV 2019'!Y46</f>
        <v>200000000</v>
      </c>
      <c r="CL40" s="66">
        <f t="shared" si="22"/>
        <v>0</v>
      </c>
      <c r="CM40" s="66"/>
      <c r="CN40" s="20">
        <f>'[1]Univ Comm Fund'!Z40</f>
        <v>350000000</v>
      </c>
      <c r="CO40" s="66">
        <f>'[1]UNIV 2019'!Z46</f>
        <v>297500000</v>
      </c>
      <c r="CP40" s="66">
        <f t="shared" si="23"/>
        <v>52500000</v>
      </c>
      <c r="CQ40" s="20"/>
      <c r="CR40" s="66">
        <f>'[1]Univ Comm Fund'!AA40</f>
        <v>0</v>
      </c>
      <c r="CS40" s="66">
        <f>'[1]UNIV 2019'!AA46</f>
        <v>0</v>
      </c>
      <c r="CT40" s="75">
        <f t="shared" si="24"/>
        <v>0</v>
      </c>
      <c r="CU40" s="66"/>
      <c r="CV40" s="66">
        <f>'[1]Univ Comm Fund'!AB40</f>
        <v>500000000</v>
      </c>
      <c r="CW40" s="66">
        <f>'[1]UNIV 2019'!AB46</f>
        <v>500000000</v>
      </c>
      <c r="CX40" s="75">
        <f t="shared" si="25"/>
        <v>0</v>
      </c>
      <c r="CY40" s="66"/>
      <c r="CZ40" s="66">
        <f>'[1]Univ Comm Fund'!AC40</f>
        <v>356000000</v>
      </c>
      <c r="DA40" s="66">
        <f>'[1]UNIV 2019'!AC46</f>
        <v>302600000</v>
      </c>
      <c r="DB40" s="66">
        <f t="shared" si="26"/>
        <v>53400000</v>
      </c>
      <c r="DC40" s="66"/>
      <c r="DD40" s="66">
        <f>'[1]Univ Comm Fund'!AD40</f>
        <v>20000000</v>
      </c>
      <c r="DE40" s="66">
        <f>'[1]UNIV 2019'!AD46</f>
        <v>20000000</v>
      </c>
      <c r="DF40" s="66">
        <f t="shared" si="27"/>
        <v>0</v>
      </c>
      <c r="DG40" s="66"/>
      <c r="DH40" s="66">
        <f>'[1]Univ Comm Fund'!AE40</f>
        <v>552000000</v>
      </c>
      <c r="DI40" s="66">
        <f>'[1]UNIV 2019'!AE46</f>
        <v>314640000</v>
      </c>
      <c r="DJ40" s="66">
        <f t="shared" si="28"/>
        <v>237360000</v>
      </c>
      <c r="DK40" s="66"/>
      <c r="DL40" s="66">
        <f>'[1]Univ Comm Fund'!AF40</f>
        <v>20000000</v>
      </c>
      <c r="DM40" s="66">
        <f>'[1]UNIV 2019'!AF46</f>
        <v>0</v>
      </c>
      <c r="DN40" s="66">
        <f t="shared" si="29"/>
        <v>20000000</v>
      </c>
      <c r="DO40" s="66"/>
      <c r="DP40" s="66">
        <f>'[1]Univ Comm Fund'!AG40</f>
        <v>250000000</v>
      </c>
      <c r="DQ40" s="66">
        <f>'[1]UNIV 2019'!AG46</f>
        <v>212500000</v>
      </c>
      <c r="DR40" s="66">
        <f t="shared" si="30"/>
        <v>37500000</v>
      </c>
      <c r="DS40" s="66"/>
      <c r="DT40" s="66">
        <f>'[1]Univ Comm Fund'!AH40</f>
        <v>100000000</v>
      </c>
      <c r="DU40" s="66">
        <f>'[1]UNIV 2019'!AH46</f>
        <v>57000000</v>
      </c>
      <c r="DV40" s="66">
        <f t="shared" si="31"/>
        <v>43000000</v>
      </c>
      <c r="DW40" s="66"/>
      <c r="DX40" s="66">
        <f>'[1]Univ Comm Fund'!AI40</f>
        <v>15000000</v>
      </c>
      <c r="DY40" s="66">
        <f>'[1]UNIV 2019'!AI46</f>
        <v>0</v>
      </c>
      <c r="DZ40" s="66">
        <f t="shared" si="32"/>
        <v>15000000</v>
      </c>
      <c r="EA40" s="66"/>
      <c r="EB40" s="66">
        <f>'[1]Univ Comm Fund'!AJ40</f>
        <v>2000000</v>
      </c>
      <c r="EC40" s="66">
        <f>'[1]UNIV 2019'!AJ46</f>
        <v>1700000</v>
      </c>
      <c r="ED40" s="66">
        <f t="shared" si="33"/>
        <v>300000</v>
      </c>
      <c r="EE40" s="66"/>
      <c r="EF40" s="66">
        <f>'[1]Univ Comm Fund'!AK40</f>
        <v>10000000</v>
      </c>
      <c r="EG40" s="66">
        <f>'[1]UNIV 2019'!AK46</f>
        <v>0</v>
      </c>
      <c r="EH40" s="66">
        <f t="shared" si="34"/>
        <v>10000000</v>
      </c>
      <c r="EI40" s="66"/>
      <c r="EJ40" s="66">
        <f>'[1]Univ Comm Fund'!AL40</f>
        <v>0</v>
      </c>
      <c r="EK40" s="66">
        <f>'[1]UNIV 2019'!AL46</f>
        <v>0</v>
      </c>
      <c r="EL40" s="66">
        <f t="shared" si="35"/>
        <v>0</v>
      </c>
      <c r="EM40" s="66"/>
      <c r="EN40" s="80">
        <f>'[1]Univ Comm Fund'!AM40</f>
        <v>565410000</v>
      </c>
      <c r="EO40" s="66">
        <f>'[1]UNIV 2019'!AM46</f>
        <v>322283700</v>
      </c>
      <c r="EP40" s="75">
        <f t="shared" si="36"/>
        <v>243126300</v>
      </c>
      <c r="EQ40" s="66"/>
      <c r="ER40" s="66">
        <f>'[1]Univ Comm Fund'!AN40</f>
        <v>15000000</v>
      </c>
      <c r="ES40" s="66">
        <f>'[1]UNIV 2019'!AN46</f>
        <v>0</v>
      </c>
      <c r="ET40" s="75">
        <f t="shared" si="37"/>
        <v>15000000</v>
      </c>
      <c r="EU40" s="66"/>
      <c r="EV40" s="66">
        <f>'[1]Univ Comm Fund'!AO40</f>
        <v>15000000</v>
      </c>
      <c r="EW40" s="66">
        <f>'[1]UNIV 2019'!AO46</f>
        <v>0</v>
      </c>
      <c r="EX40" s="75">
        <f t="shared" si="38"/>
        <v>15000000</v>
      </c>
      <c r="EY40" s="66"/>
      <c r="EZ40" s="66">
        <f>'[1]Univ Comm Fund'!AP40</f>
        <v>10000000</v>
      </c>
      <c r="FA40" s="66">
        <f>'[1]UNIV 2019'!AP46</f>
        <v>0</v>
      </c>
      <c r="FB40" s="75">
        <f t="shared" si="39"/>
        <v>10000000</v>
      </c>
      <c r="FC40" s="75"/>
      <c r="FD40" s="75">
        <f>'[1]Univ Comm Fund'!AQ40</f>
        <v>0</v>
      </c>
      <c r="FE40" s="75">
        <f>'[1]UNIV 2019'!AQ46</f>
        <v>0</v>
      </c>
      <c r="FF40" s="75">
        <f t="shared" si="40"/>
        <v>0</v>
      </c>
      <c r="FG40" s="75"/>
      <c r="FH40" s="75">
        <f>'[1]Univ Comm Fund'!AR40</f>
        <v>0</v>
      </c>
      <c r="FI40" s="75">
        <f>'[1]UNIV 2019'!AR46</f>
        <v>0</v>
      </c>
      <c r="FJ40" s="75">
        <f t="shared" si="41"/>
        <v>0</v>
      </c>
      <c r="FK40" s="75"/>
      <c r="FL40" s="75">
        <f>'[1]Univ Comm Fund'!AS40</f>
        <v>300000000</v>
      </c>
      <c r="FM40" s="75">
        <f>'[1]UNIV 2019'!AS46</f>
        <v>0</v>
      </c>
      <c r="FN40" s="75">
        <f t="shared" si="42"/>
        <v>300000000</v>
      </c>
      <c r="FO40" s="75"/>
      <c r="FP40" s="75">
        <f>'[1]Univ Comm Fund'!AT40</f>
        <v>120000000</v>
      </c>
      <c r="FQ40" s="75">
        <f>'[1]UNIV 2019'!AT46</f>
        <v>81600000</v>
      </c>
      <c r="FR40" s="75">
        <f t="shared" si="43"/>
        <v>38400000</v>
      </c>
      <c r="FS40" s="75"/>
      <c r="FT40" s="75">
        <f>'[1]Univ Comm Fund'!AU40</f>
        <v>10000000</v>
      </c>
      <c r="FU40" s="75">
        <f>'[1]UNIV 2019'!AU46</f>
        <v>0</v>
      </c>
      <c r="FV40" s="75">
        <f t="shared" si="44"/>
        <v>10000000</v>
      </c>
      <c r="FW40" s="75"/>
      <c r="FX40" s="75">
        <f>'[1]Univ Comm Fund'!AV40</f>
        <v>5000000</v>
      </c>
      <c r="FY40" s="75">
        <f>'[1]UNIV 2019'!AV46</f>
        <v>0</v>
      </c>
      <c r="FZ40" s="75">
        <f t="shared" si="45"/>
        <v>5000000</v>
      </c>
      <c r="GA40" s="75"/>
      <c r="GB40" s="75">
        <f>'[1]Univ Comm Fund'!AW40</f>
        <v>10000000</v>
      </c>
      <c r="GC40" s="75">
        <f>'[1]UNIV 2019'!AW46</f>
        <v>0</v>
      </c>
      <c r="GD40" s="75">
        <f t="shared" si="46"/>
        <v>10000000</v>
      </c>
      <c r="GE40" s="75"/>
      <c r="GF40" s="75">
        <f>'[1]Univ Comm Fund'!AX40</f>
        <v>0</v>
      </c>
      <c r="GG40" s="75">
        <f>'[1]UNIV 2019'!AX46</f>
        <v>0</v>
      </c>
      <c r="GH40" s="75">
        <f t="shared" si="47"/>
        <v>0</v>
      </c>
      <c r="GI40" s="75"/>
      <c r="GJ40" s="75">
        <f>'[1]Univ Comm Fund'!AY40</f>
        <v>350000000</v>
      </c>
      <c r="GK40" s="75">
        <f>'[1]UNIV 2019'!AY46</f>
        <v>0</v>
      </c>
      <c r="GL40" s="75">
        <f t="shared" si="48"/>
        <v>350000000</v>
      </c>
      <c r="GM40" s="75"/>
      <c r="GN40" s="75">
        <f>'[1]Univ Comm Fund'!AZ40</f>
        <v>175823700</v>
      </c>
      <c r="GO40" s="75">
        <f>'[1]UNIV 2019'!AZ46</f>
        <v>0</v>
      </c>
      <c r="GP40" s="75">
        <f t="shared" si="49"/>
        <v>175823700</v>
      </c>
      <c r="GQ40" s="75"/>
      <c r="GR40" s="75">
        <f>'[1]Univ Comm Fund'!BA40</f>
        <v>20000000</v>
      </c>
      <c r="GS40" s="75">
        <f>'[1]UNIV 2019'!BA46</f>
        <v>0</v>
      </c>
      <c r="GT40" s="75">
        <f t="shared" si="50"/>
        <v>20000000</v>
      </c>
      <c r="GU40" s="75"/>
      <c r="GV40" s="75">
        <f>'[1]Univ Comm Fund'!BB40</f>
        <v>5000000</v>
      </c>
      <c r="GW40" s="75">
        <f>'[1]UNIV 2019'!BB46</f>
        <v>0</v>
      </c>
      <c r="GX40" s="75">
        <f t="shared" si="51"/>
        <v>5000000</v>
      </c>
      <c r="GY40" s="75"/>
      <c r="GZ40" s="75">
        <f>'[1]Univ Comm Fund'!BC40</f>
        <v>10000000</v>
      </c>
      <c r="HA40" s="75">
        <f>'[1]UNIV 2019'!BD46</f>
        <v>0</v>
      </c>
      <c r="HB40" s="75">
        <f t="shared" si="52"/>
        <v>10000000</v>
      </c>
      <c r="HC40" s="75"/>
      <c r="HD40" s="75">
        <f>'[1]Univ Comm Fund'!BD40</f>
        <v>0</v>
      </c>
      <c r="HE40" s="75">
        <f>'[1]UNIV 2019'!BC46</f>
        <v>0</v>
      </c>
      <c r="HF40" s="75">
        <f t="shared" si="53"/>
        <v>0</v>
      </c>
      <c r="HG40" s="75"/>
      <c r="HH40" s="75">
        <f t="shared" si="54"/>
        <v>4789137076.6700001</v>
      </c>
      <c r="HI40" s="75">
        <f t="shared" si="54"/>
        <v>3086476866.9400001</v>
      </c>
      <c r="HJ40" s="82">
        <f t="shared" si="55"/>
        <v>1702660209.73</v>
      </c>
      <c r="HL40" s="83">
        <f t="shared" si="56"/>
        <v>3301313376.6700001</v>
      </c>
      <c r="HM40" s="83">
        <f t="shared" si="56"/>
        <v>1995676866.9400001</v>
      </c>
      <c r="HN40" s="84">
        <f t="shared" si="57"/>
        <v>1305636509.73</v>
      </c>
      <c r="HP40" s="83">
        <f t="shared" si="58"/>
        <v>950000000</v>
      </c>
      <c r="HQ40" s="83">
        <f t="shared" si="58"/>
        <v>912500000</v>
      </c>
      <c r="HR40" s="84">
        <f t="shared" si="59"/>
        <v>37500000</v>
      </c>
      <c r="HT40" s="83">
        <f t="shared" si="60"/>
        <v>145000000</v>
      </c>
      <c r="HU40" s="83">
        <f t="shared" si="60"/>
        <v>95000000</v>
      </c>
      <c r="HV40" s="84">
        <f t="shared" si="61"/>
        <v>50000000</v>
      </c>
      <c r="HX40" s="83">
        <f t="shared" si="62"/>
        <v>60000000</v>
      </c>
      <c r="HY40" s="83">
        <f t="shared" si="62"/>
        <v>0</v>
      </c>
      <c r="HZ40" s="84">
        <f t="shared" si="63"/>
        <v>60000000</v>
      </c>
      <c r="IB40" s="83">
        <f t="shared" si="64"/>
        <v>35000000</v>
      </c>
      <c r="IC40" s="83">
        <f t="shared" si="64"/>
        <v>0</v>
      </c>
      <c r="ID40" s="84">
        <f t="shared" si="65"/>
        <v>35000000</v>
      </c>
      <c r="IF40" s="83">
        <f t="shared" si="69"/>
        <v>2000000</v>
      </c>
      <c r="IG40" s="83">
        <f t="shared" si="69"/>
        <v>1700000</v>
      </c>
      <c r="IH40" s="84">
        <f t="shared" si="66"/>
        <v>300000</v>
      </c>
      <c r="IJ40" s="84">
        <f t="shared" si="67"/>
        <v>295823700</v>
      </c>
      <c r="IK40" s="84">
        <f t="shared" si="67"/>
        <v>81600000</v>
      </c>
      <c r="IL40" s="84">
        <f t="shared" si="68"/>
        <v>214223700</v>
      </c>
    </row>
    <row r="41" spans="1:246" x14ac:dyDescent="0.25">
      <c r="A41" s="42">
        <v>36</v>
      </c>
      <c r="B41" s="86" t="s">
        <v>100</v>
      </c>
      <c r="C41" s="42" t="s">
        <v>76</v>
      </c>
      <c r="D41" s="66">
        <f>'[1]Univ Comm Fund'!D41</f>
        <v>59027776.670000002</v>
      </c>
      <c r="E41" s="66">
        <f>'[1]UNIV 2019'!D47</f>
        <v>59027776.670000002</v>
      </c>
      <c r="F41" s="75">
        <f t="shared" si="4"/>
        <v>0</v>
      </c>
      <c r="G41" s="66"/>
      <c r="H41" s="66">
        <f>'[1]Univ Comm Fund'!E41</f>
        <v>20000000</v>
      </c>
      <c r="I41" s="66">
        <f>'[1]UNIV 2019'!E47</f>
        <v>20000000</v>
      </c>
      <c r="J41" s="66">
        <f t="shared" si="5"/>
        <v>0</v>
      </c>
      <c r="K41" s="66"/>
      <c r="L41" s="66">
        <f>'[1]Univ Comm Fund'!F41</f>
        <v>40000000</v>
      </c>
      <c r="M41" s="66">
        <f>'[1]UNIV 2019'!F47</f>
        <v>40000000</v>
      </c>
      <c r="N41" s="66">
        <f t="shared" si="6"/>
        <v>0</v>
      </c>
      <c r="O41" s="66"/>
      <c r="P41" s="66">
        <f>'[1]Univ Comm Fund'!G41</f>
        <v>0</v>
      </c>
      <c r="Q41" s="66">
        <f>'[1]UNIV 2019'!G47</f>
        <v>0</v>
      </c>
      <c r="R41" s="66">
        <f t="shared" si="7"/>
        <v>0</v>
      </c>
      <c r="S41" s="87"/>
      <c r="T41" s="66">
        <f>'[1]Univ Comm Fund'!H41</f>
        <v>50000000</v>
      </c>
      <c r="U41" s="66">
        <f>'[1]UNIV 2019'!H47</f>
        <v>50000000</v>
      </c>
      <c r="V41" s="66">
        <f t="shared" si="8"/>
        <v>0</v>
      </c>
      <c r="W41" s="66"/>
      <c r="X41" s="66">
        <f>'[1]Univ Comm Fund'!I41</f>
        <v>0</v>
      </c>
      <c r="Y41" s="66">
        <f>'[1]UNIV 2019'!I47</f>
        <v>0</v>
      </c>
      <c r="Z41" s="66">
        <f t="shared" si="9"/>
        <v>0</v>
      </c>
      <c r="AA41" s="66"/>
      <c r="AB41" s="66">
        <f>'[1]Univ Comm Fund'!J41</f>
        <v>30000000</v>
      </c>
      <c r="AC41" s="66">
        <f>'[1]UNIV 2019'!J47</f>
        <v>30000000</v>
      </c>
      <c r="AD41" s="66">
        <f t="shared" si="10"/>
        <v>0</v>
      </c>
      <c r="AE41" s="66"/>
      <c r="AF41" s="88">
        <f>'[1]Univ Comm Fund'!K41</f>
        <v>30000000</v>
      </c>
      <c r="AG41" s="66">
        <f>'[1]UNIV 2019'!K47</f>
        <v>30000000</v>
      </c>
      <c r="AH41" s="66">
        <f t="shared" si="11"/>
        <v>0</v>
      </c>
      <c r="AI41" s="88"/>
      <c r="AJ41" s="66">
        <f>'[1]Univ Comm Fund'!L41</f>
        <v>0</v>
      </c>
      <c r="AK41" s="66">
        <f>'[1]UNIV 2019'!L47</f>
        <v>0</v>
      </c>
      <c r="AL41" s="66">
        <f t="shared" si="12"/>
        <v>0</v>
      </c>
      <c r="AM41" s="66"/>
      <c r="AN41" s="66">
        <f>'[1]Univ Comm Fund'!M41</f>
        <v>40000000</v>
      </c>
      <c r="AO41" s="66">
        <f>'[1]UNIV 2019'!M47</f>
        <v>40000000</v>
      </c>
      <c r="AP41" s="66">
        <f t="shared" si="13"/>
        <v>0</v>
      </c>
      <c r="AQ41" s="66"/>
      <c r="AR41" s="66">
        <f>'[1]Univ Comm Fund'!N41</f>
        <v>0</v>
      </c>
      <c r="AS41" s="66">
        <f>'[1]UNIV 2019'!N47</f>
        <v>0</v>
      </c>
      <c r="AT41" s="66">
        <f t="shared" si="14"/>
        <v>0</v>
      </c>
      <c r="AU41" s="66"/>
      <c r="AV41" s="66">
        <f>'[1]Univ Comm Fund'!O41</f>
        <v>40000000</v>
      </c>
      <c r="AW41" s="66">
        <f>'[1]UNIV 2019'!O47</f>
        <v>40000000</v>
      </c>
      <c r="AX41" s="66">
        <f t="shared" si="15"/>
        <v>0</v>
      </c>
      <c r="AY41" s="66"/>
      <c r="AZ41" s="66">
        <f>'[1]Univ Comm Fund'!P41</f>
        <v>0</v>
      </c>
      <c r="BA41" s="66">
        <f>'[1]UNIV 2019'!P47</f>
        <v>0</v>
      </c>
      <c r="BB41" s="66">
        <f t="shared" si="0"/>
        <v>0</v>
      </c>
      <c r="BC41" s="66"/>
      <c r="BD41" s="66">
        <f>'[1]Univ Comm Fund'!Q41</f>
        <v>52000000</v>
      </c>
      <c r="BE41" s="66">
        <f>'[1]UNIV 2019'!Q47</f>
        <v>52000000</v>
      </c>
      <c r="BF41" s="66">
        <f t="shared" si="1"/>
        <v>0</v>
      </c>
      <c r="BG41" s="66"/>
      <c r="BH41" s="66">
        <f>'[1]Univ Comm Fund'!R41</f>
        <v>67000000</v>
      </c>
      <c r="BI41" s="66">
        <f>'[1]UNIV 2019'!R47</f>
        <v>67000000</v>
      </c>
      <c r="BJ41" s="66">
        <f t="shared" si="16"/>
        <v>0</v>
      </c>
      <c r="BK41" s="66"/>
      <c r="BL41" s="66">
        <f>'[1]Univ Comm Fund'!S41</f>
        <v>57000000</v>
      </c>
      <c r="BM41" s="66">
        <f>'[1]UNIV 2019'!S47</f>
        <v>57000000</v>
      </c>
      <c r="BN41" s="66">
        <f t="shared" si="17"/>
        <v>0</v>
      </c>
      <c r="BO41" s="66"/>
      <c r="BP41" s="66">
        <f>'[1]Univ Comm Fund'!T41</f>
        <v>0</v>
      </c>
      <c r="BQ41" s="66">
        <f>'[1]UNIV 2019'!T47</f>
        <v>0</v>
      </c>
      <c r="BR41" s="66">
        <f t="shared" si="18"/>
        <v>0</v>
      </c>
      <c r="BS41" s="66"/>
      <c r="BT41" s="90">
        <f>'[1]Univ Comm Fund'!U41</f>
        <v>193140000</v>
      </c>
      <c r="BU41" s="90">
        <f>'[1]UNIV 2019'!U47</f>
        <v>193140000</v>
      </c>
      <c r="BV41" s="90">
        <f t="shared" si="2"/>
        <v>0</v>
      </c>
      <c r="BW41" s="66"/>
      <c r="BX41" s="66">
        <f>'[1]Univ Comm Fund'!V41</f>
        <v>521250000</v>
      </c>
      <c r="BY41" s="66">
        <f>'[1]UNIV 2019'!V47</f>
        <v>521250000</v>
      </c>
      <c r="BZ41" s="66">
        <f t="shared" si="19"/>
        <v>0</v>
      </c>
      <c r="CA41" s="66"/>
      <c r="CB41" s="66">
        <f>'[1]Univ Comm Fund'!W41</f>
        <v>175000000</v>
      </c>
      <c r="CC41" s="66">
        <f>'[1]UNIV 2019'!W47</f>
        <v>148750000</v>
      </c>
      <c r="CD41" s="66">
        <f t="shared" si="20"/>
        <v>26250000</v>
      </c>
      <c r="CE41" s="66"/>
      <c r="CF41" s="66">
        <v>75000000</v>
      </c>
      <c r="CG41" s="66">
        <f>'[1]UNIV 2019'!X47</f>
        <v>63750000</v>
      </c>
      <c r="CH41" s="75">
        <f t="shared" si="21"/>
        <v>11250000</v>
      </c>
      <c r="CI41" s="66"/>
      <c r="CJ41" s="66">
        <f>'[1]Univ Comm Fund'!Y41</f>
        <v>0</v>
      </c>
      <c r="CK41" s="66">
        <f>'[1]UNIV 2019'!Y47</f>
        <v>0</v>
      </c>
      <c r="CL41" s="66">
        <f t="shared" si="22"/>
        <v>0</v>
      </c>
      <c r="CM41" s="66"/>
      <c r="CN41" s="20">
        <f>'[1]Univ Comm Fund'!Z41</f>
        <v>350000000</v>
      </c>
      <c r="CO41" s="66">
        <f>'[1]UNIV 2019'!Z47</f>
        <v>350000000</v>
      </c>
      <c r="CP41" s="66">
        <f t="shared" si="23"/>
        <v>0</v>
      </c>
      <c r="CQ41" s="20"/>
      <c r="CR41" s="66">
        <f>'[1]Univ Comm Fund'!AA41</f>
        <v>1000000000</v>
      </c>
      <c r="CS41" s="66">
        <f>'[1]UNIV 2019'!AA47</f>
        <v>1000000000</v>
      </c>
      <c r="CT41" s="75">
        <f t="shared" si="24"/>
        <v>0</v>
      </c>
      <c r="CU41" s="66"/>
      <c r="CV41" s="66">
        <f>'[1]Univ Comm Fund'!AB41</f>
        <v>300000000</v>
      </c>
      <c r="CW41" s="66">
        <f>'[1]UNIV 2019'!AB47</f>
        <v>255000000</v>
      </c>
      <c r="CX41" s="75">
        <f t="shared" si="25"/>
        <v>45000000</v>
      </c>
      <c r="CY41" s="66"/>
      <c r="CZ41" s="66">
        <f>'[1]Univ Comm Fund'!AC41</f>
        <v>356000000</v>
      </c>
      <c r="DA41" s="66">
        <f>'[1]UNIV 2019'!AC47</f>
        <v>356000000</v>
      </c>
      <c r="DB41" s="66">
        <f t="shared" si="26"/>
        <v>0</v>
      </c>
      <c r="DC41" s="66"/>
      <c r="DD41" s="66">
        <f>'[1]Univ Comm Fund'!AD41</f>
        <v>20000000</v>
      </c>
      <c r="DE41" s="66">
        <f>'[1]UNIV 2019'!AD47</f>
        <v>0</v>
      </c>
      <c r="DF41" s="66">
        <f t="shared" si="27"/>
        <v>20000000</v>
      </c>
      <c r="DG41" s="66"/>
      <c r="DH41" s="66">
        <f>'[1]Univ Comm Fund'!AE41</f>
        <v>552000000</v>
      </c>
      <c r="DI41" s="66">
        <f>'[1]UNIV 2019'!AE47</f>
        <v>552000000</v>
      </c>
      <c r="DJ41" s="66">
        <f t="shared" si="28"/>
        <v>0</v>
      </c>
      <c r="DK41" s="66"/>
      <c r="DL41" s="66">
        <f>'[1]Univ Comm Fund'!AF41</f>
        <v>20000000</v>
      </c>
      <c r="DM41" s="66">
        <f>'[1]UNIV 2019'!AF47</f>
        <v>0</v>
      </c>
      <c r="DN41" s="66">
        <f t="shared" si="29"/>
        <v>20000000</v>
      </c>
      <c r="DO41" s="66"/>
      <c r="DP41" s="66">
        <f>'[1]Univ Comm Fund'!AG41</f>
        <v>250000000</v>
      </c>
      <c r="DQ41" s="66">
        <f>'[1]UNIV 2019'!AG47</f>
        <v>132500000</v>
      </c>
      <c r="DR41" s="66">
        <f t="shared" si="30"/>
        <v>117500000</v>
      </c>
      <c r="DS41" s="66"/>
      <c r="DT41" s="66">
        <f>'[1]Univ Comm Fund'!AH41</f>
        <v>100000000</v>
      </c>
      <c r="DU41" s="66">
        <f>'[1]UNIV 2019'!AH47</f>
        <v>64000000</v>
      </c>
      <c r="DV41" s="66">
        <f t="shared" si="31"/>
        <v>36000000</v>
      </c>
      <c r="DW41" s="66"/>
      <c r="DX41" s="66">
        <f>'[1]Univ Comm Fund'!AI41</f>
        <v>15000000</v>
      </c>
      <c r="DY41" s="66">
        <f>'[1]UNIV 2019'!AI47</f>
        <v>12750000</v>
      </c>
      <c r="DZ41" s="66">
        <f t="shared" si="32"/>
        <v>2250000</v>
      </c>
      <c r="EA41" s="66"/>
      <c r="EB41" s="66">
        <f>'[1]Univ Comm Fund'!AJ41</f>
        <v>2000000</v>
      </c>
      <c r="EC41" s="66">
        <f>'[1]UNIV 2019'!AJ47</f>
        <v>0</v>
      </c>
      <c r="ED41" s="66">
        <f t="shared" si="33"/>
        <v>2000000</v>
      </c>
      <c r="EE41" s="66"/>
      <c r="EF41" s="66">
        <f>'[1]Univ Comm Fund'!AK41</f>
        <v>10000000</v>
      </c>
      <c r="EG41" s="66">
        <f>'[1]UNIV 2019'!AK47</f>
        <v>0</v>
      </c>
      <c r="EH41" s="66">
        <f t="shared" si="34"/>
        <v>10000000</v>
      </c>
      <c r="EI41" s="66"/>
      <c r="EJ41" s="66">
        <f>'[1]Univ Comm Fund'!AL41</f>
        <v>2400000000</v>
      </c>
      <c r="EK41" s="66">
        <f>'[1]UNIV 2019'!AL47</f>
        <v>2367500000</v>
      </c>
      <c r="EL41" s="66">
        <f t="shared" si="35"/>
        <v>32500000</v>
      </c>
      <c r="EM41" s="66"/>
      <c r="EN41" s="80">
        <f>'[1]Univ Comm Fund'!AM41</f>
        <v>565410000</v>
      </c>
      <c r="EO41" s="66">
        <f>'[1]UNIV 2019'!AM47</f>
        <v>361862400</v>
      </c>
      <c r="EP41" s="75">
        <f t="shared" si="36"/>
        <v>203547600</v>
      </c>
      <c r="EQ41" s="66"/>
      <c r="ER41" s="66">
        <f>'[1]Univ Comm Fund'!AN41</f>
        <v>15000000</v>
      </c>
      <c r="ES41" s="66">
        <f>'[1]UNIV 2019'!AN47</f>
        <v>12750000</v>
      </c>
      <c r="ET41" s="75">
        <f t="shared" si="37"/>
        <v>2250000</v>
      </c>
      <c r="EU41" s="66"/>
      <c r="EV41" s="66">
        <f>'[1]Univ Comm Fund'!AO41</f>
        <v>15000000</v>
      </c>
      <c r="EW41" s="66">
        <f>'[1]UNIV 2019'!AO47</f>
        <v>0</v>
      </c>
      <c r="EX41" s="75">
        <f t="shared" si="38"/>
        <v>15000000</v>
      </c>
      <c r="EY41" s="66"/>
      <c r="EZ41" s="66">
        <f>'[1]Univ Comm Fund'!AP41</f>
        <v>10000000</v>
      </c>
      <c r="FA41" s="66">
        <f>'[1]UNIV 2019'!AP47</f>
        <v>0</v>
      </c>
      <c r="FB41" s="75">
        <f t="shared" si="39"/>
        <v>10000000</v>
      </c>
      <c r="FC41" s="75"/>
      <c r="FD41" s="75">
        <f>'[1]Univ Comm Fund'!AQ41</f>
        <v>0</v>
      </c>
      <c r="FE41" s="75">
        <f>'[1]UNIV 2019'!AQ47</f>
        <v>0</v>
      </c>
      <c r="FF41" s="75">
        <f t="shared" si="40"/>
        <v>0</v>
      </c>
      <c r="FG41" s="75"/>
      <c r="FH41" s="81">
        <f>'[1]Univ Comm Fund'!AR41</f>
        <v>300000000</v>
      </c>
      <c r="FI41" s="75">
        <f>'[1]UNIV 2019'!AR47</f>
        <v>225000000</v>
      </c>
      <c r="FJ41" s="75">
        <f t="shared" si="41"/>
        <v>75000000</v>
      </c>
      <c r="FK41" s="75"/>
      <c r="FL41" s="75">
        <f>'[1]Univ Comm Fund'!AS41</f>
        <v>300000000</v>
      </c>
      <c r="FM41" s="75">
        <f>'[1]UNIV 2019'!AS47</f>
        <v>0</v>
      </c>
      <c r="FN41" s="75">
        <f t="shared" si="42"/>
        <v>300000000</v>
      </c>
      <c r="FO41" s="75"/>
      <c r="FP41" s="75">
        <f>'[1]Univ Comm Fund'!AT41</f>
        <v>120000000</v>
      </c>
      <c r="FQ41" s="75">
        <f>'[1]UNIV 2019'!AT47</f>
        <v>75000000</v>
      </c>
      <c r="FR41" s="75">
        <f t="shared" si="43"/>
        <v>45000000</v>
      </c>
      <c r="FS41" s="75"/>
      <c r="FT41" s="75">
        <f>'[1]Univ Comm Fund'!AU41</f>
        <v>10000000</v>
      </c>
      <c r="FU41" s="75">
        <f>'[1]UNIV 2019'!AU47</f>
        <v>0</v>
      </c>
      <c r="FV41" s="75">
        <f t="shared" si="44"/>
        <v>10000000</v>
      </c>
      <c r="FW41" s="75"/>
      <c r="FX41" s="75">
        <f>'[1]Univ Comm Fund'!AV41</f>
        <v>5000000</v>
      </c>
      <c r="FY41" s="75">
        <f>'[1]UNIV 2019'!AV47</f>
        <v>0</v>
      </c>
      <c r="FZ41" s="75">
        <f t="shared" si="45"/>
        <v>5000000</v>
      </c>
      <c r="GA41" s="75"/>
      <c r="GB41" s="75">
        <f>'[1]Univ Comm Fund'!AW41</f>
        <v>10000000</v>
      </c>
      <c r="GC41" s="75">
        <f>'[1]UNIV 2019'!AW47</f>
        <v>0</v>
      </c>
      <c r="GD41" s="75">
        <f t="shared" si="46"/>
        <v>10000000</v>
      </c>
      <c r="GE41" s="75"/>
      <c r="GF41" s="75">
        <f>'[1]Univ Comm Fund'!AX41</f>
        <v>450000000</v>
      </c>
      <c r="GG41" s="75">
        <f>'[1]UNIV 2019'!AX47</f>
        <v>319500000</v>
      </c>
      <c r="GH41" s="75">
        <f t="shared" si="47"/>
        <v>130500000</v>
      </c>
      <c r="GI41" s="75"/>
      <c r="GJ41" s="75">
        <f>'[1]Univ Comm Fund'!AY41</f>
        <v>350000000</v>
      </c>
      <c r="GK41" s="75">
        <f>'[1]UNIV 2019'!AY47</f>
        <v>0</v>
      </c>
      <c r="GL41" s="75">
        <f t="shared" si="48"/>
        <v>350000000</v>
      </c>
      <c r="GM41" s="75"/>
      <c r="GN41" s="75">
        <f>'[1]Univ Comm Fund'!AZ41</f>
        <v>175823700</v>
      </c>
      <c r="GO41" s="75">
        <f>'[1]UNIV 2019'!AZ47</f>
        <v>0</v>
      </c>
      <c r="GP41" s="75">
        <f t="shared" si="49"/>
        <v>175823700</v>
      </c>
      <c r="GQ41" s="75"/>
      <c r="GR41" s="75">
        <f>'[1]Univ Comm Fund'!BA41</f>
        <v>20000000</v>
      </c>
      <c r="GS41" s="75">
        <f>'[1]UNIV 2019'!BA47</f>
        <v>0</v>
      </c>
      <c r="GT41" s="75">
        <f t="shared" si="50"/>
        <v>20000000</v>
      </c>
      <c r="GU41" s="75"/>
      <c r="GV41" s="75">
        <f>'[1]Univ Comm Fund'!BB41</f>
        <v>5000000</v>
      </c>
      <c r="GW41" s="75">
        <f>'[1]UNIV 2019'!BB47</f>
        <v>0</v>
      </c>
      <c r="GX41" s="75">
        <f t="shared" si="51"/>
        <v>5000000</v>
      </c>
      <c r="GY41" s="75"/>
      <c r="GZ41" s="75">
        <f>'[1]Univ Comm Fund'!BC41</f>
        <v>10000000</v>
      </c>
      <c r="HA41" s="75">
        <f>'[1]UNIV 2019'!BD47</f>
        <v>0</v>
      </c>
      <c r="HB41" s="75">
        <f t="shared" si="52"/>
        <v>10000000</v>
      </c>
      <c r="HC41" s="75"/>
      <c r="HD41" s="75">
        <f>'[1]Univ Comm Fund'!BD41</f>
        <v>0</v>
      </c>
      <c r="HE41" s="75">
        <f>'[1]UNIV 2019'!BC47</f>
        <v>0</v>
      </c>
      <c r="HF41" s="75">
        <f t="shared" si="53"/>
        <v>0</v>
      </c>
      <c r="HG41" s="75"/>
      <c r="HH41" s="75">
        <f t="shared" si="54"/>
        <v>9185651476.6700001</v>
      </c>
      <c r="HI41" s="75">
        <f t="shared" si="54"/>
        <v>7495780176.6700001</v>
      </c>
      <c r="HJ41" s="82">
        <f t="shared" si="55"/>
        <v>1689871300</v>
      </c>
      <c r="HL41" s="83">
        <f t="shared" si="56"/>
        <v>3426577776.6700001</v>
      </c>
      <c r="HM41" s="83">
        <f t="shared" si="56"/>
        <v>2510780176.6700001</v>
      </c>
      <c r="HN41" s="84">
        <f t="shared" si="57"/>
        <v>915797600</v>
      </c>
      <c r="HP41" s="83">
        <f t="shared" si="58"/>
        <v>4921250000</v>
      </c>
      <c r="HQ41" s="83">
        <f t="shared" si="58"/>
        <v>4595750000</v>
      </c>
      <c r="HR41" s="84">
        <f t="shared" si="59"/>
        <v>325500000</v>
      </c>
      <c r="HT41" s="83">
        <f t="shared" si="60"/>
        <v>145000000</v>
      </c>
      <c r="HU41" s="83">
        <f t="shared" si="60"/>
        <v>63750000</v>
      </c>
      <c r="HV41" s="84">
        <f t="shared" si="61"/>
        <v>81250000</v>
      </c>
      <c r="HX41" s="83">
        <f t="shared" si="62"/>
        <v>60000000</v>
      </c>
      <c r="HY41" s="83">
        <f t="shared" si="62"/>
        <v>25500000</v>
      </c>
      <c r="HZ41" s="84">
        <f t="shared" si="63"/>
        <v>34500000</v>
      </c>
      <c r="IB41" s="83">
        <f t="shared" si="64"/>
        <v>35000000</v>
      </c>
      <c r="IC41" s="83">
        <f t="shared" si="64"/>
        <v>0</v>
      </c>
      <c r="ID41" s="84">
        <f t="shared" si="65"/>
        <v>35000000</v>
      </c>
      <c r="IF41" s="83">
        <f t="shared" si="69"/>
        <v>2000000</v>
      </c>
      <c r="IG41" s="83">
        <f t="shared" si="69"/>
        <v>0</v>
      </c>
      <c r="IH41" s="84">
        <f t="shared" si="66"/>
        <v>2000000</v>
      </c>
      <c r="IJ41" s="84">
        <f t="shared" si="67"/>
        <v>595823700</v>
      </c>
      <c r="IK41" s="84">
        <f t="shared" si="67"/>
        <v>300000000</v>
      </c>
      <c r="IL41" s="84">
        <f t="shared" si="68"/>
        <v>295823700</v>
      </c>
    </row>
    <row r="42" spans="1:246" ht="15.75" x14ac:dyDescent="0.25">
      <c r="A42" s="42">
        <v>37</v>
      </c>
      <c r="B42" s="107" t="s">
        <v>101</v>
      </c>
      <c r="C42" s="42" t="s">
        <v>74</v>
      </c>
      <c r="D42" s="66">
        <f>'[1]Univ Comm Fund'!D42</f>
        <v>59027776.670000002</v>
      </c>
      <c r="E42" s="66">
        <f>'[1]UNIV 2019'!D48</f>
        <v>59027776.670000002</v>
      </c>
      <c r="F42" s="75">
        <f t="shared" si="4"/>
        <v>0</v>
      </c>
      <c r="G42" s="66"/>
      <c r="H42" s="66">
        <f>'[1]Univ Comm Fund'!E42</f>
        <v>20000000</v>
      </c>
      <c r="I42" s="66">
        <f>'[1]UNIV 2019'!E48</f>
        <v>20000000</v>
      </c>
      <c r="J42" s="66">
        <f t="shared" si="5"/>
        <v>0</v>
      </c>
      <c r="K42" s="66"/>
      <c r="L42" s="66">
        <f>'[1]Univ Comm Fund'!F42</f>
        <v>40000000</v>
      </c>
      <c r="M42" s="66">
        <f>'[1]UNIV 2019'!F48</f>
        <v>40000000</v>
      </c>
      <c r="N42" s="66">
        <f t="shared" si="6"/>
        <v>0</v>
      </c>
      <c r="O42" s="66"/>
      <c r="P42" s="66">
        <f>'[1]Univ Comm Fund'!G42</f>
        <v>71000</v>
      </c>
      <c r="Q42" s="66">
        <f>'[1]UNIV 2019'!G48</f>
        <v>71000</v>
      </c>
      <c r="R42" s="66">
        <f t="shared" si="7"/>
        <v>0</v>
      </c>
      <c r="S42" s="87"/>
      <c r="T42" s="66">
        <f>'[1]Univ Comm Fund'!H42</f>
        <v>50000000</v>
      </c>
      <c r="U42" s="66">
        <f>'[1]UNIV 2019'!H48</f>
        <v>50000000</v>
      </c>
      <c r="V42" s="66">
        <f t="shared" si="8"/>
        <v>0</v>
      </c>
      <c r="W42" s="66"/>
      <c r="X42" s="66">
        <f>'[1]Univ Comm Fund'!I42</f>
        <v>0</v>
      </c>
      <c r="Y42" s="66">
        <f>'[1]UNIV 2019'!I48</f>
        <v>0</v>
      </c>
      <c r="Z42" s="66">
        <f t="shared" si="9"/>
        <v>0</v>
      </c>
      <c r="AA42" s="66"/>
      <c r="AB42" s="66">
        <f>'[1]Univ Comm Fund'!J42</f>
        <v>30000000</v>
      </c>
      <c r="AC42" s="66">
        <f>'[1]UNIV 2019'!J48</f>
        <v>30000000</v>
      </c>
      <c r="AD42" s="66">
        <f t="shared" si="10"/>
        <v>0</v>
      </c>
      <c r="AE42" s="66"/>
      <c r="AF42" s="88">
        <f>'[1]Univ Comm Fund'!K42</f>
        <v>30000000</v>
      </c>
      <c r="AG42" s="66">
        <f>'[1]UNIV 2019'!K48</f>
        <v>30000000</v>
      </c>
      <c r="AH42" s="66">
        <f t="shared" si="11"/>
        <v>0</v>
      </c>
      <c r="AI42" s="88"/>
      <c r="AJ42" s="66">
        <f>'[1]Univ Comm Fund'!L42</f>
        <v>0</v>
      </c>
      <c r="AK42" s="66">
        <f>'[1]UNIV 2019'!L48</f>
        <v>0</v>
      </c>
      <c r="AL42" s="66">
        <f t="shared" si="12"/>
        <v>0</v>
      </c>
      <c r="AM42" s="66"/>
      <c r="AN42" s="66">
        <f>'[1]Univ Comm Fund'!M42</f>
        <v>0</v>
      </c>
      <c r="AO42" s="66">
        <f>'[1]UNIV 2019'!M48</f>
        <v>0</v>
      </c>
      <c r="AP42" s="66">
        <f t="shared" si="13"/>
        <v>0</v>
      </c>
      <c r="AQ42" s="66"/>
      <c r="AR42" s="66">
        <f>'[1]Univ Comm Fund'!N42</f>
        <v>0</v>
      </c>
      <c r="AS42" s="66">
        <f>'[1]UNIV 2019'!N48</f>
        <v>0</v>
      </c>
      <c r="AT42" s="66">
        <f t="shared" si="14"/>
        <v>0</v>
      </c>
      <c r="AU42" s="66"/>
      <c r="AV42" s="66">
        <f>'[1]Univ Comm Fund'!O42</f>
        <v>34000000</v>
      </c>
      <c r="AW42" s="66">
        <f>'[1]UNIV 2019'!O48</f>
        <v>34000000</v>
      </c>
      <c r="AX42" s="66">
        <f t="shared" si="15"/>
        <v>0</v>
      </c>
      <c r="AY42" s="66"/>
      <c r="AZ42" s="66">
        <f>'[1]Univ Comm Fund'!P42</f>
        <v>0</v>
      </c>
      <c r="BA42" s="66">
        <f>'[1]UNIV 2019'!P48</f>
        <v>0</v>
      </c>
      <c r="BB42" s="66">
        <f t="shared" si="0"/>
        <v>0</v>
      </c>
      <c r="BC42" s="66"/>
      <c r="BD42" s="66">
        <f>'[1]Univ Comm Fund'!Q42</f>
        <v>44200000</v>
      </c>
      <c r="BE42" s="66">
        <f>'[1]UNIV 2019'!Q48</f>
        <v>44200000</v>
      </c>
      <c r="BF42" s="66">
        <f t="shared" si="1"/>
        <v>0</v>
      </c>
      <c r="BG42" s="66"/>
      <c r="BH42" s="66">
        <f>'[1]Univ Comm Fund'!R42</f>
        <v>56950000</v>
      </c>
      <c r="BI42" s="66">
        <f>'[1]UNIV 2019'!R48</f>
        <v>56950000</v>
      </c>
      <c r="BJ42" s="66">
        <f t="shared" si="16"/>
        <v>0</v>
      </c>
      <c r="BK42" s="66"/>
      <c r="BL42" s="66">
        <f>'[1]Univ Comm Fund'!S42</f>
        <v>57000000</v>
      </c>
      <c r="BM42" s="66">
        <f>'[1]UNIV 2019'!S48</f>
        <v>57000000</v>
      </c>
      <c r="BN42" s="66">
        <f t="shared" si="17"/>
        <v>0</v>
      </c>
      <c r="BO42" s="66"/>
      <c r="BP42" s="66">
        <f>'[1]Univ Comm Fund'!T42</f>
        <v>0</v>
      </c>
      <c r="BQ42" s="66">
        <f>'[1]UNIV 2019'!T48</f>
        <v>0</v>
      </c>
      <c r="BR42" s="66">
        <f t="shared" si="18"/>
        <v>0</v>
      </c>
      <c r="BS42" s="66"/>
      <c r="BT42" s="66">
        <f>'[1]Univ Comm Fund'!U42</f>
        <v>193140000</v>
      </c>
      <c r="BU42" s="66">
        <f>'[1]UNIV 2019'!U48</f>
        <v>193140000</v>
      </c>
      <c r="BV42" s="66">
        <f t="shared" si="2"/>
        <v>0</v>
      </c>
      <c r="BW42" s="66"/>
      <c r="BX42" s="66">
        <f>'[1]Univ Comm Fund'!V42</f>
        <v>50000000</v>
      </c>
      <c r="BY42" s="66">
        <f>'[1]UNIV 2019'!V48</f>
        <v>50000000</v>
      </c>
      <c r="BZ42" s="66">
        <f t="shared" si="19"/>
        <v>0</v>
      </c>
      <c r="CA42" s="66"/>
      <c r="CB42" s="66">
        <f>'[1]Univ Comm Fund'!W42</f>
        <v>175000000</v>
      </c>
      <c r="CC42" s="66">
        <f>'[1]UNIV 2019'!W48</f>
        <v>175000000</v>
      </c>
      <c r="CD42" s="66">
        <f t="shared" si="20"/>
        <v>0</v>
      </c>
      <c r="CE42" s="66"/>
      <c r="CF42" s="66">
        <v>75000000</v>
      </c>
      <c r="CG42" s="66">
        <f>'[1]UNIV 2019'!X48</f>
        <v>63750000</v>
      </c>
      <c r="CH42" s="75">
        <f t="shared" si="21"/>
        <v>11250000</v>
      </c>
      <c r="CI42" s="66"/>
      <c r="CJ42" s="66">
        <f>'[1]Univ Comm Fund'!Y42</f>
        <v>200000000</v>
      </c>
      <c r="CK42" s="66">
        <f>'[1]UNIV 2019'!Y48</f>
        <v>162000000</v>
      </c>
      <c r="CL42" s="66">
        <f t="shared" si="22"/>
        <v>38000000</v>
      </c>
      <c r="CM42" s="66"/>
      <c r="CN42" s="20">
        <f>'[1]Univ Comm Fund'!Z42</f>
        <v>350000000</v>
      </c>
      <c r="CO42" s="66">
        <f>'[1]UNIV 2019'!Z48</f>
        <v>350000000</v>
      </c>
      <c r="CP42" s="66">
        <f t="shared" si="23"/>
        <v>0</v>
      </c>
      <c r="CQ42" s="20"/>
      <c r="CR42" s="66">
        <f>'[1]Univ Comm Fund'!AA42</f>
        <v>0</v>
      </c>
      <c r="CS42" s="66">
        <f>'[1]UNIV 2019'!AA48</f>
        <v>0</v>
      </c>
      <c r="CT42" s="75">
        <f t="shared" si="24"/>
        <v>0</v>
      </c>
      <c r="CU42" s="66"/>
      <c r="CV42" s="66">
        <f>'[1]Univ Comm Fund'!AB42</f>
        <v>450000000</v>
      </c>
      <c r="CW42" s="66">
        <f>'[1]UNIV 2019'!AB48</f>
        <v>450000000</v>
      </c>
      <c r="CX42" s="75">
        <f t="shared" si="25"/>
        <v>0</v>
      </c>
      <c r="CY42" s="66"/>
      <c r="CZ42" s="66">
        <f>'[1]Univ Comm Fund'!AC42</f>
        <v>356000000</v>
      </c>
      <c r="DA42" s="66">
        <f>'[1]UNIV 2019'!AC48</f>
        <v>302600000</v>
      </c>
      <c r="DB42" s="66">
        <f t="shared" si="26"/>
        <v>53400000</v>
      </c>
      <c r="DC42" s="66"/>
      <c r="DD42" s="66">
        <f>'[1]Univ Comm Fund'!AD42</f>
        <v>20000000</v>
      </c>
      <c r="DE42" s="66">
        <f>'[1]UNIV 2019'!AD48</f>
        <v>0</v>
      </c>
      <c r="DF42" s="66">
        <f t="shared" si="27"/>
        <v>20000000</v>
      </c>
      <c r="DG42" s="66"/>
      <c r="DH42" s="66">
        <f>'[1]Univ Comm Fund'!AE42</f>
        <v>552000000</v>
      </c>
      <c r="DI42" s="66">
        <f>'[1]UNIV 2019'!AE48</f>
        <v>469200000</v>
      </c>
      <c r="DJ42" s="66">
        <f t="shared" si="28"/>
        <v>82800000</v>
      </c>
      <c r="DK42" s="66"/>
      <c r="DL42" s="66">
        <f>'[1]Univ Comm Fund'!AF42</f>
        <v>20000000</v>
      </c>
      <c r="DM42" s="66">
        <f>'[1]UNIV 2019'!AF48</f>
        <v>0</v>
      </c>
      <c r="DN42" s="66">
        <f t="shared" si="29"/>
        <v>20000000</v>
      </c>
      <c r="DO42" s="66"/>
      <c r="DP42" s="66">
        <f>'[1]Univ Comm Fund'!AG42</f>
        <v>200000000</v>
      </c>
      <c r="DQ42" s="66">
        <f>'[1]UNIV 2019'!AG48</f>
        <v>200000000</v>
      </c>
      <c r="DR42" s="108">
        <f t="shared" si="30"/>
        <v>0</v>
      </c>
      <c r="DS42" s="108"/>
      <c r="DT42" s="66">
        <f>'[1]Univ Comm Fund'!AH42</f>
        <v>100000000</v>
      </c>
      <c r="DU42" s="108">
        <f>'[1]UNIV 2019'!AH48</f>
        <v>0</v>
      </c>
      <c r="DV42" s="66">
        <f t="shared" si="31"/>
        <v>100000000</v>
      </c>
      <c r="DW42" s="108"/>
      <c r="DX42" s="66">
        <f>'[1]Univ Comm Fund'!AI42</f>
        <v>15000000</v>
      </c>
      <c r="DY42" s="108">
        <f>'[1]UNIV 2019'!AI48</f>
        <v>0</v>
      </c>
      <c r="DZ42" s="66">
        <f t="shared" si="32"/>
        <v>15000000</v>
      </c>
      <c r="EA42" s="108"/>
      <c r="EB42" s="66">
        <f>'[1]Univ Comm Fund'!AJ42</f>
        <v>2000000</v>
      </c>
      <c r="EC42" s="108">
        <f>'[1]UNIV 2019'!AJ48</f>
        <v>1700000</v>
      </c>
      <c r="ED42" s="66">
        <f t="shared" si="33"/>
        <v>300000</v>
      </c>
      <c r="EE42" s="108"/>
      <c r="EF42" s="66">
        <f>'[1]Univ Comm Fund'!AK42</f>
        <v>10000000</v>
      </c>
      <c r="EG42" s="108">
        <f>'[1]UNIV 2019'!AK48</f>
        <v>0</v>
      </c>
      <c r="EH42" s="66">
        <f t="shared" si="34"/>
        <v>10000000</v>
      </c>
      <c r="EI42" s="66"/>
      <c r="EJ42" s="66">
        <f>'[1]Univ Comm Fund'!AL42</f>
        <v>800000000</v>
      </c>
      <c r="EK42" s="66">
        <f>'[1]UNIV 2019'!AL48</f>
        <v>800000000</v>
      </c>
      <c r="EL42" s="66">
        <f t="shared" si="35"/>
        <v>0</v>
      </c>
      <c r="EM42" s="66"/>
      <c r="EN42" s="80">
        <f>'[1]Univ Comm Fund'!AM42</f>
        <v>565410000</v>
      </c>
      <c r="EO42" s="66">
        <f>'[1]UNIV 2019'!AM48</f>
        <v>0</v>
      </c>
      <c r="EP42" s="75">
        <f t="shared" si="36"/>
        <v>565410000</v>
      </c>
      <c r="EQ42" s="66"/>
      <c r="ER42" s="66">
        <f>'[1]Univ Comm Fund'!AN42</f>
        <v>15000000</v>
      </c>
      <c r="ES42" s="66">
        <f>'[1]UNIV 2019'!AN48</f>
        <v>0</v>
      </c>
      <c r="ET42" s="75">
        <f t="shared" si="37"/>
        <v>15000000</v>
      </c>
      <c r="EU42" s="66"/>
      <c r="EV42" s="66">
        <f>'[1]Univ Comm Fund'!AO42</f>
        <v>15000000</v>
      </c>
      <c r="EW42" s="66">
        <f>'[1]UNIV 2019'!AO48</f>
        <v>0</v>
      </c>
      <c r="EX42" s="75">
        <f t="shared" si="38"/>
        <v>15000000</v>
      </c>
      <c r="EY42" s="66"/>
      <c r="EZ42" s="66">
        <f>'[1]Univ Comm Fund'!AP42</f>
        <v>10000000</v>
      </c>
      <c r="FA42" s="66">
        <f>'[1]UNIV 2019'!AP48</f>
        <v>0</v>
      </c>
      <c r="FB42" s="75">
        <f t="shared" si="39"/>
        <v>10000000</v>
      </c>
      <c r="FC42" s="75"/>
      <c r="FD42" s="75">
        <f>'[1]Univ Comm Fund'!AQ42</f>
        <v>0</v>
      </c>
      <c r="FE42" s="75">
        <f>'[1]UNIV 2019'!AQ48</f>
        <v>0</v>
      </c>
      <c r="FF42" s="75">
        <f t="shared" si="40"/>
        <v>0</v>
      </c>
      <c r="FG42" s="75"/>
      <c r="FH42" s="81">
        <f>'[1]Univ Comm Fund'!AR42</f>
        <v>300000000</v>
      </c>
      <c r="FI42" s="75">
        <f>'[1]UNIV 2019'!AR48</f>
        <v>255000000</v>
      </c>
      <c r="FJ42" s="75">
        <f t="shared" si="41"/>
        <v>45000000</v>
      </c>
      <c r="FK42" s="75"/>
      <c r="FL42" s="75">
        <f>'[1]Univ Comm Fund'!AS42</f>
        <v>300000000</v>
      </c>
      <c r="FM42" s="75">
        <f>'[1]UNIV 2019'!AS48</f>
        <v>0</v>
      </c>
      <c r="FN42" s="75">
        <f t="shared" si="42"/>
        <v>300000000</v>
      </c>
      <c r="FO42" s="75"/>
      <c r="FP42" s="75">
        <f>'[1]Univ Comm Fund'!AT42</f>
        <v>120000000</v>
      </c>
      <c r="FQ42" s="75">
        <f>'[1]UNIV 2019'!AT48</f>
        <v>120000000</v>
      </c>
      <c r="FR42" s="75">
        <f t="shared" si="43"/>
        <v>0</v>
      </c>
      <c r="FS42" s="75"/>
      <c r="FT42" s="75">
        <f>'[1]Univ Comm Fund'!AU42</f>
        <v>10000000</v>
      </c>
      <c r="FU42" s="75">
        <f>'[1]UNIV 2019'!AU48</f>
        <v>0</v>
      </c>
      <c r="FV42" s="75">
        <f t="shared" si="44"/>
        <v>10000000</v>
      </c>
      <c r="FW42" s="75"/>
      <c r="FX42" s="75">
        <f>'[1]Univ Comm Fund'!AV42</f>
        <v>5000000</v>
      </c>
      <c r="FY42" s="75">
        <f>'[1]UNIV 2019'!AV48</f>
        <v>0</v>
      </c>
      <c r="FZ42" s="75">
        <f t="shared" si="45"/>
        <v>5000000</v>
      </c>
      <c r="GA42" s="75"/>
      <c r="GB42" s="75">
        <f>'[1]Univ Comm Fund'!AW42</f>
        <v>10000000</v>
      </c>
      <c r="GC42" s="75">
        <f>'[1]UNIV 2019'!AW48</f>
        <v>0</v>
      </c>
      <c r="GD42" s="75">
        <f t="shared" si="46"/>
        <v>10000000</v>
      </c>
      <c r="GE42" s="75"/>
      <c r="GF42" s="75">
        <f>'[1]Univ Comm Fund'!AX42</f>
        <v>0</v>
      </c>
      <c r="GG42" s="75">
        <f>'[1]UNIV 2019'!AX48</f>
        <v>0</v>
      </c>
      <c r="GH42" s="75">
        <f t="shared" si="47"/>
        <v>0</v>
      </c>
      <c r="GI42" s="75"/>
      <c r="GJ42" s="75">
        <f>'[1]Univ Comm Fund'!AY42</f>
        <v>350000000</v>
      </c>
      <c r="GK42" s="75">
        <f>'[1]UNIV 2019'!AY48</f>
        <v>0</v>
      </c>
      <c r="GL42" s="75">
        <f t="shared" si="48"/>
        <v>350000000</v>
      </c>
      <c r="GM42" s="75"/>
      <c r="GN42" s="75">
        <f>'[1]Univ Comm Fund'!AZ42</f>
        <v>175823700</v>
      </c>
      <c r="GO42" s="75">
        <f>'[1]UNIV 2019'!AZ48</f>
        <v>0</v>
      </c>
      <c r="GP42" s="75">
        <f t="shared" si="49"/>
        <v>175823700</v>
      </c>
      <c r="GQ42" s="75"/>
      <c r="GR42" s="75">
        <f>'[1]Univ Comm Fund'!BA42</f>
        <v>20000000</v>
      </c>
      <c r="GS42" s="75">
        <f>'[1]UNIV 2019'!BA48</f>
        <v>0</v>
      </c>
      <c r="GT42" s="75">
        <f t="shared" si="50"/>
        <v>20000000</v>
      </c>
      <c r="GU42" s="75"/>
      <c r="GV42" s="75">
        <f>'[1]Univ Comm Fund'!BB42</f>
        <v>5000000</v>
      </c>
      <c r="GW42" s="75">
        <f>'[1]UNIV 2019'!BB48</f>
        <v>0</v>
      </c>
      <c r="GX42" s="75">
        <f t="shared" si="51"/>
        <v>5000000</v>
      </c>
      <c r="GY42" s="75"/>
      <c r="GZ42" s="75">
        <f>'[1]Univ Comm Fund'!BC42</f>
        <v>10000000</v>
      </c>
      <c r="HA42" s="75">
        <f>'[1]UNIV 2019'!BD48</f>
        <v>0</v>
      </c>
      <c r="HB42" s="75">
        <f t="shared" si="52"/>
        <v>10000000</v>
      </c>
      <c r="HC42" s="75"/>
      <c r="HD42" s="75">
        <f>'[1]Univ Comm Fund'!BD42</f>
        <v>0</v>
      </c>
      <c r="HE42" s="75">
        <f>'[1]UNIV 2019'!BC48</f>
        <v>0</v>
      </c>
      <c r="HF42" s="75">
        <f t="shared" si="53"/>
        <v>0</v>
      </c>
      <c r="HG42" s="75"/>
      <c r="HH42" s="75">
        <f t="shared" si="54"/>
        <v>5900622476.6700001</v>
      </c>
      <c r="HI42" s="75">
        <f t="shared" si="54"/>
        <v>4013638776.6700001</v>
      </c>
      <c r="HJ42" s="82">
        <f t="shared" si="55"/>
        <v>1886983700</v>
      </c>
      <c r="HL42" s="83">
        <f t="shared" si="56"/>
        <v>3362727776.6700001</v>
      </c>
      <c r="HM42" s="83">
        <f t="shared" si="56"/>
        <v>1911117776.6700001</v>
      </c>
      <c r="HN42" s="84">
        <f t="shared" si="57"/>
        <v>1451610000</v>
      </c>
      <c r="HP42" s="83">
        <f t="shared" si="58"/>
        <v>1700000000</v>
      </c>
      <c r="HQ42" s="83">
        <f t="shared" si="58"/>
        <v>1662000000</v>
      </c>
      <c r="HR42" s="84">
        <f t="shared" si="59"/>
        <v>38000000</v>
      </c>
      <c r="HT42" s="83">
        <f t="shared" si="60"/>
        <v>145000000</v>
      </c>
      <c r="HU42" s="83">
        <f t="shared" si="60"/>
        <v>63750000</v>
      </c>
      <c r="HV42" s="84">
        <f t="shared" si="61"/>
        <v>81250000</v>
      </c>
      <c r="HX42" s="83">
        <f t="shared" si="62"/>
        <v>60000000</v>
      </c>
      <c r="HY42" s="83">
        <f t="shared" si="62"/>
        <v>0</v>
      </c>
      <c r="HZ42" s="84">
        <f t="shared" si="63"/>
        <v>60000000</v>
      </c>
      <c r="IB42" s="83">
        <f t="shared" si="64"/>
        <v>35000000</v>
      </c>
      <c r="IC42" s="83">
        <f t="shared" si="64"/>
        <v>0</v>
      </c>
      <c r="ID42" s="84">
        <f t="shared" si="65"/>
        <v>35000000</v>
      </c>
      <c r="IF42" s="83">
        <f t="shared" si="69"/>
        <v>2000000</v>
      </c>
      <c r="IG42" s="83">
        <f t="shared" si="69"/>
        <v>1700000</v>
      </c>
      <c r="IH42" s="84">
        <f t="shared" si="66"/>
        <v>300000</v>
      </c>
      <c r="IJ42" s="84">
        <f t="shared" si="67"/>
        <v>595823700</v>
      </c>
      <c r="IK42" s="84">
        <f t="shared" si="67"/>
        <v>375000000</v>
      </c>
      <c r="IL42" s="84">
        <f t="shared" si="68"/>
        <v>220823700</v>
      </c>
    </row>
    <row r="43" spans="1:246" x14ac:dyDescent="0.25">
      <c r="A43" s="42">
        <v>38</v>
      </c>
      <c r="B43" s="86" t="s">
        <v>102</v>
      </c>
      <c r="C43" s="105" t="s">
        <v>69</v>
      </c>
      <c r="D43" s="109">
        <f>'[1]Univ Comm Fund'!D43</f>
        <v>59027776.670000002</v>
      </c>
      <c r="E43" s="66">
        <f>'[1]UNIV 2019'!D49</f>
        <v>59027776.68</v>
      </c>
      <c r="F43" s="75">
        <f t="shared" si="4"/>
        <v>-9.9999979138374329E-3</v>
      </c>
      <c r="G43" s="110"/>
      <c r="H43" s="66">
        <f>'[1]Univ Comm Fund'!E43</f>
        <v>20000000</v>
      </c>
      <c r="I43" s="66">
        <f>'[1]UNIV 2019'!E49</f>
        <v>20000000</v>
      </c>
      <c r="J43" s="66">
        <f t="shared" si="5"/>
        <v>0</v>
      </c>
      <c r="K43" s="109"/>
      <c r="L43" s="109">
        <f>'[1]Univ Comm Fund'!F43</f>
        <v>40000000</v>
      </c>
      <c r="M43" s="66">
        <f>'[1]UNIV 2019'!F49</f>
        <v>40000000</v>
      </c>
      <c r="N43" s="66">
        <f t="shared" si="6"/>
        <v>0</v>
      </c>
      <c r="O43" s="109"/>
      <c r="P43" s="66">
        <f>'[1]Univ Comm Fund'!G43</f>
        <v>0</v>
      </c>
      <c r="Q43" s="66">
        <f>'[1]UNIV 2019'!G49</f>
        <v>0</v>
      </c>
      <c r="R43" s="66">
        <f t="shared" si="7"/>
        <v>0</v>
      </c>
      <c r="S43" s="106"/>
      <c r="T43" s="110">
        <f>'[1]Univ Comm Fund'!H43</f>
        <v>50000000</v>
      </c>
      <c r="U43" s="66">
        <f>'[1]UNIV 2019'!H49</f>
        <v>50000000</v>
      </c>
      <c r="V43" s="66">
        <f t="shared" si="8"/>
        <v>0</v>
      </c>
      <c r="W43" s="110"/>
      <c r="X43" s="110">
        <f>'[1]Univ Comm Fund'!I43</f>
        <v>25000000</v>
      </c>
      <c r="Y43" s="66">
        <f>'[1]UNIV 2019'!I49</f>
        <v>25000000</v>
      </c>
      <c r="Z43" s="66">
        <f t="shared" si="9"/>
        <v>0</v>
      </c>
      <c r="AA43" s="110"/>
      <c r="AB43" s="110">
        <f>'[1]Univ Comm Fund'!J43</f>
        <v>30000000</v>
      </c>
      <c r="AC43" s="66">
        <f>'[1]UNIV 2019'!J49</f>
        <v>30000000</v>
      </c>
      <c r="AD43" s="66">
        <f t="shared" si="10"/>
        <v>0</v>
      </c>
      <c r="AE43" s="110"/>
      <c r="AF43" s="110">
        <f>'[1]Univ Comm Fund'!K43</f>
        <v>30000000</v>
      </c>
      <c r="AG43" s="66">
        <f>'[1]UNIV 2019'!K49</f>
        <v>30000000</v>
      </c>
      <c r="AH43" s="66">
        <f t="shared" si="11"/>
        <v>0</v>
      </c>
      <c r="AI43" s="110"/>
      <c r="AJ43" s="66">
        <f>'[1]Univ Comm Fund'!L43</f>
        <v>0</v>
      </c>
      <c r="AK43" s="66">
        <f>'[1]UNIV 2019'!L49</f>
        <v>0</v>
      </c>
      <c r="AL43" s="66">
        <f t="shared" si="12"/>
        <v>0</v>
      </c>
      <c r="AM43" s="66"/>
      <c r="AN43" s="110">
        <f>'[1]Univ Comm Fund'!M43</f>
        <v>40000000</v>
      </c>
      <c r="AO43" s="66">
        <f>'[1]UNIV 2019'!M49</f>
        <v>40000000</v>
      </c>
      <c r="AP43" s="66">
        <f t="shared" si="13"/>
        <v>0</v>
      </c>
      <c r="AQ43" s="110"/>
      <c r="AR43" s="66">
        <f>'[1]Univ Comm Fund'!N43</f>
        <v>0</v>
      </c>
      <c r="AS43" s="66">
        <f>'[1]UNIV 2019'!N49</f>
        <v>0</v>
      </c>
      <c r="AT43" s="66">
        <f t="shared" si="14"/>
        <v>0</v>
      </c>
      <c r="AU43" s="66"/>
      <c r="AV43" s="110">
        <f>'[1]Univ Comm Fund'!O43</f>
        <v>40000000</v>
      </c>
      <c r="AW43" s="66">
        <f>'[1]UNIV 2019'!O49</f>
        <v>40000000</v>
      </c>
      <c r="AX43" s="66">
        <f t="shared" si="15"/>
        <v>0</v>
      </c>
      <c r="AY43" s="110"/>
      <c r="AZ43" s="66">
        <f>'[1]Univ Comm Fund'!P43</f>
        <v>0</v>
      </c>
      <c r="BA43" s="66">
        <f>'[1]UNIV 2019'!P49</f>
        <v>0</v>
      </c>
      <c r="BB43" s="66">
        <f t="shared" si="0"/>
        <v>0</v>
      </c>
      <c r="BC43" s="66"/>
      <c r="BD43" s="66">
        <f>'[1]Univ Comm Fund'!Q43</f>
        <v>52000000</v>
      </c>
      <c r="BE43" s="66">
        <f>'[1]UNIV 2019'!Q49</f>
        <v>52000000</v>
      </c>
      <c r="BF43" s="66">
        <f t="shared" si="1"/>
        <v>0</v>
      </c>
      <c r="BG43" s="66"/>
      <c r="BH43" s="66">
        <f>'[1]Univ Comm Fund'!R43</f>
        <v>67000000</v>
      </c>
      <c r="BI43" s="66">
        <f>'[1]UNIV 2019'!R49</f>
        <v>67000000</v>
      </c>
      <c r="BJ43" s="66">
        <f t="shared" si="16"/>
        <v>0</v>
      </c>
      <c r="BK43" s="66"/>
      <c r="BL43" s="66">
        <f>'[1]Univ Comm Fund'!S43</f>
        <v>56999000</v>
      </c>
      <c r="BM43" s="66">
        <f>'[1]UNIV 2019'!S49</f>
        <v>56999000</v>
      </c>
      <c r="BN43" s="66">
        <f t="shared" si="17"/>
        <v>0</v>
      </c>
      <c r="BO43" s="66"/>
      <c r="BP43" s="66">
        <f>'[1]Univ Comm Fund'!T43</f>
        <v>0</v>
      </c>
      <c r="BQ43" s="66">
        <f>'[1]UNIV 2019'!T49</f>
        <v>0</v>
      </c>
      <c r="BR43" s="66">
        <f t="shared" si="18"/>
        <v>0</v>
      </c>
      <c r="BS43" s="66"/>
      <c r="BT43" s="66">
        <f>'[1]Univ Comm Fund'!U43</f>
        <v>193140000</v>
      </c>
      <c r="BU43" s="66">
        <f>'[1]UNIV 2019'!U49</f>
        <v>193140000</v>
      </c>
      <c r="BV43" s="66">
        <f t="shared" si="2"/>
        <v>0</v>
      </c>
      <c r="BW43" s="66"/>
      <c r="BX43" s="66">
        <f>'[1]Univ Comm Fund'!V43</f>
        <v>0</v>
      </c>
      <c r="BY43" s="66">
        <f>'[1]UNIV 2019'!V49</f>
        <v>0</v>
      </c>
      <c r="BZ43" s="66">
        <f t="shared" si="19"/>
        <v>0</v>
      </c>
      <c r="CA43" s="66"/>
      <c r="CB43" s="66">
        <f>'[1]Univ Comm Fund'!W43</f>
        <v>175000000</v>
      </c>
      <c r="CC43" s="66">
        <f>'[1]UNIV 2019'!W49</f>
        <v>175000000</v>
      </c>
      <c r="CD43" s="66">
        <f t="shared" si="20"/>
        <v>0</v>
      </c>
      <c r="CE43" s="66"/>
      <c r="CF43" s="66">
        <v>75000000</v>
      </c>
      <c r="CG43" s="66">
        <f>'[1]UNIV 2019'!X49</f>
        <v>75000000</v>
      </c>
      <c r="CH43" s="75">
        <f t="shared" si="21"/>
        <v>0</v>
      </c>
      <c r="CI43" s="66"/>
      <c r="CJ43" s="66">
        <f>'[1]Univ Comm Fund'!Y43</f>
        <v>0</v>
      </c>
      <c r="CK43" s="66">
        <f>'[1]UNIV 2019'!Y49</f>
        <v>0</v>
      </c>
      <c r="CL43" s="66">
        <f t="shared" si="22"/>
        <v>0</v>
      </c>
      <c r="CM43" s="66"/>
      <c r="CN43" s="20">
        <f>'[1]Univ Comm Fund'!Z43</f>
        <v>350000000</v>
      </c>
      <c r="CO43" s="66">
        <f>'[1]UNIV 2019'!Z49</f>
        <v>350000000</v>
      </c>
      <c r="CP43" s="66">
        <f t="shared" si="23"/>
        <v>0</v>
      </c>
      <c r="CQ43" s="20"/>
      <c r="CR43" s="66">
        <f>'[1]Univ Comm Fund'!AA43</f>
        <v>0</v>
      </c>
      <c r="CS43" s="66">
        <f>'[1]UNIV 2019'!AA49</f>
        <v>0</v>
      </c>
      <c r="CT43" s="75">
        <f t="shared" si="24"/>
        <v>0</v>
      </c>
      <c r="CU43" s="66"/>
      <c r="CV43" s="66">
        <f>'[1]Univ Comm Fund'!AB43</f>
        <v>250000000</v>
      </c>
      <c r="CW43" s="66">
        <f>'[1]UNIV 2019'!AB49</f>
        <v>250000000</v>
      </c>
      <c r="CX43" s="75">
        <f t="shared" si="25"/>
        <v>0</v>
      </c>
      <c r="CY43" s="66"/>
      <c r="CZ43" s="66">
        <f>'[1]Univ Comm Fund'!AC43</f>
        <v>356000000</v>
      </c>
      <c r="DA43" s="66">
        <f>'[1]UNIV 2019'!AC49</f>
        <v>329300000</v>
      </c>
      <c r="DB43" s="66">
        <f t="shared" si="26"/>
        <v>26700000</v>
      </c>
      <c r="DC43" s="66"/>
      <c r="DD43" s="66">
        <f>'[1]Univ Comm Fund'!AD43</f>
        <v>20000000</v>
      </c>
      <c r="DE43" s="66">
        <f>'[1]UNIV 2019'!AD49</f>
        <v>0</v>
      </c>
      <c r="DF43" s="66">
        <f t="shared" si="27"/>
        <v>20000000</v>
      </c>
      <c r="DG43" s="66"/>
      <c r="DH43" s="66">
        <f>'[1]Univ Comm Fund'!AE43</f>
        <v>552000000</v>
      </c>
      <c r="DI43" s="66">
        <f>'[1]UNIV 2019'!AE49</f>
        <v>510600000</v>
      </c>
      <c r="DJ43" s="66">
        <f t="shared" si="28"/>
        <v>41400000</v>
      </c>
      <c r="DK43" s="66"/>
      <c r="DL43" s="66">
        <f>'[1]Univ Comm Fund'!AF43</f>
        <v>20000000</v>
      </c>
      <c r="DM43" s="66">
        <f>'[1]UNIV 2019'!AF49</f>
        <v>0</v>
      </c>
      <c r="DN43" s="66">
        <f t="shared" si="29"/>
        <v>20000000</v>
      </c>
      <c r="DO43" s="66"/>
      <c r="DP43" s="66">
        <f>'[1]Univ Comm Fund'!AG43</f>
        <v>500000000</v>
      </c>
      <c r="DQ43" s="66">
        <f>'[1]UNIV 2019'!AG49</f>
        <v>500000000</v>
      </c>
      <c r="DR43" s="66">
        <f t="shared" si="30"/>
        <v>0</v>
      </c>
      <c r="DS43" s="66"/>
      <c r="DT43" s="66">
        <f>'[1]Univ Comm Fund'!AH43</f>
        <v>100000000</v>
      </c>
      <c r="DU43" s="66">
        <f>'[1]UNIV 2019'!AH49</f>
        <v>0</v>
      </c>
      <c r="DV43" s="66">
        <f t="shared" si="31"/>
        <v>100000000</v>
      </c>
      <c r="DW43" s="66"/>
      <c r="DX43" s="66">
        <f>'[1]Univ Comm Fund'!AI43</f>
        <v>15000000</v>
      </c>
      <c r="DY43" s="66">
        <f>'[1]UNIV 2019'!AI49</f>
        <v>0</v>
      </c>
      <c r="DZ43" s="66">
        <f t="shared" si="32"/>
        <v>15000000</v>
      </c>
      <c r="EA43" s="66"/>
      <c r="EB43" s="66">
        <f>'[1]Univ Comm Fund'!AJ43</f>
        <v>2000000</v>
      </c>
      <c r="EC43" s="66">
        <f>'[1]UNIV 2019'!AJ49</f>
        <v>0</v>
      </c>
      <c r="ED43" s="66">
        <f t="shared" si="33"/>
        <v>2000000</v>
      </c>
      <c r="EE43" s="66"/>
      <c r="EF43" s="66">
        <f>'[1]Univ Comm Fund'!AK43</f>
        <v>10000000</v>
      </c>
      <c r="EG43" s="66">
        <f>'[1]UNIV 2019'!AK49</f>
        <v>0</v>
      </c>
      <c r="EH43" s="66">
        <f t="shared" si="34"/>
        <v>10000000</v>
      </c>
      <c r="EI43" s="66"/>
      <c r="EJ43" s="66">
        <f>'[1]Univ Comm Fund'!AL43</f>
        <v>2550000000</v>
      </c>
      <c r="EK43" s="66">
        <f>'[1]UNIV 2019'!AL49</f>
        <v>2467500000</v>
      </c>
      <c r="EL43" s="66">
        <f t="shared" si="35"/>
        <v>82500000</v>
      </c>
      <c r="EM43" s="66"/>
      <c r="EN43" s="80">
        <f>'[1]Univ Comm Fund'!AM43</f>
        <v>565410000</v>
      </c>
      <c r="EO43" s="66">
        <f>'[1]UNIV 2019'!AM49</f>
        <v>0</v>
      </c>
      <c r="EP43" s="75">
        <f t="shared" si="36"/>
        <v>565410000</v>
      </c>
      <c r="EQ43" s="66"/>
      <c r="ER43" s="66">
        <f>'[1]Univ Comm Fund'!AN43</f>
        <v>15000000</v>
      </c>
      <c r="ES43" s="66">
        <f>'[1]UNIV 2019'!AN49</f>
        <v>0</v>
      </c>
      <c r="ET43" s="75">
        <f t="shared" si="37"/>
        <v>15000000</v>
      </c>
      <c r="EU43" s="66"/>
      <c r="EV43" s="66">
        <f>'[1]Univ Comm Fund'!AO43</f>
        <v>15000000</v>
      </c>
      <c r="EW43" s="66">
        <f>'[1]UNIV 2019'!AO49</f>
        <v>0</v>
      </c>
      <c r="EX43" s="75">
        <f t="shared" si="38"/>
        <v>15000000</v>
      </c>
      <c r="EY43" s="66"/>
      <c r="EZ43" s="66">
        <f>'[1]Univ Comm Fund'!AP43</f>
        <v>10000000</v>
      </c>
      <c r="FA43" s="66">
        <f>'[1]UNIV 2019'!AP49</f>
        <v>0</v>
      </c>
      <c r="FB43" s="75">
        <f t="shared" si="39"/>
        <v>10000000</v>
      </c>
      <c r="FC43" s="75"/>
      <c r="FD43" s="75">
        <f>'[1]Univ Comm Fund'!AQ43</f>
        <v>0</v>
      </c>
      <c r="FE43" s="75">
        <f>'[1]UNIV 2019'!AQ49</f>
        <v>0</v>
      </c>
      <c r="FF43" s="75">
        <f t="shared" si="40"/>
        <v>0</v>
      </c>
      <c r="FG43" s="75"/>
      <c r="FH43" s="75">
        <f>'[1]Univ Comm Fund'!AR43</f>
        <v>0</v>
      </c>
      <c r="FI43" s="75">
        <f>'[1]UNIV 2019'!AR49</f>
        <v>0</v>
      </c>
      <c r="FJ43" s="75">
        <f t="shared" si="41"/>
        <v>0</v>
      </c>
      <c r="FK43" s="75"/>
      <c r="FL43" s="75">
        <f>'[1]Univ Comm Fund'!AS43</f>
        <v>300000000</v>
      </c>
      <c r="FM43" s="75">
        <f>'[1]UNIV 2019'!AS49</f>
        <v>0</v>
      </c>
      <c r="FN43" s="75">
        <f t="shared" si="42"/>
        <v>300000000</v>
      </c>
      <c r="FO43" s="75"/>
      <c r="FP43" s="75">
        <f>'[1]Univ Comm Fund'!AT43</f>
        <v>120000000</v>
      </c>
      <c r="FQ43" s="75">
        <f>'[1]UNIV 2019'!AT49</f>
        <v>86400000</v>
      </c>
      <c r="FR43" s="75">
        <f t="shared" si="43"/>
        <v>33600000</v>
      </c>
      <c r="FS43" s="75"/>
      <c r="FT43" s="75">
        <f>'[1]Univ Comm Fund'!AU43</f>
        <v>10000000</v>
      </c>
      <c r="FU43" s="75">
        <f>'[1]UNIV 2019'!AU49</f>
        <v>0</v>
      </c>
      <c r="FV43" s="75">
        <f t="shared" si="44"/>
        <v>10000000</v>
      </c>
      <c r="FW43" s="75"/>
      <c r="FX43" s="75">
        <f>'[1]Univ Comm Fund'!AV43</f>
        <v>5000000</v>
      </c>
      <c r="FY43" s="75">
        <f>'[1]UNIV 2019'!AV49</f>
        <v>0</v>
      </c>
      <c r="FZ43" s="75">
        <f t="shared" si="45"/>
        <v>5000000</v>
      </c>
      <c r="GA43" s="75"/>
      <c r="GB43" s="75">
        <f>'[1]Univ Comm Fund'!AW43</f>
        <v>10000000</v>
      </c>
      <c r="GC43" s="75">
        <f>'[1]UNIV 2019'!AW49</f>
        <v>0</v>
      </c>
      <c r="GD43" s="75">
        <f t="shared" si="46"/>
        <v>10000000</v>
      </c>
      <c r="GE43" s="75"/>
      <c r="GF43" s="75">
        <f>'[1]Univ Comm Fund'!AX43</f>
        <v>0</v>
      </c>
      <c r="GG43" s="75">
        <f>'[1]UNIV 2019'!AX49</f>
        <v>0</v>
      </c>
      <c r="GH43" s="75">
        <f t="shared" si="47"/>
        <v>0</v>
      </c>
      <c r="GI43" s="75"/>
      <c r="GJ43" s="75">
        <f>'[1]Univ Comm Fund'!AY43</f>
        <v>350000000</v>
      </c>
      <c r="GK43" s="75">
        <f>'[1]UNIV 2019'!AY49</f>
        <v>0</v>
      </c>
      <c r="GL43" s="75">
        <f t="shared" si="48"/>
        <v>350000000</v>
      </c>
      <c r="GM43" s="75"/>
      <c r="GN43" s="75">
        <f>'[1]Univ Comm Fund'!AZ43</f>
        <v>175823700</v>
      </c>
      <c r="GO43" s="75">
        <f>'[1]UNIV 2019'!AZ49</f>
        <v>0</v>
      </c>
      <c r="GP43" s="75">
        <f t="shared" si="49"/>
        <v>175823700</v>
      </c>
      <c r="GQ43" s="75"/>
      <c r="GR43" s="75">
        <f>'[1]Univ Comm Fund'!BA43</f>
        <v>20000000</v>
      </c>
      <c r="GS43" s="75">
        <f>'[1]UNIV 2019'!BA49</f>
        <v>0</v>
      </c>
      <c r="GT43" s="75">
        <f t="shared" si="50"/>
        <v>20000000</v>
      </c>
      <c r="GU43" s="75"/>
      <c r="GV43" s="75">
        <f>'[1]Univ Comm Fund'!BB43</f>
        <v>5000000</v>
      </c>
      <c r="GW43" s="75">
        <f>'[1]UNIV 2019'!BB49</f>
        <v>0</v>
      </c>
      <c r="GX43" s="75">
        <f t="shared" si="51"/>
        <v>5000000</v>
      </c>
      <c r="GY43" s="75"/>
      <c r="GZ43" s="75">
        <f>'[1]Univ Comm Fund'!BC43</f>
        <v>10000000</v>
      </c>
      <c r="HA43" s="75">
        <f>'[1]UNIV 2019'!BD49</f>
        <v>0</v>
      </c>
      <c r="HB43" s="75">
        <f t="shared" si="52"/>
        <v>10000000</v>
      </c>
      <c r="HC43" s="75"/>
      <c r="HD43" s="75">
        <f>'[1]Univ Comm Fund'!BD43</f>
        <v>0</v>
      </c>
      <c r="HE43" s="75">
        <f>'[1]UNIV 2019'!BC49</f>
        <v>0</v>
      </c>
      <c r="HF43" s="75">
        <f t="shared" si="53"/>
        <v>0</v>
      </c>
      <c r="HG43" s="75"/>
      <c r="HH43" s="75">
        <f t="shared" si="54"/>
        <v>7289400476.6700001</v>
      </c>
      <c r="HI43" s="75">
        <f t="shared" si="54"/>
        <v>5446966776.6800003</v>
      </c>
      <c r="HJ43" s="82">
        <f t="shared" si="55"/>
        <v>1842433699.9899998</v>
      </c>
      <c r="HL43" s="83">
        <f t="shared" si="56"/>
        <v>3426576776.6700001</v>
      </c>
      <c r="HM43" s="83">
        <f t="shared" si="56"/>
        <v>2043066776.6800001</v>
      </c>
      <c r="HN43" s="84">
        <f t="shared" si="57"/>
        <v>1383509999.99</v>
      </c>
      <c r="HP43" s="83">
        <f t="shared" si="58"/>
        <v>3300000000</v>
      </c>
      <c r="HQ43" s="83">
        <f t="shared" si="58"/>
        <v>3217500000</v>
      </c>
      <c r="HR43" s="84">
        <f t="shared" si="59"/>
        <v>82500000</v>
      </c>
      <c r="HT43" s="83">
        <f t="shared" si="60"/>
        <v>145000000</v>
      </c>
      <c r="HU43" s="83">
        <f t="shared" si="60"/>
        <v>75000000</v>
      </c>
      <c r="HV43" s="84">
        <f t="shared" si="61"/>
        <v>70000000</v>
      </c>
      <c r="HX43" s="83">
        <f t="shared" si="62"/>
        <v>60000000</v>
      </c>
      <c r="HY43" s="83">
        <f t="shared" si="62"/>
        <v>0</v>
      </c>
      <c r="HZ43" s="84">
        <f t="shared" si="63"/>
        <v>60000000</v>
      </c>
      <c r="IB43" s="83">
        <f t="shared" si="64"/>
        <v>35000000</v>
      </c>
      <c r="IC43" s="83">
        <f t="shared" si="64"/>
        <v>0</v>
      </c>
      <c r="ID43" s="84">
        <f t="shared" si="65"/>
        <v>35000000</v>
      </c>
      <c r="IF43" s="83">
        <f t="shared" si="69"/>
        <v>2000000</v>
      </c>
      <c r="IG43" s="83">
        <f t="shared" si="69"/>
        <v>0</v>
      </c>
      <c r="IH43" s="84">
        <f t="shared" si="66"/>
        <v>2000000</v>
      </c>
      <c r="IJ43" s="84">
        <f t="shared" si="67"/>
        <v>295823700</v>
      </c>
      <c r="IK43" s="84">
        <f t="shared" si="67"/>
        <v>86400000</v>
      </c>
      <c r="IL43" s="84">
        <f t="shared" si="68"/>
        <v>209423700</v>
      </c>
    </row>
    <row r="44" spans="1:246" x14ac:dyDescent="0.25">
      <c r="A44" s="42">
        <v>39</v>
      </c>
      <c r="B44" s="86" t="s">
        <v>103</v>
      </c>
      <c r="C44" s="42" t="s">
        <v>69</v>
      </c>
      <c r="D44" s="66">
        <f>'[1]Univ Comm Fund'!D44</f>
        <v>59027776.670000002</v>
      </c>
      <c r="E44" s="66">
        <f>'[1]UNIV 2019'!D50</f>
        <v>59027776.670000002</v>
      </c>
      <c r="F44" s="75">
        <f t="shared" si="4"/>
        <v>0</v>
      </c>
      <c r="G44" s="110"/>
      <c r="H44" s="66">
        <f>'[1]Univ Comm Fund'!E44</f>
        <v>20000000</v>
      </c>
      <c r="I44" s="66">
        <f>'[1]UNIV 2019'!E50</f>
        <v>20000000</v>
      </c>
      <c r="J44" s="66">
        <f t="shared" si="5"/>
        <v>0</v>
      </c>
      <c r="K44" s="66"/>
      <c r="L44" s="66">
        <f>'[1]Univ Comm Fund'!F44</f>
        <v>40000000</v>
      </c>
      <c r="M44" s="66">
        <f>'[1]UNIV 2019'!F50</f>
        <v>40000000</v>
      </c>
      <c r="N44" s="66">
        <f t="shared" si="6"/>
        <v>0</v>
      </c>
      <c r="O44" s="66"/>
      <c r="P44" s="66">
        <f>'[1]Univ Comm Fund'!G44</f>
        <v>0</v>
      </c>
      <c r="Q44" s="66">
        <f>'[1]UNIV 2019'!G50</f>
        <v>0</v>
      </c>
      <c r="R44" s="66">
        <f t="shared" si="7"/>
        <v>0</v>
      </c>
      <c r="S44" s="87"/>
      <c r="T44" s="66">
        <f>'[1]Univ Comm Fund'!H44</f>
        <v>50000000</v>
      </c>
      <c r="U44" s="66">
        <f>'[1]UNIV 2019'!H50</f>
        <v>50000000</v>
      </c>
      <c r="V44" s="66">
        <f t="shared" si="8"/>
        <v>0</v>
      </c>
      <c r="W44" s="66"/>
      <c r="X44" s="66">
        <f>'[1]Univ Comm Fund'!I44</f>
        <v>0</v>
      </c>
      <c r="Y44" s="66">
        <f>'[1]UNIV 2019'!I50</f>
        <v>0</v>
      </c>
      <c r="Z44" s="66">
        <f t="shared" si="9"/>
        <v>0</v>
      </c>
      <c r="AA44" s="66"/>
      <c r="AB44" s="66">
        <f>'[1]Univ Comm Fund'!J44</f>
        <v>30000000</v>
      </c>
      <c r="AC44" s="66">
        <f>'[1]UNIV 2019'!J50</f>
        <v>30000000</v>
      </c>
      <c r="AD44" s="66">
        <f t="shared" si="10"/>
        <v>0</v>
      </c>
      <c r="AE44" s="66"/>
      <c r="AF44" s="88">
        <f>'[1]Univ Comm Fund'!K44</f>
        <v>30000000</v>
      </c>
      <c r="AG44" s="66">
        <f>'[1]UNIV 2019'!K50</f>
        <v>30000000</v>
      </c>
      <c r="AH44" s="66">
        <f t="shared" si="11"/>
        <v>0</v>
      </c>
      <c r="AI44" s="88"/>
      <c r="AJ44" s="66">
        <f>'[1]Univ Comm Fund'!L44</f>
        <v>0</v>
      </c>
      <c r="AK44" s="66">
        <f>'[1]UNIV 2019'!L50</f>
        <v>0</v>
      </c>
      <c r="AL44" s="66">
        <f t="shared" si="12"/>
        <v>0</v>
      </c>
      <c r="AM44" s="66"/>
      <c r="AN44" s="66">
        <f>'[1]Univ Comm Fund'!M44</f>
        <v>40000000</v>
      </c>
      <c r="AO44" s="66">
        <f>'[1]UNIV 2019'!M50</f>
        <v>40000000</v>
      </c>
      <c r="AP44" s="66">
        <f t="shared" si="13"/>
        <v>0</v>
      </c>
      <c r="AQ44" s="66"/>
      <c r="AR44" s="66">
        <f>'[1]Univ Comm Fund'!N44</f>
        <v>0</v>
      </c>
      <c r="AS44" s="66">
        <f>'[1]UNIV 2019'!N50</f>
        <v>0</v>
      </c>
      <c r="AT44" s="66">
        <f t="shared" si="14"/>
        <v>0</v>
      </c>
      <c r="AU44" s="66"/>
      <c r="AV44" s="66">
        <f>'[1]Univ Comm Fund'!O44</f>
        <v>40000000</v>
      </c>
      <c r="AW44" s="66">
        <f>'[1]UNIV 2019'!O50</f>
        <v>40000000</v>
      </c>
      <c r="AX44" s="66">
        <f t="shared" si="15"/>
        <v>0</v>
      </c>
      <c r="AY44" s="66"/>
      <c r="AZ44" s="66">
        <f>'[1]Univ Comm Fund'!P44</f>
        <v>0</v>
      </c>
      <c r="BA44" s="66">
        <f>'[1]UNIV 2019'!P50</f>
        <v>0</v>
      </c>
      <c r="BB44" s="66">
        <f t="shared" si="0"/>
        <v>0</v>
      </c>
      <c r="BC44" s="66"/>
      <c r="BD44" s="66">
        <f>'[1]Univ Comm Fund'!Q44</f>
        <v>52000000</v>
      </c>
      <c r="BE44" s="66">
        <f>'[1]UNIV 2019'!Q50</f>
        <v>52000000</v>
      </c>
      <c r="BF44" s="66">
        <f t="shared" si="1"/>
        <v>0</v>
      </c>
      <c r="BG44" s="66"/>
      <c r="BH44" s="66">
        <f>'[1]Univ Comm Fund'!R44</f>
        <v>67000000</v>
      </c>
      <c r="BI44" s="66">
        <f>'[1]UNIV 2019'!R50</f>
        <v>67000000</v>
      </c>
      <c r="BJ44" s="66">
        <f t="shared" si="16"/>
        <v>0</v>
      </c>
      <c r="BK44" s="66"/>
      <c r="BL44" s="66">
        <f>'[1]Univ Comm Fund'!S44</f>
        <v>57000000</v>
      </c>
      <c r="BM44" s="66">
        <f>'[1]UNIV 2019'!S50</f>
        <v>57000000</v>
      </c>
      <c r="BN44" s="66">
        <f t="shared" si="17"/>
        <v>0</v>
      </c>
      <c r="BO44" s="66"/>
      <c r="BP44" s="66">
        <f>'[1]Univ Comm Fund'!T44</f>
        <v>0</v>
      </c>
      <c r="BQ44" s="66">
        <f>'[1]UNIV 2019'!T50</f>
        <v>0</v>
      </c>
      <c r="BR44" s="66">
        <f t="shared" si="18"/>
        <v>0</v>
      </c>
      <c r="BS44" s="66"/>
      <c r="BT44" s="66">
        <f>'[1]Univ Comm Fund'!U44</f>
        <v>193140000</v>
      </c>
      <c r="BU44" s="66">
        <f>'[1]UNIV 2019'!U50</f>
        <v>193140000</v>
      </c>
      <c r="BV44" s="66">
        <f t="shared" si="2"/>
        <v>0</v>
      </c>
      <c r="BW44" s="66"/>
      <c r="BX44" s="66">
        <f>'[1]Univ Comm Fund'!V44</f>
        <v>150270700</v>
      </c>
      <c r="BY44" s="66">
        <f>'[1]UNIV 2019'!V50</f>
        <v>150270700</v>
      </c>
      <c r="BZ44" s="66">
        <f t="shared" si="19"/>
        <v>0</v>
      </c>
      <c r="CA44" s="66"/>
      <c r="CB44" s="66">
        <f>'[1]Univ Comm Fund'!W44</f>
        <v>175000000</v>
      </c>
      <c r="CC44" s="66">
        <f>'[1]UNIV 2019'!W50</f>
        <v>175000000</v>
      </c>
      <c r="CD44" s="66">
        <f t="shared" si="20"/>
        <v>0</v>
      </c>
      <c r="CE44" s="66"/>
      <c r="CF44" s="66">
        <v>75000000</v>
      </c>
      <c r="CG44" s="66">
        <f>'[1]UNIV 2019'!X50</f>
        <v>75000000</v>
      </c>
      <c r="CH44" s="75">
        <f t="shared" si="21"/>
        <v>0</v>
      </c>
      <c r="CI44" s="66"/>
      <c r="CJ44" s="66">
        <f>'[1]Univ Comm Fund'!Y44</f>
        <v>0</v>
      </c>
      <c r="CK44" s="66">
        <f>'[1]UNIV 2019'!Y50</f>
        <v>0</v>
      </c>
      <c r="CL44" s="66">
        <f t="shared" si="22"/>
        <v>0</v>
      </c>
      <c r="CM44" s="66"/>
      <c r="CN44" s="20">
        <f>'[1]Univ Comm Fund'!Z44</f>
        <v>350000000</v>
      </c>
      <c r="CO44" s="66">
        <f>'[1]UNIV 2019'!Z50</f>
        <v>350000000</v>
      </c>
      <c r="CP44" s="66">
        <f t="shared" si="23"/>
        <v>0</v>
      </c>
      <c r="CQ44" s="20"/>
      <c r="CR44" s="66">
        <f>'[1]Univ Comm Fund'!AA44</f>
        <v>0</v>
      </c>
      <c r="CS44" s="66">
        <f>'[1]UNIV 2019'!AA50</f>
        <v>0</v>
      </c>
      <c r="CT44" s="75">
        <f t="shared" si="24"/>
        <v>0</v>
      </c>
      <c r="CU44" s="66"/>
      <c r="CV44" s="66">
        <f>'[1]Univ Comm Fund'!AB44</f>
        <v>0</v>
      </c>
      <c r="CW44" s="66">
        <f>'[1]UNIV 2019'!AB50</f>
        <v>0</v>
      </c>
      <c r="CX44" s="75">
        <f t="shared" si="25"/>
        <v>0</v>
      </c>
      <c r="CY44" s="66"/>
      <c r="CZ44" s="66">
        <f>'[1]Univ Comm Fund'!AC44</f>
        <v>356000000</v>
      </c>
      <c r="DA44" s="66">
        <f>'[1]UNIV 2019'!AC50</f>
        <v>0</v>
      </c>
      <c r="DB44" s="66">
        <f t="shared" si="26"/>
        <v>356000000</v>
      </c>
      <c r="DC44" s="66"/>
      <c r="DD44" s="66">
        <f>'[1]Univ Comm Fund'!AD44</f>
        <v>20000000</v>
      </c>
      <c r="DE44" s="66">
        <f>'[1]UNIV 2019'!AD50</f>
        <v>0</v>
      </c>
      <c r="DF44" s="66">
        <f t="shared" si="27"/>
        <v>20000000</v>
      </c>
      <c r="DG44" s="66"/>
      <c r="DH44" s="66">
        <f>'[1]Univ Comm Fund'!AE44</f>
        <v>552000000</v>
      </c>
      <c r="DI44" s="66">
        <f>'[1]UNIV 2019'!AE50</f>
        <v>0</v>
      </c>
      <c r="DJ44" s="66">
        <f t="shared" si="28"/>
        <v>552000000</v>
      </c>
      <c r="DK44" s="66"/>
      <c r="DL44" s="66">
        <f>'[1]Univ Comm Fund'!AF44</f>
        <v>20000000</v>
      </c>
      <c r="DM44" s="66">
        <f>'[1]UNIV 2019'!AF50</f>
        <v>0</v>
      </c>
      <c r="DN44" s="66">
        <f t="shared" si="29"/>
        <v>20000000</v>
      </c>
      <c r="DO44" s="66"/>
      <c r="DP44" s="66">
        <f>'[1]Univ Comm Fund'!AG44</f>
        <v>0</v>
      </c>
      <c r="DQ44" s="66">
        <f>'[1]UNIV 2019'!AG50</f>
        <v>0</v>
      </c>
      <c r="DR44" s="66">
        <f t="shared" si="30"/>
        <v>0</v>
      </c>
      <c r="DS44" s="66"/>
      <c r="DT44" s="66">
        <f>'[1]Univ Comm Fund'!AH44</f>
        <v>100000000</v>
      </c>
      <c r="DU44" s="66">
        <f>'[1]UNIV 2019'!AH50</f>
        <v>0</v>
      </c>
      <c r="DV44" s="66">
        <f t="shared" si="31"/>
        <v>100000000</v>
      </c>
      <c r="DW44" s="66"/>
      <c r="DX44" s="66">
        <f>'[1]Univ Comm Fund'!AI44</f>
        <v>15000000</v>
      </c>
      <c r="DY44" s="66">
        <f>'[1]UNIV 2019'!AI50</f>
        <v>0</v>
      </c>
      <c r="DZ44" s="66">
        <f t="shared" si="32"/>
        <v>15000000</v>
      </c>
      <c r="EA44" s="66"/>
      <c r="EB44" s="66">
        <f>'[1]Univ Comm Fund'!AJ44</f>
        <v>2000000</v>
      </c>
      <c r="EC44" s="66">
        <f>'[1]UNIV 2019'!AJ50</f>
        <v>1700000</v>
      </c>
      <c r="ED44" s="66">
        <f t="shared" si="33"/>
        <v>300000</v>
      </c>
      <c r="EE44" s="66"/>
      <c r="EF44" s="66">
        <f>'[1]Univ Comm Fund'!AK44</f>
        <v>10000000</v>
      </c>
      <c r="EG44" s="66">
        <f>'[1]UNIV 2019'!AK50</f>
        <v>0</v>
      </c>
      <c r="EH44" s="66">
        <f t="shared" si="34"/>
        <v>10000000</v>
      </c>
      <c r="EI44" s="66"/>
      <c r="EJ44" s="66">
        <f>'[1]Univ Comm Fund'!AL44</f>
        <v>0</v>
      </c>
      <c r="EK44" s="66">
        <f>'[1]UNIV 2019'!AL50</f>
        <v>0</v>
      </c>
      <c r="EL44" s="66">
        <f t="shared" si="35"/>
        <v>0</v>
      </c>
      <c r="EM44" s="66"/>
      <c r="EN44" s="80">
        <f>'[1]Univ Comm Fund'!AM44</f>
        <v>565410000</v>
      </c>
      <c r="EO44" s="66">
        <f>'[1]UNIV 2019'!AM50</f>
        <v>0</v>
      </c>
      <c r="EP44" s="75">
        <f t="shared" si="36"/>
        <v>565410000</v>
      </c>
      <c r="EQ44" s="66"/>
      <c r="ER44" s="66">
        <f>'[1]Univ Comm Fund'!AN44</f>
        <v>15000000</v>
      </c>
      <c r="ES44" s="66">
        <f>'[1]UNIV 2019'!AN50</f>
        <v>0</v>
      </c>
      <c r="ET44" s="75">
        <f t="shared" si="37"/>
        <v>15000000</v>
      </c>
      <c r="EU44" s="66"/>
      <c r="EV44" s="66">
        <f>'[1]Univ Comm Fund'!AO44</f>
        <v>15000000</v>
      </c>
      <c r="EW44" s="66">
        <f>'[1]UNIV 2019'!AO50</f>
        <v>0</v>
      </c>
      <c r="EX44" s="75">
        <f t="shared" si="38"/>
        <v>15000000</v>
      </c>
      <c r="EY44" s="66"/>
      <c r="EZ44" s="66">
        <f>'[1]Univ Comm Fund'!AP44</f>
        <v>10000000</v>
      </c>
      <c r="FA44" s="66">
        <f>'[1]UNIV 2019'!AP50</f>
        <v>0</v>
      </c>
      <c r="FB44" s="75">
        <f t="shared" si="39"/>
        <v>10000000</v>
      </c>
      <c r="FC44" s="75"/>
      <c r="FD44" s="75">
        <f>'[1]Univ Comm Fund'!AQ44</f>
        <v>0</v>
      </c>
      <c r="FE44" s="75">
        <f>'[1]UNIV 2019'!AQ50</f>
        <v>0</v>
      </c>
      <c r="FF44" s="75">
        <f t="shared" si="40"/>
        <v>0</v>
      </c>
      <c r="FG44" s="75"/>
      <c r="FH44" s="75">
        <f>'[1]Univ Comm Fund'!AR44</f>
        <v>0</v>
      </c>
      <c r="FI44" s="75">
        <f>'[1]UNIV 2019'!AR50</f>
        <v>0</v>
      </c>
      <c r="FJ44" s="75">
        <f t="shared" si="41"/>
        <v>0</v>
      </c>
      <c r="FK44" s="75"/>
      <c r="FL44" s="75">
        <f>'[1]Univ Comm Fund'!AS44</f>
        <v>300000000</v>
      </c>
      <c r="FM44" s="75">
        <f>'[1]UNIV 2019'!AS50</f>
        <v>0</v>
      </c>
      <c r="FN44" s="75">
        <f t="shared" si="42"/>
        <v>300000000</v>
      </c>
      <c r="FO44" s="75"/>
      <c r="FP44" s="75">
        <f>'[1]Univ Comm Fund'!AT44</f>
        <v>120000000</v>
      </c>
      <c r="FQ44" s="75">
        <f>'[1]UNIV 2019'!AT50</f>
        <v>0</v>
      </c>
      <c r="FR44" s="75">
        <f t="shared" si="43"/>
        <v>120000000</v>
      </c>
      <c r="FS44" s="75"/>
      <c r="FT44" s="75">
        <f>'[1]Univ Comm Fund'!AU44</f>
        <v>10000000</v>
      </c>
      <c r="FU44" s="75">
        <f>'[1]UNIV 2019'!AU50</f>
        <v>0</v>
      </c>
      <c r="FV44" s="75">
        <f t="shared" si="44"/>
        <v>10000000</v>
      </c>
      <c r="FW44" s="75"/>
      <c r="FX44" s="75">
        <f>'[1]Univ Comm Fund'!AV44</f>
        <v>5000000</v>
      </c>
      <c r="FY44" s="75">
        <f>'[1]UNIV 2019'!AV50</f>
        <v>0</v>
      </c>
      <c r="FZ44" s="75">
        <f t="shared" si="45"/>
        <v>5000000</v>
      </c>
      <c r="GA44" s="75"/>
      <c r="GB44" s="75">
        <f>'[1]Univ Comm Fund'!AW44</f>
        <v>10000000</v>
      </c>
      <c r="GC44" s="75">
        <f>'[1]UNIV 2019'!AW50</f>
        <v>0</v>
      </c>
      <c r="GD44" s="75">
        <f t="shared" si="46"/>
        <v>10000000</v>
      </c>
      <c r="GE44" s="75"/>
      <c r="GF44" s="75">
        <f>'[1]Univ Comm Fund'!AX44</f>
        <v>0</v>
      </c>
      <c r="GG44" s="75">
        <f>'[1]UNIV 2019'!AX50</f>
        <v>0</v>
      </c>
      <c r="GH44" s="75">
        <f t="shared" si="47"/>
        <v>0</v>
      </c>
      <c r="GI44" s="75"/>
      <c r="GJ44" s="75">
        <f>'[1]Univ Comm Fund'!AY44</f>
        <v>350000000</v>
      </c>
      <c r="GK44" s="75">
        <f>'[1]UNIV 2019'!AY50</f>
        <v>0</v>
      </c>
      <c r="GL44" s="75">
        <f t="shared" si="48"/>
        <v>350000000</v>
      </c>
      <c r="GM44" s="75"/>
      <c r="GN44" s="75">
        <f>'[1]Univ Comm Fund'!AZ44</f>
        <v>175823700</v>
      </c>
      <c r="GO44" s="75">
        <f>'[1]UNIV 2019'!AZ50</f>
        <v>0</v>
      </c>
      <c r="GP44" s="75">
        <f t="shared" si="49"/>
        <v>175823700</v>
      </c>
      <c r="GQ44" s="75"/>
      <c r="GR44" s="75">
        <f>'[1]Univ Comm Fund'!BA44</f>
        <v>20000000</v>
      </c>
      <c r="GS44" s="75">
        <f>'[1]UNIV 2019'!BA50</f>
        <v>0</v>
      </c>
      <c r="GT44" s="75">
        <f t="shared" si="50"/>
        <v>20000000</v>
      </c>
      <c r="GU44" s="75"/>
      <c r="GV44" s="75">
        <f>'[1]Univ Comm Fund'!BB44</f>
        <v>5000000</v>
      </c>
      <c r="GW44" s="75">
        <f>'[1]UNIV 2019'!BB50</f>
        <v>0</v>
      </c>
      <c r="GX44" s="75">
        <f t="shared" si="51"/>
        <v>5000000</v>
      </c>
      <c r="GY44" s="75"/>
      <c r="GZ44" s="75">
        <f>'[1]Univ Comm Fund'!BC44</f>
        <v>10000000</v>
      </c>
      <c r="HA44" s="75">
        <f>'[1]UNIV 2019'!BD50</f>
        <v>0</v>
      </c>
      <c r="HB44" s="75">
        <f t="shared" si="52"/>
        <v>10000000</v>
      </c>
      <c r="HC44" s="75"/>
      <c r="HD44" s="75">
        <f>'[1]Univ Comm Fund'!BD44</f>
        <v>0</v>
      </c>
      <c r="HE44" s="75">
        <f>'[1]UNIV 2019'!BC50</f>
        <v>0</v>
      </c>
      <c r="HF44" s="75">
        <f t="shared" si="53"/>
        <v>0</v>
      </c>
      <c r="HG44" s="75"/>
      <c r="HH44" s="75">
        <f t="shared" si="54"/>
        <v>4114672176.6700001</v>
      </c>
      <c r="HI44" s="75">
        <f t="shared" si="54"/>
        <v>1430138476.6700001</v>
      </c>
      <c r="HJ44" s="82">
        <f t="shared" si="55"/>
        <v>2684533700</v>
      </c>
      <c r="HL44" s="83">
        <f t="shared" si="56"/>
        <v>3426577776.6700001</v>
      </c>
      <c r="HM44" s="83">
        <f t="shared" si="56"/>
        <v>1203167776.6700001</v>
      </c>
      <c r="HN44" s="84">
        <f t="shared" si="57"/>
        <v>2223410000</v>
      </c>
      <c r="HP44" s="83">
        <f t="shared" si="58"/>
        <v>150270700</v>
      </c>
      <c r="HQ44" s="83">
        <f t="shared" si="58"/>
        <v>150270700</v>
      </c>
      <c r="HR44" s="84">
        <f t="shared" si="59"/>
        <v>0</v>
      </c>
      <c r="HT44" s="83">
        <f t="shared" si="60"/>
        <v>145000000</v>
      </c>
      <c r="HU44" s="83">
        <f t="shared" si="60"/>
        <v>75000000</v>
      </c>
      <c r="HV44" s="84">
        <f t="shared" si="61"/>
        <v>70000000</v>
      </c>
      <c r="HX44" s="83">
        <f t="shared" si="62"/>
        <v>60000000</v>
      </c>
      <c r="HY44" s="83">
        <f t="shared" si="62"/>
        <v>0</v>
      </c>
      <c r="HZ44" s="84">
        <f t="shared" si="63"/>
        <v>60000000</v>
      </c>
      <c r="IB44" s="83">
        <f t="shared" si="64"/>
        <v>35000000</v>
      </c>
      <c r="IC44" s="83">
        <f t="shared" si="64"/>
        <v>0</v>
      </c>
      <c r="ID44" s="84">
        <f t="shared" si="65"/>
        <v>35000000</v>
      </c>
      <c r="IF44" s="83">
        <f t="shared" si="69"/>
        <v>2000000</v>
      </c>
      <c r="IG44" s="83">
        <f t="shared" si="69"/>
        <v>1700000</v>
      </c>
      <c r="IH44" s="84">
        <f t="shared" si="66"/>
        <v>300000</v>
      </c>
      <c r="IJ44" s="84">
        <f t="shared" si="67"/>
        <v>295823700</v>
      </c>
      <c r="IK44" s="84">
        <f t="shared" si="67"/>
        <v>0</v>
      </c>
      <c r="IL44" s="84">
        <f t="shared" si="68"/>
        <v>295823700</v>
      </c>
    </row>
    <row r="45" spans="1:246" x14ac:dyDescent="0.25">
      <c r="A45" s="42">
        <v>40</v>
      </c>
      <c r="B45" s="86" t="s">
        <v>104</v>
      </c>
      <c r="C45" s="42" t="s">
        <v>61</v>
      </c>
      <c r="D45" s="66">
        <f>'[1]Univ Comm Fund'!D45</f>
        <v>59027776.670000002</v>
      </c>
      <c r="E45" s="66">
        <f>'[1]UNIV 2019'!D51</f>
        <v>59027776.670000002</v>
      </c>
      <c r="F45" s="75">
        <f t="shared" si="4"/>
        <v>0</v>
      </c>
      <c r="G45" s="66"/>
      <c r="H45" s="66">
        <f>'[1]Univ Comm Fund'!E45</f>
        <v>20000000</v>
      </c>
      <c r="I45" s="66">
        <f>'[1]UNIV 2019'!E51</f>
        <v>20000000</v>
      </c>
      <c r="J45" s="66">
        <f t="shared" si="5"/>
        <v>0</v>
      </c>
      <c r="K45" s="66"/>
      <c r="L45" s="66">
        <f>'[1]Univ Comm Fund'!F45</f>
        <v>40000000</v>
      </c>
      <c r="M45" s="66">
        <f>'[1]UNIV 2019'!F51</f>
        <v>40000000</v>
      </c>
      <c r="N45" s="66">
        <f t="shared" si="6"/>
        <v>0</v>
      </c>
      <c r="O45" s="66"/>
      <c r="P45" s="66">
        <f>'[1]Univ Comm Fund'!G45</f>
        <v>60000</v>
      </c>
      <c r="Q45" s="66">
        <f>'[1]UNIV 2019'!G51</f>
        <v>60000</v>
      </c>
      <c r="R45" s="66">
        <f t="shared" si="7"/>
        <v>0</v>
      </c>
      <c r="S45" s="87"/>
      <c r="T45" s="66">
        <f>'[1]Univ Comm Fund'!H45</f>
        <v>50000000</v>
      </c>
      <c r="U45" s="66">
        <f>'[1]UNIV 2019'!H51</f>
        <v>50000000</v>
      </c>
      <c r="V45" s="66">
        <f t="shared" si="8"/>
        <v>0</v>
      </c>
      <c r="W45" s="66"/>
      <c r="X45" s="66">
        <f>'[1]Univ Comm Fund'!I45</f>
        <v>0</v>
      </c>
      <c r="Y45" s="66">
        <f>'[1]UNIV 2019'!I51</f>
        <v>0</v>
      </c>
      <c r="Z45" s="66">
        <f t="shared" si="9"/>
        <v>0</v>
      </c>
      <c r="AA45" s="66"/>
      <c r="AB45" s="66">
        <f>'[1]Univ Comm Fund'!J45</f>
        <v>30000000</v>
      </c>
      <c r="AC45" s="66">
        <f>'[1]UNIV 2019'!J51</f>
        <v>30000000</v>
      </c>
      <c r="AD45" s="66">
        <f t="shared" si="10"/>
        <v>0</v>
      </c>
      <c r="AE45" s="66"/>
      <c r="AF45" s="88">
        <f>'[1]Univ Comm Fund'!K45</f>
        <v>30000000</v>
      </c>
      <c r="AG45" s="66">
        <f>'[1]UNIV 2019'!K51</f>
        <v>30000000</v>
      </c>
      <c r="AH45" s="66">
        <f t="shared" si="11"/>
        <v>0</v>
      </c>
      <c r="AI45" s="88"/>
      <c r="AJ45" s="66">
        <f>'[1]Univ Comm Fund'!L45</f>
        <v>0</v>
      </c>
      <c r="AK45" s="66">
        <f>'[1]UNIV 2019'!L51</f>
        <v>0</v>
      </c>
      <c r="AL45" s="66">
        <f t="shared" si="12"/>
        <v>0</v>
      </c>
      <c r="AM45" s="66"/>
      <c r="AN45" s="66">
        <f>'[1]Univ Comm Fund'!M45</f>
        <v>40000000</v>
      </c>
      <c r="AO45" s="66">
        <f>'[1]UNIV 2019'!M51</f>
        <v>40000000</v>
      </c>
      <c r="AP45" s="66">
        <f t="shared" si="13"/>
        <v>0</v>
      </c>
      <c r="AQ45" s="66"/>
      <c r="AR45" s="66">
        <f>'[1]Univ Comm Fund'!N45</f>
        <v>0</v>
      </c>
      <c r="AS45" s="66">
        <f>'[1]UNIV 2019'!N51</f>
        <v>0</v>
      </c>
      <c r="AT45" s="66">
        <f t="shared" si="14"/>
        <v>0</v>
      </c>
      <c r="AU45" s="66"/>
      <c r="AV45" s="66">
        <f>'[1]Univ Comm Fund'!O45</f>
        <v>40000000</v>
      </c>
      <c r="AW45" s="66">
        <f>'[1]UNIV 2019'!O51</f>
        <v>40000000</v>
      </c>
      <c r="AX45" s="66">
        <f t="shared" si="15"/>
        <v>0</v>
      </c>
      <c r="AY45" s="66"/>
      <c r="AZ45" s="66">
        <f>'[1]Univ Comm Fund'!P45</f>
        <v>0</v>
      </c>
      <c r="BA45" s="66">
        <f>'[1]UNIV 2019'!P51</f>
        <v>0</v>
      </c>
      <c r="BB45" s="66">
        <f t="shared" si="0"/>
        <v>0</v>
      </c>
      <c r="BC45" s="66"/>
      <c r="BD45" s="66">
        <f>'[1]Univ Comm Fund'!Q45</f>
        <v>52000000</v>
      </c>
      <c r="BE45" s="66">
        <f>'[1]UNIV 2019'!Q51</f>
        <v>52000000</v>
      </c>
      <c r="BF45" s="66">
        <f t="shared" si="1"/>
        <v>0</v>
      </c>
      <c r="BG45" s="66"/>
      <c r="BH45" s="66">
        <f>'[1]Univ Comm Fund'!R45</f>
        <v>67000000</v>
      </c>
      <c r="BI45" s="66">
        <f>'[1]UNIV 2019'!R51</f>
        <v>67000000</v>
      </c>
      <c r="BJ45" s="66">
        <f t="shared" si="16"/>
        <v>0</v>
      </c>
      <c r="BK45" s="66"/>
      <c r="BL45" s="66">
        <f>'[1]Univ Comm Fund'!S45</f>
        <v>57000000</v>
      </c>
      <c r="BM45" s="66">
        <f>'[1]UNIV 2019'!S51</f>
        <v>57000000</v>
      </c>
      <c r="BN45" s="66">
        <f t="shared" si="17"/>
        <v>0</v>
      </c>
      <c r="BO45" s="66"/>
      <c r="BP45" s="66">
        <f>'[1]Univ Comm Fund'!T45</f>
        <v>0</v>
      </c>
      <c r="BQ45" s="66">
        <f>'[1]UNIV 2019'!T51</f>
        <v>0</v>
      </c>
      <c r="BR45" s="66">
        <f t="shared" si="18"/>
        <v>0</v>
      </c>
      <c r="BS45" s="66"/>
      <c r="BT45" s="66">
        <f>'[1]Univ Comm Fund'!U45</f>
        <v>193140000</v>
      </c>
      <c r="BU45" s="66">
        <f>'[1]UNIV 2019'!U51</f>
        <v>193140000</v>
      </c>
      <c r="BV45" s="66">
        <f t="shared" si="2"/>
        <v>0</v>
      </c>
      <c r="BW45" s="66"/>
      <c r="BX45" s="111">
        <f>'[1]Univ Comm Fund'!V45</f>
        <v>350000000</v>
      </c>
      <c r="BY45" s="111">
        <f>'[1]UNIV 2019'!V51</f>
        <v>350000000</v>
      </c>
      <c r="BZ45" s="111">
        <f t="shared" si="19"/>
        <v>0</v>
      </c>
      <c r="CA45" s="66"/>
      <c r="CB45" s="66">
        <f>'[1]Univ Comm Fund'!W45</f>
        <v>175000000</v>
      </c>
      <c r="CC45" s="66">
        <f>'[1]UNIV 2019'!W51</f>
        <v>175000000</v>
      </c>
      <c r="CD45" s="66">
        <f t="shared" si="20"/>
        <v>0</v>
      </c>
      <c r="CE45" s="66"/>
      <c r="CF45" s="66">
        <v>75000000</v>
      </c>
      <c r="CG45" s="66">
        <f>'[1]UNIV 2019'!X51</f>
        <v>75000000</v>
      </c>
      <c r="CH45" s="75">
        <f t="shared" si="21"/>
        <v>0</v>
      </c>
      <c r="CI45" s="66"/>
      <c r="CJ45" s="66">
        <f>'[1]Univ Comm Fund'!Y45</f>
        <v>200000000</v>
      </c>
      <c r="CK45" s="66">
        <f>'[1]UNIV 2019'!Y51</f>
        <v>200000000</v>
      </c>
      <c r="CL45" s="66">
        <f t="shared" si="22"/>
        <v>0</v>
      </c>
      <c r="CM45" s="66"/>
      <c r="CN45" s="20">
        <f>'[1]Univ Comm Fund'!Z45</f>
        <v>350000000</v>
      </c>
      <c r="CO45" s="66">
        <f>'[1]UNIV 2019'!Z51</f>
        <v>297500000</v>
      </c>
      <c r="CP45" s="66">
        <f t="shared" si="23"/>
        <v>52500000</v>
      </c>
      <c r="CQ45" s="20"/>
      <c r="CR45" s="66">
        <f>'[1]Univ Comm Fund'!AA45</f>
        <v>0</v>
      </c>
      <c r="CS45" s="66">
        <f>'[1]UNIV 2019'!AA51</f>
        <v>0</v>
      </c>
      <c r="CT45" s="75">
        <f t="shared" si="24"/>
        <v>0</v>
      </c>
      <c r="CU45" s="66"/>
      <c r="CV45" s="66">
        <f>'[1]Univ Comm Fund'!AB45</f>
        <v>500000000</v>
      </c>
      <c r="CW45" s="66">
        <f>'[1]UNIV 2019'!AB51</f>
        <v>425000000</v>
      </c>
      <c r="CX45" s="75">
        <f t="shared" si="25"/>
        <v>75000000</v>
      </c>
      <c r="CY45" s="66"/>
      <c r="CZ45" s="66">
        <f>'[1]Univ Comm Fund'!AC45</f>
        <v>356000000</v>
      </c>
      <c r="DA45" s="66">
        <f>'[1]UNIV 2019'!AC51</f>
        <v>302600000</v>
      </c>
      <c r="DB45" s="66">
        <f t="shared" si="26"/>
        <v>53400000</v>
      </c>
      <c r="DC45" s="66"/>
      <c r="DD45" s="66">
        <f>'[1]Univ Comm Fund'!AD45</f>
        <v>20000000</v>
      </c>
      <c r="DE45" s="66">
        <f>'[1]UNIV 2019'!AD51</f>
        <v>17000000</v>
      </c>
      <c r="DF45" s="66">
        <f t="shared" si="27"/>
        <v>3000000</v>
      </c>
      <c r="DG45" s="66"/>
      <c r="DH45" s="66">
        <f>'[1]Univ Comm Fund'!AE45</f>
        <v>552000000</v>
      </c>
      <c r="DI45" s="66">
        <f>'[1]UNIV 2019'!AE51</f>
        <v>469200000</v>
      </c>
      <c r="DJ45" s="66">
        <f t="shared" si="28"/>
        <v>82800000</v>
      </c>
      <c r="DK45" s="66"/>
      <c r="DL45" s="66">
        <f>'[1]Univ Comm Fund'!AF45</f>
        <v>20000000</v>
      </c>
      <c r="DM45" s="66">
        <f>'[1]UNIV 2019'!AF51</f>
        <v>17000000</v>
      </c>
      <c r="DN45" s="66">
        <f t="shared" si="29"/>
        <v>3000000</v>
      </c>
      <c r="DO45" s="66"/>
      <c r="DP45" s="66">
        <f>'[1]Univ Comm Fund'!AG45</f>
        <v>0</v>
      </c>
      <c r="DQ45" s="66">
        <f>'[1]UNIV 2019'!AG51</f>
        <v>0</v>
      </c>
      <c r="DR45" s="66">
        <f t="shared" si="30"/>
        <v>0</v>
      </c>
      <c r="DS45" s="66"/>
      <c r="DT45" s="66">
        <f>'[1]Univ Comm Fund'!AH45</f>
        <v>100000000</v>
      </c>
      <c r="DU45" s="66">
        <f>'[1]UNIV 2019'!AH51</f>
        <v>0</v>
      </c>
      <c r="DV45" s="66">
        <f t="shared" si="31"/>
        <v>100000000</v>
      </c>
      <c r="DW45" s="66"/>
      <c r="DX45" s="66">
        <f>'[1]Univ Comm Fund'!AI45</f>
        <v>15000000</v>
      </c>
      <c r="DY45" s="66">
        <f>'[1]UNIV 2019'!AI51</f>
        <v>0</v>
      </c>
      <c r="DZ45" s="66">
        <f t="shared" si="32"/>
        <v>15000000</v>
      </c>
      <c r="EA45" s="66"/>
      <c r="EB45" s="66">
        <f>'[1]Univ Comm Fund'!AJ45</f>
        <v>2000000</v>
      </c>
      <c r="EC45" s="66">
        <f>'[1]UNIV 2019'!AJ51</f>
        <v>0</v>
      </c>
      <c r="ED45" s="66">
        <f t="shared" si="33"/>
        <v>2000000</v>
      </c>
      <c r="EE45" s="66"/>
      <c r="EF45" s="66">
        <f>'[1]Univ Comm Fund'!AK45</f>
        <v>10000000</v>
      </c>
      <c r="EG45" s="66">
        <f>'[1]UNIV 2019'!AK51</f>
        <v>8500000</v>
      </c>
      <c r="EH45" s="66">
        <f t="shared" si="34"/>
        <v>1500000</v>
      </c>
      <c r="EI45" s="66"/>
      <c r="EJ45" s="66">
        <f>'[1]Univ Comm Fund'!AL45</f>
        <v>600000000</v>
      </c>
      <c r="EK45" s="66">
        <f>'[1]UNIV 2019'!AL51</f>
        <v>510000000</v>
      </c>
      <c r="EL45" s="66">
        <f t="shared" si="35"/>
        <v>90000000</v>
      </c>
      <c r="EM45" s="66"/>
      <c r="EN45" s="80">
        <f>'[1]Univ Comm Fund'!AM45</f>
        <v>565410000</v>
      </c>
      <c r="EO45" s="66">
        <f>'[1]UNIV 2019'!AM51</f>
        <v>0</v>
      </c>
      <c r="EP45" s="75">
        <f t="shared" si="36"/>
        <v>565410000</v>
      </c>
      <c r="EQ45" s="66"/>
      <c r="ER45" s="66">
        <f>'[1]Univ Comm Fund'!AN45</f>
        <v>15000000</v>
      </c>
      <c r="ES45" s="66">
        <f>'[1]UNIV 2019'!AN51</f>
        <v>0</v>
      </c>
      <c r="ET45" s="75">
        <f t="shared" si="37"/>
        <v>15000000</v>
      </c>
      <c r="EU45" s="66"/>
      <c r="EV45" s="66">
        <f>'[1]Univ Comm Fund'!AO45</f>
        <v>15000000</v>
      </c>
      <c r="EW45" s="66">
        <f>'[1]UNIV 2019'!AO51</f>
        <v>0</v>
      </c>
      <c r="EX45" s="75">
        <f t="shared" si="38"/>
        <v>15000000</v>
      </c>
      <c r="EY45" s="66"/>
      <c r="EZ45" s="66">
        <f>'[1]Univ Comm Fund'!AP45</f>
        <v>10000000</v>
      </c>
      <c r="FA45" s="66">
        <f>'[1]UNIV 2019'!AP51</f>
        <v>8500000</v>
      </c>
      <c r="FB45" s="75">
        <f t="shared" si="39"/>
        <v>1500000</v>
      </c>
      <c r="FC45" s="75"/>
      <c r="FD45" s="75">
        <f>'[1]Univ Comm Fund'!AQ45</f>
        <v>0</v>
      </c>
      <c r="FE45" s="75">
        <f>'[1]UNIV 2019'!AQ51</f>
        <v>0</v>
      </c>
      <c r="FF45" s="75">
        <f t="shared" si="40"/>
        <v>0</v>
      </c>
      <c r="FG45" s="75"/>
      <c r="FH45" s="75">
        <f>'[1]Univ Comm Fund'!AR45</f>
        <v>0</v>
      </c>
      <c r="FI45" s="75">
        <f>'[1]UNIV 2019'!AR51</f>
        <v>0</v>
      </c>
      <c r="FJ45" s="75">
        <f t="shared" si="41"/>
        <v>0</v>
      </c>
      <c r="FK45" s="75"/>
      <c r="FL45" s="75">
        <f>'[1]Univ Comm Fund'!AS45</f>
        <v>300000000</v>
      </c>
      <c r="FM45" s="75">
        <f>'[1]UNIV 2019'!AS51</f>
        <v>0</v>
      </c>
      <c r="FN45" s="75">
        <f t="shared" si="42"/>
        <v>300000000</v>
      </c>
      <c r="FO45" s="75"/>
      <c r="FP45" s="75">
        <f>'[1]Univ Comm Fund'!AT45</f>
        <v>120000000</v>
      </c>
      <c r="FQ45" s="75">
        <f>'[1]UNIV 2019'!AT51</f>
        <v>74400000</v>
      </c>
      <c r="FR45" s="75">
        <f t="shared" si="43"/>
        <v>45600000</v>
      </c>
      <c r="FS45" s="75"/>
      <c r="FT45" s="75">
        <f>'[1]Univ Comm Fund'!AU45</f>
        <v>10000000</v>
      </c>
      <c r="FU45" s="75">
        <f>'[1]UNIV 2019'!AU51</f>
        <v>0</v>
      </c>
      <c r="FV45" s="75">
        <f t="shared" si="44"/>
        <v>10000000</v>
      </c>
      <c r="FW45" s="75"/>
      <c r="FX45" s="75">
        <f>'[1]Univ Comm Fund'!AV45</f>
        <v>5000000</v>
      </c>
      <c r="FY45" s="75">
        <f>'[1]UNIV 2019'!AV51</f>
        <v>0</v>
      </c>
      <c r="FZ45" s="75">
        <f t="shared" si="45"/>
        <v>5000000</v>
      </c>
      <c r="GA45" s="75"/>
      <c r="GB45" s="75">
        <f>'[1]Univ Comm Fund'!AW45</f>
        <v>10000000</v>
      </c>
      <c r="GC45" s="75">
        <f>'[1]UNIV 2019'!AW51</f>
        <v>0</v>
      </c>
      <c r="GD45" s="75">
        <f t="shared" si="46"/>
        <v>10000000</v>
      </c>
      <c r="GE45" s="75"/>
      <c r="GF45" s="75">
        <f>'[1]Univ Comm Fund'!AX45</f>
        <v>0</v>
      </c>
      <c r="GG45" s="75">
        <f>'[1]UNIV 2019'!AX51</f>
        <v>0</v>
      </c>
      <c r="GH45" s="75">
        <f t="shared" si="47"/>
        <v>0</v>
      </c>
      <c r="GI45" s="75"/>
      <c r="GJ45" s="75">
        <f>'[1]Univ Comm Fund'!AY45</f>
        <v>350000000</v>
      </c>
      <c r="GK45" s="75">
        <f>'[1]UNIV 2019'!AY51</f>
        <v>0</v>
      </c>
      <c r="GL45" s="75">
        <f t="shared" si="48"/>
        <v>350000000</v>
      </c>
      <c r="GM45" s="75"/>
      <c r="GN45" s="75">
        <f>'[1]Univ Comm Fund'!AZ45</f>
        <v>175823700</v>
      </c>
      <c r="GO45" s="75">
        <f>'[1]UNIV 2019'!AZ51</f>
        <v>0</v>
      </c>
      <c r="GP45" s="75">
        <f t="shared" si="49"/>
        <v>175823700</v>
      </c>
      <c r="GQ45" s="75"/>
      <c r="GR45" s="75">
        <f>'[1]Univ Comm Fund'!BA45</f>
        <v>20000000</v>
      </c>
      <c r="GS45" s="75">
        <f>'[1]UNIV 2019'!BA51</f>
        <v>0</v>
      </c>
      <c r="GT45" s="75">
        <f t="shared" si="50"/>
        <v>20000000</v>
      </c>
      <c r="GU45" s="75"/>
      <c r="GV45" s="75">
        <f>'[1]Univ Comm Fund'!BB45</f>
        <v>5000000</v>
      </c>
      <c r="GW45" s="75">
        <f>'[1]UNIV 2019'!BB51</f>
        <v>0</v>
      </c>
      <c r="GX45" s="75">
        <f t="shared" si="51"/>
        <v>5000000</v>
      </c>
      <c r="GY45" s="75"/>
      <c r="GZ45" s="75">
        <f>'[1]Univ Comm Fund'!BC45</f>
        <v>10000000</v>
      </c>
      <c r="HA45" s="75">
        <f>'[1]UNIV 2019'!BD51</f>
        <v>0</v>
      </c>
      <c r="HB45" s="75">
        <f t="shared" si="52"/>
        <v>10000000</v>
      </c>
      <c r="HC45" s="75"/>
      <c r="HD45" s="75">
        <f>'[1]Univ Comm Fund'!BD45</f>
        <v>0</v>
      </c>
      <c r="HE45" s="75">
        <f>'[1]UNIV 2019'!BC51</f>
        <v>0</v>
      </c>
      <c r="HF45" s="75">
        <f t="shared" si="53"/>
        <v>0</v>
      </c>
      <c r="HG45" s="75"/>
      <c r="HH45" s="75">
        <f t="shared" si="54"/>
        <v>5614461476.6700001</v>
      </c>
      <c r="HI45" s="75">
        <f t="shared" si="54"/>
        <v>3607927776.6700001</v>
      </c>
      <c r="HJ45" s="82">
        <f t="shared" si="55"/>
        <v>2006533700</v>
      </c>
      <c r="HL45" s="83">
        <f t="shared" si="56"/>
        <v>3426577776.6700001</v>
      </c>
      <c r="HM45" s="83">
        <f t="shared" si="56"/>
        <v>1922467776.6700001</v>
      </c>
      <c r="HN45" s="84">
        <f t="shared" si="57"/>
        <v>1504110000</v>
      </c>
      <c r="HP45" s="83">
        <f t="shared" si="58"/>
        <v>1650000000</v>
      </c>
      <c r="HQ45" s="83">
        <f t="shared" si="58"/>
        <v>1485000000</v>
      </c>
      <c r="HR45" s="84">
        <f t="shared" si="59"/>
        <v>165000000</v>
      </c>
      <c r="HT45" s="83">
        <f t="shared" si="60"/>
        <v>145000000</v>
      </c>
      <c r="HU45" s="83">
        <f t="shared" si="60"/>
        <v>126000000</v>
      </c>
      <c r="HV45" s="84">
        <f t="shared" si="61"/>
        <v>19000000</v>
      </c>
      <c r="HX45" s="83">
        <f t="shared" si="62"/>
        <v>60000000</v>
      </c>
      <c r="HY45" s="83">
        <f t="shared" si="62"/>
        <v>0</v>
      </c>
      <c r="HZ45" s="84">
        <f t="shared" si="63"/>
        <v>60000000</v>
      </c>
      <c r="IB45" s="83">
        <f t="shared" si="64"/>
        <v>35000000</v>
      </c>
      <c r="IC45" s="83">
        <f t="shared" si="64"/>
        <v>0</v>
      </c>
      <c r="ID45" s="84">
        <f t="shared" si="65"/>
        <v>35000000</v>
      </c>
      <c r="IF45" s="83">
        <f t="shared" si="69"/>
        <v>2000000</v>
      </c>
      <c r="IG45" s="83">
        <f t="shared" si="69"/>
        <v>0</v>
      </c>
      <c r="IH45" s="84">
        <f t="shared" si="66"/>
        <v>2000000</v>
      </c>
      <c r="IJ45" s="84">
        <f t="shared" si="67"/>
        <v>295823700</v>
      </c>
      <c r="IK45" s="84">
        <f t="shared" si="67"/>
        <v>74400000</v>
      </c>
      <c r="IL45" s="84">
        <f t="shared" si="68"/>
        <v>221423700</v>
      </c>
    </row>
    <row r="46" spans="1:246" x14ac:dyDescent="0.25">
      <c r="A46" s="42">
        <v>41</v>
      </c>
      <c r="B46" s="86" t="s">
        <v>105</v>
      </c>
      <c r="C46" s="42" t="s">
        <v>76</v>
      </c>
      <c r="D46" s="66">
        <f>'[1]Univ Comm Fund'!D46</f>
        <v>59027776.670000002</v>
      </c>
      <c r="E46" s="66">
        <f>'[1]UNIV 2019'!D52</f>
        <v>59027776.670000002</v>
      </c>
      <c r="F46" s="75">
        <f t="shared" si="4"/>
        <v>0</v>
      </c>
      <c r="G46" s="66"/>
      <c r="H46" s="66">
        <f>'[1]Univ Comm Fund'!E46</f>
        <v>20000000</v>
      </c>
      <c r="I46" s="66">
        <f>'[1]UNIV 2019'!E52</f>
        <v>20000000</v>
      </c>
      <c r="J46" s="66">
        <f t="shared" si="5"/>
        <v>0</v>
      </c>
      <c r="K46" s="66"/>
      <c r="L46" s="66">
        <f>'[1]Univ Comm Fund'!F46</f>
        <v>40000000</v>
      </c>
      <c r="M46" s="66">
        <f>'[1]UNIV 2019'!F52</f>
        <v>40000000</v>
      </c>
      <c r="N46" s="66">
        <f t="shared" si="6"/>
        <v>0</v>
      </c>
      <c r="O46" s="66"/>
      <c r="P46" s="66">
        <f>'[1]Univ Comm Fund'!G46</f>
        <v>0</v>
      </c>
      <c r="Q46" s="66">
        <f>'[1]UNIV 2019'!G52</f>
        <v>0</v>
      </c>
      <c r="R46" s="66">
        <f t="shared" si="7"/>
        <v>0</v>
      </c>
      <c r="S46" s="87"/>
      <c r="T46" s="66">
        <f>'[1]Univ Comm Fund'!H46</f>
        <v>50000000</v>
      </c>
      <c r="U46" s="66">
        <f>'[1]UNIV 2019'!H52</f>
        <v>50000000</v>
      </c>
      <c r="V46" s="66">
        <f t="shared" si="8"/>
        <v>0</v>
      </c>
      <c r="W46" s="66"/>
      <c r="X46" s="66">
        <f>'[1]Univ Comm Fund'!I46</f>
        <v>0</v>
      </c>
      <c r="Y46" s="66">
        <f>'[1]UNIV 2019'!I52</f>
        <v>0</v>
      </c>
      <c r="Z46" s="66">
        <f t="shared" si="9"/>
        <v>0</v>
      </c>
      <c r="AA46" s="66"/>
      <c r="AB46" s="66">
        <f>'[1]Univ Comm Fund'!J46</f>
        <v>30000000</v>
      </c>
      <c r="AC46" s="66">
        <f>'[1]UNIV 2019'!J52</f>
        <v>30000000</v>
      </c>
      <c r="AD46" s="66">
        <f t="shared" si="10"/>
        <v>0</v>
      </c>
      <c r="AE46" s="66"/>
      <c r="AF46" s="88">
        <f>'[1]Univ Comm Fund'!K46</f>
        <v>30000000</v>
      </c>
      <c r="AG46" s="66">
        <f>'[1]UNIV 2019'!K52</f>
        <v>30000000</v>
      </c>
      <c r="AH46" s="66">
        <f t="shared" si="11"/>
        <v>0</v>
      </c>
      <c r="AI46" s="88"/>
      <c r="AJ46" s="66">
        <f>'[1]Univ Comm Fund'!L46</f>
        <v>0</v>
      </c>
      <c r="AK46" s="66">
        <f>'[1]UNIV 2019'!L52</f>
        <v>0</v>
      </c>
      <c r="AL46" s="66">
        <f t="shared" si="12"/>
        <v>0</v>
      </c>
      <c r="AM46" s="66"/>
      <c r="AN46" s="66">
        <f>'[1]Univ Comm Fund'!M46</f>
        <v>40000000</v>
      </c>
      <c r="AO46" s="66">
        <f>'[1]UNIV 2019'!M52</f>
        <v>40000000</v>
      </c>
      <c r="AP46" s="66">
        <f t="shared" si="13"/>
        <v>0</v>
      </c>
      <c r="AQ46" s="66"/>
      <c r="AR46" s="66">
        <f>'[1]Univ Comm Fund'!N46</f>
        <v>0</v>
      </c>
      <c r="AS46" s="66">
        <f>'[1]UNIV 2019'!N52</f>
        <v>0</v>
      </c>
      <c r="AT46" s="66">
        <f t="shared" si="14"/>
        <v>0</v>
      </c>
      <c r="AU46" s="66"/>
      <c r="AV46" s="66">
        <f>'[1]Univ Comm Fund'!O46</f>
        <v>40000000</v>
      </c>
      <c r="AW46" s="66">
        <f>'[1]UNIV 2019'!O52</f>
        <v>40000000</v>
      </c>
      <c r="AX46" s="66">
        <f t="shared" si="15"/>
        <v>0</v>
      </c>
      <c r="AY46" s="66"/>
      <c r="AZ46" s="66">
        <f>'[1]Univ Comm Fund'!P46</f>
        <v>0</v>
      </c>
      <c r="BA46" s="66">
        <f>'[1]UNIV 2019'!P52</f>
        <v>0</v>
      </c>
      <c r="BB46" s="66">
        <f t="shared" si="0"/>
        <v>0</v>
      </c>
      <c r="BC46" s="66"/>
      <c r="BD46" s="66">
        <f>'[1]Univ Comm Fund'!Q46</f>
        <v>52000000</v>
      </c>
      <c r="BE46" s="66">
        <f>'[1]UNIV 2019'!Q52</f>
        <v>52000000</v>
      </c>
      <c r="BF46" s="66">
        <f t="shared" si="1"/>
        <v>0</v>
      </c>
      <c r="BG46" s="66"/>
      <c r="BH46" s="66">
        <f>'[1]Univ Comm Fund'!R46</f>
        <v>67000000</v>
      </c>
      <c r="BI46" s="66">
        <f>'[1]UNIV 2019'!R52</f>
        <v>67000000</v>
      </c>
      <c r="BJ46" s="66">
        <f t="shared" si="16"/>
        <v>0</v>
      </c>
      <c r="BK46" s="66"/>
      <c r="BL46" s="66">
        <f>'[1]Univ Comm Fund'!S46</f>
        <v>57000000</v>
      </c>
      <c r="BM46" s="66">
        <f>'[1]UNIV 2019'!S52</f>
        <v>57000000</v>
      </c>
      <c r="BN46" s="66">
        <f t="shared" si="17"/>
        <v>0</v>
      </c>
      <c r="BO46" s="66"/>
      <c r="BP46" s="66">
        <f>'[1]Univ Comm Fund'!T46</f>
        <v>0</v>
      </c>
      <c r="BQ46" s="66">
        <f>'[1]UNIV 2019'!T52</f>
        <v>0</v>
      </c>
      <c r="BR46" s="66">
        <f t="shared" si="18"/>
        <v>0</v>
      </c>
      <c r="BS46" s="66"/>
      <c r="BT46" s="66">
        <f>'[1]Univ Comm Fund'!U46</f>
        <v>193140000</v>
      </c>
      <c r="BU46" s="66">
        <f>'[1]UNIV 2019'!U52</f>
        <v>193140000</v>
      </c>
      <c r="BV46" s="66">
        <f t="shared" si="2"/>
        <v>0</v>
      </c>
      <c r="BW46" s="66"/>
      <c r="BX46" s="66">
        <f>'[1]Univ Comm Fund'!V46</f>
        <v>0</v>
      </c>
      <c r="BY46" s="66">
        <f>'[1]UNIV 2019'!V52</f>
        <v>0</v>
      </c>
      <c r="BZ46" s="66">
        <f t="shared" si="19"/>
        <v>0</v>
      </c>
      <c r="CA46" s="66"/>
      <c r="CB46" s="66">
        <f>'[1]Univ Comm Fund'!W46</f>
        <v>175000000</v>
      </c>
      <c r="CC46" s="66">
        <f>'[1]UNIV 2019'!W52</f>
        <v>175000000</v>
      </c>
      <c r="CD46" s="66">
        <f t="shared" si="20"/>
        <v>0</v>
      </c>
      <c r="CE46" s="66"/>
      <c r="CF46" s="66">
        <v>75000000</v>
      </c>
      <c r="CG46" s="66">
        <f>'[1]UNIV 2019'!X52</f>
        <v>56250000</v>
      </c>
      <c r="CH46" s="75">
        <f t="shared" si="21"/>
        <v>18750000</v>
      </c>
      <c r="CI46" s="66"/>
      <c r="CJ46" s="66">
        <f>'[1]Univ Comm Fund'!Y46</f>
        <v>0</v>
      </c>
      <c r="CK46" s="66">
        <f>'[1]UNIV 2019'!Y52</f>
        <v>0</v>
      </c>
      <c r="CL46" s="66">
        <f t="shared" si="22"/>
        <v>0</v>
      </c>
      <c r="CM46" s="66"/>
      <c r="CN46" s="20">
        <f>'[1]Univ Comm Fund'!Z46</f>
        <v>350000000</v>
      </c>
      <c r="CO46" s="66">
        <f>'[1]UNIV 2019'!Z52</f>
        <v>350000000</v>
      </c>
      <c r="CP46" s="66">
        <f t="shared" si="23"/>
        <v>0</v>
      </c>
      <c r="CQ46" s="20"/>
      <c r="CR46" s="66">
        <f>'[1]Univ Comm Fund'!AA46</f>
        <v>0</v>
      </c>
      <c r="CS46" s="66">
        <f>'[1]UNIV 2019'!AA52</f>
        <v>0</v>
      </c>
      <c r="CT46" s="75">
        <f t="shared" si="24"/>
        <v>0</v>
      </c>
      <c r="CU46" s="66"/>
      <c r="CV46" s="66">
        <f>'[1]Univ Comm Fund'!AB46</f>
        <v>0</v>
      </c>
      <c r="CW46" s="66">
        <f>'[1]UNIV 2019'!AB52</f>
        <v>0</v>
      </c>
      <c r="CX46" s="75">
        <f t="shared" si="25"/>
        <v>0</v>
      </c>
      <c r="CY46" s="66"/>
      <c r="CZ46" s="66">
        <f>'[1]Univ Comm Fund'!AC46</f>
        <v>356000000</v>
      </c>
      <c r="DA46" s="66">
        <f>'[1]UNIV 2019'!AC52</f>
        <v>356000000</v>
      </c>
      <c r="DB46" s="66">
        <f t="shared" si="26"/>
        <v>0</v>
      </c>
      <c r="DC46" s="66"/>
      <c r="DD46" s="66">
        <f>'[1]Univ Comm Fund'!AD46</f>
        <v>20000000</v>
      </c>
      <c r="DE46" s="66">
        <f>'[1]UNIV 2019'!AD52</f>
        <v>0</v>
      </c>
      <c r="DF46" s="66">
        <f t="shared" si="27"/>
        <v>20000000</v>
      </c>
      <c r="DG46" s="66"/>
      <c r="DH46" s="66">
        <f>'[1]Univ Comm Fund'!AE46</f>
        <v>552000000</v>
      </c>
      <c r="DI46" s="66">
        <f>'[1]UNIV 2019'!AE52</f>
        <v>353937894.76999998</v>
      </c>
      <c r="DJ46" s="66">
        <f t="shared" si="28"/>
        <v>198062105.23000002</v>
      </c>
      <c r="DK46" s="66"/>
      <c r="DL46" s="66">
        <f>'[1]Univ Comm Fund'!AF46</f>
        <v>20000000</v>
      </c>
      <c r="DM46" s="66">
        <f>'[1]UNIV 2019'!AF52</f>
        <v>0</v>
      </c>
      <c r="DN46" s="66">
        <f t="shared" si="29"/>
        <v>20000000</v>
      </c>
      <c r="DO46" s="66"/>
      <c r="DP46" s="66">
        <f>'[1]Univ Comm Fund'!AG46</f>
        <v>300000000</v>
      </c>
      <c r="DQ46" s="66">
        <f>'[1]UNIV 2019'!AG52</f>
        <v>270000000</v>
      </c>
      <c r="DR46" s="66">
        <f t="shared" si="30"/>
        <v>30000000</v>
      </c>
      <c r="DS46" s="66"/>
      <c r="DT46" s="66">
        <f>'[1]Univ Comm Fund'!AH46</f>
        <v>100000000</v>
      </c>
      <c r="DU46" s="66">
        <f>'[1]UNIV 2019'!AH52</f>
        <v>64118929.230000004</v>
      </c>
      <c r="DV46" s="66">
        <f t="shared" si="31"/>
        <v>35881070.769999996</v>
      </c>
      <c r="DW46" s="66"/>
      <c r="DX46" s="66">
        <f>'[1]Univ Comm Fund'!AI46</f>
        <v>15000000</v>
      </c>
      <c r="DY46" s="66">
        <f>'[1]UNIV 2019'!AI52</f>
        <v>0</v>
      </c>
      <c r="DZ46" s="66">
        <f t="shared" si="32"/>
        <v>15000000</v>
      </c>
      <c r="EA46" s="66"/>
      <c r="EB46" s="66">
        <f>'[1]Univ Comm Fund'!AJ46</f>
        <v>2000000</v>
      </c>
      <c r="EC46" s="66">
        <f>'[1]UNIV 2019'!AJ52</f>
        <v>0</v>
      </c>
      <c r="ED46" s="66">
        <f t="shared" si="33"/>
        <v>2000000</v>
      </c>
      <c r="EE46" s="66"/>
      <c r="EF46" s="66">
        <f>'[1]Univ Comm Fund'!AK46</f>
        <v>10000000</v>
      </c>
      <c r="EG46" s="66">
        <f>'[1]UNIV 2019'!AK52</f>
        <v>0</v>
      </c>
      <c r="EH46" s="66">
        <f t="shared" si="34"/>
        <v>10000000</v>
      </c>
      <c r="EI46" s="66"/>
      <c r="EJ46" s="66">
        <f>'[1]Univ Comm Fund'!AL46</f>
        <v>3450000000</v>
      </c>
      <c r="EK46" s="66">
        <f>'[1]UNIV 2019'!AL52</f>
        <v>2599500000</v>
      </c>
      <c r="EL46" s="66">
        <f t="shared" si="35"/>
        <v>850500000</v>
      </c>
      <c r="EM46" s="66"/>
      <c r="EN46" s="80">
        <f>'[1]Univ Comm Fund'!AM46</f>
        <v>565410000</v>
      </c>
      <c r="EO46" s="66">
        <f>'[1]UNIV 2019'!AM52</f>
        <v>362536531.97000003</v>
      </c>
      <c r="EP46" s="75">
        <f t="shared" si="36"/>
        <v>202873468.02999997</v>
      </c>
      <c r="EQ46" s="66"/>
      <c r="ER46" s="66">
        <f>'[1]Univ Comm Fund'!AN46</f>
        <v>15000000</v>
      </c>
      <c r="ES46" s="66">
        <f>'[1]UNIV 2019'!AN52</f>
        <v>0</v>
      </c>
      <c r="ET46" s="75">
        <f t="shared" si="37"/>
        <v>15000000</v>
      </c>
      <c r="EU46" s="66"/>
      <c r="EV46" s="66">
        <f>'[1]Univ Comm Fund'!AO46</f>
        <v>15000000</v>
      </c>
      <c r="EW46" s="66">
        <f>'[1]UNIV 2019'!AO52</f>
        <v>0</v>
      </c>
      <c r="EX46" s="75">
        <f t="shared" si="38"/>
        <v>15000000</v>
      </c>
      <c r="EY46" s="66"/>
      <c r="EZ46" s="66">
        <f>'[1]Univ Comm Fund'!AP46</f>
        <v>10000000</v>
      </c>
      <c r="FA46" s="66">
        <f>'[1]UNIV 2019'!AP52</f>
        <v>0</v>
      </c>
      <c r="FB46" s="75">
        <f t="shared" si="39"/>
        <v>10000000</v>
      </c>
      <c r="FC46" s="75"/>
      <c r="FD46" s="75">
        <f>'[1]Univ Comm Fund'!AQ46</f>
        <v>0</v>
      </c>
      <c r="FE46" s="75">
        <f>'[1]UNIV 2019'!AQ52</f>
        <v>0</v>
      </c>
      <c r="FF46" s="75">
        <f t="shared" si="40"/>
        <v>0</v>
      </c>
      <c r="FG46" s="75"/>
      <c r="FH46" s="75">
        <f>'[1]Univ Comm Fund'!AR46</f>
        <v>0</v>
      </c>
      <c r="FI46" s="75">
        <f>'[1]UNIV 2019'!AR52</f>
        <v>0</v>
      </c>
      <c r="FJ46" s="75">
        <f t="shared" si="41"/>
        <v>0</v>
      </c>
      <c r="FK46" s="75"/>
      <c r="FL46" s="75">
        <f>'[1]Univ Comm Fund'!AS46</f>
        <v>300000000</v>
      </c>
      <c r="FM46" s="75">
        <f>'[1]UNIV 2019'!AS52</f>
        <v>0</v>
      </c>
      <c r="FN46" s="75">
        <f t="shared" si="42"/>
        <v>300000000</v>
      </c>
      <c r="FO46" s="75"/>
      <c r="FP46" s="75">
        <f>'[1]Univ Comm Fund'!AT46</f>
        <v>120000000</v>
      </c>
      <c r="FQ46" s="75">
        <f>'[1]UNIV 2019'!AT52</f>
        <v>0</v>
      </c>
      <c r="FR46" s="75">
        <f t="shared" si="43"/>
        <v>120000000</v>
      </c>
      <c r="FS46" s="75"/>
      <c r="FT46" s="75">
        <f>'[1]Univ Comm Fund'!AU46</f>
        <v>10000000</v>
      </c>
      <c r="FU46" s="75">
        <f>'[1]UNIV 2019'!AU52</f>
        <v>0</v>
      </c>
      <c r="FV46" s="75">
        <f t="shared" si="44"/>
        <v>10000000</v>
      </c>
      <c r="FW46" s="75"/>
      <c r="FX46" s="75">
        <f>'[1]Univ Comm Fund'!AV46</f>
        <v>5000000</v>
      </c>
      <c r="FY46" s="75">
        <f>'[1]UNIV 2019'!AV52</f>
        <v>0</v>
      </c>
      <c r="FZ46" s="75">
        <f t="shared" si="45"/>
        <v>5000000</v>
      </c>
      <c r="GA46" s="75"/>
      <c r="GB46" s="75">
        <f>'[1]Univ Comm Fund'!AW46</f>
        <v>10000000</v>
      </c>
      <c r="GC46" s="75">
        <f>'[1]UNIV 2019'!AW52</f>
        <v>0</v>
      </c>
      <c r="GD46" s="75">
        <f t="shared" si="46"/>
        <v>10000000</v>
      </c>
      <c r="GE46" s="75"/>
      <c r="GF46" s="75">
        <f>'[1]Univ Comm Fund'!AX46</f>
        <v>0</v>
      </c>
      <c r="GG46" s="75">
        <f>'[1]UNIV 2019'!AX52</f>
        <v>0</v>
      </c>
      <c r="GH46" s="75">
        <f t="shared" si="47"/>
        <v>0</v>
      </c>
      <c r="GI46" s="75"/>
      <c r="GJ46" s="75">
        <f>'[1]Univ Comm Fund'!AY46</f>
        <v>350000000</v>
      </c>
      <c r="GK46" s="75">
        <f>'[1]UNIV 2019'!AY52</f>
        <v>0</v>
      </c>
      <c r="GL46" s="75">
        <f t="shared" si="48"/>
        <v>350000000</v>
      </c>
      <c r="GM46" s="75"/>
      <c r="GN46" s="75">
        <f>'[1]Univ Comm Fund'!AZ46</f>
        <v>175823700</v>
      </c>
      <c r="GO46" s="75">
        <f>'[1]UNIV 2019'!AZ52</f>
        <v>0</v>
      </c>
      <c r="GP46" s="75">
        <f t="shared" si="49"/>
        <v>175823700</v>
      </c>
      <c r="GQ46" s="75"/>
      <c r="GR46" s="75">
        <f>'[1]Univ Comm Fund'!BA46</f>
        <v>20000000</v>
      </c>
      <c r="GS46" s="75">
        <f>'[1]UNIV 2019'!BA52</f>
        <v>0</v>
      </c>
      <c r="GT46" s="75">
        <f t="shared" si="50"/>
        <v>20000000</v>
      </c>
      <c r="GU46" s="75"/>
      <c r="GV46" s="75">
        <f>'[1]Univ Comm Fund'!BB46</f>
        <v>5000000</v>
      </c>
      <c r="GW46" s="75">
        <f>'[1]UNIV 2019'!BB52</f>
        <v>0</v>
      </c>
      <c r="GX46" s="75">
        <f t="shared" si="51"/>
        <v>5000000</v>
      </c>
      <c r="GY46" s="75"/>
      <c r="GZ46" s="75">
        <f>'[1]Univ Comm Fund'!BC46</f>
        <v>10000000</v>
      </c>
      <c r="HA46" s="75">
        <f>'[1]UNIV 2019'!BD52</f>
        <v>0</v>
      </c>
      <c r="HB46" s="75">
        <f t="shared" si="52"/>
        <v>10000000</v>
      </c>
      <c r="HC46" s="75"/>
      <c r="HD46" s="75">
        <f>'[1]Univ Comm Fund'!BD46</f>
        <v>0</v>
      </c>
      <c r="HE46" s="75">
        <f>'[1]UNIV 2019'!BC52</f>
        <v>0</v>
      </c>
      <c r="HF46" s="75">
        <f t="shared" si="53"/>
        <v>0</v>
      </c>
      <c r="HG46" s="75"/>
      <c r="HH46" s="75">
        <f t="shared" si="54"/>
        <v>7714401476.6700001</v>
      </c>
      <c r="HI46" s="75">
        <f t="shared" si="54"/>
        <v>5265511132.6400003</v>
      </c>
      <c r="HJ46" s="82">
        <f t="shared" si="55"/>
        <v>2448890344.0299997</v>
      </c>
      <c r="HL46" s="83">
        <f t="shared" si="56"/>
        <v>3426577776.6700001</v>
      </c>
      <c r="HM46" s="83">
        <f t="shared" si="56"/>
        <v>2339761132.6400003</v>
      </c>
      <c r="HN46" s="84">
        <f t="shared" si="57"/>
        <v>1086816644.0299997</v>
      </c>
      <c r="HP46" s="83">
        <f t="shared" si="58"/>
        <v>3750000000</v>
      </c>
      <c r="HQ46" s="83">
        <f t="shared" si="58"/>
        <v>2869500000</v>
      </c>
      <c r="HR46" s="84">
        <f t="shared" si="59"/>
        <v>880500000</v>
      </c>
      <c r="HT46" s="83">
        <f t="shared" si="60"/>
        <v>145000000</v>
      </c>
      <c r="HU46" s="83">
        <f t="shared" si="60"/>
        <v>56250000</v>
      </c>
      <c r="HV46" s="84">
        <f t="shared" si="61"/>
        <v>88750000</v>
      </c>
      <c r="HX46" s="83">
        <f t="shared" si="62"/>
        <v>60000000</v>
      </c>
      <c r="HY46" s="83">
        <f t="shared" si="62"/>
        <v>0</v>
      </c>
      <c r="HZ46" s="84">
        <f t="shared" si="63"/>
        <v>60000000</v>
      </c>
      <c r="IB46" s="83">
        <f t="shared" si="64"/>
        <v>35000000</v>
      </c>
      <c r="IC46" s="83">
        <f t="shared" si="64"/>
        <v>0</v>
      </c>
      <c r="ID46" s="84">
        <f t="shared" si="65"/>
        <v>35000000</v>
      </c>
      <c r="IF46" s="83">
        <f t="shared" si="69"/>
        <v>2000000</v>
      </c>
      <c r="IG46" s="83">
        <f t="shared" si="69"/>
        <v>0</v>
      </c>
      <c r="IH46" s="84">
        <f t="shared" si="66"/>
        <v>2000000</v>
      </c>
      <c r="IJ46" s="84">
        <f t="shared" si="67"/>
        <v>295823700</v>
      </c>
      <c r="IK46" s="84">
        <f t="shared" si="67"/>
        <v>0</v>
      </c>
      <c r="IL46" s="84">
        <f t="shared" si="68"/>
        <v>295823700</v>
      </c>
    </row>
    <row r="47" spans="1:246" x14ac:dyDescent="0.25">
      <c r="A47" s="42">
        <v>42</v>
      </c>
      <c r="B47" s="91" t="s">
        <v>106</v>
      </c>
      <c r="C47" s="42" t="s">
        <v>74</v>
      </c>
      <c r="D47" s="66">
        <f>'[1]Univ Comm Fund'!D47</f>
        <v>0</v>
      </c>
      <c r="E47" s="66">
        <f>'[1]UNIV 2019'!D53</f>
        <v>0</v>
      </c>
      <c r="F47" s="75">
        <f t="shared" si="4"/>
        <v>0</v>
      </c>
      <c r="G47" s="66"/>
      <c r="H47" s="66">
        <f>'[1]Univ Comm Fund'!E47</f>
        <v>0</v>
      </c>
      <c r="I47" s="66">
        <f>'[1]UNIV 2019'!E53</f>
        <v>0</v>
      </c>
      <c r="J47" s="66">
        <f t="shared" si="5"/>
        <v>0</v>
      </c>
      <c r="K47" s="66"/>
      <c r="L47" s="66">
        <f>'[1]Univ Comm Fund'!F47</f>
        <v>0</v>
      </c>
      <c r="M47" s="66">
        <f>'[1]UNIV 2019'!F53</f>
        <v>0</v>
      </c>
      <c r="N47" s="66">
        <f t="shared" si="6"/>
        <v>0</v>
      </c>
      <c r="O47" s="66"/>
      <c r="P47" s="66">
        <f>'[1]Univ Comm Fund'!G47</f>
        <v>0</v>
      </c>
      <c r="Q47" s="66">
        <f>'[1]UNIV 2019'!G53</f>
        <v>0</v>
      </c>
      <c r="R47" s="66">
        <f t="shared" si="7"/>
        <v>0</v>
      </c>
      <c r="S47" s="87"/>
      <c r="T47" s="66">
        <f>'[1]Univ Comm Fund'!H47</f>
        <v>0</v>
      </c>
      <c r="U47" s="66">
        <f>'[1]UNIV 2019'!H53</f>
        <v>0</v>
      </c>
      <c r="V47" s="66">
        <f t="shared" si="8"/>
        <v>0</v>
      </c>
      <c r="W47" s="66"/>
      <c r="X47" s="66">
        <f>'[1]Univ Comm Fund'!I47</f>
        <v>0</v>
      </c>
      <c r="Y47" s="66">
        <f>'[1]UNIV 2019'!I53</f>
        <v>0</v>
      </c>
      <c r="Z47" s="66">
        <f t="shared" si="9"/>
        <v>0</v>
      </c>
      <c r="AA47" s="66"/>
      <c r="AB47" s="66">
        <f>'[1]Univ Comm Fund'!J47</f>
        <v>30000000</v>
      </c>
      <c r="AC47" s="66">
        <f>'[1]UNIV 2019'!J53</f>
        <v>30000000</v>
      </c>
      <c r="AD47" s="66">
        <f t="shared" si="10"/>
        <v>0</v>
      </c>
      <c r="AE47" s="66"/>
      <c r="AF47" s="88">
        <f>'[1]Univ Comm Fund'!K47</f>
        <v>30000000</v>
      </c>
      <c r="AG47" s="66">
        <f>'[1]UNIV 2019'!K53</f>
        <v>30000000</v>
      </c>
      <c r="AH47" s="66">
        <f t="shared" si="11"/>
        <v>0</v>
      </c>
      <c r="AI47" s="88"/>
      <c r="AJ47" s="66">
        <f>'[1]Univ Comm Fund'!L47</f>
        <v>0</v>
      </c>
      <c r="AK47" s="66">
        <f>'[1]UNIV 2019'!L53</f>
        <v>0</v>
      </c>
      <c r="AL47" s="66">
        <f t="shared" si="12"/>
        <v>0</v>
      </c>
      <c r="AM47" s="66"/>
      <c r="AN47" s="66">
        <f>'[1]Univ Comm Fund'!M47</f>
        <v>40000000</v>
      </c>
      <c r="AO47" s="66">
        <f>'[1]UNIV 2019'!M53</f>
        <v>40000000</v>
      </c>
      <c r="AP47" s="66">
        <f t="shared" si="13"/>
        <v>0</v>
      </c>
      <c r="AQ47" s="66"/>
      <c r="AR47" s="66">
        <f>'[1]Univ Comm Fund'!N47</f>
        <v>0</v>
      </c>
      <c r="AS47" s="66">
        <f>'[1]UNIV 2019'!N53</f>
        <v>0</v>
      </c>
      <c r="AT47" s="66">
        <f t="shared" si="14"/>
        <v>0</v>
      </c>
      <c r="AU47" s="66"/>
      <c r="AV47" s="66">
        <f>'[1]Univ Comm Fund'!O47</f>
        <v>40000000</v>
      </c>
      <c r="AW47" s="66">
        <f>'[1]UNIV 2019'!O53</f>
        <v>40000000</v>
      </c>
      <c r="AX47" s="66">
        <f t="shared" si="15"/>
        <v>0</v>
      </c>
      <c r="AY47" s="66"/>
      <c r="AZ47" s="66">
        <f>'[1]Univ Comm Fund'!P47</f>
        <v>0</v>
      </c>
      <c r="BA47" s="66">
        <f>'[1]UNIV 2019'!P53</f>
        <v>0</v>
      </c>
      <c r="BB47" s="66">
        <f t="shared" si="0"/>
        <v>0</v>
      </c>
      <c r="BC47" s="66"/>
      <c r="BD47" s="66">
        <f>'[1]Univ Comm Fund'!Q47</f>
        <v>52000000</v>
      </c>
      <c r="BE47" s="66">
        <f>'[1]UNIV 2019'!Q53</f>
        <v>52000000</v>
      </c>
      <c r="BF47" s="66">
        <f t="shared" si="1"/>
        <v>0</v>
      </c>
      <c r="BG47" s="66"/>
      <c r="BH47" s="66">
        <f>'[1]Univ Comm Fund'!R47</f>
        <v>67000000</v>
      </c>
      <c r="BI47" s="66">
        <f>'[1]UNIV 2019'!R53</f>
        <v>67000000</v>
      </c>
      <c r="BJ47" s="66">
        <f t="shared" si="16"/>
        <v>0</v>
      </c>
      <c r="BK47" s="66"/>
      <c r="BL47" s="66">
        <f>'[1]Univ Comm Fund'!S47</f>
        <v>48450000</v>
      </c>
      <c r="BM47" s="66">
        <f>'[1]UNIV 2019'!S53</f>
        <v>48450000</v>
      </c>
      <c r="BN47" s="66">
        <f t="shared" si="17"/>
        <v>0</v>
      </c>
      <c r="BO47" s="66"/>
      <c r="BP47" s="66">
        <f>'[1]Univ Comm Fund'!T47</f>
        <v>0</v>
      </c>
      <c r="BQ47" s="66">
        <f>'[1]UNIV 2019'!T53</f>
        <v>0</v>
      </c>
      <c r="BR47" s="66">
        <f t="shared" si="18"/>
        <v>0</v>
      </c>
      <c r="BS47" s="66"/>
      <c r="BT47" s="11">
        <f>'[1]Univ Comm Fund'!U47</f>
        <v>164169000</v>
      </c>
      <c r="BU47" s="66">
        <f>'[1]UNIV 2019'!U53</f>
        <v>164169000</v>
      </c>
      <c r="BV47" s="66">
        <f t="shared" si="2"/>
        <v>0</v>
      </c>
      <c r="BW47" s="11"/>
      <c r="BX47" s="66">
        <f>'[1]Univ Comm Fund'!V47</f>
        <v>200000000</v>
      </c>
      <c r="BY47" s="66">
        <f>'[1]UNIV 2019'!V53</f>
        <v>200000000</v>
      </c>
      <c r="BZ47" s="66">
        <f t="shared" si="19"/>
        <v>0</v>
      </c>
      <c r="CA47" s="66"/>
      <c r="CB47" s="66">
        <f>'[1]Univ Comm Fund'!W47</f>
        <v>175000000</v>
      </c>
      <c r="CC47" s="66">
        <f>'[1]UNIV 2019'!W53</f>
        <v>175000000</v>
      </c>
      <c r="CD47" s="66">
        <f t="shared" si="20"/>
        <v>0</v>
      </c>
      <c r="CE47" s="66"/>
      <c r="CF47" s="66">
        <v>75000000</v>
      </c>
      <c r="CG47" s="66">
        <f>'[1]UNIV 2019'!X53</f>
        <v>37500000</v>
      </c>
      <c r="CH47" s="75">
        <f t="shared" si="21"/>
        <v>37500000</v>
      </c>
      <c r="CI47" s="66"/>
      <c r="CJ47" s="66">
        <f>'[1]Univ Comm Fund'!Y47</f>
        <v>0</v>
      </c>
      <c r="CK47" s="66">
        <f>'[1]UNIV 2019'!Y53</f>
        <v>0</v>
      </c>
      <c r="CL47" s="66">
        <f t="shared" si="22"/>
        <v>0</v>
      </c>
      <c r="CM47" s="66"/>
      <c r="CN47" s="20">
        <f>'[1]Univ Comm Fund'!Z47</f>
        <v>350000000</v>
      </c>
      <c r="CO47" s="66">
        <f>'[1]UNIV 2019'!Z53</f>
        <v>297500000</v>
      </c>
      <c r="CP47" s="66">
        <f t="shared" si="23"/>
        <v>52500000</v>
      </c>
      <c r="CQ47" s="20"/>
      <c r="CR47" s="66">
        <f>'[1]Univ Comm Fund'!AA47</f>
        <v>0</v>
      </c>
      <c r="CS47" s="66">
        <f>'[1]UNIV 2019'!AA53</f>
        <v>0</v>
      </c>
      <c r="CT47" s="75">
        <f t="shared" si="24"/>
        <v>0</v>
      </c>
      <c r="CU47" s="66"/>
      <c r="CV47" s="66">
        <f>'[1]Univ Comm Fund'!AB47</f>
        <v>0</v>
      </c>
      <c r="CW47" s="66">
        <f>'[1]UNIV 2019'!AB53</f>
        <v>0</v>
      </c>
      <c r="CX47" s="75">
        <f t="shared" si="25"/>
        <v>0</v>
      </c>
      <c r="CY47" s="66"/>
      <c r="CZ47" s="66">
        <f>'[1]Univ Comm Fund'!AC47</f>
        <v>356000000</v>
      </c>
      <c r="DA47" s="66">
        <f>'[1]UNIV 2019'!AC53</f>
        <v>195800000</v>
      </c>
      <c r="DB47" s="66">
        <f t="shared" si="26"/>
        <v>160200000</v>
      </c>
      <c r="DC47" s="66"/>
      <c r="DD47" s="66">
        <f>'[1]Univ Comm Fund'!AD47</f>
        <v>20000000</v>
      </c>
      <c r="DE47" s="66">
        <f>'[1]UNIV 2019'!AD53</f>
        <v>17000000</v>
      </c>
      <c r="DF47" s="66">
        <f t="shared" si="27"/>
        <v>3000000</v>
      </c>
      <c r="DG47" s="66"/>
      <c r="DH47" s="66">
        <f>'[1]Univ Comm Fund'!AE47</f>
        <v>552000000</v>
      </c>
      <c r="DI47" s="66">
        <f>'[1]UNIV 2019'!AE53</f>
        <v>303600000</v>
      </c>
      <c r="DJ47" s="66">
        <f t="shared" si="28"/>
        <v>248400000</v>
      </c>
      <c r="DK47" s="66"/>
      <c r="DL47" s="66">
        <f>'[1]Univ Comm Fund'!AF47</f>
        <v>20000000</v>
      </c>
      <c r="DM47" s="66">
        <f>'[1]UNIV 2019'!AF53</f>
        <v>17000000</v>
      </c>
      <c r="DN47" s="66">
        <f t="shared" si="29"/>
        <v>3000000</v>
      </c>
      <c r="DO47" s="66"/>
      <c r="DP47" s="66">
        <f>'[1]Univ Comm Fund'!AG47</f>
        <v>400000000</v>
      </c>
      <c r="DQ47" s="66">
        <f>'[1]UNIV 2019'!AG53</f>
        <v>0</v>
      </c>
      <c r="DR47" s="108">
        <f t="shared" si="30"/>
        <v>400000000</v>
      </c>
      <c r="DS47" s="108"/>
      <c r="DT47" s="66">
        <f>'[1]Univ Comm Fund'!AH47</f>
        <v>100000000</v>
      </c>
      <c r="DU47" s="108">
        <f>'[1]UNIV 2019'!AH53</f>
        <v>55000000</v>
      </c>
      <c r="DV47" s="66">
        <f t="shared" si="31"/>
        <v>45000000</v>
      </c>
      <c r="DW47" s="108"/>
      <c r="DX47" s="66">
        <f>'[1]Univ Comm Fund'!AI47</f>
        <v>15000000</v>
      </c>
      <c r="DY47" s="108">
        <f>'[1]UNIV 2019'!AI53</f>
        <v>7500000</v>
      </c>
      <c r="DZ47" s="66">
        <f t="shared" si="32"/>
        <v>7500000</v>
      </c>
      <c r="EA47" s="108"/>
      <c r="EB47" s="66">
        <f>'[1]Univ Comm Fund'!AJ47</f>
        <v>2000000</v>
      </c>
      <c r="EC47" s="108">
        <f>'[1]UNIV 2019'!AJ53</f>
        <v>0</v>
      </c>
      <c r="ED47" s="66">
        <f t="shared" si="33"/>
        <v>2000000</v>
      </c>
      <c r="EE47" s="108"/>
      <c r="EF47" s="66">
        <f>'[1]Univ Comm Fund'!AK47</f>
        <v>10000000</v>
      </c>
      <c r="EG47" s="108">
        <f>'[1]UNIV 2019'!AK53</f>
        <v>8500000</v>
      </c>
      <c r="EH47" s="66">
        <f t="shared" si="34"/>
        <v>1500000</v>
      </c>
      <c r="EI47" s="66"/>
      <c r="EJ47" s="66">
        <f>'[1]Univ Comm Fund'!AL47</f>
        <v>800000000</v>
      </c>
      <c r="EK47" s="66">
        <f>'[1]UNIV 2019'!AL53</f>
        <v>672500000</v>
      </c>
      <c r="EL47" s="66">
        <f t="shared" si="35"/>
        <v>127500000</v>
      </c>
      <c r="EM47" s="66"/>
      <c r="EN47" s="80">
        <f>'[1]Univ Comm Fund'!AM47</f>
        <v>565410000</v>
      </c>
      <c r="EO47" s="66">
        <f>'[1]UNIV 2019'!AM53</f>
        <v>310975500</v>
      </c>
      <c r="EP47" s="75">
        <f t="shared" si="36"/>
        <v>254434500</v>
      </c>
      <c r="EQ47" s="66"/>
      <c r="ER47" s="66">
        <f>'[1]Univ Comm Fund'!AN47</f>
        <v>15000000</v>
      </c>
      <c r="ES47" s="66">
        <f>'[1]UNIV 2019'!AN53</f>
        <v>7500000</v>
      </c>
      <c r="ET47" s="75">
        <f t="shared" si="37"/>
        <v>7500000</v>
      </c>
      <c r="EU47" s="66"/>
      <c r="EV47" s="66">
        <f>'[1]Univ Comm Fund'!AO47</f>
        <v>15000000</v>
      </c>
      <c r="EW47" s="66">
        <f>'[1]UNIV 2019'!AO53</f>
        <v>0</v>
      </c>
      <c r="EX47" s="75">
        <f t="shared" si="38"/>
        <v>15000000</v>
      </c>
      <c r="EY47" s="66"/>
      <c r="EZ47" s="66">
        <f>'[1]Univ Comm Fund'!AP47</f>
        <v>10000000</v>
      </c>
      <c r="FA47" s="66">
        <f>'[1]UNIV 2019'!AP53</f>
        <v>8500000</v>
      </c>
      <c r="FB47" s="75">
        <f t="shared" si="39"/>
        <v>1500000</v>
      </c>
      <c r="FC47" s="75"/>
      <c r="FD47" s="75">
        <f>'[1]Univ Comm Fund'!AQ47</f>
        <v>0</v>
      </c>
      <c r="FE47" s="75">
        <f>'[1]UNIV 2019'!AQ53</f>
        <v>0</v>
      </c>
      <c r="FF47" s="75">
        <f t="shared" si="40"/>
        <v>0</v>
      </c>
      <c r="FG47" s="75"/>
      <c r="FH47" s="81">
        <f>'[1]Univ Comm Fund'!AR47</f>
        <v>200000000</v>
      </c>
      <c r="FI47" s="75">
        <f>'[1]UNIV 2019'!AR53</f>
        <v>170000000</v>
      </c>
      <c r="FJ47" s="75">
        <f t="shared" si="41"/>
        <v>30000000</v>
      </c>
      <c r="FK47" s="75"/>
      <c r="FL47" s="75">
        <f>'[1]Univ Comm Fund'!AS47</f>
        <v>300000000</v>
      </c>
      <c r="FM47" s="75">
        <f>'[1]UNIV 2019'!AS53</f>
        <v>0</v>
      </c>
      <c r="FN47" s="75">
        <f t="shared" si="42"/>
        <v>300000000</v>
      </c>
      <c r="FO47" s="75"/>
      <c r="FP47" s="75">
        <f>'[1]Univ Comm Fund'!AT47</f>
        <v>120000000</v>
      </c>
      <c r="FQ47" s="75">
        <f>'[1]UNIV 2019'!AT53</f>
        <v>63600000</v>
      </c>
      <c r="FR47" s="75">
        <f t="shared" si="43"/>
        <v>56400000</v>
      </c>
      <c r="FS47" s="75"/>
      <c r="FT47" s="75">
        <f>'[1]Univ Comm Fund'!AU47</f>
        <v>10000000</v>
      </c>
      <c r="FU47" s="75">
        <f>'[1]UNIV 2019'!AU53</f>
        <v>0</v>
      </c>
      <c r="FV47" s="75">
        <f t="shared" si="44"/>
        <v>10000000</v>
      </c>
      <c r="FW47" s="75"/>
      <c r="FX47" s="75">
        <f>'[1]Univ Comm Fund'!AV47</f>
        <v>5000000</v>
      </c>
      <c r="FY47" s="75">
        <f>'[1]UNIV 2019'!AV53</f>
        <v>0</v>
      </c>
      <c r="FZ47" s="75">
        <f t="shared" si="45"/>
        <v>5000000</v>
      </c>
      <c r="GA47" s="75"/>
      <c r="GB47" s="75">
        <f>'[1]Univ Comm Fund'!AW47</f>
        <v>10000000</v>
      </c>
      <c r="GC47" s="75">
        <f>'[1]UNIV 2019'!AW53</f>
        <v>0</v>
      </c>
      <c r="GD47" s="75">
        <f t="shared" si="46"/>
        <v>10000000</v>
      </c>
      <c r="GE47" s="75"/>
      <c r="GF47" s="75">
        <f>'[1]Univ Comm Fund'!AX47</f>
        <v>0</v>
      </c>
      <c r="GG47" s="75">
        <f>'[1]UNIV 2019'!AX53</f>
        <v>0</v>
      </c>
      <c r="GH47" s="75">
        <f t="shared" si="47"/>
        <v>0</v>
      </c>
      <c r="GI47" s="75"/>
      <c r="GJ47" s="75">
        <f>'[1]Univ Comm Fund'!AY47</f>
        <v>350000000</v>
      </c>
      <c r="GK47" s="75">
        <f>'[1]UNIV 2019'!AY53</f>
        <v>0</v>
      </c>
      <c r="GL47" s="75">
        <f t="shared" si="48"/>
        <v>350000000</v>
      </c>
      <c r="GM47" s="75"/>
      <c r="GN47" s="75">
        <f>'[1]Univ Comm Fund'!AZ47</f>
        <v>175823700</v>
      </c>
      <c r="GO47" s="75">
        <f>'[1]UNIV 2019'!AZ53</f>
        <v>0</v>
      </c>
      <c r="GP47" s="75">
        <f t="shared" si="49"/>
        <v>175823700</v>
      </c>
      <c r="GQ47" s="75"/>
      <c r="GR47" s="75">
        <f>'[1]Univ Comm Fund'!BA47</f>
        <v>20000000</v>
      </c>
      <c r="GS47" s="75">
        <f>'[1]UNIV 2019'!BA53</f>
        <v>0</v>
      </c>
      <c r="GT47" s="75">
        <f t="shared" si="50"/>
        <v>20000000</v>
      </c>
      <c r="GU47" s="75"/>
      <c r="GV47" s="75">
        <f>'[1]Univ Comm Fund'!BB47</f>
        <v>5000000</v>
      </c>
      <c r="GW47" s="75">
        <f>'[1]UNIV 2019'!BB53</f>
        <v>0</v>
      </c>
      <c r="GX47" s="75">
        <f t="shared" si="51"/>
        <v>5000000</v>
      </c>
      <c r="GY47" s="75"/>
      <c r="GZ47" s="75">
        <f>'[1]Univ Comm Fund'!BC47</f>
        <v>10000000</v>
      </c>
      <c r="HA47" s="75">
        <f>'[1]UNIV 2019'!BD53</f>
        <v>0</v>
      </c>
      <c r="HB47" s="75">
        <f t="shared" si="52"/>
        <v>10000000</v>
      </c>
      <c r="HC47" s="75"/>
      <c r="HD47" s="75">
        <f>'[1]Univ Comm Fund'!BD47</f>
        <v>0</v>
      </c>
      <c r="HE47" s="75">
        <f>'[1]UNIV 2019'!BC53</f>
        <v>0</v>
      </c>
      <c r="HF47" s="75">
        <f t="shared" si="53"/>
        <v>0</v>
      </c>
      <c r="HG47" s="75"/>
      <c r="HH47" s="75">
        <f t="shared" si="54"/>
        <v>5357852700</v>
      </c>
      <c r="HI47" s="75">
        <f t="shared" si="54"/>
        <v>3019094500</v>
      </c>
      <c r="HJ47" s="82">
        <f t="shared" si="55"/>
        <v>2338758200</v>
      </c>
      <c r="HL47" s="83">
        <f t="shared" si="56"/>
        <v>3220029000</v>
      </c>
      <c r="HM47" s="83">
        <f t="shared" si="56"/>
        <v>1809494500</v>
      </c>
      <c r="HN47" s="84">
        <f t="shared" si="57"/>
        <v>1410534500</v>
      </c>
      <c r="HP47" s="83">
        <f t="shared" si="58"/>
        <v>1400000000</v>
      </c>
      <c r="HQ47" s="83">
        <f t="shared" si="58"/>
        <v>872500000</v>
      </c>
      <c r="HR47" s="84">
        <f t="shared" si="59"/>
        <v>527500000</v>
      </c>
      <c r="HT47" s="83">
        <f t="shared" si="60"/>
        <v>145000000</v>
      </c>
      <c r="HU47" s="83">
        <f t="shared" si="60"/>
        <v>88500000</v>
      </c>
      <c r="HV47" s="84">
        <f t="shared" si="61"/>
        <v>56500000</v>
      </c>
      <c r="HX47" s="83">
        <f t="shared" si="62"/>
        <v>60000000</v>
      </c>
      <c r="HY47" s="83">
        <f t="shared" si="62"/>
        <v>15000000</v>
      </c>
      <c r="HZ47" s="84">
        <f t="shared" si="63"/>
        <v>45000000</v>
      </c>
      <c r="IB47" s="83">
        <f t="shared" si="64"/>
        <v>35000000</v>
      </c>
      <c r="IC47" s="83">
        <f t="shared" si="64"/>
        <v>0</v>
      </c>
      <c r="ID47" s="84">
        <f t="shared" si="65"/>
        <v>35000000</v>
      </c>
      <c r="IF47" s="83">
        <f t="shared" si="69"/>
        <v>2000000</v>
      </c>
      <c r="IG47" s="83">
        <f t="shared" si="69"/>
        <v>0</v>
      </c>
      <c r="IH47" s="84">
        <f t="shared" si="66"/>
        <v>2000000</v>
      </c>
      <c r="IJ47" s="84">
        <f t="shared" si="67"/>
        <v>495823700</v>
      </c>
      <c r="IK47" s="84">
        <f t="shared" si="67"/>
        <v>233600000</v>
      </c>
      <c r="IL47" s="84">
        <f t="shared" si="68"/>
        <v>262223700</v>
      </c>
    </row>
    <row r="48" spans="1:246" x14ac:dyDescent="0.25">
      <c r="A48" s="42">
        <v>43</v>
      </c>
      <c r="B48" s="91" t="s">
        <v>107</v>
      </c>
      <c r="C48" s="42" t="s">
        <v>61</v>
      </c>
      <c r="D48" s="66">
        <f>'[1]Univ Comm Fund'!D48</f>
        <v>0</v>
      </c>
      <c r="E48" s="66">
        <f>'[1]UNIV 2019'!D54</f>
        <v>0</v>
      </c>
      <c r="F48" s="75">
        <f t="shared" si="4"/>
        <v>0</v>
      </c>
      <c r="G48" s="66"/>
      <c r="H48" s="66">
        <f>'[1]Univ Comm Fund'!E48</f>
        <v>0</v>
      </c>
      <c r="I48" s="66">
        <f>'[1]UNIV 2019'!E54</f>
        <v>0</v>
      </c>
      <c r="J48" s="66">
        <f t="shared" si="5"/>
        <v>0</v>
      </c>
      <c r="K48" s="66"/>
      <c r="L48" s="66">
        <f>'[1]Univ Comm Fund'!F48</f>
        <v>0</v>
      </c>
      <c r="M48" s="66">
        <f>'[1]UNIV 2019'!F54</f>
        <v>0</v>
      </c>
      <c r="N48" s="66">
        <f t="shared" si="6"/>
        <v>0</v>
      </c>
      <c r="O48" s="66"/>
      <c r="P48" s="66">
        <f>'[1]Univ Comm Fund'!G48</f>
        <v>0</v>
      </c>
      <c r="Q48" s="66">
        <f>'[1]UNIV 2019'!G54</f>
        <v>0</v>
      </c>
      <c r="R48" s="66">
        <f t="shared" si="7"/>
        <v>0</v>
      </c>
      <c r="S48" s="87"/>
      <c r="T48" s="66">
        <f>'[1]Univ Comm Fund'!H48</f>
        <v>0</v>
      </c>
      <c r="U48" s="66">
        <f>'[1]UNIV 2019'!H54</f>
        <v>0</v>
      </c>
      <c r="V48" s="66">
        <f t="shared" si="8"/>
        <v>0</v>
      </c>
      <c r="W48" s="66"/>
      <c r="X48" s="66">
        <f>'[1]Univ Comm Fund'!I48</f>
        <v>0</v>
      </c>
      <c r="Y48" s="66">
        <f>'[1]UNIV 2019'!I54</f>
        <v>0</v>
      </c>
      <c r="Z48" s="66">
        <f t="shared" si="9"/>
        <v>0</v>
      </c>
      <c r="AA48" s="66"/>
      <c r="AB48" s="66">
        <f>'[1]Univ Comm Fund'!J48</f>
        <v>30000000</v>
      </c>
      <c r="AC48" s="66">
        <f>'[1]UNIV 2019'!J54</f>
        <v>30000000</v>
      </c>
      <c r="AD48" s="66">
        <f t="shared" si="10"/>
        <v>0</v>
      </c>
      <c r="AE48" s="66"/>
      <c r="AF48" s="88">
        <f>'[1]Univ Comm Fund'!K48</f>
        <v>30000000</v>
      </c>
      <c r="AG48" s="66">
        <f>'[1]UNIV 2019'!K54</f>
        <v>30000000</v>
      </c>
      <c r="AH48" s="66">
        <f t="shared" si="11"/>
        <v>0</v>
      </c>
      <c r="AI48" s="88"/>
      <c r="AJ48" s="66">
        <f>'[1]Univ Comm Fund'!L48</f>
        <v>0</v>
      </c>
      <c r="AK48" s="66">
        <f>'[1]UNIV 2019'!L54</f>
        <v>0</v>
      </c>
      <c r="AL48" s="66">
        <f t="shared" si="12"/>
        <v>0</v>
      </c>
      <c r="AM48" s="66"/>
      <c r="AN48" s="66">
        <f>'[1]Univ Comm Fund'!M48</f>
        <v>40000000</v>
      </c>
      <c r="AO48" s="66">
        <f>'[1]UNIV 2019'!M54</f>
        <v>40000000</v>
      </c>
      <c r="AP48" s="66">
        <f t="shared" si="13"/>
        <v>0</v>
      </c>
      <c r="AQ48" s="66"/>
      <c r="AR48" s="66">
        <f>'[1]Univ Comm Fund'!N48</f>
        <v>0</v>
      </c>
      <c r="AS48" s="66">
        <f>'[1]UNIV 2019'!N54</f>
        <v>0</v>
      </c>
      <c r="AT48" s="66">
        <f t="shared" si="14"/>
        <v>0</v>
      </c>
      <c r="AU48" s="66"/>
      <c r="AV48" s="66">
        <f>'[1]Univ Comm Fund'!O48</f>
        <v>40000000</v>
      </c>
      <c r="AW48" s="66">
        <f>'[1]UNIV 2019'!O54</f>
        <v>40000000</v>
      </c>
      <c r="AX48" s="66">
        <f t="shared" si="15"/>
        <v>0</v>
      </c>
      <c r="AY48" s="66"/>
      <c r="AZ48" s="66">
        <f>'[1]Univ Comm Fund'!P48</f>
        <v>75000000</v>
      </c>
      <c r="BA48" s="66">
        <f>'[1]UNIV 2019'!P54</f>
        <v>75000000</v>
      </c>
      <c r="BB48" s="66">
        <f t="shared" si="0"/>
        <v>0</v>
      </c>
      <c r="BC48" s="66"/>
      <c r="BD48" s="66">
        <f>'[1]Univ Comm Fund'!Q48</f>
        <v>52000000</v>
      </c>
      <c r="BE48" s="66">
        <f>'[1]UNIV 2019'!Q54</f>
        <v>52000000</v>
      </c>
      <c r="BF48" s="66">
        <f t="shared" si="1"/>
        <v>0</v>
      </c>
      <c r="BG48" s="66"/>
      <c r="BH48" s="66">
        <f>'[1]Univ Comm Fund'!R48</f>
        <v>67000000</v>
      </c>
      <c r="BI48" s="66">
        <f>'[1]UNIV 2019'!R54</f>
        <v>67000000</v>
      </c>
      <c r="BJ48" s="66">
        <f t="shared" si="16"/>
        <v>0</v>
      </c>
      <c r="BK48" s="66"/>
      <c r="BL48" s="66">
        <f>'[1]Univ Comm Fund'!S48</f>
        <v>57000000</v>
      </c>
      <c r="BM48" s="66">
        <f>'[1]UNIV 2019'!S54</f>
        <v>57000000</v>
      </c>
      <c r="BN48" s="66">
        <f t="shared" si="17"/>
        <v>0</v>
      </c>
      <c r="BO48" s="66"/>
      <c r="BP48" s="66">
        <f>'[1]Univ Comm Fund'!T48</f>
        <v>0</v>
      </c>
      <c r="BQ48" s="66">
        <f>'[1]UNIV 2019'!T54</f>
        <v>0</v>
      </c>
      <c r="BR48" s="66">
        <f t="shared" si="18"/>
        <v>0</v>
      </c>
      <c r="BS48" s="66"/>
      <c r="BT48" s="66">
        <f>'[1]Univ Comm Fund'!U48</f>
        <v>193140000</v>
      </c>
      <c r="BU48" s="66">
        <f>'[1]UNIV 2019'!U54</f>
        <v>193140000</v>
      </c>
      <c r="BV48" s="66">
        <f t="shared" si="2"/>
        <v>0</v>
      </c>
      <c r="BW48" s="66"/>
      <c r="BX48" s="66">
        <f>'[1]Univ Comm Fund'!V48</f>
        <v>500000000</v>
      </c>
      <c r="BY48" s="66">
        <f>'[1]UNIV 2019'!V54</f>
        <v>500000000</v>
      </c>
      <c r="BZ48" s="66">
        <f t="shared" si="19"/>
        <v>0</v>
      </c>
      <c r="CA48" s="66"/>
      <c r="CB48" s="66">
        <f>'[1]Univ Comm Fund'!W48</f>
        <v>175000000</v>
      </c>
      <c r="CC48" s="66">
        <f>'[1]UNIV 2019'!W54</f>
        <v>175000000</v>
      </c>
      <c r="CD48" s="66">
        <f t="shared" si="20"/>
        <v>0</v>
      </c>
      <c r="CE48" s="66"/>
      <c r="CF48" s="66">
        <v>75000000</v>
      </c>
      <c r="CG48" s="66">
        <f>'[1]UNIV 2019'!X54</f>
        <v>75000000</v>
      </c>
      <c r="CH48" s="75">
        <f t="shared" si="21"/>
        <v>0</v>
      </c>
      <c r="CI48" s="66"/>
      <c r="CJ48" s="66">
        <f>'[1]Univ Comm Fund'!Y48</f>
        <v>0</v>
      </c>
      <c r="CK48" s="66">
        <f>'[1]UNIV 2019'!Y54</f>
        <v>0</v>
      </c>
      <c r="CL48" s="66">
        <f t="shared" si="22"/>
        <v>0</v>
      </c>
      <c r="CM48" s="66"/>
      <c r="CN48" s="20">
        <f>'[1]Univ Comm Fund'!Z48</f>
        <v>350000000</v>
      </c>
      <c r="CO48" s="66">
        <f>'[1]UNIV 2019'!Z54</f>
        <v>350000000</v>
      </c>
      <c r="CP48" s="66">
        <f t="shared" si="23"/>
        <v>0</v>
      </c>
      <c r="CQ48" s="20"/>
      <c r="CR48" s="66">
        <f>'[1]Univ Comm Fund'!AA48</f>
        <v>0</v>
      </c>
      <c r="CS48" s="66">
        <f>'[1]UNIV 2019'!AA54</f>
        <v>0</v>
      </c>
      <c r="CT48" s="75">
        <f t="shared" si="24"/>
        <v>0</v>
      </c>
      <c r="CU48" s="66"/>
      <c r="CV48" s="66">
        <f>'[1]Univ Comm Fund'!AB48</f>
        <v>0</v>
      </c>
      <c r="CW48" s="66">
        <f>'[1]UNIV 2019'!AB54</f>
        <v>0</v>
      </c>
      <c r="CX48" s="75">
        <f t="shared" si="25"/>
        <v>0</v>
      </c>
      <c r="CY48" s="66"/>
      <c r="CZ48" s="66">
        <f>'[1]Univ Comm Fund'!AC48</f>
        <v>356000000</v>
      </c>
      <c r="DA48" s="66">
        <f>'[1]UNIV 2019'!AC54</f>
        <v>199360000.00000003</v>
      </c>
      <c r="DB48" s="66">
        <f t="shared" si="26"/>
        <v>156639999.99999997</v>
      </c>
      <c r="DC48" s="66"/>
      <c r="DD48" s="66">
        <f>'[1]Univ Comm Fund'!AD48</f>
        <v>20000000</v>
      </c>
      <c r="DE48" s="66">
        <f>'[1]UNIV 2019'!AD54</f>
        <v>20000000</v>
      </c>
      <c r="DF48" s="66">
        <f t="shared" si="27"/>
        <v>0</v>
      </c>
      <c r="DG48" s="66"/>
      <c r="DH48" s="66">
        <f>'[1]Univ Comm Fund'!AE48</f>
        <v>552000000</v>
      </c>
      <c r="DI48" s="66">
        <f>'[1]UNIV 2019'!AE54</f>
        <v>309120000</v>
      </c>
      <c r="DJ48" s="66">
        <f t="shared" si="28"/>
        <v>242880000</v>
      </c>
      <c r="DK48" s="66"/>
      <c r="DL48" s="66">
        <f>'[1]Univ Comm Fund'!AF48</f>
        <v>20000000</v>
      </c>
      <c r="DM48" s="66">
        <f>'[1]UNIV 2019'!AF54</f>
        <v>11800000</v>
      </c>
      <c r="DN48" s="66">
        <f t="shared" si="29"/>
        <v>8200000</v>
      </c>
      <c r="DO48" s="66"/>
      <c r="DP48" s="66">
        <f>'[1]Univ Comm Fund'!AG48</f>
        <v>150000000</v>
      </c>
      <c r="DQ48" s="66">
        <f>'[1]UNIV 2019'!AG54</f>
        <v>127500000</v>
      </c>
      <c r="DR48" s="66">
        <f t="shared" si="30"/>
        <v>22500000</v>
      </c>
      <c r="DS48" s="66"/>
      <c r="DT48" s="66">
        <f>'[1]Univ Comm Fund'!AH48</f>
        <v>100000000</v>
      </c>
      <c r="DU48" s="66">
        <f>'[1]UNIV 2019'!AH54</f>
        <v>56000000.000000007</v>
      </c>
      <c r="DV48" s="66">
        <f t="shared" si="31"/>
        <v>43999999.999999993</v>
      </c>
      <c r="DW48" s="66"/>
      <c r="DX48" s="66">
        <f>'[1]Univ Comm Fund'!AI48</f>
        <v>15000000</v>
      </c>
      <c r="DY48" s="66">
        <f>'[1]UNIV 2019'!AI54</f>
        <v>9150000</v>
      </c>
      <c r="DZ48" s="66">
        <f t="shared" si="32"/>
        <v>5850000</v>
      </c>
      <c r="EA48" s="66"/>
      <c r="EB48" s="66">
        <f>'[1]Univ Comm Fund'!AJ48</f>
        <v>2000000</v>
      </c>
      <c r="EC48" s="66">
        <f>'[1]UNIV 2019'!AJ54</f>
        <v>0</v>
      </c>
      <c r="ED48" s="66">
        <f t="shared" si="33"/>
        <v>2000000</v>
      </c>
      <c r="EE48" s="66"/>
      <c r="EF48" s="66">
        <f>'[1]Univ Comm Fund'!AK48</f>
        <v>10000000</v>
      </c>
      <c r="EG48" s="66">
        <f>'[1]UNIV 2019'!AK54</f>
        <v>5900000</v>
      </c>
      <c r="EH48" s="66">
        <f t="shared" si="34"/>
        <v>4100000</v>
      </c>
      <c r="EI48" s="66"/>
      <c r="EJ48" s="66">
        <f>'[1]Univ Comm Fund'!AL48</f>
        <v>0</v>
      </c>
      <c r="EK48" s="66">
        <f>'[1]UNIV 2019'!AL54</f>
        <v>0</v>
      </c>
      <c r="EL48" s="66">
        <f t="shared" si="35"/>
        <v>0</v>
      </c>
      <c r="EM48" s="66"/>
      <c r="EN48" s="80">
        <f>'[1]Univ Comm Fund'!AM48</f>
        <v>565410000</v>
      </c>
      <c r="EO48" s="66">
        <f>'[1]UNIV 2019'!AM54</f>
        <v>316629600.00000006</v>
      </c>
      <c r="EP48" s="75">
        <f t="shared" si="36"/>
        <v>248780399.99999994</v>
      </c>
      <c r="EQ48" s="66"/>
      <c r="ER48" s="66">
        <f>'[1]Univ Comm Fund'!AN48</f>
        <v>15000000</v>
      </c>
      <c r="ES48" s="66">
        <f>'[1]UNIV 2019'!AN54</f>
        <v>9150000</v>
      </c>
      <c r="ET48" s="75">
        <f t="shared" si="37"/>
        <v>5850000</v>
      </c>
      <c r="EU48" s="66"/>
      <c r="EV48" s="66">
        <f>'[1]Univ Comm Fund'!AO48</f>
        <v>15000000</v>
      </c>
      <c r="EW48" s="66">
        <f>'[1]UNIV 2019'!AO54</f>
        <v>0</v>
      </c>
      <c r="EX48" s="75">
        <f t="shared" si="38"/>
        <v>15000000</v>
      </c>
      <c r="EY48" s="66"/>
      <c r="EZ48" s="66">
        <f>'[1]Univ Comm Fund'!AP48</f>
        <v>10000000</v>
      </c>
      <c r="FA48" s="66">
        <f>'[1]UNIV 2019'!AP54</f>
        <v>5900000</v>
      </c>
      <c r="FB48" s="75">
        <f t="shared" si="39"/>
        <v>4100000</v>
      </c>
      <c r="FC48" s="75"/>
      <c r="FD48" s="75">
        <f>'[1]Univ Comm Fund'!AQ48</f>
        <v>0</v>
      </c>
      <c r="FE48" s="75">
        <f>'[1]UNIV 2019'!AQ54</f>
        <v>0</v>
      </c>
      <c r="FF48" s="75">
        <f t="shared" si="40"/>
        <v>0</v>
      </c>
      <c r="FG48" s="75"/>
      <c r="FH48" s="75">
        <f>'[1]Univ Comm Fund'!AR48</f>
        <v>0</v>
      </c>
      <c r="FI48" s="75">
        <f>'[1]UNIV 2019'!AR54</f>
        <v>0</v>
      </c>
      <c r="FJ48" s="75">
        <f t="shared" si="41"/>
        <v>0</v>
      </c>
      <c r="FK48" s="75"/>
      <c r="FL48" s="75">
        <f>'[1]Univ Comm Fund'!AS48</f>
        <v>300000000</v>
      </c>
      <c r="FM48" s="75">
        <f>'[1]UNIV 2019'!AS54</f>
        <v>0</v>
      </c>
      <c r="FN48" s="75">
        <f t="shared" si="42"/>
        <v>300000000</v>
      </c>
      <c r="FO48" s="75"/>
      <c r="FP48" s="75">
        <f>'[1]Univ Comm Fund'!AT48</f>
        <v>120000000</v>
      </c>
      <c r="FQ48" s="75">
        <f>'[1]UNIV 2019'!AT54</f>
        <v>87600000</v>
      </c>
      <c r="FR48" s="75">
        <f t="shared" si="43"/>
        <v>32400000</v>
      </c>
      <c r="FS48" s="75"/>
      <c r="FT48" s="75">
        <f>'[1]Univ Comm Fund'!AU48</f>
        <v>10000000</v>
      </c>
      <c r="FU48" s="75">
        <f>'[1]UNIV 2019'!AU54</f>
        <v>0</v>
      </c>
      <c r="FV48" s="75">
        <f t="shared" si="44"/>
        <v>10000000</v>
      </c>
      <c r="FW48" s="75"/>
      <c r="FX48" s="75">
        <f>'[1]Univ Comm Fund'!AV48</f>
        <v>5000000</v>
      </c>
      <c r="FY48" s="75">
        <f>'[1]UNIV 2019'!AV54</f>
        <v>0</v>
      </c>
      <c r="FZ48" s="75">
        <f t="shared" si="45"/>
        <v>5000000</v>
      </c>
      <c r="GA48" s="75"/>
      <c r="GB48" s="75">
        <f>'[1]Univ Comm Fund'!AW48</f>
        <v>10000000</v>
      </c>
      <c r="GC48" s="75">
        <f>'[1]UNIV 2019'!AW54</f>
        <v>0</v>
      </c>
      <c r="GD48" s="75">
        <f t="shared" si="46"/>
        <v>10000000</v>
      </c>
      <c r="GE48" s="75"/>
      <c r="GF48" s="75">
        <f>'[1]Univ Comm Fund'!AX48</f>
        <v>0</v>
      </c>
      <c r="GG48" s="75">
        <f>'[1]UNIV 2019'!AX54</f>
        <v>0</v>
      </c>
      <c r="GH48" s="75">
        <f t="shared" si="47"/>
        <v>0</v>
      </c>
      <c r="GI48" s="75"/>
      <c r="GJ48" s="75">
        <f>'[1]Univ Comm Fund'!AY48</f>
        <v>350000000</v>
      </c>
      <c r="GK48" s="75">
        <f>'[1]UNIV 2019'!AY54</f>
        <v>0</v>
      </c>
      <c r="GL48" s="75">
        <f t="shared" si="48"/>
        <v>350000000</v>
      </c>
      <c r="GM48" s="75"/>
      <c r="GN48" s="75">
        <f>'[1]Univ Comm Fund'!AZ48</f>
        <v>175823700</v>
      </c>
      <c r="GO48" s="75">
        <f>'[1]UNIV 2019'!AZ54</f>
        <v>0</v>
      </c>
      <c r="GP48" s="75">
        <f t="shared" si="49"/>
        <v>175823700</v>
      </c>
      <c r="GQ48" s="75"/>
      <c r="GR48" s="75">
        <f>'[1]Univ Comm Fund'!BA48</f>
        <v>20000000</v>
      </c>
      <c r="GS48" s="75">
        <f>'[1]UNIV 2019'!BA54</f>
        <v>0</v>
      </c>
      <c r="GT48" s="75">
        <f t="shared" si="50"/>
        <v>20000000</v>
      </c>
      <c r="GU48" s="75"/>
      <c r="GV48" s="75">
        <f>'[1]Univ Comm Fund'!BB48</f>
        <v>5000000</v>
      </c>
      <c r="GW48" s="75">
        <f>'[1]UNIV 2019'!BB54</f>
        <v>0</v>
      </c>
      <c r="GX48" s="75">
        <f t="shared" si="51"/>
        <v>5000000</v>
      </c>
      <c r="GY48" s="75"/>
      <c r="GZ48" s="75">
        <f>'[1]Univ Comm Fund'!BC48</f>
        <v>10000000</v>
      </c>
      <c r="HA48" s="75">
        <f>'[1]UNIV 2019'!BD54</f>
        <v>0</v>
      </c>
      <c r="HB48" s="75">
        <f t="shared" si="52"/>
        <v>10000000</v>
      </c>
      <c r="HC48" s="75"/>
      <c r="HD48" s="75">
        <f>'[1]Univ Comm Fund'!BD48</f>
        <v>0</v>
      </c>
      <c r="HE48" s="75">
        <f>'[1]UNIV 2019'!BC54</f>
        <v>0</v>
      </c>
      <c r="HF48" s="75">
        <f t="shared" si="53"/>
        <v>0</v>
      </c>
      <c r="HG48" s="75"/>
      <c r="HH48" s="75">
        <f t="shared" si="54"/>
        <v>4520373700</v>
      </c>
      <c r="HI48" s="75">
        <f t="shared" si="54"/>
        <v>2842249600</v>
      </c>
      <c r="HJ48" s="82">
        <f t="shared" si="55"/>
        <v>1678124100</v>
      </c>
      <c r="HL48" s="83">
        <f t="shared" si="56"/>
        <v>3257550000</v>
      </c>
      <c r="HM48" s="83">
        <f t="shared" si="56"/>
        <v>1915249600</v>
      </c>
      <c r="HN48" s="84">
        <f t="shared" si="57"/>
        <v>1342300400</v>
      </c>
      <c r="HP48" s="83">
        <f t="shared" si="58"/>
        <v>725000000</v>
      </c>
      <c r="HQ48" s="83">
        <f t="shared" si="58"/>
        <v>702500000</v>
      </c>
      <c r="HR48" s="84">
        <f t="shared" si="59"/>
        <v>22500000</v>
      </c>
      <c r="HT48" s="83">
        <f t="shared" si="60"/>
        <v>145000000</v>
      </c>
      <c r="HU48" s="83">
        <f t="shared" si="60"/>
        <v>118600000</v>
      </c>
      <c r="HV48" s="84">
        <f t="shared" si="61"/>
        <v>26400000</v>
      </c>
      <c r="HX48" s="83">
        <f t="shared" si="62"/>
        <v>60000000</v>
      </c>
      <c r="HY48" s="83">
        <f t="shared" si="62"/>
        <v>18300000</v>
      </c>
      <c r="HZ48" s="84">
        <f t="shared" si="63"/>
        <v>41700000</v>
      </c>
      <c r="IB48" s="83">
        <f t="shared" si="64"/>
        <v>35000000</v>
      </c>
      <c r="IC48" s="83">
        <f t="shared" si="64"/>
        <v>0</v>
      </c>
      <c r="ID48" s="84">
        <f t="shared" si="65"/>
        <v>35000000</v>
      </c>
      <c r="IF48" s="83">
        <f t="shared" si="69"/>
        <v>2000000</v>
      </c>
      <c r="IG48" s="83">
        <f t="shared" si="69"/>
        <v>0</v>
      </c>
      <c r="IH48" s="84">
        <f t="shared" si="66"/>
        <v>2000000</v>
      </c>
      <c r="IJ48" s="84">
        <f t="shared" si="67"/>
        <v>295823700</v>
      </c>
      <c r="IK48" s="84">
        <f t="shared" si="67"/>
        <v>87600000</v>
      </c>
      <c r="IL48" s="84">
        <f t="shared" si="68"/>
        <v>208223700</v>
      </c>
    </row>
    <row r="49" spans="1:246" s="10" customFormat="1" x14ac:dyDescent="0.25">
      <c r="A49" s="42">
        <v>44</v>
      </c>
      <c r="B49" s="112" t="s">
        <v>108</v>
      </c>
      <c r="C49" s="113" t="s">
        <v>63</v>
      </c>
      <c r="D49" s="80">
        <f>'[1]Univ Comm Fund'!D49</f>
        <v>0</v>
      </c>
      <c r="E49" s="80">
        <f>'[1]UNIV 2019'!D55</f>
        <v>0</v>
      </c>
      <c r="F49" s="80">
        <f t="shared" si="4"/>
        <v>0</v>
      </c>
      <c r="G49" s="80"/>
      <c r="H49" s="80">
        <f>'[1]Univ Comm Fund'!E49</f>
        <v>0</v>
      </c>
      <c r="I49" s="80">
        <f>'[1]UNIV 2019'!E55</f>
        <v>0</v>
      </c>
      <c r="J49" s="80">
        <f t="shared" si="5"/>
        <v>0</v>
      </c>
      <c r="K49" s="80"/>
      <c r="L49" s="80">
        <f>'[1]Univ Comm Fund'!F49</f>
        <v>0</v>
      </c>
      <c r="M49" s="80">
        <f>'[1]UNIV 2019'!F55</f>
        <v>0</v>
      </c>
      <c r="N49" s="80">
        <f t="shared" si="6"/>
        <v>0</v>
      </c>
      <c r="O49" s="80"/>
      <c r="P49" s="80">
        <f>'[1]Univ Comm Fund'!G49</f>
        <v>0</v>
      </c>
      <c r="Q49" s="80">
        <f>'[1]UNIV 2019'!G55</f>
        <v>0</v>
      </c>
      <c r="R49" s="80">
        <f t="shared" si="7"/>
        <v>0</v>
      </c>
      <c r="S49" s="114"/>
      <c r="T49" s="80">
        <f>'[1]Univ Comm Fund'!H49</f>
        <v>0</v>
      </c>
      <c r="U49" s="80">
        <f>'[1]UNIV 2019'!H55</f>
        <v>0</v>
      </c>
      <c r="V49" s="80">
        <f t="shared" si="8"/>
        <v>0</v>
      </c>
      <c r="W49" s="80"/>
      <c r="X49" s="80">
        <f>'[1]Univ Comm Fund'!I49</f>
        <v>0</v>
      </c>
      <c r="Y49" s="80">
        <f>'[1]UNIV 2019'!I55</f>
        <v>0</v>
      </c>
      <c r="Z49" s="80">
        <f t="shared" si="9"/>
        <v>0</v>
      </c>
      <c r="AA49" s="80"/>
      <c r="AB49" s="80">
        <f>'[1]Univ Comm Fund'!J49</f>
        <v>0</v>
      </c>
      <c r="AC49" s="80">
        <f>'[1]UNIV 2019'!J55</f>
        <v>0</v>
      </c>
      <c r="AD49" s="80">
        <f t="shared" si="10"/>
        <v>0</v>
      </c>
      <c r="AE49" s="80"/>
      <c r="AF49" s="115">
        <f>'[1]Univ Comm Fund'!K49</f>
        <v>0</v>
      </c>
      <c r="AG49" s="80">
        <f>'[1]UNIV 2019'!K55</f>
        <v>0</v>
      </c>
      <c r="AH49" s="80">
        <f t="shared" si="11"/>
        <v>0</v>
      </c>
      <c r="AI49" s="115"/>
      <c r="AJ49" s="80">
        <f>'[1]Univ Comm Fund'!L49</f>
        <v>0</v>
      </c>
      <c r="AK49" s="80">
        <f>'[1]UNIV 2019'!L55</f>
        <v>0</v>
      </c>
      <c r="AL49" s="80">
        <f t="shared" si="12"/>
        <v>0</v>
      </c>
      <c r="AM49" s="80"/>
      <c r="AN49" s="80">
        <f>'[1]Univ Comm Fund'!M49</f>
        <v>40000000</v>
      </c>
      <c r="AO49" s="80">
        <f>'[1]UNIV 2019'!M55</f>
        <v>40000000</v>
      </c>
      <c r="AP49" s="80">
        <f t="shared" si="13"/>
        <v>0</v>
      </c>
      <c r="AQ49" s="80"/>
      <c r="AR49" s="80">
        <f>'[1]Univ Comm Fund'!N49</f>
        <v>0</v>
      </c>
      <c r="AS49" s="80">
        <f>'[1]UNIV 2019'!N55</f>
        <v>0</v>
      </c>
      <c r="AT49" s="80">
        <f t="shared" si="14"/>
        <v>0</v>
      </c>
      <c r="AU49" s="80"/>
      <c r="AV49" s="80">
        <f>'[1]Univ Comm Fund'!O49</f>
        <v>40000000</v>
      </c>
      <c r="AW49" s="80">
        <f>'[1]UNIV 2019'!O55</f>
        <v>40000000</v>
      </c>
      <c r="AX49" s="80">
        <f t="shared" si="15"/>
        <v>0</v>
      </c>
      <c r="AY49" s="80"/>
      <c r="AZ49" s="80">
        <f>'[1]Univ Comm Fund'!P49</f>
        <v>0</v>
      </c>
      <c r="BA49" s="80">
        <f>'[1]UNIV 2019'!P55</f>
        <v>0</v>
      </c>
      <c r="BB49" s="80">
        <f t="shared" si="0"/>
        <v>0</v>
      </c>
      <c r="BC49" s="80"/>
      <c r="BD49" s="80">
        <f>'[1]Univ Comm Fund'!Q49</f>
        <v>52000000</v>
      </c>
      <c r="BE49" s="80">
        <f>'[1]UNIV 2019'!Q55</f>
        <v>52000000</v>
      </c>
      <c r="BF49" s="80">
        <f t="shared" si="1"/>
        <v>0</v>
      </c>
      <c r="BG49" s="80"/>
      <c r="BH49" s="80">
        <f>'[1]Univ Comm Fund'!R49</f>
        <v>67000000</v>
      </c>
      <c r="BI49" s="80">
        <f>'[1]UNIV 2019'!R55</f>
        <v>67000000</v>
      </c>
      <c r="BJ49" s="80">
        <f t="shared" si="16"/>
        <v>0</v>
      </c>
      <c r="BK49" s="80"/>
      <c r="BL49" s="80">
        <f>'[1]Univ Comm Fund'!S49</f>
        <v>57000000</v>
      </c>
      <c r="BM49" s="80">
        <f>'[1]UNIV 2019'!S55</f>
        <v>57000000</v>
      </c>
      <c r="BN49" s="80">
        <f t="shared" si="17"/>
        <v>0</v>
      </c>
      <c r="BO49" s="80"/>
      <c r="BP49" s="80">
        <f>'[1]Univ Comm Fund'!T49</f>
        <v>0</v>
      </c>
      <c r="BQ49" s="80">
        <f>'[1]UNIV 2019'!T55</f>
        <v>0</v>
      </c>
      <c r="BR49" s="80">
        <f t="shared" si="18"/>
        <v>0</v>
      </c>
      <c r="BS49" s="80"/>
      <c r="BT49" s="116">
        <f>'[1]Univ Comm Fund'!U49</f>
        <v>193140000</v>
      </c>
      <c r="BU49" s="80">
        <f>'[1]UNIV 2019'!U55</f>
        <v>193140000</v>
      </c>
      <c r="BV49" s="80">
        <f t="shared" si="2"/>
        <v>0</v>
      </c>
      <c r="BW49" s="116"/>
      <c r="BX49" s="80">
        <f>'[1]Univ Comm Fund'!V49</f>
        <v>470000000</v>
      </c>
      <c r="BY49" s="80">
        <f>'[1]UNIV 2019'!V55</f>
        <v>470000000</v>
      </c>
      <c r="BZ49" s="80">
        <f t="shared" si="19"/>
        <v>0</v>
      </c>
      <c r="CA49" s="80"/>
      <c r="CB49" s="80">
        <f>'[1]Univ Comm Fund'!W49</f>
        <v>175000000</v>
      </c>
      <c r="CC49" s="80">
        <f>'[1]UNIV 2019'!W55</f>
        <v>161400508.24000001</v>
      </c>
      <c r="CD49" s="80">
        <f t="shared" si="20"/>
        <v>13599491.75999999</v>
      </c>
      <c r="CE49" s="80"/>
      <c r="CF49" s="80">
        <v>75000000</v>
      </c>
      <c r="CG49" s="80">
        <f>'[1]UNIV 2019'!X55</f>
        <v>75000000</v>
      </c>
      <c r="CH49" s="80">
        <f t="shared" si="21"/>
        <v>0</v>
      </c>
      <c r="CI49" s="80"/>
      <c r="CJ49" s="80">
        <f>'[1]Univ Comm Fund'!Y49</f>
        <v>60000000</v>
      </c>
      <c r="CK49" s="80">
        <f>'[1]UNIV 2019'!Y55</f>
        <v>60000000</v>
      </c>
      <c r="CL49" s="80">
        <f t="shared" si="22"/>
        <v>0</v>
      </c>
      <c r="CM49" s="80"/>
      <c r="CN49" s="117">
        <f>'[1]Univ Comm Fund'!Z49</f>
        <v>350000000</v>
      </c>
      <c r="CO49" s="80">
        <f>'[1]UNIV 2019'!Z55</f>
        <v>322801017</v>
      </c>
      <c r="CP49" s="80">
        <f t="shared" si="23"/>
        <v>27198983</v>
      </c>
      <c r="CQ49" s="117"/>
      <c r="CR49" s="80">
        <f>'[1]Univ Comm Fund'!AA49</f>
        <v>292000000</v>
      </c>
      <c r="CS49" s="80">
        <f>'[1]UNIV 2019'!AA55</f>
        <v>292000000</v>
      </c>
      <c r="CT49" s="75">
        <f t="shared" si="24"/>
        <v>0</v>
      </c>
      <c r="CU49" s="80"/>
      <c r="CV49" s="80">
        <f>'[1]Univ Comm Fund'!AB49</f>
        <v>20000000</v>
      </c>
      <c r="CW49" s="80">
        <f>'[1]UNIV 2019'!AB55</f>
        <v>20000000</v>
      </c>
      <c r="CX49" s="80">
        <f t="shared" si="25"/>
        <v>0</v>
      </c>
      <c r="CY49" s="80"/>
      <c r="CZ49" s="80">
        <f>'[1]Univ Comm Fund'!AC49</f>
        <v>356000000</v>
      </c>
      <c r="DA49" s="80">
        <f>'[1]UNIV 2019'!AC55</f>
        <v>328272618</v>
      </c>
      <c r="DB49" s="80">
        <f t="shared" si="26"/>
        <v>27727382</v>
      </c>
      <c r="DC49" s="80"/>
      <c r="DD49" s="80">
        <f>'[1]Univ Comm Fund'!AD49</f>
        <v>20000000</v>
      </c>
      <c r="DE49" s="80">
        <f>'[1]UNIV 2019'!AD55</f>
        <v>17000000</v>
      </c>
      <c r="DF49" s="80">
        <f t="shared" si="27"/>
        <v>3000000</v>
      </c>
      <c r="DG49" s="80"/>
      <c r="DH49" s="80">
        <f>'[1]Univ Comm Fund'!AE49</f>
        <v>552000000</v>
      </c>
      <c r="DI49" s="80">
        <f>'[1]UNIV 2019'!AE55</f>
        <v>320160000</v>
      </c>
      <c r="DJ49" s="80">
        <f t="shared" si="28"/>
        <v>231840000</v>
      </c>
      <c r="DK49" s="80"/>
      <c r="DL49" s="80">
        <f>'[1]Univ Comm Fund'!AF49</f>
        <v>20000000</v>
      </c>
      <c r="DM49" s="80">
        <f>'[1]UNIV 2019'!AF55</f>
        <v>17000000</v>
      </c>
      <c r="DN49" s="80">
        <f t="shared" si="29"/>
        <v>3000000</v>
      </c>
      <c r="DO49" s="80"/>
      <c r="DP49" s="80">
        <f>'[1]Univ Comm Fund'!AG49</f>
        <v>300000000</v>
      </c>
      <c r="DQ49" s="80">
        <f>'[1]UNIV 2019'!AG55</f>
        <v>300000000</v>
      </c>
      <c r="DR49" s="80">
        <f t="shared" si="30"/>
        <v>0</v>
      </c>
      <c r="DS49" s="80"/>
      <c r="DT49" s="80">
        <f>'[1]Univ Comm Fund'!AH49</f>
        <v>100000000</v>
      </c>
      <c r="DU49" s="80">
        <f>'[1]UNIV 2019'!AH55</f>
        <v>58000000</v>
      </c>
      <c r="DV49" s="80">
        <f t="shared" si="31"/>
        <v>42000000</v>
      </c>
      <c r="DW49" s="80"/>
      <c r="DX49" s="80">
        <f>'[1]Univ Comm Fund'!AI49</f>
        <v>15000000</v>
      </c>
      <c r="DY49" s="80">
        <f>'[1]UNIV 2019'!AI55</f>
        <v>7500000</v>
      </c>
      <c r="DZ49" s="80">
        <f t="shared" si="32"/>
        <v>7500000</v>
      </c>
      <c r="EA49" s="80"/>
      <c r="EB49" s="80">
        <f>'[1]Univ Comm Fund'!AJ49</f>
        <v>2000000</v>
      </c>
      <c r="EC49" s="80">
        <f>'[1]UNIV 2019'!AJ55</f>
        <v>0</v>
      </c>
      <c r="ED49" s="80">
        <f t="shared" si="33"/>
        <v>2000000</v>
      </c>
      <c r="EE49" s="80"/>
      <c r="EF49" s="80">
        <f>'[1]Univ Comm Fund'!AK49</f>
        <v>10000000</v>
      </c>
      <c r="EG49" s="80">
        <f>'[1]UNIV 2019'!AK55</f>
        <v>8500000</v>
      </c>
      <c r="EH49" s="80">
        <f t="shared" si="34"/>
        <v>1500000</v>
      </c>
      <c r="EI49" s="80"/>
      <c r="EJ49" s="80">
        <f>'[1]Univ Comm Fund'!AL49</f>
        <v>4830000000</v>
      </c>
      <c r="EK49" s="80">
        <f>'[1]UNIV 2019'!AL55</f>
        <v>3991000000</v>
      </c>
      <c r="EL49" s="80">
        <f t="shared" si="35"/>
        <v>839000000</v>
      </c>
      <c r="EM49" s="80"/>
      <c r="EN49" s="80">
        <f>'[1]Univ Comm Fund'!AM49</f>
        <v>565410000</v>
      </c>
      <c r="EO49" s="80">
        <f>'[1]UNIV 2019'!AM55</f>
        <v>327937800</v>
      </c>
      <c r="EP49" s="75">
        <f t="shared" si="36"/>
        <v>237472200</v>
      </c>
      <c r="EQ49" s="80"/>
      <c r="ER49" s="80">
        <f>'[1]Univ Comm Fund'!AN49</f>
        <v>15000000</v>
      </c>
      <c r="ES49" s="80">
        <f>'[1]UNIV 2019'!AN55</f>
        <v>7500000</v>
      </c>
      <c r="ET49" s="75">
        <f t="shared" si="37"/>
        <v>7500000</v>
      </c>
      <c r="EU49" s="80"/>
      <c r="EV49" s="80">
        <f>'[1]Univ Comm Fund'!AO49</f>
        <v>15000000</v>
      </c>
      <c r="EW49" s="80">
        <f>'[1]UNIV 2019'!AO55</f>
        <v>0</v>
      </c>
      <c r="EX49" s="75">
        <f t="shared" si="38"/>
        <v>15000000</v>
      </c>
      <c r="EY49" s="80"/>
      <c r="EZ49" s="80">
        <f>'[1]Univ Comm Fund'!AP49</f>
        <v>10000000</v>
      </c>
      <c r="FA49" s="80">
        <f>'[1]UNIV 2019'!AP55</f>
        <v>0</v>
      </c>
      <c r="FB49" s="75">
        <f t="shared" si="39"/>
        <v>10000000</v>
      </c>
      <c r="FC49" s="75"/>
      <c r="FD49" s="75">
        <f>'[1]Univ Comm Fund'!AQ49</f>
        <v>0</v>
      </c>
      <c r="FE49" s="75">
        <f>'[1]UNIV 2019'!AQ55</f>
        <v>0</v>
      </c>
      <c r="FF49" s="75">
        <f t="shared" si="40"/>
        <v>0</v>
      </c>
      <c r="FG49" s="75"/>
      <c r="FH49" s="75">
        <f>'[1]Univ Comm Fund'!AR49</f>
        <v>0</v>
      </c>
      <c r="FI49" s="75">
        <f>'[1]UNIV 2019'!AR55</f>
        <v>0</v>
      </c>
      <c r="FJ49" s="75">
        <f t="shared" si="41"/>
        <v>0</v>
      </c>
      <c r="FK49" s="75"/>
      <c r="FL49" s="75">
        <f>'[1]Univ Comm Fund'!AS49</f>
        <v>300000000</v>
      </c>
      <c r="FM49" s="75">
        <f>'[1]UNIV 2019'!AS55</f>
        <v>0</v>
      </c>
      <c r="FN49" s="75">
        <f t="shared" si="42"/>
        <v>300000000</v>
      </c>
      <c r="FO49" s="75"/>
      <c r="FP49" s="75">
        <f>'[1]Univ Comm Fund'!AT49</f>
        <v>120000000</v>
      </c>
      <c r="FQ49" s="75">
        <f>'[1]UNIV 2019'!AT55</f>
        <v>81600000</v>
      </c>
      <c r="FR49" s="75">
        <f t="shared" si="43"/>
        <v>38400000</v>
      </c>
      <c r="FS49" s="75"/>
      <c r="FT49" s="75">
        <f>'[1]Univ Comm Fund'!AU49</f>
        <v>10000000</v>
      </c>
      <c r="FU49" s="75">
        <f>'[1]UNIV 2019'!AU55</f>
        <v>0</v>
      </c>
      <c r="FV49" s="75">
        <f t="shared" si="44"/>
        <v>10000000</v>
      </c>
      <c r="FW49" s="75"/>
      <c r="FX49" s="75">
        <f>'[1]Univ Comm Fund'!AV49</f>
        <v>5000000</v>
      </c>
      <c r="FY49" s="75">
        <f>'[1]UNIV 2019'!AV55</f>
        <v>0</v>
      </c>
      <c r="FZ49" s="75">
        <f t="shared" si="45"/>
        <v>5000000</v>
      </c>
      <c r="GA49" s="75"/>
      <c r="GB49" s="75">
        <f>'[1]Univ Comm Fund'!AW49</f>
        <v>10000000</v>
      </c>
      <c r="GC49" s="75">
        <f>'[1]UNIV 2019'!AW55</f>
        <v>0</v>
      </c>
      <c r="GD49" s="75">
        <f t="shared" si="46"/>
        <v>10000000</v>
      </c>
      <c r="GE49" s="75"/>
      <c r="GF49" s="75">
        <f>'[1]Univ Comm Fund'!AX49</f>
        <v>0</v>
      </c>
      <c r="GG49" s="75">
        <f>'[1]UNIV 2019'!AX55</f>
        <v>0</v>
      </c>
      <c r="GH49" s="75">
        <f t="shared" si="47"/>
        <v>0</v>
      </c>
      <c r="GI49" s="75"/>
      <c r="GJ49" s="75">
        <f>'[1]Univ Comm Fund'!AY49</f>
        <v>350000000</v>
      </c>
      <c r="GK49" s="75">
        <f>'[1]UNIV 2019'!AY55</f>
        <v>0</v>
      </c>
      <c r="GL49" s="75">
        <f t="shared" si="48"/>
        <v>350000000</v>
      </c>
      <c r="GM49" s="75"/>
      <c r="GN49" s="75">
        <f>'[1]Univ Comm Fund'!AZ49</f>
        <v>175823700</v>
      </c>
      <c r="GO49" s="75">
        <f>'[1]UNIV 2019'!AZ55</f>
        <v>0</v>
      </c>
      <c r="GP49" s="75">
        <f t="shared" si="49"/>
        <v>175823700</v>
      </c>
      <c r="GQ49" s="75"/>
      <c r="GR49" s="75">
        <f>'[1]Univ Comm Fund'!BA49</f>
        <v>20000000</v>
      </c>
      <c r="GS49" s="75">
        <f>'[1]UNIV 2019'!BA55</f>
        <v>0</v>
      </c>
      <c r="GT49" s="75">
        <f t="shared" si="50"/>
        <v>20000000</v>
      </c>
      <c r="GU49" s="75"/>
      <c r="GV49" s="75">
        <f>'[1]Univ Comm Fund'!BB49</f>
        <v>5000000</v>
      </c>
      <c r="GW49" s="75">
        <f>'[1]UNIV 2019'!BB55</f>
        <v>0</v>
      </c>
      <c r="GX49" s="75">
        <f t="shared" si="51"/>
        <v>5000000</v>
      </c>
      <c r="GY49" s="75"/>
      <c r="GZ49" s="75">
        <f>'[1]Univ Comm Fund'!BC49</f>
        <v>10000000</v>
      </c>
      <c r="HA49" s="75">
        <f>'[1]UNIV 2019'!BD55</f>
        <v>0</v>
      </c>
      <c r="HB49" s="75">
        <f t="shared" si="52"/>
        <v>10000000</v>
      </c>
      <c r="HC49" s="75"/>
      <c r="HD49" s="75">
        <f>'[1]Univ Comm Fund'!BD49</f>
        <v>0</v>
      </c>
      <c r="HE49" s="75">
        <f>'[1]UNIV 2019'!BC55</f>
        <v>0</v>
      </c>
      <c r="HF49" s="75">
        <f t="shared" si="53"/>
        <v>0</v>
      </c>
      <c r="HG49" s="75"/>
      <c r="HH49" s="75">
        <f t="shared" si="54"/>
        <v>9707373700</v>
      </c>
      <c r="HI49" s="75">
        <f t="shared" si="54"/>
        <v>7314811943.2399998</v>
      </c>
      <c r="HJ49" s="82">
        <f t="shared" si="55"/>
        <v>2392561756.7600002</v>
      </c>
      <c r="HL49" s="83">
        <f t="shared" si="56"/>
        <v>3197550000</v>
      </c>
      <c r="HM49" s="83">
        <f t="shared" si="56"/>
        <v>1967711943.24</v>
      </c>
      <c r="HN49" s="84">
        <f t="shared" si="57"/>
        <v>1229838056.76</v>
      </c>
      <c r="HP49" s="83">
        <f t="shared" si="58"/>
        <v>5972000000</v>
      </c>
      <c r="HQ49" s="83">
        <f t="shared" si="58"/>
        <v>5133000000</v>
      </c>
      <c r="HR49" s="84">
        <f t="shared" si="59"/>
        <v>839000000</v>
      </c>
      <c r="HT49" s="83">
        <f t="shared" si="60"/>
        <v>145000000</v>
      </c>
      <c r="HU49" s="83">
        <f t="shared" si="60"/>
        <v>117500000</v>
      </c>
      <c r="HV49" s="84">
        <f t="shared" si="61"/>
        <v>27500000</v>
      </c>
      <c r="HX49" s="83">
        <f t="shared" si="62"/>
        <v>60000000</v>
      </c>
      <c r="HY49" s="83">
        <f t="shared" si="62"/>
        <v>15000000</v>
      </c>
      <c r="HZ49" s="84">
        <f t="shared" si="63"/>
        <v>45000000</v>
      </c>
      <c r="IB49" s="83">
        <f t="shared" si="64"/>
        <v>35000000</v>
      </c>
      <c r="IC49" s="83">
        <f t="shared" si="64"/>
        <v>0</v>
      </c>
      <c r="ID49" s="84">
        <f t="shared" si="65"/>
        <v>35000000</v>
      </c>
      <c r="IF49" s="83">
        <f t="shared" si="69"/>
        <v>2000000</v>
      </c>
      <c r="IG49" s="83">
        <f t="shared" si="69"/>
        <v>0</v>
      </c>
      <c r="IH49" s="84">
        <f t="shared" si="66"/>
        <v>2000000</v>
      </c>
      <c r="IJ49" s="84">
        <f t="shared" si="67"/>
        <v>295823700</v>
      </c>
      <c r="IK49" s="84">
        <f t="shared" si="67"/>
        <v>81600000</v>
      </c>
      <c r="IL49" s="84">
        <f t="shared" si="68"/>
        <v>214223700</v>
      </c>
    </row>
    <row r="50" spans="1:246" ht="30" x14ac:dyDescent="0.25">
      <c r="A50" s="42">
        <v>45</v>
      </c>
      <c r="B50" s="17" t="s">
        <v>109</v>
      </c>
      <c r="C50" s="118" t="s">
        <v>76</v>
      </c>
      <c r="D50" s="66">
        <f>'[1]Univ Comm Fund'!D50</f>
        <v>0</v>
      </c>
      <c r="E50" s="66">
        <f>'[1]UNIV 2019'!D56</f>
        <v>0</v>
      </c>
      <c r="F50" s="75">
        <f t="shared" si="4"/>
        <v>0</v>
      </c>
      <c r="G50" s="66"/>
      <c r="H50" s="66">
        <f>'[1]Univ Comm Fund'!E50</f>
        <v>0</v>
      </c>
      <c r="I50" s="66">
        <f>'[1]UNIV 2019'!E56</f>
        <v>0</v>
      </c>
      <c r="J50" s="66">
        <f t="shared" si="5"/>
        <v>0</v>
      </c>
      <c r="K50" s="66"/>
      <c r="L50" s="66">
        <f>'[1]Univ Comm Fund'!F50</f>
        <v>0</v>
      </c>
      <c r="M50" s="66">
        <f>'[1]UNIV 2019'!F56</f>
        <v>0</v>
      </c>
      <c r="N50" s="66">
        <f t="shared" si="6"/>
        <v>0</v>
      </c>
      <c r="O50" s="66"/>
      <c r="P50" s="66">
        <f>'[1]Univ Comm Fund'!G50</f>
        <v>0</v>
      </c>
      <c r="Q50" s="66">
        <f>'[1]UNIV 2019'!G56</f>
        <v>0</v>
      </c>
      <c r="R50" s="66">
        <f t="shared" si="7"/>
        <v>0</v>
      </c>
      <c r="S50" s="87"/>
      <c r="T50" s="66">
        <f>'[1]Univ Comm Fund'!H50</f>
        <v>0</v>
      </c>
      <c r="U50" s="66">
        <f>'[1]UNIV 2019'!H56</f>
        <v>0</v>
      </c>
      <c r="V50" s="66">
        <f t="shared" si="8"/>
        <v>0</v>
      </c>
      <c r="W50" s="66"/>
      <c r="X50" s="66">
        <f>'[1]Univ Comm Fund'!I50</f>
        <v>0</v>
      </c>
      <c r="Y50" s="66">
        <f>'[1]UNIV 2019'!I56</f>
        <v>0</v>
      </c>
      <c r="Z50" s="66">
        <f t="shared" si="9"/>
        <v>0</v>
      </c>
      <c r="AA50" s="66"/>
      <c r="AB50" s="66">
        <f>'[1]Univ Comm Fund'!J50</f>
        <v>0</v>
      </c>
      <c r="AC50" s="66">
        <f>'[1]UNIV 2019'!J56</f>
        <v>0</v>
      </c>
      <c r="AD50" s="66">
        <f t="shared" si="10"/>
        <v>0</v>
      </c>
      <c r="AE50" s="66"/>
      <c r="AF50" s="88">
        <f>'[1]Univ Comm Fund'!K50</f>
        <v>0</v>
      </c>
      <c r="AG50" s="66">
        <f>'[1]UNIV 2019'!K56</f>
        <v>0</v>
      </c>
      <c r="AH50" s="66">
        <f t="shared" si="11"/>
        <v>0</v>
      </c>
      <c r="AI50" s="88"/>
      <c r="AJ50" s="66">
        <f>'[1]Univ Comm Fund'!L50</f>
        <v>0</v>
      </c>
      <c r="AK50" s="66">
        <f>'[1]UNIV 2019'!L56</f>
        <v>0</v>
      </c>
      <c r="AL50" s="66">
        <f t="shared" si="12"/>
        <v>0</v>
      </c>
      <c r="AM50" s="66"/>
      <c r="AN50" s="66">
        <f>'[1]Univ Comm Fund'!M50</f>
        <v>40000000</v>
      </c>
      <c r="AO50" s="66">
        <f>'[1]UNIV 2019'!M56</f>
        <v>40000000</v>
      </c>
      <c r="AP50" s="66">
        <f t="shared" si="13"/>
        <v>0</v>
      </c>
      <c r="AQ50" s="66"/>
      <c r="AR50" s="66">
        <f>'[1]Univ Comm Fund'!N50</f>
        <v>0</v>
      </c>
      <c r="AS50" s="66">
        <f>'[1]UNIV 2019'!N56</f>
        <v>0</v>
      </c>
      <c r="AT50" s="66">
        <f t="shared" si="14"/>
        <v>0</v>
      </c>
      <c r="AU50" s="66"/>
      <c r="AV50" s="66">
        <f>'[1]Univ Comm Fund'!O50</f>
        <v>40000000</v>
      </c>
      <c r="AW50" s="66">
        <f>'[1]UNIV 2019'!O56</f>
        <v>40000000</v>
      </c>
      <c r="AX50" s="66">
        <f t="shared" si="15"/>
        <v>0</v>
      </c>
      <c r="AY50" s="66"/>
      <c r="AZ50" s="66">
        <f>'[1]Univ Comm Fund'!P50</f>
        <v>0</v>
      </c>
      <c r="BA50" s="66">
        <f>'[1]UNIV 2019'!P56</f>
        <v>0</v>
      </c>
      <c r="BB50" s="66">
        <f t="shared" si="0"/>
        <v>0</v>
      </c>
      <c r="BC50" s="66"/>
      <c r="BD50" s="66">
        <f>'[1]Univ Comm Fund'!Q50</f>
        <v>52000000</v>
      </c>
      <c r="BE50" s="66">
        <f>'[1]UNIV 2019'!Q56</f>
        <v>52000000</v>
      </c>
      <c r="BF50" s="66">
        <f t="shared" si="1"/>
        <v>0</v>
      </c>
      <c r="BG50" s="66"/>
      <c r="BH50" s="66">
        <f>'[1]Univ Comm Fund'!R50</f>
        <v>67000000</v>
      </c>
      <c r="BI50" s="66">
        <f>'[1]UNIV 2019'!R56</f>
        <v>67000000</v>
      </c>
      <c r="BJ50" s="66">
        <f t="shared" si="16"/>
        <v>0</v>
      </c>
      <c r="BK50" s="66"/>
      <c r="BL50" s="66">
        <f>'[1]Univ Comm Fund'!S50</f>
        <v>57000000</v>
      </c>
      <c r="BM50" s="66">
        <f>'[1]UNIV 2019'!S56</f>
        <v>57000000</v>
      </c>
      <c r="BN50" s="66">
        <f t="shared" si="17"/>
        <v>0</v>
      </c>
      <c r="BO50" s="66"/>
      <c r="BP50" s="66">
        <f>'[1]Univ Comm Fund'!T50</f>
        <v>0</v>
      </c>
      <c r="BQ50" s="66">
        <f>'[1]UNIV 2019'!T56</f>
        <v>0</v>
      </c>
      <c r="BR50" s="66">
        <f t="shared" si="18"/>
        <v>0</v>
      </c>
      <c r="BS50" s="66"/>
      <c r="BT50" s="66">
        <f>'[1]Univ Comm Fund'!U50</f>
        <v>193140000</v>
      </c>
      <c r="BU50" s="66">
        <f>'[1]UNIV 2019'!U56</f>
        <v>193140000</v>
      </c>
      <c r="BV50" s="66">
        <f t="shared" si="2"/>
        <v>0</v>
      </c>
      <c r="BW50" s="66"/>
      <c r="BX50" s="66">
        <f>'[1]Univ Comm Fund'!V50</f>
        <v>0</v>
      </c>
      <c r="BY50" s="66">
        <f>'[1]UNIV 2019'!V56</f>
        <v>0</v>
      </c>
      <c r="BZ50" s="66">
        <f t="shared" si="19"/>
        <v>0</v>
      </c>
      <c r="CA50" s="66"/>
      <c r="CB50" s="66">
        <f>'[1]Univ Comm Fund'!W50</f>
        <v>175000000</v>
      </c>
      <c r="CC50" s="66">
        <f>'[1]UNIV 2019'!W56</f>
        <v>148750000</v>
      </c>
      <c r="CD50" s="66">
        <f t="shared" si="20"/>
        <v>26250000</v>
      </c>
      <c r="CE50" s="66"/>
      <c r="CF50" s="66">
        <v>75000000</v>
      </c>
      <c r="CG50" s="66">
        <f>'[1]UNIV 2019'!X56</f>
        <v>63750000</v>
      </c>
      <c r="CH50" s="75">
        <f t="shared" si="21"/>
        <v>11250000</v>
      </c>
      <c r="CI50" s="66"/>
      <c r="CJ50" s="66">
        <f>'[1]Univ Comm Fund'!Y50</f>
        <v>0</v>
      </c>
      <c r="CK50" s="66">
        <f>'[1]UNIV 2019'!Y56</f>
        <v>0</v>
      </c>
      <c r="CL50" s="66">
        <f t="shared" si="22"/>
        <v>0</v>
      </c>
      <c r="CM50" s="66"/>
      <c r="CN50" s="20">
        <f>'[1]Univ Comm Fund'!Z50</f>
        <v>350000000</v>
      </c>
      <c r="CO50" s="66">
        <f>'[1]UNIV 2019'!Z56</f>
        <v>297500000</v>
      </c>
      <c r="CP50" s="66">
        <f t="shared" si="23"/>
        <v>52500000</v>
      </c>
      <c r="CQ50" s="20"/>
      <c r="CR50" s="66">
        <f>'[1]Univ Comm Fund'!AA50</f>
        <v>0</v>
      </c>
      <c r="CS50" s="66">
        <f>'[1]UNIV 2019'!AA56</f>
        <v>0</v>
      </c>
      <c r="CT50" s="75">
        <f t="shared" si="24"/>
        <v>0</v>
      </c>
      <c r="CU50" s="66"/>
      <c r="CV50" s="66">
        <f>'[1]Univ Comm Fund'!AB50</f>
        <v>0</v>
      </c>
      <c r="CW50" s="66">
        <f>'[1]UNIV 2019'!AB56</f>
        <v>0</v>
      </c>
      <c r="CX50" s="75">
        <f t="shared" si="25"/>
        <v>0</v>
      </c>
      <c r="CY50" s="66"/>
      <c r="CZ50" s="66">
        <f>'[1]Univ Comm Fund'!AC50</f>
        <v>356000000</v>
      </c>
      <c r="DA50" s="66">
        <f>'[1]UNIV 2019'!AC56</f>
        <v>302600000</v>
      </c>
      <c r="DB50" s="66">
        <f t="shared" si="26"/>
        <v>53400000</v>
      </c>
      <c r="DC50" s="66"/>
      <c r="DD50" s="66">
        <f>'[1]Univ Comm Fund'!AD50</f>
        <v>20000000</v>
      </c>
      <c r="DE50" s="66">
        <f>'[1]UNIV 2019'!AD56</f>
        <v>17000000</v>
      </c>
      <c r="DF50" s="66">
        <f t="shared" si="27"/>
        <v>3000000</v>
      </c>
      <c r="DG50" s="66"/>
      <c r="DH50" s="66">
        <f>'[1]Univ Comm Fund'!AE50</f>
        <v>552000000</v>
      </c>
      <c r="DI50" s="66">
        <f>'[1]UNIV 2019'!AE56</f>
        <v>0</v>
      </c>
      <c r="DJ50" s="66">
        <f t="shared" si="28"/>
        <v>552000000</v>
      </c>
      <c r="DK50" s="66"/>
      <c r="DL50" s="66">
        <f>'[1]Univ Comm Fund'!AF50</f>
        <v>20000000</v>
      </c>
      <c r="DM50" s="66">
        <f>'[1]UNIV 2019'!AF56</f>
        <v>0</v>
      </c>
      <c r="DN50" s="66">
        <f t="shared" si="29"/>
        <v>20000000</v>
      </c>
      <c r="DO50" s="66"/>
      <c r="DP50" s="66">
        <f>'[1]Univ Comm Fund'!AG50</f>
        <v>500000000</v>
      </c>
      <c r="DQ50" s="66">
        <f>'[1]UNIV 2019'!AG56</f>
        <v>500000000</v>
      </c>
      <c r="DR50" s="66">
        <f t="shared" si="30"/>
        <v>0</v>
      </c>
      <c r="DS50" s="66"/>
      <c r="DT50" s="66">
        <f>'[1]Univ Comm Fund'!AH50</f>
        <v>100000000</v>
      </c>
      <c r="DU50" s="66">
        <f>'[1]UNIV 2019'!AH56</f>
        <v>0</v>
      </c>
      <c r="DV50" s="66">
        <f t="shared" si="31"/>
        <v>100000000</v>
      </c>
      <c r="DW50" s="66"/>
      <c r="DX50" s="66">
        <f>'[1]Univ Comm Fund'!AI50</f>
        <v>15000000</v>
      </c>
      <c r="DY50" s="66">
        <f>'[1]UNIV 2019'!AI56</f>
        <v>0</v>
      </c>
      <c r="DZ50" s="66">
        <f t="shared" si="32"/>
        <v>15000000</v>
      </c>
      <c r="EA50" s="66"/>
      <c r="EB50" s="66">
        <f>'[1]Univ Comm Fund'!AJ50</f>
        <v>2000000</v>
      </c>
      <c r="EC50" s="66">
        <f>'[1]UNIV 2019'!AJ56</f>
        <v>0</v>
      </c>
      <c r="ED50" s="66">
        <f t="shared" si="33"/>
        <v>2000000</v>
      </c>
      <c r="EE50" s="66"/>
      <c r="EF50" s="66">
        <f>'[1]Univ Comm Fund'!AK50</f>
        <v>10000000</v>
      </c>
      <c r="EG50" s="66">
        <f>'[1]UNIV 2019'!AK56</f>
        <v>0</v>
      </c>
      <c r="EH50" s="66">
        <f t="shared" si="34"/>
        <v>10000000</v>
      </c>
      <c r="EI50" s="66"/>
      <c r="EJ50" s="66">
        <f>'[1]Univ Comm Fund'!AL50</f>
        <v>1010000000</v>
      </c>
      <c r="EK50" s="66">
        <f>'[1]UNIV 2019'!AL56</f>
        <v>930100000</v>
      </c>
      <c r="EL50" s="66">
        <f t="shared" si="35"/>
        <v>79900000</v>
      </c>
      <c r="EM50" s="66"/>
      <c r="EN50" s="80">
        <f>'[1]Univ Comm Fund'!AM50</f>
        <v>565410000</v>
      </c>
      <c r="EO50" s="66">
        <f>'[1]UNIV 2019'!AM56</f>
        <v>0</v>
      </c>
      <c r="EP50" s="75">
        <f t="shared" si="36"/>
        <v>565410000</v>
      </c>
      <c r="EQ50" s="66"/>
      <c r="ER50" s="66">
        <f>'[1]Univ Comm Fund'!AN50</f>
        <v>15000000</v>
      </c>
      <c r="ES50" s="66">
        <f>'[1]UNIV 2019'!AN56</f>
        <v>0</v>
      </c>
      <c r="ET50" s="75">
        <f t="shared" si="37"/>
        <v>15000000</v>
      </c>
      <c r="EU50" s="66"/>
      <c r="EV50" s="66">
        <f>'[1]Univ Comm Fund'!AO50</f>
        <v>15000000</v>
      </c>
      <c r="EW50" s="66">
        <f>'[1]UNIV 2019'!AO56</f>
        <v>0</v>
      </c>
      <c r="EX50" s="75">
        <f t="shared" si="38"/>
        <v>15000000</v>
      </c>
      <c r="EY50" s="66"/>
      <c r="EZ50" s="66">
        <f>'[1]Univ Comm Fund'!AP50</f>
        <v>10000000</v>
      </c>
      <c r="FA50" s="66">
        <f>'[1]UNIV 2019'!AP56</f>
        <v>0</v>
      </c>
      <c r="FB50" s="75">
        <f t="shared" si="39"/>
        <v>10000000</v>
      </c>
      <c r="FC50" s="75"/>
      <c r="FD50" s="75">
        <f>'[1]Univ Comm Fund'!AQ50</f>
        <v>0</v>
      </c>
      <c r="FE50" s="75">
        <f>'[1]UNIV 2019'!AQ56</f>
        <v>0</v>
      </c>
      <c r="FF50" s="75">
        <f t="shared" si="40"/>
        <v>0</v>
      </c>
      <c r="FG50" s="75"/>
      <c r="FH50" s="75">
        <f>'[1]Univ Comm Fund'!AR50</f>
        <v>0</v>
      </c>
      <c r="FI50" s="75">
        <f>'[1]UNIV 2019'!AR56</f>
        <v>0</v>
      </c>
      <c r="FJ50" s="75">
        <f t="shared" si="41"/>
        <v>0</v>
      </c>
      <c r="FK50" s="75"/>
      <c r="FL50" s="75">
        <f>'[1]Univ Comm Fund'!AS50</f>
        <v>300000000</v>
      </c>
      <c r="FM50" s="75">
        <f>'[1]UNIV 2019'!AS56</f>
        <v>0</v>
      </c>
      <c r="FN50" s="75">
        <f t="shared" si="42"/>
        <v>300000000</v>
      </c>
      <c r="FO50" s="75"/>
      <c r="FP50" s="75">
        <f>'[1]Univ Comm Fund'!AT50</f>
        <v>120000000</v>
      </c>
      <c r="FQ50" s="75">
        <f>'[1]UNIV 2019'!AT56</f>
        <v>0</v>
      </c>
      <c r="FR50" s="75">
        <f t="shared" si="43"/>
        <v>120000000</v>
      </c>
      <c r="FS50" s="75"/>
      <c r="FT50" s="75">
        <f>'[1]Univ Comm Fund'!AU50</f>
        <v>10000000</v>
      </c>
      <c r="FU50" s="75">
        <f>'[1]UNIV 2019'!AU56</f>
        <v>0</v>
      </c>
      <c r="FV50" s="75">
        <f t="shared" si="44"/>
        <v>10000000</v>
      </c>
      <c r="FW50" s="75"/>
      <c r="FX50" s="75">
        <f>'[1]Univ Comm Fund'!AV50</f>
        <v>5000000</v>
      </c>
      <c r="FY50" s="75">
        <f>'[1]UNIV 2019'!AV56</f>
        <v>0</v>
      </c>
      <c r="FZ50" s="75">
        <f t="shared" si="45"/>
        <v>5000000</v>
      </c>
      <c r="GA50" s="75"/>
      <c r="GB50" s="75">
        <f>'[1]Univ Comm Fund'!AW50</f>
        <v>10000000</v>
      </c>
      <c r="GC50" s="75">
        <f>'[1]UNIV 2019'!AW56</f>
        <v>0</v>
      </c>
      <c r="GD50" s="75">
        <f t="shared" si="46"/>
        <v>10000000</v>
      </c>
      <c r="GE50" s="75"/>
      <c r="GF50" s="75">
        <f>'[1]Univ Comm Fund'!AX50</f>
        <v>0</v>
      </c>
      <c r="GG50" s="75">
        <f>'[1]UNIV 2019'!AX56</f>
        <v>0</v>
      </c>
      <c r="GH50" s="75">
        <f t="shared" si="47"/>
        <v>0</v>
      </c>
      <c r="GI50" s="75"/>
      <c r="GJ50" s="75">
        <f>'[1]Univ Comm Fund'!AY50</f>
        <v>350000000</v>
      </c>
      <c r="GK50" s="75">
        <f>'[1]UNIV 2019'!AY56</f>
        <v>0</v>
      </c>
      <c r="GL50" s="75">
        <f t="shared" si="48"/>
        <v>350000000</v>
      </c>
      <c r="GM50" s="75"/>
      <c r="GN50" s="75">
        <f>'[1]Univ Comm Fund'!AZ50</f>
        <v>175823700</v>
      </c>
      <c r="GO50" s="75">
        <f>'[1]UNIV 2019'!AZ56</f>
        <v>0</v>
      </c>
      <c r="GP50" s="75">
        <f t="shared" si="49"/>
        <v>175823700</v>
      </c>
      <c r="GQ50" s="75"/>
      <c r="GR50" s="75">
        <f>'[1]Univ Comm Fund'!BA50</f>
        <v>20000000</v>
      </c>
      <c r="GS50" s="75">
        <f>'[1]UNIV 2019'!BA56</f>
        <v>0</v>
      </c>
      <c r="GT50" s="75">
        <f t="shared" si="50"/>
        <v>20000000</v>
      </c>
      <c r="GU50" s="75"/>
      <c r="GV50" s="75">
        <f>'[1]Univ Comm Fund'!BB50</f>
        <v>5000000</v>
      </c>
      <c r="GW50" s="75">
        <f>'[1]UNIV 2019'!BB56</f>
        <v>0</v>
      </c>
      <c r="GX50" s="75">
        <f t="shared" si="51"/>
        <v>5000000</v>
      </c>
      <c r="GY50" s="75"/>
      <c r="GZ50" s="75">
        <f>'[1]Univ Comm Fund'!BC50</f>
        <v>10000000</v>
      </c>
      <c r="HA50" s="75">
        <f>'[1]UNIV 2019'!BD56</f>
        <v>0</v>
      </c>
      <c r="HB50" s="75">
        <f t="shared" si="52"/>
        <v>10000000</v>
      </c>
      <c r="HC50" s="75"/>
      <c r="HD50" s="75">
        <f>'[1]Univ Comm Fund'!BD50</f>
        <v>0</v>
      </c>
      <c r="HE50" s="75">
        <f>'[1]UNIV 2019'!BC56</f>
        <v>0</v>
      </c>
      <c r="HF50" s="75">
        <f t="shared" si="53"/>
        <v>0</v>
      </c>
      <c r="HG50" s="75"/>
      <c r="HH50" s="75">
        <f t="shared" si="54"/>
        <v>5245373700</v>
      </c>
      <c r="HI50" s="75">
        <f t="shared" si="54"/>
        <v>2708840000</v>
      </c>
      <c r="HJ50" s="82">
        <f t="shared" si="55"/>
        <v>2536533700</v>
      </c>
      <c r="HL50" s="83">
        <f t="shared" si="56"/>
        <v>3197550000</v>
      </c>
      <c r="HM50" s="83">
        <f t="shared" si="56"/>
        <v>1197990000</v>
      </c>
      <c r="HN50" s="84">
        <f t="shared" si="57"/>
        <v>1999560000</v>
      </c>
      <c r="HP50" s="83">
        <f t="shared" si="58"/>
        <v>1510000000</v>
      </c>
      <c r="HQ50" s="83">
        <f t="shared" si="58"/>
        <v>1430100000</v>
      </c>
      <c r="HR50" s="84">
        <f t="shared" si="59"/>
        <v>79900000</v>
      </c>
      <c r="HT50" s="83">
        <f t="shared" si="60"/>
        <v>145000000</v>
      </c>
      <c r="HU50" s="83">
        <f t="shared" si="60"/>
        <v>80750000</v>
      </c>
      <c r="HV50" s="84">
        <f t="shared" si="61"/>
        <v>64250000</v>
      </c>
      <c r="HX50" s="83">
        <f t="shared" si="62"/>
        <v>60000000</v>
      </c>
      <c r="HY50" s="83">
        <f t="shared" si="62"/>
        <v>0</v>
      </c>
      <c r="HZ50" s="84">
        <f t="shared" si="63"/>
        <v>60000000</v>
      </c>
      <c r="IB50" s="83">
        <f t="shared" si="64"/>
        <v>35000000</v>
      </c>
      <c r="IC50" s="83">
        <f t="shared" si="64"/>
        <v>0</v>
      </c>
      <c r="ID50" s="84">
        <f t="shared" si="65"/>
        <v>35000000</v>
      </c>
      <c r="IF50" s="83">
        <f t="shared" si="69"/>
        <v>2000000</v>
      </c>
      <c r="IG50" s="83">
        <f t="shared" si="69"/>
        <v>0</v>
      </c>
      <c r="IH50" s="84">
        <f t="shared" si="66"/>
        <v>2000000</v>
      </c>
      <c r="IJ50" s="84">
        <f t="shared" si="67"/>
        <v>295823700</v>
      </c>
      <c r="IK50" s="84">
        <f t="shared" si="67"/>
        <v>0</v>
      </c>
      <c r="IL50" s="84">
        <f t="shared" si="68"/>
        <v>295823700</v>
      </c>
    </row>
    <row r="51" spans="1:246" x14ac:dyDescent="0.25">
      <c r="A51" s="42">
        <v>46</v>
      </c>
      <c r="B51" s="91" t="s">
        <v>110</v>
      </c>
      <c r="C51" s="42" t="s">
        <v>74</v>
      </c>
      <c r="D51" s="66">
        <f>'[1]Univ Comm Fund'!D51</f>
        <v>0</v>
      </c>
      <c r="E51" s="66">
        <f>'[1]UNIV 2019'!D57</f>
        <v>0</v>
      </c>
      <c r="F51" s="75">
        <f t="shared" si="4"/>
        <v>0</v>
      </c>
      <c r="G51" s="66"/>
      <c r="H51" s="66">
        <f>'[1]Univ Comm Fund'!E51</f>
        <v>0</v>
      </c>
      <c r="I51" s="66">
        <f>'[1]UNIV 2019'!E57</f>
        <v>0</v>
      </c>
      <c r="J51" s="66">
        <f t="shared" si="5"/>
        <v>0</v>
      </c>
      <c r="K51" s="66"/>
      <c r="L51" s="66">
        <f>'[1]Univ Comm Fund'!F51</f>
        <v>0</v>
      </c>
      <c r="M51" s="66">
        <f>'[1]UNIV 2019'!F57</f>
        <v>0</v>
      </c>
      <c r="N51" s="66">
        <f t="shared" si="6"/>
        <v>0</v>
      </c>
      <c r="O51" s="66"/>
      <c r="P51" s="66">
        <f>'[1]Univ Comm Fund'!G51</f>
        <v>0</v>
      </c>
      <c r="Q51" s="66">
        <f>'[1]UNIV 2019'!G57</f>
        <v>0</v>
      </c>
      <c r="R51" s="66">
        <f t="shared" si="7"/>
        <v>0</v>
      </c>
      <c r="S51" s="87"/>
      <c r="T51" s="66">
        <f>'[1]Univ Comm Fund'!H51</f>
        <v>0</v>
      </c>
      <c r="U51" s="66">
        <f>'[1]UNIV 2019'!H57</f>
        <v>0</v>
      </c>
      <c r="V51" s="66">
        <f t="shared" si="8"/>
        <v>0</v>
      </c>
      <c r="W51" s="66"/>
      <c r="X51" s="66">
        <f>'[1]Univ Comm Fund'!I51</f>
        <v>0</v>
      </c>
      <c r="Y51" s="66">
        <f>'[1]UNIV 2019'!I57</f>
        <v>0</v>
      </c>
      <c r="Z51" s="66">
        <f t="shared" si="9"/>
        <v>0</v>
      </c>
      <c r="AA51" s="66"/>
      <c r="AB51" s="66">
        <f>'[1]Univ Comm Fund'!J51</f>
        <v>0</v>
      </c>
      <c r="AC51" s="66">
        <f>'[1]UNIV 2019'!J57</f>
        <v>0</v>
      </c>
      <c r="AD51" s="66">
        <f t="shared" si="10"/>
        <v>0</v>
      </c>
      <c r="AE51" s="66"/>
      <c r="AF51" s="88">
        <f>'[1]Univ Comm Fund'!K51</f>
        <v>0</v>
      </c>
      <c r="AG51" s="66">
        <f>'[1]UNIV 2019'!K57</f>
        <v>0</v>
      </c>
      <c r="AH51" s="66">
        <f t="shared" si="11"/>
        <v>0</v>
      </c>
      <c r="AI51" s="88"/>
      <c r="AJ51" s="66">
        <f>'[1]Univ Comm Fund'!L51</f>
        <v>0</v>
      </c>
      <c r="AK51" s="66">
        <f>'[1]UNIV 2019'!L57</f>
        <v>0</v>
      </c>
      <c r="AL51" s="66">
        <f t="shared" si="12"/>
        <v>0</v>
      </c>
      <c r="AM51" s="66"/>
      <c r="AN51" s="66">
        <f>'[1]Univ Comm Fund'!M51</f>
        <v>0</v>
      </c>
      <c r="AO51" s="66">
        <f>'[1]UNIV 2019'!M57</f>
        <v>0</v>
      </c>
      <c r="AP51" s="66">
        <f t="shared" si="13"/>
        <v>0</v>
      </c>
      <c r="AQ51" s="66"/>
      <c r="AR51" s="66">
        <f>'[1]Univ Comm Fund'!N51</f>
        <v>0</v>
      </c>
      <c r="AS51" s="66">
        <f>'[1]UNIV 2019'!N57</f>
        <v>0</v>
      </c>
      <c r="AT51" s="66">
        <f t="shared" si="14"/>
        <v>0</v>
      </c>
      <c r="AU51" s="66"/>
      <c r="AV51" s="66">
        <f>'[1]Univ Comm Fund'!O51</f>
        <v>40000000</v>
      </c>
      <c r="AW51" s="66">
        <f>'[1]UNIV 2019'!O57</f>
        <v>40000000</v>
      </c>
      <c r="AX51" s="66">
        <f t="shared" si="15"/>
        <v>0</v>
      </c>
      <c r="AY51" s="66"/>
      <c r="AZ51" s="66">
        <f>'[1]Univ Comm Fund'!P51</f>
        <v>0</v>
      </c>
      <c r="BA51" s="66">
        <f>'[1]UNIV 2019'!P57</f>
        <v>0</v>
      </c>
      <c r="BB51" s="66">
        <f t="shared" si="0"/>
        <v>0</v>
      </c>
      <c r="BC51" s="66"/>
      <c r="BD51" s="66">
        <f>'[1]Univ Comm Fund'!Q51</f>
        <v>52000000</v>
      </c>
      <c r="BE51" s="66">
        <f>'[1]UNIV 2019'!Q57</f>
        <v>52000000</v>
      </c>
      <c r="BF51" s="66">
        <f t="shared" si="1"/>
        <v>0</v>
      </c>
      <c r="BG51" s="66"/>
      <c r="BH51" s="66">
        <f>'[1]Univ Comm Fund'!R51</f>
        <v>67000000</v>
      </c>
      <c r="BI51" s="66">
        <f>'[1]UNIV 2019'!R57</f>
        <v>67000000</v>
      </c>
      <c r="BJ51" s="66">
        <f t="shared" si="16"/>
        <v>0</v>
      </c>
      <c r="BK51" s="66"/>
      <c r="BL51" s="66">
        <f>'[1]Univ Comm Fund'!S51</f>
        <v>57000000</v>
      </c>
      <c r="BM51" s="66">
        <f>'[1]UNIV 2019'!S57</f>
        <v>57000000</v>
      </c>
      <c r="BN51" s="66">
        <f t="shared" si="17"/>
        <v>0</v>
      </c>
      <c r="BO51" s="66"/>
      <c r="BP51" s="66">
        <f>'[1]Univ Comm Fund'!T51</f>
        <v>0</v>
      </c>
      <c r="BQ51" s="66">
        <f>'[1]UNIV 2019'!T57</f>
        <v>0</v>
      </c>
      <c r="BR51" s="66">
        <f t="shared" si="18"/>
        <v>0</v>
      </c>
      <c r="BS51" s="66"/>
      <c r="BT51" s="66">
        <f>'[1]Univ Comm Fund'!U51</f>
        <v>193140000</v>
      </c>
      <c r="BU51" s="66">
        <f>'[1]UNIV 2019'!U57</f>
        <v>193140000</v>
      </c>
      <c r="BV51" s="66">
        <f t="shared" si="2"/>
        <v>0</v>
      </c>
      <c r="BW51" s="66"/>
      <c r="BX51" s="66">
        <f>'[1]Univ Comm Fund'!V51</f>
        <v>450000000</v>
      </c>
      <c r="BY51" s="66">
        <f>'[1]UNIV 2019'!V57</f>
        <v>450000000</v>
      </c>
      <c r="BZ51" s="66">
        <f t="shared" si="19"/>
        <v>0</v>
      </c>
      <c r="CA51" s="66"/>
      <c r="CB51" s="66">
        <f>'[1]Univ Comm Fund'!W51</f>
        <v>175000000</v>
      </c>
      <c r="CC51" s="66">
        <f>'[1]UNIV 2019'!W57</f>
        <v>175000000</v>
      </c>
      <c r="CD51" s="66">
        <f t="shared" si="20"/>
        <v>0</v>
      </c>
      <c r="CE51" s="66"/>
      <c r="CF51" s="66">
        <v>75000000</v>
      </c>
      <c r="CG51" s="66">
        <f>'[1]UNIV 2019'!X57</f>
        <v>75000000</v>
      </c>
      <c r="CH51" s="75">
        <f t="shared" si="21"/>
        <v>0</v>
      </c>
      <c r="CI51" s="66"/>
      <c r="CJ51" s="66">
        <f>'[1]Univ Comm Fund'!Y51</f>
        <v>0</v>
      </c>
      <c r="CK51" s="66">
        <f>'[1]UNIV 2019'!Y57</f>
        <v>0</v>
      </c>
      <c r="CL51" s="66">
        <f t="shared" si="22"/>
        <v>0</v>
      </c>
      <c r="CM51" s="66"/>
      <c r="CN51" s="20">
        <f>'[1]Univ Comm Fund'!Z51</f>
        <v>350000000</v>
      </c>
      <c r="CO51" s="66">
        <f>'[1]UNIV 2019'!Z57</f>
        <v>350000000</v>
      </c>
      <c r="CP51" s="66">
        <f t="shared" si="23"/>
        <v>0</v>
      </c>
      <c r="CQ51" s="20"/>
      <c r="CR51" s="66">
        <f>'[1]Univ Comm Fund'!AA51</f>
        <v>650000000</v>
      </c>
      <c r="CS51" s="66">
        <f>'[1]UNIV 2019'!AA57</f>
        <v>650000000</v>
      </c>
      <c r="CT51" s="75">
        <f t="shared" si="24"/>
        <v>0</v>
      </c>
      <c r="CU51" s="66"/>
      <c r="CV51" s="66">
        <f>'[1]Univ Comm Fund'!AB51</f>
        <v>300000000</v>
      </c>
      <c r="CW51" s="66">
        <f>'[1]UNIV 2019'!AB57</f>
        <v>300000000</v>
      </c>
      <c r="CX51" s="75">
        <f t="shared" si="25"/>
        <v>0</v>
      </c>
      <c r="CY51" s="66"/>
      <c r="CZ51" s="66">
        <f>'[1]Univ Comm Fund'!AC51</f>
        <v>356000000</v>
      </c>
      <c r="DA51" s="66">
        <f>'[1]UNIV 2019'!AC57</f>
        <v>356000000</v>
      </c>
      <c r="DB51" s="66">
        <f t="shared" si="26"/>
        <v>0</v>
      </c>
      <c r="DC51" s="66"/>
      <c r="DD51" s="66">
        <f>'[1]Univ Comm Fund'!AD51</f>
        <v>20000000</v>
      </c>
      <c r="DE51" s="66">
        <f>'[1]UNIV 2019'!AD57</f>
        <v>0</v>
      </c>
      <c r="DF51" s="66">
        <f t="shared" si="27"/>
        <v>20000000</v>
      </c>
      <c r="DG51" s="66"/>
      <c r="DH51" s="66">
        <f>'[1]Univ Comm Fund'!AE51</f>
        <v>552000000</v>
      </c>
      <c r="DI51" s="66">
        <f>'[1]UNIV 2019'!AE57</f>
        <v>353280000</v>
      </c>
      <c r="DJ51" s="66">
        <f t="shared" si="28"/>
        <v>198720000</v>
      </c>
      <c r="DK51" s="66"/>
      <c r="DL51" s="66">
        <f>'[1]Univ Comm Fund'!AF51</f>
        <v>20000000</v>
      </c>
      <c r="DM51" s="66">
        <f>'[1]UNIV 2019'!AF57</f>
        <v>0</v>
      </c>
      <c r="DN51" s="66">
        <f t="shared" si="29"/>
        <v>20000000</v>
      </c>
      <c r="DO51" s="66"/>
      <c r="DP51" s="66">
        <f>'[1]Univ Comm Fund'!AG51</f>
        <v>0</v>
      </c>
      <c r="DQ51" s="66">
        <f>'[1]UNIV 2019'!AG57</f>
        <v>0</v>
      </c>
      <c r="DR51" s="66">
        <f t="shared" si="30"/>
        <v>0</v>
      </c>
      <c r="DS51" s="66"/>
      <c r="DT51" s="66">
        <f>'[1]Univ Comm Fund'!AH51</f>
        <v>100000000</v>
      </c>
      <c r="DU51" s="66">
        <f>'[1]UNIV 2019'!AH57</f>
        <v>64000000</v>
      </c>
      <c r="DV51" s="66">
        <f t="shared" si="31"/>
        <v>36000000</v>
      </c>
      <c r="DW51" s="66"/>
      <c r="DX51" s="66">
        <f>'[1]Univ Comm Fund'!AI51</f>
        <v>15000000</v>
      </c>
      <c r="DY51" s="66">
        <f>'[1]UNIV 2019'!AI57</f>
        <v>0</v>
      </c>
      <c r="DZ51" s="66">
        <f t="shared" si="32"/>
        <v>15000000</v>
      </c>
      <c r="EA51" s="66"/>
      <c r="EB51" s="66">
        <f>'[1]Univ Comm Fund'!AJ51</f>
        <v>2000000</v>
      </c>
      <c r="EC51" s="66">
        <f>'[1]UNIV 2019'!AJ57</f>
        <v>0</v>
      </c>
      <c r="ED51" s="66">
        <f t="shared" si="33"/>
        <v>2000000</v>
      </c>
      <c r="EE51" s="66"/>
      <c r="EF51" s="66">
        <f>'[1]Univ Comm Fund'!AK51</f>
        <v>10000000</v>
      </c>
      <c r="EG51" s="66">
        <f>'[1]UNIV 2019'!AK57</f>
        <v>0</v>
      </c>
      <c r="EH51" s="66">
        <f t="shared" si="34"/>
        <v>10000000</v>
      </c>
      <c r="EI51" s="66"/>
      <c r="EJ51" s="66">
        <f>'[1]Univ Comm Fund'!AL51</f>
        <v>3300000000</v>
      </c>
      <c r="EK51" s="66">
        <f>'[1]UNIV 2019'!AL57</f>
        <v>3300000000</v>
      </c>
      <c r="EL51" s="66">
        <f t="shared" si="35"/>
        <v>0</v>
      </c>
      <c r="EM51" s="66"/>
      <c r="EN51" s="80">
        <f>'[1]Univ Comm Fund'!AM51</f>
        <v>565410000</v>
      </c>
      <c r="EO51" s="66">
        <f>'[1]UNIV 2019'!AM57</f>
        <v>361862400</v>
      </c>
      <c r="EP51" s="75">
        <f t="shared" si="36"/>
        <v>203547600</v>
      </c>
      <c r="EQ51" s="66"/>
      <c r="ER51" s="66">
        <f>'[1]Univ Comm Fund'!AN51</f>
        <v>15000000</v>
      </c>
      <c r="ES51" s="66">
        <f>'[1]UNIV 2019'!AN57</f>
        <v>0</v>
      </c>
      <c r="ET51" s="75">
        <f t="shared" si="37"/>
        <v>15000000</v>
      </c>
      <c r="EU51" s="66"/>
      <c r="EV51" s="66">
        <f>'[1]Univ Comm Fund'!AO51</f>
        <v>15000000</v>
      </c>
      <c r="EW51" s="66">
        <f>'[1]UNIV 2019'!AO57</f>
        <v>0</v>
      </c>
      <c r="EX51" s="75">
        <f t="shared" si="38"/>
        <v>15000000</v>
      </c>
      <c r="EY51" s="66"/>
      <c r="EZ51" s="66">
        <f>'[1]Univ Comm Fund'!AP51</f>
        <v>10000000</v>
      </c>
      <c r="FA51" s="66">
        <f>'[1]UNIV 2019'!AP57</f>
        <v>0</v>
      </c>
      <c r="FB51" s="75">
        <f t="shared" si="39"/>
        <v>10000000</v>
      </c>
      <c r="FC51" s="75"/>
      <c r="FD51" s="75">
        <f>'[1]Univ Comm Fund'!AQ51</f>
        <v>0</v>
      </c>
      <c r="FE51" s="75">
        <f>'[1]UNIV 2019'!AQ57</f>
        <v>0</v>
      </c>
      <c r="FF51" s="75">
        <f t="shared" si="40"/>
        <v>0</v>
      </c>
      <c r="FG51" s="75"/>
      <c r="FH51" s="75">
        <f>'[1]Univ Comm Fund'!AR51</f>
        <v>0</v>
      </c>
      <c r="FI51" s="75">
        <f>'[1]UNIV 2019'!AR57</f>
        <v>0</v>
      </c>
      <c r="FJ51" s="75">
        <f t="shared" si="41"/>
        <v>0</v>
      </c>
      <c r="FK51" s="75"/>
      <c r="FL51" s="75">
        <f>'[1]Univ Comm Fund'!AS51</f>
        <v>300000000</v>
      </c>
      <c r="FM51" s="75">
        <f>'[1]UNIV 2019'!AS57</f>
        <v>0</v>
      </c>
      <c r="FN51" s="75">
        <f t="shared" si="42"/>
        <v>300000000</v>
      </c>
      <c r="FO51" s="75"/>
      <c r="FP51" s="75">
        <f>'[1]Univ Comm Fund'!AT51</f>
        <v>120000000</v>
      </c>
      <c r="FQ51" s="75">
        <f>'[1]UNIV 2019'!AT57</f>
        <v>120000000</v>
      </c>
      <c r="FR51" s="75">
        <f t="shared" si="43"/>
        <v>0</v>
      </c>
      <c r="FS51" s="75"/>
      <c r="FT51" s="75">
        <f>'[1]Univ Comm Fund'!AU51</f>
        <v>10000000</v>
      </c>
      <c r="FU51" s="75">
        <f>'[1]UNIV 2019'!AU57</f>
        <v>0</v>
      </c>
      <c r="FV51" s="75">
        <f t="shared" si="44"/>
        <v>10000000</v>
      </c>
      <c r="FW51" s="75"/>
      <c r="FX51" s="75">
        <f>'[1]Univ Comm Fund'!AV51</f>
        <v>5000000</v>
      </c>
      <c r="FY51" s="75">
        <f>'[1]UNIV 2019'!AV57</f>
        <v>0</v>
      </c>
      <c r="FZ51" s="75">
        <f t="shared" si="45"/>
        <v>5000000</v>
      </c>
      <c r="GA51" s="75"/>
      <c r="GB51" s="75">
        <f>'[1]Univ Comm Fund'!AW51</f>
        <v>10000000</v>
      </c>
      <c r="GC51" s="75">
        <f>'[1]UNIV 2019'!AW57</f>
        <v>0</v>
      </c>
      <c r="GD51" s="75">
        <f t="shared" si="46"/>
        <v>10000000</v>
      </c>
      <c r="GE51" s="75"/>
      <c r="GF51" s="75">
        <f>'[1]Univ Comm Fund'!AX51</f>
        <v>0</v>
      </c>
      <c r="GG51" s="75">
        <f>'[1]UNIV 2019'!AX57</f>
        <v>0</v>
      </c>
      <c r="GH51" s="75">
        <f t="shared" si="47"/>
        <v>0</v>
      </c>
      <c r="GI51" s="75"/>
      <c r="GJ51" s="75">
        <f>'[1]Univ Comm Fund'!AY51</f>
        <v>350000000</v>
      </c>
      <c r="GK51" s="75">
        <f>'[1]UNIV 2019'!AY57</f>
        <v>0</v>
      </c>
      <c r="GL51" s="75">
        <f t="shared" si="48"/>
        <v>350000000</v>
      </c>
      <c r="GM51" s="75"/>
      <c r="GN51" s="75">
        <f>'[1]Univ Comm Fund'!AZ51</f>
        <v>175823700</v>
      </c>
      <c r="GO51" s="75">
        <f>'[1]UNIV 2019'!AZ57</f>
        <v>0</v>
      </c>
      <c r="GP51" s="75">
        <f t="shared" si="49"/>
        <v>175823700</v>
      </c>
      <c r="GQ51" s="75"/>
      <c r="GR51" s="75">
        <f>'[1]Univ Comm Fund'!BA51</f>
        <v>20000000</v>
      </c>
      <c r="GS51" s="75">
        <f>'[1]UNIV 2019'!BA57</f>
        <v>0</v>
      </c>
      <c r="GT51" s="75">
        <f t="shared" si="50"/>
        <v>20000000</v>
      </c>
      <c r="GU51" s="75"/>
      <c r="GV51" s="75">
        <f>'[1]Univ Comm Fund'!BB51</f>
        <v>5000000</v>
      </c>
      <c r="GW51" s="75">
        <f>'[1]UNIV 2019'!BB57</f>
        <v>0</v>
      </c>
      <c r="GX51" s="75">
        <f t="shared" si="51"/>
        <v>5000000</v>
      </c>
      <c r="GY51" s="75"/>
      <c r="GZ51" s="75">
        <f>'[1]Univ Comm Fund'!BC51</f>
        <v>10000000</v>
      </c>
      <c r="HA51" s="75">
        <f>'[1]UNIV 2019'!BD57</f>
        <v>0</v>
      </c>
      <c r="HB51" s="75">
        <f t="shared" si="52"/>
        <v>10000000</v>
      </c>
      <c r="HC51" s="75"/>
      <c r="HD51" s="75">
        <f>'[1]Univ Comm Fund'!BD51</f>
        <v>0</v>
      </c>
      <c r="HE51" s="75">
        <f>'[1]UNIV 2019'!BC57</f>
        <v>0</v>
      </c>
      <c r="HF51" s="75">
        <f t="shared" si="53"/>
        <v>0</v>
      </c>
      <c r="HG51" s="75"/>
      <c r="HH51" s="75">
        <f t="shared" si="54"/>
        <v>8395373700</v>
      </c>
      <c r="HI51" s="75">
        <f t="shared" si="54"/>
        <v>6964282400</v>
      </c>
      <c r="HJ51" s="82">
        <f t="shared" si="55"/>
        <v>1431091300</v>
      </c>
      <c r="HL51" s="83">
        <f t="shared" si="56"/>
        <v>3157550000</v>
      </c>
      <c r="HM51" s="83">
        <f t="shared" si="56"/>
        <v>2069282400</v>
      </c>
      <c r="HN51" s="84">
        <f t="shared" si="57"/>
        <v>1088267600</v>
      </c>
      <c r="HP51" s="83">
        <f t="shared" si="58"/>
        <v>4700000000</v>
      </c>
      <c r="HQ51" s="83">
        <f t="shared" si="58"/>
        <v>4700000000</v>
      </c>
      <c r="HR51" s="84">
        <f t="shared" si="59"/>
        <v>0</v>
      </c>
      <c r="HT51" s="83">
        <f t="shared" si="60"/>
        <v>145000000</v>
      </c>
      <c r="HU51" s="83">
        <f t="shared" si="60"/>
        <v>75000000</v>
      </c>
      <c r="HV51" s="84">
        <f t="shared" si="61"/>
        <v>70000000</v>
      </c>
      <c r="HX51" s="83">
        <f t="shared" si="62"/>
        <v>60000000</v>
      </c>
      <c r="HY51" s="83">
        <f t="shared" si="62"/>
        <v>0</v>
      </c>
      <c r="HZ51" s="84">
        <f t="shared" si="63"/>
        <v>60000000</v>
      </c>
      <c r="IB51" s="83">
        <f t="shared" si="64"/>
        <v>35000000</v>
      </c>
      <c r="IC51" s="83">
        <f t="shared" si="64"/>
        <v>0</v>
      </c>
      <c r="ID51" s="84">
        <f t="shared" si="65"/>
        <v>35000000</v>
      </c>
      <c r="IF51" s="83">
        <f t="shared" si="69"/>
        <v>2000000</v>
      </c>
      <c r="IG51" s="83">
        <f t="shared" si="69"/>
        <v>0</v>
      </c>
      <c r="IH51" s="84">
        <f t="shared" si="66"/>
        <v>2000000</v>
      </c>
      <c r="IJ51" s="84">
        <f t="shared" si="67"/>
        <v>295823700</v>
      </c>
      <c r="IK51" s="84">
        <f t="shared" si="67"/>
        <v>120000000</v>
      </c>
      <c r="IL51" s="84">
        <f t="shared" si="68"/>
        <v>175823700</v>
      </c>
    </row>
    <row r="52" spans="1:246" x14ac:dyDescent="0.25">
      <c r="A52" s="42">
        <v>47</v>
      </c>
      <c r="B52" s="91" t="s">
        <v>111</v>
      </c>
      <c r="C52" s="42" t="s">
        <v>61</v>
      </c>
      <c r="D52" s="66">
        <f>'[1]Univ Comm Fund'!D52</f>
        <v>0</v>
      </c>
      <c r="E52" s="66">
        <f>'[1]UNIV 2019'!D58</f>
        <v>0</v>
      </c>
      <c r="F52" s="75">
        <f t="shared" si="4"/>
        <v>0</v>
      </c>
      <c r="G52" s="66"/>
      <c r="H52" s="66">
        <f>'[1]Univ Comm Fund'!E52</f>
        <v>0</v>
      </c>
      <c r="I52" s="66">
        <f>'[1]UNIV 2019'!E58</f>
        <v>0</v>
      </c>
      <c r="J52" s="66">
        <f t="shared" si="5"/>
        <v>0</v>
      </c>
      <c r="K52" s="66"/>
      <c r="L52" s="66">
        <f>'[1]Univ Comm Fund'!F52</f>
        <v>0</v>
      </c>
      <c r="M52" s="66">
        <f>'[1]UNIV 2019'!F58</f>
        <v>0</v>
      </c>
      <c r="N52" s="66">
        <f t="shared" si="6"/>
        <v>0</v>
      </c>
      <c r="O52" s="66"/>
      <c r="P52" s="66">
        <f>'[1]Univ Comm Fund'!G52</f>
        <v>0</v>
      </c>
      <c r="Q52" s="66">
        <f>'[1]UNIV 2019'!G58</f>
        <v>0</v>
      </c>
      <c r="R52" s="66">
        <f t="shared" si="7"/>
        <v>0</v>
      </c>
      <c r="S52" s="87"/>
      <c r="T52" s="66">
        <f>'[1]Univ Comm Fund'!H52</f>
        <v>0</v>
      </c>
      <c r="U52" s="66">
        <f>'[1]UNIV 2019'!H58</f>
        <v>0</v>
      </c>
      <c r="V52" s="66">
        <f t="shared" si="8"/>
        <v>0</v>
      </c>
      <c r="W52" s="66"/>
      <c r="X52" s="66">
        <f>'[1]Univ Comm Fund'!I52</f>
        <v>0</v>
      </c>
      <c r="Y52" s="66">
        <f>'[1]UNIV 2019'!I58</f>
        <v>0</v>
      </c>
      <c r="Z52" s="66">
        <f t="shared" si="9"/>
        <v>0</v>
      </c>
      <c r="AA52" s="66"/>
      <c r="AB52" s="66">
        <f>'[1]Univ Comm Fund'!J52</f>
        <v>0</v>
      </c>
      <c r="AC52" s="66">
        <f>'[1]UNIV 2019'!J58</f>
        <v>0</v>
      </c>
      <c r="AD52" s="66">
        <f t="shared" si="10"/>
        <v>0</v>
      </c>
      <c r="AE52" s="66"/>
      <c r="AF52" s="88">
        <f>'[1]Univ Comm Fund'!K52</f>
        <v>0</v>
      </c>
      <c r="AG52" s="66">
        <f>'[1]UNIV 2019'!K58</f>
        <v>0</v>
      </c>
      <c r="AH52" s="66">
        <f t="shared" si="11"/>
        <v>0</v>
      </c>
      <c r="AI52" s="88"/>
      <c r="AJ52" s="66">
        <f>'[1]Univ Comm Fund'!L52</f>
        <v>0</v>
      </c>
      <c r="AK52" s="66">
        <f>'[1]UNIV 2019'!L58</f>
        <v>0</v>
      </c>
      <c r="AL52" s="66">
        <f t="shared" si="12"/>
        <v>0</v>
      </c>
      <c r="AM52" s="66"/>
      <c r="AN52" s="66">
        <f>'[1]Univ Comm Fund'!M52</f>
        <v>0</v>
      </c>
      <c r="AO52" s="66">
        <f>'[1]UNIV 2019'!M58</f>
        <v>0</v>
      </c>
      <c r="AP52" s="66">
        <f t="shared" si="13"/>
        <v>0</v>
      </c>
      <c r="AQ52" s="66"/>
      <c r="AR52" s="66">
        <f>'[1]Univ Comm Fund'!N52</f>
        <v>0</v>
      </c>
      <c r="AS52" s="66">
        <f>'[1]UNIV 2019'!N58</f>
        <v>0</v>
      </c>
      <c r="AT52" s="66">
        <f t="shared" si="14"/>
        <v>0</v>
      </c>
      <c r="AU52" s="66"/>
      <c r="AV52" s="66">
        <f>'[1]Univ Comm Fund'!O52</f>
        <v>40000000</v>
      </c>
      <c r="AW52" s="66">
        <f>'[1]UNIV 2019'!O58</f>
        <v>40000000</v>
      </c>
      <c r="AX52" s="66">
        <f t="shared" si="15"/>
        <v>0</v>
      </c>
      <c r="AY52" s="66"/>
      <c r="AZ52" s="66">
        <f>'[1]Univ Comm Fund'!P52</f>
        <v>0</v>
      </c>
      <c r="BA52" s="66">
        <f>'[1]UNIV 2019'!P58</f>
        <v>0</v>
      </c>
      <c r="BB52" s="66">
        <f t="shared" si="0"/>
        <v>0</v>
      </c>
      <c r="BC52" s="66"/>
      <c r="BD52" s="66">
        <f>'[1]Univ Comm Fund'!Q52</f>
        <v>52000000</v>
      </c>
      <c r="BE52" s="66">
        <f>'[1]UNIV 2019'!Q58</f>
        <v>52000000</v>
      </c>
      <c r="BF52" s="66">
        <f t="shared" si="1"/>
        <v>0</v>
      </c>
      <c r="BG52" s="66"/>
      <c r="BH52" s="66">
        <f>'[1]Univ Comm Fund'!R52</f>
        <v>67000000</v>
      </c>
      <c r="BI52" s="66">
        <f>'[1]UNIV 2019'!R58</f>
        <v>67000000</v>
      </c>
      <c r="BJ52" s="66">
        <f t="shared" si="16"/>
        <v>0</v>
      </c>
      <c r="BK52" s="66"/>
      <c r="BL52" s="66">
        <f>'[1]Univ Comm Fund'!S52</f>
        <v>57000000</v>
      </c>
      <c r="BM52" s="66">
        <f>'[1]UNIV 2019'!S58</f>
        <v>57000000</v>
      </c>
      <c r="BN52" s="66">
        <f t="shared" si="17"/>
        <v>0</v>
      </c>
      <c r="BO52" s="66"/>
      <c r="BP52" s="66">
        <f>'[1]Univ Comm Fund'!T52</f>
        <v>0</v>
      </c>
      <c r="BQ52" s="66">
        <f>'[1]UNIV 2019'!T58</f>
        <v>0</v>
      </c>
      <c r="BR52" s="66">
        <f t="shared" si="18"/>
        <v>0</v>
      </c>
      <c r="BS52" s="66"/>
      <c r="BT52" s="66">
        <f>'[1]Univ Comm Fund'!U52</f>
        <v>193140000</v>
      </c>
      <c r="BU52" s="66">
        <f>'[1]UNIV 2019'!U58</f>
        <v>193140000</v>
      </c>
      <c r="BV52" s="66">
        <f t="shared" si="2"/>
        <v>0</v>
      </c>
      <c r="BW52" s="66"/>
      <c r="BX52" s="66">
        <f>'[1]Univ Comm Fund'!V52</f>
        <v>550000000</v>
      </c>
      <c r="BY52" s="66">
        <f>'[1]UNIV 2019'!V58</f>
        <v>550000000</v>
      </c>
      <c r="BZ52" s="66">
        <f t="shared" si="19"/>
        <v>0</v>
      </c>
      <c r="CA52" s="66"/>
      <c r="CB52" s="66">
        <f>'[1]Univ Comm Fund'!W52</f>
        <v>175000000</v>
      </c>
      <c r="CC52" s="66">
        <f>'[1]UNIV 2019'!W58</f>
        <v>175000000</v>
      </c>
      <c r="CD52" s="66">
        <f t="shared" si="20"/>
        <v>0</v>
      </c>
      <c r="CE52" s="66"/>
      <c r="CF52" s="66">
        <v>75000000</v>
      </c>
      <c r="CG52" s="66">
        <f>'[1]UNIV 2019'!X58</f>
        <v>75000000</v>
      </c>
      <c r="CH52" s="75">
        <f t="shared" si="21"/>
        <v>0</v>
      </c>
      <c r="CI52" s="66"/>
      <c r="CJ52" s="66">
        <f>'[1]Univ Comm Fund'!Y52</f>
        <v>500000000</v>
      </c>
      <c r="CK52" s="66">
        <f>'[1]UNIV 2019'!Y58</f>
        <v>500000000</v>
      </c>
      <c r="CL52" s="66">
        <f t="shared" si="22"/>
        <v>0</v>
      </c>
      <c r="CM52" s="66"/>
      <c r="CN52" s="20">
        <f>'[1]Univ Comm Fund'!Z52</f>
        <v>350000000</v>
      </c>
      <c r="CO52" s="66">
        <f>'[1]UNIV 2019'!Z58</f>
        <v>350000000</v>
      </c>
      <c r="CP52" s="66">
        <f t="shared" si="23"/>
        <v>0</v>
      </c>
      <c r="CQ52" s="20"/>
      <c r="CR52" s="66">
        <f>'[1]Univ Comm Fund'!AA52</f>
        <v>50000000</v>
      </c>
      <c r="CS52" s="66">
        <f>'[1]UNIV 2019'!AA58</f>
        <v>50000000</v>
      </c>
      <c r="CT52" s="75">
        <f t="shared" si="24"/>
        <v>0</v>
      </c>
      <c r="CU52" s="66"/>
      <c r="CV52" s="66">
        <f>'[1]Univ Comm Fund'!AB52</f>
        <v>0</v>
      </c>
      <c r="CW52" s="66">
        <f>'[1]UNIV 2019'!AB58</f>
        <v>0</v>
      </c>
      <c r="CX52" s="75">
        <f t="shared" si="25"/>
        <v>0</v>
      </c>
      <c r="CY52" s="66"/>
      <c r="CZ52" s="66">
        <f>'[1]Univ Comm Fund'!AC52</f>
        <v>356000000</v>
      </c>
      <c r="DA52" s="66">
        <f>'[1]UNIV 2019'!AC58</f>
        <v>224280000</v>
      </c>
      <c r="DB52" s="66">
        <f t="shared" si="26"/>
        <v>131720000</v>
      </c>
      <c r="DC52" s="66"/>
      <c r="DD52" s="66">
        <f>'[1]Univ Comm Fund'!AD52</f>
        <v>20000000</v>
      </c>
      <c r="DE52" s="66">
        <f>'[1]UNIV 2019'!AD58</f>
        <v>17000000</v>
      </c>
      <c r="DF52" s="66">
        <f t="shared" si="27"/>
        <v>3000000</v>
      </c>
      <c r="DG52" s="66"/>
      <c r="DH52" s="66">
        <f>'[1]Univ Comm Fund'!AE52</f>
        <v>552000000</v>
      </c>
      <c r="DI52" s="66">
        <f>'[1]UNIV 2019'!AE58</f>
        <v>347760000</v>
      </c>
      <c r="DJ52" s="66">
        <f t="shared" si="28"/>
        <v>204240000</v>
      </c>
      <c r="DK52" s="66"/>
      <c r="DL52" s="66">
        <f>'[1]Univ Comm Fund'!AF52</f>
        <v>20000000</v>
      </c>
      <c r="DM52" s="66">
        <f>'[1]UNIV 2019'!AF58</f>
        <v>17000000</v>
      </c>
      <c r="DN52" s="66">
        <f t="shared" si="29"/>
        <v>3000000</v>
      </c>
      <c r="DO52" s="66"/>
      <c r="DP52" s="66">
        <f>'[1]Univ Comm Fund'!AG52</f>
        <v>100000000</v>
      </c>
      <c r="DQ52" s="66">
        <f>'[1]UNIV 2019'!AG58</f>
        <v>100000000</v>
      </c>
      <c r="DR52" s="66">
        <f t="shared" si="30"/>
        <v>0</v>
      </c>
      <c r="DS52" s="66"/>
      <c r="DT52" s="66">
        <f>'[1]Univ Comm Fund'!AH52</f>
        <v>100000000</v>
      </c>
      <c r="DU52" s="66">
        <f>'[1]UNIV 2019'!AH58</f>
        <v>63000000</v>
      </c>
      <c r="DV52" s="66">
        <f t="shared" si="31"/>
        <v>37000000</v>
      </c>
      <c r="DW52" s="66"/>
      <c r="DX52" s="66">
        <f>'[1]Univ Comm Fund'!AI52</f>
        <v>15000000</v>
      </c>
      <c r="DY52" s="66">
        <f>'[1]UNIV 2019'!AI58</f>
        <v>12750000</v>
      </c>
      <c r="DZ52" s="66">
        <f t="shared" si="32"/>
        <v>2250000</v>
      </c>
      <c r="EA52" s="66"/>
      <c r="EB52" s="66">
        <f>'[1]Univ Comm Fund'!AJ52</f>
        <v>2000000</v>
      </c>
      <c r="EC52" s="66">
        <f>'[1]UNIV 2019'!AJ58</f>
        <v>0</v>
      </c>
      <c r="ED52" s="66">
        <f t="shared" si="33"/>
        <v>2000000</v>
      </c>
      <c r="EE52" s="66"/>
      <c r="EF52" s="66">
        <f>'[1]Univ Comm Fund'!AK52</f>
        <v>10000000</v>
      </c>
      <c r="EG52" s="66">
        <f>'[1]UNIV 2019'!AK58</f>
        <v>8500000</v>
      </c>
      <c r="EH52" s="66">
        <f t="shared" si="34"/>
        <v>1500000</v>
      </c>
      <c r="EI52" s="66"/>
      <c r="EJ52" s="66">
        <f>'[1]Univ Comm Fund'!AL52</f>
        <v>800000000</v>
      </c>
      <c r="EK52" s="66">
        <f>'[1]UNIV 2019'!AL58</f>
        <v>800000000</v>
      </c>
      <c r="EL52" s="66">
        <f t="shared" si="35"/>
        <v>0</v>
      </c>
      <c r="EM52" s="66"/>
      <c r="EN52" s="80">
        <f>'[1]Univ Comm Fund'!AM52</f>
        <v>565410000</v>
      </c>
      <c r="EO52" s="66">
        <f>'[1]UNIV 2019'!AM58</f>
        <v>356208300</v>
      </c>
      <c r="EP52" s="75">
        <f t="shared" si="36"/>
        <v>209201700</v>
      </c>
      <c r="EQ52" s="66"/>
      <c r="ER52" s="66">
        <f>'[1]Univ Comm Fund'!AN52</f>
        <v>15000000</v>
      </c>
      <c r="ES52" s="66">
        <f>'[1]UNIV 2019'!AN58</f>
        <v>12750000</v>
      </c>
      <c r="ET52" s="75">
        <f t="shared" si="37"/>
        <v>2250000</v>
      </c>
      <c r="EU52" s="66"/>
      <c r="EV52" s="66">
        <f>'[1]Univ Comm Fund'!AO52</f>
        <v>15000000</v>
      </c>
      <c r="EW52" s="66">
        <f>'[1]UNIV 2019'!AO58</f>
        <v>0</v>
      </c>
      <c r="EX52" s="75">
        <f t="shared" si="38"/>
        <v>15000000</v>
      </c>
      <c r="EY52" s="66"/>
      <c r="EZ52" s="66">
        <f>'[1]Univ Comm Fund'!AP52</f>
        <v>10000000</v>
      </c>
      <c r="FA52" s="66">
        <f>'[1]UNIV 2019'!AP58</f>
        <v>8500000</v>
      </c>
      <c r="FB52" s="75">
        <f t="shared" si="39"/>
        <v>1500000</v>
      </c>
      <c r="FC52" s="75"/>
      <c r="FD52" s="75">
        <f>'[1]Univ Comm Fund'!AQ52</f>
        <v>0</v>
      </c>
      <c r="FE52" s="75">
        <f>'[1]UNIV 2019'!AQ58</f>
        <v>0</v>
      </c>
      <c r="FF52" s="75">
        <f t="shared" si="40"/>
        <v>0</v>
      </c>
      <c r="FG52" s="75"/>
      <c r="FH52" s="81">
        <f>'[1]Univ Comm Fund'!AR52</f>
        <v>300000000</v>
      </c>
      <c r="FI52" s="75">
        <f>'[1]UNIV 2019'!AR58</f>
        <v>255000000</v>
      </c>
      <c r="FJ52" s="75">
        <f t="shared" si="41"/>
        <v>45000000</v>
      </c>
      <c r="FK52" s="75"/>
      <c r="FL52" s="75">
        <f>'[1]Univ Comm Fund'!AS52</f>
        <v>300000000</v>
      </c>
      <c r="FM52" s="75">
        <f>'[1]UNIV 2019'!AS58</f>
        <v>0</v>
      </c>
      <c r="FN52" s="75">
        <f t="shared" si="42"/>
        <v>300000000</v>
      </c>
      <c r="FO52" s="75"/>
      <c r="FP52" s="75">
        <f>'[1]Univ Comm Fund'!AT52</f>
        <v>120000000</v>
      </c>
      <c r="FQ52" s="75">
        <f>'[1]UNIV 2019'!AT58</f>
        <v>102000000</v>
      </c>
      <c r="FR52" s="75">
        <f t="shared" si="43"/>
        <v>18000000</v>
      </c>
      <c r="FS52" s="75"/>
      <c r="FT52" s="75">
        <f>'[1]Univ Comm Fund'!AU52</f>
        <v>10000000</v>
      </c>
      <c r="FU52" s="75">
        <f>'[1]UNIV 2019'!AU58</f>
        <v>0</v>
      </c>
      <c r="FV52" s="75">
        <f t="shared" si="44"/>
        <v>10000000</v>
      </c>
      <c r="FW52" s="75"/>
      <c r="FX52" s="75">
        <f>'[1]Univ Comm Fund'!AV52</f>
        <v>5000000</v>
      </c>
      <c r="FY52" s="75">
        <f>'[1]UNIV 2019'!AV58</f>
        <v>0</v>
      </c>
      <c r="FZ52" s="75">
        <f t="shared" si="45"/>
        <v>5000000</v>
      </c>
      <c r="GA52" s="75"/>
      <c r="GB52" s="75">
        <f>'[1]Univ Comm Fund'!AW52</f>
        <v>10000000</v>
      </c>
      <c r="GC52" s="75">
        <f>'[1]UNIV 2019'!AW58</f>
        <v>0</v>
      </c>
      <c r="GD52" s="75">
        <f t="shared" si="46"/>
        <v>10000000</v>
      </c>
      <c r="GE52" s="75"/>
      <c r="GF52" s="75">
        <f>'[1]Univ Comm Fund'!AX52</f>
        <v>0</v>
      </c>
      <c r="GG52" s="75">
        <f>'[1]UNIV 2019'!AX58</f>
        <v>0</v>
      </c>
      <c r="GH52" s="75">
        <f t="shared" si="47"/>
        <v>0</v>
      </c>
      <c r="GI52" s="75"/>
      <c r="GJ52" s="75">
        <f>'[1]Univ Comm Fund'!AY52</f>
        <v>350000000</v>
      </c>
      <c r="GK52" s="75">
        <f>'[1]UNIV 2019'!AY58</f>
        <v>0</v>
      </c>
      <c r="GL52" s="75">
        <f t="shared" si="48"/>
        <v>350000000</v>
      </c>
      <c r="GM52" s="75"/>
      <c r="GN52" s="75">
        <f>'[1]Univ Comm Fund'!AZ52</f>
        <v>175823700</v>
      </c>
      <c r="GO52" s="75">
        <f>'[1]UNIV 2019'!AZ58</f>
        <v>0</v>
      </c>
      <c r="GP52" s="75">
        <f t="shared" si="49"/>
        <v>175823700</v>
      </c>
      <c r="GQ52" s="75"/>
      <c r="GR52" s="75">
        <f>'[1]Univ Comm Fund'!BA52</f>
        <v>20000000</v>
      </c>
      <c r="GS52" s="75">
        <f>'[1]UNIV 2019'!BA58</f>
        <v>0</v>
      </c>
      <c r="GT52" s="75">
        <f t="shared" si="50"/>
        <v>20000000</v>
      </c>
      <c r="GU52" s="75"/>
      <c r="GV52" s="75">
        <f>'[1]Univ Comm Fund'!BB52</f>
        <v>5000000</v>
      </c>
      <c r="GW52" s="75">
        <f>'[1]UNIV 2019'!BB58</f>
        <v>0</v>
      </c>
      <c r="GX52" s="75">
        <f t="shared" si="51"/>
        <v>5000000</v>
      </c>
      <c r="GY52" s="75"/>
      <c r="GZ52" s="75">
        <f>'[1]Univ Comm Fund'!BC52</f>
        <v>10000000</v>
      </c>
      <c r="HA52" s="75">
        <f>'[1]UNIV 2019'!BD58</f>
        <v>0</v>
      </c>
      <c r="HB52" s="75">
        <f t="shared" si="52"/>
        <v>10000000</v>
      </c>
      <c r="HC52" s="75"/>
      <c r="HD52" s="75">
        <f>'[1]Univ Comm Fund'!BD52</f>
        <v>0</v>
      </c>
      <c r="HE52" s="75">
        <f>'[1]UNIV 2019'!BC58</f>
        <v>0</v>
      </c>
      <c r="HF52" s="75">
        <f t="shared" si="53"/>
        <v>0</v>
      </c>
      <c r="HG52" s="75"/>
      <c r="HH52" s="75">
        <f t="shared" si="54"/>
        <v>5995373700</v>
      </c>
      <c r="HI52" s="75">
        <f t="shared" si="54"/>
        <v>4433888300</v>
      </c>
      <c r="HJ52" s="82">
        <f t="shared" si="55"/>
        <v>1561485400</v>
      </c>
      <c r="HL52" s="83">
        <f t="shared" si="56"/>
        <v>3157550000</v>
      </c>
      <c r="HM52" s="83">
        <f t="shared" si="56"/>
        <v>1925388300</v>
      </c>
      <c r="HN52" s="84">
        <f t="shared" si="57"/>
        <v>1232161700</v>
      </c>
      <c r="HP52" s="83">
        <f t="shared" si="58"/>
        <v>2000000000</v>
      </c>
      <c r="HQ52" s="83">
        <f t="shared" si="58"/>
        <v>2000000000</v>
      </c>
      <c r="HR52" s="84">
        <f t="shared" si="59"/>
        <v>0</v>
      </c>
      <c r="HT52" s="83">
        <f t="shared" si="60"/>
        <v>145000000</v>
      </c>
      <c r="HU52" s="83">
        <f t="shared" si="60"/>
        <v>126000000</v>
      </c>
      <c r="HV52" s="84">
        <f t="shared" si="61"/>
        <v>19000000</v>
      </c>
      <c r="HX52" s="83">
        <f t="shared" si="62"/>
        <v>60000000</v>
      </c>
      <c r="HY52" s="83">
        <f t="shared" si="62"/>
        <v>25500000</v>
      </c>
      <c r="HZ52" s="84">
        <f t="shared" si="63"/>
        <v>34500000</v>
      </c>
      <c r="IB52" s="83">
        <f t="shared" si="64"/>
        <v>35000000</v>
      </c>
      <c r="IC52" s="83">
        <f t="shared" si="64"/>
        <v>0</v>
      </c>
      <c r="ID52" s="84">
        <f t="shared" si="65"/>
        <v>35000000</v>
      </c>
      <c r="IF52" s="83">
        <f t="shared" si="69"/>
        <v>2000000</v>
      </c>
      <c r="IG52" s="83">
        <f t="shared" si="69"/>
        <v>0</v>
      </c>
      <c r="IH52" s="84">
        <f t="shared" si="66"/>
        <v>2000000</v>
      </c>
      <c r="IJ52" s="84">
        <f t="shared" si="67"/>
        <v>595823700</v>
      </c>
      <c r="IK52" s="84">
        <f t="shared" si="67"/>
        <v>357000000</v>
      </c>
      <c r="IL52" s="84">
        <f t="shared" si="68"/>
        <v>238823700</v>
      </c>
    </row>
    <row r="53" spans="1:246" x14ac:dyDescent="0.25">
      <c r="A53" s="42">
        <v>48</v>
      </c>
      <c r="B53" s="91" t="s">
        <v>112</v>
      </c>
      <c r="C53" s="42" t="s">
        <v>65</v>
      </c>
      <c r="D53" s="66">
        <f>'[1]Univ Comm Fund'!D53</f>
        <v>0</v>
      </c>
      <c r="E53" s="66">
        <f>'[1]UNIV 2019'!D59</f>
        <v>0</v>
      </c>
      <c r="F53" s="75">
        <f t="shared" si="4"/>
        <v>0</v>
      </c>
      <c r="G53" s="66"/>
      <c r="H53" s="66">
        <f>'[1]Univ Comm Fund'!E53</f>
        <v>0</v>
      </c>
      <c r="I53" s="66">
        <f>'[1]UNIV 2019'!E59</f>
        <v>0</v>
      </c>
      <c r="J53" s="66">
        <f t="shared" si="5"/>
        <v>0</v>
      </c>
      <c r="K53" s="66"/>
      <c r="L53" s="66">
        <f>'[1]Univ Comm Fund'!F53</f>
        <v>0</v>
      </c>
      <c r="M53" s="66">
        <f>'[1]UNIV 2019'!F59</f>
        <v>0</v>
      </c>
      <c r="N53" s="66">
        <f t="shared" si="6"/>
        <v>0</v>
      </c>
      <c r="O53" s="66"/>
      <c r="P53" s="66">
        <f>'[1]Univ Comm Fund'!G53</f>
        <v>0</v>
      </c>
      <c r="Q53" s="66">
        <f>'[1]UNIV 2019'!G59</f>
        <v>0</v>
      </c>
      <c r="R53" s="66">
        <f t="shared" si="7"/>
        <v>0</v>
      </c>
      <c r="S53" s="87"/>
      <c r="T53" s="66">
        <f>'[1]Univ Comm Fund'!H53</f>
        <v>0</v>
      </c>
      <c r="U53" s="66">
        <f>'[1]UNIV 2019'!H59</f>
        <v>0</v>
      </c>
      <c r="V53" s="66">
        <f t="shared" si="8"/>
        <v>0</v>
      </c>
      <c r="W53" s="66"/>
      <c r="X53" s="66">
        <f>'[1]Univ Comm Fund'!I53</f>
        <v>0</v>
      </c>
      <c r="Y53" s="66">
        <f>'[1]UNIV 2019'!I59</f>
        <v>0</v>
      </c>
      <c r="Z53" s="66">
        <f t="shared" si="9"/>
        <v>0</v>
      </c>
      <c r="AA53" s="66"/>
      <c r="AB53" s="66">
        <f>'[1]Univ Comm Fund'!J53</f>
        <v>0</v>
      </c>
      <c r="AC53" s="66">
        <f>'[1]UNIV 2019'!J59</f>
        <v>0</v>
      </c>
      <c r="AD53" s="66">
        <f t="shared" si="10"/>
        <v>0</v>
      </c>
      <c r="AE53" s="66"/>
      <c r="AF53" s="88">
        <f>'[1]Univ Comm Fund'!K53</f>
        <v>0</v>
      </c>
      <c r="AG53" s="66">
        <f>'[1]UNIV 2019'!K59</f>
        <v>0</v>
      </c>
      <c r="AH53" s="66">
        <f t="shared" si="11"/>
        <v>0</v>
      </c>
      <c r="AI53" s="88"/>
      <c r="AJ53" s="66">
        <f>'[1]Univ Comm Fund'!L53</f>
        <v>0</v>
      </c>
      <c r="AK53" s="66">
        <f>'[1]UNIV 2019'!L59</f>
        <v>0</v>
      </c>
      <c r="AL53" s="66">
        <f t="shared" si="12"/>
        <v>0</v>
      </c>
      <c r="AM53" s="66"/>
      <c r="AN53" s="66">
        <f>'[1]Univ Comm Fund'!M53</f>
        <v>0</v>
      </c>
      <c r="AO53" s="66">
        <f>'[1]UNIV 2019'!M59</f>
        <v>0</v>
      </c>
      <c r="AP53" s="66">
        <f t="shared" si="13"/>
        <v>0</v>
      </c>
      <c r="AQ53" s="66"/>
      <c r="AR53" s="66">
        <f>'[1]Univ Comm Fund'!N53</f>
        <v>0</v>
      </c>
      <c r="AS53" s="66">
        <f>'[1]UNIV 2019'!N59</f>
        <v>0</v>
      </c>
      <c r="AT53" s="66">
        <f t="shared" si="14"/>
        <v>0</v>
      </c>
      <c r="AU53" s="66"/>
      <c r="AV53" s="66">
        <f>'[1]Univ Comm Fund'!O53</f>
        <v>40000000</v>
      </c>
      <c r="AW53" s="66">
        <f>'[1]UNIV 2019'!O59</f>
        <v>40000000</v>
      </c>
      <c r="AX53" s="66">
        <f t="shared" si="15"/>
        <v>0</v>
      </c>
      <c r="AY53" s="66"/>
      <c r="AZ53" s="66">
        <f>'[1]Univ Comm Fund'!P53</f>
        <v>0</v>
      </c>
      <c r="BA53" s="66">
        <f>'[1]UNIV 2019'!P59</f>
        <v>0</v>
      </c>
      <c r="BB53" s="66">
        <f t="shared" si="0"/>
        <v>0</v>
      </c>
      <c r="BC53" s="66"/>
      <c r="BD53" s="66">
        <f>'[1]Univ Comm Fund'!Q53</f>
        <v>0</v>
      </c>
      <c r="BE53" s="66">
        <f>'[1]UNIV 2019'!Q59</f>
        <v>0</v>
      </c>
      <c r="BF53" s="66">
        <f t="shared" si="1"/>
        <v>0</v>
      </c>
      <c r="BG53" s="66"/>
      <c r="BH53" s="66">
        <f>'[1]Univ Comm Fund'!R53</f>
        <v>0</v>
      </c>
      <c r="BI53" s="66">
        <f>'[1]UNIV 2019'!R59</f>
        <v>0</v>
      </c>
      <c r="BJ53" s="66">
        <f t="shared" si="16"/>
        <v>0</v>
      </c>
      <c r="BK53" s="66"/>
      <c r="BL53" s="66">
        <f>'[1]Univ Comm Fund'!S53</f>
        <v>0</v>
      </c>
      <c r="BM53" s="66">
        <f>'[1]UNIV 2019'!S59</f>
        <v>0</v>
      </c>
      <c r="BN53" s="66">
        <f t="shared" si="17"/>
        <v>0</v>
      </c>
      <c r="BO53" s="66"/>
      <c r="BP53" s="66">
        <f>'[1]Univ Comm Fund'!T53</f>
        <v>0</v>
      </c>
      <c r="BQ53" s="66">
        <f>'[1]UNIV 2019'!T59</f>
        <v>0</v>
      </c>
      <c r="BR53" s="66">
        <f t="shared" si="18"/>
        <v>0</v>
      </c>
      <c r="BS53" s="66"/>
      <c r="BT53" s="66">
        <f>'[1]Univ Comm Fund'!U53</f>
        <v>0</v>
      </c>
      <c r="BU53" s="66">
        <f>'[1]UNIV 2019'!U59</f>
        <v>0</v>
      </c>
      <c r="BV53" s="66">
        <f t="shared" si="2"/>
        <v>0</v>
      </c>
      <c r="BW53" s="66"/>
      <c r="BX53" s="66">
        <f>'[1]Univ Comm Fund'!V53</f>
        <v>0</v>
      </c>
      <c r="BY53" s="66">
        <f>'[1]UNIV 2019'!V59</f>
        <v>0</v>
      </c>
      <c r="BZ53" s="66">
        <f t="shared" si="19"/>
        <v>0</v>
      </c>
      <c r="CA53" s="66"/>
      <c r="CB53" s="66">
        <f>'[1]Univ Comm Fund'!W53</f>
        <v>175000000</v>
      </c>
      <c r="CC53" s="66">
        <f>'[1]UNIV 2019'!W59</f>
        <v>175000000</v>
      </c>
      <c r="CD53" s="66">
        <f t="shared" si="20"/>
        <v>0</v>
      </c>
      <c r="CE53" s="66"/>
      <c r="CF53" s="66">
        <v>75000000</v>
      </c>
      <c r="CG53" s="66">
        <f>'[1]UNIV 2019'!X59</f>
        <v>75000000</v>
      </c>
      <c r="CH53" s="75">
        <f t="shared" si="21"/>
        <v>0</v>
      </c>
      <c r="CI53" s="66"/>
      <c r="CJ53" s="66">
        <f>'[1]Univ Comm Fund'!Y53</f>
        <v>0</v>
      </c>
      <c r="CK53" s="66">
        <f>'[1]UNIV 2019'!Y59</f>
        <v>0</v>
      </c>
      <c r="CL53" s="66">
        <f t="shared" si="22"/>
        <v>0</v>
      </c>
      <c r="CM53" s="66"/>
      <c r="CN53" s="20">
        <f>'[1]Univ Comm Fund'!Z53</f>
        <v>350000000</v>
      </c>
      <c r="CO53" s="66">
        <f>'[1]UNIV 2019'!Z59</f>
        <v>350000000</v>
      </c>
      <c r="CP53" s="66">
        <f t="shared" si="23"/>
        <v>0</v>
      </c>
      <c r="CQ53" s="20"/>
      <c r="CR53" s="66">
        <f>'[1]Univ Comm Fund'!AA53</f>
        <v>0</v>
      </c>
      <c r="CS53" s="66">
        <f>'[1]UNIV 2019'!AA59</f>
        <v>0</v>
      </c>
      <c r="CT53" s="75">
        <f t="shared" si="24"/>
        <v>0</v>
      </c>
      <c r="CU53" s="66"/>
      <c r="CV53" s="66">
        <f>'[1]Univ Comm Fund'!AB53</f>
        <v>0</v>
      </c>
      <c r="CW53" s="66">
        <f>'[1]UNIV 2019'!AB59</f>
        <v>0</v>
      </c>
      <c r="CX53" s="75">
        <f t="shared" si="25"/>
        <v>0</v>
      </c>
      <c r="CY53" s="66"/>
      <c r="CZ53" s="66">
        <f>'[1]Univ Comm Fund'!AC53</f>
        <v>356000000</v>
      </c>
      <c r="DA53" s="66">
        <f>'[1]UNIV 2019'!AC59</f>
        <v>356000000</v>
      </c>
      <c r="DB53" s="66">
        <f t="shared" si="26"/>
        <v>0</v>
      </c>
      <c r="DC53" s="66"/>
      <c r="DD53" s="66">
        <f>'[1]Univ Comm Fund'!AD53</f>
        <v>20000000</v>
      </c>
      <c r="DE53" s="66">
        <f>'[1]UNIV 2019'!AD59</f>
        <v>10600000</v>
      </c>
      <c r="DF53" s="66">
        <f t="shared" si="27"/>
        <v>9400000</v>
      </c>
      <c r="DG53" s="66"/>
      <c r="DH53" s="66">
        <f>'[1]Univ Comm Fund'!AE53</f>
        <v>552000000</v>
      </c>
      <c r="DI53" s="66">
        <f>'[1]UNIV 2019'!AE59</f>
        <v>331200000</v>
      </c>
      <c r="DJ53" s="66">
        <f t="shared" si="28"/>
        <v>220800000</v>
      </c>
      <c r="DK53" s="66"/>
      <c r="DL53" s="66">
        <f>'[1]Univ Comm Fund'!AF53</f>
        <v>20000000</v>
      </c>
      <c r="DM53" s="66">
        <f>'[1]UNIV 2019'!AF59</f>
        <v>10600000</v>
      </c>
      <c r="DN53" s="66">
        <f t="shared" si="29"/>
        <v>9400000</v>
      </c>
      <c r="DO53" s="66"/>
      <c r="DP53" s="66">
        <f>'[1]Univ Comm Fund'!AG53</f>
        <v>200000000</v>
      </c>
      <c r="DQ53" s="66">
        <f>'[1]UNIV 2019'!AG59</f>
        <v>200000000</v>
      </c>
      <c r="DR53" s="66">
        <f t="shared" si="30"/>
        <v>0</v>
      </c>
      <c r="DS53" s="66"/>
      <c r="DT53" s="66">
        <f>'[1]Univ Comm Fund'!AH53</f>
        <v>100000000</v>
      </c>
      <c r="DU53" s="66">
        <f>'[1]UNIV 2019'!AH59</f>
        <v>60000000</v>
      </c>
      <c r="DV53" s="66">
        <f t="shared" si="31"/>
        <v>40000000</v>
      </c>
      <c r="DW53" s="66"/>
      <c r="DX53" s="66">
        <f>'[1]Univ Comm Fund'!AI53</f>
        <v>15000000</v>
      </c>
      <c r="DY53" s="66">
        <f>'[1]UNIV 2019'!AI59</f>
        <v>7800000</v>
      </c>
      <c r="DZ53" s="66">
        <f t="shared" si="32"/>
        <v>7200000</v>
      </c>
      <c r="EA53" s="66"/>
      <c r="EB53" s="66">
        <f>'[1]Univ Comm Fund'!AJ53</f>
        <v>2000000</v>
      </c>
      <c r="EC53" s="66">
        <f>'[1]UNIV 2019'!AJ59</f>
        <v>0</v>
      </c>
      <c r="ED53" s="66">
        <f t="shared" si="33"/>
        <v>2000000</v>
      </c>
      <c r="EE53" s="66"/>
      <c r="EF53" s="66">
        <f>'[1]Univ Comm Fund'!AK53</f>
        <v>10000000</v>
      </c>
      <c r="EG53" s="66">
        <f>'[1]UNIV 2019'!AK59</f>
        <v>5300000</v>
      </c>
      <c r="EH53" s="66">
        <f t="shared" si="34"/>
        <v>4700000</v>
      </c>
      <c r="EI53" s="66"/>
      <c r="EJ53" s="66">
        <f>'[1]Univ Comm Fund'!AL53</f>
        <v>0</v>
      </c>
      <c r="EK53" s="66">
        <f>'[1]UNIV 2019'!AL59</f>
        <v>0</v>
      </c>
      <c r="EL53" s="66">
        <f t="shared" si="35"/>
        <v>0</v>
      </c>
      <c r="EM53" s="66"/>
      <c r="EN53" s="80">
        <f>'[1]Univ Comm Fund'!AM53</f>
        <v>565410000</v>
      </c>
      <c r="EO53" s="66">
        <f>'[1]UNIV 2019'!AM59</f>
        <v>339246000</v>
      </c>
      <c r="EP53" s="75">
        <f t="shared" si="36"/>
        <v>226164000</v>
      </c>
      <c r="EQ53" s="66"/>
      <c r="ER53" s="66">
        <f>'[1]Univ Comm Fund'!AN53</f>
        <v>15000000</v>
      </c>
      <c r="ES53" s="66">
        <f>'[1]UNIV 2019'!AN59</f>
        <v>7800000</v>
      </c>
      <c r="ET53" s="75">
        <f t="shared" si="37"/>
        <v>7200000</v>
      </c>
      <c r="EU53" s="66"/>
      <c r="EV53" s="66">
        <f>'[1]Univ Comm Fund'!AO53</f>
        <v>15000000</v>
      </c>
      <c r="EW53" s="66">
        <f>'[1]UNIV 2019'!AO59</f>
        <v>0</v>
      </c>
      <c r="EX53" s="75">
        <f t="shared" si="38"/>
        <v>15000000</v>
      </c>
      <c r="EY53" s="66"/>
      <c r="EZ53" s="66">
        <f>'[1]Univ Comm Fund'!AP53</f>
        <v>10000000</v>
      </c>
      <c r="FA53" s="66">
        <f>'[1]UNIV 2019'!AP59</f>
        <v>5300000</v>
      </c>
      <c r="FB53" s="75">
        <f t="shared" si="39"/>
        <v>4700000</v>
      </c>
      <c r="FC53" s="75"/>
      <c r="FD53" s="75">
        <f>'[1]Univ Comm Fund'!AQ53</f>
        <v>0</v>
      </c>
      <c r="FE53" s="75">
        <f>'[1]UNIV 2019'!AQ59</f>
        <v>0</v>
      </c>
      <c r="FF53" s="75">
        <f t="shared" si="40"/>
        <v>0</v>
      </c>
      <c r="FG53" s="75"/>
      <c r="FH53" s="81">
        <f>'[1]Univ Comm Fund'!AR53</f>
        <v>300000000</v>
      </c>
      <c r="FI53" s="75">
        <f>'[1]UNIV 2019'!AR59</f>
        <v>255000000</v>
      </c>
      <c r="FJ53" s="75">
        <f t="shared" si="41"/>
        <v>45000000</v>
      </c>
      <c r="FK53" s="75"/>
      <c r="FL53" s="75">
        <f>'[1]Univ Comm Fund'!AS53</f>
        <v>300000000</v>
      </c>
      <c r="FM53" s="75">
        <f>'[1]UNIV 2019'!AS59</f>
        <v>0</v>
      </c>
      <c r="FN53" s="75">
        <f t="shared" si="42"/>
        <v>300000000</v>
      </c>
      <c r="FO53" s="75"/>
      <c r="FP53" s="75">
        <f>'[1]Univ Comm Fund'!AT53</f>
        <v>240000000</v>
      </c>
      <c r="FQ53" s="75">
        <f>'[1]UNIV 2019'!AT59</f>
        <v>182400000</v>
      </c>
      <c r="FR53" s="75">
        <f t="shared" si="43"/>
        <v>57600000</v>
      </c>
      <c r="FS53" s="75"/>
      <c r="FT53" s="75">
        <f>'[1]Univ Comm Fund'!AU53</f>
        <v>10000000</v>
      </c>
      <c r="FU53" s="75">
        <f>'[1]UNIV 2019'!AU59</f>
        <v>0</v>
      </c>
      <c r="FV53" s="75">
        <f t="shared" si="44"/>
        <v>10000000</v>
      </c>
      <c r="FW53" s="75"/>
      <c r="FX53" s="75">
        <f>'[1]Univ Comm Fund'!AV53</f>
        <v>5000000</v>
      </c>
      <c r="FY53" s="75">
        <f>'[1]UNIV 2019'!AV59</f>
        <v>0</v>
      </c>
      <c r="FZ53" s="75">
        <f t="shared" si="45"/>
        <v>5000000</v>
      </c>
      <c r="GA53" s="75"/>
      <c r="GB53" s="75">
        <f>'[1]Univ Comm Fund'!AW53</f>
        <v>10000000</v>
      </c>
      <c r="GC53" s="75">
        <f>'[1]UNIV 2019'!AW59</f>
        <v>0</v>
      </c>
      <c r="GD53" s="75">
        <f t="shared" si="46"/>
        <v>10000000</v>
      </c>
      <c r="GE53" s="75"/>
      <c r="GF53" s="75">
        <f>'[1]Univ Comm Fund'!AX53</f>
        <v>0</v>
      </c>
      <c r="GG53" s="75">
        <f>'[1]UNIV 2019'!AX59</f>
        <v>0</v>
      </c>
      <c r="GH53" s="75">
        <f t="shared" si="47"/>
        <v>0</v>
      </c>
      <c r="GI53" s="75"/>
      <c r="GJ53" s="75">
        <f>'[1]Univ Comm Fund'!AY53</f>
        <v>350000000</v>
      </c>
      <c r="GK53" s="75">
        <f>'[1]UNIV 2019'!AY59</f>
        <v>0</v>
      </c>
      <c r="GL53" s="75">
        <f t="shared" si="48"/>
        <v>350000000</v>
      </c>
      <c r="GM53" s="75"/>
      <c r="GN53" s="75">
        <f>'[1]Univ Comm Fund'!AZ53</f>
        <v>175823700</v>
      </c>
      <c r="GO53" s="75">
        <f>'[1]UNIV 2019'!AZ59</f>
        <v>0</v>
      </c>
      <c r="GP53" s="75">
        <f t="shared" si="49"/>
        <v>175823700</v>
      </c>
      <c r="GQ53" s="75"/>
      <c r="GR53" s="75">
        <f>'[1]Univ Comm Fund'!BA53</f>
        <v>20000000</v>
      </c>
      <c r="GS53" s="75">
        <f>'[1]UNIV 2019'!BA59</f>
        <v>0</v>
      </c>
      <c r="GT53" s="75">
        <f t="shared" si="50"/>
        <v>20000000</v>
      </c>
      <c r="GU53" s="75"/>
      <c r="GV53" s="75">
        <f>'[1]Univ Comm Fund'!BB53</f>
        <v>5000000</v>
      </c>
      <c r="GW53" s="75">
        <f>'[1]UNIV 2019'!BB59</f>
        <v>0</v>
      </c>
      <c r="GX53" s="75">
        <f t="shared" si="51"/>
        <v>5000000</v>
      </c>
      <c r="GY53" s="75"/>
      <c r="GZ53" s="75">
        <f>'[1]Univ Comm Fund'!BC53</f>
        <v>10000000</v>
      </c>
      <c r="HA53" s="75">
        <f>'[1]UNIV 2019'!BD59</f>
        <v>0</v>
      </c>
      <c r="HB53" s="75">
        <f t="shared" si="52"/>
        <v>10000000</v>
      </c>
      <c r="HC53" s="75"/>
      <c r="HD53" s="75">
        <f>'[1]Univ Comm Fund'!BD53</f>
        <v>0</v>
      </c>
      <c r="HE53" s="75">
        <f>'[1]UNIV 2019'!BC59</f>
        <v>0</v>
      </c>
      <c r="HF53" s="75">
        <f t="shared" si="53"/>
        <v>0</v>
      </c>
      <c r="HG53" s="75"/>
      <c r="HH53" s="75">
        <f t="shared" si="54"/>
        <v>3946233700</v>
      </c>
      <c r="HI53" s="75">
        <f t="shared" si="54"/>
        <v>2411246000</v>
      </c>
      <c r="HJ53" s="82">
        <f t="shared" si="55"/>
        <v>1534987700</v>
      </c>
      <c r="HL53" s="83">
        <f t="shared" si="56"/>
        <v>2788410000</v>
      </c>
      <c r="HM53" s="83">
        <f t="shared" si="56"/>
        <v>1651446000</v>
      </c>
      <c r="HN53" s="84">
        <f t="shared" si="57"/>
        <v>1136964000</v>
      </c>
      <c r="HP53" s="83">
        <f t="shared" si="58"/>
        <v>200000000</v>
      </c>
      <c r="HQ53" s="83">
        <f t="shared" si="58"/>
        <v>200000000</v>
      </c>
      <c r="HR53" s="84">
        <f t="shared" si="59"/>
        <v>0</v>
      </c>
      <c r="HT53" s="83">
        <f t="shared" si="60"/>
        <v>145000000</v>
      </c>
      <c r="HU53" s="83">
        <f t="shared" si="60"/>
        <v>106800000</v>
      </c>
      <c r="HV53" s="84">
        <f t="shared" si="61"/>
        <v>38200000</v>
      </c>
      <c r="HX53" s="83">
        <f t="shared" si="62"/>
        <v>60000000</v>
      </c>
      <c r="HY53" s="83">
        <f t="shared" si="62"/>
        <v>15600000</v>
      </c>
      <c r="HZ53" s="84">
        <f t="shared" si="63"/>
        <v>44400000</v>
      </c>
      <c r="IB53" s="83">
        <f t="shared" si="64"/>
        <v>35000000</v>
      </c>
      <c r="IC53" s="83">
        <f t="shared" si="64"/>
        <v>0</v>
      </c>
      <c r="ID53" s="84">
        <f t="shared" si="65"/>
        <v>35000000</v>
      </c>
      <c r="IF53" s="83">
        <f t="shared" si="69"/>
        <v>2000000</v>
      </c>
      <c r="IG53" s="83">
        <f t="shared" si="69"/>
        <v>0</v>
      </c>
      <c r="IH53" s="84">
        <f t="shared" si="66"/>
        <v>2000000</v>
      </c>
      <c r="IJ53" s="84">
        <f t="shared" si="67"/>
        <v>715823700</v>
      </c>
      <c r="IK53" s="84">
        <f t="shared" si="67"/>
        <v>437400000</v>
      </c>
      <c r="IL53" s="84">
        <f t="shared" si="68"/>
        <v>278423700</v>
      </c>
    </row>
    <row r="54" spans="1:246" x14ac:dyDescent="0.25">
      <c r="A54" s="42">
        <v>49</v>
      </c>
      <c r="B54" s="91" t="s">
        <v>113</v>
      </c>
      <c r="C54" s="42" t="s">
        <v>65</v>
      </c>
      <c r="D54" s="66">
        <f>'[1]Univ Comm Fund'!D54</f>
        <v>0</v>
      </c>
      <c r="E54" s="66">
        <f>'[1]UNIV 2019'!D60</f>
        <v>0</v>
      </c>
      <c r="F54" s="75">
        <f t="shared" si="4"/>
        <v>0</v>
      </c>
      <c r="G54" s="66"/>
      <c r="H54" s="66">
        <f>'[1]Univ Comm Fund'!E54</f>
        <v>0</v>
      </c>
      <c r="I54" s="66">
        <f>'[1]UNIV 2019'!E60</f>
        <v>0</v>
      </c>
      <c r="J54" s="66">
        <f t="shared" si="5"/>
        <v>0</v>
      </c>
      <c r="K54" s="66"/>
      <c r="L54" s="66">
        <f>'[1]Univ Comm Fund'!F54</f>
        <v>0</v>
      </c>
      <c r="M54" s="66">
        <f>'[1]UNIV 2019'!F60</f>
        <v>0</v>
      </c>
      <c r="N54" s="66">
        <f t="shared" si="6"/>
        <v>0</v>
      </c>
      <c r="O54" s="66"/>
      <c r="P54" s="66">
        <f>'[1]Univ Comm Fund'!G54</f>
        <v>0</v>
      </c>
      <c r="Q54" s="66">
        <f>'[1]UNIV 2019'!G60</f>
        <v>0</v>
      </c>
      <c r="R54" s="66">
        <f t="shared" si="7"/>
        <v>0</v>
      </c>
      <c r="S54" s="87"/>
      <c r="T54" s="66">
        <f>'[1]Univ Comm Fund'!H54</f>
        <v>0</v>
      </c>
      <c r="U54" s="66">
        <f>'[1]UNIV 2019'!H60</f>
        <v>0</v>
      </c>
      <c r="V54" s="66">
        <f t="shared" si="8"/>
        <v>0</v>
      </c>
      <c r="W54" s="66"/>
      <c r="X54" s="66">
        <f>'[1]Univ Comm Fund'!I54</f>
        <v>0</v>
      </c>
      <c r="Y54" s="66">
        <f>'[1]UNIV 2019'!I60</f>
        <v>0</v>
      </c>
      <c r="Z54" s="66">
        <f t="shared" si="9"/>
        <v>0</v>
      </c>
      <c r="AA54" s="66"/>
      <c r="AB54" s="66">
        <f>'[1]Univ Comm Fund'!J54</f>
        <v>0</v>
      </c>
      <c r="AC54" s="66">
        <f>'[1]UNIV 2019'!J60</f>
        <v>0</v>
      </c>
      <c r="AD54" s="66">
        <f t="shared" si="10"/>
        <v>0</v>
      </c>
      <c r="AE54" s="66"/>
      <c r="AF54" s="88">
        <f>'[1]Univ Comm Fund'!K54</f>
        <v>0</v>
      </c>
      <c r="AG54" s="66">
        <f>'[1]UNIV 2019'!K60</f>
        <v>0</v>
      </c>
      <c r="AH54" s="66">
        <f t="shared" si="11"/>
        <v>0</v>
      </c>
      <c r="AI54" s="88"/>
      <c r="AJ54" s="66">
        <f>'[1]Univ Comm Fund'!L54</f>
        <v>0</v>
      </c>
      <c r="AK54" s="66">
        <f>'[1]UNIV 2019'!L60</f>
        <v>0</v>
      </c>
      <c r="AL54" s="66">
        <f t="shared" si="12"/>
        <v>0</v>
      </c>
      <c r="AM54" s="66"/>
      <c r="AN54" s="66">
        <f>'[1]Univ Comm Fund'!M54</f>
        <v>0</v>
      </c>
      <c r="AO54" s="66">
        <f>'[1]UNIV 2019'!M60</f>
        <v>0</v>
      </c>
      <c r="AP54" s="66">
        <f t="shared" si="13"/>
        <v>0</v>
      </c>
      <c r="AQ54" s="66"/>
      <c r="AR54" s="66">
        <f>'[1]Univ Comm Fund'!N54</f>
        <v>0</v>
      </c>
      <c r="AS54" s="66">
        <f>'[1]UNIV 2019'!N60</f>
        <v>0</v>
      </c>
      <c r="AT54" s="66">
        <f t="shared" si="14"/>
        <v>0</v>
      </c>
      <c r="AU54" s="66"/>
      <c r="AV54" s="66">
        <f>'[1]Univ Comm Fund'!O54</f>
        <v>40000000</v>
      </c>
      <c r="AW54" s="66">
        <f>'[1]UNIV 2019'!O60</f>
        <v>40000000</v>
      </c>
      <c r="AX54" s="66">
        <f t="shared" si="15"/>
        <v>0</v>
      </c>
      <c r="AY54" s="66"/>
      <c r="AZ54" s="66">
        <f>'[1]Univ Comm Fund'!P54</f>
        <v>0</v>
      </c>
      <c r="BA54" s="66">
        <f>'[1]UNIV 2019'!P60</f>
        <v>0</v>
      </c>
      <c r="BB54" s="66">
        <f t="shared" si="0"/>
        <v>0</v>
      </c>
      <c r="BC54" s="66"/>
      <c r="BD54" s="66">
        <f>'[1]Univ Comm Fund'!Q54</f>
        <v>52000000</v>
      </c>
      <c r="BE54" s="66">
        <f>'[1]UNIV 2019'!Q60</f>
        <v>52000000</v>
      </c>
      <c r="BF54" s="66">
        <f t="shared" si="1"/>
        <v>0</v>
      </c>
      <c r="BG54" s="66"/>
      <c r="BH54" s="66">
        <f>'[1]Univ Comm Fund'!R54</f>
        <v>67000000</v>
      </c>
      <c r="BI54" s="66">
        <f>'[1]UNIV 2019'!R60</f>
        <v>67000000</v>
      </c>
      <c r="BJ54" s="66">
        <f t="shared" si="16"/>
        <v>0</v>
      </c>
      <c r="BK54" s="66"/>
      <c r="BL54" s="66">
        <f>'[1]Univ Comm Fund'!S54</f>
        <v>57000000</v>
      </c>
      <c r="BM54" s="66">
        <f>'[1]UNIV 2019'!S60</f>
        <v>57000000</v>
      </c>
      <c r="BN54" s="66">
        <f t="shared" si="17"/>
        <v>0</v>
      </c>
      <c r="BO54" s="66"/>
      <c r="BP54" s="66">
        <f>'[1]Univ Comm Fund'!T54</f>
        <v>0</v>
      </c>
      <c r="BQ54" s="66">
        <f>'[1]UNIV 2019'!T60</f>
        <v>0</v>
      </c>
      <c r="BR54" s="66">
        <f t="shared" si="18"/>
        <v>0</v>
      </c>
      <c r="BS54" s="66"/>
      <c r="BT54" s="66">
        <f>'[1]Univ Comm Fund'!U54</f>
        <v>164169000</v>
      </c>
      <c r="BU54" s="66">
        <f>'[1]UNIV 2019'!U60</f>
        <v>164169000</v>
      </c>
      <c r="BV54" s="66">
        <f t="shared" si="2"/>
        <v>0</v>
      </c>
      <c r="BW54" s="66"/>
      <c r="BX54" s="66">
        <f>'[1]Univ Comm Fund'!V54</f>
        <v>0</v>
      </c>
      <c r="BY54" s="66">
        <f>'[1]UNIV 2019'!V60</f>
        <v>0</v>
      </c>
      <c r="BZ54" s="66">
        <f t="shared" si="19"/>
        <v>0</v>
      </c>
      <c r="CA54" s="66"/>
      <c r="CB54" s="66">
        <f>'[1]Univ Comm Fund'!W54</f>
        <v>175000000</v>
      </c>
      <c r="CC54" s="66">
        <f>'[1]UNIV 2019'!W60</f>
        <v>175000000</v>
      </c>
      <c r="CD54" s="66">
        <f t="shared" si="20"/>
        <v>0</v>
      </c>
      <c r="CE54" s="66"/>
      <c r="CF54" s="66">
        <v>75000000</v>
      </c>
      <c r="CG54" s="66">
        <f>'[1]UNIV 2019'!X60</f>
        <v>46500000</v>
      </c>
      <c r="CH54" s="75">
        <f t="shared" si="21"/>
        <v>28500000</v>
      </c>
      <c r="CI54" s="66"/>
      <c r="CJ54" s="80">
        <f>'[1]Univ Comm Fund'!Y54</f>
        <v>470000000</v>
      </c>
      <c r="CK54" s="80">
        <f>'[1]UNIV 2019'!Y60</f>
        <v>429500000</v>
      </c>
      <c r="CL54" s="80">
        <f t="shared" si="22"/>
        <v>40500000</v>
      </c>
      <c r="CM54" s="66"/>
      <c r="CN54" s="20">
        <f>'[1]Univ Comm Fund'!Z54</f>
        <v>350000000</v>
      </c>
      <c r="CO54" s="66">
        <f>'[1]UNIV 2019'!Z60</f>
        <v>350000000</v>
      </c>
      <c r="CP54" s="66">
        <f t="shared" si="23"/>
        <v>0</v>
      </c>
      <c r="CQ54" s="20"/>
      <c r="CR54" s="66">
        <f>'[1]Univ Comm Fund'!AA54</f>
        <v>292000000</v>
      </c>
      <c r="CS54" s="66">
        <f>'[1]UNIV 2019'!AA60</f>
        <v>285700000</v>
      </c>
      <c r="CT54" s="75">
        <f t="shared" si="24"/>
        <v>6300000</v>
      </c>
      <c r="CU54" s="66"/>
      <c r="CV54" s="66">
        <f>'[1]Univ Comm Fund'!AB54</f>
        <v>10000000</v>
      </c>
      <c r="CW54" s="66">
        <f>'[1]UNIV 2019'!AB60</f>
        <v>8500000</v>
      </c>
      <c r="CX54" s="75">
        <f t="shared" si="25"/>
        <v>1500000</v>
      </c>
      <c r="CY54" s="66"/>
      <c r="CZ54" s="66">
        <f>'[1]Univ Comm Fund'!AC54</f>
        <v>356000000</v>
      </c>
      <c r="DA54" s="66">
        <f>'[1]UNIV 2019'!AC60</f>
        <v>356000000</v>
      </c>
      <c r="DB54" s="66">
        <f t="shared" si="26"/>
        <v>0</v>
      </c>
      <c r="DC54" s="66"/>
      <c r="DD54" s="66">
        <f>'[1]Univ Comm Fund'!AD54</f>
        <v>20000000</v>
      </c>
      <c r="DE54" s="66">
        <f>'[1]UNIV 2019'!AD60</f>
        <v>12400000</v>
      </c>
      <c r="DF54" s="66">
        <f t="shared" si="27"/>
        <v>7600000</v>
      </c>
      <c r="DG54" s="66"/>
      <c r="DH54" s="66">
        <f>'[1]Univ Comm Fund'!AE54</f>
        <v>552000000</v>
      </c>
      <c r="DI54" s="66">
        <f>'[1]UNIV 2019'!AE60</f>
        <v>353280000</v>
      </c>
      <c r="DJ54" s="66">
        <f t="shared" si="28"/>
        <v>198720000</v>
      </c>
      <c r="DK54" s="66"/>
      <c r="DL54" s="66">
        <f>'[1]Univ Comm Fund'!AF54</f>
        <v>20000000</v>
      </c>
      <c r="DM54" s="66">
        <f>'[1]UNIV 2019'!AF60</f>
        <v>12400000</v>
      </c>
      <c r="DN54" s="66">
        <f t="shared" si="29"/>
        <v>7600000</v>
      </c>
      <c r="DO54" s="66"/>
      <c r="DP54" s="66">
        <f>'[1]Univ Comm Fund'!AG54</f>
        <v>200000000</v>
      </c>
      <c r="DQ54" s="66">
        <f>'[1]UNIV 2019'!AG60</f>
        <v>180000000</v>
      </c>
      <c r="DR54" s="66">
        <f t="shared" si="30"/>
        <v>20000000</v>
      </c>
      <c r="DS54" s="66"/>
      <c r="DT54" s="66">
        <f>'[1]Univ Comm Fund'!AH54</f>
        <v>100000000</v>
      </c>
      <c r="DU54" s="66">
        <f>'[1]UNIV 2019'!AH60</f>
        <v>64000000</v>
      </c>
      <c r="DV54" s="66">
        <f t="shared" si="31"/>
        <v>36000000</v>
      </c>
      <c r="DW54" s="66"/>
      <c r="DX54" s="66">
        <f>'[1]Univ Comm Fund'!AI54</f>
        <v>15000000</v>
      </c>
      <c r="DY54" s="66">
        <f>'[1]UNIV 2019'!AI60</f>
        <v>0</v>
      </c>
      <c r="DZ54" s="66">
        <f t="shared" si="32"/>
        <v>15000000</v>
      </c>
      <c r="EA54" s="66"/>
      <c r="EB54" s="66">
        <f>'[1]Univ Comm Fund'!AJ54</f>
        <v>2000000</v>
      </c>
      <c r="EC54" s="66">
        <f>'[1]UNIV 2019'!AJ60</f>
        <v>0</v>
      </c>
      <c r="ED54" s="66">
        <f t="shared" si="33"/>
        <v>2000000</v>
      </c>
      <c r="EE54" s="66"/>
      <c r="EF54" s="66">
        <f>'[1]Univ Comm Fund'!AK54</f>
        <v>10000000</v>
      </c>
      <c r="EG54" s="66">
        <f>'[1]UNIV 2019'!AK60</f>
        <v>6200000</v>
      </c>
      <c r="EH54" s="66">
        <f t="shared" si="34"/>
        <v>3800000</v>
      </c>
      <c r="EI54" s="66"/>
      <c r="EJ54" s="66">
        <f>'[1]Univ Comm Fund'!AL54</f>
        <v>220000000</v>
      </c>
      <c r="EK54" s="66">
        <f>'[1]UNIV 2019'!AL60</f>
        <v>220000000</v>
      </c>
      <c r="EL54" s="66">
        <f t="shared" si="35"/>
        <v>0</v>
      </c>
      <c r="EM54" s="66"/>
      <c r="EN54" s="80">
        <f>'[1]Univ Comm Fund'!AM54</f>
        <v>565410000</v>
      </c>
      <c r="EO54" s="66">
        <f>'[1]UNIV 2019'!AM60</f>
        <v>361862400</v>
      </c>
      <c r="EP54" s="75">
        <f t="shared" si="36"/>
        <v>203547600</v>
      </c>
      <c r="EQ54" s="66"/>
      <c r="ER54" s="66">
        <f>'[1]Univ Comm Fund'!AN54</f>
        <v>15000000</v>
      </c>
      <c r="ES54" s="66">
        <f>'[1]UNIV 2019'!AN60</f>
        <v>0</v>
      </c>
      <c r="ET54" s="75">
        <f t="shared" si="37"/>
        <v>15000000</v>
      </c>
      <c r="EU54" s="66"/>
      <c r="EV54" s="66">
        <f>'[1]Univ Comm Fund'!AO54</f>
        <v>15000000</v>
      </c>
      <c r="EW54" s="66">
        <f>'[1]UNIV 2019'!AO60</f>
        <v>0</v>
      </c>
      <c r="EX54" s="75">
        <f t="shared" si="38"/>
        <v>15000000</v>
      </c>
      <c r="EY54" s="66"/>
      <c r="EZ54" s="66">
        <f>'[1]Univ Comm Fund'!AP54</f>
        <v>10000000</v>
      </c>
      <c r="FA54" s="66">
        <f>'[1]UNIV 2019'!AP60</f>
        <v>0</v>
      </c>
      <c r="FB54" s="75">
        <f t="shared" si="39"/>
        <v>10000000</v>
      </c>
      <c r="FC54" s="75"/>
      <c r="FD54" s="75">
        <f>'[1]Univ Comm Fund'!AQ54</f>
        <v>0</v>
      </c>
      <c r="FE54" s="75">
        <f>'[1]UNIV 2019'!AQ60</f>
        <v>0</v>
      </c>
      <c r="FF54" s="75">
        <f t="shared" si="40"/>
        <v>0</v>
      </c>
      <c r="FG54" s="75"/>
      <c r="FH54" s="81">
        <f>'[1]Univ Comm Fund'!AR54</f>
        <v>300000000</v>
      </c>
      <c r="FI54" s="75">
        <f>'[1]UNIV 2019'!AR60</f>
        <v>255000000</v>
      </c>
      <c r="FJ54" s="75">
        <f t="shared" si="41"/>
        <v>45000000</v>
      </c>
      <c r="FK54" s="75"/>
      <c r="FL54" s="75">
        <f>'[1]Univ Comm Fund'!AS54</f>
        <v>300000000</v>
      </c>
      <c r="FM54" s="75">
        <f>'[1]UNIV 2019'!AS60</f>
        <v>0</v>
      </c>
      <c r="FN54" s="75">
        <f t="shared" si="42"/>
        <v>300000000</v>
      </c>
      <c r="FO54" s="75"/>
      <c r="FP54" s="75">
        <f>'[1]Univ Comm Fund'!AT54</f>
        <v>120000000</v>
      </c>
      <c r="FQ54" s="75">
        <f>'[1]UNIV 2019'!AT60</f>
        <v>102000000</v>
      </c>
      <c r="FR54" s="75">
        <f t="shared" si="43"/>
        <v>18000000</v>
      </c>
      <c r="FS54" s="75"/>
      <c r="FT54" s="75">
        <f>'[1]Univ Comm Fund'!AU54</f>
        <v>10000000</v>
      </c>
      <c r="FU54" s="75">
        <f>'[1]UNIV 2019'!AU60</f>
        <v>0</v>
      </c>
      <c r="FV54" s="75">
        <f t="shared" si="44"/>
        <v>10000000</v>
      </c>
      <c r="FW54" s="75"/>
      <c r="FX54" s="75">
        <f>'[1]Univ Comm Fund'!AV54</f>
        <v>5000000</v>
      </c>
      <c r="FY54" s="75">
        <f>'[1]UNIV 2019'!AV60</f>
        <v>0</v>
      </c>
      <c r="FZ54" s="75">
        <f t="shared" si="45"/>
        <v>5000000</v>
      </c>
      <c r="GA54" s="75"/>
      <c r="GB54" s="75">
        <f>'[1]Univ Comm Fund'!AW54</f>
        <v>10000000</v>
      </c>
      <c r="GC54" s="75">
        <f>'[1]UNIV 2019'!AW60</f>
        <v>0</v>
      </c>
      <c r="GD54" s="75">
        <f t="shared" si="46"/>
        <v>10000000</v>
      </c>
      <c r="GE54" s="75"/>
      <c r="GF54" s="75">
        <f>'[1]Univ Comm Fund'!AX54</f>
        <v>0</v>
      </c>
      <c r="GG54" s="75">
        <f>'[1]UNIV 2019'!AX60</f>
        <v>0</v>
      </c>
      <c r="GH54" s="75">
        <f t="shared" si="47"/>
        <v>0</v>
      </c>
      <c r="GI54" s="75"/>
      <c r="GJ54" s="75">
        <f>'[1]Univ Comm Fund'!AY54</f>
        <v>350000000</v>
      </c>
      <c r="GK54" s="75">
        <f>'[1]UNIV 2019'!AY60</f>
        <v>0</v>
      </c>
      <c r="GL54" s="75">
        <f t="shared" si="48"/>
        <v>350000000</v>
      </c>
      <c r="GM54" s="75"/>
      <c r="GN54" s="75">
        <f>'[1]Univ Comm Fund'!AZ54</f>
        <v>175823700</v>
      </c>
      <c r="GO54" s="75">
        <f>'[1]UNIV 2019'!AZ60</f>
        <v>0</v>
      </c>
      <c r="GP54" s="75">
        <f t="shared" si="49"/>
        <v>175823700</v>
      </c>
      <c r="GQ54" s="75"/>
      <c r="GR54" s="75">
        <f>'[1]Univ Comm Fund'!BA54</f>
        <v>20000000</v>
      </c>
      <c r="GS54" s="75">
        <f>'[1]UNIV 2019'!BA60</f>
        <v>0</v>
      </c>
      <c r="GT54" s="75">
        <f t="shared" si="50"/>
        <v>20000000</v>
      </c>
      <c r="GU54" s="75"/>
      <c r="GV54" s="75">
        <f>'[1]Univ Comm Fund'!BB54</f>
        <v>5000000</v>
      </c>
      <c r="GW54" s="75">
        <f>'[1]UNIV 2019'!BB60</f>
        <v>0</v>
      </c>
      <c r="GX54" s="75">
        <f t="shared" si="51"/>
        <v>5000000</v>
      </c>
      <c r="GY54" s="75"/>
      <c r="GZ54" s="75">
        <f>'[1]Univ Comm Fund'!BC54</f>
        <v>10000000</v>
      </c>
      <c r="HA54" s="75">
        <f>'[1]UNIV 2019'!BD60</f>
        <v>0</v>
      </c>
      <c r="HB54" s="75">
        <f t="shared" si="52"/>
        <v>10000000</v>
      </c>
      <c r="HC54" s="75"/>
      <c r="HD54" s="75">
        <f>'[1]Univ Comm Fund'!BD54</f>
        <v>0</v>
      </c>
      <c r="HE54" s="75">
        <f>'[1]UNIV 2019'!BC60</f>
        <v>0</v>
      </c>
      <c r="HF54" s="75">
        <f t="shared" si="53"/>
        <v>0</v>
      </c>
      <c r="HG54" s="75"/>
      <c r="HH54" s="75">
        <f t="shared" si="54"/>
        <v>5158402700</v>
      </c>
      <c r="HI54" s="75">
        <f t="shared" si="54"/>
        <v>3598511400</v>
      </c>
      <c r="HJ54" s="82">
        <f t="shared" si="55"/>
        <v>1559891300</v>
      </c>
      <c r="HL54" s="83">
        <f t="shared" si="56"/>
        <v>3128579000</v>
      </c>
      <c r="HM54" s="83">
        <f t="shared" si="56"/>
        <v>2040311400</v>
      </c>
      <c r="HN54" s="84">
        <f t="shared" si="57"/>
        <v>1088267600</v>
      </c>
      <c r="HP54" s="83">
        <f t="shared" si="58"/>
        <v>1192000000</v>
      </c>
      <c r="HQ54" s="83">
        <f t="shared" si="58"/>
        <v>1123700000</v>
      </c>
      <c r="HR54" s="84">
        <f t="shared" si="59"/>
        <v>68300000</v>
      </c>
      <c r="HT54" s="83">
        <f t="shared" si="60"/>
        <v>145000000</v>
      </c>
      <c r="HU54" s="83">
        <f t="shared" si="60"/>
        <v>77500000</v>
      </c>
      <c r="HV54" s="84">
        <f t="shared" si="61"/>
        <v>67500000</v>
      </c>
      <c r="HX54" s="83">
        <f t="shared" si="62"/>
        <v>60000000</v>
      </c>
      <c r="HY54" s="83">
        <f t="shared" si="62"/>
        <v>0</v>
      </c>
      <c r="HZ54" s="84">
        <f t="shared" si="63"/>
        <v>60000000</v>
      </c>
      <c r="IB54" s="83">
        <f t="shared" si="64"/>
        <v>35000000</v>
      </c>
      <c r="IC54" s="83">
        <f t="shared" si="64"/>
        <v>0</v>
      </c>
      <c r="ID54" s="84">
        <f t="shared" si="65"/>
        <v>35000000</v>
      </c>
      <c r="IF54" s="83">
        <f t="shared" si="69"/>
        <v>2000000</v>
      </c>
      <c r="IG54" s="83">
        <f t="shared" si="69"/>
        <v>0</v>
      </c>
      <c r="IH54" s="84">
        <f t="shared" si="66"/>
        <v>2000000</v>
      </c>
      <c r="IJ54" s="84">
        <f t="shared" si="67"/>
        <v>595823700</v>
      </c>
      <c r="IK54" s="84">
        <f t="shared" si="67"/>
        <v>357000000</v>
      </c>
      <c r="IL54" s="84">
        <f t="shared" si="68"/>
        <v>238823700</v>
      </c>
    </row>
    <row r="55" spans="1:246" s="125" customFormat="1" x14ac:dyDescent="0.25">
      <c r="A55" s="119">
        <v>50</v>
      </c>
      <c r="B55" s="120" t="s">
        <v>114</v>
      </c>
      <c r="C55" s="119"/>
      <c r="D55" s="121">
        <f>'[1]Univ Comm Fund'!D55</f>
        <v>0</v>
      </c>
      <c r="E55" s="121">
        <f>'[1]UNIV 2019'!D61</f>
        <v>0</v>
      </c>
      <c r="F55" s="75">
        <f t="shared" si="4"/>
        <v>0</v>
      </c>
      <c r="G55" s="121"/>
      <c r="H55" s="121">
        <f>'[1]Univ Comm Fund'!E55</f>
        <v>0</v>
      </c>
      <c r="I55" s="121">
        <f>'[1]UNIV 2019'!E61</f>
        <v>0</v>
      </c>
      <c r="J55" s="121">
        <f t="shared" si="5"/>
        <v>0</v>
      </c>
      <c r="K55" s="121"/>
      <c r="L55" s="121">
        <f>'[1]Univ Comm Fund'!F55</f>
        <v>0</v>
      </c>
      <c r="M55" s="121">
        <f>'[1]UNIV 2019'!F61</f>
        <v>0</v>
      </c>
      <c r="N55" s="121">
        <f t="shared" si="6"/>
        <v>0</v>
      </c>
      <c r="O55" s="121"/>
      <c r="P55" s="121">
        <f>'[1]Univ Comm Fund'!G55</f>
        <v>0</v>
      </c>
      <c r="Q55" s="121">
        <f>'[1]UNIV 2019'!G61</f>
        <v>0</v>
      </c>
      <c r="R55" s="121">
        <f t="shared" si="7"/>
        <v>0</v>
      </c>
      <c r="S55" s="122"/>
      <c r="T55" s="121">
        <f>'[1]Univ Comm Fund'!H55</f>
        <v>0</v>
      </c>
      <c r="U55" s="121">
        <f>'[1]UNIV 2019'!H61</f>
        <v>0</v>
      </c>
      <c r="V55" s="121">
        <f t="shared" si="8"/>
        <v>0</v>
      </c>
      <c r="W55" s="121"/>
      <c r="X55" s="121">
        <f>'[1]Univ Comm Fund'!I55</f>
        <v>0</v>
      </c>
      <c r="Y55" s="121">
        <f>'[1]UNIV 2019'!I61</f>
        <v>0</v>
      </c>
      <c r="Z55" s="121">
        <f t="shared" si="9"/>
        <v>0</v>
      </c>
      <c r="AA55" s="121"/>
      <c r="AB55" s="121">
        <f>'[1]Univ Comm Fund'!J55</f>
        <v>0</v>
      </c>
      <c r="AC55" s="121">
        <f>'[1]UNIV 2019'!J61</f>
        <v>0</v>
      </c>
      <c r="AD55" s="121">
        <f t="shared" si="10"/>
        <v>0</v>
      </c>
      <c r="AE55" s="121"/>
      <c r="AF55" s="123">
        <f>'[1]Univ Comm Fund'!K55</f>
        <v>0</v>
      </c>
      <c r="AG55" s="121">
        <f>'[1]UNIV 2019'!K61</f>
        <v>0</v>
      </c>
      <c r="AH55" s="121">
        <f t="shared" si="11"/>
        <v>0</v>
      </c>
      <c r="AI55" s="123"/>
      <c r="AJ55" s="121">
        <f>'[1]Univ Comm Fund'!L55</f>
        <v>0</v>
      </c>
      <c r="AK55" s="121">
        <f>'[1]UNIV 2019'!L61</f>
        <v>0</v>
      </c>
      <c r="AL55" s="121">
        <f t="shared" si="12"/>
        <v>0</v>
      </c>
      <c r="AM55" s="121"/>
      <c r="AN55" s="121">
        <f>'[1]Univ Comm Fund'!M55</f>
        <v>0</v>
      </c>
      <c r="AO55" s="121">
        <f>'[1]UNIV 2019'!M61</f>
        <v>0</v>
      </c>
      <c r="AP55" s="121">
        <f t="shared" si="13"/>
        <v>0</v>
      </c>
      <c r="AQ55" s="121"/>
      <c r="AR55" s="121">
        <f>'[1]Univ Comm Fund'!N55</f>
        <v>0</v>
      </c>
      <c r="AS55" s="121">
        <f>'[1]UNIV 2019'!N61</f>
        <v>0</v>
      </c>
      <c r="AT55" s="121">
        <f t="shared" si="14"/>
        <v>0</v>
      </c>
      <c r="AU55" s="121"/>
      <c r="AV55" s="121">
        <f>'[1]Univ Comm Fund'!O55</f>
        <v>40000000</v>
      </c>
      <c r="AW55" s="121">
        <f>'[1]UNIV 2019'!O61</f>
        <v>40000000</v>
      </c>
      <c r="AX55" s="121">
        <f t="shared" si="15"/>
        <v>0</v>
      </c>
      <c r="AY55" s="121"/>
      <c r="AZ55" s="121">
        <f>'[1]Univ Comm Fund'!P55</f>
        <v>0</v>
      </c>
      <c r="BA55" s="121">
        <f>'[1]UNIV 2019'!P61</f>
        <v>0</v>
      </c>
      <c r="BB55" s="121">
        <f t="shared" si="0"/>
        <v>0</v>
      </c>
      <c r="BC55" s="121"/>
      <c r="BD55" s="121">
        <f>'[1]Univ Comm Fund'!Q55</f>
        <v>52000000</v>
      </c>
      <c r="BE55" s="121">
        <f>'[1]UNIV 2019'!Q61</f>
        <v>52000000</v>
      </c>
      <c r="BF55" s="121">
        <f t="shared" si="1"/>
        <v>0</v>
      </c>
      <c r="BG55" s="121"/>
      <c r="BH55" s="121">
        <f>'[1]Univ Comm Fund'!R55</f>
        <v>67000000</v>
      </c>
      <c r="BI55" s="121">
        <f>'[1]UNIV 2019'!R61</f>
        <v>67000000</v>
      </c>
      <c r="BJ55" s="121">
        <f t="shared" si="16"/>
        <v>0</v>
      </c>
      <c r="BK55" s="121"/>
      <c r="BL55" s="121">
        <f>'[1]Univ Comm Fund'!S55</f>
        <v>57000000</v>
      </c>
      <c r="BM55" s="121">
        <f>'[1]UNIV 2019'!S61</f>
        <v>57000000</v>
      </c>
      <c r="BN55" s="121">
        <f t="shared" si="17"/>
        <v>0</v>
      </c>
      <c r="BO55" s="121"/>
      <c r="BP55" s="121">
        <f>'[1]Univ Comm Fund'!T55</f>
        <v>0</v>
      </c>
      <c r="BQ55" s="121">
        <f>'[1]UNIV 2019'!T61</f>
        <v>0</v>
      </c>
      <c r="BR55" s="121">
        <f t="shared" si="18"/>
        <v>0</v>
      </c>
      <c r="BS55" s="121"/>
      <c r="BT55" s="121">
        <f>'[1]Univ Comm Fund'!U55</f>
        <v>0</v>
      </c>
      <c r="BU55" s="121">
        <f>'[1]UNIV 2019'!U61</f>
        <v>0</v>
      </c>
      <c r="BV55" s="121">
        <f t="shared" si="2"/>
        <v>0</v>
      </c>
      <c r="BW55" s="121"/>
      <c r="BX55" s="121">
        <f>'[1]Univ Comm Fund'!V55</f>
        <v>0</v>
      </c>
      <c r="BY55" s="121">
        <f>'[1]UNIV 2019'!V61</f>
        <v>0</v>
      </c>
      <c r="BZ55" s="121">
        <f t="shared" si="19"/>
        <v>0</v>
      </c>
      <c r="CA55" s="121"/>
      <c r="CB55" s="121">
        <f>'[1]Univ Comm Fund'!W55</f>
        <v>0</v>
      </c>
      <c r="CC55" s="121">
        <f>'[1]UNIV 2019'!W61</f>
        <v>0</v>
      </c>
      <c r="CD55" s="121">
        <f t="shared" si="20"/>
        <v>0</v>
      </c>
      <c r="CE55" s="121"/>
      <c r="CF55" s="121">
        <v>0</v>
      </c>
      <c r="CG55" s="121">
        <f>'[1]UNIV 2019'!X61</f>
        <v>0</v>
      </c>
      <c r="CH55" s="75">
        <f t="shared" si="21"/>
        <v>0</v>
      </c>
      <c r="CI55" s="121"/>
      <c r="CJ55" s="121">
        <f>'[1]Univ Comm Fund'!Y55</f>
        <v>0</v>
      </c>
      <c r="CK55" s="121">
        <f>'[1]UNIV 2019'!Y61</f>
        <v>0</v>
      </c>
      <c r="CL55" s="121">
        <f t="shared" si="22"/>
        <v>0</v>
      </c>
      <c r="CM55" s="121"/>
      <c r="CN55" s="124">
        <f>'[1]Univ Comm Fund'!Z55</f>
        <v>0</v>
      </c>
      <c r="CO55" s="121">
        <f>'[1]UNIV 2019'!Z61</f>
        <v>0</v>
      </c>
      <c r="CP55" s="121">
        <f t="shared" si="23"/>
        <v>0</v>
      </c>
      <c r="CQ55" s="124"/>
      <c r="CR55" s="121">
        <f>'[1]Univ Comm Fund'!AA55</f>
        <v>42000000</v>
      </c>
      <c r="CS55" s="121">
        <f>'[1]UNIV 2019'!AA61</f>
        <v>42000000</v>
      </c>
      <c r="CT55" s="75">
        <f t="shared" si="24"/>
        <v>0</v>
      </c>
      <c r="CU55" s="121"/>
      <c r="CV55" s="121">
        <f>'[1]Univ Comm Fund'!AB55</f>
        <v>361000000</v>
      </c>
      <c r="CW55" s="121">
        <f>'[1]UNIV 2019'!AB61</f>
        <v>361000000</v>
      </c>
      <c r="CX55" s="75">
        <f t="shared" si="25"/>
        <v>0</v>
      </c>
      <c r="CY55" s="121"/>
      <c r="CZ55" s="121">
        <f>'[1]Univ Comm Fund'!AC55</f>
        <v>356000000</v>
      </c>
      <c r="DA55" s="121">
        <f>'[1]UNIV 2019'!AC61</f>
        <v>356000000</v>
      </c>
      <c r="DB55" s="121">
        <f t="shared" si="26"/>
        <v>0</v>
      </c>
      <c r="DC55" s="121"/>
      <c r="DD55" s="121">
        <f>'[1]Univ Comm Fund'!AD55</f>
        <v>20000000</v>
      </c>
      <c r="DE55" s="121">
        <f>'[1]UNIV 2019'!AD61</f>
        <v>20000000</v>
      </c>
      <c r="DF55" s="121">
        <f t="shared" si="27"/>
        <v>0</v>
      </c>
      <c r="DG55" s="121"/>
      <c r="DH55" s="121">
        <f>'[1]Univ Comm Fund'!AE55</f>
        <v>0</v>
      </c>
      <c r="DI55" s="121">
        <f>'[1]UNIV 2019'!AE61</f>
        <v>0</v>
      </c>
      <c r="DJ55" s="121">
        <f t="shared" si="28"/>
        <v>0</v>
      </c>
      <c r="DK55" s="121"/>
      <c r="DL55" s="121">
        <f>'[1]Univ Comm Fund'!AF55</f>
        <v>0</v>
      </c>
      <c r="DM55" s="121">
        <f>'[1]UNIV 2019'!AF61</f>
        <v>0</v>
      </c>
      <c r="DN55" s="121">
        <f t="shared" si="29"/>
        <v>0</v>
      </c>
      <c r="DO55" s="121"/>
      <c r="DP55" s="121">
        <f>'[1]Univ Comm Fund'!AG55</f>
        <v>200000000</v>
      </c>
      <c r="DQ55" s="121">
        <f>'[1]UNIV 2019'!AG61</f>
        <v>170000000</v>
      </c>
      <c r="DR55" s="121">
        <f t="shared" si="30"/>
        <v>30000000</v>
      </c>
      <c r="DS55" s="121"/>
      <c r="DT55" s="66">
        <f>'[1]Univ Comm Fund'!AH55</f>
        <v>100000000</v>
      </c>
      <c r="DU55" s="121">
        <f>'[1]UNIV 2019'!AH61</f>
        <v>85000000</v>
      </c>
      <c r="DV55" s="66">
        <f t="shared" si="31"/>
        <v>15000000</v>
      </c>
      <c r="DW55" s="121"/>
      <c r="DX55" s="66">
        <f>'[1]Univ Comm Fund'!AI55</f>
        <v>15000000</v>
      </c>
      <c r="DY55" s="121">
        <f>'[1]UNIV 2019'!AI61</f>
        <v>0</v>
      </c>
      <c r="DZ55" s="66">
        <f t="shared" si="32"/>
        <v>15000000</v>
      </c>
      <c r="EA55" s="121"/>
      <c r="EB55" s="66">
        <f>'[1]Univ Comm Fund'!AJ55</f>
        <v>2000000</v>
      </c>
      <c r="EC55" s="121">
        <f>'[1]UNIV 2019'!AJ61</f>
        <v>0</v>
      </c>
      <c r="ED55" s="66">
        <f t="shared" si="33"/>
        <v>2000000</v>
      </c>
      <c r="EE55" s="121"/>
      <c r="EF55" s="66">
        <f>'[1]Univ Comm Fund'!AK55</f>
        <v>10000000</v>
      </c>
      <c r="EG55" s="121">
        <f>'[1]UNIV 2019'!AK61</f>
        <v>0</v>
      </c>
      <c r="EH55" s="66">
        <f t="shared" si="34"/>
        <v>10000000</v>
      </c>
      <c r="EI55" s="66"/>
      <c r="EJ55" s="66">
        <f>'[1]Univ Comm Fund'!AL55</f>
        <v>0</v>
      </c>
      <c r="EK55" s="66">
        <f>'[1]UNIV 2019'!AL61</f>
        <v>0</v>
      </c>
      <c r="EL55" s="66">
        <f t="shared" si="35"/>
        <v>0</v>
      </c>
      <c r="EM55" s="121"/>
      <c r="EN55" s="80">
        <f>'[1]Univ Comm Fund'!AM55</f>
        <v>0</v>
      </c>
      <c r="EO55" s="121">
        <f>'[1]UNIV 2019'!AM61</f>
        <v>0</v>
      </c>
      <c r="EP55" s="75">
        <f t="shared" si="36"/>
        <v>0</v>
      </c>
      <c r="EQ55" s="121"/>
      <c r="ER55" s="121">
        <f>'[1]Univ Comm Fund'!AN55</f>
        <v>0</v>
      </c>
      <c r="ES55" s="121">
        <f>'[1]UNIV 2019'!AN61</f>
        <v>0</v>
      </c>
      <c r="ET55" s="75">
        <f t="shared" si="37"/>
        <v>0</v>
      </c>
      <c r="EU55" s="121"/>
      <c r="EV55" s="121">
        <f>'[1]Univ Comm Fund'!AO55</f>
        <v>0</v>
      </c>
      <c r="EW55" s="121">
        <f>'[1]UNIV 2019'!AO61</f>
        <v>0</v>
      </c>
      <c r="EX55" s="75">
        <f t="shared" si="38"/>
        <v>0</v>
      </c>
      <c r="EY55" s="121"/>
      <c r="EZ55" s="121">
        <f>'[1]Univ Comm Fund'!AP55</f>
        <v>0</v>
      </c>
      <c r="FA55" s="121">
        <f>'[1]UNIV 2019'!AP61</f>
        <v>0</v>
      </c>
      <c r="FB55" s="75">
        <f t="shared" si="39"/>
        <v>0</v>
      </c>
      <c r="FC55" s="75"/>
      <c r="FD55" s="75">
        <f>'[1]Univ Comm Fund'!AQ55</f>
        <v>0</v>
      </c>
      <c r="FE55" s="75">
        <f>'[1]UNIV 2019'!AQ61</f>
        <v>0</v>
      </c>
      <c r="FF55" s="75">
        <f t="shared" si="40"/>
        <v>0</v>
      </c>
      <c r="FG55" s="75"/>
      <c r="FH55" s="81">
        <f>'[1]Univ Comm Fund'!AR55</f>
        <v>300000000</v>
      </c>
      <c r="FI55" s="75">
        <f>'[1]UNIV 2019'!AR61</f>
        <v>255000000</v>
      </c>
      <c r="FJ55" s="75">
        <f t="shared" si="41"/>
        <v>45000000</v>
      </c>
      <c r="FK55" s="75"/>
      <c r="FL55" s="75">
        <f>'[1]Univ Comm Fund'!AS55</f>
        <v>300000000</v>
      </c>
      <c r="FM55" s="75">
        <f>'[1]UNIV 2019'!AS61</f>
        <v>0</v>
      </c>
      <c r="FN55" s="75">
        <f t="shared" si="42"/>
        <v>300000000</v>
      </c>
      <c r="FO55" s="75"/>
      <c r="FP55" s="75">
        <f>'[1]Univ Comm Fund'!AT55</f>
        <v>120000000</v>
      </c>
      <c r="FQ55" s="75">
        <f>'[1]UNIV 2019'!AT61</f>
        <v>72000000</v>
      </c>
      <c r="FR55" s="75">
        <f t="shared" si="43"/>
        <v>48000000</v>
      </c>
      <c r="FS55" s="75"/>
      <c r="FT55" s="75">
        <f>'[1]Univ Comm Fund'!AU55</f>
        <v>10000000</v>
      </c>
      <c r="FU55" s="75">
        <f>'[1]UNIV 2019'!AU61</f>
        <v>0</v>
      </c>
      <c r="FV55" s="75">
        <f t="shared" si="44"/>
        <v>10000000</v>
      </c>
      <c r="FW55" s="75"/>
      <c r="FX55" s="75">
        <f>'[1]Univ Comm Fund'!AV55</f>
        <v>5000000</v>
      </c>
      <c r="FY55" s="75">
        <f>'[1]UNIV 2019'!AV61</f>
        <v>0</v>
      </c>
      <c r="FZ55" s="75">
        <f t="shared" si="45"/>
        <v>5000000</v>
      </c>
      <c r="GA55" s="75"/>
      <c r="GB55" s="75">
        <f>'[1]Univ Comm Fund'!AW55</f>
        <v>10000000</v>
      </c>
      <c r="GC55" s="75">
        <f>'[1]UNIV 2019'!AW61</f>
        <v>0</v>
      </c>
      <c r="GD55" s="75">
        <f t="shared" si="46"/>
        <v>10000000</v>
      </c>
      <c r="GE55" s="75"/>
      <c r="GF55" s="75">
        <f>'[1]Univ Comm Fund'!AX55</f>
        <v>0</v>
      </c>
      <c r="GG55" s="75">
        <f>'[1]UNIV 2019'!AX61</f>
        <v>0</v>
      </c>
      <c r="GH55" s="75">
        <f t="shared" si="47"/>
        <v>0</v>
      </c>
      <c r="GI55" s="75"/>
      <c r="GJ55" s="75">
        <f>'[1]Univ Comm Fund'!AY55</f>
        <v>0</v>
      </c>
      <c r="GK55" s="75">
        <f>'[1]UNIV 2019'!AY61</f>
        <v>0</v>
      </c>
      <c r="GL55" s="75">
        <f t="shared" si="48"/>
        <v>0</v>
      </c>
      <c r="GM55" s="75"/>
      <c r="GN55" s="75">
        <f>'[1]Univ Comm Fund'!AZ55</f>
        <v>175823700</v>
      </c>
      <c r="GO55" s="75">
        <f>'[1]UNIV 2019'!AZ61</f>
        <v>0</v>
      </c>
      <c r="GP55" s="75">
        <f t="shared" si="49"/>
        <v>175823700</v>
      </c>
      <c r="GQ55" s="75"/>
      <c r="GR55" s="75">
        <f>'[1]Univ Comm Fund'!BA55</f>
        <v>0</v>
      </c>
      <c r="GS55" s="75">
        <f>'[1]UNIV 2019'!BA61</f>
        <v>0</v>
      </c>
      <c r="GT55" s="75">
        <f t="shared" si="50"/>
        <v>0</v>
      </c>
      <c r="GU55" s="75"/>
      <c r="GV55" s="75">
        <f>'[1]Univ Comm Fund'!BB55</f>
        <v>0</v>
      </c>
      <c r="GW55" s="75">
        <f>'[1]UNIV 2019'!BB61</f>
        <v>0</v>
      </c>
      <c r="GX55" s="75">
        <f t="shared" si="51"/>
        <v>0</v>
      </c>
      <c r="GY55" s="75"/>
      <c r="GZ55" s="75">
        <f>'[1]Univ Comm Fund'!BC55</f>
        <v>0</v>
      </c>
      <c r="HA55" s="75">
        <f>'[1]UNIV 2019'!BD61</f>
        <v>0</v>
      </c>
      <c r="HB55" s="75">
        <f t="shared" si="52"/>
        <v>0</v>
      </c>
      <c r="HC55" s="75"/>
      <c r="HD55" s="75">
        <f>'[1]Univ Comm Fund'!BD55</f>
        <v>0</v>
      </c>
      <c r="HE55" s="75">
        <f>'[1]UNIV 2019'!BC61</f>
        <v>0</v>
      </c>
      <c r="HF55" s="75">
        <f t="shared" si="53"/>
        <v>0</v>
      </c>
      <c r="HG55" s="75"/>
      <c r="HH55" s="75">
        <f t="shared" si="54"/>
        <v>2242823700</v>
      </c>
      <c r="HI55" s="75">
        <f t="shared" si="54"/>
        <v>1577000000</v>
      </c>
      <c r="HJ55" s="82">
        <f t="shared" si="55"/>
        <v>665823700</v>
      </c>
      <c r="HK55" s="3"/>
      <c r="HL55" s="83">
        <f t="shared" si="56"/>
        <v>972000000</v>
      </c>
      <c r="HM55" s="83">
        <f t="shared" si="56"/>
        <v>657000000</v>
      </c>
      <c r="HN55" s="84">
        <f t="shared" si="57"/>
        <v>315000000</v>
      </c>
      <c r="HP55" s="83">
        <f t="shared" si="58"/>
        <v>603000000</v>
      </c>
      <c r="HQ55" s="83">
        <f t="shared" si="58"/>
        <v>573000000</v>
      </c>
      <c r="HR55" s="84">
        <f t="shared" si="59"/>
        <v>30000000</v>
      </c>
      <c r="HT55" s="83">
        <f t="shared" si="60"/>
        <v>35000000</v>
      </c>
      <c r="HU55" s="83">
        <f t="shared" si="60"/>
        <v>20000000</v>
      </c>
      <c r="HV55" s="84">
        <f t="shared" si="61"/>
        <v>15000000</v>
      </c>
      <c r="HX55" s="83">
        <f t="shared" si="62"/>
        <v>25000000</v>
      </c>
      <c r="HY55" s="83">
        <f t="shared" si="62"/>
        <v>0</v>
      </c>
      <c r="HZ55" s="84">
        <f t="shared" si="63"/>
        <v>25000000</v>
      </c>
      <c r="IB55" s="83">
        <f t="shared" si="64"/>
        <v>10000000</v>
      </c>
      <c r="IC55" s="83">
        <f t="shared" si="64"/>
        <v>0</v>
      </c>
      <c r="ID55" s="84">
        <f t="shared" si="65"/>
        <v>10000000</v>
      </c>
      <c r="IF55" s="83">
        <f t="shared" si="69"/>
        <v>2000000</v>
      </c>
      <c r="IG55" s="83">
        <f t="shared" si="69"/>
        <v>0</v>
      </c>
      <c r="IH55" s="84">
        <f t="shared" si="66"/>
        <v>2000000</v>
      </c>
      <c r="IJ55" s="84">
        <f t="shared" si="67"/>
        <v>595823700</v>
      </c>
      <c r="IK55" s="84">
        <f t="shared" si="67"/>
        <v>327000000</v>
      </c>
      <c r="IL55" s="84">
        <f t="shared" si="68"/>
        <v>268823700</v>
      </c>
    </row>
    <row r="56" spans="1:246" x14ac:dyDescent="0.25">
      <c r="A56" s="42">
        <v>51</v>
      </c>
      <c r="B56" s="126" t="s">
        <v>115</v>
      </c>
      <c r="C56" s="43" t="s">
        <v>74</v>
      </c>
      <c r="D56" s="66">
        <f>'[1]Univ Comm Fund'!D56</f>
        <v>0</v>
      </c>
      <c r="E56" s="66">
        <f>'[1]UNIV 2019'!D62</f>
        <v>0</v>
      </c>
      <c r="F56" s="75">
        <f t="shared" si="4"/>
        <v>0</v>
      </c>
      <c r="G56" s="66"/>
      <c r="H56" s="66">
        <f>'[1]Univ Comm Fund'!E56</f>
        <v>0</v>
      </c>
      <c r="I56" s="66">
        <f>'[1]UNIV 2019'!E62</f>
        <v>0</v>
      </c>
      <c r="J56" s="66">
        <f t="shared" si="5"/>
        <v>0</v>
      </c>
      <c r="K56" s="66"/>
      <c r="L56" s="66">
        <f>'[1]Univ Comm Fund'!F56</f>
        <v>0</v>
      </c>
      <c r="M56" s="66">
        <f>'[1]UNIV 2019'!F62</f>
        <v>0</v>
      </c>
      <c r="N56" s="66">
        <f t="shared" si="6"/>
        <v>0</v>
      </c>
      <c r="O56" s="66"/>
      <c r="P56" s="66">
        <f>'[1]Univ Comm Fund'!G56</f>
        <v>0</v>
      </c>
      <c r="Q56" s="66">
        <f>'[1]UNIV 2019'!G62</f>
        <v>0</v>
      </c>
      <c r="R56" s="66">
        <f t="shared" si="7"/>
        <v>0</v>
      </c>
      <c r="S56" s="87"/>
      <c r="T56" s="66">
        <f>'[1]Univ Comm Fund'!H56</f>
        <v>0</v>
      </c>
      <c r="U56" s="66">
        <f>'[1]UNIV 2019'!H62</f>
        <v>0</v>
      </c>
      <c r="V56" s="66">
        <f t="shared" si="8"/>
        <v>0</v>
      </c>
      <c r="W56" s="66"/>
      <c r="X56" s="66">
        <f>'[1]Univ Comm Fund'!I56</f>
        <v>0</v>
      </c>
      <c r="Y56" s="66">
        <f>'[1]UNIV 2019'!I62</f>
        <v>0</v>
      </c>
      <c r="Z56" s="66">
        <f t="shared" si="9"/>
        <v>0</v>
      </c>
      <c r="AA56" s="66"/>
      <c r="AB56" s="66">
        <f>'[1]Univ Comm Fund'!J56</f>
        <v>0</v>
      </c>
      <c r="AC56" s="66">
        <f>'[1]UNIV 2019'!J62</f>
        <v>0</v>
      </c>
      <c r="AD56" s="66">
        <f t="shared" si="10"/>
        <v>0</v>
      </c>
      <c r="AE56" s="66"/>
      <c r="AF56" s="88">
        <f>'[1]Univ Comm Fund'!K56</f>
        <v>0</v>
      </c>
      <c r="AG56" s="66">
        <f>'[1]UNIV 2019'!K62</f>
        <v>0</v>
      </c>
      <c r="AH56" s="66">
        <f t="shared" si="11"/>
        <v>0</v>
      </c>
      <c r="AI56" s="88"/>
      <c r="AJ56" s="66">
        <f>'[1]Univ Comm Fund'!L56</f>
        <v>0</v>
      </c>
      <c r="AK56" s="66">
        <f>'[1]UNIV 2019'!L62</f>
        <v>0</v>
      </c>
      <c r="AL56" s="66">
        <f t="shared" si="12"/>
        <v>0</v>
      </c>
      <c r="AM56" s="66"/>
      <c r="AN56" s="66">
        <f>'[1]Univ Comm Fund'!M56</f>
        <v>0</v>
      </c>
      <c r="AO56" s="66">
        <f>'[1]UNIV 2019'!M62</f>
        <v>0</v>
      </c>
      <c r="AP56" s="66">
        <f t="shared" si="13"/>
        <v>0</v>
      </c>
      <c r="AQ56" s="66"/>
      <c r="AR56" s="66">
        <f>'[1]Univ Comm Fund'!N56</f>
        <v>0</v>
      </c>
      <c r="AS56" s="66">
        <f>'[1]UNIV 2019'!N62</f>
        <v>0</v>
      </c>
      <c r="AT56" s="66">
        <f t="shared" si="14"/>
        <v>0</v>
      </c>
      <c r="AU56" s="66"/>
      <c r="AV56" s="66">
        <f>'[1]Univ Comm Fund'!O56</f>
        <v>0</v>
      </c>
      <c r="AW56" s="66">
        <f>'[1]UNIV 2019'!O62</f>
        <v>0</v>
      </c>
      <c r="AX56" s="66">
        <f t="shared" si="15"/>
        <v>0</v>
      </c>
      <c r="AY56" s="66"/>
      <c r="AZ56" s="66">
        <f>'[1]Univ Comm Fund'!P56</f>
        <v>0</v>
      </c>
      <c r="BA56" s="66">
        <f>'[1]UNIV 2019'!P62</f>
        <v>0</v>
      </c>
      <c r="BB56" s="66">
        <f t="shared" si="0"/>
        <v>0</v>
      </c>
      <c r="BC56" s="66"/>
      <c r="BD56" s="66">
        <f>'[1]Univ Comm Fund'!Q56</f>
        <v>52000000</v>
      </c>
      <c r="BE56" s="66">
        <f>'[1]UNIV 2019'!Q62</f>
        <v>52000000</v>
      </c>
      <c r="BF56" s="66">
        <f t="shared" si="1"/>
        <v>0</v>
      </c>
      <c r="BG56" s="66"/>
      <c r="BH56" s="66">
        <f>'[1]Univ Comm Fund'!R56</f>
        <v>67000000</v>
      </c>
      <c r="BI56" s="66">
        <f>'[1]UNIV 2019'!R62</f>
        <v>67000000</v>
      </c>
      <c r="BJ56" s="66">
        <f t="shared" si="16"/>
        <v>0</v>
      </c>
      <c r="BK56" s="66"/>
      <c r="BL56" s="66">
        <f>'[1]Univ Comm Fund'!S56</f>
        <v>57000000</v>
      </c>
      <c r="BM56" s="66">
        <f>'[1]UNIV 2019'!S62</f>
        <v>57000000</v>
      </c>
      <c r="BN56" s="66">
        <f t="shared" si="17"/>
        <v>0</v>
      </c>
      <c r="BO56" s="66"/>
      <c r="BP56" s="88">
        <f>'[1]Univ Comm Fund'!T56</f>
        <v>35185417</v>
      </c>
      <c r="BQ56" s="66">
        <f>'[1]UNIV 2019'!T62</f>
        <v>35185417</v>
      </c>
      <c r="BR56" s="66">
        <f t="shared" si="18"/>
        <v>0</v>
      </c>
      <c r="BS56" s="88"/>
      <c r="BT56" s="66">
        <f>'[1]Univ Comm Fund'!U56</f>
        <v>193140000</v>
      </c>
      <c r="BU56" s="66">
        <f>'[1]UNIV 2019'!U62</f>
        <v>193140000</v>
      </c>
      <c r="BV56" s="66">
        <f t="shared" si="2"/>
        <v>0</v>
      </c>
      <c r="BW56" s="66"/>
      <c r="BX56" s="66">
        <f>'[1]Univ Comm Fund'!V56</f>
        <v>280000000</v>
      </c>
      <c r="BY56" s="66">
        <f>'[1]UNIV 2019'!V62</f>
        <v>280000000</v>
      </c>
      <c r="BZ56" s="66">
        <f t="shared" si="19"/>
        <v>0</v>
      </c>
      <c r="CA56" s="66"/>
      <c r="CB56" s="66">
        <f>'[1]Univ Comm Fund'!W56</f>
        <v>175000000</v>
      </c>
      <c r="CC56" s="66">
        <f>'[1]UNIV 2019'!W62</f>
        <v>175000000</v>
      </c>
      <c r="CD56" s="66">
        <f t="shared" si="20"/>
        <v>0</v>
      </c>
      <c r="CE56" s="66"/>
      <c r="CF56" s="66">
        <v>75000000</v>
      </c>
      <c r="CG56" s="66">
        <f>'[1]UNIV 2019'!X62</f>
        <v>75000000</v>
      </c>
      <c r="CH56" s="75">
        <f t="shared" si="21"/>
        <v>0</v>
      </c>
      <c r="CI56" s="66"/>
      <c r="CJ56" s="66">
        <f>'[1]Univ Comm Fund'!Y56</f>
        <v>0</v>
      </c>
      <c r="CK56" s="66">
        <f>'[1]UNIV 2019'!Y62</f>
        <v>0</v>
      </c>
      <c r="CL56" s="66">
        <f t="shared" si="22"/>
        <v>0</v>
      </c>
      <c r="CM56" s="66"/>
      <c r="CN56" s="20">
        <f>'[1]Univ Comm Fund'!Z56</f>
        <v>350000000</v>
      </c>
      <c r="CO56" s="66">
        <f>'[1]UNIV 2019'!Z62</f>
        <v>350000000</v>
      </c>
      <c r="CP56" s="66">
        <f t="shared" si="23"/>
        <v>0</v>
      </c>
      <c r="CQ56" s="20"/>
      <c r="CR56" s="66">
        <f>'[1]Univ Comm Fund'!AA56</f>
        <v>230000000</v>
      </c>
      <c r="CS56" s="66">
        <f>'[1]UNIV 2019'!AA62</f>
        <v>230000000</v>
      </c>
      <c r="CT56" s="75">
        <f t="shared" si="24"/>
        <v>0</v>
      </c>
      <c r="CU56" s="66"/>
      <c r="CV56" s="66">
        <f>'[1]Univ Comm Fund'!AB56</f>
        <v>230000000</v>
      </c>
      <c r="CW56" s="66">
        <f>'[1]UNIV 2019'!AB62</f>
        <v>230000000</v>
      </c>
      <c r="CX56" s="75">
        <f t="shared" si="25"/>
        <v>0</v>
      </c>
      <c r="CY56" s="66"/>
      <c r="CZ56" s="66">
        <f>'[1]Univ Comm Fund'!AC56</f>
        <v>356000000</v>
      </c>
      <c r="DA56" s="66">
        <f>'[1]UNIV 2019'!AC62</f>
        <v>356000000</v>
      </c>
      <c r="DB56" s="66">
        <f t="shared" si="26"/>
        <v>0</v>
      </c>
      <c r="DC56" s="66"/>
      <c r="DD56" s="66">
        <f>'[1]Univ Comm Fund'!AD56</f>
        <v>20000000</v>
      </c>
      <c r="DE56" s="66">
        <f>'[1]UNIV 2019'!AD62</f>
        <v>20000000</v>
      </c>
      <c r="DF56" s="66">
        <f t="shared" si="27"/>
        <v>0</v>
      </c>
      <c r="DG56" s="66"/>
      <c r="DH56" s="66">
        <f>'[1]Univ Comm Fund'!AE56</f>
        <v>552000000</v>
      </c>
      <c r="DI56" s="66">
        <f>'[1]UNIV 2019'!AE62</f>
        <v>314640000</v>
      </c>
      <c r="DJ56" s="66">
        <f t="shared" si="28"/>
        <v>237360000</v>
      </c>
      <c r="DK56" s="66"/>
      <c r="DL56" s="66">
        <f>'[1]Univ Comm Fund'!AF56</f>
        <v>20000000</v>
      </c>
      <c r="DM56" s="66">
        <f>'[1]UNIV 2019'!AF62</f>
        <v>0</v>
      </c>
      <c r="DN56" s="66">
        <f t="shared" si="29"/>
        <v>20000000</v>
      </c>
      <c r="DO56" s="66"/>
      <c r="DP56" s="66">
        <f>'[1]Univ Comm Fund'!AG56</f>
        <v>300000000</v>
      </c>
      <c r="DQ56" s="66">
        <f>'[1]UNIV 2019'!AG62</f>
        <v>300000000</v>
      </c>
      <c r="DR56" s="66">
        <f t="shared" si="30"/>
        <v>0</v>
      </c>
      <c r="DS56" s="66"/>
      <c r="DT56" s="66">
        <f>'[1]Univ Comm Fund'!AH56</f>
        <v>100000000</v>
      </c>
      <c r="DU56" s="66">
        <f>'[1]UNIV 2019'!AH62</f>
        <v>57000000</v>
      </c>
      <c r="DV56" s="66">
        <f t="shared" si="31"/>
        <v>43000000</v>
      </c>
      <c r="DW56" s="66"/>
      <c r="DX56" s="66">
        <f>'[1]Univ Comm Fund'!AI56</f>
        <v>15000000</v>
      </c>
      <c r="DY56" s="66">
        <f>'[1]UNIV 2019'!AI62</f>
        <v>0</v>
      </c>
      <c r="DZ56" s="66">
        <f t="shared" si="32"/>
        <v>15000000</v>
      </c>
      <c r="EA56" s="66"/>
      <c r="EB56" s="66">
        <f>'[1]Univ Comm Fund'!AJ56</f>
        <v>2000000</v>
      </c>
      <c r="EC56" s="66">
        <f>'[1]UNIV 2019'!AJ62</f>
        <v>0</v>
      </c>
      <c r="ED56" s="66">
        <f t="shared" si="33"/>
        <v>2000000</v>
      </c>
      <c r="EE56" s="66"/>
      <c r="EF56" s="66">
        <f>'[1]Univ Comm Fund'!AK56</f>
        <v>10000000</v>
      </c>
      <c r="EG56" s="66">
        <f>'[1]UNIV 2019'!AK62</f>
        <v>0</v>
      </c>
      <c r="EH56" s="66">
        <f t="shared" si="34"/>
        <v>10000000</v>
      </c>
      <c r="EI56" s="66"/>
      <c r="EJ56" s="66">
        <f>'[1]Univ Comm Fund'!AL56</f>
        <v>600000000</v>
      </c>
      <c r="EK56" s="66">
        <f>'[1]UNIV 2019'!AL62</f>
        <v>595500000</v>
      </c>
      <c r="EL56" s="66">
        <f t="shared" si="35"/>
        <v>4500000</v>
      </c>
      <c r="EM56" s="66"/>
      <c r="EN56" s="80">
        <f>'[1]Univ Comm Fund'!AM56</f>
        <v>565410000</v>
      </c>
      <c r="EO56" s="66">
        <f>'[1]UNIV 2019'!AM62</f>
        <v>322283700</v>
      </c>
      <c r="EP56" s="75">
        <f t="shared" si="36"/>
        <v>243126300</v>
      </c>
      <c r="EQ56" s="66"/>
      <c r="ER56" s="66">
        <f>'[1]Univ Comm Fund'!AN56</f>
        <v>15000000</v>
      </c>
      <c r="ES56" s="66">
        <f>'[1]UNIV 2019'!AN62</f>
        <v>0</v>
      </c>
      <c r="ET56" s="75">
        <f t="shared" si="37"/>
        <v>15000000</v>
      </c>
      <c r="EU56" s="66"/>
      <c r="EV56" s="66">
        <f>'[1]Univ Comm Fund'!AO56</f>
        <v>15000000</v>
      </c>
      <c r="EW56" s="66">
        <f>'[1]UNIV 2019'!AO62</f>
        <v>0</v>
      </c>
      <c r="EX56" s="75">
        <f t="shared" si="38"/>
        <v>15000000</v>
      </c>
      <c r="EY56" s="66"/>
      <c r="EZ56" s="66">
        <f>'[1]Univ Comm Fund'!AP56</f>
        <v>10000000</v>
      </c>
      <c r="FA56" s="66">
        <f>'[1]UNIV 2019'!AP62</f>
        <v>0</v>
      </c>
      <c r="FB56" s="75">
        <f t="shared" si="39"/>
        <v>10000000</v>
      </c>
      <c r="FC56" s="75"/>
      <c r="FD56" s="75">
        <f>'[1]Univ Comm Fund'!AQ56</f>
        <v>0</v>
      </c>
      <c r="FE56" s="75">
        <f>'[1]UNIV 2019'!AQ62</f>
        <v>0</v>
      </c>
      <c r="FF56" s="75">
        <f t="shared" si="40"/>
        <v>0</v>
      </c>
      <c r="FG56" s="75"/>
      <c r="FH56" s="81">
        <f>'[1]Univ Comm Fund'!AR56</f>
        <v>300000000</v>
      </c>
      <c r="FI56" s="75">
        <f>'[1]UNIV 2019'!AR62</f>
        <v>198000000</v>
      </c>
      <c r="FJ56" s="75">
        <f t="shared" si="41"/>
        <v>102000000</v>
      </c>
      <c r="FK56" s="75"/>
      <c r="FL56" s="75">
        <f>'[1]Univ Comm Fund'!AS56</f>
        <v>300000000</v>
      </c>
      <c r="FM56" s="75">
        <f>'[1]UNIV 2019'!AS62</f>
        <v>0</v>
      </c>
      <c r="FN56" s="75">
        <f t="shared" si="42"/>
        <v>300000000</v>
      </c>
      <c r="FO56" s="75"/>
      <c r="FP56" s="75">
        <f>'[1]Univ Comm Fund'!AT56</f>
        <v>120000000</v>
      </c>
      <c r="FQ56" s="75">
        <f>'[1]UNIV 2019'!AT62</f>
        <v>82800000</v>
      </c>
      <c r="FR56" s="75">
        <f t="shared" si="43"/>
        <v>37200000</v>
      </c>
      <c r="FS56" s="75"/>
      <c r="FT56" s="75">
        <f>'[1]Univ Comm Fund'!AU56</f>
        <v>10000000</v>
      </c>
      <c r="FU56" s="75">
        <f>'[1]UNIV 2019'!AU62</f>
        <v>0</v>
      </c>
      <c r="FV56" s="75">
        <f t="shared" si="44"/>
        <v>10000000</v>
      </c>
      <c r="FW56" s="75"/>
      <c r="FX56" s="75">
        <f>'[1]Univ Comm Fund'!AV56</f>
        <v>5000000</v>
      </c>
      <c r="FY56" s="75">
        <f>'[1]UNIV 2019'!AV62</f>
        <v>0</v>
      </c>
      <c r="FZ56" s="75">
        <f t="shared" si="45"/>
        <v>5000000</v>
      </c>
      <c r="GA56" s="75"/>
      <c r="GB56" s="75">
        <f>'[1]Univ Comm Fund'!AW56</f>
        <v>10000000</v>
      </c>
      <c r="GC56" s="75">
        <f>'[1]UNIV 2019'!AW62</f>
        <v>0</v>
      </c>
      <c r="GD56" s="75">
        <f t="shared" si="46"/>
        <v>10000000</v>
      </c>
      <c r="GE56" s="75"/>
      <c r="GF56" s="75">
        <f>'[1]Univ Comm Fund'!AX56</f>
        <v>0</v>
      </c>
      <c r="GG56" s="75">
        <f>'[1]UNIV 2019'!AX62</f>
        <v>0</v>
      </c>
      <c r="GH56" s="75">
        <f t="shared" si="47"/>
        <v>0</v>
      </c>
      <c r="GI56" s="75"/>
      <c r="GJ56" s="75">
        <f>'[1]Univ Comm Fund'!AY56</f>
        <v>350000000</v>
      </c>
      <c r="GK56" s="75">
        <f>'[1]UNIV 2019'!AY62</f>
        <v>0</v>
      </c>
      <c r="GL56" s="75">
        <f t="shared" si="48"/>
        <v>350000000</v>
      </c>
      <c r="GM56" s="75"/>
      <c r="GN56" s="75">
        <f>'[1]Univ Comm Fund'!AZ56</f>
        <v>175823700</v>
      </c>
      <c r="GO56" s="75">
        <f>'[1]UNIV 2019'!AZ62</f>
        <v>0</v>
      </c>
      <c r="GP56" s="75">
        <f t="shared" si="49"/>
        <v>175823700</v>
      </c>
      <c r="GQ56" s="75"/>
      <c r="GR56" s="75">
        <f>'[1]Univ Comm Fund'!BA56</f>
        <v>20000000</v>
      </c>
      <c r="GS56" s="75">
        <f>'[1]UNIV 2019'!BA62</f>
        <v>0</v>
      </c>
      <c r="GT56" s="75">
        <f t="shared" si="50"/>
        <v>20000000</v>
      </c>
      <c r="GU56" s="75"/>
      <c r="GV56" s="75">
        <f>'[1]Univ Comm Fund'!BB56</f>
        <v>5000000</v>
      </c>
      <c r="GW56" s="75">
        <f>'[1]UNIV 2019'!BB62</f>
        <v>0</v>
      </c>
      <c r="GX56" s="75">
        <f t="shared" si="51"/>
        <v>5000000</v>
      </c>
      <c r="GY56" s="75"/>
      <c r="GZ56" s="75">
        <f>'[1]Univ Comm Fund'!BC56</f>
        <v>10000000</v>
      </c>
      <c r="HA56" s="75">
        <f>'[1]UNIV 2019'!BD62</f>
        <v>0</v>
      </c>
      <c r="HB56" s="75">
        <f t="shared" si="52"/>
        <v>10000000</v>
      </c>
      <c r="HC56" s="75"/>
      <c r="HD56" s="75">
        <f>'[1]Univ Comm Fund'!BD56</f>
        <v>0</v>
      </c>
      <c r="HE56" s="75">
        <f>'[1]UNIV 2019'!BC62</f>
        <v>0</v>
      </c>
      <c r="HF56" s="75">
        <f t="shared" si="53"/>
        <v>0</v>
      </c>
      <c r="HG56" s="75"/>
      <c r="HH56" s="75">
        <f t="shared" si="54"/>
        <v>5630559117</v>
      </c>
      <c r="HI56" s="75">
        <f t="shared" si="54"/>
        <v>3990549117</v>
      </c>
      <c r="HJ56" s="82">
        <f t="shared" si="55"/>
        <v>1640010000</v>
      </c>
      <c r="HL56" s="83">
        <f t="shared" si="56"/>
        <v>3117550000</v>
      </c>
      <c r="HM56" s="83">
        <f t="shared" si="56"/>
        <v>1944063700</v>
      </c>
      <c r="HN56" s="84">
        <f t="shared" si="57"/>
        <v>1173486300</v>
      </c>
      <c r="HP56" s="83">
        <f t="shared" si="58"/>
        <v>1675185417</v>
      </c>
      <c r="HQ56" s="83">
        <f t="shared" si="58"/>
        <v>1670685417</v>
      </c>
      <c r="HR56" s="84">
        <f t="shared" si="59"/>
        <v>4500000</v>
      </c>
      <c r="HT56" s="83">
        <f t="shared" si="60"/>
        <v>145000000</v>
      </c>
      <c r="HU56" s="83">
        <f t="shared" si="60"/>
        <v>95000000</v>
      </c>
      <c r="HV56" s="84">
        <f t="shared" si="61"/>
        <v>50000000</v>
      </c>
      <c r="HX56" s="83">
        <f t="shared" si="62"/>
        <v>60000000</v>
      </c>
      <c r="HY56" s="83">
        <f t="shared" si="62"/>
        <v>0</v>
      </c>
      <c r="HZ56" s="84">
        <f t="shared" si="63"/>
        <v>60000000</v>
      </c>
      <c r="IB56" s="83">
        <f t="shared" si="64"/>
        <v>35000000</v>
      </c>
      <c r="IC56" s="83">
        <f t="shared" si="64"/>
        <v>0</v>
      </c>
      <c r="ID56" s="84">
        <f t="shared" si="65"/>
        <v>35000000</v>
      </c>
      <c r="IF56" s="83">
        <f t="shared" si="69"/>
        <v>2000000</v>
      </c>
      <c r="IG56" s="83">
        <f t="shared" si="69"/>
        <v>0</v>
      </c>
      <c r="IH56" s="84">
        <f t="shared" si="66"/>
        <v>2000000</v>
      </c>
      <c r="IJ56" s="84">
        <f t="shared" si="67"/>
        <v>595823700</v>
      </c>
      <c r="IK56" s="84">
        <f t="shared" si="67"/>
        <v>280800000</v>
      </c>
      <c r="IL56" s="84">
        <f t="shared" si="68"/>
        <v>315023700</v>
      </c>
    </row>
    <row r="57" spans="1:246" ht="18.75" customHeight="1" x14ac:dyDescent="0.25">
      <c r="A57" s="42">
        <v>52</v>
      </c>
      <c r="B57" s="127" t="s">
        <v>116</v>
      </c>
      <c r="C57" s="128" t="s">
        <v>63</v>
      </c>
      <c r="D57" s="66">
        <f>'[1]Univ Comm Fund'!D57</f>
        <v>0</v>
      </c>
      <c r="E57" s="66">
        <f>'[1]UNIV 2019'!D63</f>
        <v>0</v>
      </c>
      <c r="F57" s="75">
        <f t="shared" si="4"/>
        <v>0</v>
      </c>
      <c r="G57" s="66"/>
      <c r="H57" s="66">
        <f>'[1]Univ Comm Fund'!E57</f>
        <v>0</v>
      </c>
      <c r="I57" s="66">
        <f>'[1]UNIV 2019'!E63</f>
        <v>0</v>
      </c>
      <c r="J57" s="66">
        <f t="shared" si="5"/>
        <v>0</v>
      </c>
      <c r="K57" s="66"/>
      <c r="L57" s="66">
        <f>'[1]Univ Comm Fund'!F57</f>
        <v>0</v>
      </c>
      <c r="M57" s="66">
        <f>'[1]UNIV 2019'!F63</f>
        <v>0</v>
      </c>
      <c r="N57" s="66">
        <f t="shared" si="6"/>
        <v>0</v>
      </c>
      <c r="O57" s="66"/>
      <c r="P57" s="66">
        <f>'[1]Univ Comm Fund'!G57</f>
        <v>0</v>
      </c>
      <c r="Q57" s="66">
        <f>'[1]UNIV 2019'!G63</f>
        <v>0</v>
      </c>
      <c r="R57" s="66">
        <f t="shared" si="7"/>
        <v>0</v>
      </c>
      <c r="S57" s="87"/>
      <c r="T57" s="66">
        <f>'[1]Univ Comm Fund'!H57</f>
        <v>0</v>
      </c>
      <c r="U57" s="66">
        <f>'[1]UNIV 2019'!H63</f>
        <v>0</v>
      </c>
      <c r="V57" s="66">
        <f t="shared" si="8"/>
        <v>0</v>
      </c>
      <c r="W57" s="66"/>
      <c r="X57" s="66">
        <f>'[1]Univ Comm Fund'!I57</f>
        <v>0</v>
      </c>
      <c r="Y57" s="66">
        <f>'[1]UNIV 2019'!I63</f>
        <v>0</v>
      </c>
      <c r="Z57" s="66">
        <f t="shared" si="9"/>
        <v>0</v>
      </c>
      <c r="AA57" s="66"/>
      <c r="AB57" s="66">
        <f>'[1]Univ Comm Fund'!J57</f>
        <v>0</v>
      </c>
      <c r="AC57" s="66">
        <f>'[1]UNIV 2019'!J63</f>
        <v>0</v>
      </c>
      <c r="AD57" s="66">
        <f t="shared" si="10"/>
        <v>0</v>
      </c>
      <c r="AE57" s="66"/>
      <c r="AF57" s="88">
        <f>'[1]Univ Comm Fund'!K57</f>
        <v>0</v>
      </c>
      <c r="AG57" s="66">
        <f>'[1]UNIV 2019'!K63</f>
        <v>0</v>
      </c>
      <c r="AH57" s="66">
        <f t="shared" si="11"/>
        <v>0</v>
      </c>
      <c r="AI57" s="88"/>
      <c r="AJ57" s="66">
        <f>'[1]Univ Comm Fund'!L57</f>
        <v>0</v>
      </c>
      <c r="AK57" s="66">
        <f>'[1]UNIV 2019'!L63</f>
        <v>0</v>
      </c>
      <c r="AL57" s="66">
        <f t="shared" si="12"/>
        <v>0</v>
      </c>
      <c r="AM57" s="66"/>
      <c r="AN57" s="66">
        <f>'[1]Univ Comm Fund'!M57</f>
        <v>0</v>
      </c>
      <c r="AO57" s="66">
        <f>'[1]UNIV 2019'!M63</f>
        <v>0</v>
      </c>
      <c r="AP57" s="66">
        <f t="shared" si="13"/>
        <v>0</v>
      </c>
      <c r="AQ57" s="66"/>
      <c r="AR57" s="66">
        <f>'[1]Univ Comm Fund'!N57</f>
        <v>0</v>
      </c>
      <c r="AS57" s="66">
        <f>'[1]UNIV 2019'!N63</f>
        <v>0</v>
      </c>
      <c r="AT57" s="66">
        <f t="shared" si="14"/>
        <v>0</v>
      </c>
      <c r="AU57" s="66"/>
      <c r="AV57" s="66">
        <f>'[1]Univ Comm Fund'!O57</f>
        <v>0</v>
      </c>
      <c r="AW57" s="66">
        <f>'[1]UNIV 2019'!O63</f>
        <v>0</v>
      </c>
      <c r="AX57" s="66">
        <f t="shared" si="15"/>
        <v>0</v>
      </c>
      <c r="AY57" s="66"/>
      <c r="AZ57" s="66">
        <f>'[1]Univ Comm Fund'!P57</f>
        <v>0</v>
      </c>
      <c r="BA57" s="66">
        <f>'[1]UNIV 2019'!P63</f>
        <v>0</v>
      </c>
      <c r="BB57" s="66">
        <f t="shared" si="0"/>
        <v>0</v>
      </c>
      <c r="BC57" s="66"/>
      <c r="BD57" s="66">
        <f>'[1]Univ Comm Fund'!Q57</f>
        <v>52000000</v>
      </c>
      <c r="BE57" s="66">
        <f>'[1]UNIV 2019'!Q63</f>
        <v>52000000</v>
      </c>
      <c r="BF57" s="66">
        <f t="shared" si="1"/>
        <v>0</v>
      </c>
      <c r="BG57" s="66"/>
      <c r="BH57" s="66">
        <f>'[1]Univ Comm Fund'!R57</f>
        <v>67000000</v>
      </c>
      <c r="BI57" s="66">
        <f>'[1]UNIV 2019'!R63</f>
        <v>67000000</v>
      </c>
      <c r="BJ57" s="66">
        <f t="shared" si="16"/>
        <v>0</v>
      </c>
      <c r="BK57" s="66"/>
      <c r="BL57" s="66">
        <f>'[1]Univ Comm Fund'!S57</f>
        <v>57000000</v>
      </c>
      <c r="BM57" s="66">
        <f>'[1]UNIV 2019'!S63</f>
        <v>57000000</v>
      </c>
      <c r="BN57" s="66">
        <f t="shared" si="17"/>
        <v>0</v>
      </c>
      <c r="BO57" s="66"/>
      <c r="BP57" s="66">
        <f>'[1]Univ Comm Fund'!T57</f>
        <v>300000000</v>
      </c>
      <c r="BQ57" s="66">
        <f>'[1]UNIV 2019'!T63</f>
        <v>300000000</v>
      </c>
      <c r="BR57" s="66">
        <f t="shared" si="18"/>
        <v>0</v>
      </c>
      <c r="BS57" s="66"/>
      <c r="BT57" s="66">
        <f>'[1]Univ Comm Fund'!U57</f>
        <v>193140000</v>
      </c>
      <c r="BU57" s="66">
        <f>'[1]UNIV 2019'!U63</f>
        <v>193140000</v>
      </c>
      <c r="BV57" s="66">
        <f t="shared" si="2"/>
        <v>0</v>
      </c>
      <c r="BW57" s="66"/>
      <c r="BX57" s="66">
        <f>'[1]Univ Comm Fund'!V57</f>
        <v>0</v>
      </c>
      <c r="BY57" s="66">
        <f>'[1]UNIV 2019'!V63</f>
        <v>0</v>
      </c>
      <c r="BZ57" s="66">
        <f t="shared" si="19"/>
        <v>0</v>
      </c>
      <c r="CA57" s="66"/>
      <c r="CB57" s="66">
        <f>'[1]Univ Comm Fund'!W57</f>
        <v>175000000</v>
      </c>
      <c r="CC57" s="66">
        <f>'[1]UNIV 2019'!W63</f>
        <v>175000000</v>
      </c>
      <c r="CD57" s="66">
        <f t="shared" si="20"/>
        <v>0</v>
      </c>
      <c r="CE57" s="66"/>
      <c r="CF57" s="66">
        <v>75000000</v>
      </c>
      <c r="CG57" s="66">
        <f>'[1]UNIV 2019'!X63</f>
        <v>75000000</v>
      </c>
      <c r="CH57" s="75">
        <f t="shared" si="21"/>
        <v>0</v>
      </c>
      <c r="CI57" s="66"/>
      <c r="CJ57" s="66">
        <f>'[1]Univ Comm Fund'!Y57</f>
        <v>200000000</v>
      </c>
      <c r="CK57" s="66">
        <f>'[1]UNIV 2019'!Y63</f>
        <v>200000000</v>
      </c>
      <c r="CL57" s="66">
        <f t="shared" si="22"/>
        <v>0</v>
      </c>
      <c r="CM57" s="66"/>
      <c r="CN57" s="20">
        <f>'[1]Univ Comm Fund'!Z57</f>
        <v>350000000</v>
      </c>
      <c r="CO57" s="66">
        <f>'[1]UNIV 2019'!Z63</f>
        <v>350000000</v>
      </c>
      <c r="CP57" s="66">
        <f t="shared" si="23"/>
        <v>0</v>
      </c>
      <c r="CQ57" s="20"/>
      <c r="CR57" s="66">
        <f>'[1]Univ Comm Fund'!AA57</f>
        <v>42000000</v>
      </c>
      <c r="CS57" s="66">
        <f>'[1]UNIV 2019'!AA63</f>
        <v>42000000</v>
      </c>
      <c r="CT57" s="75">
        <f t="shared" si="24"/>
        <v>0</v>
      </c>
      <c r="CU57" s="66"/>
      <c r="CV57" s="66">
        <f>'[1]Univ Comm Fund'!AB57</f>
        <v>100000000</v>
      </c>
      <c r="CW57" s="66">
        <f>'[1]UNIV 2019'!AB63</f>
        <v>100000000</v>
      </c>
      <c r="CX57" s="75">
        <f t="shared" si="25"/>
        <v>0</v>
      </c>
      <c r="CY57" s="66"/>
      <c r="CZ57" s="66">
        <f>'[1]Univ Comm Fund'!AC57</f>
        <v>356000000</v>
      </c>
      <c r="DA57" s="66">
        <f>'[1]UNIV 2019'!AC63</f>
        <v>356000000</v>
      </c>
      <c r="DB57" s="66">
        <f t="shared" si="26"/>
        <v>0</v>
      </c>
      <c r="DC57" s="66"/>
      <c r="DD57" s="66">
        <f>'[1]Univ Comm Fund'!AD57</f>
        <v>20000000</v>
      </c>
      <c r="DE57" s="66">
        <f>'[1]UNIV 2019'!AD63</f>
        <v>20000000</v>
      </c>
      <c r="DF57" s="66">
        <f t="shared" si="27"/>
        <v>0</v>
      </c>
      <c r="DG57" s="66"/>
      <c r="DH57" s="66">
        <f>'[1]Univ Comm Fund'!AE57</f>
        <v>552000000</v>
      </c>
      <c r="DI57" s="66">
        <f>'[1]UNIV 2019'!AE63</f>
        <v>552000000</v>
      </c>
      <c r="DJ57" s="66">
        <f t="shared" si="28"/>
        <v>0</v>
      </c>
      <c r="DK57" s="66"/>
      <c r="DL57" s="66">
        <f>'[1]Univ Comm Fund'!AF57</f>
        <v>20000000</v>
      </c>
      <c r="DM57" s="66">
        <f>'[1]UNIV 2019'!AF63</f>
        <v>17000000</v>
      </c>
      <c r="DN57" s="66">
        <f t="shared" si="29"/>
        <v>3000000</v>
      </c>
      <c r="DO57" s="66"/>
      <c r="DP57" s="66">
        <f>'[1]Univ Comm Fund'!AG57</f>
        <v>100000000</v>
      </c>
      <c r="DQ57" s="66">
        <f>'[1]UNIV 2019'!AG63</f>
        <v>100000000</v>
      </c>
      <c r="DR57" s="66">
        <f t="shared" si="30"/>
        <v>0</v>
      </c>
      <c r="DS57" s="66"/>
      <c r="DT57" s="66">
        <f>'[1]Univ Comm Fund'!AH57</f>
        <v>100000000</v>
      </c>
      <c r="DU57" s="66">
        <f>'[1]UNIV 2019'!AH63</f>
        <v>54000000</v>
      </c>
      <c r="DV57" s="66">
        <f t="shared" si="31"/>
        <v>46000000</v>
      </c>
      <c r="DW57" s="66"/>
      <c r="DX57" s="66">
        <f>'[1]Univ Comm Fund'!AI57</f>
        <v>15000000</v>
      </c>
      <c r="DY57" s="66">
        <f>'[1]UNIV 2019'!AI63</f>
        <v>8250000</v>
      </c>
      <c r="DZ57" s="66">
        <f t="shared" si="32"/>
        <v>6750000</v>
      </c>
      <c r="EA57" s="66"/>
      <c r="EB57" s="66">
        <f>'[1]Univ Comm Fund'!AJ57</f>
        <v>2000000</v>
      </c>
      <c r="EC57" s="66">
        <f>'[1]UNIV 2019'!AJ63</f>
        <v>0</v>
      </c>
      <c r="ED57" s="66">
        <f t="shared" si="33"/>
        <v>2000000</v>
      </c>
      <c r="EE57" s="66"/>
      <c r="EF57" s="66">
        <f>'[1]Univ Comm Fund'!AK57</f>
        <v>10000000</v>
      </c>
      <c r="EG57" s="66">
        <f>'[1]UNIV 2019'!AK63</f>
        <v>8500000</v>
      </c>
      <c r="EH57" s="66">
        <f t="shared" si="34"/>
        <v>1500000</v>
      </c>
      <c r="EI57" s="66"/>
      <c r="EJ57" s="66">
        <f>'[1]Univ Comm Fund'!AL57</f>
        <v>1190000000</v>
      </c>
      <c r="EK57" s="66">
        <f>'[1]UNIV 2019'!AL63</f>
        <v>1087000000</v>
      </c>
      <c r="EL57" s="66">
        <f t="shared" si="35"/>
        <v>103000000</v>
      </c>
      <c r="EM57" s="66"/>
      <c r="EN57" s="80">
        <f>'[1]Univ Comm Fund'!AM57</f>
        <v>565410000</v>
      </c>
      <c r="EO57" s="66">
        <f>'[1]UNIV 2019'!AM63</f>
        <v>305321400</v>
      </c>
      <c r="EP57" s="75">
        <f t="shared" si="36"/>
        <v>260088600</v>
      </c>
      <c r="EQ57" s="66"/>
      <c r="ER57" s="66">
        <f>'[1]Univ Comm Fund'!AN57</f>
        <v>15000000</v>
      </c>
      <c r="ES57" s="66">
        <f>'[1]UNIV 2019'!AN63</f>
        <v>8250000</v>
      </c>
      <c r="ET57" s="75">
        <f t="shared" si="37"/>
        <v>6750000</v>
      </c>
      <c r="EU57" s="66"/>
      <c r="EV57" s="66">
        <f>'[1]Univ Comm Fund'!AO57</f>
        <v>15000000</v>
      </c>
      <c r="EW57" s="66">
        <f>'[1]UNIV 2019'!AO63</f>
        <v>0</v>
      </c>
      <c r="EX57" s="75">
        <f t="shared" si="38"/>
        <v>15000000</v>
      </c>
      <c r="EY57" s="66"/>
      <c r="EZ57" s="66">
        <f>'[1]Univ Comm Fund'!AP57</f>
        <v>10000000</v>
      </c>
      <c r="FA57" s="66">
        <f>'[1]UNIV 2019'!AP63</f>
        <v>8500000</v>
      </c>
      <c r="FB57" s="75">
        <f t="shared" si="39"/>
        <v>1500000</v>
      </c>
      <c r="FC57" s="75"/>
      <c r="FD57" s="75">
        <f>'[1]Univ Comm Fund'!AQ57</f>
        <v>0</v>
      </c>
      <c r="FE57" s="75">
        <f>'[1]UNIV 2019'!AQ63</f>
        <v>0</v>
      </c>
      <c r="FF57" s="75">
        <f t="shared" si="40"/>
        <v>0</v>
      </c>
      <c r="FG57" s="75"/>
      <c r="FH57" s="75">
        <f>'[1]Univ Comm Fund'!AR57</f>
        <v>0</v>
      </c>
      <c r="FI57" s="75">
        <f>'[1]UNIV 2019'!AR63</f>
        <v>0</v>
      </c>
      <c r="FJ57" s="75">
        <f t="shared" si="41"/>
        <v>0</v>
      </c>
      <c r="FK57" s="75"/>
      <c r="FL57" s="75">
        <f>'[1]Univ Comm Fund'!AS57</f>
        <v>300000000</v>
      </c>
      <c r="FM57" s="75">
        <f>'[1]UNIV 2019'!AS63</f>
        <v>0</v>
      </c>
      <c r="FN57" s="75">
        <f t="shared" si="42"/>
        <v>300000000</v>
      </c>
      <c r="FO57" s="75"/>
      <c r="FP57" s="75">
        <f>'[1]Univ Comm Fund'!AT57</f>
        <v>120000000</v>
      </c>
      <c r="FQ57" s="75">
        <f>'[1]UNIV 2019'!AT63</f>
        <v>79200000</v>
      </c>
      <c r="FR57" s="75">
        <f t="shared" si="43"/>
        <v>40800000</v>
      </c>
      <c r="FS57" s="75"/>
      <c r="FT57" s="75">
        <f>'[1]Univ Comm Fund'!AU57</f>
        <v>10000000</v>
      </c>
      <c r="FU57" s="75">
        <f>'[1]UNIV 2019'!AU63</f>
        <v>0</v>
      </c>
      <c r="FV57" s="75">
        <f t="shared" si="44"/>
        <v>10000000</v>
      </c>
      <c r="FW57" s="75"/>
      <c r="FX57" s="75">
        <f>'[1]Univ Comm Fund'!AV57</f>
        <v>5000000</v>
      </c>
      <c r="FY57" s="75">
        <f>'[1]UNIV 2019'!AV63</f>
        <v>0</v>
      </c>
      <c r="FZ57" s="75">
        <f t="shared" si="45"/>
        <v>5000000</v>
      </c>
      <c r="GA57" s="75"/>
      <c r="GB57" s="75">
        <f>'[1]Univ Comm Fund'!AW57</f>
        <v>10000000</v>
      </c>
      <c r="GC57" s="75">
        <f>'[1]UNIV 2019'!AW63</f>
        <v>0</v>
      </c>
      <c r="GD57" s="75">
        <f t="shared" si="46"/>
        <v>10000000</v>
      </c>
      <c r="GE57" s="75"/>
      <c r="GF57" s="75">
        <f>'[1]Univ Comm Fund'!AX57</f>
        <v>0</v>
      </c>
      <c r="GG57" s="75">
        <f>'[1]UNIV 2019'!AX63</f>
        <v>0</v>
      </c>
      <c r="GH57" s="75">
        <f t="shared" si="47"/>
        <v>0</v>
      </c>
      <c r="GI57" s="75"/>
      <c r="GJ57" s="75">
        <f>'[1]Univ Comm Fund'!AY57</f>
        <v>350000000</v>
      </c>
      <c r="GK57" s="75">
        <f>'[1]UNIV 2019'!AY63</f>
        <v>0</v>
      </c>
      <c r="GL57" s="75">
        <f t="shared" si="48"/>
        <v>350000000</v>
      </c>
      <c r="GM57" s="75"/>
      <c r="GN57" s="75">
        <f>'[1]Univ Comm Fund'!AZ57</f>
        <v>175823700</v>
      </c>
      <c r="GO57" s="75">
        <f>'[1]UNIV 2019'!AZ63</f>
        <v>0</v>
      </c>
      <c r="GP57" s="75">
        <f t="shared" si="49"/>
        <v>175823700</v>
      </c>
      <c r="GQ57" s="75"/>
      <c r="GR57" s="75">
        <f>'[1]Univ Comm Fund'!BA57</f>
        <v>20000000</v>
      </c>
      <c r="GS57" s="75">
        <f>'[1]UNIV 2019'!BA63</f>
        <v>0</v>
      </c>
      <c r="GT57" s="75">
        <f t="shared" si="50"/>
        <v>20000000</v>
      </c>
      <c r="GU57" s="75"/>
      <c r="GV57" s="75">
        <f>'[1]Univ Comm Fund'!BB57</f>
        <v>5000000</v>
      </c>
      <c r="GW57" s="75">
        <f>'[1]UNIV 2019'!BB63</f>
        <v>0</v>
      </c>
      <c r="GX57" s="75">
        <f t="shared" si="51"/>
        <v>5000000</v>
      </c>
      <c r="GY57" s="75"/>
      <c r="GZ57" s="75">
        <f>'[1]Univ Comm Fund'!BC57</f>
        <v>10000000</v>
      </c>
      <c r="HA57" s="75">
        <f>'[1]UNIV 2019'!BD63</f>
        <v>0</v>
      </c>
      <c r="HB57" s="75">
        <f t="shared" si="52"/>
        <v>10000000</v>
      </c>
      <c r="HC57" s="75"/>
      <c r="HD57" s="75">
        <f>'[1]Univ Comm Fund'!BD57</f>
        <v>0</v>
      </c>
      <c r="HE57" s="75">
        <f>'[1]UNIV 2019'!BC63</f>
        <v>0</v>
      </c>
      <c r="HF57" s="75">
        <f t="shared" si="53"/>
        <v>0</v>
      </c>
      <c r="HG57" s="75"/>
      <c r="HH57" s="75">
        <f t="shared" si="54"/>
        <v>5587373700</v>
      </c>
      <c r="HI57" s="75">
        <f t="shared" si="54"/>
        <v>4215161400</v>
      </c>
      <c r="HJ57" s="82">
        <f t="shared" si="55"/>
        <v>1372212300</v>
      </c>
      <c r="HL57" s="83">
        <f t="shared" si="56"/>
        <v>3117550000</v>
      </c>
      <c r="HM57" s="83">
        <f t="shared" si="56"/>
        <v>2161461400</v>
      </c>
      <c r="HN57" s="84">
        <f t="shared" si="57"/>
        <v>956088600</v>
      </c>
      <c r="HP57" s="83">
        <f t="shared" si="58"/>
        <v>1932000000</v>
      </c>
      <c r="HQ57" s="83">
        <f t="shared" si="58"/>
        <v>1829000000</v>
      </c>
      <c r="HR57" s="84">
        <f t="shared" si="59"/>
        <v>103000000</v>
      </c>
      <c r="HT57" s="83">
        <f t="shared" si="60"/>
        <v>145000000</v>
      </c>
      <c r="HU57" s="83">
        <f t="shared" si="60"/>
        <v>129000000</v>
      </c>
      <c r="HV57" s="84">
        <f t="shared" si="61"/>
        <v>16000000</v>
      </c>
      <c r="HX57" s="83">
        <f t="shared" si="62"/>
        <v>60000000</v>
      </c>
      <c r="HY57" s="83">
        <f t="shared" si="62"/>
        <v>16500000</v>
      </c>
      <c r="HZ57" s="84">
        <f t="shared" si="63"/>
        <v>43500000</v>
      </c>
      <c r="IB57" s="83">
        <f t="shared" si="64"/>
        <v>35000000</v>
      </c>
      <c r="IC57" s="83">
        <f t="shared" si="64"/>
        <v>0</v>
      </c>
      <c r="ID57" s="84">
        <f t="shared" si="65"/>
        <v>35000000</v>
      </c>
      <c r="IF57" s="83">
        <f t="shared" si="69"/>
        <v>2000000</v>
      </c>
      <c r="IG57" s="83">
        <f t="shared" si="69"/>
        <v>0</v>
      </c>
      <c r="IH57" s="84">
        <f t="shared" si="66"/>
        <v>2000000</v>
      </c>
      <c r="IJ57" s="84">
        <f t="shared" si="67"/>
        <v>295823700</v>
      </c>
      <c r="IK57" s="84">
        <f t="shared" si="67"/>
        <v>79200000</v>
      </c>
      <c r="IL57" s="84">
        <f t="shared" si="68"/>
        <v>216623700</v>
      </c>
    </row>
    <row r="58" spans="1:246" x14ac:dyDescent="0.25">
      <c r="A58" s="42">
        <v>53</v>
      </c>
      <c r="B58" s="91" t="s">
        <v>117</v>
      </c>
      <c r="C58" s="42" t="s">
        <v>65</v>
      </c>
      <c r="D58" s="66">
        <f>'[1]Univ Comm Fund'!D58</f>
        <v>0</v>
      </c>
      <c r="E58" s="66">
        <f>'[1]UNIV 2019'!D64</f>
        <v>0</v>
      </c>
      <c r="F58" s="75">
        <f t="shared" si="4"/>
        <v>0</v>
      </c>
      <c r="G58" s="66"/>
      <c r="H58" s="66">
        <f>'[1]Univ Comm Fund'!E58</f>
        <v>0</v>
      </c>
      <c r="I58" s="66">
        <f>'[1]UNIV 2019'!E64</f>
        <v>0</v>
      </c>
      <c r="J58" s="66">
        <f t="shared" si="5"/>
        <v>0</v>
      </c>
      <c r="K58" s="66"/>
      <c r="L58" s="66">
        <f>'[1]Univ Comm Fund'!F58</f>
        <v>0</v>
      </c>
      <c r="M58" s="66">
        <f>'[1]UNIV 2019'!F64</f>
        <v>0</v>
      </c>
      <c r="N58" s="66">
        <f t="shared" si="6"/>
        <v>0</v>
      </c>
      <c r="O58" s="66"/>
      <c r="P58" s="66">
        <f>'[1]Univ Comm Fund'!G58</f>
        <v>0</v>
      </c>
      <c r="Q58" s="66">
        <f>'[1]UNIV 2019'!G64</f>
        <v>0</v>
      </c>
      <c r="R58" s="66">
        <f t="shared" si="7"/>
        <v>0</v>
      </c>
      <c r="S58" s="87"/>
      <c r="T58" s="66">
        <f>'[1]Univ Comm Fund'!H58</f>
        <v>0</v>
      </c>
      <c r="U58" s="66">
        <f>'[1]UNIV 2019'!H64</f>
        <v>0</v>
      </c>
      <c r="V58" s="66">
        <f t="shared" si="8"/>
        <v>0</v>
      </c>
      <c r="W58" s="66"/>
      <c r="X58" s="66">
        <f>'[1]Univ Comm Fund'!I58</f>
        <v>0</v>
      </c>
      <c r="Y58" s="66">
        <f>'[1]UNIV 2019'!I64</f>
        <v>0</v>
      </c>
      <c r="Z58" s="66">
        <f t="shared" si="9"/>
        <v>0</v>
      </c>
      <c r="AA58" s="66"/>
      <c r="AB58" s="66">
        <f>'[1]Univ Comm Fund'!J58</f>
        <v>0</v>
      </c>
      <c r="AC58" s="66">
        <f>'[1]UNIV 2019'!J64</f>
        <v>0</v>
      </c>
      <c r="AD58" s="66">
        <f t="shared" si="10"/>
        <v>0</v>
      </c>
      <c r="AE58" s="66"/>
      <c r="AF58" s="88">
        <f>'[1]Univ Comm Fund'!K58</f>
        <v>0</v>
      </c>
      <c r="AG58" s="66">
        <f>'[1]UNIV 2019'!K64</f>
        <v>0</v>
      </c>
      <c r="AH58" s="66">
        <f t="shared" si="11"/>
        <v>0</v>
      </c>
      <c r="AI58" s="88"/>
      <c r="AJ58" s="66">
        <f>'[1]Univ Comm Fund'!L58</f>
        <v>0</v>
      </c>
      <c r="AK58" s="66">
        <f>'[1]UNIV 2019'!L64</f>
        <v>0</v>
      </c>
      <c r="AL58" s="66">
        <f t="shared" si="12"/>
        <v>0</v>
      </c>
      <c r="AM58" s="66"/>
      <c r="AN58" s="66">
        <f>'[1]Univ Comm Fund'!M58</f>
        <v>0</v>
      </c>
      <c r="AO58" s="66">
        <f>'[1]UNIV 2019'!M64</f>
        <v>0</v>
      </c>
      <c r="AP58" s="66">
        <f t="shared" si="13"/>
        <v>0</v>
      </c>
      <c r="AQ58" s="66"/>
      <c r="AR58" s="66">
        <f>'[1]Univ Comm Fund'!N58</f>
        <v>0</v>
      </c>
      <c r="AS58" s="66">
        <f>'[1]UNIV 2019'!N64</f>
        <v>0</v>
      </c>
      <c r="AT58" s="66">
        <f t="shared" si="14"/>
        <v>0</v>
      </c>
      <c r="AU58" s="66"/>
      <c r="AV58" s="66">
        <f>'[1]Univ Comm Fund'!O58</f>
        <v>0</v>
      </c>
      <c r="AW58" s="66">
        <f>'[1]UNIV 2019'!O64</f>
        <v>0</v>
      </c>
      <c r="AX58" s="66">
        <f t="shared" si="15"/>
        <v>0</v>
      </c>
      <c r="AY58" s="66"/>
      <c r="AZ58" s="66">
        <f>'[1]Univ Comm Fund'!P58</f>
        <v>0</v>
      </c>
      <c r="BA58" s="66">
        <f>'[1]UNIV 2019'!P64</f>
        <v>0</v>
      </c>
      <c r="BB58" s="66">
        <f t="shared" si="0"/>
        <v>0</v>
      </c>
      <c r="BC58" s="66"/>
      <c r="BD58" s="66">
        <f>'[1]Univ Comm Fund'!Q58</f>
        <v>500000000</v>
      </c>
      <c r="BE58" s="66">
        <f>'[1]UNIV 2019'!Q64</f>
        <v>500000000</v>
      </c>
      <c r="BF58" s="66">
        <f t="shared" si="1"/>
        <v>0</v>
      </c>
      <c r="BG58" s="66"/>
      <c r="BH58" s="66">
        <f>'[1]Univ Comm Fund'!R58</f>
        <v>67000000</v>
      </c>
      <c r="BI58" s="66">
        <f>'[1]UNIV 2019'!R64</f>
        <v>67000000</v>
      </c>
      <c r="BJ58" s="66">
        <f t="shared" si="16"/>
        <v>0</v>
      </c>
      <c r="BK58" s="66"/>
      <c r="BL58" s="66">
        <f>'[1]Univ Comm Fund'!S58</f>
        <v>57000000</v>
      </c>
      <c r="BM58" s="66">
        <f>'[1]UNIV 2019'!S64</f>
        <v>57000000</v>
      </c>
      <c r="BN58" s="66">
        <f t="shared" si="17"/>
        <v>0</v>
      </c>
      <c r="BO58" s="66"/>
      <c r="BP58" s="66">
        <f>'[1]Univ Comm Fund'!T58</f>
        <v>0</v>
      </c>
      <c r="BQ58" s="66">
        <f>'[1]UNIV 2019'!T64</f>
        <v>0</v>
      </c>
      <c r="BR58" s="66">
        <f t="shared" si="18"/>
        <v>0</v>
      </c>
      <c r="BS58" s="66"/>
      <c r="BT58" s="66">
        <f>'[1]Univ Comm Fund'!U58</f>
        <v>193140000</v>
      </c>
      <c r="BU58" s="66">
        <f>'[1]UNIV 2019'!U64</f>
        <v>193140000</v>
      </c>
      <c r="BV58" s="66">
        <f t="shared" si="2"/>
        <v>0</v>
      </c>
      <c r="BW58" s="66"/>
      <c r="BX58" s="66">
        <f>'[1]Univ Comm Fund'!V58</f>
        <v>127500000</v>
      </c>
      <c r="BY58" s="66">
        <f>'[1]UNIV 2019'!V64</f>
        <v>127500000</v>
      </c>
      <c r="BZ58" s="66">
        <f t="shared" si="19"/>
        <v>0</v>
      </c>
      <c r="CA58" s="66"/>
      <c r="CB58" s="66">
        <f>'[1]Univ Comm Fund'!W58</f>
        <v>175000000</v>
      </c>
      <c r="CC58" s="66">
        <f>'[1]UNIV 2019'!W64</f>
        <v>175000000</v>
      </c>
      <c r="CD58" s="66">
        <f t="shared" si="20"/>
        <v>0</v>
      </c>
      <c r="CE58" s="66"/>
      <c r="CF58" s="66">
        <v>75000000</v>
      </c>
      <c r="CG58" s="66">
        <f>'[1]UNIV 2019'!X64</f>
        <v>42000000</v>
      </c>
      <c r="CH58" s="75">
        <f t="shared" si="21"/>
        <v>33000000</v>
      </c>
      <c r="CI58" s="66"/>
      <c r="CJ58" s="66">
        <f>'[1]Univ Comm Fund'!Y58</f>
        <v>0</v>
      </c>
      <c r="CK58" s="66">
        <f>'[1]UNIV 2019'!Y64</f>
        <v>0</v>
      </c>
      <c r="CL58" s="66">
        <f t="shared" si="22"/>
        <v>0</v>
      </c>
      <c r="CM58" s="66"/>
      <c r="CN58" s="20">
        <f>'[1]Univ Comm Fund'!Z58</f>
        <v>350000000</v>
      </c>
      <c r="CO58" s="66">
        <f>'[1]UNIV 2019'!Z64</f>
        <v>192710000</v>
      </c>
      <c r="CP58" s="66">
        <f t="shared" si="23"/>
        <v>157290000</v>
      </c>
      <c r="CQ58" s="20"/>
      <c r="CR58" s="66">
        <f>'[1]Univ Comm Fund'!AA58</f>
        <v>217000000</v>
      </c>
      <c r="CS58" s="66">
        <f>'[1]UNIV 2019'!AA64</f>
        <v>184450000</v>
      </c>
      <c r="CT58" s="75">
        <f t="shared" si="24"/>
        <v>32550000</v>
      </c>
      <c r="CU58" s="66"/>
      <c r="CV58" s="66">
        <f>'[1]Univ Comm Fund'!AB58</f>
        <v>120000000</v>
      </c>
      <c r="CW58" s="66">
        <f>'[1]UNIV 2019'!AB64</f>
        <v>120000000</v>
      </c>
      <c r="CX58" s="75">
        <f t="shared" si="25"/>
        <v>0</v>
      </c>
      <c r="CY58" s="66"/>
      <c r="CZ58" s="66">
        <f>'[1]Univ Comm Fund'!AC58</f>
        <v>356000000</v>
      </c>
      <c r="DA58" s="66">
        <f>'[1]UNIV 2019'!AC64</f>
        <v>356000000</v>
      </c>
      <c r="DB58" s="66">
        <f t="shared" si="26"/>
        <v>0</v>
      </c>
      <c r="DC58" s="66"/>
      <c r="DD58" s="66">
        <f>'[1]Univ Comm Fund'!AD58</f>
        <v>20000000</v>
      </c>
      <c r="DE58" s="66">
        <f>'[1]UNIV 2019'!AD64</f>
        <v>11200000</v>
      </c>
      <c r="DF58" s="66">
        <f t="shared" si="27"/>
        <v>8800000</v>
      </c>
      <c r="DG58" s="66"/>
      <c r="DH58" s="66">
        <f>'[1]Univ Comm Fund'!AE58</f>
        <v>552000000</v>
      </c>
      <c r="DI58" s="66">
        <f>'[1]UNIV 2019'!AE64</f>
        <v>552000000</v>
      </c>
      <c r="DJ58" s="66">
        <f t="shared" si="28"/>
        <v>0</v>
      </c>
      <c r="DK58" s="66"/>
      <c r="DL58" s="66">
        <f>'[1]Univ Comm Fund'!AF58</f>
        <v>20000000</v>
      </c>
      <c r="DM58" s="66">
        <f>'[1]UNIV 2019'!AF64</f>
        <v>11200000</v>
      </c>
      <c r="DN58" s="66">
        <f t="shared" si="29"/>
        <v>8800000</v>
      </c>
      <c r="DO58" s="66"/>
      <c r="DP58" s="66">
        <f>'[1]Univ Comm Fund'!AG58</f>
        <v>130000000</v>
      </c>
      <c r="DQ58" s="66">
        <f>'[1]UNIV 2019'!AG64</f>
        <v>121300000</v>
      </c>
      <c r="DR58" s="66">
        <f t="shared" si="30"/>
        <v>8700000</v>
      </c>
      <c r="DS58" s="66"/>
      <c r="DT58" s="66">
        <f>'[1]Univ Comm Fund'!AH58</f>
        <v>100000000</v>
      </c>
      <c r="DU58" s="66">
        <f>'[1]UNIV 2019'!AH64</f>
        <v>55060000</v>
      </c>
      <c r="DV58" s="66">
        <f t="shared" si="31"/>
        <v>44940000</v>
      </c>
      <c r="DW58" s="66"/>
      <c r="DX58" s="66">
        <f>'[1]Univ Comm Fund'!AI58</f>
        <v>15000000</v>
      </c>
      <c r="DY58" s="66">
        <f>'[1]UNIV 2019'!AI64</f>
        <v>7800000</v>
      </c>
      <c r="DZ58" s="66">
        <f t="shared" si="32"/>
        <v>7200000</v>
      </c>
      <c r="EA58" s="66"/>
      <c r="EB58" s="66">
        <f>'[1]Univ Comm Fund'!AJ58</f>
        <v>2000000</v>
      </c>
      <c r="EC58" s="66">
        <f>'[1]UNIV 2019'!AJ64</f>
        <v>2000000</v>
      </c>
      <c r="ED58" s="66">
        <f t="shared" si="33"/>
        <v>0</v>
      </c>
      <c r="EE58" s="66"/>
      <c r="EF58" s="66">
        <f>'[1]Univ Comm Fund'!AK58</f>
        <v>10000000</v>
      </c>
      <c r="EG58" s="66">
        <f>'[1]UNIV 2019'!AK64</f>
        <v>5600000</v>
      </c>
      <c r="EH58" s="66">
        <f t="shared" si="34"/>
        <v>4400000</v>
      </c>
      <c r="EI58" s="66"/>
      <c r="EJ58" s="66">
        <f>'[1]Univ Comm Fund'!AL58</f>
        <v>0</v>
      </c>
      <c r="EK58" s="66">
        <f>'[1]UNIV 2019'!AL64</f>
        <v>0</v>
      </c>
      <c r="EL58" s="66">
        <f t="shared" si="35"/>
        <v>0</v>
      </c>
      <c r="EM58" s="66"/>
      <c r="EN58" s="80">
        <f>'[1]Univ Comm Fund'!AM58</f>
        <v>565410000</v>
      </c>
      <c r="EO58" s="66">
        <f>'[1]UNIV 2019'!AM64</f>
        <v>311321900</v>
      </c>
      <c r="EP58" s="75">
        <f t="shared" si="36"/>
        <v>254088100</v>
      </c>
      <c r="EQ58" s="66"/>
      <c r="ER58" s="66">
        <f>'[1]Univ Comm Fund'!AN58</f>
        <v>15000000</v>
      </c>
      <c r="ES58" s="66">
        <f>'[1]UNIV 2019'!AN64</f>
        <v>7800000</v>
      </c>
      <c r="ET58" s="75">
        <f t="shared" si="37"/>
        <v>7200000</v>
      </c>
      <c r="EU58" s="66"/>
      <c r="EV58" s="66">
        <f>'[1]Univ Comm Fund'!AO58</f>
        <v>15000000</v>
      </c>
      <c r="EW58" s="66">
        <f>'[1]UNIV 2019'!AO64</f>
        <v>0</v>
      </c>
      <c r="EX58" s="75">
        <f t="shared" si="38"/>
        <v>15000000</v>
      </c>
      <c r="EY58" s="66"/>
      <c r="EZ58" s="66">
        <f>'[1]Univ Comm Fund'!AP58</f>
        <v>10000000</v>
      </c>
      <c r="FA58" s="66">
        <f>'[1]UNIV 2019'!AP64</f>
        <v>0</v>
      </c>
      <c r="FB58" s="75">
        <f t="shared" si="39"/>
        <v>10000000</v>
      </c>
      <c r="FC58" s="75"/>
      <c r="FD58" s="75">
        <f>'[1]Univ Comm Fund'!AQ58</f>
        <v>0</v>
      </c>
      <c r="FE58" s="75">
        <f>'[1]UNIV 2019'!AQ64</f>
        <v>0</v>
      </c>
      <c r="FF58" s="75">
        <f t="shared" si="40"/>
        <v>0</v>
      </c>
      <c r="FG58" s="75"/>
      <c r="FH58" s="81">
        <f>'[1]Univ Comm Fund'!AR58</f>
        <v>300000000</v>
      </c>
      <c r="FI58" s="75">
        <f>'[1]UNIV 2019'!AR64</f>
        <v>300000000</v>
      </c>
      <c r="FJ58" s="75">
        <f t="shared" si="41"/>
        <v>0</v>
      </c>
      <c r="FK58" s="75"/>
      <c r="FL58" s="75">
        <f>'[1]Univ Comm Fund'!AS58</f>
        <v>300000000</v>
      </c>
      <c r="FM58" s="75">
        <f>'[1]UNIV 2019'!AS64</f>
        <v>0</v>
      </c>
      <c r="FN58" s="75">
        <f t="shared" si="42"/>
        <v>300000000</v>
      </c>
      <c r="FO58" s="75"/>
      <c r="FP58" s="75">
        <f>'[1]Univ Comm Fund'!AT58</f>
        <v>120000000</v>
      </c>
      <c r="FQ58" s="75">
        <f>'[1]UNIV 2019'!AT64</f>
        <v>92400000</v>
      </c>
      <c r="FR58" s="75">
        <f t="shared" si="43"/>
        <v>27600000</v>
      </c>
      <c r="FS58" s="75"/>
      <c r="FT58" s="75">
        <f>'[1]Univ Comm Fund'!AU58</f>
        <v>10000000</v>
      </c>
      <c r="FU58" s="75">
        <f>'[1]UNIV 2019'!AU64</f>
        <v>0</v>
      </c>
      <c r="FV58" s="75">
        <f t="shared" si="44"/>
        <v>10000000</v>
      </c>
      <c r="FW58" s="75"/>
      <c r="FX58" s="75">
        <f>'[1]Univ Comm Fund'!AV58</f>
        <v>5000000</v>
      </c>
      <c r="FY58" s="75">
        <f>'[1]UNIV 2019'!AV64</f>
        <v>0</v>
      </c>
      <c r="FZ58" s="75">
        <f t="shared" si="45"/>
        <v>5000000</v>
      </c>
      <c r="GA58" s="75"/>
      <c r="GB58" s="75">
        <f>'[1]Univ Comm Fund'!AW58</f>
        <v>10000000</v>
      </c>
      <c r="GC58" s="75">
        <f>'[1]UNIV 2019'!AW64</f>
        <v>0</v>
      </c>
      <c r="GD58" s="75">
        <f t="shared" si="46"/>
        <v>10000000</v>
      </c>
      <c r="GE58" s="75"/>
      <c r="GF58" s="75">
        <f>'[1]Univ Comm Fund'!AX58</f>
        <v>0</v>
      </c>
      <c r="GG58" s="75">
        <f>'[1]UNIV 2019'!AX64</f>
        <v>0</v>
      </c>
      <c r="GH58" s="75">
        <f t="shared" si="47"/>
        <v>0</v>
      </c>
      <c r="GI58" s="75"/>
      <c r="GJ58" s="75">
        <f>'[1]Univ Comm Fund'!AY58</f>
        <v>350000000</v>
      </c>
      <c r="GK58" s="75">
        <f>'[1]UNIV 2019'!AY64</f>
        <v>0</v>
      </c>
      <c r="GL58" s="75">
        <f t="shared" si="48"/>
        <v>350000000</v>
      </c>
      <c r="GM58" s="75"/>
      <c r="GN58" s="75">
        <f>'[1]Univ Comm Fund'!AZ58</f>
        <v>175823700</v>
      </c>
      <c r="GO58" s="75">
        <f>'[1]UNIV 2019'!AZ64</f>
        <v>0</v>
      </c>
      <c r="GP58" s="75">
        <f t="shared" si="49"/>
        <v>175823700</v>
      </c>
      <c r="GQ58" s="75"/>
      <c r="GR58" s="75">
        <f>'[1]Univ Comm Fund'!BA58</f>
        <v>20000000</v>
      </c>
      <c r="GS58" s="75">
        <f>'[1]UNIV 2019'!BA64</f>
        <v>0</v>
      </c>
      <c r="GT58" s="75">
        <f t="shared" si="50"/>
        <v>20000000</v>
      </c>
      <c r="GU58" s="75"/>
      <c r="GV58" s="75">
        <f>'[1]Univ Comm Fund'!BB58</f>
        <v>5000000</v>
      </c>
      <c r="GW58" s="75">
        <f>'[1]UNIV 2019'!BB64</f>
        <v>0</v>
      </c>
      <c r="GX58" s="75">
        <f t="shared" si="51"/>
        <v>5000000</v>
      </c>
      <c r="GY58" s="75"/>
      <c r="GZ58" s="75">
        <f>'[1]Univ Comm Fund'!BC58</f>
        <v>10000000</v>
      </c>
      <c r="HA58" s="75">
        <f>'[1]UNIV 2019'!BD64</f>
        <v>0</v>
      </c>
      <c r="HB58" s="75">
        <f t="shared" si="52"/>
        <v>10000000</v>
      </c>
      <c r="HC58" s="75"/>
      <c r="HD58" s="75">
        <f>'[1]Univ Comm Fund'!BD58</f>
        <v>0</v>
      </c>
      <c r="HE58" s="75">
        <f>'[1]UNIV 2019'!BC64</f>
        <v>0</v>
      </c>
      <c r="HF58" s="75">
        <f t="shared" si="53"/>
        <v>0</v>
      </c>
      <c r="HG58" s="75"/>
      <c r="HH58" s="75">
        <f t="shared" si="54"/>
        <v>4997873700</v>
      </c>
      <c r="HI58" s="75">
        <f t="shared" si="54"/>
        <v>3492481900</v>
      </c>
      <c r="HJ58" s="82">
        <f t="shared" si="55"/>
        <v>1505391800</v>
      </c>
      <c r="HL58" s="83">
        <f t="shared" si="56"/>
        <v>3565550000</v>
      </c>
      <c r="HM58" s="83">
        <f t="shared" si="56"/>
        <v>2459231900</v>
      </c>
      <c r="HN58" s="84">
        <f t="shared" si="57"/>
        <v>1106318100</v>
      </c>
      <c r="HP58" s="83">
        <f t="shared" si="58"/>
        <v>594500000</v>
      </c>
      <c r="HQ58" s="83">
        <f t="shared" si="58"/>
        <v>553250000</v>
      </c>
      <c r="HR58" s="84">
        <f t="shared" si="59"/>
        <v>41250000</v>
      </c>
      <c r="HT58" s="83">
        <f t="shared" si="60"/>
        <v>145000000</v>
      </c>
      <c r="HU58" s="83">
        <f t="shared" si="60"/>
        <v>70000000</v>
      </c>
      <c r="HV58" s="84">
        <f t="shared" si="61"/>
        <v>75000000</v>
      </c>
      <c r="HX58" s="83">
        <f t="shared" si="62"/>
        <v>60000000</v>
      </c>
      <c r="HY58" s="83">
        <f t="shared" si="62"/>
        <v>15600000</v>
      </c>
      <c r="HZ58" s="84">
        <f t="shared" si="63"/>
        <v>44400000</v>
      </c>
      <c r="IB58" s="83">
        <f t="shared" si="64"/>
        <v>35000000</v>
      </c>
      <c r="IC58" s="83">
        <f t="shared" si="64"/>
        <v>0</v>
      </c>
      <c r="ID58" s="84">
        <f t="shared" si="65"/>
        <v>35000000</v>
      </c>
      <c r="IF58" s="83">
        <f t="shared" si="69"/>
        <v>2000000</v>
      </c>
      <c r="IG58" s="83">
        <f t="shared" si="69"/>
        <v>2000000</v>
      </c>
      <c r="IH58" s="84">
        <f t="shared" si="66"/>
        <v>0</v>
      </c>
      <c r="IJ58" s="84">
        <f t="shared" si="67"/>
        <v>595823700</v>
      </c>
      <c r="IK58" s="84">
        <f t="shared" si="67"/>
        <v>392400000</v>
      </c>
      <c r="IL58" s="84">
        <f t="shared" si="68"/>
        <v>203423700</v>
      </c>
    </row>
    <row r="59" spans="1:246" x14ac:dyDescent="0.25">
      <c r="A59" s="42">
        <v>54</v>
      </c>
      <c r="B59" s="129" t="s">
        <v>118</v>
      </c>
      <c r="C59" s="130" t="s">
        <v>69</v>
      </c>
      <c r="D59" s="66">
        <f>'[1]Univ Comm Fund'!D59</f>
        <v>0</v>
      </c>
      <c r="E59" s="66">
        <f>'[1]UNIV 2019'!D65</f>
        <v>0</v>
      </c>
      <c r="F59" s="75">
        <f t="shared" si="4"/>
        <v>0</v>
      </c>
      <c r="G59" s="66"/>
      <c r="H59" s="66">
        <f>'[1]Univ Comm Fund'!E59</f>
        <v>0</v>
      </c>
      <c r="I59" s="66">
        <f>'[1]UNIV 2019'!E65</f>
        <v>0</v>
      </c>
      <c r="J59" s="66">
        <f t="shared" si="5"/>
        <v>0</v>
      </c>
      <c r="K59" s="66"/>
      <c r="L59" s="66">
        <f>'[1]Univ Comm Fund'!F59</f>
        <v>0</v>
      </c>
      <c r="M59" s="66">
        <f>'[1]UNIV 2019'!F65</f>
        <v>0</v>
      </c>
      <c r="N59" s="66">
        <f t="shared" si="6"/>
        <v>0</v>
      </c>
      <c r="O59" s="66"/>
      <c r="P59" s="66">
        <f>'[1]Univ Comm Fund'!G59</f>
        <v>0</v>
      </c>
      <c r="Q59" s="66">
        <f>'[1]UNIV 2019'!G65</f>
        <v>0</v>
      </c>
      <c r="R59" s="66">
        <f t="shared" si="7"/>
        <v>0</v>
      </c>
      <c r="S59" s="87"/>
      <c r="T59" s="66">
        <f>'[1]Univ Comm Fund'!H59</f>
        <v>0</v>
      </c>
      <c r="U59" s="66">
        <f>'[1]UNIV 2019'!H65</f>
        <v>0</v>
      </c>
      <c r="V59" s="66">
        <f t="shared" si="8"/>
        <v>0</v>
      </c>
      <c r="W59" s="66"/>
      <c r="X59" s="66">
        <f>'[1]Univ Comm Fund'!I59</f>
        <v>0</v>
      </c>
      <c r="Y59" s="66">
        <f>'[1]UNIV 2019'!I65</f>
        <v>0</v>
      </c>
      <c r="Z59" s="66">
        <f t="shared" si="9"/>
        <v>0</v>
      </c>
      <c r="AA59" s="66"/>
      <c r="AB59" s="66">
        <f>'[1]Univ Comm Fund'!J59</f>
        <v>0</v>
      </c>
      <c r="AC59" s="66">
        <f>'[1]UNIV 2019'!J65</f>
        <v>0</v>
      </c>
      <c r="AD59" s="66">
        <f t="shared" si="10"/>
        <v>0</v>
      </c>
      <c r="AE59" s="66"/>
      <c r="AF59" s="88">
        <f>'[1]Univ Comm Fund'!K59</f>
        <v>0</v>
      </c>
      <c r="AG59" s="66">
        <f>'[1]UNIV 2019'!K65</f>
        <v>0</v>
      </c>
      <c r="AH59" s="66">
        <f t="shared" si="11"/>
        <v>0</v>
      </c>
      <c r="AI59" s="88"/>
      <c r="AJ59" s="66">
        <f>'[1]Univ Comm Fund'!L59</f>
        <v>0</v>
      </c>
      <c r="AK59" s="66">
        <f>'[1]UNIV 2019'!L65</f>
        <v>0</v>
      </c>
      <c r="AL59" s="66">
        <f t="shared" si="12"/>
        <v>0</v>
      </c>
      <c r="AM59" s="66"/>
      <c r="AN59" s="66">
        <f>'[1]Univ Comm Fund'!M59</f>
        <v>0</v>
      </c>
      <c r="AO59" s="66">
        <f>'[1]UNIV 2019'!M65</f>
        <v>0</v>
      </c>
      <c r="AP59" s="66">
        <f t="shared" si="13"/>
        <v>0</v>
      </c>
      <c r="AQ59" s="66"/>
      <c r="AR59" s="66">
        <f>'[1]Univ Comm Fund'!N59</f>
        <v>0</v>
      </c>
      <c r="AS59" s="66">
        <f>'[1]UNIV 2019'!N65</f>
        <v>0</v>
      </c>
      <c r="AT59" s="66">
        <f t="shared" si="14"/>
        <v>0</v>
      </c>
      <c r="AU59" s="66"/>
      <c r="AV59" s="66">
        <f>'[1]Univ Comm Fund'!O59</f>
        <v>0</v>
      </c>
      <c r="AW59" s="66">
        <f>'[1]UNIV 2019'!O65</f>
        <v>0</v>
      </c>
      <c r="AX59" s="66">
        <f t="shared" si="15"/>
        <v>0</v>
      </c>
      <c r="AY59" s="66"/>
      <c r="AZ59" s="66">
        <f>'[1]Univ Comm Fund'!P59</f>
        <v>0</v>
      </c>
      <c r="BA59" s="66">
        <f>'[1]UNIV 2019'!P65</f>
        <v>0</v>
      </c>
      <c r="BB59" s="66">
        <f t="shared" si="0"/>
        <v>0</v>
      </c>
      <c r="BC59" s="66"/>
      <c r="BD59" s="66">
        <f>'[1]Univ Comm Fund'!Q59</f>
        <v>44200000</v>
      </c>
      <c r="BE59" s="66">
        <f>'[1]UNIV 2019'!Q65</f>
        <v>44200000</v>
      </c>
      <c r="BF59" s="66">
        <f t="shared" si="1"/>
        <v>0</v>
      </c>
      <c r="BG59" s="66"/>
      <c r="BH59" s="66">
        <f>'[1]Univ Comm Fund'!R59</f>
        <v>56950000</v>
      </c>
      <c r="BI59" s="66">
        <f>'[1]UNIV 2019'!R65</f>
        <v>56950000</v>
      </c>
      <c r="BJ59" s="66">
        <f t="shared" si="16"/>
        <v>0</v>
      </c>
      <c r="BK59" s="66"/>
      <c r="BL59" s="66">
        <f>'[1]Univ Comm Fund'!S59</f>
        <v>48450000</v>
      </c>
      <c r="BM59" s="66">
        <f>'[1]UNIV 2019'!S65</f>
        <v>48450000</v>
      </c>
      <c r="BN59" s="66">
        <f t="shared" si="17"/>
        <v>0</v>
      </c>
      <c r="BO59" s="66"/>
      <c r="BP59" s="66">
        <f>'[1]Univ Comm Fund'!T59</f>
        <v>0</v>
      </c>
      <c r="BQ59" s="66">
        <f>'[1]UNIV 2019'!T65</f>
        <v>0</v>
      </c>
      <c r="BR59" s="66">
        <f t="shared" si="18"/>
        <v>0</v>
      </c>
      <c r="BS59" s="66"/>
      <c r="BT59" s="66">
        <f>'[1]Univ Comm Fund'!U59</f>
        <v>164169000</v>
      </c>
      <c r="BU59" s="66">
        <f>'[1]UNIV 2019'!U65</f>
        <v>164169000</v>
      </c>
      <c r="BV59" s="66">
        <f t="shared" si="2"/>
        <v>0</v>
      </c>
      <c r="BW59" s="66"/>
      <c r="BX59" s="66">
        <f>'[1]Univ Comm Fund'!V59</f>
        <v>0</v>
      </c>
      <c r="BY59" s="66">
        <f>'[1]UNIV 2019'!V65</f>
        <v>0</v>
      </c>
      <c r="BZ59" s="66">
        <f t="shared" si="19"/>
        <v>0</v>
      </c>
      <c r="CA59" s="66"/>
      <c r="CB59" s="66">
        <f>'[1]Univ Comm Fund'!W59</f>
        <v>175000000</v>
      </c>
      <c r="CC59" s="66">
        <f>'[1]UNIV 2019'!W65</f>
        <v>175000000</v>
      </c>
      <c r="CD59" s="66">
        <f t="shared" si="20"/>
        <v>0</v>
      </c>
      <c r="CE59" s="66"/>
      <c r="CF59" s="66">
        <v>75000000</v>
      </c>
      <c r="CG59" s="66">
        <f>'[1]UNIV 2019'!X65</f>
        <v>0</v>
      </c>
      <c r="CH59" s="75">
        <f t="shared" si="21"/>
        <v>75000000</v>
      </c>
      <c r="CI59" s="66"/>
      <c r="CJ59" s="66">
        <f>'[1]Univ Comm Fund'!Y59</f>
        <v>0</v>
      </c>
      <c r="CK59" s="66">
        <f>'[1]UNIV 2019'!Y65</f>
        <v>0</v>
      </c>
      <c r="CL59" s="66">
        <f t="shared" si="22"/>
        <v>0</v>
      </c>
      <c r="CM59" s="66"/>
      <c r="CN59" s="20">
        <f>'[1]Univ Comm Fund'!Z59</f>
        <v>350000000</v>
      </c>
      <c r="CO59" s="66">
        <f>'[1]UNIV 2019'!Z65</f>
        <v>350000000</v>
      </c>
      <c r="CP59" s="66">
        <f t="shared" si="23"/>
        <v>0</v>
      </c>
      <c r="CQ59" s="20"/>
      <c r="CR59" s="66">
        <f>'[1]Univ Comm Fund'!AA59</f>
        <v>74000000</v>
      </c>
      <c r="CS59" s="66">
        <f>'[1]UNIV 2019'!AA65</f>
        <v>62900000</v>
      </c>
      <c r="CT59" s="75">
        <f t="shared" si="24"/>
        <v>11100000</v>
      </c>
      <c r="CU59" s="66"/>
      <c r="CV59" s="66">
        <f>'[1]Univ Comm Fund'!AB59</f>
        <v>0</v>
      </c>
      <c r="CW59" s="66">
        <f>'[1]UNIV 2019'!AB65</f>
        <v>0</v>
      </c>
      <c r="CX59" s="75">
        <f t="shared" si="25"/>
        <v>0</v>
      </c>
      <c r="CY59" s="66"/>
      <c r="CZ59" s="66">
        <f>'[1]Univ Comm Fund'!AC59</f>
        <v>356000000</v>
      </c>
      <c r="DA59" s="66">
        <f>'[1]UNIV 2019'!AC65</f>
        <v>224280000</v>
      </c>
      <c r="DB59" s="66">
        <f t="shared" si="26"/>
        <v>131720000</v>
      </c>
      <c r="DC59" s="66"/>
      <c r="DD59" s="66">
        <f>'[1]Univ Comm Fund'!AD59</f>
        <v>20000000</v>
      </c>
      <c r="DE59" s="66">
        <f>'[1]UNIV 2019'!AD65</f>
        <v>0</v>
      </c>
      <c r="DF59" s="66">
        <f t="shared" si="27"/>
        <v>20000000</v>
      </c>
      <c r="DG59" s="66"/>
      <c r="DH59" s="66">
        <f>'[1]Univ Comm Fund'!AE59</f>
        <v>552000000</v>
      </c>
      <c r="DI59" s="66">
        <f>'[1]UNIV 2019'!AE65</f>
        <v>347760000</v>
      </c>
      <c r="DJ59" s="66">
        <f t="shared" si="28"/>
        <v>204240000</v>
      </c>
      <c r="DK59" s="66"/>
      <c r="DL59" s="66">
        <f>'[1]Univ Comm Fund'!AF59</f>
        <v>20000000</v>
      </c>
      <c r="DM59" s="66">
        <f>'[1]UNIV 2019'!AF65</f>
        <v>0</v>
      </c>
      <c r="DN59" s="66">
        <f t="shared" si="29"/>
        <v>20000000</v>
      </c>
      <c r="DO59" s="66"/>
      <c r="DP59" s="66">
        <f>'[1]Univ Comm Fund'!AG59</f>
        <v>0</v>
      </c>
      <c r="DQ59" s="66">
        <f>'[1]UNIV 2019'!AG65</f>
        <v>0</v>
      </c>
      <c r="DR59" s="66">
        <f t="shared" si="30"/>
        <v>0</v>
      </c>
      <c r="DS59" s="66"/>
      <c r="DT59" s="66">
        <f>'[1]Univ Comm Fund'!AH59</f>
        <v>100000000</v>
      </c>
      <c r="DU59" s="66">
        <f>'[1]UNIV 2019'!AH65</f>
        <v>63000000</v>
      </c>
      <c r="DV59" s="66">
        <f t="shared" si="31"/>
        <v>37000000</v>
      </c>
      <c r="DW59" s="66"/>
      <c r="DX59" s="66">
        <f>'[1]Univ Comm Fund'!AI59</f>
        <v>15000000</v>
      </c>
      <c r="DY59" s="66">
        <f>'[1]UNIV 2019'!AI65</f>
        <v>0</v>
      </c>
      <c r="DZ59" s="66">
        <f t="shared" si="32"/>
        <v>15000000</v>
      </c>
      <c r="EA59" s="66"/>
      <c r="EB59" s="66">
        <f>'[1]Univ Comm Fund'!AJ59</f>
        <v>2000000</v>
      </c>
      <c r="EC59" s="66">
        <f>'[1]UNIV 2019'!AJ65</f>
        <v>0</v>
      </c>
      <c r="ED59" s="66">
        <f t="shared" si="33"/>
        <v>2000000</v>
      </c>
      <c r="EE59" s="66"/>
      <c r="EF59" s="66">
        <f>'[1]Univ Comm Fund'!AK59</f>
        <v>10000000</v>
      </c>
      <c r="EG59" s="66">
        <f>'[1]UNIV 2019'!AK65</f>
        <v>0</v>
      </c>
      <c r="EH59" s="66">
        <f t="shared" si="34"/>
        <v>10000000</v>
      </c>
      <c r="EI59" s="66"/>
      <c r="EJ59" s="66">
        <f>'[1]Univ Comm Fund'!AL59</f>
        <v>0</v>
      </c>
      <c r="EK59" s="66">
        <f>'[1]UNIV 2019'!AL65</f>
        <v>0</v>
      </c>
      <c r="EL59" s="66">
        <f t="shared" si="35"/>
        <v>0</v>
      </c>
      <c r="EM59" s="66"/>
      <c r="EN59" s="80">
        <f>'[1]Univ Comm Fund'!AM59</f>
        <v>565410000</v>
      </c>
      <c r="EO59" s="66">
        <f>'[1]UNIV 2019'!AM65</f>
        <v>356208300</v>
      </c>
      <c r="EP59" s="75">
        <f t="shared" si="36"/>
        <v>209201700</v>
      </c>
      <c r="EQ59" s="66"/>
      <c r="ER59" s="66">
        <f>'[1]Univ Comm Fund'!AN59</f>
        <v>15000000</v>
      </c>
      <c r="ES59" s="66">
        <f>'[1]UNIV 2019'!AN65</f>
        <v>0</v>
      </c>
      <c r="ET59" s="75">
        <f t="shared" si="37"/>
        <v>15000000</v>
      </c>
      <c r="EU59" s="66"/>
      <c r="EV59" s="66">
        <f>'[1]Univ Comm Fund'!AO59</f>
        <v>15000000</v>
      </c>
      <c r="EW59" s="66">
        <f>'[1]UNIV 2019'!AO65</f>
        <v>0</v>
      </c>
      <c r="EX59" s="75">
        <f t="shared" si="38"/>
        <v>15000000</v>
      </c>
      <c r="EY59" s="66"/>
      <c r="EZ59" s="66">
        <f>'[1]Univ Comm Fund'!AP59</f>
        <v>10000000</v>
      </c>
      <c r="FA59" s="66">
        <f>'[1]UNIV 2019'!AP65</f>
        <v>0</v>
      </c>
      <c r="FB59" s="75">
        <f t="shared" si="39"/>
        <v>10000000</v>
      </c>
      <c r="FC59" s="75"/>
      <c r="FD59" s="75">
        <f>'[1]Univ Comm Fund'!AQ59</f>
        <v>0</v>
      </c>
      <c r="FE59" s="75">
        <f>'[1]UNIV 2019'!AQ65</f>
        <v>0</v>
      </c>
      <c r="FF59" s="75">
        <f t="shared" si="40"/>
        <v>0</v>
      </c>
      <c r="FG59" s="75"/>
      <c r="FH59" s="75">
        <f>'[1]Univ Comm Fund'!AR59</f>
        <v>0</v>
      </c>
      <c r="FI59" s="75">
        <f>'[1]UNIV 2019'!AR65</f>
        <v>0</v>
      </c>
      <c r="FJ59" s="75">
        <f t="shared" si="41"/>
        <v>0</v>
      </c>
      <c r="FK59" s="75"/>
      <c r="FL59" s="75">
        <f>'[1]Univ Comm Fund'!AS59</f>
        <v>300000000</v>
      </c>
      <c r="FM59" s="75">
        <f>'[1]UNIV 2019'!AS65</f>
        <v>0</v>
      </c>
      <c r="FN59" s="75">
        <f t="shared" si="42"/>
        <v>300000000</v>
      </c>
      <c r="FO59" s="75"/>
      <c r="FP59" s="75">
        <f>'[1]Univ Comm Fund'!AT59</f>
        <v>120000000</v>
      </c>
      <c r="FQ59" s="75">
        <f>'[1]UNIV 2019'!AT65</f>
        <v>0</v>
      </c>
      <c r="FR59" s="75">
        <f t="shared" si="43"/>
        <v>120000000</v>
      </c>
      <c r="FS59" s="75"/>
      <c r="FT59" s="75">
        <f>'[1]Univ Comm Fund'!AU59</f>
        <v>10000000</v>
      </c>
      <c r="FU59" s="75">
        <f>'[1]UNIV 2019'!AU65</f>
        <v>0</v>
      </c>
      <c r="FV59" s="75">
        <f t="shared" si="44"/>
        <v>10000000</v>
      </c>
      <c r="FW59" s="75"/>
      <c r="FX59" s="75">
        <f>'[1]Univ Comm Fund'!AV59</f>
        <v>5000000</v>
      </c>
      <c r="FY59" s="75">
        <f>'[1]UNIV 2019'!AV65</f>
        <v>0</v>
      </c>
      <c r="FZ59" s="75">
        <f t="shared" si="45"/>
        <v>5000000</v>
      </c>
      <c r="GA59" s="75"/>
      <c r="GB59" s="75">
        <f>'[1]Univ Comm Fund'!AW59</f>
        <v>10000000</v>
      </c>
      <c r="GC59" s="75">
        <f>'[1]UNIV 2019'!AW65</f>
        <v>0</v>
      </c>
      <c r="GD59" s="75">
        <f t="shared" si="46"/>
        <v>10000000</v>
      </c>
      <c r="GE59" s="75"/>
      <c r="GF59" s="75">
        <f>'[1]Univ Comm Fund'!AX59</f>
        <v>0</v>
      </c>
      <c r="GG59" s="75">
        <f>'[1]UNIV 2019'!AX65</f>
        <v>0</v>
      </c>
      <c r="GH59" s="75">
        <f t="shared" si="47"/>
        <v>0</v>
      </c>
      <c r="GI59" s="75"/>
      <c r="GJ59" s="75">
        <f>'[1]Univ Comm Fund'!AY59</f>
        <v>350000000</v>
      </c>
      <c r="GK59" s="75">
        <f>'[1]UNIV 2019'!AY65</f>
        <v>0</v>
      </c>
      <c r="GL59" s="75">
        <f t="shared" si="48"/>
        <v>350000000</v>
      </c>
      <c r="GM59" s="75"/>
      <c r="GN59" s="75">
        <f>'[1]Univ Comm Fund'!AZ59</f>
        <v>175823700</v>
      </c>
      <c r="GO59" s="75">
        <f>'[1]UNIV 2019'!AZ65</f>
        <v>0</v>
      </c>
      <c r="GP59" s="75">
        <f t="shared" si="49"/>
        <v>175823700</v>
      </c>
      <c r="GQ59" s="75"/>
      <c r="GR59" s="75">
        <f>'[1]Univ Comm Fund'!BA59</f>
        <v>20000000</v>
      </c>
      <c r="GS59" s="75">
        <f>'[1]UNIV 2019'!BA65</f>
        <v>0</v>
      </c>
      <c r="GT59" s="75">
        <f t="shared" si="50"/>
        <v>20000000</v>
      </c>
      <c r="GU59" s="75"/>
      <c r="GV59" s="75">
        <f>'[1]Univ Comm Fund'!BB59</f>
        <v>5000000</v>
      </c>
      <c r="GW59" s="75">
        <f>'[1]UNIV 2019'!BB65</f>
        <v>0</v>
      </c>
      <c r="GX59" s="75">
        <f t="shared" si="51"/>
        <v>5000000</v>
      </c>
      <c r="GY59" s="75"/>
      <c r="GZ59" s="75">
        <f>'[1]Univ Comm Fund'!BC59</f>
        <v>10000000</v>
      </c>
      <c r="HA59" s="75">
        <f>'[1]UNIV 2019'!BD65</f>
        <v>0</v>
      </c>
      <c r="HB59" s="75">
        <f t="shared" si="52"/>
        <v>10000000</v>
      </c>
      <c r="HC59" s="75"/>
      <c r="HD59" s="75">
        <f>'[1]Univ Comm Fund'!BD59</f>
        <v>0</v>
      </c>
      <c r="HE59" s="75">
        <f>'[1]UNIV 2019'!BC65</f>
        <v>0</v>
      </c>
      <c r="HF59" s="75">
        <f t="shared" si="53"/>
        <v>0</v>
      </c>
      <c r="HG59" s="75"/>
      <c r="HH59" s="75">
        <f t="shared" si="54"/>
        <v>3674002700</v>
      </c>
      <c r="HI59" s="75">
        <f t="shared" si="54"/>
        <v>1892917300</v>
      </c>
      <c r="HJ59" s="82">
        <f t="shared" si="55"/>
        <v>1781085400</v>
      </c>
      <c r="HL59" s="83">
        <f t="shared" si="56"/>
        <v>3062179000</v>
      </c>
      <c r="HM59" s="83">
        <f t="shared" si="56"/>
        <v>1830017300</v>
      </c>
      <c r="HN59" s="84">
        <f t="shared" si="57"/>
        <v>1232161700</v>
      </c>
      <c r="HP59" s="83">
        <f t="shared" si="58"/>
        <v>74000000</v>
      </c>
      <c r="HQ59" s="83">
        <f t="shared" si="58"/>
        <v>62900000</v>
      </c>
      <c r="HR59" s="84">
        <f t="shared" si="59"/>
        <v>11100000</v>
      </c>
      <c r="HT59" s="83">
        <f t="shared" si="60"/>
        <v>145000000</v>
      </c>
      <c r="HU59" s="83">
        <f t="shared" si="60"/>
        <v>0</v>
      </c>
      <c r="HV59" s="84">
        <f t="shared" si="61"/>
        <v>145000000</v>
      </c>
      <c r="HX59" s="83">
        <f t="shared" si="62"/>
        <v>60000000</v>
      </c>
      <c r="HY59" s="83">
        <f t="shared" si="62"/>
        <v>0</v>
      </c>
      <c r="HZ59" s="84">
        <f t="shared" si="63"/>
        <v>60000000</v>
      </c>
      <c r="IB59" s="83">
        <f t="shared" si="64"/>
        <v>35000000</v>
      </c>
      <c r="IC59" s="83">
        <f t="shared" si="64"/>
        <v>0</v>
      </c>
      <c r="ID59" s="84">
        <f t="shared" si="65"/>
        <v>35000000</v>
      </c>
      <c r="IF59" s="83">
        <f t="shared" si="69"/>
        <v>2000000</v>
      </c>
      <c r="IG59" s="83">
        <f t="shared" si="69"/>
        <v>0</v>
      </c>
      <c r="IH59" s="84">
        <f t="shared" si="66"/>
        <v>2000000</v>
      </c>
      <c r="IJ59" s="84">
        <f t="shared" si="67"/>
        <v>295823700</v>
      </c>
      <c r="IK59" s="84">
        <f t="shared" si="67"/>
        <v>0</v>
      </c>
      <c r="IL59" s="84">
        <f t="shared" si="68"/>
        <v>295823700</v>
      </c>
    </row>
    <row r="60" spans="1:246" x14ac:dyDescent="0.25">
      <c r="A60" s="42">
        <v>55</v>
      </c>
      <c r="B60" s="91" t="s">
        <v>119</v>
      </c>
      <c r="C60" s="42" t="s">
        <v>63</v>
      </c>
      <c r="D60" s="66">
        <f>'[1]Univ Comm Fund'!D60</f>
        <v>0</v>
      </c>
      <c r="E60" s="66">
        <f>'[1]UNIV 2019'!D66</f>
        <v>0</v>
      </c>
      <c r="F60" s="75">
        <f t="shared" si="4"/>
        <v>0</v>
      </c>
      <c r="G60" s="66"/>
      <c r="H60" s="66">
        <f>'[1]Univ Comm Fund'!E60</f>
        <v>0</v>
      </c>
      <c r="I60" s="66">
        <f>'[1]UNIV 2019'!E66</f>
        <v>0</v>
      </c>
      <c r="J60" s="66">
        <f t="shared" si="5"/>
        <v>0</v>
      </c>
      <c r="K60" s="66"/>
      <c r="L60" s="66">
        <f>'[1]Univ Comm Fund'!F60</f>
        <v>0</v>
      </c>
      <c r="M60" s="66">
        <f>'[1]UNIV 2019'!F66</f>
        <v>0</v>
      </c>
      <c r="N60" s="66">
        <f t="shared" si="6"/>
        <v>0</v>
      </c>
      <c r="O60" s="66"/>
      <c r="P60" s="66">
        <f>'[1]Univ Comm Fund'!G60</f>
        <v>0</v>
      </c>
      <c r="Q60" s="66">
        <f>'[1]UNIV 2019'!G66</f>
        <v>0</v>
      </c>
      <c r="R60" s="66">
        <f t="shared" si="7"/>
        <v>0</v>
      </c>
      <c r="S60" s="87"/>
      <c r="T60" s="66">
        <f>'[1]Univ Comm Fund'!H60</f>
        <v>0</v>
      </c>
      <c r="U60" s="66">
        <f>'[1]UNIV 2019'!H66</f>
        <v>0</v>
      </c>
      <c r="V60" s="66">
        <f t="shared" si="8"/>
        <v>0</v>
      </c>
      <c r="W60" s="66"/>
      <c r="X60" s="66">
        <f>'[1]Univ Comm Fund'!I60</f>
        <v>0</v>
      </c>
      <c r="Y60" s="66">
        <f>'[1]UNIV 2019'!I66</f>
        <v>0</v>
      </c>
      <c r="Z60" s="66">
        <f t="shared" si="9"/>
        <v>0</v>
      </c>
      <c r="AA60" s="66"/>
      <c r="AB60" s="66">
        <f>'[1]Univ Comm Fund'!J60</f>
        <v>0</v>
      </c>
      <c r="AC60" s="66">
        <f>'[1]UNIV 2019'!J66</f>
        <v>0</v>
      </c>
      <c r="AD60" s="66">
        <f t="shared" si="10"/>
        <v>0</v>
      </c>
      <c r="AE60" s="66"/>
      <c r="AF60" s="88">
        <f>'[1]Univ Comm Fund'!K60</f>
        <v>0</v>
      </c>
      <c r="AG60" s="66">
        <f>'[1]UNIV 2019'!K66</f>
        <v>0</v>
      </c>
      <c r="AH60" s="66">
        <f t="shared" si="11"/>
        <v>0</v>
      </c>
      <c r="AI60" s="88"/>
      <c r="AJ60" s="66">
        <f>'[1]Univ Comm Fund'!L60</f>
        <v>0</v>
      </c>
      <c r="AK60" s="66">
        <f>'[1]UNIV 2019'!L66</f>
        <v>0</v>
      </c>
      <c r="AL60" s="66">
        <f t="shared" si="12"/>
        <v>0</v>
      </c>
      <c r="AM60" s="66"/>
      <c r="AN60" s="66">
        <f>'[1]Univ Comm Fund'!M60</f>
        <v>0</v>
      </c>
      <c r="AO60" s="66">
        <f>'[1]UNIV 2019'!M66</f>
        <v>0</v>
      </c>
      <c r="AP60" s="66">
        <f t="shared" si="13"/>
        <v>0</v>
      </c>
      <c r="AQ60" s="66"/>
      <c r="AR60" s="66">
        <f>'[1]Univ Comm Fund'!N60</f>
        <v>0</v>
      </c>
      <c r="AS60" s="66">
        <f>'[1]UNIV 2019'!N66</f>
        <v>0</v>
      </c>
      <c r="AT60" s="66">
        <f t="shared" si="14"/>
        <v>0</v>
      </c>
      <c r="AU60" s="66"/>
      <c r="AV60" s="66">
        <f>'[1]Univ Comm Fund'!O60</f>
        <v>0</v>
      </c>
      <c r="AW60" s="66">
        <f>'[1]UNIV 2019'!O66</f>
        <v>0</v>
      </c>
      <c r="AX60" s="66">
        <f t="shared" si="15"/>
        <v>0</v>
      </c>
      <c r="AY60" s="66"/>
      <c r="AZ60" s="66">
        <f>'[1]Univ Comm Fund'!P60</f>
        <v>0</v>
      </c>
      <c r="BA60" s="66">
        <f>'[1]UNIV 2019'!P66</f>
        <v>0</v>
      </c>
      <c r="BB60" s="66">
        <f t="shared" si="0"/>
        <v>0</v>
      </c>
      <c r="BC60" s="66"/>
      <c r="BD60" s="66">
        <f>'[1]Univ Comm Fund'!Q60</f>
        <v>0</v>
      </c>
      <c r="BE60" s="66">
        <f>'[1]UNIV 2019'!Q66</f>
        <v>0</v>
      </c>
      <c r="BF60" s="66">
        <f t="shared" si="1"/>
        <v>0</v>
      </c>
      <c r="BG60" s="66"/>
      <c r="BH60" s="66">
        <f>'[1]Univ Comm Fund'!R60</f>
        <v>67000000</v>
      </c>
      <c r="BI60" s="66">
        <f>'[1]UNIV 2019'!R66</f>
        <v>67000000</v>
      </c>
      <c r="BJ60" s="66">
        <f t="shared" si="16"/>
        <v>0</v>
      </c>
      <c r="BK60" s="66"/>
      <c r="BL60" s="66">
        <f>'[1]Univ Comm Fund'!S60</f>
        <v>57000000</v>
      </c>
      <c r="BM60" s="66">
        <f>'[1]UNIV 2019'!S66</f>
        <v>57000000</v>
      </c>
      <c r="BN60" s="66">
        <f t="shared" si="17"/>
        <v>0</v>
      </c>
      <c r="BO60" s="66"/>
      <c r="BP60" s="66">
        <f>'[1]Univ Comm Fund'!T60</f>
        <v>0</v>
      </c>
      <c r="BQ60" s="66">
        <f>'[1]UNIV 2019'!T66</f>
        <v>0</v>
      </c>
      <c r="BR60" s="66">
        <f t="shared" si="18"/>
        <v>0</v>
      </c>
      <c r="BS60" s="66"/>
      <c r="BT60" s="110">
        <f>'[1]Univ Comm Fund'!U60</f>
        <v>193140000</v>
      </c>
      <c r="BU60" s="66">
        <f>'[1]UNIV 2019'!U66</f>
        <v>193140000</v>
      </c>
      <c r="BV60" s="66">
        <f t="shared" si="2"/>
        <v>0</v>
      </c>
      <c r="BW60" s="110"/>
      <c r="BX60" s="66">
        <f>'[1]Univ Comm Fund'!V60</f>
        <v>100000000</v>
      </c>
      <c r="BY60" s="66">
        <f>'[1]UNIV 2019'!V66</f>
        <v>100000000</v>
      </c>
      <c r="BZ60" s="66">
        <f t="shared" si="19"/>
        <v>0</v>
      </c>
      <c r="CA60" s="66"/>
      <c r="CB60" s="66">
        <f>'[1]Univ Comm Fund'!W60</f>
        <v>175000000</v>
      </c>
      <c r="CC60" s="66">
        <f>'[1]UNIV 2019'!W66</f>
        <v>175000000</v>
      </c>
      <c r="CD60" s="66">
        <f t="shared" si="20"/>
        <v>0</v>
      </c>
      <c r="CE60" s="66"/>
      <c r="CF60" s="66">
        <v>75000000</v>
      </c>
      <c r="CG60" s="66">
        <f>'[1]UNIV 2019'!X66</f>
        <v>75000000</v>
      </c>
      <c r="CH60" s="75">
        <f t="shared" si="21"/>
        <v>0</v>
      </c>
      <c r="CI60" s="66"/>
      <c r="CJ60" s="66">
        <f>'[1]Univ Comm Fund'!Y60</f>
        <v>0</v>
      </c>
      <c r="CK60" s="66">
        <f>'[1]UNIV 2019'!Y66</f>
        <v>0</v>
      </c>
      <c r="CL60" s="66">
        <f t="shared" si="22"/>
        <v>0</v>
      </c>
      <c r="CM60" s="66"/>
      <c r="CN60" s="20">
        <f>'[1]Univ Comm Fund'!Z60</f>
        <v>350000000</v>
      </c>
      <c r="CO60" s="66">
        <f>'[1]UNIV 2019'!Z66</f>
        <v>350000000</v>
      </c>
      <c r="CP60" s="66">
        <f t="shared" si="23"/>
        <v>0</v>
      </c>
      <c r="CQ60" s="20"/>
      <c r="CR60" s="66">
        <f>'[1]Univ Comm Fund'!AA60</f>
        <v>42000000</v>
      </c>
      <c r="CS60" s="66">
        <f>'[1]UNIV 2019'!AA66</f>
        <v>42000000</v>
      </c>
      <c r="CT60" s="75">
        <f t="shared" si="24"/>
        <v>0</v>
      </c>
      <c r="CU60" s="66"/>
      <c r="CV60" s="66">
        <f>'[1]Univ Comm Fund'!AB60</f>
        <v>0</v>
      </c>
      <c r="CW60" s="66">
        <f>'[1]UNIV 2019'!AB66</f>
        <v>0</v>
      </c>
      <c r="CX60" s="75">
        <f t="shared" si="25"/>
        <v>0</v>
      </c>
      <c r="CY60" s="66"/>
      <c r="CZ60" s="66">
        <f>'[1]Univ Comm Fund'!AC60</f>
        <v>356000000</v>
      </c>
      <c r="DA60" s="66">
        <f>'[1]UNIV 2019'!AC66</f>
        <v>302600000</v>
      </c>
      <c r="DB60" s="66">
        <f t="shared" si="26"/>
        <v>53400000</v>
      </c>
      <c r="DC60" s="66"/>
      <c r="DD60" s="66">
        <f>'[1]Univ Comm Fund'!AD60</f>
        <v>20000000</v>
      </c>
      <c r="DE60" s="66">
        <f>'[1]UNIV 2019'!AD66</f>
        <v>20000000</v>
      </c>
      <c r="DF60" s="66">
        <f t="shared" si="27"/>
        <v>0</v>
      </c>
      <c r="DG60" s="66"/>
      <c r="DH60" s="66">
        <f>'[1]Univ Comm Fund'!AE60</f>
        <v>552000000</v>
      </c>
      <c r="DI60" s="66">
        <f>'[1]UNIV 2019'!AE66</f>
        <v>469200000</v>
      </c>
      <c r="DJ60" s="66">
        <f t="shared" si="28"/>
        <v>82800000</v>
      </c>
      <c r="DK60" s="66"/>
      <c r="DL60" s="66">
        <f>'[1]Univ Comm Fund'!AF60</f>
        <v>20000000</v>
      </c>
      <c r="DM60" s="66">
        <f>'[1]UNIV 2019'!AF66</f>
        <v>20000000</v>
      </c>
      <c r="DN60" s="66">
        <f t="shared" si="29"/>
        <v>0</v>
      </c>
      <c r="DO60" s="66"/>
      <c r="DP60" s="66">
        <f>'[1]Univ Comm Fund'!AG60</f>
        <v>221000000</v>
      </c>
      <c r="DQ60" s="66">
        <f>'[1]UNIV 2019'!AG66</f>
        <v>221000000</v>
      </c>
      <c r="DR60" s="108">
        <f t="shared" si="30"/>
        <v>0</v>
      </c>
      <c r="DS60" s="108"/>
      <c r="DT60" s="66">
        <f>'[1]Univ Comm Fund'!AH60</f>
        <v>100000000</v>
      </c>
      <c r="DU60" s="108">
        <f>'[1]UNIV 2019'!AH66</f>
        <v>59000000</v>
      </c>
      <c r="DV60" s="66">
        <f t="shared" si="31"/>
        <v>41000000</v>
      </c>
      <c r="DW60" s="66"/>
      <c r="DX60" s="66">
        <f>'[1]Univ Comm Fund'!AI60</f>
        <v>15000000</v>
      </c>
      <c r="DY60" s="108">
        <f>'[1]UNIV 2019'!AI66</f>
        <v>7950000</v>
      </c>
      <c r="DZ60" s="66">
        <f t="shared" si="32"/>
        <v>7050000</v>
      </c>
      <c r="EA60" s="108"/>
      <c r="EB60" s="66">
        <f>'[1]Univ Comm Fund'!AJ60</f>
        <v>2000000</v>
      </c>
      <c r="EC60" s="108">
        <f>'[1]UNIV 2019'!AJ66</f>
        <v>0</v>
      </c>
      <c r="ED60" s="66">
        <f t="shared" si="33"/>
        <v>2000000</v>
      </c>
      <c r="EE60" s="108"/>
      <c r="EF60" s="66">
        <f>'[1]Univ Comm Fund'!AK60</f>
        <v>10000000</v>
      </c>
      <c r="EG60" s="108">
        <f>'[1]UNIV 2019'!AK66</f>
        <v>8500000</v>
      </c>
      <c r="EH60" s="66">
        <f t="shared" si="34"/>
        <v>1500000</v>
      </c>
      <c r="EI60" s="66"/>
      <c r="EJ60" s="66">
        <f>'[1]Univ Comm Fund'!AL60</f>
        <v>150000000</v>
      </c>
      <c r="EK60" s="66">
        <f>'[1]UNIV 2019'!AL66</f>
        <v>150000000</v>
      </c>
      <c r="EL60" s="66">
        <f t="shared" si="35"/>
        <v>0</v>
      </c>
      <c r="EM60" s="66"/>
      <c r="EN60" s="80">
        <f>'[1]Univ Comm Fund'!AM60</f>
        <v>565410000</v>
      </c>
      <c r="EO60" s="66">
        <f>'[1]UNIV 2019'!AM66</f>
        <v>333591900</v>
      </c>
      <c r="EP60" s="75">
        <f t="shared" si="36"/>
        <v>231818100</v>
      </c>
      <c r="EQ60" s="66"/>
      <c r="ER60" s="66">
        <f>'[1]Univ Comm Fund'!AN60</f>
        <v>15000000</v>
      </c>
      <c r="ES60" s="66">
        <f>'[1]UNIV 2019'!AN66</f>
        <v>7950000</v>
      </c>
      <c r="ET60" s="75">
        <f t="shared" si="37"/>
        <v>7050000</v>
      </c>
      <c r="EU60" s="66"/>
      <c r="EV60" s="66">
        <f>'[1]Univ Comm Fund'!AO60</f>
        <v>15000000</v>
      </c>
      <c r="EW60" s="66">
        <f>'[1]UNIV 2019'!AO66</f>
        <v>0</v>
      </c>
      <c r="EX60" s="75">
        <f t="shared" si="38"/>
        <v>15000000</v>
      </c>
      <c r="EY60" s="66"/>
      <c r="EZ60" s="66">
        <f>'[1]Univ Comm Fund'!AP60</f>
        <v>10000000</v>
      </c>
      <c r="FA60" s="66">
        <f>'[1]UNIV 2019'!AP66</f>
        <v>8500000</v>
      </c>
      <c r="FB60" s="75">
        <f t="shared" si="39"/>
        <v>1500000</v>
      </c>
      <c r="FC60" s="75"/>
      <c r="FD60" s="75">
        <f>'[1]Univ Comm Fund'!AQ60</f>
        <v>0</v>
      </c>
      <c r="FE60" s="75">
        <f>'[1]UNIV 2019'!AQ66</f>
        <v>0</v>
      </c>
      <c r="FF60" s="75">
        <f t="shared" si="40"/>
        <v>0</v>
      </c>
      <c r="FG60" s="75"/>
      <c r="FH60" s="75">
        <f>'[1]Univ Comm Fund'!AR60</f>
        <v>0</v>
      </c>
      <c r="FI60" s="75">
        <f>'[1]UNIV 2019'!AR66</f>
        <v>0</v>
      </c>
      <c r="FJ60" s="75">
        <f t="shared" si="41"/>
        <v>0</v>
      </c>
      <c r="FK60" s="75"/>
      <c r="FL60" s="75">
        <f>'[1]Univ Comm Fund'!AS60</f>
        <v>300000000</v>
      </c>
      <c r="FM60" s="75">
        <f>'[1]UNIV 2019'!AS66</f>
        <v>0</v>
      </c>
      <c r="FN60" s="75">
        <f t="shared" si="42"/>
        <v>300000000</v>
      </c>
      <c r="FO60" s="75"/>
      <c r="FP60" s="75">
        <f>'[1]Univ Comm Fund'!AT60</f>
        <v>120000000</v>
      </c>
      <c r="FQ60" s="75">
        <f>'[1]UNIV 2019'!AT66</f>
        <v>84000000</v>
      </c>
      <c r="FR60" s="75">
        <f t="shared" si="43"/>
        <v>36000000</v>
      </c>
      <c r="FS60" s="75"/>
      <c r="FT60" s="75">
        <f>'[1]Univ Comm Fund'!AU60</f>
        <v>10000000</v>
      </c>
      <c r="FU60" s="75">
        <f>'[1]UNIV 2019'!AU66</f>
        <v>0</v>
      </c>
      <c r="FV60" s="75">
        <f t="shared" si="44"/>
        <v>10000000</v>
      </c>
      <c r="FW60" s="75"/>
      <c r="FX60" s="75">
        <f>'[1]Univ Comm Fund'!AV60</f>
        <v>5000000</v>
      </c>
      <c r="FY60" s="75">
        <f>'[1]UNIV 2019'!AV66</f>
        <v>0</v>
      </c>
      <c r="FZ60" s="75">
        <f t="shared" si="45"/>
        <v>5000000</v>
      </c>
      <c r="GA60" s="75"/>
      <c r="GB60" s="75">
        <f>'[1]Univ Comm Fund'!AW60</f>
        <v>10000000</v>
      </c>
      <c r="GC60" s="75">
        <f>'[1]UNIV 2019'!AW66</f>
        <v>0</v>
      </c>
      <c r="GD60" s="75">
        <f t="shared" si="46"/>
        <v>10000000</v>
      </c>
      <c r="GE60" s="75"/>
      <c r="GF60" s="75">
        <f>'[1]Univ Comm Fund'!AX60</f>
        <v>0</v>
      </c>
      <c r="GG60" s="75">
        <f>'[1]UNIV 2019'!AX66</f>
        <v>0</v>
      </c>
      <c r="GH60" s="75">
        <f t="shared" si="47"/>
        <v>0</v>
      </c>
      <c r="GI60" s="75"/>
      <c r="GJ60" s="75">
        <f>'[1]Univ Comm Fund'!AY60</f>
        <v>350000000</v>
      </c>
      <c r="GK60" s="75">
        <f>'[1]UNIV 2019'!AY66</f>
        <v>0</v>
      </c>
      <c r="GL60" s="75">
        <f t="shared" si="48"/>
        <v>350000000</v>
      </c>
      <c r="GM60" s="75"/>
      <c r="GN60" s="75">
        <f>'[1]Univ Comm Fund'!AZ60</f>
        <v>175823700</v>
      </c>
      <c r="GO60" s="75">
        <f>'[1]UNIV 2019'!AZ66</f>
        <v>0</v>
      </c>
      <c r="GP60" s="75">
        <f t="shared" si="49"/>
        <v>175823700</v>
      </c>
      <c r="GQ60" s="75"/>
      <c r="GR60" s="75">
        <f>'[1]Univ Comm Fund'!BA60</f>
        <v>20000000</v>
      </c>
      <c r="GS60" s="75">
        <f>'[1]UNIV 2019'!BA66</f>
        <v>0</v>
      </c>
      <c r="GT60" s="75">
        <f t="shared" si="50"/>
        <v>20000000</v>
      </c>
      <c r="GU60" s="75"/>
      <c r="GV60" s="75">
        <f>'[1]Univ Comm Fund'!BB60</f>
        <v>5000000</v>
      </c>
      <c r="GW60" s="75">
        <f>'[1]UNIV 2019'!BB66</f>
        <v>0</v>
      </c>
      <c r="GX60" s="75">
        <f t="shared" si="51"/>
        <v>5000000</v>
      </c>
      <c r="GY60" s="75"/>
      <c r="GZ60" s="75">
        <f>'[1]Univ Comm Fund'!BC60</f>
        <v>10000000</v>
      </c>
      <c r="HA60" s="75">
        <f>'[1]UNIV 2019'!BD66</f>
        <v>0</v>
      </c>
      <c r="HB60" s="75">
        <f t="shared" si="52"/>
        <v>10000000</v>
      </c>
      <c r="HC60" s="75"/>
      <c r="HD60" s="75">
        <f>'[1]Univ Comm Fund'!BD60</f>
        <v>0</v>
      </c>
      <c r="HE60" s="75">
        <f>'[1]UNIV 2019'!BC66</f>
        <v>0</v>
      </c>
      <c r="HF60" s="75">
        <f t="shared" si="53"/>
        <v>0</v>
      </c>
      <c r="HG60" s="75"/>
      <c r="HH60" s="75">
        <f t="shared" si="54"/>
        <v>4116373700</v>
      </c>
      <c r="HI60" s="75">
        <f t="shared" si="54"/>
        <v>2751431900</v>
      </c>
      <c r="HJ60" s="82">
        <f t="shared" si="55"/>
        <v>1364941800</v>
      </c>
      <c r="HL60" s="83">
        <f t="shared" si="56"/>
        <v>3065550000</v>
      </c>
      <c r="HM60" s="83">
        <f t="shared" si="56"/>
        <v>2006531900</v>
      </c>
      <c r="HN60" s="84">
        <f t="shared" si="57"/>
        <v>1059018100</v>
      </c>
      <c r="HP60" s="83">
        <f t="shared" si="58"/>
        <v>513000000</v>
      </c>
      <c r="HQ60" s="83">
        <f t="shared" si="58"/>
        <v>513000000</v>
      </c>
      <c r="HR60" s="84">
        <f t="shared" si="59"/>
        <v>0</v>
      </c>
      <c r="HT60" s="83">
        <f t="shared" si="60"/>
        <v>145000000</v>
      </c>
      <c r="HU60" s="83">
        <f t="shared" si="60"/>
        <v>132000000</v>
      </c>
      <c r="HV60" s="84">
        <f t="shared" si="61"/>
        <v>13000000</v>
      </c>
      <c r="HX60" s="83">
        <f t="shared" si="62"/>
        <v>60000000</v>
      </c>
      <c r="HY60" s="83">
        <f t="shared" si="62"/>
        <v>15900000</v>
      </c>
      <c r="HZ60" s="84">
        <f t="shared" si="63"/>
        <v>44100000</v>
      </c>
      <c r="IB60" s="83">
        <f t="shared" si="64"/>
        <v>35000000</v>
      </c>
      <c r="IC60" s="83">
        <f t="shared" si="64"/>
        <v>0</v>
      </c>
      <c r="ID60" s="84">
        <f t="shared" si="65"/>
        <v>35000000</v>
      </c>
      <c r="IF60" s="83">
        <f t="shared" si="69"/>
        <v>2000000</v>
      </c>
      <c r="IG60" s="83">
        <f t="shared" si="69"/>
        <v>0</v>
      </c>
      <c r="IH60" s="84">
        <f t="shared" si="66"/>
        <v>2000000</v>
      </c>
      <c r="IJ60" s="84">
        <f t="shared" si="67"/>
        <v>295823700</v>
      </c>
      <c r="IK60" s="84">
        <f t="shared" si="67"/>
        <v>84000000</v>
      </c>
      <c r="IL60" s="84">
        <f t="shared" si="68"/>
        <v>211823700</v>
      </c>
    </row>
    <row r="61" spans="1:246" ht="18.75" customHeight="1" x14ac:dyDescent="0.25">
      <c r="A61" s="42" t="s">
        <v>120</v>
      </c>
      <c r="B61" s="131" t="s">
        <v>121</v>
      </c>
      <c r="C61" s="118"/>
      <c r="D61" s="66">
        <f>'[1]Univ Comm Fund'!D61</f>
        <v>0</v>
      </c>
      <c r="E61" s="66">
        <f>'[1]UNIV 2019'!D67</f>
        <v>0</v>
      </c>
      <c r="F61" s="75">
        <f t="shared" si="4"/>
        <v>0</v>
      </c>
      <c r="G61" s="66"/>
      <c r="H61" s="66">
        <f>'[1]Univ Comm Fund'!E61</f>
        <v>0</v>
      </c>
      <c r="I61" s="66">
        <f>'[1]UNIV 2019'!E67</f>
        <v>0</v>
      </c>
      <c r="J61" s="66">
        <f t="shared" si="5"/>
        <v>0</v>
      </c>
      <c r="K61" s="66"/>
      <c r="L61" s="66">
        <f>'[1]Univ Comm Fund'!F61</f>
        <v>0</v>
      </c>
      <c r="M61" s="66">
        <f>'[1]UNIV 2019'!F67</f>
        <v>0</v>
      </c>
      <c r="N61" s="66">
        <f t="shared" si="6"/>
        <v>0</v>
      </c>
      <c r="O61" s="66"/>
      <c r="P61" s="66">
        <f>'[1]Univ Comm Fund'!G61</f>
        <v>0</v>
      </c>
      <c r="Q61" s="66">
        <f>'[1]UNIV 2019'!G67</f>
        <v>0</v>
      </c>
      <c r="R61" s="66">
        <f t="shared" si="7"/>
        <v>0</v>
      </c>
      <c r="S61" s="87"/>
      <c r="T61" s="66">
        <f>'[1]Univ Comm Fund'!H61</f>
        <v>0</v>
      </c>
      <c r="U61" s="66">
        <f>'[1]UNIV 2019'!H67</f>
        <v>0</v>
      </c>
      <c r="V61" s="66">
        <f t="shared" si="8"/>
        <v>0</v>
      </c>
      <c r="W61" s="66"/>
      <c r="X61" s="66">
        <f>'[1]Univ Comm Fund'!I61</f>
        <v>0</v>
      </c>
      <c r="Y61" s="66">
        <f>'[1]UNIV 2019'!I67</f>
        <v>0</v>
      </c>
      <c r="Z61" s="66">
        <f t="shared" si="9"/>
        <v>0</v>
      </c>
      <c r="AA61" s="66"/>
      <c r="AB61" s="66">
        <f>'[1]Univ Comm Fund'!J61</f>
        <v>0</v>
      </c>
      <c r="AC61" s="66">
        <f>'[1]UNIV 2019'!J67</f>
        <v>0</v>
      </c>
      <c r="AD61" s="66">
        <f t="shared" si="10"/>
        <v>0</v>
      </c>
      <c r="AE61" s="66"/>
      <c r="AF61" s="88">
        <f>'[1]Univ Comm Fund'!K61</f>
        <v>0</v>
      </c>
      <c r="AG61" s="66">
        <f>'[1]UNIV 2019'!K67</f>
        <v>0</v>
      </c>
      <c r="AH61" s="66">
        <f t="shared" si="11"/>
        <v>0</v>
      </c>
      <c r="AI61" s="88"/>
      <c r="AJ61" s="66">
        <f>'[1]Univ Comm Fund'!L61</f>
        <v>0</v>
      </c>
      <c r="AK61" s="66">
        <f>'[1]UNIV 2019'!L67</f>
        <v>0</v>
      </c>
      <c r="AL61" s="66">
        <f t="shared" si="12"/>
        <v>0</v>
      </c>
      <c r="AM61" s="66"/>
      <c r="AN61" s="66">
        <f>'[1]Univ Comm Fund'!M61</f>
        <v>0</v>
      </c>
      <c r="AO61" s="66">
        <f>'[1]UNIV 2019'!M67</f>
        <v>0</v>
      </c>
      <c r="AP61" s="66">
        <f t="shared" si="13"/>
        <v>0</v>
      </c>
      <c r="AQ61" s="66"/>
      <c r="AR61" s="66">
        <f>'[1]Univ Comm Fund'!N61</f>
        <v>0</v>
      </c>
      <c r="AS61" s="66">
        <f>'[1]UNIV 2019'!N67</f>
        <v>0</v>
      </c>
      <c r="AT61" s="66">
        <f t="shared" si="14"/>
        <v>0</v>
      </c>
      <c r="AU61" s="66"/>
      <c r="AV61" s="66">
        <f>'[1]Univ Comm Fund'!O61</f>
        <v>0</v>
      </c>
      <c r="AW61" s="66">
        <f>'[1]UNIV 2019'!O67</f>
        <v>0</v>
      </c>
      <c r="AX61" s="66">
        <f t="shared" si="15"/>
        <v>0</v>
      </c>
      <c r="AY61" s="66"/>
      <c r="AZ61" s="66">
        <f>'[1]Univ Comm Fund'!P61</f>
        <v>0</v>
      </c>
      <c r="BA61" s="66">
        <f>'[1]UNIV 2019'!P67</f>
        <v>0</v>
      </c>
      <c r="BB61" s="66">
        <f t="shared" si="0"/>
        <v>0</v>
      </c>
      <c r="BC61" s="66"/>
      <c r="BD61" s="66">
        <f>'[1]Univ Comm Fund'!Q61</f>
        <v>0</v>
      </c>
      <c r="BE61" s="66">
        <f>'[1]UNIV 2019'!Q67</f>
        <v>0</v>
      </c>
      <c r="BF61" s="66">
        <f t="shared" si="1"/>
        <v>0</v>
      </c>
      <c r="BG61" s="66"/>
      <c r="BH61" s="66">
        <f>'[1]Univ Comm Fund'!R61</f>
        <v>45940000</v>
      </c>
      <c r="BI61" s="66">
        <f>'[1]UNIV 2019'!R67</f>
        <v>45940000</v>
      </c>
      <c r="BJ61" s="66">
        <f t="shared" si="16"/>
        <v>0</v>
      </c>
      <c r="BK61" s="66"/>
      <c r="BL61" s="66">
        <f>'[1]Univ Comm Fund'!S61</f>
        <v>0</v>
      </c>
      <c r="BM61" s="66">
        <f>'[1]UNIV 2019'!S67</f>
        <v>0</v>
      </c>
      <c r="BN61" s="66">
        <f t="shared" si="17"/>
        <v>0</v>
      </c>
      <c r="BO61" s="66"/>
      <c r="BP61" s="66">
        <f>'[1]Univ Comm Fund'!T61</f>
        <v>0</v>
      </c>
      <c r="BQ61" s="66">
        <f>'[1]UNIV 2019'!T67</f>
        <v>0</v>
      </c>
      <c r="BR61" s="66">
        <f t="shared" si="18"/>
        <v>0</v>
      </c>
      <c r="BS61" s="66"/>
      <c r="BT61" s="66">
        <f>'[1]Univ Comm Fund'!U61</f>
        <v>0</v>
      </c>
      <c r="BU61" s="66">
        <f>'[1]UNIV 2019'!U67</f>
        <v>0</v>
      </c>
      <c r="BV61" s="66">
        <f t="shared" si="2"/>
        <v>0</v>
      </c>
      <c r="BW61" s="66"/>
      <c r="BX61" s="66">
        <f>'[1]Univ Comm Fund'!V61</f>
        <v>0</v>
      </c>
      <c r="BY61" s="66">
        <f>'[1]UNIV 2019'!V67</f>
        <v>0</v>
      </c>
      <c r="BZ61" s="66">
        <f t="shared" si="19"/>
        <v>0</v>
      </c>
      <c r="CA61" s="66"/>
      <c r="CB61" s="66">
        <f>'[1]Univ Comm Fund'!W61</f>
        <v>0</v>
      </c>
      <c r="CC61" s="66">
        <f>'[1]UNIV 2019'!W67</f>
        <v>0</v>
      </c>
      <c r="CD61" s="66">
        <f t="shared" si="20"/>
        <v>0</v>
      </c>
      <c r="CE61" s="66"/>
      <c r="CF61" s="66">
        <v>0</v>
      </c>
      <c r="CG61" s="66">
        <f>'[1]UNIV 2019'!X67</f>
        <v>0</v>
      </c>
      <c r="CH61" s="75">
        <f t="shared" si="21"/>
        <v>0</v>
      </c>
      <c r="CI61" s="66"/>
      <c r="CJ61" s="66">
        <f>'[1]Univ Comm Fund'!Y61</f>
        <v>0</v>
      </c>
      <c r="CK61" s="66">
        <f>'[1]UNIV 2019'!Y67</f>
        <v>0</v>
      </c>
      <c r="CL61" s="66">
        <f t="shared" si="22"/>
        <v>0</v>
      </c>
      <c r="CM61" s="66"/>
      <c r="CN61" s="20">
        <f>'[1]Univ Comm Fund'!Z61</f>
        <v>0</v>
      </c>
      <c r="CO61" s="66">
        <f>'[1]UNIV 2019'!Z67</f>
        <v>0</v>
      </c>
      <c r="CP61" s="66">
        <f t="shared" si="23"/>
        <v>0</v>
      </c>
      <c r="CQ61" s="20"/>
      <c r="CR61" s="66">
        <f>'[1]Univ Comm Fund'!AA61</f>
        <v>0</v>
      </c>
      <c r="CS61" s="66">
        <f>'[1]UNIV 2019'!AA67</f>
        <v>0</v>
      </c>
      <c r="CT61" s="75">
        <f t="shared" si="24"/>
        <v>0</v>
      </c>
      <c r="CU61" s="66"/>
      <c r="CV61" s="66">
        <f>'[1]Univ Comm Fund'!AB61</f>
        <v>0</v>
      </c>
      <c r="CW61" s="66">
        <f>'[1]UNIV 2019'!AB67</f>
        <v>0</v>
      </c>
      <c r="CX61" s="75">
        <f t="shared" si="25"/>
        <v>0</v>
      </c>
      <c r="CY61" s="66"/>
      <c r="CZ61" s="66">
        <f>'[1]Univ Comm Fund'!AC61</f>
        <v>0</v>
      </c>
      <c r="DA61" s="66">
        <f>'[1]UNIV 2019'!AC67</f>
        <v>0</v>
      </c>
      <c r="DB61" s="66">
        <f t="shared" si="26"/>
        <v>0</v>
      </c>
      <c r="DC61" s="66"/>
      <c r="DD61" s="66">
        <f>'[1]Univ Comm Fund'!AD61</f>
        <v>0</v>
      </c>
      <c r="DE61" s="66">
        <f>'[1]UNIV 2019'!AD67</f>
        <v>0</v>
      </c>
      <c r="DF61" s="66">
        <f t="shared" si="27"/>
        <v>0</v>
      </c>
      <c r="DG61" s="66"/>
      <c r="DH61" s="66">
        <f>'[1]Univ Comm Fund'!AE61</f>
        <v>0</v>
      </c>
      <c r="DI61" s="66">
        <f>'[1]UNIV 2019'!AE67</f>
        <v>0</v>
      </c>
      <c r="DJ61" s="66">
        <f t="shared" si="28"/>
        <v>0</v>
      </c>
      <c r="DK61" s="66"/>
      <c r="DL61" s="66">
        <f>'[1]Univ Comm Fund'!AF61</f>
        <v>0</v>
      </c>
      <c r="DM61" s="66">
        <f>'[1]UNIV 2019'!AF67</f>
        <v>0</v>
      </c>
      <c r="DN61" s="66">
        <f t="shared" si="29"/>
        <v>0</v>
      </c>
      <c r="DO61" s="66"/>
      <c r="DP61" s="66">
        <f>'[1]Univ Comm Fund'!AG61</f>
        <v>0</v>
      </c>
      <c r="DQ61" s="66">
        <f>'[1]UNIV 2019'!AG67</f>
        <v>0</v>
      </c>
      <c r="DR61" s="108">
        <f t="shared" si="30"/>
        <v>0</v>
      </c>
      <c r="DS61" s="108"/>
      <c r="DT61" s="66">
        <f>'[1]Univ Comm Fund'!AH61</f>
        <v>0</v>
      </c>
      <c r="DU61" s="108">
        <f>'[1]UNIV 2019'!AH67</f>
        <v>0</v>
      </c>
      <c r="DV61" s="66">
        <f t="shared" si="31"/>
        <v>0</v>
      </c>
      <c r="DW61" s="66"/>
      <c r="DX61" s="99">
        <f>'[1]Univ Comm Fund'!AI61</f>
        <v>0</v>
      </c>
      <c r="DY61" s="132">
        <f>'[1]UNIV 2019'!AI67</f>
        <v>0</v>
      </c>
      <c r="DZ61" s="66">
        <f t="shared" si="32"/>
        <v>0</v>
      </c>
      <c r="EA61" s="108"/>
      <c r="EB61" s="99">
        <f>'[1]Univ Comm Fund'!AJ61</f>
        <v>0</v>
      </c>
      <c r="EC61" s="132">
        <f>'[1]UNIV 2019'!AJ67</f>
        <v>0</v>
      </c>
      <c r="ED61" s="66">
        <f t="shared" si="33"/>
        <v>0</v>
      </c>
      <c r="EE61" s="132"/>
      <c r="EF61" s="99">
        <f>'[1]Univ Comm Fund'!AK61</f>
        <v>0</v>
      </c>
      <c r="EG61" s="132">
        <f>'[1]UNIV 2019'!AK67</f>
        <v>0</v>
      </c>
      <c r="EH61" s="66">
        <f t="shared" si="34"/>
        <v>0</v>
      </c>
      <c r="EI61" s="66"/>
      <c r="EJ61" s="66">
        <f>'[1]Univ Comm Fund'!AL61</f>
        <v>0</v>
      </c>
      <c r="EK61" s="66">
        <f>'[1]UNIV 2019'!AL67</f>
        <v>0</v>
      </c>
      <c r="EL61" s="66">
        <f t="shared" si="35"/>
        <v>0</v>
      </c>
      <c r="EM61" s="66"/>
      <c r="EN61" s="80">
        <f>'[1]Univ Comm Fund'!AM61</f>
        <v>0</v>
      </c>
      <c r="EO61" s="66">
        <f>'[1]UNIV 2019'!AM67</f>
        <v>0</v>
      </c>
      <c r="EP61" s="75">
        <f t="shared" si="36"/>
        <v>0</v>
      </c>
      <c r="EQ61" s="66"/>
      <c r="ER61" s="66">
        <f>'[1]Univ Comm Fund'!AN61</f>
        <v>0</v>
      </c>
      <c r="ES61" s="66">
        <f>'[1]UNIV 2019'!AN67</f>
        <v>0</v>
      </c>
      <c r="ET61" s="75">
        <f t="shared" si="37"/>
        <v>0</v>
      </c>
      <c r="EU61" s="66"/>
      <c r="EV61" s="66">
        <f>'[1]Univ Comm Fund'!AO61</f>
        <v>0</v>
      </c>
      <c r="EW61" s="66">
        <f>'[1]UNIV 2019'!AO67</f>
        <v>0</v>
      </c>
      <c r="EX61" s="75">
        <f t="shared" si="38"/>
        <v>0</v>
      </c>
      <c r="EY61" s="66"/>
      <c r="EZ61" s="66">
        <f>'[1]Univ Comm Fund'!AP61</f>
        <v>0</v>
      </c>
      <c r="FA61" s="66">
        <f>'[1]UNIV 2019'!AP67</f>
        <v>0</v>
      </c>
      <c r="FB61" s="75">
        <f t="shared" si="39"/>
        <v>0</v>
      </c>
      <c r="FC61" s="75"/>
      <c r="FD61" s="75">
        <f>'[1]Univ Comm Fund'!AQ61</f>
        <v>0</v>
      </c>
      <c r="FE61" s="75">
        <f>'[1]UNIV 2019'!AQ67</f>
        <v>0</v>
      </c>
      <c r="FF61" s="75">
        <f t="shared" si="40"/>
        <v>0</v>
      </c>
      <c r="FG61" s="75"/>
      <c r="FH61" s="75">
        <f>'[1]Univ Comm Fund'!AR61</f>
        <v>0</v>
      </c>
      <c r="FI61" s="75">
        <f>'[1]UNIV 2019'!AR67</f>
        <v>0</v>
      </c>
      <c r="FJ61" s="75">
        <f t="shared" si="41"/>
        <v>0</v>
      </c>
      <c r="FK61" s="75"/>
      <c r="FL61" s="75">
        <f>'[1]Univ Comm Fund'!AS61</f>
        <v>0</v>
      </c>
      <c r="FM61" s="75">
        <f>'[1]UNIV 2019'!AS67</f>
        <v>0</v>
      </c>
      <c r="FN61" s="75">
        <f t="shared" si="42"/>
        <v>0</v>
      </c>
      <c r="FO61" s="75"/>
      <c r="FP61" s="75">
        <f>'[1]Univ Comm Fund'!AT61</f>
        <v>0</v>
      </c>
      <c r="FQ61" s="75">
        <f>'[1]UNIV 2019'!AT67</f>
        <v>0</v>
      </c>
      <c r="FR61" s="75">
        <f t="shared" si="43"/>
        <v>0</v>
      </c>
      <c r="FS61" s="75"/>
      <c r="FT61" s="75">
        <f>'[1]Univ Comm Fund'!AU61</f>
        <v>0</v>
      </c>
      <c r="FU61" s="75">
        <f>'[1]UNIV 2019'!AU67</f>
        <v>0</v>
      </c>
      <c r="FV61" s="75">
        <f t="shared" si="44"/>
        <v>0</v>
      </c>
      <c r="FW61" s="75"/>
      <c r="FX61" s="75">
        <f>'[1]Univ Comm Fund'!AV61</f>
        <v>0</v>
      </c>
      <c r="FY61" s="75">
        <f>'[1]UNIV 2019'!AV67</f>
        <v>0</v>
      </c>
      <c r="FZ61" s="75">
        <f t="shared" si="45"/>
        <v>0</v>
      </c>
      <c r="GA61" s="75"/>
      <c r="GB61" s="75">
        <f>'[1]Univ Comm Fund'!AW61</f>
        <v>0</v>
      </c>
      <c r="GC61" s="75">
        <f>'[1]UNIV 2019'!AW67</f>
        <v>0</v>
      </c>
      <c r="GD61" s="75">
        <f t="shared" si="46"/>
        <v>0</v>
      </c>
      <c r="GE61" s="75"/>
      <c r="GF61" s="75">
        <f>'[1]Univ Comm Fund'!AX61</f>
        <v>0</v>
      </c>
      <c r="GG61" s="75">
        <f>'[1]UNIV 2019'!AX67</f>
        <v>0</v>
      </c>
      <c r="GH61" s="75">
        <f t="shared" si="47"/>
        <v>0</v>
      </c>
      <c r="GI61" s="75"/>
      <c r="GJ61" s="75">
        <f>'[1]Univ Comm Fund'!AY61</f>
        <v>0</v>
      </c>
      <c r="GK61" s="75">
        <f>'[1]UNIV 2019'!AY67</f>
        <v>0</v>
      </c>
      <c r="GL61" s="75">
        <f t="shared" si="48"/>
        <v>0</v>
      </c>
      <c r="GM61" s="75"/>
      <c r="GN61" s="75">
        <f>'[1]Univ Comm Fund'!AZ61</f>
        <v>0</v>
      </c>
      <c r="GO61" s="75">
        <f>'[1]UNIV 2019'!AZ67</f>
        <v>0</v>
      </c>
      <c r="GP61" s="75">
        <f t="shared" si="49"/>
        <v>0</v>
      </c>
      <c r="GQ61" s="75"/>
      <c r="GR61" s="75">
        <f>'[1]Univ Comm Fund'!BA61</f>
        <v>0</v>
      </c>
      <c r="GS61" s="75">
        <f>'[1]UNIV 2019'!BA67</f>
        <v>0</v>
      </c>
      <c r="GT61" s="75">
        <f t="shared" si="50"/>
        <v>0</v>
      </c>
      <c r="GU61" s="75"/>
      <c r="GV61" s="75">
        <f>'[1]Univ Comm Fund'!BB61</f>
        <v>0</v>
      </c>
      <c r="GW61" s="75">
        <f>'[1]UNIV 2019'!BB67</f>
        <v>0</v>
      </c>
      <c r="GX61" s="75">
        <f t="shared" si="51"/>
        <v>0</v>
      </c>
      <c r="GY61" s="75"/>
      <c r="GZ61" s="75">
        <f>'[1]Univ Comm Fund'!BC61</f>
        <v>0</v>
      </c>
      <c r="HA61" s="75">
        <f>'[1]UNIV 2019'!BD67</f>
        <v>0</v>
      </c>
      <c r="HB61" s="75">
        <f t="shared" si="52"/>
        <v>0</v>
      </c>
      <c r="HC61" s="75"/>
      <c r="HD61" s="75">
        <f>'[1]Univ Comm Fund'!BD61</f>
        <v>0</v>
      </c>
      <c r="HE61" s="75">
        <f>'[1]UNIV 2019'!BC67</f>
        <v>0</v>
      </c>
      <c r="HF61" s="75">
        <f t="shared" si="53"/>
        <v>0</v>
      </c>
      <c r="HG61" s="75"/>
      <c r="HH61" s="75">
        <f t="shared" si="54"/>
        <v>45940000</v>
      </c>
      <c r="HI61" s="75">
        <f t="shared" si="54"/>
        <v>45940000</v>
      </c>
      <c r="HJ61" s="82">
        <f t="shared" si="55"/>
        <v>0</v>
      </c>
      <c r="HL61" s="83">
        <f t="shared" si="56"/>
        <v>45940000</v>
      </c>
      <c r="HM61" s="83">
        <f t="shared" si="56"/>
        <v>45940000</v>
      </c>
      <c r="HN61" s="84">
        <f t="shared" si="57"/>
        <v>0</v>
      </c>
      <c r="HP61" s="83">
        <f t="shared" si="58"/>
        <v>0</v>
      </c>
      <c r="HQ61" s="83">
        <f t="shared" si="58"/>
        <v>0</v>
      </c>
      <c r="HR61" s="84">
        <f t="shared" si="59"/>
        <v>0</v>
      </c>
      <c r="HT61" s="83">
        <f t="shared" si="60"/>
        <v>0</v>
      </c>
      <c r="HU61" s="83">
        <f t="shared" si="60"/>
        <v>0</v>
      </c>
      <c r="HV61" s="84">
        <f t="shared" si="61"/>
        <v>0</v>
      </c>
      <c r="HX61" s="83">
        <f t="shared" si="62"/>
        <v>0</v>
      </c>
      <c r="HY61" s="83">
        <f t="shared" si="62"/>
        <v>0</v>
      </c>
      <c r="HZ61" s="84">
        <f t="shared" si="63"/>
        <v>0</v>
      </c>
      <c r="IB61" s="83">
        <f t="shared" si="64"/>
        <v>0</v>
      </c>
      <c r="IC61" s="83">
        <f t="shared" si="64"/>
        <v>0</v>
      </c>
      <c r="ID61" s="84">
        <f t="shared" si="65"/>
        <v>0</v>
      </c>
      <c r="IF61" s="83">
        <f t="shared" si="69"/>
        <v>0</v>
      </c>
      <c r="IG61" s="83">
        <f t="shared" si="69"/>
        <v>0</v>
      </c>
      <c r="IH61" s="84">
        <f t="shared" si="66"/>
        <v>0</v>
      </c>
      <c r="IJ61" s="84">
        <f t="shared" si="67"/>
        <v>0</v>
      </c>
      <c r="IK61" s="84">
        <f t="shared" si="67"/>
        <v>0</v>
      </c>
      <c r="IL61" s="84">
        <f t="shared" si="68"/>
        <v>0</v>
      </c>
    </row>
    <row r="62" spans="1:246" s="125" customFormat="1" ht="18" customHeight="1" x14ac:dyDescent="0.25">
      <c r="A62" s="119">
        <v>56</v>
      </c>
      <c r="B62" s="133" t="s">
        <v>122</v>
      </c>
      <c r="C62" s="134" t="s">
        <v>61</v>
      </c>
      <c r="D62" s="121">
        <f>'[1]Univ Comm Fund'!D62</f>
        <v>0</v>
      </c>
      <c r="E62" s="121">
        <f>'[1]UNIV 2019'!D68</f>
        <v>0</v>
      </c>
      <c r="F62" s="75">
        <f t="shared" si="4"/>
        <v>0</v>
      </c>
      <c r="G62" s="121"/>
      <c r="H62" s="121">
        <f>'[1]Univ Comm Fund'!E62</f>
        <v>0</v>
      </c>
      <c r="I62" s="121">
        <f>'[1]UNIV 2019'!E68</f>
        <v>0</v>
      </c>
      <c r="J62" s="121">
        <f t="shared" si="5"/>
        <v>0</v>
      </c>
      <c r="K62" s="121"/>
      <c r="L62" s="121">
        <f>'[1]Univ Comm Fund'!F62</f>
        <v>0</v>
      </c>
      <c r="M62" s="121">
        <f>'[1]UNIV 2019'!F68</f>
        <v>0</v>
      </c>
      <c r="N62" s="121">
        <f t="shared" si="6"/>
        <v>0</v>
      </c>
      <c r="O62" s="121"/>
      <c r="P62" s="121">
        <f>'[1]Univ Comm Fund'!G62</f>
        <v>0</v>
      </c>
      <c r="Q62" s="121">
        <f>'[1]UNIV 2019'!G68</f>
        <v>0</v>
      </c>
      <c r="R62" s="121">
        <f t="shared" si="7"/>
        <v>0</v>
      </c>
      <c r="S62" s="122"/>
      <c r="T62" s="121">
        <f>'[1]Univ Comm Fund'!H62</f>
        <v>0</v>
      </c>
      <c r="U62" s="121">
        <f>'[1]UNIV 2019'!H68</f>
        <v>0</v>
      </c>
      <c r="V62" s="121">
        <f t="shared" si="8"/>
        <v>0</v>
      </c>
      <c r="W62" s="121"/>
      <c r="X62" s="121">
        <f>'[1]Univ Comm Fund'!I62</f>
        <v>0</v>
      </c>
      <c r="Y62" s="121">
        <f>'[1]UNIV 2019'!I68</f>
        <v>0</v>
      </c>
      <c r="Z62" s="121">
        <f t="shared" si="9"/>
        <v>0</v>
      </c>
      <c r="AA62" s="121"/>
      <c r="AB62" s="121">
        <f>'[1]Univ Comm Fund'!J62</f>
        <v>0</v>
      </c>
      <c r="AC62" s="121">
        <f>'[1]UNIV 2019'!J68</f>
        <v>0</v>
      </c>
      <c r="AD62" s="121">
        <f t="shared" si="10"/>
        <v>0</v>
      </c>
      <c r="AE62" s="121"/>
      <c r="AF62" s="121">
        <f>'[1]Univ Comm Fund'!K62</f>
        <v>0</v>
      </c>
      <c r="AG62" s="121">
        <f>'[1]UNIV 2019'!K68</f>
        <v>0</v>
      </c>
      <c r="AH62" s="121">
        <f t="shared" si="11"/>
        <v>0</v>
      </c>
      <c r="AI62" s="121"/>
      <c r="AJ62" s="121">
        <f>'[1]Univ Comm Fund'!L62</f>
        <v>0</v>
      </c>
      <c r="AK62" s="121">
        <f>'[1]UNIV 2019'!L68</f>
        <v>0</v>
      </c>
      <c r="AL62" s="121">
        <f t="shared" si="12"/>
        <v>0</v>
      </c>
      <c r="AM62" s="121"/>
      <c r="AN62" s="121">
        <f>'[1]Univ Comm Fund'!M62</f>
        <v>0</v>
      </c>
      <c r="AO62" s="121">
        <f>'[1]UNIV 2019'!M68</f>
        <v>0</v>
      </c>
      <c r="AP62" s="121">
        <f t="shared" si="13"/>
        <v>0</v>
      </c>
      <c r="AQ62" s="121"/>
      <c r="AR62" s="121">
        <f>'[1]Univ Comm Fund'!N62</f>
        <v>0</v>
      </c>
      <c r="AS62" s="121">
        <f>'[1]UNIV 2019'!N68</f>
        <v>0</v>
      </c>
      <c r="AT62" s="121">
        <f t="shared" si="14"/>
        <v>0</v>
      </c>
      <c r="AU62" s="121"/>
      <c r="AV62" s="121">
        <f>'[1]Univ Comm Fund'!O62</f>
        <v>0</v>
      </c>
      <c r="AW62" s="121">
        <f>'[1]UNIV 2019'!O68</f>
        <v>0</v>
      </c>
      <c r="AX62" s="121">
        <f t="shared" si="15"/>
        <v>0</v>
      </c>
      <c r="AY62" s="121"/>
      <c r="AZ62" s="121">
        <f>'[1]Univ Comm Fund'!P62</f>
        <v>0</v>
      </c>
      <c r="BA62" s="121">
        <f>'[1]UNIV 2019'!P68</f>
        <v>0</v>
      </c>
      <c r="BB62" s="121">
        <f t="shared" si="0"/>
        <v>0</v>
      </c>
      <c r="BC62" s="121"/>
      <c r="BD62" s="121">
        <f>'[1]Univ Comm Fund'!Q62</f>
        <v>0</v>
      </c>
      <c r="BE62" s="121">
        <f>'[1]UNIV 2019'!Q68</f>
        <v>0</v>
      </c>
      <c r="BF62" s="121">
        <f t="shared" si="1"/>
        <v>0</v>
      </c>
      <c r="BG62" s="121"/>
      <c r="BH62" s="121">
        <f>'[1]Univ Comm Fund'!R62</f>
        <v>0</v>
      </c>
      <c r="BI62" s="121">
        <f>'[1]UNIV 2019'!R68</f>
        <v>0</v>
      </c>
      <c r="BJ62" s="121">
        <f t="shared" si="16"/>
        <v>0</v>
      </c>
      <c r="BK62" s="121"/>
      <c r="BL62" s="121">
        <f>'[1]Univ Comm Fund'!S62</f>
        <v>0</v>
      </c>
      <c r="BM62" s="121">
        <f>'[1]UNIV 2019'!S68</f>
        <v>0</v>
      </c>
      <c r="BN62" s="121">
        <f t="shared" si="17"/>
        <v>0</v>
      </c>
      <c r="BO62" s="121"/>
      <c r="BP62" s="121">
        <f>'[1]Univ Comm Fund'!T62</f>
        <v>0</v>
      </c>
      <c r="BQ62" s="121">
        <f>'[1]UNIV 2019'!T68</f>
        <v>0</v>
      </c>
      <c r="BR62" s="121">
        <f t="shared" si="18"/>
        <v>0</v>
      </c>
      <c r="BS62" s="121"/>
      <c r="BT62" s="121">
        <f>'[1]Univ Comm Fund'!U62</f>
        <v>193140000</v>
      </c>
      <c r="BU62" s="121">
        <f>'[1]UNIV 2019'!U68</f>
        <v>193140000</v>
      </c>
      <c r="BV62" s="121">
        <f t="shared" si="2"/>
        <v>0</v>
      </c>
      <c r="BW62" s="121"/>
      <c r="BX62" s="121">
        <f>'[1]Univ Comm Fund'!V62</f>
        <v>250000000</v>
      </c>
      <c r="BY62" s="121">
        <f>'[1]UNIV 2019'!V68</f>
        <v>250000000</v>
      </c>
      <c r="BZ62" s="121">
        <f t="shared" si="19"/>
        <v>0</v>
      </c>
      <c r="CA62" s="121"/>
      <c r="CB62" s="121">
        <f>'[1]Univ Comm Fund'!W62</f>
        <v>175000000</v>
      </c>
      <c r="CC62" s="121">
        <f>'[1]UNIV 2019'!W68</f>
        <v>175000000</v>
      </c>
      <c r="CD62" s="121">
        <f t="shared" si="20"/>
        <v>0</v>
      </c>
      <c r="CE62" s="121"/>
      <c r="CF62" s="121">
        <v>75000000</v>
      </c>
      <c r="CG62" s="121">
        <f>'[1]UNIV 2019'!X68</f>
        <v>75000000</v>
      </c>
      <c r="CH62" s="75">
        <f t="shared" si="21"/>
        <v>0</v>
      </c>
      <c r="CI62" s="121"/>
      <c r="CJ62" s="121">
        <f>'[1]Univ Comm Fund'!Y62</f>
        <v>250000000</v>
      </c>
      <c r="CK62" s="121">
        <f>'[1]UNIV 2019'!Y68</f>
        <v>250000000</v>
      </c>
      <c r="CL62" s="121">
        <f t="shared" si="22"/>
        <v>0</v>
      </c>
      <c r="CM62" s="121"/>
      <c r="CN62" s="124">
        <f>'[1]Univ Comm Fund'!Z62</f>
        <v>350000000</v>
      </c>
      <c r="CO62" s="121">
        <f>'[1]UNIV 2019'!Z68</f>
        <v>297500000</v>
      </c>
      <c r="CP62" s="121">
        <f t="shared" si="23"/>
        <v>52500000</v>
      </c>
      <c r="CQ62" s="124"/>
      <c r="CR62" s="121">
        <f>'[1]Univ Comm Fund'!AA62</f>
        <v>0</v>
      </c>
      <c r="CS62" s="121">
        <f>'[1]UNIV 2019'!AA68</f>
        <v>0</v>
      </c>
      <c r="CT62" s="75">
        <f t="shared" si="24"/>
        <v>0</v>
      </c>
      <c r="CU62" s="121"/>
      <c r="CV62" s="121">
        <f>'[1]Univ Comm Fund'!AB62</f>
        <v>300000000</v>
      </c>
      <c r="CW62" s="121">
        <f>'[1]UNIV 2019'!AB68</f>
        <v>292500000</v>
      </c>
      <c r="CX62" s="75">
        <f t="shared" si="25"/>
        <v>7500000</v>
      </c>
      <c r="CY62" s="121"/>
      <c r="CZ62" s="121">
        <f>'[1]Univ Comm Fund'!AC62</f>
        <v>356000000</v>
      </c>
      <c r="DA62" s="121">
        <f>'[1]UNIV 2019'!AC68</f>
        <v>302600000</v>
      </c>
      <c r="DB62" s="121">
        <f t="shared" si="26"/>
        <v>53400000</v>
      </c>
      <c r="DC62" s="121"/>
      <c r="DD62" s="121">
        <f>'[1]Univ Comm Fund'!AD62</f>
        <v>20000000</v>
      </c>
      <c r="DE62" s="121">
        <f>'[1]UNIV 2019'!AD68</f>
        <v>0</v>
      </c>
      <c r="DF62" s="121">
        <f t="shared" si="27"/>
        <v>20000000</v>
      </c>
      <c r="DG62" s="121"/>
      <c r="DH62" s="121">
        <f>'[1]Univ Comm Fund'!AE62</f>
        <v>552000000</v>
      </c>
      <c r="DI62" s="121">
        <f>'[1]UNIV 2019'!AE68</f>
        <v>469200000</v>
      </c>
      <c r="DJ62" s="121">
        <f t="shared" si="28"/>
        <v>82800000</v>
      </c>
      <c r="DK62" s="121"/>
      <c r="DL62" s="121">
        <f>'[1]Univ Comm Fund'!AF62</f>
        <v>20000000</v>
      </c>
      <c r="DM62" s="121">
        <f>'[1]UNIV 2019'!AF68</f>
        <v>0</v>
      </c>
      <c r="DN62" s="121">
        <f t="shared" si="29"/>
        <v>20000000</v>
      </c>
      <c r="DO62" s="121"/>
      <c r="DP62" s="121">
        <f>'[1]Univ Comm Fund'!AG62</f>
        <v>400000000</v>
      </c>
      <c r="DQ62" s="121">
        <f>'[1]UNIV 2019'!AG68</f>
        <v>400000000</v>
      </c>
      <c r="DR62" s="121">
        <f t="shared" si="30"/>
        <v>0</v>
      </c>
      <c r="DS62" s="121"/>
      <c r="DT62" s="66">
        <f>'[1]Univ Comm Fund'!AH62</f>
        <v>100000000</v>
      </c>
      <c r="DU62" s="121">
        <f>'[1]UNIV 2019'!AH68</f>
        <v>0</v>
      </c>
      <c r="DV62" s="66">
        <f t="shared" si="31"/>
        <v>100000000</v>
      </c>
      <c r="DW62" s="121"/>
      <c r="DX62" s="66">
        <f>'[1]Univ Comm Fund'!AI62</f>
        <v>15000000</v>
      </c>
      <c r="DY62" s="121">
        <f>'[1]UNIV 2019'!AI68</f>
        <v>0</v>
      </c>
      <c r="DZ62" s="66">
        <f t="shared" si="32"/>
        <v>15000000</v>
      </c>
      <c r="EA62" s="121"/>
      <c r="EB62" s="66">
        <f>'[1]Univ Comm Fund'!AJ62</f>
        <v>2000000</v>
      </c>
      <c r="EC62" s="121">
        <f>'[1]UNIV 2019'!AJ68</f>
        <v>0</v>
      </c>
      <c r="ED62" s="66">
        <f t="shared" si="33"/>
        <v>2000000</v>
      </c>
      <c r="EE62" s="121"/>
      <c r="EF62" s="66">
        <f>'[1]Univ Comm Fund'!AK62</f>
        <v>10000000</v>
      </c>
      <c r="EG62" s="121">
        <f>'[1]UNIV 2019'!AK68</f>
        <v>0</v>
      </c>
      <c r="EH62" s="66">
        <f t="shared" si="34"/>
        <v>10000000</v>
      </c>
      <c r="EI62" s="66"/>
      <c r="EJ62" s="66">
        <f>'[1]Univ Comm Fund'!AL62</f>
        <v>1000000000</v>
      </c>
      <c r="EK62" s="66">
        <f>'[1]UNIV 2019'!AL68</f>
        <v>917500000</v>
      </c>
      <c r="EL62" s="66">
        <f t="shared" si="35"/>
        <v>82500000</v>
      </c>
      <c r="EM62" s="121"/>
      <c r="EN62" s="80">
        <f>'[1]Univ Comm Fund'!AM62</f>
        <v>565410000</v>
      </c>
      <c r="EO62" s="121">
        <f>'[1]UNIV 2019'!AM68</f>
        <v>0</v>
      </c>
      <c r="EP62" s="75">
        <f t="shared" si="36"/>
        <v>565410000</v>
      </c>
      <c r="EQ62" s="121"/>
      <c r="ER62" s="121">
        <f>'[1]Univ Comm Fund'!AN62</f>
        <v>15000000</v>
      </c>
      <c r="ES62" s="121">
        <f>'[1]UNIV 2019'!AN68</f>
        <v>0</v>
      </c>
      <c r="ET62" s="75">
        <f t="shared" si="37"/>
        <v>15000000</v>
      </c>
      <c r="EU62" s="121"/>
      <c r="EV62" s="121">
        <f>'[1]Univ Comm Fund'!AO62</f>
        <v>15000000</v>
      </c>
      <c r="EW62" s="121">
        <f>'[1]UNIV 2019'!AO68</f>
        <v>0</v>
      </c>
      <c r="EX62" s="75">
        <f t="shared" si="38"/>
        <v>15000000</v>
      </c>
      <c r="EY62" s="121"/>
      <c r="EZ62" s="121">
        <f>'[1]Univ Comm Fund'!AP62</f>
        <v>10000000</v>
      </c>
      <c r="FA62" s="121">
        <f>'[1]UNIV 2019'!AP68</f>
        <v>0</v>
      </c>
      <c r="FB62" s="75">
        <f t="shared" si="39"/>
        <v>10000000</v>
      </c>
      <c r="FC62" s="75"/>
      <c r="FD62" s="75">
        <f>'[1]Univ Comm Fund'!AQ62</f>
        <v>0</v>
      </c>
      <c r="FE62" s="75">
        <f>'[1]UNIV 2019'!AQ68</f>
        <v>0</v>
      </c>
      <c r="FF62" s="75">
        <f t="shared" si="40"/>
        <v>0</v>
      </c>
      <c r="FG62" s="75"/>
      <c r="FH62" s="75">
        <f>'[1]Univ Comm Fund'!AR62</f>
        <v>300000000</v>
      </c>
      <c r="FI62" s="75">
        <f>'[1]UNIV 2019'!AR68</f>
        <v>300000000</v>
      </c>
      <c r="FJ62" s="75">
        <f t="shared" si="41"/>
        <v>0</v>
      </c>
      <c r="FK62" s="75"/>
      <c r="FL62" s="75">
        <f>'[1]Univ Comm Fund'!AS62</f>
        <v>300000000</v>
      </c>
      <c r="FM62" s="75">
        <f>'[1]UNIV 2019'!AS68</f>
        <v>0</v>
      </c>
      <c r="FN62" s="75">
        <f t="shared" si="42"/>
        <v>300000000</v>
      </c>
      <c r="FO62" s="75"/>
      <c r="FP62" s="75">
        <f>'[1]Univ Comm Fund'!AT62</f>
        <v>120000000</v>
      </c>
      <c r="FQ62" s="75">
        <f>'[1]UNIV 2019'!AT68</f>
        <v>80400000</v>
      </c>
      <c r="FR62" s="75">
        <f t="shared" si="43"/>
        <v>39600000</v>
      </c>
      <c r="FS62" s="75"/>
      <c r="FT62" s="75">
        <f>'[1]Univ Comm Fund'!AU62</f>
        <v>10000000</v>
      </c>
      <c r="FU62" s="75">
        <f>'[1]UNIV 2019'!AU68</f>
        <v>0</v>
      </c>
      <c r="FV62" s="75">
        <f t="shared" si="44"/>
        <v>10000000</v>
      </c>
      <c r="FW62" s="75"/>
      <c r="FX62" s="75">
        <f>'[1]Univ Comm Fund'!AV62</f>
        <v>5000000</v>
      </c>
      <c r="FY62" s="75">
        <f>'[1]UNIV 2019'!AV68</f>
        <v>0</v>
      </c>
      <c r="FZ62" s="75">
        <f t="shared" si="45"/>
        <v>5000000</v>
      </c>
      <c r="GA62" s="75"/>
      <c r="GB62" s="75">
        <f>'[1]Univ Comm Fund'!AW62</f>
        <v>10000000</v>
      </c>
      <c r="GC62" s="75">
        <f>'[1]UNIV 2019'!AW68</f>
        <v>0</v>
      </c>
      <c r="GD62" s="75">
        <f t="shared" si="46"/>
        <v>10000000</v>
      </c>
      <c r="GE62" s="75"/>
      <c r="GF62" s="75">
        <f>'[1]Univ Comm Fund'!AX62</f>
        <v>0</v>
      </c>
      <c r="GG62" s="75">
        <f>'[1]UNIV 2019'!AX68</f>
        <v>0</v>
      </c>
      <c r="GH62" s="75">
        <f t="shared" si="47"/>
        <v>0</v>
      </c>
      <c r="GI62" s="75"/>
      <c r="GJ62" s="75">
        <f>'[1]Univ Comm Fund'!AY62</f>
        <v>350000000</v>
      </c>
      <c r="GK62" s="75">
        <f>'[1]UNIV 2019'!AY68</f>
        <v>0</v>
      </c>
      <c r="GL62" s="75">
        <f t="shared" si="48"/>
        <v>350000000</v>
      </c>
      <c r="GM62" s="75"/>
      <c r="GN62" s="75">
        <f>'[1]Univ Comm Fund'!AZ62</f>
        <v>175823700</v>
      </c>
      <c r="GO62" s="75">
        <f>'[1]UNIV 2019'!AZ68</f>
        <v>0</v>
      </c>
      <c r="GP62" s="75">
        <f t="shared" si="49"/>
        <v>175823700</v>
      </c>
      <c r="GQ62" s="75"/>
      <c r="GR62" s="75">
        <f>'[1]Univ Comm Fund'!BA62</f>
        <v>20000000</v>
      </c>
      <c r="GS62" s="75">
        <f>'[1]UNIV 2019'!BA68</f>
        <v>0</v>
      </c>
      <c r="GT62" s="75">
        <f t="shared" si="50"/>
        <v>20000000</v>
      </c>
      <c r="GU62" s="75"/>
      <c r="GV62" s="75">
        <f>'[1]Univ Comm Fund'!BB62</f>
        <v>5000000</v>
      </c>
      <c r="GW62" s="75">
        <f>'[1]UNIV 2019'!BB68</f>
        <v>0</v>
      </c>
      <c r="GX62" s="75">
        <f t="shared" si="51"/>
        <v>5000000</v>
      </c>
      <c r="GY62" s="75"/>
      <c r="GZ62" s="75">
        <f>'[1]Univ Comm Fund'!BC62</f>
        <v>10000000</v>
      </c>
      <c r="HA62" s="75">
        <f>'[1]UNIV 2019'!BD68</f>
        <v>0</v>
      </c>
      <c r="HB62" s="75">
        <f t="shared" si="52"/>
        <v>10000000</v>
      </c>
      <c r="HC62" s="75"/>
      <c r="HD62" s="75">
        <f>'[1]Univ Comm Fund'!BD62</f>
        <v>0</v>
      </c>
      <c r="HE62" s="75">
        <f>'[1]UNIV 2019'!BC68</f>
        <v>0</v>
      </c>
      <c r="HF62" s="75">
        <f t="shared" si="53"/>
        <v>0</v>
      </c>
      <c r="HG62" s="75"/>
      <c r="HH62" s="75">
        <f t="shared" si="54"/>
        <v>5979373700</v>
      </c>
      <c r="HI62" s="75">
        <f t="shared" si="54"/>
        <v>4002840000</v>
      </c>
      <c r="HJ62" s="82">
        <f t="shared" si="55"/>
        <v>1976533700</v>
      </c>
      <c r="HK62" s="3"/>
      <c r="HL62" s="83">
        <f t="shared" si="56"/>
        <v>2941550000</v>
      </c>
      <c r="HM62" s="83">
        <f t="shared" si="56"/>
        <v>1437440000</v>
      </c>
      <c r="HN62" s="84">
        <f t="shared" si="57"/>
        <v>1504110000</v>
      </c>
      <c r="HP62" s="83">
        <f t="shared" si="58"/>
        <v>2200000000</v>
      </c>
      <c r="HQ62" s="83">
        <f t="shared" si="58"/>
        <v>2110000000</v>
      </c>
      <c r="HR62" s="84">
        <f t="shared" si="59"/>
        <v>90000000</v>
      </c>
      <c r="HT62" s="83">
        <f t="shared" si="60"/>
        <v>145000000</v>
      </c>
      <c r="HU62" s="83">
        <f t="shared" si="60"/>
        <v>75000000</v>
      </c>
      <c r="HV62" s="84">
        <f t="shared" si="61"/>
        <v>70000000</v>
      </c>
      <c r="HX62" s="83">
        <f t="shared" si="62"/>
        <v>60000000</v>
      </c>
      <c r="HY62" s="83">
        <f t="shared" si="62"/>
        <v>0</v>
      </c>
      <c r="HZ62" s="84">
        <f t="shared" si="63"/>
        <v>60000000</v>
      </c>
      <c r="IB62" s="83">
        <f t="shared" si="64"/>
        <v>35000000</v>
      </c>
      <c r="IC62" s="83">
        <f t="shared" si="64"/>
        <v>0</v>
      </c>
      <c r="ID62" s="84">
        <f t="shared" si="65"/>
        <v>35000000</v>
      </c>
      <c r="IF62" s="83">
        <f t="shared" si="69"/>
        <v>2000000</v>
      </c>
      <c r="IG62" s="83">
        <f t="shared" si="69"/>
        <v>0</v>
      </c>
      <c r="IH62" s="84">
        <f t="shared" si="66"/>
        <v>2000000</v>
      </c>
      <c r="IJ62" s="84">
        <f t="shared" si="67"/>
        <v>595823700</v>
      </c>
      <c r="IK62" s="84">
        <f t="shared" si="67"/>
        <v>380400000</v>
      </c>
      <c r="IL62" s="84">
        <f t="shared" si="68"/>
        <v>215423700</v>
      </c>
    </row>
    <row r="63" spans="1:246" ht="15" customHeight="1" x14ac:dyDescent="0.25">
      <c r="A63" s="42">
        <v>57</v>
      </c>
      <c r="B63" s="91" t="s">
        <v>123</v>
      </c>
      <c r="C63" s="42" t="s">
        <v>61</v>
      </c>
      <c r="D63" s="66">
        <f>'[1]Univ Comm Fund'!D63</f>
        <v>0</v>
      </c>
      <c r="E63" s="66">
        <f>'[1]UNIV 2019'!D69</f>
        <v>0</v>
      </c>
      <c r="F63" s="75">
        <f t="shared" si="4"/>
        <v>0</v>
      </c>
      <c r="G63" s="66"/>
      <c r="H63" s="66">
        <f>'[1]Univ Comm Fund'!E63</f>
        <v>0</v>
      </c>
      <c r="I63" s="66">
        <f>'[1]UNIV 2019'!E69</f>
        <v>0</v>
      </c>
      <c r="J63" s="66">
        <f t="shared" si="5"/>
        <v>0</v>
      </c>
      <c r="K63" s="66"/>
      <c r="L63" s="66">
        <f>'[1]Univ Comm Fund'!F63</f>
        <v>0</v>
      </c>
      <c r="M63" s="66">
        <f>'[1]UNIV 2019'!F69</f>
        <v>0</v>
      </c>
      <c r="N63" s="66">
        <f t="shared" si="6"/>
        <v>0</v>
      </c>
      <c r="O63" s="66"/>
      <c r="P63" s="66">
        <f>'[1]Univ Comm Fund'!G63</f>
        <v>0</v>
      </c>
      <c r="Q63" s="66">
        <f>'[1]UNIV 2019'!G69</f>
        <v>0</v>
      </c>
      <c r="R63" s="66">
        <f t="shared" si="7"/>
        <v>0</v>
      </c>
      <c r="S63" s="87"/>
      <c r="T63" s="66">
        <f>'[1]Univ Comm Fund'!H63</f>
        <v>0</v>
      </c>
      <c r="U63" s="66">
        <f>'[1]UNIV 2019'!H69</f>
        <v>0</v>
      </c>
      <c r="V63" s="66">
        <f t="shared" si="8"/>
        <v>0</v>
      </c>
      <c r="W63" s="66"/>
      <c r="X63" s="66">
        <f>'[1]Univ Comm Fund'!I63</f>
        <v>0</v>
      </c>
      <c r="Y63" s="66">
        <f>'[1]UNIV 2019'!I69</f>
        <v>0</v>
      </c>
      <c r="Z63" s="66">
        <f t="shared" si="9"/>
        <v>0</v>
      </c>
      <c r="AA63" s="66"/>
      <c r="AB63" s="66">
        <f>'[1]Univ Comm Fund'!J63</f>
        <v>0</v>
      </c>
      <c r="AC63" s="66">
        <f>'[1]UNIV 2019'!J69</f>
        <v>0</v>
      </c>
      <c r="AD63" s="66">
        <f t="shared" si="10"/>
        <v>0</v>
      </c>
      <c r="AE63" s="66"/>
      <c r="AF63" s="66">
        <f>'[1]Univ Comm Fund'!K63</f>
        <v>0</v>
      </c>
      <c r="AG63" s="66">
        <f>'[1]UNIV 2019'!K69</f>
        <v>0</v>
      </c>
      <c r="AH63" s="66">
        <f t="shared" si="11"/>
        <v>0</v>
      </c>
      <c r="AI63" s="66"/>
      <c r="AJ63" s="66">
        <f>'[1]Univ Comm Fund'!L63</f>
        <v>0</v>
      </c>
      <c r="AK63" s="66">
        <f>'[1]UNIV 2019'!L69</f>
        <v>0</v>
      </c>
      <c r="AL63" s="66">
        <f t="shared" si="12"/>
        <v>0</v>
      </c>
      <c r="AM63" s="66"/>
      <c r="AN63" s="66">
        <f>'[1]Univ Comm Fund'!M63</f>
        <v>0</v>
      </c>
      <c r="AO63" s="66">
        <f>'[1]UNIV 2019'!M69</f>
        <v>0</v>
      </c>
      <c r="AP63" s="66">
        <f t="shared" si="13"/>
        <v>0</v>
      </c>
      <c r="AQ63" s="66"/>
      <c r="AR63" s="66">
        <f>'[1]Univ Comm Fund'!N63</f>
        <v>0</v>
      </c>
      <c r="AS63" s="66">
        <f>'[1]UNIV 2019'!N69</f>
        <v>0</v>
      </c>
      <c r="AT63" s="66">
        <f t="shared" si="14"/>
        <v>0</v>
      </c>
      <c r="AU63" s="66"/>
      <c r="AV63" s="66">
        <f>'[1]Univ Comm Fund'!O63</f>
        <v>34000000</v>
      </c>
      <c r="AW63" s="66">
        <f>'[1]UNIV 2019'!O69</f>
        <v>34000000</v>
      </c>
      <c r="AX63" s="66">
        <f t="shared" si="15"/>
        <v>0</v>
      </c>
      <c r="AY63" s="66"/>
      <c r="AZ63" s="66">
        <f>'[1]Univ Comm Fund'!P63</f>
        <v>0</v>
      </c>
      <c r="BA63" s="66">
        <f>'[1]UNIV 2019'!P69</f>
        <v>0</v>
      </c>
      <c r="BB63" s="66">
        <f t="shared" si="0"/>
        <v>0</v>
      </c>
      <c r="BC63" s="66"/>
      <c r="BD63" s="66">
        <f>'[1]Univ Comm Fund'!Q63</f>
        <v>44200000</v>
      </c>
      <c r="BE63" s="66">
        <f>'[1]UNIV 2019'!Q69</f>
        <v>44200000</v>
      </c>
      <c r="BF63" s="66">
        <f t="shared" si="1"/>
        <v>0</v>
      </c>
      <c r="BG63" s="66"/>
      <c r="BH63" s="66">
        <f>'[1]Univ Comm Fund'!R63</f>
        <v>0</v>
      </c>
      <c r="BI63" s="66">
        <f>'[1]UNIV 2019'!R69</f>
        <v>0</v>
      </c>
      <c r="BJ63" s="66">
        <f t="shared" si="16"/>
        <v>0</v>
      </c>
      <c r="BK63" s="66"/>
      <c r="BL63" s="66">
        <f>'[1]Univ Comm Fund'!S63</f>
        <v>0</v>
      </c>
      <c r="BM63" s="66">
        <f>'[1]UNIV 2019'!S69</f>
        <v>0</v>
      </c>
      <c r="BN63" s="66">
        <f t="shared" si="17"/>
        <v>0</v>
      </c>
      <c r="BO63" s="66"/>
      <c r="BP63" s="66">
        <f>'[1]Univ Comm Fund'!T63</f>
        <v>0</v>
      </c>
      <c r="BQ63" s="66">
        <f>'[1]UNIV 2019'!T69</f>
        <v>0</v>
      </c>
      <c r="BR63" s="66">
        <f t="shared" si="18"/>
        <v>0</v>
      </c>
      <c r="BS63" s="66"/>
      <c r="BT63" s="66">
        <f>'[1]Univ Comm Fund'!U63</f>
        <v>0</v>
      </c>
      <c r="BU63" s="66">
        <f>'[1]UNIV 2019'!U69</f>
        <v>0</v>
      </c>
      <c r="BV63" s="66">
        <f t="shared" si="2"/>
        <v>0</v>
      </c>
      <c r="BW63" s="66"/>
      <c r="BX63" s="66">
        <f>'[1]Univ Comm Fund'!V63</f>
        <v>0</v>
      </c>
      <c r="BY63" s="66">
        <f>'[1]UNIV 2019'!V69</f>
        <v>0</v>
      </c>
      <c r="BZ63" s="66">
        <f t="shared" si="19"/>
        <v>0</v>
      </c>
      <c r="CA63" s="66"/>
      <c r="CB63" s="66">
        <f>'[1]Univ Comm Fund'!W63</f>
        <v>175000000</v>
      </c>
      <c r="CC63" s="66">
        <f>'[1]UNIV 2019'!W69</f>
        <v>175000000</v>
      </c>
      <c r="CD63" s="66">
        <f t="shared" si="20"/>
        <v>0</v>
      </c>
      <c r="CE63" s="66"/>
      <c r="CF63" s="66">
        <v>75000000</v>
      </c>
      <c r="CG63" s="66">
        <f>'[1]UNIV 2019'!X69</f>
        <v>75000000</v>
      </c>
      <c r="CH63" s="75">
        <f t="shared" si="21"/>
        <v>0</v>
      </c>
      <c r="CI63" s="66"/>
      <c r="CJ63" s="66">
        <f>'[1]Univ Comm Fund'!Y63</f>
        <v>0</v>
      </c>
      <c r="CK63" s="66">
        <f>'[1]UNIV 2019'!Y69</f>
        <v>0</v>
      </c>
      <c r="CL63" s="66">
        <f t="shared" si="22"/>
        <v>0</v>
      </c>
      <c r="CM63" s="66"/>
      <c r="CN63" s="20">
        <f>'[1]Univ Comm Fund'!Z63</f>
        <v>350000000</v>
      </c>
      <c r="CO63" s="66">
        <f>'[1]UNIV 2019'!Z69</f>
        <v>350000000</v>
      </c>
      <c r="CP63" s="66">
        <f t="shared" si="23"/>
        <v>0</v>
      </c>
      <c r="CQ63" s="20"/>
      <c r="CR63" s="66">
        <f>'[1]Univ Comm Fund'!AA63</f>
        <v>217000000</v>
      </c>
      <c r="CS63" s="66">
        <f>'[1]UNIV 2019'!AA69</f>
        <v>184450000</v>
      </c>
      <c r="CT63" s="75">
        <f t="shared" si="24"/>
        <v>32550000</v>
      </c>
      <c r="CU63" s="66"/>
      <c r="CV63" s="66">
        <f>'[1]Univ Comm Fund'!AB63</f>
        <v>0</v>
      </c>
      <c r="CW63" s="66">
        <f>'[1]UNIV 2019'!AB69</f>
        <v>0</v>
      </c>
      <c r="CX63" s="75">
        <f t="shared" si="25"/>
        <v>0</v>
      </c>
      <c r="CY63" s="66"/>
      <c r="CZ63" s="66">
        <f>'[1]Univ Comm Fund'!AC63</f>
        <v>356000000</v>
      </c>
      <c r="DA63" s="66">
        <f>'[1]UNIV 2019'!AC69</f>
        <v>227840000</v>
      </c>
      <c r="DB63" s="66">
        <f t="shared" si="26"/>
        <v>128160000</v>
      </c>
      <c r="DC63" s="66"/>
      <c r="DD63" s="66">
        <f>'[1]Univ Comm Fund'!AD63</f>
        <v>20000000</v>
      </c>
      <c r="DE63" s="66">
        <f>'[1]UNIV 2019'!AD69</f>
        <v>17000000</v>
      </c>
      <c r="DF63" s="66">
        <f t="shared" si="27"/>
        <v>3000000</v>
      </c>
      <c r="DG63" s="66"/>
      <c r="DH63" s="66">
        <f>'[1]Univ Comm Fund'!AE63</f>
        <v>552000000</v>
      </c>
      <c r="DI63" s="66">
        <f>'[1]UNIV 2019'!AE69</f>
        <v>353280000</v>
      </c>
      <c r="DJ63" s="66">
        <f t="shared" si="28"/>
        <v>198720000</v>
      </c>
      <c r="DK63" s="66"/>
      <c r="DL63" s="66">
        <f>'[1]Univ Comm Fund'!AF63</f>
        <v>20000000</v>
      </c>
      <c r="DM63" s="66">
        <f>'[1]UNIV 2019'!AF69</f>
        <v>17000000</v>
      </c>
      <c r="DN63" s="66">
        <f t="shared" si="29"/>
        <v>3000000</v>
      </c>
      <c r="DO63" s="66"/>
      <c r="DP63" s="66">
        <f>'[1]Univ Comm Fund'!AG63</f>
        <v>550000000</v>
      </c>
      <c r="DQ63" s="66">
        <f>'[1]UNIV 2019'!AG69</f>
        <v>475000000</v>
      </c>
      <c r="DR63" s="66">
        <f t="shared" si="30"/>
        <v>75000000</v>
      </c>
      <c r="DS63" s="66"/>
      <c r="DT63" s="66">
        <f>'[1]Univ Comm Fund'!AH63</f>
        <v>100000000</v>
      </c>
      <c r="DU63" s="66">
        <f>'[1]UNIV 2019'!AH69</f>
        <v>64000000</v>
      </c>
      <c r="DV63" s="66">
        <f t="shared" si="31"/>
        <v>36000000</v>
      </c>
      <c r="DW63" s="66"/>
      <c r="DX63" s="66">
        <f>'[1]Univ Comm Fund'!AI63</f>
        <v>15000000</v>
      </c>
      <c r="DY63" s="66">
        <f>'[1]UNIV 2019'!AI69</f>
        <v>7600000</v>
      </c>
      <c r="DZ63" s="66">
        <f t="shared" si="32"/>
        <v>7400000</v>
      </c>
      <c r="EA63" s="66"/>
      <c r="EB63" s="66">
        <f>'[1]Univ Comm Fund'!AJ63</f>
        <v>2000000</v>
      </c>
      <c r="EC63" s="66">
        <f>'[1]UNIV 2019'!AJ69</f>
        <v>0</v>
      </c>
      <c r="ED63" s="66">
        <f t="shared" si="33"/>
        <v>2000000</v>
      </c>
      <c r="EE63" s="66"/>
      <c r="EF63" s="66">
        <f>'[1]Univ Comm Fund'!AK63</f>
        <v>10000000</v>
      </c>
      <c r="EG63" s="66">
        <f>'[1]UNIV 2019'!AK69</f>
        <v>8500000</v>
      </c>
      <c r="EH63" s="66">
        <f t="shared" si="34"/>
        <v>1500000</v>
      </c>
      <c r="EI63" s="66"/>
      <c r="EJ63" s="66">
        <f>'[1]Univ Comm Fund'!AL63</f>
        <v>1000000000</v>
      </c>
      <c r="EK63" s="66">
        <f>'[1]UNIV 2019'!AL69</f>
        <v>785000000</v>
      </c>
      <c r="EL63" s="66">
        <f t="shared" si="35"/>
        <v>215000000</v>
      </c>
      <c r="EM63" s="66"/>
      <c r="EN63" s="80">
        <f>'[1]Univ Comm Fund'!AM63</f>
        <v>565410000</v>
      </c>
      <c r="EO63" s="66">
        <f>'[1]UNIV 2019'!AM69</f>
        <v>361862400</v>
      </c>
      <c r="EP63" s="75">
        <f t="shared" si="36"/>
        <v>203547600</v>
      </c>
      <c r="EQ63" s="66"/>
      <c r="ER63" s="66">
        <f>'[1]Univ Comm Fund'!AN63</f>
        <v>15000000</v>
      </c>
      <c r="ES63" s="66">
        <f>'[1]UNIV 2019'!AN69</f>
        <v>7600000</v>
      </c>
      <c r="ET63" s="75">
        <f t="shared" si="37"/>
        <v>7400000</v>
      </c>
      <c r="EU63" s="66"/>
      <c r="EV63" s="66">
        <f>'[1]Univ Comm Fund'!AO63</f>
        <v>15000000</v>
      </c>
      <c r="EW63" s="66">
        <f>'[1]UNIV 2019'!AO69</f>
        <v>0</v>
      </c>
      <c r="EX63" s="75">
        <f t="shared" si="38"/>
        <v>15000000</v>
      </c>
      <c r="EY63" s="66"/>
      <c r="EZ63" s="66">
        <f>'[1]Univ Comm Fund'!AP63</f>
        <v>10000000</v>
      </c>
      <c r="FA63" s="66">
        <f>'[1]UNIV 2019'!AP69</f>
        <v>0</v>
      </c>
      <c r="FB63" s="75">
        <f t="shared" si="39"/>
        <v>10000000</v>
      </c>
      <c r="FC63" s="75"/>
      <c r="FD63" s="75">
        <f>'[1]Univ Comm Fund'!AQ63</f>
        <v>0</v>
      </c>
      <c r="FE63" s="75">
        <f>'[1]UNIV 2019'!AQ69</f>
        <v>0</v>
      </c>
      <c r="FF63" s="75">
        <f t="shared" si="40"/>
        <v>0</v>
      </c>
      <c r="FG63" s="75"/>
      <c r="FH63" s="75">
        <f>'[1]Univ Comm Fund'!AR63</f>
        <v>0</v>
      </c>
      <c r="FI63" s="75">
        <f>'[1]UNIV 2019'!AR69</f>
        <v>0</v>
      </c>
      <c r="FJ63" s="75">
        <f t="shared" si="41"/>
        <v>0</v>
      </c>
      <c r="FK63" s="75"/>
      <c r="FL63" s="75">
        <f>'[1]Univ Comm Fund'!AS63</f>
        <v>300000000</v>
      </c>
      <c r="FM63" s="75">
        <f>'[1]UNIV 2019'!AS69</f>
        <v>0</v>
      </c>
      <c r="FN63" s="75">
        <f t="shared" si="42"/>
        <v>300000000</v>
      </c>
      <c r="FO63" s="75"/>
      <c r="FP63" s="75">
        <f>'[1]Univ Comm Fund'!AT63</f>
        <v>120000000</v>
      </c>
      <c r="FQ63" s="75">
        <f>'[1]UNIV 2019'!AT69</f>
        <v>102000000</v>
      </c>
      <c r="FR63" s="75">
        <f t="shared" si="43"/>
        <v>18000000</v>
      </c>
      <c r="FS63" s="75"/>
      <c r="FT63" s="75">
        <f>'[1]Univ Comm Fund'!AU63</f>
        <v>10000000</v>
      </c>
      <c r="FU63" s="75">
        <f>'[1]UNIV 2019'!AU69</f>
        <v>0</v>
      </c>
      <c r="FV63" s="75">
        <f t="shared" si="44"/>
        <v>10000000</v>
      </c>
      <c r="FW63" s="75"/>
      <c r="FX63" s="75">
        <f>'[1]Univ Comm Fund'!AV63</f>
        <v>5000000</v>
      </c>
      <c r="FY63" s="75">
        <f>'[1]UNIV 2019'!AV69</f>
        <v>0</v>
      </c>
      <c r="FZ63" s="75">
        <f t="shared" si="45"/>
        <v>5000000</v>
      </c>
      <c r="GA63" s="75"/>
      <c r="GB63" s="75">
        <f>'[1]Univ Comm Fund'!AW63</f>
        <v>10000000</v>
      </c>
      <c r="GC63" s="75">
        <f>'[1]UNIV 2019'!AW69</f>
        <v>0</v>
      </c>
      <c r="GD63" s="75">
        <f t="shared" si="46"/>
        <v>10000000</v>
      </c>
      <c r="GE63" s="75"/>
      <c r="GF63" s="75">
        <f>'[1]Univ Comm Fund'!AX63</f>
        <v>0</v>
      </c>
      <c r="GG63" s="75">
        <f>'[1]UNIV 2019'!AX69</f>
        <v>0</v>
      </c>
      <c r="GH63" s="75">
        <f t="shared" si="47"/>
        <v>0</v>
      </c>
      <c r="GI63" s="75"/>
      <c r="GJ63" s="75">
        <f>'[1]Univ Comm Fund'!AY63</f>
        <v>350000000</v>
      </c>
      <c r="GK63" s="75">
        <f>'[1]UNIV 2019'!AY69</f>
        <v>0</v>
      </c>
      <c r="GL63" s="75">
        <f t="shared" si="48"/>
        <v>350000000</v>
      </c>
      <c r="GM63" s="75"/>
      <c r="GN63" s="75">
        <f>'[1]Univ Comm Fund'!AZ63</f>
        <v>175823700</v>
      </c>
      <c r="GO63" s="75">
        <f>'[1]UNIV 2019'!AZ69</f>
        <v>0</v>
      </c>
      <c r="GP63" s="75">
        <f t="shared" si="49"/>
        <v>175823700</v>
      </c>
      <c r="GQ63" s="75"/>
      <c r="GR63" s="75">
        <f>'[1]Univ Comm Fund'!BA63</f>
        <v>20000000</v>
      </c>
      <c r="GS63" s="75">
        <f>'[1]UNIV 2019'!BA69</f>
        <v>0</v>
      </c>
      <c r="GT63" s="75">
        <f t="shared" si="50"/>
        <v>20000000</v>
      </c>
      <c r="GU63" s="75"/>
      <c r="GV63" s="75">
        <f>'[1]Univ Comm Fund'!BB63</f>
        <v>5000000</v>
      </c>
      <c r="GW63" s="75">
        <f>'[1]UNIV 2019'!BB69</f>
        <v>0</v>
      </c>
      <c r="GX63" s="75">
        <f t="shared" si="51"/>
        <v>5000000</v>
      </c>
      <c r="GY63" s="75"/>
      <c r="GZ63" s="75">
        <f>'[1]Univ Comm Fund'!BC63</f>
        <v>10000000</v>
      </c>
      <c r="HA63" s="75">
        <f>'[1]UNIV 2019'!BD69</f>
        <v>0</v>
      </c>
      <c r="HB63" s="75">
        <f t="shared" si="52"/>
        <v>10000000</v>
      </c>
      <c r="HC63" s="75"/>
      <c r="HD63" s="75">
        <f>'[1]Univ Comm Fund'!BD63</f>
        <v>0</v>
      </c>
      <c r="HE63" s="75">
        <f>'[1]UNIV 2019'!BC69</f>
        <v>0</v>
      </c>
      <c r="HF63" s="75">
        <f t="shared" si="53"/>
        <v>0</v>
      </c>
      <c r="HG63" s="75"/>
      <c r="HH63" s="75">
        <f t="shared" si="54"/>
        <v>5131433700</v>
      </c>
      <c r="HI63" s="75">
        <f t="shared" si="54"/>
        <v>3289332400</v>
      </c>
      <c r="HJ63" s="82">
        <f t="shared" si="55"/>
        <v>1842101300</v>
      </c>
      <c r="HL63" s="83">
        <f t="shared" si="56"/>
        <v>2826610000</v>
      </c>
      <c r="HM63" s="83">
        <f t="shared" si="56"/>
        <v>1610182400</v>
      </c>
      <c r="HN63" s="84">
        <f t="shared" si="57"/>
        <v>1216427600</v>
      </c>
      <c r="HP63" s="83">
        <f t="shared" si="58"/>
        <v>1767000000</v>
      </c>
      <c r="HQ63" s="83">
        <f t="shared" si="58"/>
        <v>1444450000</v>
      </c>
      <c r="HR63" s="84">
        <f t="shared" si="59"/>
        <v>322550000</v>
      </c>
      <c r="HT63" s="83">
        <f t="shared" si="60"/>
        <v>145000000</v>
      </c>
      <c r="HU63" s="83">
        <f t="shared" si="60"/>
        <v>117500000</v>
      </c>
      <c r="HV63" s="84">
        <f t="shared" si="61"/>
        <v>27500000</v>
      </c>
      <c r="HX63" s="83">
        <f t="shared" si="62"/>
        <v>60000000</v>
      </c>
      <c r="HY63" s="83">
        <f t="shared" si="62"/>
        <v>15200000</v>
      </c>
      <c r="HZ63" s="84">
        <f t="shared" si="63"/>
        <v>44800000</v>
      </c>
      <c r="IB63" s="83">
        <f t="shared" si="64"/>
        <v>35000000</v>
      </c>
      <c r="IC63" s="83">
        <f t="shared" si="64"/>
        <v>0</v>
      </c>
      <c r="ID63" s="84">
        <f t="shared" si="65"/>
        <v>35000000</v>
      </c>
      <c r="IF63" s="83">
        <f t="shared" si="69"/>
        <v>2000000</v>
      </c>
      <c r="IG63" s="83">
        <f t="shared" si="69"/>
        <v>0</v>
      </c>
      <c r="IH63" s="84">
        <f t="shared" si="66"/>
        <v>2000000</v>
      </c>
      <c r="IJ63" s="84">
        <f t="shared" si="67"/>
        <v>295823700</v>
      </c>
      <c r="IK63" s="84">
        <f t="shared" si="67"/>
        <v>102000000</v>
      </c>
      <c r="IL63" s="84">
        <f t="shared" si="68"/>
        <v>193823700</v>
      </c>
    </row>
    <row r="64" spans="1:246" ht="14.25" customHeight="1" x14ac:dyDescent="0.25">
      <c r="A64" s="119">
        <v>58</v>
      </c>
      <c r="B64" s="135" t="s">
        <v>124</v>
      </c>
      <c r="C64" s="136" t="s">
        <v>74</v>
      </c>
      <c r="D64" s="66">
        <f>'[1]Univ Comm Fund'!D64</f>
        <v>0</v>
      </c>
      <c r="E64" s="66">
        <f>'[1]UNIV 2019'!D70</f>
        <v>0</v>
      </c>
      <c r="F64" s="75">
        <f t="shared" si="4"/>
        <v>0</v>
      </c>
      <c r="G64" s="66"/>
      <c r="H64" s="66">
        <f>'[1]Univ Comm Fund'!E64</f>
        <v>0</v>
      </c>
      <c r="I64" s="66">
        <f>'[1]UNIV 2019'!E70</f>
        <v>0</v>
      </c>
      <c r="J64" s="66">
        <f t="shared" si="5"/>
        <v>0</v>
      </c>
      <c r="K64" s="66"/>
      <c r="L64" s="66">
        <f>'[1]Univ Comm Fund'!F64</f>
        <v>0</v>
      </c>
      <c r="M64" s="66">
        <f>'[1]UNIV 2019'!F70</f>
        <v>0</v>
      </c>
      <c r="N64" s="66">
        <f t="shared" si="6"/>
        <v>0</v>
      </c>
      <c r="O64" s="66"/>
      <c r="P64" s="66">
        <f>'[1]Univ Comm Fund'!G64</f>
        <v>0</v>
      </c>
      <c r="Q64" s="66">
        <f>'[1]UNIV 2019'!G70</f>
        <v>0</v>
      </c>
      <c r="R64" s="66">
        <f t="shared" si="7"/>
        <v>0</v>
      </c>
      <c r="S64" s="87"/>
      <c r="T64" s="66">
        <f>'[1]Univ Comm Fund'!H64</f>
        <v>0</v>
      </c>
      <c r="U64" s="66">
        <f>'[1]UNIV 2019'!H70</f>
        <v>0</v>
      </c>
      <c r="V64" s="66">
        <f t="shared" si="8"/>
        <v>0</v>
      </c>
      <c r="W64" s="66"/>
      <c r="X64" s="66">
        <f>'[1]Univ Comm Fund'!I64</f>
        <v>0</v>
      </c>
      <c r="Y64" s="66">
        <f>'[1]UNIV 2019'!I70</f>
        <v>0</v>
      </c>
      <c r="Z64" s="66">
        <f t="shared" si="9"/>
        <v>0</v>
      </c>
      <c r="AA64" s="66"/>
      <c r="AB64" s="66">
        <f>'[1]Univ Comm Fund'!J64</f>
        <v>0</v>
      </c>
      <c r="AC64" s="66">
        <f>'[1]UNIV 2019'!J70</f>
        <v>0</v>
      </c>
      <c r="AD64" s="66">
        <f t="shared" si="10"/>
        <v>0</v>
      </c>
      <c r="AE64" s="66"/>
      <c r="AF64" s="66">
        <f>'[1]Univ Comm Fund'!K64</f>
        <v>0</v>
      </c>
      <c r="AG64" s="66">
        <f>'[1]UNIV 2019'!K70</f>
        <v>0</v>
      </c>
      <c r="AH64" s="66">
        <f t="shared" si="11"/>
        <v>0</v>
      </c>
      <c r="AI64" s="66"/>
      <c r="AJ64" s="66">
        <f>'[1]Univ Comm Fund'!L64</f>
        <v>0</v>
      </c>
      <c r="AK64" s="66">
        <f>'[1]UNIV 2019'!L70</f>
        <v>0</v>
      </c>
      <c r="AL64" s="66">
        <f t="shared" si="12"/>
        <v>0</v>
      </c>
      <c r="AM64" s="66"/>
      <c r="AN64" s="66">
        <f>'[1]Univ Comm Fund'!M64</f>
        <v>0</v>
      </c>
      <c r="AO64" s="66">
        <f>'[1]UNIV 2019'!M70</f>
        <v>0</v>
      </c>
      <c r="AP64" s="66">
        <f t="shared" si="13"/>
        <v>0</v>
      </c>
      <c r="AQ64" s="66"/>
      <c r="AR64" s="66">
        <f>'[1]Univ Comm Fund'!N64</f>
        <v>0</v>
      </c>
      <c r="AS64" s="66">
        <f>'[1]UNIV 2019'!N70</f>
        <v>0</v>
      </c>
      <c r="AT64" s="66">
        <f t="shared" si="14"/>
        <v>0</v>
      </c>
      <c r="AU64" s="66"/>
      <c r="AV64" s="66">
        <f>'[1]Univ Comm Fund'!O64</f>
        <v>0</v>
      </c>
      <c r="AW64" s="66">
        <f>'[1]UNIV 2019'!O70</f>
        <v>0</v>
      </c>
      <c r="AX64" s="66">
        <f t="shared" si="15"/>
        <v>0</v>
      </c>
      <c r="AY64" s="66"/>
      <c r="AZ64" s="66">
        <f>'[1]Univ Comm Fund'!P64</f>
        <v>0</v>
      </c>
      <c r="BA64" s="66">
        <f>'[1]UNIV 2019'!P70</f>
        <v>0</v>
      </c>
      <c r="BB64" s="66">
        <f t="shared" si="0"/>
        <v>0</v>
      </c>
      <c r="BC64" s="66"/>
      <c r="BD64" s="66">
        <f>'[1]Univ Comm Fund'!Q64</f>
        <v>0</v>
      </c>
      <c r="BE64" s="66">
        <f>'[1]UNIV 2019'!Q70</f>
        <v>0</v>
      </c>
      <c r="BF64" s="66">
        <f t="shared" si="1"/>
        <v>0</v>
      </c>
      <c r="BG64" s="66"/>
      <c r="BH64" s="66">
        <f>'[1]Univ Comm Fund'!R64</f>
        <v>0</v>
      </c>
      <c r="BI64" s="66">
        <f>'[1]UNIV 2019'!R70</f>
        <v>0</v>
      </c>
      <c r="BJ64" s="66">
        <f t="shared" si="16"/>
        <v>0</v>
      </c>
      <c r="BK64" s="66"/>
      <c r="BL64" s="66">
        <f>'[1]Univ Comm Fund'!S64</f>
        <v>0</v>
      </c>
      <c r="BM64" s="66">
        <f>'[1]UNIV 2019'!S70</f>
        <v>0</v>
      </c>
      <c r="BN64" s="66">
        <f t="shared" si="17"/>
        <v>0</v>
      </c>
      <c r="BO64" s="66"/>
      <c r="BP64" s="66">
        <f>'[1]Univ Comm Fund'!T64</f>
        <v>0</v>
      </c>
      <c r="BQ64" s="66">
        <f>'[1]UNIV 2019'!T70</f>
        <v>0</v>
      </c>
      <c r="BR64" s="66">
        <f t="shared" si="18"/>
        <v>0</v>
      </c>
      <c r="BS64" s="66"/>
      <c r="BT64" s="66">
        <f>'[1]Univ Comm Fund'!U64</f>
        <v>0</v>
      </c>
      <c r="BU64" s="66">
        <f>'[1]UNIV 2019'!U70</f>
        <v>0</v>
      </c>
      <c r="BV64" s="66">
        <f t="shared" si="2"/>
        <v>0</v>
      </c>
      <c r="BW64" s="66"/>
      <c r="BX64" s="66">
        <f>'[1]Univ Comm Fund'!V64</f>
        <v>0</v>
      </c>
      <c r="BY64" s="66">
        <f>'[1]UNIV 2019'!V70</f>
        <v>0</v>
      </c>
      <c r="BZ64" s="66">
        <f t="shared" si="19"/>
        <v>0</v>
      </c>
      <c r="CA64" s="66"/>
      <c r="CB64" s="66">
        <f>'[1]Univ Comm Fund'!W64</f>
        <v>175000000</v>
      </c>
      <c r="CC64" s="66">
        <f>'[1]UNIV 2019'!W70</f>
        <v>175000000</v>
      </c>
      <c r="CD64" s="66">
        <f t="shared" si="20"/>
        <v>0</v>
      </c>
      <c r="CE64" s="66"/>
      <c r="CF64" s="66">
        <v>75000000</v>
      </c>
      <c r="CG64" s="66">
        <f>'[1]UNIV 2019'!X70</f>
        <v>75000000</v>
      </c>
      <c r="CH64" s="75">
        <f t="shared" si="21"/>
        <v>0</v>
      </c>
      <c r="CI64" s="66"/>
      <c r="CJ64" s="66">
        <f>'[1]Univ Comm Fund'!Y64</f>
        <v>0</v>
      </c>
      <c r="CK64" s="66">
        <f>'[1]UNIV 2019'!Y70</f>
        <v>0</v>
      </c>
      <c r="CL64" s="66">
        <f t="shared" si="22"/>
        <v>0</v>
      </c>
      <c r="CM64" s="66"/>
      <c r="CN64" s="20">
        <f>'[1]Univ Comm Fund'!Z64</f>
        <v>350000000</v>
      </c>
      <c r="CO64" s="66">
        <f>'[1]UNIV 2019'!Z70</f>
        <v>350000000</v>
      </c>
      <c r="CP64" s="66">
        <f t="shared" si="23"/>
        <v>0</v>
      </c>
      <c r="CQ64" s="20"/>
      <c r="CR64" s="66">
        <f>'[1]Univ Comm Fund'!AA64</f>
        <v>380000000</v>
      </c>
      <c r="CS64" s="66">
        <f>'[1]UNIV 2019'!AA70</f>
        <v>380000000</v>
      </c>
      <c r="CT64" s="75">
        <f t="shared" si="24"/>
        <v>0</v>
      </c>
      <c r="CU64" s="66"/>
      <c r="CV64" s="66">
        <f>'[1]Univ Comm Fund'!AB64</f>
        <v>230000000</v>
      </c>
      <c r="CW64" s="66">
        <f>'[1]UNIV 2019'!AB70</f>
        <v>176000000</v>
      </c>
      <c r="CX64" s="75">
        <f t="shared" si="25"/>
        <v>54000000</v>
      </c>
      <c r="CY64" s="66"/>
      <c r="CZ64" s="66">
        <f>'[1]Univ Comm Fund'!AC64</f>
        <v>356000000</v>
      </c>
      <c r="DA64" s="66">
        <f>'[1]UNIV 2019'!AC70</f>
        <v>356000000</v>
      </c>
      <c r="DB64" s="66">
        <f t="shared" si="26"/>
        <v>0</v>
      </c>
      <c r="DC64" s="66"/>
      <c r="DD64" s="66">
        <f>'[1]Univ Comm Fund'!AD64</f>
        <v>20000000</v>
      </c>
      <c r="DE64" s="66">
        <f>'[1]UNIV 2019'!AD70</f>
        <v>20000000</v>
      </c>
      <c r="DF64" s="66">
        <f t="shared" si="27"/>
        <v>0</v>
      </c>
      <c r="DG64" s="66"/>
      <c r="DH64" s="66">
        <f>'[1]Univ Comm Fund'!AE64</f>
        <v>552000000</v>
      </c>
      <c r="DI64" s="66">
        <f>'[1]UNIV 2019'!AE70</f>
        <v>552000000</v>
      </c>
      <c r="DJ64" s="66">
        <f t="shared" si="28"/>
        <v>0</v>
      </c>
      <c r="DK64" s="66"/>
      <c r="DL64" s="66">
        <f>'[1]Univ Comm Fund'!AF64</f>
        <v>20000000</v>
      </c>
      <c r="DM64" s="66">
        <f>'[1]UNIV 2019'!AF70</f>
        <v>0</v>
      </c>
      <c r="DN64" s="66">
        <f t="shared" si="29"/>
        <v>20000000</v>
      </c>
      <c r="DO64" s="66"/>
      <c r="DP64" s="66">
        <f>'[1]Univ Comm Fund'!AG64</f>
        <v>580000000</v>
      </c>
      <c r="DQ64" s="66">
        <f>'[1]UNIV 2019'!AG70</f>
        <v>568000000</v>
      </c>
      <c r="DR64" s="66">
        <f t="shared" si="30"/>
        <v>12000000</v>
      </c>
      <c r="DS64" s="66"/>
      <c r="DT64" s="66">
        <f>'[1]Univ Comm Fund'!AH64</f>
        <v>100000000</v>
      </c>
      <c r="DU64" s="66">
        <f>'[1]UNIV 2019'!AH70</f>
        <v>100000000</v>
      </c>
      <c r="DV64" s="66">
        <f t="shared" si="31"/>
        <v>0</v>
      </c>
      <c r="DW64" s="66"/>
      <c r="DX64" s="66">
        <f>'[1]Univ Comm Fund'!AI64</f>
        <v>15000000</v>
      </c>
      <c r="DY64" s="66">
        <f>'[1]UNIV 2019'!AI70</f>
        <v>0</v>
      </c>
      <c r="DZ64" s="66">
        <f t="shared" si="32"/>
        <v>15000000</v>
      </c>
      <c r="EA64" s="66"/>
      <c r="EB64" s="66">
        <f>'[1]Univ Comm Fund'!AJ64</f>
        <v>2000000</v>
      </c>
      <c r="EC64" s="66">
        <f>'[1]UNIV 2019'!AJ70</f>
        <v>1700000</v>
      </c>
      <c r="ED64" s="66">
        <f t="shared" si="33"/>
        <v>300000</v>
      </c>
      <c r="EE64" s="66"/>
      <c r="EF64" s="66">
        <f>'[1]Univ Comm Fund'!AK64</f>
        <v>10000000</v>
      </c>
      <c r="EG64" s="66">
        <f>'[1]UNIV 2019'!AK70</f>
        <v>0</v>
      </c>
      <c r="EH64" s="66">
        <f t="shared" si="34"/>
        <v>10000000</v>
      </c>
      <c r="EI64" s="66"/>
      <c r="EJ64" s="66">
        <f>'[1]Univ Comm Fund'!AL64</f>
        <v>3250000000</v>
      </c>
      <c r="EK64" s="66">
        <f>'[1]UNIV 2019'!AL70</f>
        <v>2940000000</v>
      </c>
      <c r="EL64" s="66">
        <f t="shared" si="35"/>
        <v>310000000</v>
      </c>
      <c r="EM64" s="66"/>
      <c r="EN64" s="80">
        <f>'[1]Univ Comm Fund'!AM64</f>
        <v>565410000</v>
      </c>
      <c r="EO64" s="66">
        <f>'[1]UNIV 2019'!AM70</f>
        <v>565410000</v>
      </c>
      <c r="EP64" s="75">
        <f t="shared" si="36"/>
        <v>0</v>
      </c>
      <c r="EQ64" s="66"/>
      <c r="ER64" s="66">
        <f>'[1]Univ Comm Fund'!AN64</f>
        <v>15000000</v>
      </c>
      <c r="ES64" s="66">
        <f>'[1]UNIV 2019'!AN70</f>
        <v>0</v>
      </c>
      <c r="ET64" s="75">
        <f t="shared" si="37"/>
        <v>15000000</v>
      </c>
      <c r="EU64" s="66"/>
      <c r="EV64" s="66">
        <f>'[1]Univ Comm Fund'!AO64</f>
        <v>15000000</v>
      </c>
      <c r="EW64" s="66">
        <f>'[1]UNIV 2019'!AO70</f>
        <v>0</v>
      </c>
      <c r="EX64" s="75">
        <f t="shared" si="38"/>
        <v>15000000</v>
      </c>
      <c r="EY64" s="66"/>
      <c r="EZ64" s="66">
        <f>'[1]Univ Comm Fund'!AP64</f>
        <v>10000000</v>
      </c>
      <c r="FA64" s="66">
        <f>'[1]UNIV 2019'!AP70</f>
        <v>0</v>
      </c>
      <c r="FB64" s="75">
        <f t="shared" si="39"/>
        <v>10000000</v>
      </c>
      <c r="FC64" s="75"/>
      <c r="FD64" s="75">
        <f>'[1]Univ Comm Fund'!AQ64</f>
        <v>0</v>
      </c>
      <c r="FE64" s="75">
        <f>'[1]UNIV 2019'!AQ70</f>
        <v>0</v>
      </c>
      <c r="FF64" s="75">
        <f t="shared" si="40"/>
        <v>0</v>
      </c>
      <c r="FG64" s="75"/>
      <c r="FH64" s="75">
        <f>'[1]Univ Comm Fund'!AR64</f>
        <v>0</v>
      </c>
      <c r="FI64" s="75">
        <f>'[1]UNIV 2019'!AR70</f>
        <v>0</v>
      </c>
      <c r="FJ64" s="75">
        <f t="shared" si="41"/>
        <v>0</v>
      </c>
      <c r="FK64" s="75"/>
      <c r="FL64" s="75">
        <f>'[1]Univ Comm Fund'!AS64</f>
        <v>300000000</v>
      </c>
      <c r="FM64" s="75">
        <f>'[1]UNIV 2019'!AS70</f>
        <v>159000000</v>
      </c>
      <c r="FN64" s="75">
        <f t="shared" si="42"/>
        <v>141000000</v>
      </c>
      <c r="FO64" s="75"/>
      <c r="FP64" s="75">
        <f>'[1]Univ Comm Fund'!AT64</f>
        <v>120000000</v>
      </c>
      <c r="FQ64" s="75">
        <f>'[1]UNIV 2019'!AT70</f>
        <v>88800000</v>
      </c>
      <c r="FR64" s="75">
        <f t="shared" si="43"/>
        <v>31200000</v>
      </c>
      <c r="FS64" s="75"/>
      <c r="FT64" s="75">
        <f>'[1]Univ Comm Fund'!AU64</f>
        <v>10000000</v>
      </c>
      <c r="FU64" s="75">
        <f>'[1]UNIV 2019'!AU70</f>
        <v>0</v>
      </c>
      <c r="FV64" s="75">
        <f t="shared" si="44"/>
        <v>10000000</v>
      </c>
      <c r="FW64" s="75"/>
      <c r="FX64" s="75">
        <f>'[1]Univ Comm Fund'!AV64</f>
        <v>5000000</v>
      </c>
      <c r="FY64" s="75">
        <f>'[1]UNIV 2019'!AV70</f>
        <v>0</v>
      </c>
      <c r="FZ64" s="75">
        <f t="shared" si="45"/>
        <v>5000000</v>
      </c>
      <c r="GA64" s="75"/>
      <c r="GB64" s="75">
        <f>'[1]Univ Comm Fund'!AW64</f>
        <v>10000000</v>
      </c>
      <c r="GC64" s="75">
        <f>'[1]UNIV 2019'!AW70</f>
        <v>0</v>
      </c>
      <c r="GD64" s="75">
        <f t="shared" si="46"/>
        <v>10000000</v>
      </c>
      <c r="GE64" s="75"/>
      <c r="GF64" s="75">
        <f>'[1]Univ Comm Fund'!AX64</f>
        <v>0</v>
      </c>
      <c r="GG64" s="75">
        <f>'[1]UNIV 2019'!AX70</f>
        <v>0</v>
      </c>
      <c r="GH64" s="75">
        <f t="shared" si="47"/>
        <v>0</v>
      </c>
      <c r="GI64" s="75"/>
      <c r="GJ64" s="75">
        <f>'[1]Univ Comm Fund'!AY64</f>
        <v>350000000</v>
      </c>
      <c r="GK64" s="75">
        <f>'[1]UNIV 2019'!AY70</f>
        <v>185500000</v>
      </c>
      <c r="GL64" s="75">
        <f t="shared" si="48"/>
        <v>164500000</v>
      </c>
      <c r="GM64" s="75"/>
      <c r="GN64" s="75">
        <f>'[1]Univ Comm Fund'!AZ64</f>
        <v>175823700</v>
      </c>
      <c r="GO64" s="75">
        <f>'[1]UNIV 2019'!AZ70</f>
        <v>0</v>
      </c>
      <c r="GP64" s="75">
        <f t="shared" si="49"/>
        <v>175823700</v>
      </c>
      <c r="GQ64" s="75"/>
      <c r="GR64" s="75">
        <f>'[1]Univ Comm Fund'!BA64</f>
        <v>20000000</v>
      </c>
      <c r="GS64" s="75">
        <f>'[1]UNIV 2019'!BA70</f>
        <v>0</v>
      </c>
      <c r="GT64" s="75">
        <f t="shared" si="50"/>
        <v>20000000</v>
      </c>
      <c r="GU64" s="75"/>
      <c r="GV64" s="75">
        <f>'[1]Univ Comm Fund'!BB64</f>
        <v>5000000</v>
      </c>
      <c r="GW64" s="75">
        <f>'[1]UNIV 2019'!BB70</f>
        <v>0</v>
      </c>
      <c r="GX64" s="75">
        <f t="shared" si="51"/>
        <v>5000000</v>
      </c>
      <c r="GY64" s="75"/>
      <c r="GZ64" s="75">
        <f>'[1]Univ Comm Fund'!BC64</f>
        <v>10000000</v>
      </c>
      <c r="HA64" s="75">
        <f>'[1]UNIV 2019'!BD70</f>
        <v>0</v>
      </c>
      <c r="HB64" s="75">
        <f t="shared" si="52"/>
        <v>10000000</v>
      </c>
      <c r="HC64" s="75"/>
      <c r="HD64" s="75">
        <f>'[1]Univ Comm Fund'!BD64</f>
        <v>120021258</v>
      </c>
      <c r="HE64" s="75">
        <f>'[1]UNIV 2019'!BC70</f>
        <v>63611266.740000002</v>
      </c>
      <c r="HF64" s="75">
        <f t="shared" si="53"/>
        <v>56409991.259999998</v>
      </c>
      <c r="HG64" s="75"/>
      <c r="HH64" s="75">
        <f t="shared" si="54"/>
        <v>7846254958</v>
      </c>
      <c r="HI64" s="75">
        <f t="shared" si="54"/>
        <v>6756021266.7399998</v>
      </c>
      <c r="HJ64" s="82">
        <f t="shared" si="55"/>
        <v>1090233691.2600002</v>
      </c>
      <c r="HL64" s="83">
        <f t="shared" si="56"/>
        <v>2748410000</v>
      </c>
      <c r="HM64" s="83">
        <f t="shared" si="56"/>
        <v>2442910000</v>
      </c>
      <c r="HN64" s="84">
        <f t="shared" si="57"/>
        <v>305500000</v>
      </c>
      <c r="HP64" s="83">
        <f t="shared" si="58"/>
        <v>4560021258</v>
      </c>
      <c r="HQ64" s="83">
        <f t="shared" si="58"/>
        <v>4127611266.7399998</v>
      </c>
      <c r="HR64" s="84">
        <f t="shared" si="59"/>
        <v>432409991.26000023</v>
      </c>
      <c r="HT64" s="83">
        <f t="shared" si="60"/>
        <v>145000000</v>
      </c>
      <c r="HU64" s="83">
        <f t="shared" si="60"/>
        <v>95000000</v>
      </c>
      <c r="HV64" s="84">
        <f t="shared" si="61"/>
        <v>50000000</v>
      </c>
      <c r="HX64" s="83">
        <f t="shared" si="62"/>
        <v>60000000</v>
      </c>
      <c r="HY64" s="83">
        <f t="shared" si="62"/>
        <v>0</v>
      </c>
      <c r="HZ64" s="84">
        <f t="shared" si="63"/>
        <v>60000000</v>
      </c>
      <c r="IB64" s="83">
        <f t="shared" si="64"/>
        <v>35000000</v>
      </c>
      <c r="IC64" s="83">
        <f t="shared" si="64"/>
        <v>0</v>
      </c>
      <c r="ID64" s="84">
        <f t="shared" si="65"/>
        <v>35000000</v>
      </c>
      <c r="IF64" s="83">
        <f t="shared" si="69"/>
        <v>2000000</v>
      </c>
      <c r="IG64" s="83">
        <f t="shared" si="69"/>
        <v>1700000</v>
      </c>
      <c r="IH64" s="84">
        <f t="shared" si="66"/>
        <v>300000</v>
      </c>
      <c r="IJ64" s="84">
        <f t="shared" si="67"/>
        <v>295823700</v>
      </c>
      <c r="IK64" s="84">
        <f t="shared" si="67"/>
        <v>88800000</v>
      </c>
      <c r="IL64" s="84">
        <f t="shared" si="68"/>
        <v>207023700</v>
      </c>
    </row>
    <row r="65" spans="1:246" ht="15" customHeight="1" x14ac:dyDescent="0.25">
      <c r="A65" s="42">
        <v>59</v>
      </c>
      <c r="B65" s="91" t="s">
        <v>125</v>
      </c>
      <c r="C65" s="42"/>
      <c r="D65" s="66">
        <f>'[1]Univ Comm Fund'!D65</f>
        <v>0</v>
      </c>
      <c r="E65" s="66">
        <f>'[1]UNIV 2019'!D71</f>
        <v>0</v>
      </c>
      <c r="F65" s="75">
        <f t="shared" si="4"/>
        <v>0</v>
      </c>
      <c r="G65" s="66"/>
      <c r="H65" s="66">
        <f>'[1]Univ Comm Fund'!E65</f>
        <v>0</v>
      </c>
      <c r="I65" s="66">
        <f>'[1]UNIV 2019'!E71</f>
        <v>0</v>
      </c>
      <c r="J65" s="66">
        <f t="shared" si="5"/>
        <v>0</v>
      </c>
      <c r="K65" s="66"/>
      <c r="L65" s="66">
        <f>'[1]Univ Comm Fund'!F65</f>
        <v>0</v>
      </c>
      <c r="M65" s="66">
        <f>'[1]UNIV 2019'!F71</f>
        <v>0</v>
      </c>
      <c r="N65" s="66">
        <f t="shared" si="6"/>
        <v>0</v>
      </c>
      <c r="O65" s="66"/>
      <c r="P65" s="66">
        <f>'[1]Univ Comm Fund'!G65</f>
        <v>0</v>
      </c>
      <c r="Q65" s="66">
        <f>'[1]UNIV 2019'!G71</f>
        <v>0</v>
      </c>
      <c r="R65" s="66">
        <f t="shared" si="7"/>
        <v>0</v>
      </c>
      <c r="S65" s="87"/>
      <c r="T65" s="66">
        <f>'[1]Univ Comm Fund'!H65</f>
        <v>0</v>
      </c>
      <c r="U65" s="66">
        <f>'[1]UNIV 2019'!H71</f>
        <v>0</v>
      </c>
      <c r="V65" s="66">
        <f t="shared" si="8"/>
        <v>0</v>
      </c>
      <c r="W65" s="66"/>
      <c r="X65" s="66">
        <f>'[1]Univ Comm Fund'!I65</f>
        <v>0</v>
      </c>
      <c r="Y65" s="66">
        <f>'[1]UNIV 2019'!I71</f>
        <v>0</v>
      </c>
      <c r="Z65" s="66">
        <f t="shared" si="9"/>
        <v>0</v>
      </c>
      <c r="AA65" s="66"/>
      <c r="AB65" s="66">
        <f>'[1]Univ Comm Fund'!J65</f>
        <v>0</v>
      </c>
      <c r="AC65" s="66">
        <f>'[1]UNIV 2019'!J71</f>
        <v>0</v>
      </c>
      <c r="AD65" s="66">
        <f t="shared" si="10"/>
        <v>0</v>
      </c>
      <c r="AE65" s="66"/>
      <c r="AF65" s="66">
        <f>'[1]Univ Comm Fund'!K65</f>
        <v>0</v>
      </c>
      <c r="AG65" s="66">
        <f>'[1]UNIV 2019'!K71</f>
        <v>0</v>
      </c>
      <c r="AH65" s="66">
        <f t="shared" si="11"/>
        <v>0</v>
      </c>
      <c r="AI65" s="66"/>
      <c r="AJ65" s="66">
        <f>'[1]Univ Comm Fund'!L65</f>
        <v>0</v>
      </c>
      <c r="AK65" s="66">
        <f>'[1]UNIV 2019'!L71</f>
        <v>0</v>
      </c>
      <c r="AL65" s="66">
        <f t="shared" si="12"/>
        <v>0</v>
      </c>
      <c r="AM65" s="66"/>
      <c r="AN65" s="66">
        <f>'[1]Univ Comm Fund'!M65</f>
        <v>0</v>
      </c>
      <c r="AO65" s="66">
        <f>'[1]UNIV 2019'!M71</f>
        <v>0</v>
      </c>
      <c r="AP65" s="66">
        <f t="shared" si="13"/>
        <v>0</v>
      </c>
      <c r="AQ65" s="66"/>
      <c r="AR65" s="66">
        <f>'[1]Univ Comm Fund'!N65</f>
        <v>0</v>
      </c>
      <c r="AS65" s="66">
        <f>'[1]UNIV 2019'!N71</f>
        <v>0</v>
      </c>
      <c r="AT65" s="66">
        <f t="shared" si="14"/>
        <v>0</v>
      </c>
      <c r="AU65" s="66"/>
      <c r="AV65" s="66">
        <f>'[1]Univ Comm Fund'!O65</f>
        <v>0</v>
      </c>
      <c r="AW65" s="66">
        <f>'[1]UNIV 2019'!O71</f>
        <v>0</v>
      </c>
      <c r="AX65" s="66">
        <f t="shared" si="15"/>
        <v>0</v>
      </c>
      <c r="AY65" s="66"/>
      <c r="AZ65" s="66">
        <f>'[1]Univ Comm Fund'!P65</f>
        <v>0</v>
      </c>
      <c r="BA65" s="66">
        <f>'[1]UNIV 2019'!P71</f>
        <v>0</v>
      </c>
      <c r="BB65" s="66">
        <f t="shared" si="0"/>
        <v>0</v>
      </c>
      <c r="BC65" s="66"/>
      <c r="BD65" s="66">
        <f>'[1]Univ Comm Fund'!Q65</f>
        <v>0</v>
      </c>
      <c r="BE65" s="66">
        <f>'[1]UNIV 2019'!Q71</f>
        <v>0</v>
      </c>
      <c r="BF65" s="66">
        <f t="shared" si="1"/>
        <v>0</v>
      </c>
      <c r="BG65" s="66"/>
      <c r="BH65" s="66">
        <f>'[1]Univ Comm Fund'!R65</f>
        <v>0</v>
      </c>
      <c r="BI65" s="66">
        <f>'[1]UNIV 2019'!R71</f>
        <v>0</v>
      </c>
      <c r="BJ65" s="66">
        <f t="shared" si="16"/>
        <v>0</v>
      </c>
      <c r="BK65" s="66"/>
      <c r="BL65" s="66">
        <f>'[1]Univ Comm Fund'!S65</f>
        <v>0</v>
      </c>
      <c r="BM65" s="66">
        <f>'[1]UNIV 2019'!S71</f>
        <v>0</v>
      </c>
      <c r="BN65" s="66">
        <f t="shared" si="17"/>
        <v>0</v>
      </c>
      <c r="BO65" s="66"/>
      <c r="BP65" s="66">
        <f>'[1]Univ Comm Fund'!T65</f>
        <v>0</v>
      </c>
      <c r="BQ65" s="66">
        <f>'[1]UNIV 2019'!T71</f>
        <v>0</v>
      </c>
      <c r="BR65" s="66">
        <f t="shared" si="18"/>
        <v>0</v>
      </c>
      <c r="BS65" s="66"/>
      <c r="BT65" s="66">
        <f>'[1]Univ Comm Fund'!U65</f>
        <v>0</v>
      </c>
      <c r="BU65" s="66">
        <f>'[1]UNIV 2019'!U71</f>
        <v>0</v>
      </c>
      <c r="BV65" s="66">
        <f t="shared" si="2"/>
        <v>0</v>
      </c>
      <c r="BW65" s="66"/>
      <c r="BX65" s="66">
        <f>'[1]Univ Comm Fund'!V65</f>
        <v>0</v>
      </c>
      <c r="BY65" s="66">
        <f>'[1]UNIV 2019'!V71</f>
        <v>0</v>
      </c>
      <c r="BZ65" s="66">
        <f t="shared" si="19"/>
        <v>0</v>
      </c>
      <c r="CA65" s="66"/>
      <c r="CB65" s="66">
        <f>'[1]Univ Comm Fund'!W65</f>
        <v>125000000</v>
      </c>
      <c r="CC65" s="66">
        <f>'[1]UNIV 2019'!W71</f>
        <v>125000000</v>
      </c>
      <c r="CD65" s="66">
        <f t="shared" si="20"/>
        <v>0</v>
      </c>
      <c r="CE65" s="66"/>
      <c r="CF65" s="66">
        <v>0</v>
      </c>
      <c r="CG65" s="66">
        <f>'[1]UNIV 2019'!X71</f>
        <v>0</v>
      </c>
      <c r="CH65" s="75">
        <f t="shared" si="21"/>
        <v>0</v>
      </c>
      <c r="CI65" s="66"/>
      <c r="CJ65" s="66">
        <f>'[1]Univ Comm Fund'!Y65</f>
        <v>0</v>
      </c>
      <c r="CK65" s="66">
        <f>'[1]UNIV 2019'!Y71</f>
        <v>0</v>
      </c>
      <c r="CL65" s="66">
        <f t="shared" si="22"/>
        <v>0</v>
      </c>
      <c r="CM65" s="66"/>
      <c r="CN65" s="20">
        <f>'[1]Univ Comm Fund'!Z65</f>
        <v>0</v>
      </c>
      <c r="CO65" s="66">
        <f>'[1]UNIV 2019'!Z71</f>
        <v>0</v>
      </c>
      <c r="CP65" s="66">
        <f t="shared" si="23"/>
        <v>0</v>
      </c>
      <c r="CQ65" s="20"/>
      <c r="CR65" s="66">
        <f>'[1]Univ Comm Fund'!AA65</f>
        <v>0</v>
      </c>
      <c r="CS65" s="66">
        <f>'[1]UNIV 2019'!AA71</f>
        <v>0</v>
      </c>
      <c r="CT65" s="75">
        <f t="shared" si="24"/>
        <v>0</v>
      </c>
      <c r="CU65" s="66"/>
      <c r="CV65" s="66">
        <f>'[1]Univ Comm Fund'!AB65</f>
        <v>0</v>
      </c>
      <c r="CW65" s="66">
        <f>'[1]UNIV 2019'!AB71</f>
        <v>0</v>
      </c>
      <c r="CX65" s="75">
        <f t="shared" si="25"/>
        <v>0</v>
      </c>
      <c r="CY65" s="66"/>
      <c r="CZ65" s="66">
        <f>'[1]Univ Comm Fund'!AC65</f>
        <v>356000000</v>
      </c>
      <c r="DA65" s="66">
        <f>'[1]UNIV 2019'!AC71</f>
        <v>356000000</v>
      </c>
      <c r="DB65" s="66">
        <f t="shared" si="26"/>
        <v>0</v>
      </c>
      <c r="DC65" s="66"/>
      <c r="DD65" s="66">
        <f>'[1]Univ Comm Fund'!AD65</f>
        <v>20000000</v>
      </c>
      <c r="DE65" s="66">
        <f>'[1]UNIV 2019'!AD71</f>
        <v>17000000</v>
      </c>
      <c r="DF65" s="66">
        <f t="shared" si="27"/>
        <v>3000000</v>
      </c>
      <c r="DG65" s="66"/>
      <c r="DH65" s="66">
        <f>'[1]Univ Comm Fund'!AE65</f>
        <v>0</v>
      </c>
      <c r="DI65" s="66">
        <f>'[1]UNIV 2019'!AE71</f>
        <v>0</v>
      </c>
      <c r="DJ65" s="66">
        <f t="shared" si="28"/>
        <v>0</v>
      </c>
      <c r="DK65" s="66"/>
      <c r="DL65" s="66">
        <f>'[1]Univ Comm Fund'!AF65</f>
        <v>0</v>
      </c>
      <c r="DM65" s="66">
        <f>'[1]UNIV 2019'!AF71</f>
        <v>0</v>
      </c>
      <c r="DN65" s="66">
        <f t="shared" si="29"/>
        <v>0</v>
      </c>
      <c r="DO65" s="66"/>
      <c r="DP65" s="66">
        <f>'[1]Univ Comm Fund'!AG65</f>
        <v>500000000</v>
      </c>
      <c r="DQ65" s="66">
        <f>'[1]UNIV 2019'!AG71</f>
        <v>500000000</v>
      </c>
      <c r="DR65" s="66">
        <f t="shared" si="30"/>
        <v>0</v>
      </c>
      <c r="DS65" s="66"/>
      <c r="DT65" s="66">
        <f>'[1]Univ Comm Fund'!AH65</f>
        <v>100000000</v>
      </c>
      <c r="DU65" s="66">
        <f>'[1]UNIV 2019'!AH71</f>
        <v>0</v>
      </c>
      <c r="DV65" s="66">
        <f t="shared" si="31"/>
        <v>100000000</v>
      </c>
      <c r="DW65" s="66"/>
      <c r="DX65" s="66">
        <f>'[1]Univ Comm Fund'!AI65</f>
        <v>15000000</v>
      </c>
      <c r="DY65" s="66">
        <f>'[1]UNIV 2019'!AI71</f>
        <v>0</v>
      </c>
      <c r="DZ65" s="66">
        <f t="shared" si="32"/>
        <v>15000000</v>
      </c>
      <c r="EA65" s="66"/>
      <c r="EB65" s="66">
        <f>'[1]Univ Comm Fund'!AJ65</f>
        <v>2000000</v>
      </c>
      <c r="EC65" s="66">
        <f>'[1]UNIV 2019'!AJ71</f>
        <v>0</v>
      </c>
      <c r="ED65" s="66">
        <f t="shared" si="33"/>
        <v>2000000</v>
      </c>
      <c r="EE65" s="66"/>
      <c r="EF65" s="66">
        <f>'[1]Univ Comm Fund'!AK65</f>
        <v>10000000</v>
      </c>
      <c r="EG65" s="66">
        <f>'[1]UNIV 2019'!AK71</f>
        <v>0</v>
      </c>
      <c r="EH65" s="66">
        <f t="shared" si="34"/>
        <v>10000000</v>
      </c>
      <c r="EI65" s="66"/>
      <c r="EJ65" s="66">
        <f>'[1]Univ Comm Fund'!AL65</f>
        <v>20000000</v>
      </c>
      <c r="EK65" s="66">
        <f>'[1]UNIV 2019'!AL71</f>
        <v>20000000</v>
      </c>
      <c r="EL65" s="66">
        <f t="shared" si="35"/>
        <v>0</v>
      </c>
      <c r="EM65" s="66"/>
      <c r="EN65" s="80">
        <f>'[1]Univ Comm Fund'!AM65</f>
        <v>0</v>
      </c>
      <c r="EO65" s="66">
        <f>'[1]UNIV 2019'!AM71</f>
        <v>0</v>
      </c>
      <c r="EP65" s="75">
        <f t="shared" si="36"/>
        <v>0</v>
      </c>
      <c r="EQ65" s="66"/>
      <c r="ER65" s="66">
        <f>'[1]Univ Comm Fund'!AN65</f>
        <v>0</v>
      </c>
      <c r="ES65" s="66">
        <f>'[1]UNIV 2019'!AN71</f>
        <v>0</v>
      </c>
      <c r="ET65" s="75">
        <f t="shared" si="37"/>
        <v>0</v>
      </c>
      <c r="EU65" s="66"/>
      <c r="EV65" s="66">
        <f>'[1]Univ Comm Fund'!AO65</f>
        <v>0</v>
      </c>
      <c r="EW65" s="66">
        <f>'[1]UNIV 2019'!AO71</f>
        <v>0</v>
      </c>
      <c r="EX65" s="75">
        <f t="shared" si="38"/>
        <v>0</v>
      </c>
      <c r="EY65" s="66"/>
      <c r="EZ65" s="66">
        <f>'[1]Univ Comm Fund'!AP65</f>
        <v>0</v>
      </c>
      <c r="FA65" s="66">
        <f>'[1]UNIV 2019'!AP71</f>
        <v>0</v>
      </c>
      <c r="FB65" s="75">
        <f t="shared" si="39"/>
        <v>0</v>
      </c>
      <c r="FC65" s="75"/>
      <c r="FD65" s="75">
        <f>'[1]Univ Comm Fund'!AQ65</f>
        <v>0</v>
      </c>
      <c r="FE65" s="75">
        <f>'[1]UNIV 2019'!AQ71</f>
        <v>0</v>
      </c>
      <c r="FF65" s="75">
        <f t="shared" si="40"/>
        <v>0</v>
      </c>
      <c r="FG65" s="75"/>
      <c r="FH65" s="75">
        <f>'[1]Univ Comm Fund'!AR65</f>
        <v>0</v>
      </c>
      <c r="FI65" s="75">
        <f>'[1]UNIV 2019'!AR71</f>
        <v>0</v>
      </c>
      <c r="FJ65" s="75">
        <f t="shared" si="41"/>
        <v>0</v>
      </c>
      <c r="FK65" s="75"/>
      <c r="FL65" s="75">
        <f>'[1]Univ Comm Fund'!AS65</f>
        <v>300000000</v>
      </c>
      <c r="FM65" s="75">
        <f>'[1]UNIV 2019'!AS71</f>
        <v>0</v>
      </c>
      <c r="FN65" s="75">
        <f t="shared" si="42"/>
        <v>300000000</v>
      </c>
      <c r="FO65" s="75"/>
      <c r="FP65" s="75">
        <f>'[1]Univ Comm Fund'!AT65</f>
        <v>120000000</v>
      </c>
      <c r="FQ65" s="75">
        <f>'[1]UNIV 2019'!AT71</f>
        <v>102000000</v>
      </c>
      <c r="FR65" s="75">
        <f t="shared" si="43"/>
        <v>18000000</v>
      </c>
      <c r="FS65" s="75"/>
      <c r="FT65" s="75">
        <f>'[1]Univ Comm Fund'!AU65</f>
        <v>10000000</v>
      </c>
      <c r="FU65" s="75">
        <f>'[1]UNIV 2019'!AU71</f>
        <v>0</v>
      </c>
      <c r="FV65" s="75">
        <f t="shared" si="44"/>
        <v>10000000</v>
      </c>
      <c r="FW65" s="75"/>
      <c r="FX65" s="75">
        <f>'[1]Univ Comm Fund'!AV65</f>
        <v>5000000</v>
      </c>
      <c r="FY65" s="75">
        <f>'[1]UNIV 2019'!AV71</f>
        <v>0</v>
      </c>
      <c r="FZ65" s="75">
        <f t="shared" si="45"/>
        <v>5000000</v>
      </c>
      <c r="GA65" s="75"/>
      <c r="GB65" s="75">
        <f>'[1]Univ Comm Fund'!AW65</f>
        <v>10000000</v>
      </c>
      <c r="GC65" s="75">
        <f>'[1]UNIV 2019'!AW71</f>
        <v>0</v>
      </c>
      <c r="GD65" s="75">
        <f t="shared" si="46"/>
        <v>10000000</v>
      </c>
      <c r="GE65" s="75"/>
      <c r="GF65" s="75">
        <f>'[1]Univ Comm Fund'!AX65</f>
        <v>0</v>
      </c>
      <c r="GG65" s="75">
        <f>'[1]UNIV 2019'!AX71</f>
        <v>0</v>
      </c>
      <c r="GH65" s="75">
        <f t="shared" si="47"/>
        <v>0</v>
      </c>
      <c r="GI65" s="75"/>
      <c r="GJ65" s="75">
        <f>'[1]Univ Comm Fund'!AY65</f>
        <v>0</v>
      </c>
      <c r="GK65" s="75">
        <f>'[1]UNIV 2019'!AY71</f>
        <v>0</v>
      </c>
      <c r="GL65" s="75">
        <f t="shared" si="48"/>
        <v>0</v>
      </c>
      <c r="GM65" s="75"/>
      <c r="GN65" s="75">
        <f>'[1]Univ Comm Fund'!AZ65</f>
        <v>175823700</v>
      </c>
      <c r="GO65" s="75">
        <f>'[1]UNIV 2019'!AZ71</f>
        <v>0</v>
      </c>
      <c r="GP65" s="75">
        <f t="shared" si="49"/>
        <v>175823700</v>
      </c>
      <c r="GQ65" s="75"/>
      <c r="GR65" s="75">
        <f>'[1]Univ Comm Fund'!BA65</f>
        <v>0</v>
      </c>
      <c r="GS65" s="75">
        <f>'[1]UNIV 2019'!BA71</f>
        <v>0</v>
      </c>
      <c r="GT65" s="75">
        <f t="shared" si="50"/>
        <v>0</v>
      </c>
      <c r="GU65" s="75"/>
      <c r="GV65" s="75">
        <f>'[1]Univ Comm Fund'!BB65</f>
        <v>0</v>
      </c>
      <c r="GW65" s="75">
        <f>'[1]UNIV 2019'!BB71</f>
        <v>0</v>
      </c>
      <c r="GX65" s="75">
        <f t="shared" si="51"/>
        <v>0</v>
      </c>
      <c r="GY65" s="75"/>
      <c r="GZ65" s="75">
        <f>'[1]Univ Comm Fund'!BC65</f>
        <v>0</v>
      </c>
      <c r="HA65" s="75">
        <f>'[1]UNIV 2019'!BD71</f>
        <v>0</v>
      </c>
      <c r="HB65" s="75">
        <f t="shared" si="52"/>
        <v>0</v>
      </c>
      <c r="HC65" s="75"/>
      <c r="HD65" s="75">
        <f>'[1]Univ Comm Fund'!BD65</f>
        <v>0</v>
      </c>
      <c r="HE65" s="75">
        <f>'[1]UNIV 2019'!BC71</f>
        <v>0</v>
      </c>
      <c r="HF65" s="75">
        <f t="shared" si="53"/>
        <v>0</v>
      </c>
      <c r="HG65" s="75"/>
      <c r="HH65" s="75">
        <f t="shared" si="54"/>
        <v>1768823700</v>
      </c>
      <c r="HI65" s="75">
        <f t="shared" si="54"/>
        <v>1120000000</v>
      </c>
      <c r="HJ65" s="82">
        <f t="shared" si="55"/>
        <v>648823700</v>
      </c>
      <c r="HL65" s="83">
        <f t="shared" si="56"/>
        <v>881000000</v>
      </c>
      <c r="HM65" s="83">
        <f t="shared" si="56"/>
        <v>481000000</v>
      </c>
      <c r="HN65" s="84">
        <f t="shared" si="57"/>
        <v>400000000</v>
      </c>
      <c r="HP65" s="83">
        <f t="shared" si="58"/>
        <v>520000000</v>
      </c>
      <c r="HQ65" s="83">
        <f t="shared" si="58"/>
        <v>520000000</v>
      </c>
      <c r="HR65" s="84">
        <f t="shared" si="59"/>
        <v>0</v>
      </c>
      <c r="HT65" s="83">
        <f t="shared" si="60"/>
        <v>35000000</v>
      </c>
      <c r="HU65" s="83">
        <f t="shared" si="60"/>
        <v>17000000</v>
      </c>
      <c r="HV65" s="84">
        <f t="shared" si="61"/>
        <v>18000000</v>
      </c>
      <c r="HX65" s="83">
        <f t="shared" si="62"/>
        <v>25000000</v>
      </c>
      <c r="HY65" s="83">
        <f t="shared" si="62"/>
        <v>0</v>
      </c>
      <c r="HZ65" s="84">
        <f t="shared" si="63"/>
        <v>25000000</v>
      </c>
      <c r="IB65" s="83">
        <f t="shared" si="64"/>
        <v>10000000</v>
      </c>
      <c r="IC65" s="83">
        <f t="shared" si="64"/>
        <v>0</v>
      </c>
      <c r="ID65" s="84">
        <f t="shared" si="65"/>
        <v>10000000</v>
      </c>
      <c r="IF65" s="83">
        <f t="shared" si="69"/>
        <v>2000000</v>
      </c>
      <c r="IG65" s="83">
        <f t="shared" si="69"/>
        <v>0</v>
      </c>
      <c r="IH65" s="84">
        <f t="shared" si="66"/>
        <v>2000000</v>
      </c>
      <c r="IJ65" s="84">
        <f t="shared" si="67"/>
        <v>295823700</v>
      </c>
      <c r="IK65" s="84">
        <f t="shared" si="67"/>
        <v>102000000</v>
      </c>
      <c r="IL65" s="84">
        <f t="shared" si="68"/>
        <v>193823700</v>
      </c>
    </row>
    <row r="66" spans="1:246" ht="15" customHeight="1" x14ac:dyDescent="0.25">
      <c r="A66" s="119">
        <v>60</v>
      </c>
      <c r="B66" s="135" t="s">
        <v>126</v>
      </c>
      <c r="C66" s="136" t="s">
        <v>74</v>
      </c>
      <c r="D66" s="66">
        <f>'[1]Univ Comm Fund'!D66</f>
        <v>0</v>
      </c>
      <c r="E66" s="66">
        <f>'[1]UNIV 2019'!D72</f>
        <v>0</v>
      </c>
      <c r="F66" s="75">
        <f t="shared" si="4"/>
        <v>0</v>
      </c>
      <c r="G66" s="66"/>
      <c r="H66" s="66">
        <f>'[1]Univ Comm Fund'!E66</f>
        <v>0</v>
      </c>
      <c r="I66" s="66">
        <f>'[1]UNIV 2019'!E72</f>
        <v>0</v>
      </c>
      <c r="J66" s="66">
        <f t="shared" si="5"/>
        <v>0</v>
      </c>
      <c r="K66" s="66"/>
      <c r="L66" s="66">
        <f>'[1]Univ Comm Fund'!F66</f>
        <v>0</v>
      </c>
      <c r="M66" s="66">
        <f>'[1]UNIV 2019'!F72</f>
        <v>0</v>
      </c>
      <c r="N66" s="66">
        <f t="shared" si="6"/>
        <v>0</v>
      </c>
      <c r="O66" s="66"/>
      <c r="P66" s="66">
        <f>'[1]Univ Comm Fund'!G66</f>
        <v>0</v>
      </c>
      <c r="Q66" s="66">
        <f>'[1]UNIV 2019'!G72</f>
        <v>0</v>
      </c>
      <c r="R66" s="66">
        <f t="shared" si="7"/>
        <v>0</v>
      </c>
      <c r="S66" s="87"/>
      <c r="T66" s="66">
        <f>'[1]Univ Comm Fund'!H66</f>
        <v>0</v>
      </c>
      <c r="U66" s="66">
        <f>'[1]UNIV 2019'!H72</f>
        <v>0</v>
      </c>
      <c r="V66" s="66">
        <f t="shared" si="8"/>
        <v>0</v>
      </c>
      <c r="W66" s="66"/>
      <c r="X66" s="66">
        <f>'[1]Univ Comm Fund'!I66</f>
        <v>0</v>
      </c>
      <c r="Y66" s="66">
        <f>'[1]UNIV 2019'!I72</f>
        <v>0</v>
      </c>
      <c r="Z66" s="66">
        <f t="shared" si="9"/>
        <v>0</v>
      </c>
      <c r="AA66" s="66"/>
      <c r="AB66" s="66">
        <f>'[1]Univ Comm Fund'!J66</f>
        <v>0</v>
      </c>
      <c r="AC66" s="66">
        <f>'[1]UNIV 2019'!J72</f>
        <v>0</v>
      </c>
      <c r="AD66" s="66">
        <f t="shared" si="10"/>
        <v>0</v>
      </c>
      <c r="AE66" s="66"/>
      <c r="AF66" s="66">
        <f>'[1]Univ Comm Fund'!K66</f>
        <v>0</v>
      </c>
      <c r="AG66" s="66">
        <f>'[1]UNIV 2019'!K72</f>
        <v>0</v>
      </c>
      <c r="AH66" s="66">
        <f t="shared" si="11"/>
        <v>0</v>
      </c>
      <c r="AI66" s="66"/>
      <c r="AJ66" s="66">
        <f>'[1]Univ Comm Fund'!L66</f>
        <v>0</v>
      </c>
      <c r="AK66" s="66">
        <f>'[1]UNIV 2019'!L72</f>
        <v>0</v>
      </c>
      <c r="AL66" s="66">
        <f t="shared" si="12"/>
        <v>0</v>
      </c>
      <c r="AM66" s="66"/>
      <c r="AN66" s="66">
        <f>'[1]Univ Comm Fund'!M66</f>
        <v>0</v>
      </c>
      <c r="AO66" s="66">
        <f>'[1]UNIV 2019'!M72</f>
        <v>0</v>
      </c>
      <c r="AP66" s="66">
        <f t="shared" si="13"/>
        <v>0</v>
      </c>
      <c r="AQ66" s="66"/>
      <c r="AR66" s="66">
        <f>'[1]Univ Comm Fund'!N66</f>
        <v>0</v>
      </c>
      <c r="AS66" s="66">
        <f>'[1]UNIV 2019'!N72</f>
        <v>0</v>
      </c>
      <c r="AT66" s="66">
        <f t="shared" si="14"/>
        <v>0</v>
      </c>
      <c r="AU66" s="66"/>
      <c r="AV66" s="66">
        <f>'[1]Univ Comm Fund'!O66</f>
        <v>0</v>
      </c>
      <c r="AW66" s="66">
        <f>'[1]UNIV 2019'!O72</f>
        <v>0</v>
      </c>
      <c r="AX66" s="66">
        <f t="shared" si="15"/>
        <v>0</v>
      </c>
      <c r="AY66" s="66"/>
      <c r="AZ66" s="66">
        <f>'[1]Univ Comm Fund'!P66</f>
        <v>0</v>
      </c>
      <c r="BA66" s="66">
        <f>'[1]UNIV 2019'!P72</f>
        <v>0</v>
      </c>
      <c r="BB66" s="66">
        <f t="shared" si="0"/>
        <v>0</v>
      </c>
      <c r="BC66" s="66"/>
      <c r="BD66" s="66">
        <f>'[1]Univ Comm Fund'!Q66</f>
        <v>0</v>
      </c>
      <c r="BE66" s="66">
        <f>'[1]UNIV 2019'!Q72</f>
        <v>0</v>
      </c>
      <c r="BF66" s="66">
        <f t="shared" si="1"/>
        <v>0</v>
      </c>
      <c r="BG66" s="66"/>
      <c r="BH66" s="66">
        <f>'[1]Univ Comm Fund'!R66</f>
        <v>0</v>
      </c>
      <c r="BI66" s="66">
        <f>'[1]UNIV 2019'!R72</f>
        <v>0</v>
      </c>
      <c r="BJ66" s="66">
        <f t="shared" si="16"/>
        <v>0</v>
      </c>
      <c r="BK66" s="66"/>
      <c r="BL66" s="66">
        <f>'[1]Univ Comm Fund'!S66</f>
        <v>0</v>
      </c>
      <c r="BM66" s="66">
        <f>'[1]UNIV 2019'!S72</f>
        <v>0</v>
      </c>
      <c r="BN66" s="66">
        <f t="shared" si="17"/>
        <v>0</v>
      </c>
      <c r="BO66" s="66"/>
      <c r="BP66" s="66">
        <f>'[1]Univ Comm Fund'!T66</f>
        <v>0</v>
      </c>
      <c r="BQ66" s="66">
        <f>'[1]UNIV 2019'!T72</f>
        <v>0</v>
      </c>
      <c r="BR66" s="66">
        <f t="shared" si="18"/>
        <v>0</v>
      </c>
      <c r="BS66" s="66"/>
      <c r="BT66" s="66">
        <f>'[1]Univ Comm Fund'!U66</f>
        <v>0</v>
      </c>
      <c r="BU66" s="66">
        <f>'[1]UNIV 2019'!U72</f>
        <v>0</v>
      </c>
      <c r="BV66" s="66">
        <f t="shared" si="2"/>
        <v>0</v>
      </c>
      <c r="BW66" s="66"/>
      <c r="BX66" s="66">
        <f>'[1]Univ Comm Fund'!V66</f>
        <v>0</v>
      </c>
      <c r="BY66" s="66">
        <f>'[1]UNIV 2019'!V72</f>
        <v>0</v>
      </c>
      <c r="BZ66" s="66">
        <f t="shared" si="19"/>
        <v>0</v>
      </c>
      <c r="CA66" s="66"/>
      <c r="CB66" s="66">
        <f>'[1]Univ Comm Fund'!W66</f>
        <v>0</v>
      </c>
      <c r="CC66" s="66">
        <f>'[1]UNIV 2019'!W72</f>
        <v>0</v>
      </c>
      <c r="CD66" s="66">
        <f t="shared" si="20"/>
        <v>0</v>
      </c>
      <c r="CE66" s="66"/>
      <c r="CF66" s="66">
        <v>0</v>
      </c>
      <c r="CG66" s="66">
        <f>'[1]UNIV 2019'!X72</f>
        <v>0</v>
      </c>
      <c r="CH66" s="75">
        <f t="shared" si="21"/>
        <v>0</v>
      </c>
      <c r="CI66" s="66"/>
      <c r="CJ66" s="66">
        <f>'[1]Univ Comm Fund'!Y66</f>
        <v>0</v>
      </c>
      <c r="CK66" s="66">
        <f>'[1]UNIV 2019'!Y72</f>
        <v>0</v>
      </c>
      <c r="CL66" s="66">
        <f t="shared" si="22"/>
        <v>0</v>
      </c>
      <c r="CM66" s="66"/>
      <c r="CN66" s="66">
        <f>'[1]Univ Comm Fund'!Z66</f>
        <v>350000000</v>
      </c>
      <c r="CO66" s="66">
        <f>'[1]UNIV 2019'!Z72</f>
        <v>350000000</v>
      </c>
      <c r="CP66" s="66">
        <f t="shared" si="23"/>
        <v>0</v>
      </c>
      <c r="CQ66" s="66"/>
      <c r="CR66" s="66">
        <f>'[1]Univ Comm Fund'!AA66</f>
        <v>642000000</v>
      </c>
      <c r="CS66" s="66">
        <f>'[1]UNIV 2019'!AA72</f>
        <v>642000000</v>
      </c>
      <c r="CT66" s="75">
        <f t="shared" si="24"/>
        <v>0</v>
      </c>
      <c r="CU66" s="66"/>
      <c r="CV66" s="66">
        <f>'[1]Univ Comm Fund'!AB66</f>
        <v>260000000</v>
      </c>
      <c r="CW66" s="66">
        <f>'[1]UNIV 2019'!AB72</f>
        <v>260000000</v>
      </c>
      <c r="CX66" s="75">
        <f t="shared" si="25"/>
        <v>0</v>
      </c>
      <c r="CY66" s="66"/>
      <c r="CZ66" s="66">
        <f>'[1]Univ Comm Fund'!AC66</f>
        <v>356000000</v>
      </c>
      <c r="DA66" s="66">
        <f>'[1]UNIV 2019'!AC72</f>
        <v>356000000</v>
      </c>
      <c r="DB66" s="66">
        <f t="shared" si="26"/>
        <v>0</v>
      </c>
      <c r="DC66" s="66"/>
      <c r="DD66" s="66">
        <f>'[1]Univ Comm Fund'!AD66</f>
        <v>20000000</v>
      </c>
      <c r="DE66" s="66">
        <f>'[1]UNIV 2019'!AD72</f>
        <v>17000000</v>
      </c>
      <c r="DF66" s="66">
        <f t="shared" si="27"/>
        <v>3000000</v>
      </c>
      <c r="DG66" s="66"/>
      <c r="DH66" s="66">
        <f>'[1]Univ Comm Fund'!AE66</f>
        <v>552000000</v>
      </c>
      <c r="DI66" s="66">
        <f>'[1]UNIV 2019'!AE72</f>
        <v>469200000</v>
      </c>
      <c r="DJ66" s="66">
        <f t="shared" si="28"/>
        <v>82800000</v>
      </c>
      <c r="DK66" s="66"/>
      <c r="DL66" s="66">
        <f>'[1]Univ Comm Fund'!AF66</f>
        <v>20000000</v>
      </c>
      <c r="DM66" s="66">
        <f>'[1]UNIV 2019'!AF72</f>
        <v>17000000</v>
      </c>
      <c r="DN66" s="66">
        <f t="shared" si="29"/>
        <v>3000000</v>
      </c>
      <c r="DO66" s="66"/>
      <c r="DP66" s="66">
        <f>'[1]Univ Comm Fund'!AG66</f>
        <v>1300000000</v>
      </c>
      <c r="DQ66" s="66">
        <f>'[1]UNIV 2019'!AG72</f>
        <v>1187500000</v>
      </c>
      <c r="DR66" s="66">
        <f t="shared" si="30"/>
        <v>112500000</v>
      </c>
      <c r="DS66" s="66"/>
      <c r="DT66" s="66">
        <f>'[1]Univ Comm Fund'!AH66</f>
        <v>100000000</v>
      </c>
      <c r="DU66" s="66">
        <f>'[1]UNIV 2019'!AH72</f>
        <v>85000000</v>
      </c>
      <c r="DV66" s="66">
        <f t="shared" si="31"/>
        <v>15000000</v>
      </c>
      <c r="DW66" s="66"/>
      <c r="DX66" s="66">
        <f>'[1]Univ Comm Fund'!AI66</f>
        <v>15000000</v>
      </c>
      <c r="DY66" s="66">
        <f>'[1]UNIV 2019'!AI72</f>
        <v>7650000</v>
      </c>
      <c r="DZ66" s="66">
        <f t="shared" si="32"/>
        <v>7350000</v>
      </c>
      <c r="EA66" s="66"/>
      <c r="EB66" s="66">
        <f>'[1]Univ Comm Fund'!AJ66</f>
        <v>2000000</v>
      </c>
      <c r="EC66" s="66">
        <f>'[1]UNIV 2019'!AJ72</f>
        <v>0</v>
      </c>
      <c r="ED66" s="66">
        <f t="shared" si="33"/>
        <v>2000000</v>
      </c>
      <c r="EE66" s="66"/>
      <c r="EF66" s="66">
        <f>'[1]Univ Comm Fund'!AK66</f>
        <v>10000000</v>
      </c>
      <c r="EG66" s="66">
        <f>'[1]UNIV 2019'!AK72</f>
        <v>8500000</v>
      </c>
      <c r="EH66" s="66">
        <f t="shared" si="34"/>
        <v>1500000</v>
      </c>
      <c r="EI66" s="66"/>
      <c r="EJ66" s="66">
        <f>'[1]Univ Comm Fund'!AL66</f>
        <v>5050000000</v>
      </c>
      <c r="EK66" s="66">
        <f>'[1]UNIV 2019'!AL72</f>
        <v>4967500000</v>
      </c>
      <c r="EL66" s="66">
        <f t="shared" si="35"/>
        <v>82500000</v>
      </c>
      <c r="EM66" s="66"/>
      <c r="EN66" s="80">
        <f>'[1]Univ Comm Fund'!AM66</f>
        <v>565410000</v>
      </c>
      <c r="EO66" s="66">
        <f>'[1]UNIV 2019'!AM72</f>
        <v>480598500</v>
      </c>
      <c r="EP66" s="75">
        <f t="shared" si="36"/>
        <v>84811500</v>
      </c>
      <c r="EQ66" s="66"/>
      <c r="ER66" s="66">
        <f>'[1]Univ Comm Fund'!AN66</f>
        <v>15000000</v>
      </c>
      <c r="ES66" s="66">
        <f>'[1]UNIV 2019'!AN72</f>
        <v>7650000</v>
      </c>
      <c r="ET66" s="75">
        <f t="shared" si="37"/>
        <v>7350000</v>
      </c>
      <c r="EU66" s="66"/>
      <c r="EV66" s="66">
        <f>'[1]Univ Comm Fund'!AO66</f>
        <v>15000000</v>
      </c>
      <c r="EW66" s="66">
        <f>'[1]UNIV 2019'!AO72</f>
        <v>0</v>
      </c>
      <c r="EX66" s="75">
        <f t="shared" si="38"/>
        <v>15000000</v>
      </c>
      <c r="EY66" s="66"/>
      <c r="EZ66" s="66">
        <f>'[1]Univ Comm Fund'!AP66</f>
        <v>10000000</v>
      </c>
      <c r="FA66" s="66">
        <f>'[1]UNIV 2019'!AP72</f>
        <v>8500000</v>
      </c>
      <c r="FB66" s="75">
        <f t="shared" si="39"/>
        <v>1500000</v>
      </c>
      <c r="FC66" s="75"/>
      <c r="FD66" s="75">
        <f>'[1]Univ Comm Fund'!AQ66</f>
        <v>0</v>
      </c>
      <c r="FE66" s="75">
        <f>'[1]UNIV 2019'!AQ72</f>
        <v>0</v>
      </c>
      <c r="FF66" s="75">
        <f t="shared" si="40"/>
        <v>0</v>
      </c>
      <c r="FG66" s="75"/>
      <c r="FH66" s="75">
        <f>'[1]Univ Comm Fund'!AR66</f>
        <v>0</v>
      </c>
      <c r="FI66" s="75">
        <f>'[1]UNIV 2019'!AR72</f>
        <v>0</v>
      </c>
      <c r="FJ66" s="75">
        <f t="shared" si="41"/>
        <v>0</v>
      </c>
      <c r="FK66" s="75"/>
      <c r="FL66" s="75">
        <f>'[1]Univ Comm Fund'!AS66</f>
        <v>300000000</v>
      </c>
      <c r="FM66" s="75">
        <f>'[1]UNIV 2019'!AS72</f>
        <v>0</v>
      </c>
      <c r="FN66" s="75">
        <f t="shared" si="42"/>
        <v>300000000</v>
      </c>
      <c r="FO66" s="75"/>
      <c r="FP66" s="75">
        <f>'[1]Univ Comm Fund'!AT66</f>
        <v>120000000</v>
      </c>
      <c r="FQ66" s="75">
        <f>'[1]UNIV 2019'!AT72</f>
        <v>86400000</v>
      </c>
      <c r="FR66" s="75">
        <f t="shared" si="43"/>
        <v>33600000</v>
      </c>
      <c r="FS66" s="75"/>
      <c r="FT66" s="75">
        <f>'[1]Univ Comm Fund'!AU66</f>
        <v>10000000</v>
      </c>
      <c r="FU66" s="75">
        <f>'[1]UNIV 2019'!AU72</f>
        <v>0</v>
      </c>
      <c r="FV66" s="75">
        <f t="shared" si="44"/>
        <v>10000000</v>
      </c>
      <c r="FW66" s="75"/>
      <c r="FX66" s="75">
        <f>'[1]Univ Comm Fund'!AV66</f>
        <v>5000000</v>
      </c>
      <c r="FY66" s="75">
        <f>'[1]UNIV 2019'!AV72</f>
        <v>0</v>
      </c>
      <c r="FZ66" s="75">
        <f t="shared" si="45"/>
        <v>5000000</v>
      </c>
      <c r="GA66" s="75"/>
      <c r="GB66" s="75">
        <f>'[1]Univ Comm Fund'!AW66</f>
        <v>10000000</v>
      </c>
      <c r="GC66" s="75">
        <f>'[1]UNIV 2019'!AW72</f>
        <v>0</v>
      </c>
      <c r="GD66" s="75">
        <f t="shared" si="46"/>
        <v>10000000</v>
      </c>
      <c r="GE66" s="75"/>
      <c r="GF66" s="75">
        <f>'[1]Univ Comm Fund'!AX66</f>
        <v>0</v>
      </c>
      <c r="GG66" s="75">
        <f>'[1]UNIV 2019'!AX72</f>
        <v>0</v>
      </c>
      <c r="GH66" s="75">
        <f t="shared" si="47"/>
        <v>0</v>
      </c>
      <c r="GI66" s="75"/>
      <c r="GJ66" s="75">
        <f>'[1]Univ Comm Fund'!AY66</f>
        <v>350000000</v>
      </c>
      <c r="GK66" s="75">
        <f>'[1]UNIV 2019'!AY72</f>
        <v>0</v>
      </c>
      <c r="GL66" s="75">
        <f t="shared" si="48"/>
        <v>350000000</v>
      </c>
      <c r="GM66" s="75"/>
      <c r="GN66" s="75">
        <f>'[1]Univ Comm Fund'!AZ66</f>
        <v>175823700</v>
      </c>
      <c r="GO66" s="75">
        <f>'[1]UNIV 2019'!AZ72</f>
        <v>0</v>
      </c>
      <c r="GP66" s="75">
        <f t="shared" si="49"/>
        <v>175823700</v>
      </c>
      <c r="GQ66" s="75"/>
      <c r="GR66" s="75">
        <f>'[1]Univ Comm Fund'!BA66</f>
        <v>20000000</v>
      </c>
      <c r="GS66" s="75">
        <f>'[1]UNIV 2019'!BA72</f>
        <v>0</v>
      </c>
      <c r="GT66" s="75">
        <f t="shared" si="50"/>
        <v>20000000</v>
      </c>
      <c r="GU66" s="75"/>
      <c r="GV66" s="75">
        <f>'[1]Univ Comm Fund'!BB66</f>
        <v>5000000</v>
      </c>
      <c r="GW66" s="75">
        <f>'[1]UNIV 2019'!BB72</f>
        <v>0</v>
      </c>
      <c r="GX66" s="75">
        <f t="shared" si="51"/>
        <v>5000000</v>
      </c>
      <c r="GY66" s="75"/>
      <c r="GZ66" s="75">
        <f>'[1]Univ Comm Fund'!BC66</f>
        <v>10000000</v>
      </c>
      <c r="HA66" s="75">
        <f>'[1]UNIV 2019'!BD72</f>
        <v>0</v>
      </c>
      <c r="HB66" s="75">
        <f t="shared" si="52"/>
        <v>10000000</v>
      </c>
      <c r="HC66" s="75"/>
      <c r="HD66" s="75">
        <f>'[1]Univ Comm Fund'!BD66</f>
        <v>0</v>
      </c>
      <c r="HE66" s="75">
        <f>'[1]UNIV 2019'!BC72</f>
        <v>0</v>
      </c>
      <c r="HF66" s="75">
        <f t="shared" si="53"/>
        <v>0</v>
      </c>
      <c r="HG66" s="75"/>
      <c r="HH66" s="75">
        <f t="shared" si="54"/>
        <v>10288233700</v>
      </c>
      <c r="HI66" s="75">
        <f t="shared" si="54"/>
        <v>8950498500</v>
      </c>
      <c r="HJ66" s="82">
        <f t="shared" si="55"/>
        <v>1337735200</v>
      </c>
      <c r="HL66" s="83">
        <f t="shared" si="56"/>
        <v>2573410000</v>
      </c>
      <c r="HM66" s="83">
        <f t="shared" si="56"/>
        <v>1740798500</v>
      </c>
      <c r="HN66" s="84">
        <f t="shared" si="57"/>
        <v>832611500</v>
      </c>
      <c r="HP66" s="83">
        <f t="shared" si="58"/>
        <v>7252000000</v>
      </c>
      <c r="HQ66" s="83">
        <f t="shared" si="58"/>
        <v>7057000000</v>
      </c>
      <c r="HR66" s="84">
        <f t="shared" si="59"/>
        <v>195000000</v>
      </c>
      <c r="HT66" s="83">
        <f t="shared" si="60"/>
        <v>70000000</v>
      </c>
      <c r="HU66" s="83">
        <f t="shared" si="60"/>
        <v>51000000</v>
      </c>
      <c r="HV66" s="84">
        <f t="shared" si="61"/>
        <v>19000000</v>
      </c>
      <c r="HX66" s="83">
        <f t="shared" si="62"/>
        <v>60000000</v>
      </c>
      <c r="HY66" s="83">
        <f t="shared" si="62"/>
        <v>15300000</v>
      </c>
      <c r="HZ66" s="84">
        <f t="shared" si="63"/>
        <v>44700000</v>
      </c>
      <c r="IB66" s="83">
        <f t="shared" si="64"/>
        <v>35000000</v>
      </c>
      <c r="IC66" s="83">
        <f t="shared" si="64"/>
        <v>0</v>
      </c>
      <c r="ID66" s="84">
        <f t="shared" si="65"/>
        <v>35000000</v>
      </c>
      <c r="IF66" s="83">
        <f t="shared" si="69"/>
        <v>2000000</v>
      </c>
      <c r="IG66" s="83">
        <f t="shared" si="69"/>
        <v>0</v>
      </c>
      <c r="IH66" s="84">
        <f t="shared" si="66"/>
        <v>2000000</v>
      </c>
      <c r="IJ66" s="84">
        <f t="shared" si="67"/>
        <v>295823700</v>
      </c>
      <c r="IK66" s="84">
        <f t="shared" si="67"/>
        <v>86400000</v>
      </c>
      <c r="IL66" s="84">
        <f t="shared" si="68"/>
        <v>209423700</v>
      </c>
    </row>
    <row r="67" spans="1:246" ht="15" customHeight="1" x14ac:dyDescent="0.25">
      <c r="A67" s="42">
        <v>61</v>
      </c>
      <c r="B67" s="91" t="s">
        <v>127</v>
      </c>
      <c r="C67" s="42" t="s">
        <v>69</v>
      </c>
      <c r="D67" s="66">
        <f>'[1]Univ Comm Fund'!D67</f>
        <v>0</v>
      </c>
      <c r="E67" s="66">
        <f>'[1]UNIV 2019'!D73</f>
        <v>0</v>
      </c>
      <c r="F67" s="75">
        <f t="shared" si="4"/>
        <v>0</v>
      </c>
      <c r="G67" s="66"/>
      <c r="H67" s="66">
        <f>'[1]Univ Comm Fund'!E67</f>
        <v>0</v>
      </c>
      <c r="I67" s="66">
        <f>'[1]UNIV 2019'!E73</f>
        <v>0</v>
      </c>
      <c r="J67" s="66">
        <f t="shared" si="5"/>
        <v>0</v>
      </c>
      <c r="K67" s="66"/>
      <c r="L67" s="66">
        <f>'[1]Univ Comm Fund'!F67</f>
        <v>0</v>
      </c>
      <c r="M67" s="66">
        <f>'[1]UNIV 2019'!F73</f>
        <v>0</v>
      </c>
      <c r="N67" s="66">
        <f t="shared" si="6"/>
        <v>0</v>
      </c>
      <c r="O67" s="66"/>
      <c r="P67" s="66">
        <f>'[1]Univ Comm Fund'!G67</f>
        <v>0</v>
      </c>
      <c r="Q67" s="66">
        <f>'[1]UNIV 2019'!G73</f>
        <v>0</v>
      </c>
      <c r="R67" s="66">
        <f t="shared" si="7"/>
        <v>0</v>
      </c>
      <c r="S67" s="87"/>
      <c r="T67" s="66">
        <f>'[1]Univ Comm Fund'!H67</f>
        <v>0</v>
      </c>
      <c r="U67" s="66">
        <f>'[1]UNIV 2019'!H73</f>
        <v>0</v>
      </c>
      <c r="V67" s="66">
        <f t="shared" si="8"/>
        <v>0</v>
      </c>
      <c r="W67" s="66"/>
      <c r="X67" s="66">
        <f>'[1]Univ Comm Fund'!I67</f>
        <v>0</v>
      </c>
      <c r="Y67" s="66">
        <f>'[1]UNIV 2019'!I73</f>
        <v>0</v>
      </c>
      <c r="Z67" s="66">
        <f t="shared" si="9"/>
        <v>0</v>
      </c>
      <c r="AA67" s="66"/>
      <c r="AB67" s="66">
        <f>'[1]Univ Comm Fund'!J67</f>
        <v>0</v>
      </c>
      <c r="AC67" s="66">
        <f>'[1]UNIV 2019'!J73</f>
        <v>0</v>
      </c>
      <c r="AD67" s="66">
        <f t="shared" si="10"/>
        <v>0</v>
      </c>
      <c r="AE67" s="66"/>
      <c r="AF67" s="66">
        <f>'[1]Univ Comm Fund'!K67</f>
        <v>0</v>
      </c>
      <c r="AG67" s="66">
        <f>'[1]UNIV 2019'!K73</f>
        <v>0</v>
      </c>
      <c r="AH67" s="66">
        <f t="shared" si="11"/>
        <v>0</v>
      </c>
      <c r="AI67" s="66"/>
      <c r="AJ67" s="66">
        <f>'[1]Univ Comm Fund'!L67</f>
        <v>0</v>
      </c>
      <c r="AK67" s="66">
        <f>'[1]UNIV 2019'!L73</f>
        <v>0</v>
      </c>
      <c r="AL67" s="66">
        <f t="shared" si="12"/>
        <v>0</v>
      </c>
      <c r="AM67" s="66"/>
      <c r="AN67" s="66">
        <f>'[1]Univ Comm Fund'!M67</f>
        <v>0</v>
      </c>
      <c r="AO67" s="66">
        <f>'[1]UNIV 2019'!M73</f>
        <v>0</v>
      </c>
      <c r="AP67" s="66">
        <f t="shared" si="13"/>
        <v>0</v>
      </c>
      <c r="AQ67" s="66"/>
      <c r="AR67" s="66">
        <f>'[1]Univ Comm Fund'!N67</f>
        <v>0</v>
      </c>
      <c r="AS67" s="66">
        <f>'[1]UNIV 2019'!N73</f>
        <v>0</v>
      </c>
      <c r="AT67" s="66">
        <f t="shared" si="14"/>
        <v>0</v>
      </c>
      <c r="AU67" s="66"/>
      <c r="AV67" s="66">
        <f>'[1]Univ Comm Fund'!O67</f>
        <v>0</v>
      </c>
      <c r="AW67" s="66">
        <f>'[1]UNIV 2019'!O73</f>
        <v>0</v>
      </c>
      <c r="AX67" s="66">
        <f t="shared" si="15"/>
        <v>0</v>
      </c>
      <c r="AY67" s="66"/>
      <c r="AZ67" s="66">
        <f>'[1]Univ Comm Fund'!P67</f>
        <v>0</v>
      </c>
      <c r="BA67" s="66">
        <f>'[1]UNIV 2019'!P73</f>
        <v>0</v>
      </c>
      <c r="BB67" s="66">
        <f t="shared" si="0"/>
        <v>0</v>
      </c>
      <c r="BC67" s="66"/>
      <c r="BD67" s="66">
        <f>'[1]Univ Comm Fund'!Q67</f>
        <v>0</v>
      </c>
      <c r="BE67" s="66">
        <f>'[1]UNIV 2019'!Q73</f>
        <v>0</v>
      </c>
      <c r="BF67" s="66">
        <f t="shared" si="1"/>
        <v>0</v>
      </c>
      <c r="BG67" s="66"/>
      <c r="BH67" s="66">
        <f>'[1]Univ Comm Fund'!R67</f>
        <v>0</v>
      </c>
      <c r="BI67" s="66">
        <f>'[1]UNIV 2019'!R73</f>
        <v>0</v>
      </c>
      <c r="BJ67" s="66">
        <f t="shared" si="16"/>
        <v>0</v>
      </c>
      <c r="BK67" s="66"/>
      <c r="BL67" s="66">
        <f>'[1]Univ Comm Fund'!S67</f>
        <v>0</v>
      </c>
      <c r="BM67" s="66">
        <f>'[1]UNIV 2019'!S73</f>
        <v>0</v>
      </c>
      <c r="BN67" s="66">
        <f t="shared" si="17"/>
        <v>0</v>
      </c>
      <c r="BO67" s="66"/>
      <c r="BP67" s="66">
        <f>'[1]Univ Comm Fund'!T67</f>
        <v>0</v>
      </c>
      <c r="BQ67" s="66">
        <f>'[1]UNIV 2019'!T73</f>
        <v>0</v>
      </c>
      <c r="BR67" s="66">
        <f t="shared" si="18"/>
        <v>0</v>
      </c>
      <c r="BS67" s="66"/>
      <c r="BT67" s="66">
        <f>'[1]Univ Comm Fund'!U67</f>
        <v>0</v>
      </c>
      <c r="BU67" s="66">
        <f>'[1]UNIV 2019'!U73</f>
        <v>0</v>
      </c>
      <c r="BV67" s="66">
        <f t="shared" si="2"/>
        <v>0</v>
      </c>
      <c r="BW67" s="66"/>
      <c r="BX67" s="66">
        <f>'[1]Univ Comm Fund'!V67</f>
        <v>0</v>
      </c>
      <c r="BY67" s="66">
        <f>'[1]UNIV 2019'!V73</f>
        <v>0</v>
      </c>
      <c r="BZ67" s="66">
        <f t="shared" si="19"/>
        <v>0</v>
      </c>
      <c r="CA67" s="66"/>
      <c r="CB67" s="66">
        <f>'[1]Univ Comm Fund'!W67</f>
        <v>1411860554</v>
      </c>
      <c r="CC67" s="66">
        <f>'[1]UNIV 2019'!W73</f>
        <v>1411861053.8999999</v>
      </c>
      <c r="CD67" s="66">
        <f t="shared" si="20"/>
        <v>-499.89999985694885</v>
      </c>
      <c r="CE67" s="66"/>
      <c r="CF67" s="66">
        <v>0</v>
      </c>
      <c r="CG67" s="66">
        <f>'[1]UNIV 2019'!X73</f>
        <v>0</v>
      </c>
      <c r="CH67" s="75">
        <f t="shared" si="21"/>
        <v>0</v>
      </c>
      <c r="CI67" s="66"/>
      <c r="CJ67" s="90">
        <f>'[1]Univ Comm Fund'!Y67</f>
        <v>0</v>
      </c>
      <c r="CK67" s="90">
        <f>'[1]UNIV 2019'!Y73</f>
        <v>0</v>
      </c>
      <c r="CL67" s="90">
        <f t="shared" si="22"/>
        <v>0</v>
      </c>
      <c r="CM67" s="66"/>
      <c r="CN67" s="80">
        <f>'[1]Univ Comm Fund'!Z67</f>
        <v>0</v>
      </c>
      <c r="CO67" s="80">
        <f>'[1]UNIV 2019'!Z73</f>
        <v>0</v>
      </c>
      <c r="CP67" s="80">
        <f t="shared" si="23"/>
        <v>0</v>
      </c>
      <c r="CQ67" s="66"/>
      <c r="CR67" s="66">
        <f>'[1]Univ Comm Fund'!AA67</f>
        <v>0</v>
      </c>
      <c r="CS67" s="66">
        <f>'[1]UNIV 2019'!AA73</f>
        <v>0</v>
      </c>
      <c r="CT67" s="75">
        <f t="shared" si="24"/>
        <v>0</v>
      </c>
      <c r="CU67" s="66"/>
      <c r="CV67" s="66">
        <f>'[1]Univ Comm Fund'!AB67</f>
        <v>0</v>
      </c>
      <c r="CW67" s="66">
        <f>'[1]UNIV 2019'!AB73</f>
        <v>0</v>
      </c>
      <c r="CX67" s="75">
        <f t="shared" si="25"/>
        <v>0</v>
      </c>
      <c r="CY67" s="66"/>
      <c r="CZ67" s="66">
        <f>'[1]Univ Comm Fund'!AC67</f>
        <v>356000000</v>
      </c>
      <c r="DA67" s="66">
        <f>'[1]UNIV 2019'!AC73</f>
        <v>356000000</v>
      </c>
      <c r="DB67" s="66">
        <f t="shared" si="26"/>
        <v>0</v>
      </c>
      <c r="DC67" s="66"/>
      <c r="DD67" s="66">
        <f>'[1]Univ Comm Fund'!AD67</f>
        <v>20000000</v>
      </c>
      <c r="DE67" s="66">
        <f>'[1]UNIV 2019'!AD73</f>
        <v>17000000</v>
      </c>
      <c r="DF67" s="66">
        <f t="shared" si="27"/>
        <v>3000000</v>
      </c>
      <c r="DG67" s="66"/>
      <c r="DH67" s="66">
        <f>'[1]Univ Comm Fund'!AE67</f>
        <v>552000000</v>
      </c>
      <c r="DI67" s="66">
        <f>'[1]UNIV 2019'!AE73</f>
        <v>469200000</v>
      </c>
      <c r="DJ67" s="66">
        <f t="shared" si="28"/>
        <v>82800000</v>
      </c>
      <c r="DK67" s="66"/>
      <c r="DL67" s="66">
        <f>'[1]Univ Comm Fund'!AF67</f>
        <v>20000000</v>
      </c>
      <c r="DM67" s="66">
        <f>'[1]UNIV 2019'!AF73</f>
        <v>17000000</v>
      </c>
      <c r="DN67" s="66">
        <f t="shared" si="29"/>
        <v>3000000</v>
      </c>
      <c r="DO67" s="66"/>
      <c r="DP67" s="66">
        <f>'[1]Univ Comm Fund'!AG67</f>
        <v>400000000</v>
      </c>
      <c r="DQ67" s="66">
        <f>'[1]UNIV 2019'!AG73</f>
        <v>340000000</v>
      </c>
      <c r="DR67" s="66">
        <f t="shared" si="30"/>
        <v>60000000</v>
      </c>
      <c r="DS67" s="66"/>
      <c r="DT67" s="66">
        <f>'[1]Univ Comm Fund'!AH67</f>
        <v>100000000</v>
      </c>
      <c r="DU67" s="66">
        <f>'[1]UNIV 2019'!AH73</f>
        <v>85000000</v>
      </c>
      <c r="DV67" s="66">
        <f t="shared" si="31"/>
        <v>15000000</v>
      </c>
      <c r="DW67" s="66"/>
      <c r="DX67" s="66">
        <f>'[1]Univ Comm Fund'!AI67</f>
        <v>15000000</v>
      </c>
      <c r="DY67" s="66">
        <f>'[1]UNIV 2019'!AI73</f>
        <v>7650000</v>
      </c>
      <c r="DZ67" s="66">
        <f t="shared" si="32"/>
        <v>7350000</v>
      </c>
      <c r="EA67" s="66"/>
      <c r="EB67" s="66">
        <f>'[1]Univ Comm Fund'!AJ67</f>
        <v>2000000</v>
      </c>
      <c r="EC67" s="66">
        <f>'[1]UNIV 2019'!AJ73</f>
        <v>0</v>
      </c>
      <c r="ED67" s="66">
        <f t="shared" si="33"/>
        <v>2000000</v>
      </c>
      <c r="EE67" s="66"/>
      <c r="EF67" s="66">
        <f>'[1]Univ Comm Fund'!AK67</f>
        <v>10000000</v>
      </c>
      <c r="EG67" s="66">
        <f>'[1]UNIV 2019'!AK73</f>
        <v>8500000</v>
      </c>
      <c r="EH67" s="66">
        <f t="shared" si="34"/>
        <v>1500000</v>
      </c>
      <c r="EI67" s="66"/>
      <c r="EJ67" s="66">
        <f>'[1]Univ Comm Fund'!AL67</f>
        <v>100000000</v>
      </c>
      <c r="EK67" s="66">
        <f>'[1]UNIV 2019'!AL73</f>
        <v>100000000</v>
      </c>
      <c r="EL67" s="66">
        <f t="shared" si="35"/>
        <v>0</v>
      </c>
      <c r="EM67" s="66"/>
      <c r="EN67" s="80">
        <f>'[1]Univ Comm Fund'!AM67</f>
        <v>565410000</v>
      </c>
      <c r="EO67" s="66">
        <f>'[1]UNIV 2019'!AM73</f>
        <v>480598500</v>
      </c>
      <c r="EP67" s="75">
        <f t="shared" si="36"/>
        <v>84811500</v>
      </c>
      <c r="EQ67" s="66"/>
      <c r="ER67" s="66">
        <f>'[1]Univ Comm Fund'!AN67</f>
        <v>15000000</v>
      </c>
      <c r="ES67" s="66">
        <f>'[1]UNIV 2019'!AN73</f>
        <v>7650000</v>
      </c>
      <c r="ET67" s="75">
        <f t="shared" si="37"/>
        <v>7350000</v>
      </c>
      <c r="EU67" s="66"/>
      <c r="EV67" s="66">
        <f>'[1]Univ Comm Fund'!AO67</f>
        <v>15000000</v>
      </c>
      <c r="EW67" s="66">
        <f>'[1]UNIV 2019'!AO73</f>
        <v>0</v>
      </c>
      <c r="EX67" s="75">
        <f t="shared" si="38"/>
        <v>15000000</v>
      </c>
      <c r="EY67" s="66"/>
      <c r="EZ67" s="66">
        <f>'[1]Univ Comm Fund'!AP67</f>
        <v>10000000</v>
      </c>
      <c r="FA67" s="66">
        <f>'[1]UNIV 2019'!AP73</f>
        <v>8500000</v>
      </c>
      <c r="FB67" s="75">
        <f t="shared" si="39"/>
        <v>1500000</v>
      </c>
      <c r="FC67" s="75"/>
      <c r="FD67" s="75">
        <f>'[1]Univ Comm Fund'!AQ67</f>
        <v>0</v>
      </c>
      <c r="FE67" s="75">
        <f>'[1]UNIV 2019'!AQ73</f>
        <v>0</v>
      </c>
      <c r="FF67" s="75">
        <f t="shared" si="40"/>
        <v>0</v>
      </c>
      <c r="FG67" s="75"/>
      <c r="FH67" s="75">
        <f>'[1]Univ Comm Fund'!AR67</f>
        <v>0</v>
      </c>
      <c r="FI67" s="75">
        <f>'[1]UNIV 2019'!AR73</f>
        <v>0</v>
      </c>
      <c r="FJ67" s="75">
        <f t="shared" si="41"/>
        <v>0</v>
      </c>
      <c r="FK67" s="75"/>
      <c r="FL67" s="75">
        <f>'[1]Univ Comm Fund'!AS67</f>
        <v>300000000</v>
      </c>
      <c r="FM67" s="75">
        <f>'[1]UNIV 2019'!AS73</f>
        <v>0</v>
      </c>
      <c r="FN67" s="75">
        <f t="shared" si="42"/>
        <v>300000000</v>
      </c>
      <c r="FO67" s="75"/>
      <c r="FP67" s="75">
        <f>'[1]Univ Comm Fund'!AT67</f>
        <v>240000000</v>
      </c>
      <c r="FQ67" s="75">
        <f>'[1]UNIV 2019'!AT73</f>
        <v>204000000</v>
      </c>
      <c r="FR67" s="75">
        <f t="shared" si="43"/>
        <v>36000000</v>
      </c>
      <c r="FS67" s="75"/>
      <c r="FT67" s="75">
        <f>'[1]Univ Comm Fund'!AU67</f>
        <v>10000000</v>
      </c>
      <c r="FU67" s="75">
        <f>'[1]UNIV 2019'!AU73</f>
        <v>0</v>
      </c>
      <c r="FV67" s="75">
        <f t="shared" si="44"/>
        <v>10000000</v>
      </c>
      <c r="FW67" s="75"/>
      <c r="FX67" s="75">
        <f>'[1]Univ Comm Fund'!AV67</f>
        <v>5000000</v>
      </c>
      <c r="FY67" s="75">
        <f>'[1]UNIV 2019'!AV73</f>
        <v>0</v>
      </c>
      <c r="FZ67" s="75">
        <f t="shared" si="45"/>
        <v>5000000</v>
      </c>
      <c r="GA67" s="75"/>
      <c r="GB67" s="75">
        <f>'[1]Univ Comm Fund'!AW67</f>
        <v>10000000</v>
      </c>
      <c r="GC67" s="75">
        <f>'[1]UNIV 2019'!AW73</f>
        <v>0</v>
      </c>
      <c r="GD67" s="75">
        <f t="shared" si="46"/>
        <v>10000000</v>
      </c>
      <c r="GE67" s="75"/>
      <c r="GF67" s="75">
        <f>'[1]Univ Comm Fund'!AX67</f>
        <v>0</v>
      </c>
      <c r="GG67" s="75">
        <f>'[1]UNIV 2019'!AX73</f>
        <v>0</v>
      </c>
      <c r="GH67" s="75">
        <f t="shared" si="47"/>
        <v>0</v>
      </c>
      <c r="GI67" s="75"/>
      <c r="GJ67" s="75">
        <f>'[1]Univ Comm Fund'!AY67</f>
        <v>350000000</v>
      </c>
      <c r="GK67" s="75">
        <f>'[1]UNIV 2019'!AY73</f>
        <v>0</v>
      </c>
      <c r="GL67" s="75">
        <f t="shared" si="48"/>
        <v>350000000</v>
      </c>
      <c r="GM67" s="75"/>
      <c r="GN67" s="75">
        <f>'[1]Univ Comm Fund'!AZ67</f>
        <v>175823700</v>
      </c>
      <c r="GO67" s="75">
        <f>'[1]UNIV 2019'!AZ73</f>
        <v>0</v>
      </c>
      <c r="GP67" s="75">
        <f t="shared" si="49"/>
        <v>175823700</v>
      </c>
      <c r="GQ67" s="75"/>
      <c r="GR67" s="75">
        <f>'[1]Univ Comm Fund'!BA67</f>
        <v>20000000</v>
      </c>
      <c r="GS67" s="75">
        <f>'[1]UNIV 2019'!BA73</f>
        <v>0</v>
      </c>
      <c r="GT67" s="75">
        <f t="shared" si="50"/>
        <v>20000000</v>
      </c>
      <c r="GU67" s="75"/>
      <c r="GV67" s="75">
        <f>'[1]Univ Comm Fund'!BB67</f>
        <v>5000000</v>
      </c>
      <c r="GW67" s="75">
        <f>'[1]UNIV 2019'!BB73</f>
        <v>0</v>
      </c>
      <c r="GX67" s="75">
        <f t="shared" si="51"/>
        <v>5000000</v>
      </c>
      <c r="GY67" s="75"/>
      <c r="GZ67" s="75">
        <f>'[1]Univ Comm Fund'!BC67</f>
        <v>10000000</v>
      </c>
      <c r="HA67" s="75">
        <f>'[1]UNIV 2019'!BD73</f>
        <v>0</v>
      </c>
      <c r="HB67" s="75">
        <f t="shared" si="52"/>
        <v>10000000</v>
      </c>
      <c r="HC67" s="75"/>
      <c r="HD67" s="75">
        <f>'[1]Univ Comm Fund'!BD67</f>
        <v>0</v>
      </c>
      <c r="HE67" s="75">
        <f>'[1]UNIV 2019'!BC73</f>
        <v>0</v>
      </c>
      <c r="HF67" s="75">
        <f t="shared" si="53"/>
        <v>0</v>
      </c>
      <c r="HG67" s="75"/>
      <c r="HH67" s="75">
        <f t="shared" si="54"/>
        <v>4718094254</v>
      </c>
      <c r="HI67" s="75">
        <f t="shared" si="54"/>
        <v>3512959553.8999996</v>
      </c>
      <c r="HJ67" s="82">
        <f t="shared" si="55"/>
        <v>1205134700.1000004</v>
      </c>
      <c r="HL67" s="83">
        <f t="shared" si="56"/>
        <v>3635270554</v>
      </c>
      <c r="HM67" s="83">
        <f t="shared" si="56"/>
        <v>2802659553.8999996</v>
      </c>
      <c r="HN67" s="84">
        <f t="shared" si="57"/>
        <v>832611000.10000038</v>
      </c>
      <c r="HP67" s="83">
        <f t="shared" si="58"/>
        <v>500000000</v>
      </c>
      <c r="HQ67" s="83">
        <f t="shared" si="58"/>
        <v>440000000</v>
      </c>
      <c r="HR67" s="84">
        <f t="shared" si="59"/>
        <v>60000000</v>
      </c>
      <c r="HT67" s="83">
        <f t="shared" si="60"/>
        <v>70000000</v>
      </c>
      <c r="HU67" s="83">
        <f t="shared" si="60"/>
        <v>51000000</v>
      </c>
      <c r="HV67" s="84">
        <f t="shared" si="61"/>
        <v>19000000</v>
      </c>
      <c r="HX67" s="83">
        <f t="shared" si="62"/>
        <v>60000000</v>
      </c>
      <c r="HY67" s="83">
        <f t="shared" si="62"/>
        <v>15300000</v>
      </c>
      <c r="HZ67" s="84">
        <f t="shared" si="63"/>
        <v>44700000</v>
      </c>
      <c r="IB67" s="83">
        <f t="shared" si="64"/>
        <v>35000000</v>
      </c>
      <c r="IC67" s="83">
        <f t="shared" si="64"/>
        <v>0</v>
      </c>
      <c r="ID67" s="84">
        <f t="shared" si="65"/>
        <v>35000000</v>
      </c>
      <c r="IF67" s="83">
        <f t="shared" si="69"/>
        <v>2000000</v>
      </c>
      <c r="IG67" s="83">
        <f t="shared" si="69"/>
        <v>0</v>
      </c>
      <c r="IH67" s="84">
        <f t="shared" si="66"/>
        <v>2000000</v>
      </c>
      <c r="IJ67" s="84">
        <f t="shared" si="67"/>
        <v>415823700</v>
      </c>
      <c r="IK67" s="84">
        <f t="shared" si="67"/>
        <v>204000000</v>
      </c>
      <c r="IL67" s="84">
        <f t="shared" si="68"/>
        <v>211823700</v>
      </c>
    </row>
    <row r="68" spans="1:246" ht="15" customHeight="1" x14ac:dyDescent="0.25">
      <c r="A68" s="119">
        <v>62</v>
      </c>
      <c r="B68" s="91" t="s">
        <v>128</v>
      </c>
      <c r="C68" s="42" t="s">
        <v>63</v>
      </c>
      <c r="D68" s="66">
        <f>'[1]Univ Comm Fund'!D68</f>
        <v>0</v>
      </c>
      <c r="E68" s="66">
        <f>'[1]UNIV 2019'!D74</f>
        <v>0</v>
      </c>
      <c r="F68" s="75">
        <f t="shared" si="4"/>
        <v>0</v>
      </c>
      <c r="G68" s="66"/>
      <c r="H68" s="66">
        <f>'[1]Univ Comm Fund'!E68</f>
        <v>0</v>
      </c>
      <c r="I68" s="66">
        <f>'[1]UNIV 2019'!E74</f>
        <v>0</v>
      </c>
      <c r="J68" s="66">
        <f t="shared" si="5"/>
        <v>0</v>
      </c>
      <c r="K68" s="66"/>
      <c r="L68" s="66">
        <f>'[1]Univ Comm Fund'!F68</f>
        <v>0</v>
      </c>
      <c r="M68" s="66">
        <f>'[1]UNIV 2019'!F74</f>
        <v>0</v>
      </c>
      <c r="N68" s="66">
        <f t="shared" si="6"/>
        <v>0</v>
      </c>
      <c r="O68" s="66"/>
      <c r="P68" s="66">
        <f>'[1]Univ Comm Fund'!G68</f>
        <v>0</v>
      </c>
      <c r="Q68" s="66">
        <f>'[1]UNIV 2019'!G74</f>
        <v>0</v>
      </c>
      <c r="R68" s="66">
        <f t="shared" si="7"/>
        <v>0</v>
      </c>
      <c r="S68" s="87"/>
      <c r="T68" s="66">
        <f>'[1]Univ Comm Fund'!H68</f>
        <v>0</v>
      </c>
      <c r="U68" s="66">
        <f>'[1]UNIV 2019'!H74</f>
        <v>0</v>
      </c>
      <c r="V68" s="66">
        <f t="shared" si="8"/>
        <v>0</v>
      </c>
      <c r="W68" s="66"/>
      <c r="X68" s="66">
        <f>'[1]Univ Comm Fund'!I68</f>
        <v>0</v>
      </c>
      <c r="Y68" s="66">
        <f>'[1]UNIV 2019'!I74</f>
        <v>0</v>
      </c>
      <c r="Z68" s="66">
        <f t="shared" si="9"/>
        <v>0</v>
      </c>
      <c r="AA68" s="66"/>
      <c r="AB68" s="66">
        <f>'[1]Univ Comm Fund'!J68</f>
        <v>0</v>
      </c>
      <c r="AC68" s="66">
        <f>'[1]UNIV 2019'!J74</f>
        <v>0</v>
      </c>
      <c r="AD68" s="66">
        <f t="shared" si="10"/>
        <v>0</v>
      </c>
      <c r="AE68" s="66"/>
      <c r="AF68" s="66">
        <f>'[1]Univ Comm Fund'!K68</f>
        <v>0</v>
      </c>
      <c r="AG68" s="66">
        <f>'[1]UNIV 2019'!K74</f>
        <v>0</v>
      </c>
      <c r="AH68" s="66">
        <f t="shared" si="11"/>
        <v>0</v>
      </c>
      <c r="AI68" s="66"/>
      <c r="AJ68" s="66">
        <f>'[1]Univ Comm Fund'!L68</f>
        <v>0</v>
      </c>
      <c r="AK68" s="66">
        <f>'[1]UNIV 2019'!L74</f>
        <v>0</v>
      </c>
      <c r="AL68" s="66">
        <f t="shared" si="12"/>
        <v>0</v>
      </c>
      <c r="AM68" s="66"/>
      <c r="AN68" s="66">
        <f>'[1]Univ Comm Fund'!M68</f>
        <v>0</v>
      </c>
      <c r="AO68" s="66">
        <f>'[1]UNIV 2019'!M74</f>
        <v>0</v>
      </c>
      <c r="AP68" s="66">
        <f t="shared" si="13"/>
        <v>0</v>
      </c>
      <c r="AQ68" s="66"/>
      <c r="AR68" s="66">
        <f>'[1]Univ Comm Fund'!N68</f>
        <v>0</v>
      </c>
      <c r="AS68" s="66">
        <f>'[1]UNIV 2019'!N74</f>
        <v>0</v>
      </c>
      <c r="AT68" s="66">
        <f t="shared" si="14"/>
        <v>0</v>
      </c>
      <c r="AU68" s="66"/>
      <c r="AV68" s="66">
        <f>'[1]Univ Comm Fund'!O68</f>
        <v>0</v>
      </c>
      <c r="AW68" s="66">
        <f>'[1]UNIV 2019'!O74</f>
        <v>0</v>
      </c>
      <c r="AX68" s="66">
        <f t="shared" si="15"/>
        <v>0</v>
      </c>
      <c r="AY68" s="66"/>
      <c r="AZ68" s="66">
        <f>'[1]Univ Comm Fund'!P68</f>
        <v>0</v>
      </c>
      <c r="BA68" s="66">
        <f>'[1]UNIV 2019'!P74</f>
        <v>0</v>
      </c>
      <c r="BB68" s="66">
        <f t="shared" si="0"/>
        <v>0</v>
      </c>
      <c r="BC68" s="66"/>
      <c r="BD68" s="66">
        <f>'[1]Univ Comm Fund'!Q68</f>
        <v>0</v>
      </c>
      <c r="BE68" s="66">
        <f>'[1]UNIV 2019'!Q74</f>
        <v>0</v>
      </c>
      <c r="BF68" s="66">
        <f t="shared" si="1"/>
        <v>0</v>
      </c>
      <c r="BG68" s="66"/>
      <c r="BH68" s="66">
        <f>'[1]Univ Comm Fund'!R68</f>
        <v>0</v>
      </c>
      <c r="BI68" s="66">
        <f>'[1]UNIV 2019'!R74</f>
        <v>0</v>
      </c>
      <c r="BJ68" s="66">
        <f t="shared" si="16"/>
        <v>0</v>
      </c>
      <c r="BK68" s="66"/>
      <c r="BL68" s="66">
        <f>'[1]Univ Comm Fund'!S68</f>
        <v>0</v>
      </c>
      <c r="BM68" s="66">
        <f>'[1]UNIV 2019'!S74</f>
        <v>0</v>
      </c>
      <c r="BN68" s="66">
        <f t="shared" si="17"/>
        <v>0</v>
      </c>
      <c r="BO68" s="66"/>
      <c r="BP68" s="66">
        <f>'[1]Univ Comm Fund'!T68</f>
        <v>0</v>
      </c>
      <c r="BQ68" s="66">
        <f>'[1]UNIV 2019'!T74</f>
        <v>0</v>
      </c>
      <c r="BR68" s="66">
        <f t="shared" si="18"/>
        <v>0</v>
      </c>
      <c r="BS68" s="66"/>
      <c r="BT68" s="90">
        <f>'[1]Univ Comm Fund'!U68</f>
        <v>0</v>
      </c>
      <c r="BU68" s="90">
        <f>'[1]UNIV 2019'!U74</f>
        <v>0</v>
      </c>
      <c r="BV68" s="90">
        <f t="shared" si="2"/>
        <v>0</v>
      </c>
      <c r="BW68" s="66"/>
      <c r="BX68" s="66">
        <f>'[1]Univ Comm Fund'!V68</f>
        <v>0</v>
      </c>
      <c r="BY68" s="66">
        <f>'[1]UNIV 2019'!V74</f>
        <v>0</v>
      </c>
      <c r="BZ68" s="66">
        <f t="shared" si="19"/>
        <v>0</v>
      </c>
      <c r="CA68" s="66"/>
      <c r="CB68" s="66">
        <f>'[1]Univ Comm Fund'!W68</f>
        <v>1411860554</v>
      </c>
      <c r="CC68" s="66">
        <f>'[1]UNIV 2019'!W74</f>
        <v>1367814791.5599999</v>
      </c>
      <c r="CD68" s="66">
        <f t="shared" si="20"/>
        <v>44045762.440000057</v>
      </c>
      <c r="CE68" s="66"/>
      <c r="CF68" s="66">
        <v>0</v>
      </c>
      <c r="CG68" s="66">
        <f>'[1]UNIV 2019'!X74</f>
        <v>0</v>
      </c>
      <c r="CH68" s="75">
        <f t="shared" si="21"/>
        <v>0</v>
      </c>
      <c r="CI68" s="66"/>
      <c r="CJ68" s="90">
        <f>'[1]Univ Comm Fund'!Y68</f>
        <v>0</v>
      </c>
      <c r="CK68" s="90">
        <f>'[1]UNIV 2019'!Y74</f>
        <v>0</v>
      </c>
      <c r="CL68" s="90">
        <f t="shared" si="22"/>
        <v>0</v>
      </c>
      <c r="CM68" s="66"/>
      <c r="CN68" s="66">
        <f>'[1]Univ Comm Fund'!Z68</f>
        <v>0</v>
      </c>
      <c r="CO68" s="66">
        <f>'[1]UNIV 2019'!Z74</f>
        <v>0</v>
      </c>
      <c r="CP68" s="66">
        <f t="shared" si="23"/>
        <v>0</v>
      </c>
      <c r="CQ68" s="66"/>
      <c r="CR68" s="66">
        <f>'[1]Univ Comm Fund'!AA68</f>
        <v>0</v>
      </c>
      <c r="CS68" s="66">
        <f>'[1]UNIV 2019'!AA74</f>
        <v>0</v>
      </c>
      <c r="CT68" s="75">
        <f t="shared" si="24"/>
        <v>0</v>
      </c>
      <c r="CU68" s="66"/>
      <c r="CV68" s="66">
        <f>'[1]Univ Comm Fund'!AB68</f>
        <v>0</v>
      </c>
      <c r="CW68" s="66">
        <f>'[1]UNIV 2019'!AB74</f>
        <v>0</v>
      </c>
      <c r="CX68" s="75">
        <f t="shared" si="25"/>
        <v>0</v>
      </c>
      <c r="CY68" s="66"/>
      <c r="CZ68" s="66">
        <f>'[1]Univ Comm Fund'!AC68</f>
        <v>356000000</v>
      </c>
      <c r="DA68" s="66">
        <f>'[1]UNIV 2019'!AC74</f>
        <v>302600000</v>
      </c>
      <c r="DB68" s="66">
        <f t="shared" si="26"/>
        <v>53400000</v>
      </c>
      <c r="DC68" s="66"/>
      <c r="DD68" s="66">
        <f>'[1]Univ Comm Fund'!AD68</f>
        <v>20000000</v>
      </c>
      <c r="DE68" s="66">
        <f>'[1]UNIV 2019'!AD74</f>
        <v>17000000</v>
      </c>
      <c r="DF68" s="66">
        <f t="shared" si="27"/>
        <v>3000000</v>
      </c>
      <c r="DG68" s="66"/>
      <c r="DH68" s="66">
        <f>'[1]Univ Comm Fund'!AE68</f>
        <v>552000000</v>
      </c>
      <c r="DI68" s="66">
        <f>'[1]UNIV 2019'!AE74</f>
        <v>347760000</v>
      </c>
      <c r="DJ68" s="66">
        <f t="shared" si="28"/>
        <v>204240000</v>
      </c>
      <c r="DK68" s="66"/>
      <c r="DL68" s="66">
        <f>'[1]Univ Comm Fund'!AF68</f>
        <v>20000000</v>
      </c>
      <c r="DM68" s="66">
        <f>'[1]UNIV 2019'!AF74</f>
        <v>17000000</v>
      </c>
      <c r="DN68" s="66">
        <f t="shared" si="29"/>
        <v>3000000</v>
      </c>
      <c r="DO68" s="66"/>
      <c r="DP68" s="66">
        <f>'[1]Univ Comm Fund'!AG68</f>
        <v>0</v>
      </c>
      <c r="DQ68" s="66">
        <f>'[1]UNIV 2019'!AG74</f>
        <v>0</v>
      </c>
      <c r="DR68" s="66">
        <f t="shared" si="30"/>
        <v>0</v>
      </c>
      <c r="DS68" s="66"/>
      <c r="DT68" s="66">
        <f>'[1]Univ Comm Fund'!AH68</f>
        <v>100000000</v>
      </c>
      <c r="DU68" s="66">
        <f>'[1]UNIV 2019'!AH74</f>
        <v>63000000</v>
      </c>
      <c r="DV68" s="66">
        <f t="shared" si="31"/>
        <v>37000000</v>
      </c>
      <c r="DW68" s="66"/>
      <c r="DX68" s="66">
        <f>'[1]Univ Comm Fund'!AI68</f>
        <v>15000000</v>
      </c>
      <c r="DY68" s="66">
        <f>'[1]UNIV 2019'!AI74</f>
        <v>8400000</v>
      </c>
      <c r="DZ68" s="66">
        <f t="shared" si="32"/>
        <v>6600000</v>
      </c>
      <c r="EA68" s="66"/>
      <c r="EB68" s="66">
        <f>'[1]Univ Comm Fund'!AJ68</f>
        <v>2000000</v>
      </c>
      <c r="EC68" s="66">
        <f>'[1]UNIV 2019'!AJ74</f>
        <v>0</v>
      </c>
      <c r="ED68" s="66">
        <f t="shared" si="33"/>
        <v>2000000</v>
      </c>
      <c r="EE68" s="66"/>
      <c r="EF68" s="66">
        <f>'[1]Univ Comm Fund'!AK68</f>
        <v>10000000</v>
      </c>
      <c r="EG68" s="66">
        <f>'[1]UNIV 2019'!AK74</f>
        <v>8500000</v>
      </c>
      <c r="EH68" s="66">
        <f t="shared" si="34"/>
        <v>1500000</v>
      </c>
      <c r="EI68" s="66"/>
      <c r="EJ68" s="66">
        <f>'[1]Univ Comm Fund'!AL68</f>
        <v>0</v>
      </c>
      <c r="EK68" s="66">
        <f>'[1]UNIV 2019'!AL74</f>
        <v>0</v>
      </c>
      <c r="EL68" s="66">
        <f t="shared" si="35"/>
        <v>0</v>
      </c>
      <c r="EM68" s="66"/>
      <c r="EN68" s="80">
        <f>'[1]Univ Comm Fund'!AM68</f>
        <v>565410000</v>
      </c>
      <c r="EO68" s="66">
        <f>'[1]UNIV 2019'!AM74</f>
        <v>356208300</v>
      </c>
      <c r="EP68" s="75">
        <f t="shared" si="36"/>
        <v>209201700</v>
      </c>
      <c r="EQ68" s="66"/>
      <c r="ER68" s="66">
        <f>'[1]Univ Comm Fund'!AN68</f>
        <v>15000000</v>
      </c>
      <c r="ES68" s="66">
        <f>'[1]UNIV 2019'!AN74</f>
        <v>8400000</v>
      </c>
      <c r="ET68" s="75">
        <f t="shared" si="37"/>
        <v>6600000</v>
      </c>
      <c r="EU68" s="66"/>
      <c r="EV68" s="66">
        <f>'[1]Univ Comm Fund'!AO68</f>
        <v>15000000</v>
      </c>
      <c r="EW68" s="66">
        <f>'[1]UNIV 2019'!AO74</f>
        <v>0</v>
      </c>
      <c r="EX68" s="75">
        <f t="shared" si="38"/>
        <v>15000000</v>
      </c>
      <c r="EY68" s="66"/>
      <c r="EZ68" s="66">
        <f>'[1]Univ Comm Fund'!AP68</f>
        <v>10000000</v>
      </c>
      <c r="FA68" s="66">
        <f>'[1]UNIV 2019'!AP74</f>
        <v>0</v>
      </c>
      <c r="FB68" s="75">
        <f t="shared" si="39"/>
        <v>10000000</v>
      </c>
      <c r="FC68" s="75"/>
      <c r="FD68" s="75">
        <f>'[1]Univ Comm Fund'!AQ68</f>
        <v>0</v>
      </c>
      <c r="FE68" s="75">
        <f>'[1]UNIV 2019'!AQ74</f>
        <v>0</v>
      </c>
      <c r="FF68" s="75">
        <f t="shared" si="40"/>
        <v>0</v>
      </c>
      <c r="FG68" s="75"/>
      <c r="FH68" s="75">
        <f>'[1]Univ Comm Fund'!AR68</f>
        <v>0</v>
      </c>
      <c r="FI68" s="75">
        <f>'[1]UNIV 2019'!AR74</f>
        <v>0</v>
      </c>
      <c r="FJ68" s="75">
        <f t="shared" si="41"/>
        <v>0</v>
      </c>
      <c r="FK68" s="75"/>
      <c r="FL68" s="75">
        <f>'[1]Univ Comm Fund'!AS68</f>
        <v>300000000</v>
      </c>
      <c r="FM68" s="75">
        <f>'[1]UNIV 2019'!AS74</f>
        <v>0</v>
      </c>
      <c r="FN68" s="75">
        <f t="shared" si="42"/>
        <v>300000000</v>
      </c>
      <c r="FO68" s="75"/>
      <c r="FP68" s="75">
        <f>'[1]Univ Comm Fund'!AT68</f>
        <v>120000000</v>
      </c>
      <c r="FQ68" s="75">
        <f>'[1]UNIV 2019'!AT74</f>
        <v>0</v>
      </c>
      <c r="FR68" s="75">
        <f t="shared" si="43"/>
        <v>120000000</v>
      </c>
      <c r="FS68" s="75"/>
      <c r="FT68" s="75">
        <f>'[1]Univ Comm Fund'!AU68</f>
        <v>10000000</v>
      </c>
      <c r="FU68" s="75">
        <f>'[1]UNIV 2019'!AU74</f>
        <v>0</v>
      </c>
      <c r="FV68" s="75">
        <f t="shared" si="44"/>
        <v>10000000</v>
      </c>
      <c r="FW68" s="75"/>
      <c r="FX68" s="75">
        <f>'[1]Univ Comm Fund'!AV68</f>
        <v>5000000</v>
      </c>
      <c r="FY68" s="75">
        <f>'[1]UNIV 2019'!AV74</f>
        <v>0</v>
      </c>
      <c r="FZ68" s="75">
        <f t="shared" si="45"/>
        <v>5000000</v>
      </c>
      <c r="GA68" s="75"/>
      <c r="GB68" s="75">
        <f>'[1]Univ Comm Fund'!AW68</f>
        <v>10000000</v>
      </c>
      <c r="GC68" s="75">
        <f>'[1]UNIV 2019'!AW74</f>
        <v>0</v>
      </c>
      <c r="GD68" s="75">
        <f t="shared" si="46"/>
        <v>10000000</v>
      </c>
      <c r="GE68" s="75"/>
      <c r="GF68" s="75">
        <f>'[1]Univ Comm Fund'!AX68</f>
        <v>0</v>
      </c>
      <c r="GG68" s="75">
        <f>'[1]UNIV 2019'!AX74</f>
        <v>0</v>
      </c>
      <c r="GH68" s="75">
        <f t="shared" si="47"/>
        <v>0</v>
      </c>
      <c r="GI68" s="75"/>
      <c r="GJ68" s="75">
        <f>'[1]Univ Comm Fund'!AY68</f>
        <v>350000000</v>
      </c>
      <c r="GK68" s="75">
        <f>'[1]UNIV 2019'!AY74</f>
        <v>0</v>
      </c>
      <c r="GL68" s="75">
        <f t="shared" si="48"/>
        <v>350000000</v>
      </c>
      <c r="GM68" s="75"/>
      <c r="GN68" s="75">
        <f>'[1]Univ Comm Fund'!AZ68</f>
        <v>175823700</v>
      </c>
      <c r="GO68" s="75">
        <f>'[1]UNIV 2019'!AZ74</f>
        <v>0</v>
      </c>
      <c r="GP68" s="75">
        <f t="shared" si="49"/>
        <v>175823700</v>
      </c>
      <c r="GQ68" s="75"/>
      <c r="GR68" s="75">
        <f>'[1]Univ Comm Fund'!BA68</f>
        <v>20000000</v>
      </c>
      <c r="GS68" s="75">
        <f>'[1]UNIV 2019'!BA74</f>
        <v>0</v>
      </c>
      <c r="GT68" s="75">
        <f t="shared" si="50"/>
        <v>20000000</v>
      </c>
      <c r="GU68" s="75"/>
      <c r="GV68" s="75">
        <f>'[1]Univ Comm Fund'!BB68</f>
        <v>5000000</v>
      </c>
      <c r="GW68" s="75">
        <f>'[1]UNIV 2019'!BB74</f>
        <v>0</v>
      </c>
      <c r="GX68" s="75">
        <f t="shared" si="51"/>
        <v>5000000</v>
      </c>
      <c r="GY68" s="75"/>
      <c r="GZ68" s="75">
        <f>'[1]Univ Comm Fund'!BC68</f>
        <v>10000000</v>
      </c>
      <c r="HA68" s="75">
        <f>'[1]UNIV 2019'!BD74</f>
        <v>0</v>
      </c>
      <c r="HB68" s="75">
        <f t="shared" si="52"/>
        <v>10000000</v>
      </c>
      <c r="HC68" s="75"/>
      <c r="HD68" s="75">
        <f>'[1]Univ Comm Fund'!BD68</f>
        <v>0</v>
      </c>
      <c r="HE68" s="75">
        <f>'[1]UNIV 2019'!BC74</f>
        <v>0</v>
      </c>
      <c r="HF68" s="75">
        <f t="shared" si="53"/>
        <v>0</v>
      </c>
      <c r="HG68" s="75"/>
      <c r="HH68" s="75">
        <f t="shared" si="54"/>
        <v>4098094254</v>
      </c>
      <c r="HI68" s="75">
        <f t="shared" si="54"/>
        <v>2496683091.5599999</v>
      </c>
      <c r="HJ68" s="82">
        <f t="shared" si="55"/>
        <v>1601411162.4400001</v>
      </c>
      <c r="HL68" s="83">
        <f t="shared" si="56"/>
        <v>3635270554</v>
      </c>
      <c r="HM68" s="83">
        <f t="shared" si="56"/>
        <v>2437383091.5599999</v>
      </c>
      <c r="HN68" s="84">
        <f t="shared" si="57"/>
        <v>1197887462.4400001</v>
      </c>
      <c r="HP68" s="83">
        <f t="shared" si="58"/>
        <v>0</v>
      </c>
      <c r="HQ68" s="83">
        <f t="shared" si="58"/>
        <v>0</v>
      </c>
      <c r="HR68" s="84">
        <f t="shared" si="59"/>
        <v>0</v>
      </c>
      <c r="HT68" s="83">
        <f t="shared" si="60"/>
        <v>70000000</v>
      </c>
      <c r="HU68" s="83">
        <f t="shared" si="60"/>
        <v>42500000</v>
      </c>
      <c r="HV68" s="84">
        <f t="shared" si="61"/>
        <v>27500000</v>
      </c>
      <c r="HX68" s="83">
        <f t="shared" si="62"/>
        <v>60000000</v>
      </c>
      <c r="HY68" s="83">
        <f t="shared" si="62"/>
        <v>16800000</v>
      </c>
      <c r="HZ68" s="84">
        <f t="shared" si="63"/>
        <v>43200000</v>
      </c>
      <c r="IB68" s="83">
        <f t="shared" si="64"/>
        <v>35000000</v>
      </c>
      <c r="IC68" s="83">
        <f t="shared" si="64"/>
        <v>0</v>
      </c>
      <c r="ID68" s="84">
        <f t="shared" si="65"/>
        <v>35000000</v>
      </c>
      <c r="IF68" s="83">
        <f t="shared" si="69"/>
        <v>2000000</v>
      </c>
      <c r="IG68" s="83">
        <f t="shared" si="69"/>
        <v>0</v>
      </c>
      <c r="IH68" s="84">
        <f t="shared" si="66"/>
        <v>2000000</v>
      </c>
      <c r="IJ68" s="84">
        <f t="shared" si="67"/>
        <v>295823700</v>
      </c>
      <c r="IK68" s="84">
        <f t="shared" si="67"/>
        <v>0</v>
      </c>
      <c r="IL68" s="84">
        <f t="shared" si="68"/>
        <v>295823700</v>
      </c>
    </row>
    <row r="69" spans="1:246" ht="15" customHeight="1" x14ac:dyDescent="0.25">
      <c r="A69" s="42">
        <v>63</v>
      </c>
      <c r="B69" s="91" t="s">
        <v>129</v>
      </c>
      <c r="C69" s="42" t="s">
        <v>63</v>
      </c>
      <c r="D69" s="66">
        <f>'[1]Univ Comm Fund'!D69</f>
        <v>0</v>
      </c>
      <c r="E69" s="66">
        <f>'[1]UNIV 2019'!D75</f>
        <v>0</v>
      </c>
      <c r="F69" s="75">
        <f t="shared" si="4"/>
        <v>0</v>
      </c>
      <c r="G69" s="66"/>
      <c r="H69" s="66">
        <f>'[1]Univ Comm Fund'!E69</f>
        <v>0</v>
      </c>
      <c r="I69" s="66">
        <f>'[1]UNIV 2019'!E75</f>
        <v>0</v>
      </c>
      <c r="J69" s="66">
        <f t="shared" si="5"/>
        <v>0</v>
      </c>
      <c r="K69" s="66"/>
      <c r="L69" s="66">
        <f>'[1]Univ Comm Fund'!F69</f>
        <v>0</v>
      </c>
      <c r="M69" s="66">
        <f>'[1]UNIV 2019'!F75</f>
        <v>0</v>
      </c>
      <c r="N69" s="66">
        <f t="shared" si="6"/>
        <v>0</v>
      </c>
      <c r="O69" s="66"/>
      <c r="P69" s="66">
        <f>'[1]Univ Comm Fund'!G69</f>
        <v>0</v>
      </c>
      <c r="Q69" s="66">
        <f>'[1]UNIV 2019'!G75</f>
        <v>0</v>
      </c>
      <c r="R69" s="66">
        <f t="shared" si="7"/>
        <v>0</v>
      </c>
      <c r="S69" s="87"/>
      <c r="T69" s="66">
        <f>'[1]Univ Comm Fund'!H69</f>
        <v>0</v>
      </c>
      <c r="U69" s="66">
        <f>'[1]UNIV 2019'!H75</f>
        <v>0</v>
      </c>
      <c r="V69" s="66">
        <f t="shared" si="8"/>
        <v>0</v>
      </c>
      <c r="W69" s="66"/>
      <c r="X69" s="66">
        <f>'[1]Univ Comm Fund'!I69</f>
        <v>0</v>
      </c>
      <c r="Y69" s="66">
        <f>'[1]UNIV 2019'!I75</f>
        <v>0</v>
      </c>
      <c r="Z69" s="66">
        <f t="shared" si="9"/>
        <v>0</v>
      </c>
      <c r="AA69" s="66"/>
      <c r="AB69" s="66">
        <f>'[1]Univ Comm Fund'!J69</f>
        <v>0</v>
      </c>
      <c r="AC69" s="66">
        <f>'[1]UNIV 2019'!J75</f>
        <v>0</v>
      </c>
      <c r="AD69" s="66">
        <f t="shared" si="10"/>
        <v>0</v>
      </c>
      <c r="AE69" s="66"/>
      <c r="AF69" s="66">
        <f>'[1]Univ Comm Fund'!K69</f>
        <v>0</v>
      </c>
      <c r="AG69" s="66">
        <f>'[1]UNIV 2019'!K75</f>
        <v>0</v>
      </c>
      <c r="AH69" s="66">
        <f t="shared" si="11"/>
        <v>0</v>
      </c>
      <c r="AI69" s="66"/>
      <c r="AJ69" s="66">
        <f>'[1]Univ Comm Fund'!L69</f>
        <v>0</v>
      </c>
      <c r="AK69" s="66">
        <f>'[1]UNIV 2019'!L75</f>
        <v>0</v>
      </c>
      <c r="AL69" s="66">
        <f t="shared" si="12"/>
        <v>0</v>
      </c>
      <c r="AM69" s="66"/>
      <c r="AN69" s="66">
        <f>'[1]Univ Comm Fund'!M69</f>
        <v>0</v>
      </c>
      <c r="AO69" s="66">
        <f>'[1]UNIV 2019'!M75</f>
        <v>0</v>
      </c>
      <c r="AP69" s="66">
        <f t="shared" si="13"/>
        <v>0</v>
      </c>
      <c r="AQ69" s="66"/>
      <c r="AR69" s="66">
        <f>'[1]Univ Comm Fund'!N69</f>
        <v>0</v>
      </c>
      <c r="AS69" s="66">
        <f>'[1]UNIV 2019'!N75</f>
        <v>0</v>
      </c>
      <c r="AT69" s="66">
        <f t="shared" si="14"/>
        <v>0</v>
      </c>
      <c r="AU69" s="66"/>
      <c r="AV69" s="66">
        <f>'[1]Univ Comm Fund'!O69</f>
        <v>0</v>
      </c>
      <c r="AW69" s="66">
        <f>'[1]UNIV 2019'!O75</f>
        <v>0</v>
      </c>
      <c r="AX69" s="66">
        <f t="shared" si="15"/>
        <v>0</v>
      </c>
      <c r="AY69" s="66"/>
      <c r="AZ69" s="66">
        <f>'[1]Univ Comm Fund'!P69</f>
        <v>0</v>
      </c>
      <c r="BA69" s="66">
        <f>'[1]UNIV 2019'!P75</f>
        <v>0</v>
      </c>
      <c r="BB69" s="66">
        <f t="shared" si="0"/>
        <v>0</v>
      </c>
      <c r="BC69" s="66"/>
      <c r="BD69" s="66">
        <f>'[1]Univ Comm Fund'!Q69</f>
        <v>0</v>
      </c>
      <c r="BE69" s="66">
        <f>'[1]UNIV 2019'!Q75</f>
        <v>0</v>
      </c>
      <c r="BF69" s="66">
        <f t="shared" si="1"/>
        <v>0</v>
      </c>
      <c r="BG69" s="66"/>
      <c r="BH69" s="66">
        <f>'[1]Univ Comm Fund'!R69</f>
        <v>0</v>
      </c>
      <c r="BI69" s="66">
        <f>'[1]UNIV 2019'!R75</f>
        <v>0</v>
      </c>
      <c r="BJ69" s="66">
        <f t="shared" si="16"/>
        <v>0</v>
      </c>
      <c r="BK69" s="66"/>
      <c r="BL69" s="66">
        <f>'[1]Univ Comm Fund'!S69</f>
        <v>0</v>
      </c>
      <c r="BM69" s="66">
        <f>'[1]UNIV 2019'!S75</f>
        <v>0</v>
      </c>
      <c r="BN69" s="66">
        <f t="shared" si="17"/>
        <v>0</v>
      </c>
      <c r="BO69" s="66"/>
      <c r="BP69" s="66">
        <f>'[1]Univ Comm Fund'!T69</f>
        <v>0</v>
      </c>
      <c r="BQ69" s="66">
        <f>'[1]UNIV 2019'!T75</f>
        <v>0</v>
      </c>
      <c r="BR69" s="66">
        <f t="shared" si="18"/>
        <v>0</v>
      </c>
      <c r="BS69" s="66"/>
      <c r="BT69" s="66">
        <f>'[1]Univ Comm Fund'!U69</f>
        <v>0</v>
      </c>
      <c r="BU69" s="66">
        <f>'[1]UNIV 2019'!U75</f>
        <v>0</v>
      </c>
      <c r="BV69" s="66">
        <f t="shared" si="2"/>
        <v>0</v>
      </c>
      <c r="BW69" s="66"/>
      <c r="BX69" s="66">
        <f>'[1]Univ Comm Fund'!V69</f>
        <v>0</v>
      </c>
      <c r="BY69" s="66">
        <f>'[1]UNIV 2019'!V75</f>
        <v>0</v>
      </c>
      <c r="BZ69" s="66">
        <f t="shared" si="19"/>
        <v>0</v>
      </c>
      <c r="CA69" s="66"/>
      <c r="CB69" s="111">
        <f>'[1]Univ Comm Fund'!W69</f>
        <v>1411860554</v>
      </c>
      <c r="CC69" s="111">
        <f>'[1]UNIV 2019'!W75</f>
        <v>1408273186.9700003</v>
      </c>
      <c r="CD69" s="111">
        <f t="shared" si="20"/>
        <v>3587367.029999733</v>
      </c>
      <c r="CE69" s="66"/>
      <c r="CF69" s="66">
        <v>0</v>
      </c>
      <c r="CG69" s="66">
        <f>'[1]UNIV 2019'!X75</f>
        <v>0</v>
      </c>
      <c r="CH69" s="75">
        <f t="shared" si="21"/>
        <v>0</v>
      </c>
      <c r="CI69" s="66"/>
      <c r="CJ69" s="90">
        <f>'[1]Univ Comm Fund'!Y69</f>
        <v>0</v>
      </c>
      <c r="CK69" s="90">
        <f>'[1]UNIV 2019'!Y75</f>
        <v>0</v>
      </c>
      <c r="CL69" s="90">
        <f t="shared" si="22"/>
        <v>0</v>
      </c>
      <c r="CM69" s="66"/>
      <c r="CN69" s="66">
        <f>'[1]Univ Comm Fund'!Z69</f>
        <v>0</v>
      </c>
      <c r="CO69" s="66">
        <f>'[1]UNIV 2019'!Z75</f>
        <v>0</v>
      </c>
      <c r="CP69" s="66">
        <f t="shared" si="23"/>
        <v>0</v>
      </c>
      <c r="CQ69" s="66"/>
      <c r="CR69" s="66">
        <f>'[1]Univ Comm Fund'!AA69</f>
        <v>142000000</v>
      </c>
      <c r="CS69" s="66">
        <f>'[1]UNIV 2019'!AA75</f>
        <v>142000000</v>
      </c>
      <c r="CT69" s="75">
        <f t="shared" si="24"/>
        <v>0</v>
      </c>
      <c r="CU69" s="66"/>
      <c r="CV69" s="66">
        <f>'[1]Univ Comm Fund'!AB69</f>
        <v>202000000</v>
      </c>
      <c r="CW69" s="66">
        <f>'[1]UNIV 2019'!AB75</f>
        <v>202000000</v>
      </c>
      <c r="CX69" s="75">
        <f t="shared" si="25"/>
        <v>0</v>
      </c>
      <c r="CY69" s="66"/>
      <c r="CZ69" s="66">
        <f>'[1]Univ Comm Fund'!AC69</f>
        <v>356000000</v>
      </c>
      <c r="DA69" s="66">
        <f>'[1]UNIV 2019'!AC75</f>
        <v>356000000</v>
      </c>
      <c r="DB69" s="66">
        <f t="shared" si="26"/>
        <v>0</v>
      </c>
      <c r="DC69" s="66"/>
      <c r="DD69" s="66">
        <f>'[1]Univ Comm Fund'!AD69</f>
        <v>20000000</v>
      </c>
      <c r="DE69" s="66">
        <f>'[1]UNIV 2019'!AD75</f>
        <v>17000000</v>
      </c>
      <c r="DF69" s="66">
        <f t="shared" si="27"/>
        <v>3000000</v>
      </c>
      <c r="DG69" s="66"/>
      <c r="DH69" s="66">
        <f>'[1]Univ Comm Fund'!AE69</f>
        <v>552000000</v>
      </c>
      <c r="DI69" s="66">
        <f>'[1]UNIV 2019'!AE75</f>
        <v>552000000</v>
      </c>
      <c r="DJ69" s="66">
        <f t="shared" si="28"/>
        <v>0</v>
      </c>
      <c r="DK69" s="66"/>
      <c r="DL69" s="66">
        <f>'[1]Univ Comm Fund'!AF69</f>
        <v>20000000</v>
      </c>
      <c r="DM69" s="66">
        <f>'[1]UNIV 2019'!AF75</f>
        <v>17000000</v>
      </c>
      <c r="DN69" s="66">
        <f t="shared" si="29"/>
        <v>3000000</v>
      </c>
      <c r="DO69" s="66"/>
      <c r="DP69" s="66">
        <f>'[1]Univ Comm Fund'!AG69</f>
        <v>345000000</v>
      </c>
      <c r="DQ69" s="66">
        <f>'[1]UNIV 2019'!AG75</f>
        <v>344250000</v>
      </c>
      <c r="DR69" s="66">
        <f t="shared" si="30"/>
        <v>750000</v>
      </c>
      <c r="DS69" s="66"/>
      <c r="DT69" s="66">
        <f>'[1]Univ Comm Fund'!AH69</f>
        <v>100000000</v>
      </c>
      <c r="DU69" s="66">
        <f>'[1]UNIV 2019'!AH75</f>
        <v>64000000</v>
      </c>
      <c r="DV69" s="66">
        <f t="shared" si="31"/>
        <v>36000000</v>
      </c>
      <c r="DW69" s="66"/>
      <c r="DX69" s="66">
        <f>'[1]Univ Comm Fund'!AI69</f>
        <v>15000000</v>
      </c>
      <c r="DY69" s="66">
        <f>'[1]UNIV 2019'!AI75</f>
        <v>12750000</v>
      </c>
      <c r="DZ69" s="66">
        <f t="shared" si="32"/>
        <v>2250000</v>
      </c>
      <c r="EA69" s="66"/>
      <c r="EB69" s="66">
        <f>'[1]Univ Comm Fund'!AJ69</f>
        <v>2000000</v>
      </c>
      <c r="EC69" s="66">
        <f>'[1]UNIV 2019'!AJ75</f>
        <v>0</v>
      </c>
      <c r="ED69" s="66">
        <f t="shared" si="33"/>
        <v>2000000</v>
      </c>
      <c r="EE69" s="66"/>
      <c r="EF69" s="66">
        <f>'[1]Univ Comm Fund'!AK69</f>
        <v>10000000</v>
      </c>
      <c r="EG69" s="66">
        <f>'[1]UNIV 2019'!AK75</f>
        <v>0</v>
      </c>
      <c r="EH69" s="66">
        <f t="shared" si="34"/>
        <v>10000000</v>
      </c>
      <c r="EI69" s="66"/>
      <c r="EJ69" s="66">
        <f>'[1]Univ Comm Fund'!AL69</f>
        <v>4000000000</v>
      </c>
      <c r="EK69" s="66">
        <f>'[1]UNIV 2019'!AL75</f>
        <v>4000000000</v>
      </c>
      <c r="EL69" s="66">
        <f t="shared" si="35"/>
        <v>0</v>
      </c>
      <c r="EM69" s="66"/>
      <c r="EN69" s="80">
        <f>'[1]Univ Comm Fund'!AM69</f>
        <v>565410000</v>
      </c>
      <c r="EO69" s="66">
        <f>'[1]UNIV 2019'!AM75</f>
        <v>361862400</v>
      </c>
      <c r="EP69" s="75">
        <f t="shared" si="36"/>
        <v>203547600</v>
      </c>
      <c r="EQ69" s="66"/>
      <c r="ER69" s="66">
        <f>'[1]Univ Comm Fund'!AN69</f>
        <v>15000000</v>
      </c>
      <c r="ES69" s="66">
        <f>'[1]UNIV 2019'!AN75</f>
        <v>7800000</v>
      </c>
      <c r="ET69" s="75">
        <f t="shared" si="37"/>
        <v>7200000</v>
      </c>
      <c r="EU69" s="66"/>
      <c r="EV69" s="66">
        <f>'[1]Univ Comm Fund'!AO69</f>
        <v>15000000</v>
      </c>
      <c r="EW69" s="66">
        <f>'[1]UNIV 2019'!AO75</f>
        <v>0</v>
      </c>
      <c r="EX69" s="75">
        <f t="shared" si="38"/>
        <v>15000000</v>
      </c>
      <c r="EY69" s="66"/>
      <c r="EZ69" s="66">
        <f>'[1]Univ Comm Fund'!AP69</f>
        <v>10000000</v>
      </c>
      <c r="FA69" s="66">
        <f>'[1]UNIV 2019'!AP75</f>
        <v>0</v>
      </c>
      <c r="FB69" s="75">
        <f t="shared" si="39"/>
        <v>10000000</v>
      </c>
      <c r="FC69" s="75"/>
      <c r="FD69" s="75">
        <f>'[1]Univ Comm Fund'!AQ69</f>
        <v>0</v>
      </c>
      <c r="FE69" s="75">
        <f>'[1]UNIV 2019'!AQ75</f>
        <v>0</v>
      </c>
      <c r="FF69" s="75">
        <f t="shared" si="40"/>
        <v>0</v>
      </c>
      <c r="FG69" s="75"/>
      <c r="FH69" s="75">
        <f>'[1]Univ Comm Fund'!AR69</f>
        <v>0</v>
      </c>
      <c r="FI69" s="75">
        <f>'[1]UNIV 2019'!AR75</f>
        <v>91200000</v>
      </c>
      <c r="FJ69" s="75">
        <f t="shared" si="41"/>
        <v>-91200000</v>
      </c>
      <c r="FK69" s="75"/>
      <c r="FL69" s="75">
        <f>'[1]Univ Comm Fund'!AS69</f>
        <v>300000000</v>
      </c>
      <c r="FM69" s="75">
        <f>'[1]UNIV 2019'!AS75</f>
        <v>0</v>
      </c>
      <c r="FN69" s="75">
        <f t="shared" si="42"/>
        <v>300000000</v>
      </c>
      <c r="FO69" s="75"/>
      <c r="FP69" s="75">
        <f>'[1]Univ Comm Fund'!AT69</f>
        <v>120000000</v>
      </c>
      <c r="FQ69" s="75">
        <f>'[1]UNIV 2019'!AT75</f>
        <v>0</v>
      </c>
      <c r="FR69" s="75">
        <f t="shared" si="43"/>
        <v>120000000</v>
      </c>
      <c r="FS69" s="75"/>
      <c r="FT69" s="75">
        <f>'[1]Univ Comm Fund'!AU69</f>
        <v>10000000</v>
      </c>
      <c r="FU69" s="75">
        <f>'[1]UNIV 2019'!AU75</f>
        <v>0</v>
      </c>
      <c r="FV69" s="75">
        <f t="shared" si="44"/>
        <v>10000000</v>
      </c>
      <c r="FW69" s="75"/>
      <c r="FX69" s="75">
        <f>'[1]Univ Comm Fund'!AV69</f>
        <v>5000000</v>
      </c>
      <c r="FY69" s="75">
        <f>'[1]UNIV 2019'!AV75</f>
        <v>0</v>
      </c>
      <c r="FZ69" s="75">
        <f t="shared" si="45"/>
        <v>5000000</v>
      </c>
      <c r="GA69" s="75"/>
      <c r="GB69" s="75">
        <f>'[1]Univ Comm Fund'!AW69</f>
        <v>10000000</v>
      </c>
      <c r="GC69" s="75">
        <f>'[1]UNIV 2019'!AW75</f>
        <v>0</v>
      </c>
      <c r="GD69" s="75">
        <f t="shared" si="46"/>
        <v>10000000</v>
      </c>
      <c r="GE69" s="75"/>
      <c r="GF69" s="75">
        <f>'[1]Univ Comm Fund'!AX69</f>
        <v>0</v>
      </c>
      <c r="GG69" s="75">
        <f>'[1]UNIV 2019'!AX75</f>
        <v>0</v>
      </c>
      <c r="GH69" s="75">
        <f t="shared" si="47"/>
        <v>0</v>
      </c>
      <c r="GI69" s="75"/>
      <c r="GJ69" s="75">
        <f>'[1]Univ Comm Fund'!AY69</f>
        <v>350000000</v>
      </c>
      <c r="GK69" s="75">
        <f>'[1]UNIV 2019'!AY75</f>
        <v>0</v>
      </c>
      <c r="GL69" s="75">
        <f t="shared" si="48"/>
        <v>350000000</v>
      </c>
      <c r="GM69" s="75"/>
      <c r="GN69" s="75">
        <f>'[1]Univ Comm Fund'!AZ69</f>
        <v>175823700</v>
      </c>
      <c r="GO69" s="75">
        <f>'[1]UNIV 2019'!AZ75</f>
        <v>0</v>
      </c>
      <c r="GP69" s="75">
        <f t="shared" si="49"/>
        <v>175823700</v>
      </c>
      <c r="GQ69" s="75"/>
      <c r="GR69" s="75">
        <f>'[1]Univ Comm Fund'!BA69</f>
        <v>20000000</v>
      </c>
      <c r="GS69" s="75">
        <f>'[1]UNIV 2019'!BA75</f>
        <v>0</v>
      </c>
      <c r="GT69" s="75">
        <f t="shared" si="50"/>
        <v>20000000</v>
      </c>
      <c r="GU69" s="75"/>
      <c r="GV69" s="75">
        <f>'[1]Univ Comm Fund'!BB69</f>
        <v>5000000</v>
      </c>
      <c r="GW69" s="75">
        <f>'[1]UNIV 2019'!BB75</f>
        <v>0</v>
      </c>
      <c r="GX69" s="75">
        <f t="shared" si="51"/>
        <v>5000000</v>
      </c>
      <c r="GY69" s="75"/>
      <c r="GZ69" s="75">
        <f>'[1]Univ Comm Fund'!BC69</f>
        <v>10000000</v>
      </c>
      <c r="HA69" s="75">
        <f>'[1]UNIV 2019'!BD75</f>
        <v>0</v>
      </c>
      <c r="HB69" s="75">
        <f t="shared" si="52"/>
        <v>10000000</v>
      </c>
      <c r="HC69" s="75"/>
      <c r="HD69" s="75">
        <f>'[1]Univ Comm Fund'!BD69</f>
        <v>0</v>
      </c>
      <c r="HE69" s="75">
        <f>'[1]UNIV 2019'!BC75</f>
        <v>0</v>
      </c>
      <c r="HF69" s="75">
        <f t="shared" si="53"/>
        <v>0</v>
      </c>
      <c r="HG69" s="75"/>
      <c r="HH69" s="75">
        <f t="shared" si="54"/>
        <v>8787094254</v>
      </c>
      <c r="HI69" s="75">
        <f t="shared" si="54"/>
        <v>7576135586.9700003</v>
      </c>
      <c r="HJ69" s="82">
        <f t="shared" si="55"/>
        <v>1210958667.0299997</v>
      </c>
      <c r="HL69" s="83">
        <f t="shared" si="56"/>
        <v>3635270554</v>
      </c>
      <c r="HM69" s="83">
        <f t="shared" si="56"/>
        <v>2742135586.9700003</v>
      </c>
      <c r="HN69" s="84">
        <f t="shared" si="57"/>
        <v>893134967.02999973</v>
      </c>
      <c r="HP69" s="83">
        <f t="shared" si="58"/>
        <v>4689000000</v>
      </c>
      <c r="HQ69" s="83">
        <f t="shared" si="58"/>
        <v>4688250000</v>
      </c>
      <c r="HR69" s="84">
        <f t="shared" si="59"/>
        <v>750000</v>
      </c>
      <c r="HT69" s="83">
        <f t="shared" si="60"/>
        <v>70000000</v>
      </c>
      <c r="HU69" s="83">
        <f t="shared" si="60"/>
        <v>34000000</v>
      </c>
      <c r="HV69" s="84">
        <f t="shared" si="61"/>
        <v>36000000</v>
      </c>
      <c r="HX69" s="83">
        <f t="shared" si="62"/>
        <v>60000000</v>
      </c>
      <c r="HY69" s="83">
        <f t="shared" si="62"/>
        <v>20550000</v>
      </c>
      <c r="HZ69" s="84">
        <f t="shared" si="63"/>
        <v>39450000</v>
      </c>
      <c r="IB69" s="83">
        <f t="shared" si="64"/>
        <v>35000000</v>
      </c>
      <c r="IC69" s="83">
        <f t="shared" si="64"/>
        <v>0</v>
      </c>
      <c r="ID69" s="84">
        <f t="shared" si="65"/>
        <v>35000000</v>
      </c>
      <c r="IF69" s="83">
        <f t="shared" si="69"/>
        <v>2000000</v>
      </c>
      <c r="IG69" s="83">
        <f t="shared" si="69"/>
        <v>0</v>
      </c>
      <c r="IH69" s="84">
        <f t="shared" si="66"/>
        <v>2000000</v>
      </c>
      <c r="IJ69" s="84">
        <f t="shared" si="67"/>
        <v>295823700</v>
      </c>
      <c r="IK69" s="84">
        <f t="shared" si="67"/>
        <v>91200000</v>
      </c>
      <c r="IL69" s="84">
        <f t="shared" si="68"/>
        <v>204623700</v>
      </c>
    </row>
    <row r="70" spans="1:246" ht="15" customHeight="1" x14ac:dyDescent="0.25">
      <c r="A70" s="119">
        <v>64</v>
      </c>
      <c r="B70" s="91" t="s">
        <v>130</v>
      </c>
      <c r="C70" s="42" t="s">
        <v>61</v>
      </c>
      <c r="D70" s="66">
        <f>'[1]Univ Comm Fund'!D70</f>
        <v>0</v>
      </c>
      <c r="E70" s="66">
        <f>'[1]UNIV 2019'!D76</f>
        <v>0</v>
      </c>
      <c r="F70" s="75">
        <f t="shared" si="4"/>
        <v>0</v>
      </c>
      <c r="G70" s="66"/>
      <c r="H70" s="66">
        <f>'[1]Univ Comm Fund'!E70</f>
        <v>0</v>
      </c>
      <c r="I70" s="66">
        <f>'[1]UNIV 2019'!E76</f>
        <v>0</v>
      </c>
      <c r="J70" s="66">
        <f t="shared" si="5"/>
        <v>0</v>
      </c>
      <c r="K70" s="66"/>
      <c r="L70" s="66">
        <f>'[1]Univ Comm Fund'!F70</f>
        <v>0</v>
      </c>
      <c r="M70" s="66">
        <f>'[1]UNIV 2019'!F76</f>
        <v>0</v>
      </c>
      <c r="N70" s="66">
        <f t="shared" si="6"/>
        <v>0</v>
      </c>
      <c r="O70" s="66"/>
      <c r="P70" s="66">
        <f>'[1]Univ Comm Fund'!G70</f>
        <v>0</v>
      </c>
      <c r="Q70" s="66">
        <f>'[1]UNIV 2019'!G76</f>
        <v>0</v>
      </c>
      <c r="R70" s="66">
        <f t="shared" si="7"/>
        <v>0</v>
      </c>
      <c r="S70" s="87"/>
      <c r="T70" s="66">
        <f>'[1]Univ Comm Fund'!H70</f>
        <v>0</v>
      </c>
      <c r="U70" s="66">
        <f>'[1]UNIV 2019'!H76</f>
        <v>0</v>
      </c>
      <c r="V70" s="66">
        <f t="shared" si="8"/>
        <v>0</v>
      </c>
      <c r="W70" s="66"/>
      <c r="X70" s="66">
        <f>'[1]Univ Comm Fund'!I70</f>
        <v>0</v>
      </c>
      <c r="Y70" s="66">
        <f>'[1]UNIV 2019'!I76</f>
        <v>0</v>
      </c>
      <c r="Z70" s="66">
        <f t="shared" si="9"/>
        <v>0</v>
      </c>
      <c r="AA70" s="66"/>
      <c r="AB70" s="66">
        <f>'[1]Univ Comm Fund'!J70</f>
        <v>0</v>
      </c>
      <c r="AC70" s="66">
        <f>'[1]UNIV 2019'!J76</f>
        <v>0</v>
      </c>
      <c r="AD70" s="66">
        <f t="shared" si="10"/>
        <v>0</v>
      </c>
      <c r="AE70" s="66"/>
      <c r="AF70" s="66">
        <f>'[1]Univ Comm Fund'!K70</f>
        <v>0</v>
      </c>
      <c r="AG70" s="66">
        <f>'[1]UNIV 2019'!K76</f>
        <v>0</v>
      </c>
      <c r="AH70" s="66">
        <f t="shared" si="11"/>
        <v>0</v>
      </c>
      <c r="AI70" s="66"/>
      <c r="AJ70" s="66">
        <f>'[1]Univ Comm Fund'!L70</f>
        <v>0</v>
      </c>
      <c r="AK70" s="66">
        <f>'[1]UNIV 2019'!L76</f>
        <v>0</v>
      </c>
      <c r="AL70" s="137">
        <f>1880600000+125000000+52500000+130000000+75000000</f>
        <v>2263100000</v>
      </c>
      <c r="AM70" s="66"/>
      <c r="AN70" s="66">
        <f>'[1]Univ Comm Fund'!M70</f>
        <v>0</v>
      </c>
      <c r="AO70" s="66">
        <f>'[1]UNIV 2019'!M76</f>
        <v>0</v>
      </c>
      <c r="AP70" s="66">
        <f t="shared" si="13"/>
        <v>0</v>
      </c>
      <c r="AQ70" s="66"/>
      <c r="AR70" s="66">
        <f>'[1]Univ Comm Fund'!N70</f>
        <v>0</v>
      </c>
      <c r="AS70" s="66">
        <f>'[1]UNIV 2019'!N76</f>
        <v>0</v>
      </c>
      <c r="AT70" s="66">
        <f t="shared" si="14"/>
        <v>0</v>
      </c>
      <c r="AU70" s="66"/>
      <c r="AV70" s="66">
        <f>'[1]Univ Comm Fund'!O70</f>
        <v>0</v>
      </c>
      <c r="AW70" s="66">
        <f>'[1]UNIV 2019'!O76</f>
        <v>0</v>
      </c>
      <c r="AX70" s="66">
        <f t="shared" si="15"/>
        <v>0</v>
      </c>
      <c r="AY70" s="66"/>
      <c r="AZ70" s="66">
        <f>'[1]Univ Comm Fund'!P70</f>
        <v>0</v>
      </c>
      <c r="BA70" s="66">
        <f>'[1]UNIV 2019'!P76</f>
        <v>0</v>
      </c>
      <c r="BB70" s="66">
        <f t="shared" ref="BB70:BB83" si="70">AZ70-BA70</f>
        <v>0</v>
      </c>
      <c r="BC70" s="66"/>
      <c r="BD70" s="66">
        <f>'[1]Univ Comm Fund'!Q70</f>
        <v>0</v>
      </c>
      <c r="BE70" s="66">
        <f>'[1]UNIV 2019'!Q76</f>
        <v>0</v>
      </c>
      <c r="BF70" s="66">
        <f t="shared" ref="BF70:BF83" si="71">BD70-BE70</f>
        <v>0</v>
      </c>
      <c r="BG70" s="66"/>
      <c r="BH70" s="66">
        <f>'[1]Univ Comm Fund'!R70</f>
        <v>0</v>
      </c>
      <c r="BI70" s="66">
        <f>'[1]UNIV 2019'!R76</f>
        <v>0</v>
      </c>
      <c r="BJ70" s="66">
        <f t="shared" si="16"/>
        <v>0</v>
      </c>
      <c r="BK70" s="66"/>
      <c r="BL70" s="66">
        <f>'[1]Univ Comm Fund'!S70</f>
        <v>0</v>
      </c>
      <c r="BM70" s="66">
        <f>'[1]UNIV 2019'!S76</f>
        <v>0</v>
      </c>
      <c r="BN70" s="66">
        <f t="shared" si="17"/>
        <v>0</v>
      </c>
      <c r="BO70" s="66"/>
      <c r="BP70" s="66">
        <f>'[1]Univ Comm Fund'!T70</f>
        <v>0</v>
      </c>
      <c r="BQ70" s="66">
        <f>'[1]UNIV 2019'!T76</f>
        <v>0</v>
      </c>
      <c r="BR70" s="66">
        <f t="shared" si="18"/>
        <v>0</v>
      </c>
      <c r="BS70" s="66"/>
      <c r="BT70" s="66">
        <f>'[1]Univ Comm Fund'!U70</f>
        <v>0</v>
      </c>
      <c r="BU70" s="66">
        <f>'[1]UNIV 2019'!U76</f>
        <v>0</v>
      </c>
      <c r="BV70" s="66">
        <f t="shared" ref="BV70:BV83" si="72">BT70-BU70</f>
        <v>0</v>
      </c>
      <c r="BW70" s="66"/>
      <c r="BX70" s="66">
        <f>'[1]Univ Comm Fund'!V70</f>
        <v>0</v>
      </c>
      <c r="BY70" s="66">
        <f>'[1]UNIV 2019'!V76</f>
        <v>0</v>
      </c>
      <c r="BZ70" s="66">
        <f t="shared" si="19"/>
        <v>0</v>
      </c>
      <c r="CA70" s="66"/>
      <c r="CB70" s="66">
        <f>'[1]Univ Comm Fund'!W70</f>
        <v>1411860554</v>
      </c>
      <c r="CC70" s="66">
        <f>'[1]UNIV 2019'!W76</f>
        <v>1390231241.8299999</v>
      </c>
      <c r="CD70" s="66">
        <f t="shared" si="20"/>
        <v>21629312.170000076</v>
      </c>
      <c r="CE70" s="66"/>
      <c r="CF70" s="66">
        <v>0</v>
      </c>
      <c r="CG70" s="66">
        <f>'[1]UNIV 2019'!X76</f>
        <v>0</v>
      </c>
      <c r="CH70" s="75">
        <f t="shared" si="21"/>
        <v>0</v>
      </c>
      <c r="CI70" s="66"/>
      <c r="CJ70" s="90">
        <f>'[1]Univ Comm Fund'!Y70</f>
        <v>0</v>
      </c>
      <c r="CK70" s="90">
        <f>'[1]UNIV 2019'!Y76</f>
        <v>0</v>
      </c>
      <c r="CL70" s="90">
        <f t="shared" si="22"/>
        <v>0</v>
      </c>
      <c r="CM70" s="66"/>
      <c r="CN70" s="66">
        <f>'[1]Univ Comm Fund'!Z70</f>
        <v>0</v>
      </c>
      <c r="CO70" s="66">
        <f>'[1]UNIV 2019'!Z76</f>
        <v>0</v>
      </c>
      <c r="CP70" s="66">
        <f t="shared" si="23"/>
        <v>0</v>
      </c>
      <c r="CQ70" s="66"/>
      <c r="CR70" s="66">
        <f>'[1]Univ Comm Fund'!AA70</f>
        <v>0</v>
      </c>
      <c r="CS70" s="66">
        <f>'[1]UNIV 2019'!AA76</f>
        <v>0</v>
      </c>
      <c r="CT70" s="75">
        <f t="shared" si="24"/>
        <v>0</v>
      </c>
      <c r="CU70" s="66"/>
      <c r="CV70" s="66">
        <f>'[1]Univ Comm Fund'!AB70</f>
        <v>0</v>
      </c>
      <c r="CW70" s="66">
        <f>'[1]UNIV 2019'!AB76</f>
        <v>0</v>
      </c>
      <c r="CX70" s="75">
        <f t="shared" si="25"/>
        <v>0</v>
      </c>
      <c r="CY70" s="66"/>
      <c r="CZ70" s="66">
        <f>'[1]Univ Comm Fund'!AC70</f>
        <v>356000000</v>
      </c>
      <c r="DA70" s="66">
        <f>'[1]UNIV 2019'!AC76</f>
        <v>356000000</v>
      </c>
      <c r="DB70" s="66">
        <f t="shared" si="26"/>
        <v>0</v>
      </c>
      <c r="DC70" s="66"/>
      <c r="DD70" s="66">
        <f>'[1]Univ Comm Fund'!AD70</f>
        <v>20000000</v>
      </c>
      <c r="DE70" s="66">
        <f>'[1]UNIV 2019'!AD76</f>
        <v>0</v>
      </c>
      <c r="DF70" s="66">
        <f t="shared" si="27"/>
        <v>20000000</v>
      </c>
      <c r="DG70" s="66"/>
      <c r="DH70" s="66">
        <f>'[1]Univ Comm Fund'!AE70</f>
        <v>552000000</v>
      </c>
      <c r="DI70" s="66">
        <f>'[1]UNIV 2019'!AE76</f>
        <v>469200000</v>
      </c>
      <c r="DJ70" s="66">
        <f t="shared" si="28"/>
        <v>82800000</v>
      </c>
      <c r="DK70" s="66"/>
      <c r="DL70" s="66">
        <f>'[1]Univ Comm Fund'!AF70</f>
        <v>20000000</v>
      </c>
      <c r="DM70" s="66">
        <f>'[1]UNIV 2019'!AF76</f>
        <v>0</v>
      </c>
      <c r="DN70" s="66">
        <f t="shared" si="29"/>
        <v>20000000</v>
      </c>
      <c r="DO70" s="66"/>
      <c r="DP70" s="66">
        <f>'[1]Univ Comm Fund'!AG70</f>
        <v>1000000000</v>
      </c>
      <c r="DQ70" s="66">
        <f>'[1]UNIV 2019'!AG76</f>
        <v>850000000</v>
      </c>
      <c r="DR70" s="66">
        <f t="shared" si="30"/>
        <v>150000000</v>
      </c>
      <c r="DS70" s="66"/>
      <c r="DT70" s="66">
        <f>'[1]Univ Comm Fund'!AH70</f>
        <v>100000000</v>
      </c>
      <c r="DU70" s="66">
        <f>'[1]UNIV 2019'!AH76</f>
        <v>0</v>
      </c>
      <c r="DV70" s="66">
        <f t="shared" si="31"/>
        <v>100000000</v>
      </c>
      <c r="DW70" s="66"/>
      <c r="DX70" s="66">
        <f>'[1]Univ Comm Fund'!AI70</f>
        <v>15000000</v>
      </c>
      <c r="DY70" s="66">
        <f>'[1]UNIV 2019'!AI76</f>
        <v>7500000</v>
      </c>
      <c r="DZ70" s="66">
        <f t="shared" si="32"/>
        <v>7500000</v>
      </c>
      <c r="EA70" s="66"/>
      <c r="EB70" s="66">
        <f>'[1]Univ Comm Fund'!AJ70</f>
        <v>2000000</v>
      </c>
      <c r="EC70" s="66">
        <f>'[1]UNIV 2019'!AJ76</f>
        <v>0</v>
      </c>
      <c r="ED70" s="66">
        <f t="shared" si="33"/>
        <v>2000000</v>
      </c>
      <c r="EE70" s="66"/>
      <c r="EF70" s="66">
        <f>'[1]Univ Comm Fund'!AK70</f>
        <v>10000000</v>
      </c>
      <c r="EG70" s="66">
        <f>'[1]UNIV 2019'!AK76</f>
        <v>0</v>
      </c>
      <c r="EH70" s="66">
        <f t="shared" si="34"/>
        <v>10000000</v>
      </c>
      <c r="EI70" s="66"/>
      <c r="EJ70" s="66">
        <f>'[1]Univ Comm Fund'!AL70</f>
        <v>25000000</v>
      </c>
      <c r="EK70" s="66">
        <f>'[1]UNIV 2019'!AL76</f>
        <v>25000000</v>
      </c>
      <c r="EL70" s="66">
        <f t="shared" si="35"/>
        <v>0</v>
      </c>
      <c r="EM70" s="66"/>
      <c r="EN70" s="80">
        <f>'[1]Univ Comm Fund'!AM70</f>
        <v>565410000</v>
      </c>
      <c r="EO70" s="66">
        <f>'[1]UNIV 2019'!AM76</f>
        <v>0</v>
      </c>
      <c r="EP70" s="75">
        <f t="shared" si="36"/>
        <v>565410000</v>
      </c>
      <c r="EQ70" s="66"/>
      <c r="ER70" s="66">
        <f>'[1]Univ Comm Fund'!AN70</f>
        <v>15000000</v>
      </c>
      <c r="ES70" s="66">
        <f>'[1]UNIV 2019'!AN76</f>
        <v>7500000</v>
      </c>
      <c r="ET70" s="75">
        <f t="shared" si="37"/>
        <v>7500000</v>
      </c>
      <c r="EU70" s="66"/>
      <c r="EV70" s="66">
        <f>'[1]Univ Comm Fund'!AO70</f>
        <v>15000000</v>
      </c>
      <c r="EW70" s="66">
        <f>'[1]UNIV 2019'!AO76</f>
        <v>0</v>
      </c>
      <c r="EX70" s="75">
        <f t="shared" si="38"/>
        <v>15000000</v>
      </c>
      <c r="EY70" s="66"/>
      <c r="EZ70" s="66">
        <f>'[1]Univ Comm Fund'!AP70</f>
        <v>10000000</v>
      </c>
      <c r="FA70" s="66">
        <f>'[1]UNIV 2019'!AP76</f>
        <v>0</v>
      </c>
      <c r="FB70" s="75">
        <f t="shared" si="39"/>
        <v>10000000</v>
      </c>
      <c r="FC70" s="75"/>
      <c r="FD70" s="75">
        <f>'[1]Univ Comm Fund'!AQ70</f>
        <v>0</v>
      </c>
      <c r="FE70" s="75">
        <f>'[1]UNIV 2019'!AQ76</f>
        <v>0</v>
      </c>
      <c r="FF70" s="75">
        <f t="shared" si="40"/>
        <v>0</v>
      </c>
      <c r="FG70" s="75"/>
      <c r="FH70" s="75">
        <f>'[1]Univ Comm Fund'!AR70</f>
        <v>0</v>
      </c>
      <c r="FI70" s="75">
        <f>'[1]UNIV 2019'!AR76</f>
        <v>0</v>
      </c>
      <c r="FJ70" s="75">
        <f t="shared" si="41"/>
        <v>0</v>
      </c>
      <c r="FK70" s="75"/>
      <c r="FL70" s="75">
        <f>'[1]Univ Comm Fund'!AS70</f>
        <v>300000000</v>
      </c>
      <c r="FM70" s="75">
        <f>'[1]UNIV 2019'!AS76</f>
        <v>0</v>
      </c>
      <c r="FN70" s="75">
        <f t="shared" si="42"/>
        <v>300000000</v>
      </c>
      <c r="FO70" s="75"/>
      <c r="FP70" s="75">
        <f>'[1]Univ Comm Fund'!AT70</f>
        <v>120000000</v>
      </c>
      <c r="FQ70" s="75">
        <f>'[1]UNIV 2019'!AT76</f>
        <v>79200000</v>
      </c>
      <c r="FR70" s="75">
        <f t="shared" si="43"/>
        <v>40800000</v>
      </c>
      <c r="FS70" s="75"/>
      <c r="FT70" s="75">
        <f>'[1]Univ Comm Fund'!AU70</f>
        <v>10000000</v>
      </c>
      <c r="FU70" s="75">
        <f>'[1]UNIV 2019'!AU76</f>
        <v>0</v>
      </c>
      <c r="FV70" s="75">
        <f t="shared" si="44"/>
        <v>10000000</v>
      </c>
      <c r="FW70" s="75"/>
      <c r="FX70" s="75">
        <f>'[1]Univ Comm Fund'!AV70</f>
        <v>5000000</v>
      </c>
      <c r="FY70" s="75">
        <f>'[1]UNIV 2019'!AV76</f>
        <v>0</v>
      </c>
      <c r="FZ70" s="75">
        <f t="shared" si="45"/>
        <v>5000000</v>
      </c>
      <c r="GA70" s="75"/>
      <c r="GB70" s="75">
        <f>'[1]Univ Comm Fund'!AW70</f>
        <v>10000000</v>
      </c>
      <c r="GC70" s="75">
        <f>'[1]UNIV 2019'!AW76</f>
        <v>0</v>
      </c>
      <c r="GD70" s="75">
        <f t="shared" si="46"/>
        <v>10000000</v>
      </c>
      <c r="GE70" s="75"/>
      <c r="GF70" s="75">
        <f>'[1]Univ Comm Fund'!AX70</f>
        <v>0</v>
      </c>
      <c r="GG70" s="75">
        <f>'[1]UNIV 2019'!AX76</f>
        <v>0</v>
      </c>
      <c r="GH70" s="75">
        <f t="shared" si="47"/>
        <v>0</v>
      </c>
      <c r="GI70" s="75"/>
      <c r="GJ70" s="75">
        <f>'[1]Univ Comm Fund'!AY70</f>
        <v>350000000</v>
      </c>
      <c r="GK70" s="75">
        <f>'[1]UNIV 2019'!AY76</f>
        <v>0</v>
      </c>
      <c r="GL70" s="75">
        <f t="shared" si="48"/>
        <v>350000000</v>
      </c>
      <c r="GM70" s="75"/>
      <c r="GN70" s="75">
        <f>'[1]Univ Comm Fund'!AZ70</f>
        <v>175823700</v>
      </c>
      <c r="GO70" s="75">
        <f>'[1]UNIV 2019'!AZ76</f>
        <v>0</v>
      </c>
      <c r="GP70" s="75">
        <f t="shared" si="49"/>
        <v>175823700</v>
      </c>
      <c r="GQ70" s="75"/>
      <c r="GR70" s="75">
        <f>'[1]Univ Comm Fund'!BA70</f>
        <v>20000000</v>
      </c>
      <c r="GS70" s="75">
        <f>'[1]UNIV 2019'!BA76</f>
        <v>0</v>
      </c>
      <c r="GT70" s="75">
        <f t="shared" si="50"/>
        <v>20000000</v>
      </c>
      <c r="GU70" s="75"/>
      <c r="GV70" s="75">
        <f>'[1]Univ Comm Fund'!BB70</f>
        <v>5000000</v>
      </c>
      <c r="GW70" s="75">
        <f>'[1]UNIV 2019'!BB76</f>
        <v>0</v>
      </c>
      <c r="GX70" s="75">
        <f t="shared" si="51"/>
        <v>5000000</v>
      </c>
      <c r="GY70" s="75"/>
      <c r="GZ70" s="75">
        <f>'[1]Univ Comm Fund'!BC70</f>
        <v>10000000</v>
      </c>
      <c r="HA70" s="75">
        <f>'[1]UNIV 2019'!BD76</f>
        <v>0</v>
      </c>
      <c r="HB70" s="75">
        <f t="shared" si="52"/>
        <v>10000000</v>
      </c>
      <c r="HC70" s="75"/>
      <c r="HD70" s="75">
        <f>'[1]Univ Comm Fund'!BD70</f>
        <v>0</v>
      </c>
      <c r="HE70" s="75">
        <f>'[1]UNIV 2019'!BC76</f>
        <v>0</v>
      </c>
      <c r="HF70" s="75">
        <f t="shared" si="53"/>
        <v>0</v>
      </c>
      <c r="HG70" s="75"/>
      <c r="HH70" s="75">
        <f t="shared" si="54"/>
        <v>5123094254</v>
      </c>
      <c r="HI70" s="75">
        <f t="shared" si="54"/>
        <v>3184631241.8299999</v>
      </c>
      <c r="HJ70" s="82">
        <f t="shared" si="55"/>
        <v>1938463012.1700001</v>
      </c>
      <c r="HL70" s="83">
        <f t="shared" si="56"/>
        <v>3635270554</v>
      </c>
      <c r="HM70" s="83">
        <f t="shared" si="56"/>
        <v>2215431241.8299999</v>
      </c>
      <c r="HN70" s="84">
        <f t="shared" si="57"/>
        <v>1419839312.1700001</v>
      </c>
      <c r="HP70" s="83">
        <f t="shared" si="58"/>
        <v>1025000000</v>
      </c>
      <c r="HQ70" s="83">
        <f t="shared" si="58"/>
        <v>875000000</v>
      </c>
      <c r="HR70" s="84">
        <f t="shared" si="59"/>
        <v>150000000</v>
      </c>
      <c r="HT70" s="83">
        <f t="shared" si="60"/>
        <v>70000000</v>
      </c>
      <c r="HU70" s="83">
        <f t="shared" si="60"/>
        <v>0</v>
      </c>
      <c r="HV70" s="84">
        <f t="shared" si="61"/>
        <v>70000000</v>
      </c>
      <c r="HX70" s="83">
        <f t="shared" si="62"/>
        <v>60000000</v>
      </c>
      <c r="HY70" s="83">
        <f t="shared" si="62"/>
        <v>15000000</v>
      </c>
      <c r="HZ70" s="84">
        <f t="shared" si="63"/>
        <v>45000000</v>
      </c>
      <c r="IB70" s="83">
        <f t="shared" si="64"/>
        <v>35000000</v>
      </c>
      <c r="IC70" s="83">
        <f t="shared" si="64"/>
        <v>0</v>
      </c>
      <c r="ID70" s="84">
        <f t="shared" si="65"/>
        <v>35000000</v>
      </c>
      <c r="IF70" s="83">
        <f t="shared" ref="IF70:IG84" si="73">EB70</f>
        <v>2000000</v>
      </c>
      <c r="IG70" s="83">
        <f t="shared" si="73"/>
        <v>0</v>
      </c>
      <c r="IH70" s="84">
        <f t="shared" si="66"/>
        <v>2000000</v>
      </c>
      <c r="IJ70" s="84">
        <f t="shared" si="67"/>
        <v>295823700</v>
      </c>
      <c r="IK70" s="84">
        <f t="shared" si="67"/>
        <v>79200000</v>
      </c>
      <c r="IL70" s="84">
        <f t="shared" si="68"/>
        <v>216623700</v>
      </c>
    </row>
    <row r="71" spans="1:246" ht="15" customHeight="1" x14ac:dyDescent="0.25">
      <c r="A71" s="42">
        <v>65</v>
      </c>
      <c r="B71" s="91" t="s">
        <v>131</v>
      </c>
      <c r="C71" s="42" t="s">
        <v>74</v>
      </c>
      <c r="D71" s="66">
        <f>'[1]Univ Comm Fund'!D71</f>
        <v>0</v>
      </c>
      <c r="E71" s="66">
        <f>'[1]UNIV 2019'!D77</f>
        <v>0</v>
      </c>
      <c r="F71" s="75">
        <f t="shared" ref="F71:F83" si="74">D71-E71</f>
        <v>0</v>
      </c>
      <c r="G71" s="66"/>
      <c r="H71" s="66">
        <f>'[1]Univ Comm Fund'!E71</f>
        <v>0</v>
      </c>
      <c r="I71" s="66">
        <f>'[1]UNIV 2019'!E77</f>
        <v>0</v>
      </c>
      <c r="J71" s="66">
        <f t="shared" ref="J71:J83" si="75">H71-I71</f>
        <v>0</v>
      </c>
      <c r="K71" s="66"/>
      <c r="L71" s="66">
        <f>'[1]Univ Comm Fund'!F71</f>
        <v>0</v>
      </c>
      <c r="M71" s="66">
        <f>'[1]UNIV 2019'!F77</f>
        <v>0</v>
      </c>
      <c r="N71" s="66">
        <f t="shared" ref="N71:N83" si="76">L71-M71</f>
        <v>0</v>
      </c>
      <c r="O71" s="66"/>
      <c r="P71" s="66">
        <f>'[1]Univ Comm Fund'!G71</f>
        <v>0</v>
      </c>
      <c r="Q71" s="66">
        <f>'[1]UNIV 2019'!G77</f>
        <v>0</v>
      </c>
      <c r="R71" s="66">
        <f t="shared" ref="R71:R83" si="77">P71-Q71</f>
        <v>0</v>
      </c>
      <c r="S71" s="87"/>
      <c r="T71" s="66">
        <f>'[1]Univ Comm Fund'!H71</f>
        <v>0</v>
      </c>
      <c r="U71" s="66">
        <f>'[1]UNIV 2019'!H77</f>
        <v>0</v>
      </c>
      <c r="V71" s="66">
        <f t="shared" ref="V71:V83" si="78">T71-U71</f>
        <v>0</v>
      </c>
      <c r="W71" s="66"/>
      <c r="X71" s="66">
        <f>'[1]Univ Comm Fund'!I71</f>
        <v>0</v>
      </c>
      <c r="Y71" s="66">
        <f>'[1]UNIV 2019'!I77</f>
        <v>0</v>
      </c>
      <c r="Z71" s="66">
        <f t="shared" ref="Z71:Z83" si="79">X71-Y71</f>
        <v>0</v>
      </c>
      <c r="AA71" s="66"/>
      <c r="AB71" s="66">
        <f>'[1]Univ Comm Fund'!J71</f>
        <v>0</v>
      </c>
      <c r="AC71" s="66">
        <f>'[1]UNIV 2019'!J77</f>
        <v>0</v>
      </c>
      <c r="AD71" s="66">
        <f t="shared" ref="AD71:AD83" si="80">AB71-AC71</f>
        <v>0</v>
      </c>
      <c r="AE71" s="66"/>
      <c r="AF71" s="66">
        <f>'[1]Univ Comm Fund'!K71</f>
        <v>0</v>
      </c>
      <c r="AG71" s="66">
        <f>'[1]UNIV 2019'!K77</f>
        <v>0</v>
      </c>
      <c r="AH71" s="66">
        <f t="shared" ref="AH71:AH83" si="81">AF71-AG71</f>
        <v>0</v>
      </c>
      <c r="AI71" s="66"/>
      <c r="AJ71" s="66">
        <f>'[1]Univ Comm Fund'!L71</f>
        <v>0</v>
      </c>
      <c r="AK71" s="66">
        <f>'[1]UNIV 2019'!L77</f>
        <v>0</v>
      </c>
      <c r="AL71" s="66">
        <f t="shared" ref="AL71:AL83" si="82">AJ71-AK71</f>
        <v>0</v>
      </c>
      <c r="AM71" s="66"/>
      <c r="AN71" s="66">
        <f>'[1]Univ Comm Fund'!M71</f>
        <v>0</v>
      </c>
      <c r="AO71" s="66">
        <f>'[1]UNIV 2019'!M77</f>
        <v>0</v>
      </c>
      <c r="AP71" s="66">
        <f t="shared" ref="AP71:AP83" si="83">AN71-AO71</f>
        <v>0</v>
      </c>
      <c r="AQ71" s="66"/>
      <c r="AR71" s="66">
        <f>'[1]Univ Comm Fund'!N71</f>
        <v>0</v>
      </c>
      <c r="AS71" s="66">
        <f>'[1]UNIV 2019'!N77</f>
        <v>0</v>
      </c>
      <c r="AT71" s="66">
        <f t="shared" ref="AT71:AT83" si="84">AR71-AS71</f>
        <v>0</v>
      </c>
      <c r="AU71" s="66"/>
      <c r="AV71" s="66">
        <f>'[1]Univ Comm Fund'!O71</f>
        <v>0</v>
      </c>
      <c r="AW71" s="66">
        <f>'[1]UNIV 2019'!O77</f>
        <v>0</v>
      </c>
      <c r="AX71" s="66">
        <f t="shared" ref="AX71:AX83" si="85">AV71-AW71</f>
        <v>0</v>
      </c>
      <c r="AY71" s="66"/>
      <c r="AZ71" s="66">
        <f>'[1]Univ Comm Fund'!P71</f>
        <v>0</v>
      </c>
      <c r="BA71" s="66">
        <f>'[1]UNIV 2019'!P77</f>
        <v>0</v>
      </c>
      <c r="BB71" s="66">
        <f t="shared" si="70"/>
        <v>0</v>
      </c>
      <c r="BC71" s="66"/>
      <c r="BD71" s="66">
        <f>'[1]Univ Comm Fund'!Q71</f>
        <v>0</v>
      </c>
      <c r="BE71" s="66">
        <f>'[1]UNIV 2019'!Q77</f>
        <v>0</v>
      </c>
      <c r="BF71" s="66">
        <f t="shared" si="71"/>
        <v>0</v>
      </c>
      <c r="BG71" s="66"/>
      <c r="BH71" s="66">
        <f>'[1]Univ Comm Fund'!R71</f>
        <v>0</v>
      </c>
      <c r="BI71" s="66">
        <f>'[1]UNIV 2019'!R77</f>
        <v>0</v>
      </c>
      <c r="BJ71" s="66">
        <f t="shared" ref="BJ71:BJ83" si="86">BH71-BI71</f>
        <v>0</v>
      </c>
      <c r="BK71" s="66"/>
      <c r="BL71" s="66">
        <f>'[1]Univ Comm Fund'!S71</f>
        <v>0</v>
      </c>
      <c r="BM71" s="66">
        <f>'[1]UNIV 2019'!S77</f>
        <v>0</v>
      </c>
      <c r="BN71" s="66">
        <f t="shared" ref="BN71:BN83" si="87">BL71-BM71</f>
        <v>0</v>
      </c>
      <c r="BO71" s="66"/>
      <c r="BP71" s="66">
        <f>'[1]Univ Comm Fund'!T71</f>
        <v>0</v>
      </c>
      <c r="BQ71" s="66">
        <f>'[1]UNIV 2019'!T77</f>
        <v>0</v>
      </c>
      <c r="BR71" s="66">
        <f t="shared" ref="BR71:BR83" si="88">BP71-BQ71</f>
        <v>0</v>
      </c>
      <c r="BS71" s="66"/>
      <c r="BT71" s="66">
        <f>'[1]Univ Comm Fund'!U71</f>
        <v>0</v>
      </c>
      <c r="BU71" s="66">
        <f>'[1]UNIV 2019'!U77</f>
        <v>0</v>
      </c>
      <c r="BV71" s="66">
        <f t="shared" si="72"/>
        <v>0</v>
      </c>
      <c r="BW71" s="66"/>
      <c r="BX71" s="66">
        <f>'[1]Univ Comm Fund'!V71</f>
        <v>0</v>
      </c>
      <c r="BY71" s="66">
        <f>'[1]UNIV 2019'!V77</f>
        <v>0</v>
      </c>
      <c r="BZ71" s="66">
        <f t="shared" ref="BZ71:BZ83" si="89">BX71-BY71</f>
        <v>0</v>
      </c>
      <c r="CA71" s="66"/>
      <c r="CB71" s="66">
        <f>'[1]Univ Comm Fund'!W71</f>
        <v>1411860554</v>
      </c>
      <c r="CC71" s="66">
        <f>'[1]UNIV 2019'!W77</f>
        <v>1361835259.2700002</v>
      </c>
      <c r="CD71" s="66">
        <f t="shared" ref="CD71:CD83" si="90">CB71-CC71</f>
        <v>50025294.729999781</v>
      </c>
      <c r="CE71" s="66"/>
      <c r="CF71" s="66">
        <v>0</v>
      </c>
      <c r="CG71" s="66">
        <f>'[1]UNIV 2019'!X77</f>
        <v>0</v>
      </c>
      <c r="CH71" s="75">
        <f t="shared" ref="CH71:CH83" si="91">CF71-CG71</f>
        <v>0</v>
      </c>
      <c r="CI71" s="66"/>
      <c r="CJ71" s="90">
        <f>'[1]Univ Comm Fund'!Y71</f>
        <v>0</v>
      </c>
      <c r="CK71" s="90">
        <f>'[1]UNIV 2019'!Y77</f>
        <v>0</v>
      </c>
      <c r="CL71" s="90">
        <f t="shared" ref="CL71:CL83" si="92">CJ71-CK71</f>
        <v>0</v>
      </c>
      <c r="CM71" s="66"/>
      <c r="CN71" s="66">
        <f>'[1]Univ Comm Fund'!Z71</f>
        <v>0</v>
      </c>
      <c r="CO71" s="66">
        <f>'[1]UNIV 2019'!Z77</f>
        <v>0</v>
      </c>
      <c r="CP71" s="66">
        <f t="shared" ref="CP71:CP81" si="93">CN71-CO71</f>
        <v>0</v>
      </c>
      <c r="CQ71" s="66"/>
      <c r="CR71" s="66">
        <f>'[1]Univ Comm Fund'!AA71</f>
        <v>0</v>
      </c>
      <c r="CS71" s="66">
        <f>'[1]UNIV 2019'!AA77</f>
        <v>0</v>
      </c>
      <c r="CT71" s="75">
        <f t="shared" ref="CT71:CT84" si="94">CR71-CS71</f>
        <v>0</v>
      </c>
      <c r="CU71" s="66"/>
      <c r="CV71" s="66">
        <f>'[1]Univ Comm Fund'!AB71</f>
        <v>150000000</v>
      </c>
      <c r="CW71" s="66">
        <f>'[1]UNIV 2019'!AB77</f>
        <v>135000000</v>
      </c>
      <c r="CX71" s="75">
        <f t="shared" ref="CX71:CX83" si="95">CV71-CW71</f>
        <v>15000000</v>
      </c>
      <c r="CY71" s="66"/>
      <c r="CZ71" s="66">
        <f>'[1]Univ Comm Fund'!AC71</f>
        <v>356000000</v>
      </c>
      <c r="DA71" s="66">
        <f>'[1]UNIV 2019'!AC77</f>
        <v>356000000</v>
      </c>
      <c r="DB71" s="66">
        <f t="shared" ref="DB71:DB83" si="96">CZ71-DA71</f>
        <v>0</v>
      </c>
      <c r="DC71" s="66"/>
      <c r="DD71" s="66">
        <f>'[1]Univ Comm Fund'!AD71</f>
        <v>20000000</v>
      </c>
      <c r="DE71" s="66">
        <f>'[1]UNIV 2019'!AD77</f>
        <v>0</v>
      </c>
      <c r="DF71" s="66">
        <f t="shared" ref="DF71:DF83" si="97">DD71-DE71</f>
        <v>20000000</v>
      </c>
      <c r="DG71" s="66"/>
      <c r="DH71" s="66">
        <f>'[1]Univ Comm Fund'!AE71</f>
        <v>552000000</v>
      </c>
      <c r="DI71" s="66">
        <f>'[1]UNIV 2019'!AE77</f>
        <v>469200000</v>
      </c>
      <c r="DJ71" s="66">
        <f t="shared" ref="DJ71:DJ83" si="98">DH71-DI71</f>
        <v>82800000</v>
      </c>
      <c r="DK71" s="66"/>
      <c r="DL71" s="66">
        <f>'[1]Univ Comm Fund'!AF71</f>
        <v>20000000</v>
      </c>
      <c r="DM71" s="66">
        <f>'[1]UNIV 2019'!AF77</f>
        <v>0</v>
      </c>
      <c r="DN71" s="66">
        <f t="shared" ref="DN71:DN83" si="99">DL71-DM71</f>
        <v>20000000</v>
      </c>
      <c r="DO71" s="66"/>
      <c r="DP71" s="66">
        <f>'[1]Univ Comm Fund'!AG71</f>
        <v>500000000</v>
      </c>
      <c r="DQ71" s="66">
        <f>'[1]UNIV 2019'!AG77</f>
        <v>425000000</v>
      </c>
      <c r="DR71" s="66">
        <f t="shared" ref="DR71:DR83" si="100">DP71-DQ71</f>
        <v>75000000</v>
      </c>
      <c r="DS71" s="66"/>
      <c r="DT71" s="66">
        <f>'[1]Univ Comm Fund'!AH71</f>
        <v>100000000</v>
      </c>
      <c r="DU71" s="66">
        <f>'[1]UNIV 2019'!AH77</f>
        <v>85000000</v>
      </c>
      <c r="DV71" s="66">
        <f t="shared" ref="DV71:DV84" si="101">DT71-DU71</f>
        <v>15000000</v>
      </c>
      <c r="DW71" s="66"/>
      <c r="DX71" s="66">
        <f>'[1]Univ Comm Fund'!AI71</f>
        <v>15000000</v>
      </c>
      <c r="DY71" s="66">
        <f>'[1]UNIV 2019'!AI77</f>
        <v>0</v>
      </c>
      <c r="DZ71" s="66">
        <f t="shared" ref="DZ71:DZ84" si="102">DX71-DY71</f>
        <v>15000000</v>
      </c>
      <c r="EA71" s="66"/>
      <c r="EB71" s="66">
        <f>'[1]Univ Comm Fund'!AJ71</f>
        <v>2000000</v>
      </c>
      <c r="EC71" s="66">
        <f>'[1]UNIV 2019'!AJ77</f>
        <v>0</v>
      </c>
      <c r="ED71" s="66">
        <f t="shared" ref="ED71:ED84" si="103">EB71-EC71</f>
        <v>2000000</v>
      </c>
      <c r="EE71" s="66"/>
      <c r="EF71" s="66">
        <f>'[1]Univ Comm Fund'!AK71</f>
        <v>10000000</v>
      </c>
      <c r="EG71" s="66">
        <f>'[1]UNIV 2019'!AK77</f>
        <v>0</v>
      </c>
      <c r="EH71" s="66">
        <f t="shared" ref="EH71:EH82" si="104">EF71-EG71</f>
        <v>10000000</v>
      </c>
      <c r="EI71" s="66"/>
      <c r="EJ71" s="66">
        <f>'[1]Univ Comm Fund'!AL71</f>
        <v>1750000000</v>
      </c>
      <c r="EK71" s="66">
        <f>'[1]UNIV 2019'!AL77</f>
        <v>1525000000</v>
      </c>
      <c r="EL71" s="66">
        <f t="shared" ref="EL71:EL84" si="105">EJ71-EK71</f>
        <v>225000000</v>
      </c>
      <c r="EM71" s="66"/>
      <c r="EN71" s="80">
        <f>'[1]Univ Comm Fund'!AM71</f>
        <v>565410000</v>
      </c>
      <c r="EO71" s="66">
        <f>'[1]UNIV 2019'!AM77</f>
        <v>480598500</v>
      </c>
      <c r="EP71" s="75">
        <f t="shared" ref="EP71:EP84" si="106">EN71-EO71</f>
        <v>84811500</v>
      </c>
      <c r="EQ71" s="66"/>
      <c r="ER71" s="66">
        <f>'[1]Univ Comm Fund'!AN71</f>
        <v>15000000</v>
      </c>
      <c r="ES71" s="66">
        <f>'[1]UNIV 2019'!AN77</f>
        <v>0</v>
      </c>
      <c r="ET71" s="75">
        <f t="shared" ref="ET71:ET84" si="107">ER71-ES71</f>
        <v>15000000</v>
      </c>
      <c r="EU71" s="66"/>
      <c r="EV71" s="66">
        <f>'[1]Univ Comm Fund'!AO71</f>
        <v>15000000</v>
      </c>
      <c r="EW71" s="66">
        <f>'[1]UNIV 2019'!AO77</f>
        <v>0</v>
      </c>
      <c r="EX71" s="75">
        <f t="shared" ref="EX71:EX84" si="108">EV71-EW71</f>
        <v>15000000</v>
      </c>
      <c r="EY71" s="66"/>
      <c r="EZ71" s="66">
        <f>'[1]Univ Comm Fund'!AP71</f>
        <v>10000000</v>
      </c>
      <c r="FA71" s="66">
        <f>'[1]UNIV 2019'!AP77</f>
        <v>0</v>
      </c>
      <c r="FB71" s="75">
        <f t="shared" ref="FB71:FB84" si="109">EZ71-FA71</f>
        <v>10000000</v>
      </c>
      <c r="FC71" s="75"/>
      <c r="FD71" s="75">
        <f>'[1]Univ Comm Fund'!AQ71</f>
        <v>0</v>
      </c>
      <c r="FE71" s="75">
        <f>'[1]UNIV 2019'!AQ77</f>
        <v>0</v>
      </c>
      <c r="FF71" s="75">
        <f t="shared" ref="FF71:FF84" si="110">FD71-FE71</f>
        <v>0</v>
      </c>
      <c r="FG71" s="75"/>
      <c r="FH71" s="75">
        <f>'[1]Univ Comm Fund'!AR71</f>
        <v>0</v>
      </c>
      <c r="FI71" s="75">
        <f>'[1]UNIV 2019'!AR77</f>
        <v>0</v>
      </c>
      <c r="FJ71" s="75">
        <f t="shared" ref="FJ71:FJ84" si="111">FH71-FI71</f>
        <v>0</v>
      </c>
      <c r="FK71" s="75"/>
      <c r="FL71" s="75">
        <f>'[1]Univ Comm Fund'!AS71</f>
        <v>300000000</v>
      </c>
      <c r="FM71" s="75">
        <f>'[1]UNIV 2019'!AS77</f>
        <v>0</v>
      </c>
      <c r="FN71" s="75">
        <f t="shared" ref="FN71:FN84" si="112">FL71-FM71</f>
        <v>300000000</v>
      </c>
      <c r="FO71" s="75"/>
      <c r="FP71" s="75">
        <f>'[1]Univ Comm Fund'!AT71</f>
        <v>120000000</v>
      </c>
      <c r="FQ71" s="75">
        <f>'[1]UNIV 2019'!AT77</f>
        <v>92400000</v>
      </c>
      <c r="FR71" s="75">
        <f t="shared" ref="FR71:FR84" si="113">FP71-FQ71</f>
        <v>27600000</v>
      </c>
      <c r="FS71" s="75"/>
      <c r="FT71" s="75">
        <f>'[1]Univ Comm Fund'!AU71</f>
        <v>10000000</v>
      </c>
      <c r="FU71" s="75">
        <f>'[1]UNIV 2019'!AU77</f>
        <v>0</v>
      </c>
      <c r="FV71" s="75">
        <f t="shared" ref="FV71:FV84" si="114">FT71-FU71</f>
        <v>10000000</v>
      </c>
      <c r="FW71" s="75"/>
      <c r="FX71" s="75">
        <f>'[1]Univ Comm Fund'!AV71</f>
        <v>5000000</v>
      </c>
      <c r="FY71" s="75">
        <f>'[1]UNIV 2019'!AV77</f>
        <v>0</v>
      </c>
      <c r="FZ71" s="75">
        <f t="shared" ref="FZ71:FZ84" si="115">FX71-FY71</f>
        <v>5000000</v>
      </c>
      <c r="GA71" s="75"/>
      <c r="GB71" s="75">
        <f>'[1]Univ Comm Fund'!AW71</f>
        <v>10000000</v>
      </c>
      <c r="GC71" s="75">
        <f>'[1]UNIV 2019'!AW77</f>
        <v>0</v>
      </c>
      <c r="GD71" s="75">
        <f t="shared" ref="GD71:GD84" si="116">GB71-GC71</f>
        <v>10000000</v>
      </c>
      <c r="GE71" s="75"/>
      <c r="GF71" s="75">
        <f>'[1]Univ Comm Fund'!AX71</f>
        <v>0</v>
      </c>
      <c r="GG71" s="75">
        <f>'[1]UNIV 2019'!AX77</f>
        <v>0</v>
      </c>
      <c r="GH71" s="75">
        <f t="shared" ref="GH71:GH84" si="117">GF71-GG71</f>
        <v>0</v>
      </c>
      <c r="GI71" s="75"/>
      <c r="GJ71" s="75">
        <f>'[1]Univ Comm Fund'!AY71</f>
        <v>350000000</v>
      </c>
      <c r="GK71" s="75">
        <f>'[1]UNIV 2019'!AY77</f>
        <v>0</v>
      </c>
      <c r="GL71" s="75">
        <f t="shared" ref="GL71:GL85" si="118">GJ71-GK71</f>
        <v>350000000</v>
      </c>
      <c r="GM71" s="75"/>
      <c r="GN71" s="75">
        <f>'[1]Univ Comm Fund'!AZ71</f>
        <v>175823700</v>
      </c>
      <c r="GO71" s="75">
        <f>'[1]UNIV 2019'!AZ77</f>
        <v>0</v>
      </c>
      <c r="GP71" s="75">
        <f t="shared" ref="GP71:GP86" si="119">GN71-GO71</f>
        <v>175823700</v>
      </c>
      <c r="GQ71" s="75"/>
      <c r="GR71" s="75">
        <f>'[1]Univ Comm Fund'!BA71</f>
        <v>20000000</v>
      </c>
      <c r="GS71" s="75">
        <f>'[1]UNIV 2019'!BA77</f>
        <v>0</v>
      </c>
      <c r="GT71" s="75">
        <f t="shared" ref="GT71:GT86" si="120">GR71-GS71</f>
        <v>20000000</v>
      </c>
      <c r="GU71" s="75"/>
      <c r="GV71" s="75">
        <f>'[1]Univ Comm Fund'!BB71</f>
        <v>5000000</v>
      </c>
      <c r="GW71" s="75">
        <f>'[1]UNIV 2019'!BB77</f>
        <v>0</v>
      </c>
      <c r="GX71" s="75">
        <f t="shared" ref="GX71:GX85" si="121">GV71-GW71</f>
        <v>5000000</v>
      </c>
      <c r="GY71" s="75"/>
      <c r="GZ71" s="75">
        <f>'[1]Univ Comm Fund'!BC71</f>
        <v>10000000</v>
      </c>
      <c r="HA71" s="75">
        <f>'[1]UNIV 2019'!BD77</f>
        <v>0</v>
      </c>
      <c r="HB71" s="75">
        <f t="shared" ref="HB71:HB86" si="122">GZ71-HA71</f>
        <v>10000000</v>
      </c>
      <c r="HC71" s="75"/>
      <c r="HD71" s="75">
        <f>'[1]Univ Comm Fund'!BD71</f>
        <v>0</v>
      </c>
      <c r="HE71" s="75">
        <f>'[1]UNIV 2019'!BC77</f>
        <v>0</v>
      </c>
      <c r="HF71" s="75">
        <f t="shared" ref="HF71:HF85" si="123">HD71-HE71</f>
        <v>0</v>
      </c>
      <c r="HG71" s="75"/>
      <c r="HH71" s="75">
        <f t="shared" ref="HH71:HI85" si="124">D71+H71+L71+P71+T71+X71+AB71+AF71+AJ71+AN71+AR71+AV71+AZ71+BD71+BH71+BL71+BP71+BT71+BX71+CB71+CJ71+CR71+CN71+CV71+CZ71+DD71+DH71+DP71+CF71+DT71+DX71+EB71+EF71+DL71+EJ71+EN71+ER71+EV71+EZ71+FD71+FH71+FL71+FP71+FT71+FX71+GB71+GF71+GJ71+GN71+GR71+GV71+GZ71+HD71</f>
        <v>6498094254</v>
      </c>
      <c r="HI71" s="75">
        <f t="shared" si="124"/>
        <v>4930033759.2700005</v>
      </c>
      <c r="HJ71" s="82">
        <f t="shared" ref="HJ71:HJ86" si="125">HH71-HI71</f>
        <v>1568060494.7299995</v>
      </c>
      <c r="HL71" s="83">
        <f t="shared" ref="HL71:HM85" si="126">D71+H71+L71+T71+AB71+AF71+AN71+AV71+BD71+BH71+BL71+BT71+CB71+CN71+CZ71+DH71+DT71+EN71+FL71+GJ71</f>
        <v>3635270554</v>
      </c>
      <c r="HM71" s="83">
        <f t="shared" si="126"/>
        <v>2752633759.2700005</v>
      </c>
      <c r="HN71" s="84">
        <f t="shared" ref="HN71:HN85" si="127">HL71-HM71</f>
        <v>882636794.72999954</v>
      </c>
      <c r="HP71" s="83">
        <f t="shared" ref="HP71:HQ85" si="128">AZ71+BP71+BX71+
CJ71+CR71+CV71+DP71+EJ71+FD71+GF71+HD71</f>
        <v>2400000000</v>
      </c>
      <c r="HQ71" s="83">
        <f t="shared" si="128"/>
        <v>2085000000</v>
      </c>
      <c r="HR71" s="84">
        <f t="shared" ref="HR71:HR85" si="129">HP71-HQ71</f>
        <v>315000000</v>
      </c>
      <c r="HT71" s="83">
        <f t="shared" ref="HT71:HU85" si="130">CF71+DD71+DL71+EF71+EZ71+FX71+GV71</f>
        <v>70000000</v>
      </c>
      <c r="HU71" s="83">
        <f t="shared" si="130"/>
        <v>0</v>
      </c>
      <c r="HV71" s="84">
        <f t="shared" ref="HV71:HV85" si="131">HT71-HU71</f>
        <v>70000000</v>
      </c>
      <c r="HX71" s="83">
        <f t="shared" ref="HX71:HY85" si="132">DX71+ER71+FT71+GR71</f>
        <v>60000000</v>
      </c>
      <c r="HY71" s="83">
        <f t="shared" si="132"/>
        <v>0</v>
      </c>
      <c r="HZ71" s="84">
        <f t="shared" ref="HZ71:HZ85" si="133">HX71-HY71</f>
        <v>60000000</v>
      </c>
      <c r="IB71" s="83">
        <f t="shared" ref="IB71:IC85" si="134">EV71+GB71+GZ71</f>
        <v>35000000</v>
      </c>
      <c r="IC71" s="83">
        <f t="shared" si="134"/>
        <v>0</v>
      </c>
      <c r="ID71" s="84">
        <f t="shared" ref="ID71:ID85" si="135">IB71-IC71</f>
        <v>35000000</v>
      </c>
      <c r="IF71" s="83">
        <f t="shared" si="73"/>
        <v>2000000</v>
      </c>
      <c r="IG71" s="83">
        <f t="shared" si="73"/>
        <v>0</v>
      </c>
      <c r="IH71" s="84">
        <f t="shared" ref="IH71:IH84" si="136">IF71-IG71</f>
        <v>2000000</v>
      </c>
      <c r="IJ71" s="84">
        <f t="shared" ref="IJ71:IK85" si="137">FH71+FP71+GN71</f>
        <v>295823700</v>
      </c>
      <c r="IK71" s="84">
        <f t="shared" si="137"/>
        <v>92400000</v>
      </c>
      <c r="IL71" s="84">
        <f t="shared" ref="IL71:IL85" si="138">IJ71-IK71</f>
        <v>203423700</v>
      </c>
    </row>
    <row r="72" spans="1:246" ht="15" customHeight="1" x14ac:dyDescent="0.25">
      <c r="A72" s="119">
        <v>66</v>
      </c>
      <c r="B72" s="91" t="s">
        <v>132</v>
      </c>
      <c r="C72" s="42" t="s">
        <v>74</v>
      </c>
      <c r="D72" s="66">
        <f>'[1]Univ Comm Fund'!D72</f>
        <v>0</v>
      </c>
      <c r="E72" s="66">
        <f>'[1]UNIV 2019'!D78</f>
        <v>0</v>
      </c>
      <c r="F72" s="75">
        <f t="shared" si="74"/>
        <v>0</v>
      </c>
      <c r="G72" s="66"/>
      <c r="H72" s="66">
        <f>'[1]Univ Comm Fund'!E72</f>
        <v>0</v>
      </c>
      <c r="I72" s="66">
        <f>'[1]UNIV 2019'!E78</f>
        <v>0</v>
      </c>
      <c r="J72" s="66">
        <f t="shared" si="75"/>
        <v>0</v>
      </c>
      <c r="K72" s="66"/>
      <c r="L72" s="66">
        <f>'[1]Univ Comm Fund'!F72</f>
        <v>0</v>
      </c>
      <c r="M72" s="66">
        <f>'[1]UNIV 2019'!F78</f>
        <v>0</v>
      </c>
      <c r="N72" s="66">
        <f t="shared" si="76"/>
        <v>0</v>
      </c>
      <c r="O72" s="66"/>
      <c r="P72" s="66">
        <f>'[1]Univ Comm Fund'!G72</f>
        <v>0</v>
      </c>
      <c r="Q72" s="66">
        <f>'[1]UNIV 2019'!G78</f>
        <v>0</v>
      </c>
      <c r="R72" s="66">
        <f t="shared" si="77"/>
        <v>0</v>
      </c>
      <c r="S72" s="87"/>
      <c r="T72" s="66">
        <f>'[1]Univ Comm Fund'!H72</f>
        <v>0</v>
      </c>
      <c r="U72" s="66">
        <f>'[1]UNIV 2019'!H78</f>
        <v>0</v>
      </c>
      <c r="V72" s="66">
        <f t="shared" si="78"/>
        <v>0</v>
      </c>
      <c r="W72" s="66"/>
      <c r="X72" s="66">
        <f>'[1]Univ Comm Fund'!I72</f>
        <v>0</v>
      </c>
      <c r="Y72" s="66">
        <f>'[1]UNIV 2019'!I78</f>
        <v>0</v>
      </c>
      <c r="Z72" s="66">
        <f t="shared" si="79"/>
        <v>0</v>
      </c>
      <c r="AA72" s="66"/>
      <c r="AB72" s="66">
        <f>'[1]Univ Comm Fund'!J72</f>
        <v>0</v>
      </c>
      <c r="AC72" s="66">
        <f>'[1]UNIV 2019'!J78</f>
        <v>0</v>
      </c>
      <c r="AD72" s="66">
        <f t="shared" si="80"/>
        <v>0</v>
      </c>
      <c r="AE72" s="66"/>
      <c r="AF72" s="66">
        <f>'[1]Univ Comm Fund'!K72</f>
        <v>0</v>
      </c>
      <c r="AG72" s="66">
        <f>'[1]UNIV 2019'!K78</f>
        <v>0</v>
      </c>
      <c r="AH72" s="66">
        <f t="shared" si="81"/>
        <v>0</v>
      </c>
      <c r="AI72" s="66"/>
      <c r="AJ72" s="66">
        <f>'[1]Univ Comm Fund'!L72</f>
        <v>0</v>
      </c>
      <c r="AK72" s="66">
        <f>'[1]UNIV 2019'!L78</f>
        <v>0</v>
      </c>
      <c r="AL72" s="66">
        <f t="shared" si="82"/>
        <v>0</v>
      </c>
      <c r="AM72" s="66"/>
      <c r="AN72" s="66">
        <f>'[1]Univ Comm Fund'!M72</f>
        <v>0</v>
      </c>
      <c r="AO72" s="66">
        <f>'[1]UNIV 2019'!M78</f>
        <v>0</v>
      </c>
      <c r="AP72" s="66">
        <f t="shared" si="83"/>
        <v>0</v>
      </c>
      <c r="AQ72" s="66"/>
      <c r="AR72" s="66">
        <f>'[1]Univ Comm Fund'!N72</f>
        <v>0</v>
      </c>
      <c r="AS72" s="66">
        <f>'[1]UNIV 2019'!N78</f>
        <v>0</v>
      </c>
      <c r="AT72" s="66">
        <f t="shared" si="84"/>
        <v>0</v>
      </c>
      <c r="AU72" s="66"/>
      <c r="AV72" s="66">
        <f>'[1]Univ Comm Fund'!O72</f>
        <v>0</v>
      </c>
      <c r="AW72" s="66">
        <f>'[1]UNIV 2019'!O78</f>
        <v>0</v>
      </c>
      <c r="AX72" s="66">
        <f t="shared" si="85"/>
        <v>0</v>
      </c>
      <c r="AY72" s="66"/>
      <c r="AZ72" s="66">
        <f>'[1]Univ Comm Fund'!P72</f>
        <v>0</v>
      </c>
      <c r="BA72" s="66">
        <f>'[1]UNIV 2019'!P78</f>
        <v>0</v>
      </c>
      <c r="BB72" s="66">
        <f t="shared" si="70"/>
        <v>0</v>
      </c>
      <c r="BC72" s="66"/>
      <c r="BD72" s="66">
        <f>'[1]Univ Comm Fund'!Q72</f>
        <v>0</v>
      </c>
      <c r="BE72" s="66">
        <f>'[1]UNIV 2019'!Q78</f>
        <v>0</v>
      </c>
      <c r="BF72" s="66">
        <f t="shared" si="71"/>
        <v>0</v>
      </c>
      <c r="BG72" s="66"/>
      <c r="BH72" s="66">
        <f>'[1]Univ Comm Fund'!R72</f>
        <v>0</v>
      </c>
      <c r="BI72" s="66">
        <f>'[1]UNIV 2019'!R78</f>
        <v>0</v>
      </c>
      <c r="BJ72" s="66">
        <f t="shared" si="86"/>
        <v>0</v>
      </c>
      <c r="BK72" s="66"/>
      <c r="BL72" s="66">
        <f>'[1]Univ Comm Fund'!S72</f>
        <v>0</v>
      </c>
      <c r="BM72" s="66">
        <f>'[1]UNIV 2019'!S78</f>
        <v>0</v>
      </c>
      <c r="BN72" s="66">
        <f t="shared" si="87"/>
        <v>0</v>
      </c>
      <c r="BO72" s="66"/>
      <c r="BP72" s="66">
        <f>'[1]Univ Comm Fund'!T72</f>
        <v>0</v>
      </c>
      <c r="BQ72" s="66">
        <f>'[1]UNIV 2019'!T78</f>
        <v>0</v>
      </c>
      <c r="BR72" s="66">
        <f t="shared" si="88"/>
        <v>0</v>
      </c>
      <c r="BS72" s="66"/>
      <c r="BT72" s="66">
        <f>'[1]Univ Comm Fund'!U72</f>
        <v>0</v>
      </c>
      <c r="BU72" s="66">
        <f>'[1]UNIV 2019'!U78</f>
        <v>0</v>
      </c>
      <c r="BV72" s="66">
        <f t="shared" si="72"/>
        <v>0</v>
      </c>
      <c r="BW72" s="66"/>
      <c r="BX72" s="66">
        <f>'[1]Univ Comm Fund'!V72</f>
        <v>0</v>
      </c>
      <c r="BY72" s="66">
        <f>'[1]UNIV 2019'!V78</f>
        <v>0</v>
      </c>
      <c r="BZ72" s="66">
        <f t="shared" si="89"/>
        <v>0</v>
      </c>
      <c r="CA72" s="66"/>
      <c r="CB72" s="66">
        <f>'[1]Univ Comm Fund'!W72</f>
        <v>1411860554</v>
      </c>
      <c r="CC72" s="66">
        <f>'[1]UNIV 2019'!W78</f>
        <v>1411860553.8</v>
      </c>
      <c r="CD72" s="66">
        <f t="shared" si="90"/>
        <v>0.20000004768371582</v>
      </c>
      <c r="CE72" s="66"/>
      <c r="CF72" s="66">
        <v>0</v>
      </c>
      <c r="CG72" s="66">
        <f>'[1]UNIV 2019'!X78</f>
        <v>0</v>
      </c>
      <c r="CH72" s="75">
        <f t="shared" si="91"/>
        <v>0</v>
      </c>
      <c r="CI72" s="66"/>
      <c r="CJ72" s="90">
        <f>'[1]Univ Comm Fund'!Y72</f>
        <v>0</v>
      </c>
      <c r="CK72" s="90">
        <f>'[1]UNIV 2019'!Y78</f>
        <v>0</v>
      </c>
      <c r="CL72" s="90">
        <f t="shared" si="92"/>
        <v>0</v>
      </c>
      <c r="CM72" s="66"/>
      <c r="CN72" s="66">
        <f>'[1]Univ Comm Fund'!Z72</f>
        <v>0</v>
      </c>
      <c r="CO72" s="66">
        <f>'[1]UNIV 2019'!Z78</f>
        <v>0</v>
      </c>
      <c r="CP72" s="66">
        <f t="shared" si="93"/>
        <v>0</v>
      </c>
      <c r="CQ72" s="66"/>
      <c r="CR72" s="66">
        <f>'[1]Univ Comm Fund'!AA72</f>
        <v>30000000</v>
      </c>
      <c r="CS72" s="66">
        <f>'[1]UNIV 2019'!AA78</f>
        <v>30000000</v>
      </c>
      <c r="CT72" s="75">
        <f t="shared" si="94"/>
        <v>0</v>
      </c>
      <c r="CU72" s="66"/>
      <c r="CV72" s="66">
        <f>'[1]Univ Comm Fund'!AB72</f>
        <v>100000000</v>
      </c>
      <c r="CW72" s="66">
        <f>'[1]UNIV 2019'!AB78</f>
        <v>100000000</v>
      </c>
      <c r="CX72" s="75">
        <f t="shared" si="95"/>
        <v>0</v>
      </c>
      <c r="CY72" s="66"/>
      <c r="CZ72" s="66">
        <f>'[1]Univ Comm Fund'!AC72</f>
        <v>356000000</v>
      </c>
      <c r="DA72" s="66">
        <f>'[1]UNIV 2019'!AC78</f>
        <v>356000000</v>
      </c>
      <c r="DB72" s="66">
        <f t="shared" si="96"/>
        <v>0</v>
      </c>
      <c r="DC72" s="66"/>
      <c r="DD72" s="66">
        <f>'[1]Univ Comm Fund'!AD72</f>
        <v>20000000</v>
      </c>
      <c r="DE72" s="66">
        <f>'[1]UNIV 2019'!AD78</f>
        <v>20000000</v>
      </c>
      <c r="DF72" s="66">
        <f t="shared" si="97"/>
        <v>0</v>
      </c>
      <c r="DG72" s="66"/>
      <c r="DH72" s="66">
        <f>'[1]Univ Comm Fund'!AE72</f>
        <v>552000000</v>
      </c>
      <c r="DI72" s="66">
        <f>'[1]UNIV 2019'!AE78</f>
        <v>469200000</v>
      </c>
      <c r="DJ72" s="66">
        <f t="shared" si="98"/>
        <v>82800000</v>
      </c>
      <c r="DK72" s="66"/>
      <c r="DL72" s="66">
        <f>'[1]Univ Comm Fund'!AF72</f>
        <v>20000000</v>
      </c>
      <c r="DM72" s="66">
        <f>'[1]UNIV 2019'!AF78</f>
        <v>20000000</v>
      </c>
      <c r="DN72" s="66">
        <f t="shared" si="99"/>
        <v>0</v>
      </c>
      <c r="DO72" s="66"/>
      <c r="DP72" s="66">
        <f>'[1]Univ Comm Fund'!AG72</f>
        <v>205000000</v>
      </c>
      <c r="DQ72" s="66">
        <f>'[1]UNIV 2019'!AG78</f>
        <v>205000000</v>
      </c>
      <c r="DR72" s="108">
        <f t="shared" si="100"/>
        <v>0</v>
      </c>
      <c r="DS72" s="108"/>
      <c r="DT72" s="66">
        <f>'[1]Univ Comm Fund'!AH72</f>
        <v>100000000</v>
      </c>
      <c r="DU72" s="108">
        <f>'[1]UNIV 2019'!AH78</f>
        <v>58000000</v>
      </c>
      <c r="DV72" s="66">
        <f t="shared" si="101"/>
        <v>42000000</v>
      </c>
      <c r="DW72" s="108"/>
      <c r="DX72" s="66">
        <f>'[1]Univ Comm Fund'!AI72</f>
        <v>15000000</v>
      </c>
      <c r="DY72" s="108">
        <f>'[1]UNIV 2019'!AI78</f>
        <v>15000000</v>
      </c>
      <c r="DZ72" s="66">
        <f t="shared" si="102"/>
        <v>0</v>
      </c>
      <c r="EA72" s="108"/>
      <c r="EB72" s="66">
        <f>'[1]Univ Comm Fund'!AJ72</f>
        <v>2000000</v>
      </c>
      <c r="EC72" s="108">
        <f>'[1]UNIV 2019'!AJ78</f>
        <v>1700000</v>
      </c>
      <c r="ED72" s="66">
        <f t="shared" si="103"/>
        <v>300000</v>
      </c>
      <c r="EE72" s="108"/>
      <c r="EF72" s="66">
        <f>'[1]Univ Comm Fund'!AK72</f>
        <v>10000000</v>
      </c>
      <c r="EG72" s="108">
        <f>'[1]UNIV 2019'!AK78</f>
        <v>10000000</v>
      </c>
      <c r="EH72" s="66">
        <f t="shared" si="104"/>
        <v>0</v>
      </c>
      <c r="EI72" s="66"/>
      <c r="EJ72" s="66">
        <f>'[1]Univ Comm Fund'!AL72</f>
        <v>500000000</v>
      </c>
      <c r="EK72" s="66">
        <f>'[1]UNIV 2019'!AL78</f>
        <v>500000000</v>
      </c>
      <c r="EL72" s="66">
        <f t="shared" si="105"/>
        <v>0</v>
      </c>
      <c r="EM72" s="66"/>
      <c r="EN72" s="80">
        <f>'[1]Univ Comm Fund'!AM72</f>
        <v>565410000</v>
      </c>
      <c r="EO72" s="66">
        <f>'[1]UNIV 2019'!AM78</f>
        <v>327937800</v>
      </c>
      <c r="EP72" s="75">
        <f t="shared" si="106"/>
        <v>237472200</v>
      </c>
      <c r="EQ72" s="66"/>
      <c r="ER72" s="66">
        <f>'[1]Univ Comm Fund'!AN72</f>
        <v>15000000</v>
      </c>
      <c r="ES72" s="66">
        <f>'[1]UNIV 2019'!AN78</f>
        <v>15000000</v>
      </c>
      <c r="ET72" s="75">
        <f t="shared" si="107"/>
        <v>0</v>
      </c>
      <c r="EU72" s="66"/>
      <c r="EV72" s="66">
        <f>'[1]Univ Comm Fund'!AO72</f>
        <v>15000000</v>
      </c>
      <c r="EW72" s="66">
        <f>'[1]UNIV 2019'!AO78</f>
        <v>0</v>
      </c>
      <c r="EX72" s="75">
        <f t="shared" si="108"/>
        <v>15000000</v>
      </c>
      <c r="EY72" s="66"/>
      <c r="EZ72" s="66">
        <f>'[1]Univ Comm Fund'!AP72</f>
        <v>10000000</v>
      </c>
      <c r="FA72" s="66">
        <f>'[1]UNIV 2019'!AP78</f>
        <v>10000000</v>
      </c>
      <c r="FB72" s="75">
        <f t="shared" si="109"/>
        <v>0</v>
      </c>
      <c r="FC72" s="75"/>
      <c r="FD72" s="75">
        <f>'[1]Univ Comm Fund'!AQ72</f>
        <v>0</v>
      </c>
      <c r="FE72" s="75">
        <f>'[1]UNIV 2019'!AQ78</f>
        <v>0</v>
      </c>
      <c r="FF72" s="75">
        <f t="shared" si="110"/>
        <v>0</v>
      </c>
      <c r="FG72" s="75"/>
      <c r="FH72" s="75">
        <f>'[1]Univ Comm Fund'!AR72</f>
        <v>0</v>
      </c>
      <c r="FI72" s="75">
        <f>'[1]UNIV 2019'!AR78</f>
        <v>0</v>
      </c>
      <c r="FJ72" s="75">
        <f t="shared" si="111"/>
        <v>0</v>
      </c>
      <c r="FK72" s="75"/>
      <c r="FL72" s="75">
        <f>'[1]Univ Comm Fund'!AS72</f>
        <v>300000000</v>
      </c>
      <c r="FM72" s="75">
        <f>'[1]UNIV 2019'!AS78</f>
        <v>0</v>
      </c>
      <c r="FN72" s="75">
        <f t="shared" si="112"/>
        <v>300000000</v>
      </c>
      <c r="FO72" s="75"/>
      <c r="FP72" s="75">
        <f>'[1]Univ Comm Fund'!AT72</f>
        <v>120000000</v>
      </c>
      <c r="FQ72" s="75">
        <f>'[1]UNIV 2019'!AT78</f>
        <v>102000000</v>
      </c>
      <c r="FR72" s="75">
        <f t="shared" si="113"/>
        <v>18000000</v>
      </c>
      <c r="FS72" s="75"/>
      <c r="FT72" s="75">
        <f>'[1]Univ Comm Fund'!AU72</f>
        <v>10000000</v>
      </c>
      <c r="FU72" s="75">
        <f>'[1]UNIV 2019'!AU78</f>
        <v>0</v>
      </c>
      <c r="FV72" s="75">
        <f t="shared" si="114"/>
        <v>10000000</v>
      </c>
      <c r="FW72" s="75"/>
      <c r="FX72" s="75">
        <f>'[1]Univ Comm Fund'!AV72</f>
        <v>5000000</v>
      </c>
      <c r="FY72" s="75">
        <f>'[1]UNIV 2019'!AV78</f>
        <v>0</v>
      </c>
      <c r="FZ72" s="75">
        <f t="shared" si="115"/>
        <v>5000000</v>
      </c>
      <c r="GA72" s="75"/>
      <c r="GB72" s="75">
        <f>'[1]Univ Comm Fund'!AW72</f>
        <v>10000000</v>
      </c>
      <c r="GC72" s="75">
        <f>'[1]UNIV 2019'!AW78</f>
        <v>0</v>
      </c>
      <c r="GD72" s="75">
        <f t="shared" si="116"/>
        <v>10000000</v>
      </c>
      <c r="GE72" s="75"/>
      <c r="GF72" s="75">
        <f>'[1]Univ Comm Fund'!AX72</f>
        <v>0</v>
      </c>
      <c r="GG72" s="75">
        <f>'[1]UNIV 2019'!AX78</f>
        <v>0</v>
      </c>
      <c r="GH72" s="75">
        <f t="shared" si="117"/>
        <v>0</v>
      </c>
      <c r="GI72" s="75"/>
      <c r="GJ72" s="75">
        <f>'[1]Univ Comm Fund'!AY72</f>
        <v>350000000</v>
      </c>
      <c r="GK72" s="75">
        <f>'[1]UNIV 2019'!AY78</f>
        <v>0</v>
      </c>
      <c r="GL72" s="75">
        <f t="shared" si="118"/>
        <v>350000000</v>
      </c>
      <c r="GM72" s="75"/>
      <c r="GN72" s="75">
        <f>'[1]Univ Comm Fund'!AZ72</f>
        <v>175823700</v>
      </c>
      <c r="GO72" s="75">
        <f>'[1]UNIV 2019'!AZ78</f>
        <v>0</v>
      </c>
      <c r="GP72" s="75">
        <f t="shared" si="119"/>
        <v>175823700</v>
      </c>
      <c r="GQ72" s="75"/>
      <c r="GR72" s="75">
        <f>'[1]Univ Comm Fund'!BA72</f>
        <v>20000000</v>
      </c>
      <c r="GS72" s="75">
        <f>'[1]UNIV 2019'!BA78</f>
        <v>0</v>
      </c>
      <c r="GT72" s="75">
        <f t="shared" si="120"/>
        <v>20000000</v>
      </c>
      <c r="GU72" s="75"/>
      <c r="GV72" s="75">
        <f>'[1]Univ Comm Fund'!BB72</f>
        <v>5000000</v>
      </c>
      <c r="GW72" s="75">
        <f>'[1]UNIV 2019'!BB78</f>
        <v>0</v>
      </c>
      <c r="GX72" s="75">
        <f t="shared" si="121"/>
        <v>5000000</v>
      </c>
      <c r="GY72" s="75"/>
      <c r="GZ72" s="75">
        <f>'[1]Univ Comm Fund'!BC72</f>
        <v>10000000</v>
      </c>
      <c r="HA72" s="75">
        <f>'[1]UNIV 2019'!BD78</f>
        <v>0</v>
      </c>
      <c r="HB72" s="75">
        <f t="shared" si="122"/>
        <v>10000000</v>
      </c>
      <c r="HC72" s="75"/>
      <c r="HD72" s="75">
        <f>'[1]Univ Comm Fund'!BD72</f>
        <v>0</v>
      </c>
      <c r="HE72" s="75">
        <f>'[1]UNIV 2019'!BC78</f>
        <v>0</v>
      </c>
      <c r="HF72" s="75">
        <f t="shared" si="123"/>
        <v>0</v>
      </c>
      <c r="HG72" s="75"/>
      <c r="HH72" s="75">
        <f t="shared" si="124"/>
        <v>4933094254</v>
      </c>
      <c r="HI72" s="75">
        <f t="shared" si="124"/>
        <v>3651698353.8000002</v>
      </c>
      <c r="HJ72" s="82">
        <f t="shared" si="125"/>
        <v>1281395900.1999998</v>
      </c>
      <c r="HL72" s="83">
        <f t="shared" si="126"/>
        <v>3635270554</v>
      </c>
      <c r="HM72" s="83">
        <f t="shared" si="126"/>
        <v>2622998353.8000002</v>
      </c>
      <c r="HN72" s="84">
        <f t="shared" si="127"/>
        <v>1012272200.1999998</v>
      </c>
      <c r="HP72" s="83">
        <f t="shared" si="128"/>
        <v>835000000</v>
      </c>
      <c r="HQ72" s="83">
        <f t="shared" si="128"/>
        <v>835000000</v>
      </c>
      <c r="HR72" s="84">
        <f t="shared" si="129"/>
        <v>0</v>
      </c>
      <c r="HT72" s="83">
        <f t="shared" si="130"/>
        <v>70000000</v>
      </c>
      <c r="HU72" s="83">
        <f t="shared" si="130"/>
        <v>60000000</v>
      </c>
      <c r="HV72" s="84">
        <f t="shared" si="131"/>
        <v>10000000</v>
      </c>
      <c r="HX72" s="83">
        <f t="shared" si="132"/>
        <v>60000000</v>
      </c>
      <c r="HY72" s="83">
        <f t="shared" si="132"/>
        <v>30000000</v>
      </c>
      <c r="HZ72" s="84">
        <f t="shared" si="133"/>
        <v>30000000</v>
      </c>
      <c r="IB72" s="83">
        <f t="shared" si="134"/>
        <v>35000000</v>
      </c>
      <c r="IC72" s="83">
        <f t="shared" si="134"/>
        <v>0</v>
      </c>
      <c r="ID72" s="84">
        <f t="shared" si="135"/>
        <v>35000000</v>
      </c>
      <c r="IF72" s="83">
        <f t="shared" si="73"/>
        <v>2000000</v>
      </c>
      <c r="IG72" s="83">
        <f t="shared" si="73"/>
        <v>1700000</v>
      </c>
      <c r="IH72" s="84">
        <f t="shared" si="136"/>
        <v>300000</v>
      </c>
      <c r="IJ72" s="84">
        <f t="shared" si="137"/>
        <v>295823700</v>
      </c>
      <c r="IK72" s="84">
        <f t="shared" si="137"/>
        <v>102000000</v>
      </c>
      <c r="IL72" s="84">
        <f t="shared" si="138"/>
        <v>193823700</v>
      </c>
    </row>
    <row r="73" spans="1:246" ht="15" customHeight="1" x14ac:dyDescent="0.25">
      <c r="A73" s="42">
        <v>67</v>
      </c>
      <c r="B73" s="91" t="s">
        <v>133</v>
      </c>
      <c r="C73" s="42" t="s">
        <v>61</v>
      </c>
      <c r="D73" s="66">
        <f>'[1]Univ Comm Fund'!D73</f>
        <v>0</v>
      </c>
      <c r="E73" s="66">
        <f>'[1]UNIV 2019'!D79</f>
        <v>0</v>
      </c>
      <c r="F73" s="75">
        <f t="shared" si="74"/>
        <v>0</v>
      </c>
      <c r="G73" s="66"/>
      <c r="H73" s="66">
        <f>'[1]Univ Comm Fund'!E73</f>
        <v>0</v>
      </c>
      <c r="I73" s="66">
        <f>'[1]UNIV 2019'!E79</f>
        <v>0</v>
      </c>
      <c r="J73" s="66">
        <f t="shared" si="75"/>
        <v>0</v>
      </c>
      <c r="K73" s="66"/>
      <c r="L73" s="66">
        <f>'[1]Univ Comm Fund'!F73</f>
        <v>0</v>
      </c>
      <c r="M73" s="66">
        <f>'[1]UNIV 2019'!F79</f>
        <v>0</v>
      </c>
      <c r="N73" s="66">
        <f t="shared" si="76"/>
        <v>0</v>
      </c>
      <c r="O73" s="66"/>
      <c r="P73" s="66">
        <f>'[1]Univ Comm Fund'!G73</f>
        <v>0</v>
      </c>
      <c r="Q73" s="66">
        <f>'[1]UNIV 2019'!G79</f>
        <v>0</v>
      </c>
      <c r="R73" s="66">
        <f t="shared" si="77"/>
        <v>0</v>
      </c>
      <c r="S73" s="87"/>
      <c r="T73" s="66">
        <f>'[1]Univ Comm Fund'!H73</f>
        <v>0</v>
      </c>
      <c r="U73" s="66">
        <f>'[1]UNIV 2019'!H79</f>
        <v>0</v>
      </c>
      <c r="V73" s="66">
        <f t="shared" si="78"/>
        <v>0</v>
      </c>
      <c r="W73" s="66"/>
      <c r="X73" s="66">
        <f>'[1]Univ Comm Fund'!I73</f>
        <v>0</v>
      </c>
      <c r="Y73" s="66">
        <f>'[1]UNIV 2019'!I79</f>
        <v>0</v>
      </c>
      <c r="Z73" s="66">
        <f t="shared" si="79"/>
        <v>0</v>
      </c>
      <c r="AA73" s="66"/>
      <c r="AB73" s="66">
        <f>'[1]Univ Comm Fund'!J73</f>
        <v>0</v>
      </c>
      <c r="AC73" s="66">
        <f>'[1]UNIV 2019'!J79</f>
        <v>0</v>
      </c>
      <c r="AD73" s="66">
        <f t="shared" si="80"/>
        <v>0</v>
      </c>
      <c r="AE73" s="66"/>
      <c r="AF73" s="66">
        <f>'[1]Univ Comm Fund'!K73</f>
        <v>0</v>
      </c>
      <c r="AG73" s="66">
        <f>'[1]UNIV 2019'!K79</f>
        <v>0</v>
      </c>
      <c r="AH73" s="66">
        <f t="shared" si="81"/>
        <v>0</v>
      </c>
      <c r="AI73" s="66"/>
      <c r="AJ73" s="66">
        <f>'[1]Univ Comm Fund'!L73</f>
        <v>0</v>
      </c>
      <c r="AK73" s="66">
        <f>'[1]UNIV 2019'!L79</f>
        <v>0</v>
      </c>
      <c r="AL73" s="66">
        <f t="shared" si="82"/>
        <v>0</v>
      </c>
      <c r="AM73" s="66"/>
      <c r="AN73" s="66">
        <f>'[1]Univ Comm Fund'!M73</f>
        <v>0</v>
      </c>
      <c r="AO73" s="66">
        <f>'[1]UNIV 2019'!M79</f>
        <v>0</v>
      </c>
      <c r="AP73" s="66">
        <f t="shared" si="83"/>
        <v>0</v>
      </c>
      <c r="AQ73" s="66"/>
      <c r="AR73" s="66">
        <f>'[1]Univ Comm Fund'!N73</f>
        <v>0</v>
      </c>
      <c r="AS73" s="66">
        <f>'[1]UNIV 2019'!N79</f>
        <v>0</v>
      </c>
      <c r="AT73" s="66">
        <f t="shared" si="84"/>
        <v>0</v>
      </c>
      <c r="AU73" s="66"/>
      <c r="AV73" s="66">
        <f>'[1]Univ Comm Fund'!O73</f>
        <v>0</v>
      </c>
      <c r="AW73" s="66">
        <f>'[1]UNIV 2019'!O79</f>
        <v>0</v>
      </c>
      <c r="AX73" s="66">
        <f t="shared" si="85"/>
        <v>0</v>
      </c>
      <c r="AY73" s="66"/>
      <c r="AZ73" s="66">
        <f>'[1]Univ Comm Fund'!P73</f>
        <v>0</v>
      </c>
      <c r="BA73" s="66">
        <f>'[1]UNIV 2019'!P79</f>
        <v>0</v>
      </c>
      <c r="BB73" s="66">
        <f t="shared" si="70"/>
        <v>0</v>
      </c>
      <c r="BC73" s="66"/>
      <c r="BD73" s="66">
        <f>'[1]Univ Comm Fund'!Q73</f>
        <v>0</v>
      </c>
      <c r="BE73" s="66">
        <f>'[1]UNIV 2019'!Q79</f>
        <v>0</v>
      </c>
      <c r="BF73" s="66">
        <f t="shared" si="71"/>
        <v>0</v>
      </c>
      <c r="BG73" s="66"/>
      <c r="BH73" s="66">
        <f>'[1]Univ Comm Fund'!R73</f>
        <v>0</v>
      </c>
      <c r="BI73" s="66">
        <f>'[1]UNIV 2019'!R79</f>
        <v>0</v>
      </c>
      <c r="BJ73" s="66">
        <f t="shared" si="86"/>
        <v>0</v>
      </c>
      <c r="BK73" s="66"/>
      <c r="BL73" s="66">
        <f>'[1]Univ Comm Fund'!S73</f>
        <v>0</v>
      </c>
      <c r="BM73" s="66">
        <f>'[1]UNIV 2019'!S79</f>
        <v>0</v>
      </c>
      <c r="BN73" s="66">
        <f t="shared" si="87"/>
        <v>0</v>
      </c>
      <c r="BO73" s="66"/>
      <c r="BP73" s="66">
        <f>'[1]Univ Comm Fund'!T73</f>
        <v>0</v>
      </c>
      <c r="BQ73" s="66">
        <f>'[1]UNIV 2019'!T79</f>
        <v>0</v>
      </c>
      <c r="BR73" s="66">
        <f t="shared" si="88"/>
        <v>0</v>
      </c>
      <c r="BS73" s="66"/>
      <c r="BT73" s="66">
        <f>'[1]Univ Comm Fund'!U73</f>
        <v>0</v>
      </c>
      <c r="BU73" s="66">
        <f>'[1]UNIV 2019'!U79</f>
        <v>0</v>
      </c>
      <c r="BV73" s="66">
        <f t="shared" si="72"/>
        <v>0</v>
      </c>
      <c r="BW73" s="66"/>
      <c r="BX73" s="66">
        <f>'[1]Univ Comm Fund'!V73</f>
        <v>0</v>
      </c>
      <c r="BY73" s="66">
        <f>'[1]UNIV 2019'!V79</f>
        <v>0</v>
      </c>
      <c r="BZ73" s="66">
        <f t="shared" si="89"/>
        <v>0</v>
      </c>
      <c r="CA73" s="66"/>
      <c r="CB73" s="66">
        <f>'[1]Univ Comm Fund'!W73</f>
        <v>1411860554</v>
      </c>
      <c r="CC73" s="66">
        <f>'[1]UNIV 2019'!W79</f>
        <v>1187061207.9400001</v>
      </c>
      <c r="CD73" s="66">
        <f t="shared" si="90"/>
        <v>224799346.05999994</v>
      </c>
      <c r="CE73" s="66"/>
      <c r="CF73" s="66">
        <v>0</v>
      </c>
      <c r="CG73" s="66">
        <f>'[1]UNIV 2019'!X79</f>
        <v>0</v>
      </c>
      <c r="CH73" s="75">
        <f t="shared" si="91"/>
        <v>0</v>
      </c>
      <c r="CI73" s="66"/>
      <c r="CJ73" s="90">
        <f>'[1]Univ Comm Fund'!Y73</f>
        <v>0</v>
      </c>
      <c r="CK73" s="90">
        <f>'[1]UNIV 2019'!Y79</f>
        <v>0</v>
      </c>
      <c r="CL73" s="90">
        <f t="shared" si="92"/>
        <v>0</v>
      </c>
      <c r="CM73" s="66"/>
      <c r="CN73" s="66">
        <f>'[1]Univ Comm Fund'!Z73</f>
        <v>0</v>
      </c>
      <c r="CO73" s="66">
        <f>'[1]UNIV 2019'!Z79</f>
        <v>0</v>
      </c>
      <c r="CP73" s="66">
        <f t="shared" si="93"/>
        <v>0</v>
      </c>
      <c r="CQ73" s="66"/>
      <c r="CR73" s="66">
        <f>'[1]Univ Comm Fund'!AA73</f>
        <v>0</v>
      </c>
      <c r="CS73" s="66">
        <f>'[1]UNIV 2019'!AA79</f>
        <v>0</v>
      </c>
      <c r="CT73" s="75">
        <f t="shared" si="94"/>
        <v>0</v>
      </c>
      <c r="CU73" s="66"/>
      <c r="CV73" s="66">
        <f>'[1]Univ Comm Fund'!AB73</f>
        <v>0</v>
      </c>
      <c r="CW73" s="66">
        <f>'[1]UNIV 2019'!AB79</f>
        <v>0</v>
      </c>
      <c r="CX73" s="75">
        <f t="shared" si="95"/>
        <v>0</v>
      </c>
      <c r="CY73" s="66"/>
      <c r="CZ73" s="66">
        <f>'[1]Univ Comm Fund'!AC73</f>
        <v>356000000</v>
      </c>
      <c r="DA73" s="66">
        <f>'[1]UNIV 2019'!AC79</f>
        <v>356000000</v>
      </c>
      <c r="DB73" s="66">
        <f t="shared" si="96"/>
        <v>0</v>
      </c>
      <c r="DC73" s="66"/>
      <c r="DD73" s="66">
        <f>'[1]Univ Comm Fund'!AD73</f>
        <v>20000000</v>
      </c>
      <c r="DE73" s="66">
        <f>'[1]UNIV 2019'!AD79</f>
        <v>11800000</v>
      </c>
      <c r="DF73" s="66">
        <f t="shared" si="97"/>
        <v>8200000</v>
      </c>
      <c r="DG73" s="66"/>
      <c r="DH73" s="66">
        <f>'[1]Univ Comm Fund'!AE73</f>
        <v>552000000</v>
      </c>
      <c r="DI73" s="66">
        <f>'[1]UNIV 2019'!AE79</f>
        <v>331200000</v>
      </c>
      <c r="DJ73" s="66">
        <f t="shared" si="98"/>
        <v>220800000</v>
      </c>
      <c r="DK73" s="66"/>
      <c r="DL73" s="66">
        <f>'[1]Univ Comm Fund'!AF73</f>
        <v>20000000</v>
      </c>
      <c r="DM73" s="66">
        <f>'[1]UNIV 2019'!AF79</f>
        <v>20000000</v>
      </c>
      <c r="DN73" s="66">
        <f t="shared" si="99"/>
        <v>0</v>
      </c>
      <c r="DO73" s="66"/>
      <c r="DP73" s="66">
        <f>'[1]Univ Comm Fund'!AG73</f>
        <v>250000000</v>
      </c>
      <c r="DQ73" s="66">
        <f>'[1]UNIV 2019'!AG79</f>
        <v>212500000</v>
      </c>
      <c r="DR73" s="66">
        <f t="shared" si="100"/>
        <v>37500000</v>
      </c>
      <c r="DS73" s="66"/>
      <c r="DT73" s="66">
        <f>'[1]Univ Comm Fund'!AH73</f>
        <v>100000000</v>
      </c>
      <c r="DU73" s="66">
        <f>'[1]UNIV 2019'!AH79</f>
        <v>60000000</v>
      </c>
      <c r="DV73" s="66">
        <f t="shared" si="101"/>
        <v>40000000</v>
      </c>
      <c r="DW73" s="66"/>
      <c r="DX73" s="66">
        <f>'[1]Univ Comm Fund'!AI73</f>
        <v>15000000</v>
      </c>
      <c r="DY73" s="66">
        <f>'[1]UNIV 2019'!AI79</f>
        <v>15000000</v>
      </c>
      <c r="DZ73" s="66">
        <f t="shared" si="102"/>
        <v>0</v>
      </c>
      <c r="EA73" s="66"/>
      <c r="EB73" s="66">
        <f>'[1]Univ Comm Fund'!AJ73</f>
        <v>2000000</v>
      </c>
      <c r="EC73" s="66">
        <f>'[1]UNIV 2019'!AJ79</f>
        <v>1700000</v>
      </c>
      <c r="ED73" s="66">
        <f t="shared" si="103"/>
        <v>300000</v>
      </c>
      <c r="EE73" s="66"/>
      <c r="EF73" s="66">
        <f>'[1]Univ Comm Fund'!AK73</f>
        <v>10000000</v>
      </c>
      <c r="EG73" s="66">
        <f>'[1]UNIV 2019'!AK79</f>
        <v>10000000</v>
      </c>
      <c r="EH73" s="66">
        <f t="shared" si="104"/>
        <v>0</v>
      </c>
      <c r="EI73" s="66"/>
      <c r="EJ73" s="66">
        <f>'[1]Univ Comm Fund'!AL73</f>
        <v>0</v>
      </c>
      <c r="EK73" s="66">
        <f>'[1]UNIV 2019'!AL79</f>
        <v>0</v>
      </c>
      <c r="EL73" s="66">
        <f t="shared" si="105"/>
        <v>0</v>
      </c>
      <c r="EM73" s="66"/>
      <c r="EN73" s="80">
        <f>'[1]Univ Comm Fund'!AM73</f>
        <v>565410000</v>
      </c>
      <c r="EO73" s="66">
        <f>'[1]UNIV 2019'!AM79</f>
        <v>339246000</v>
      </c>
      <c r="EP73" s="75">
        <f t="shared" si="106"/>
        <v>226164000</v>
      </c>
      <c r="EQ73" s="66"/>
      <c r="ER73" s="66">
        <f>'[1]Univ Comm Fund'!AN73</f>
        <v>15000000</v>
      </c>
      <c r="ES73" s="66">
        <f>'[1]UNIV 2019'!AN79</f>
        <v>15000000</v>
      </c>
      <c r="ET73" s="75">
        <f t="shared" si="107"/>
        <v>0</v>
      </c>
      <c r="EU73" s="66"/>
      <c r="EV73" s="66">
        <f>'[1]Univ Comm Fund'!AO73</f>
        <v>15000000</v>
      </c>
      <c r="EW73" s="66">
        <f>'[1]UNIV 2019'!AO79</f>
        <v>0</v>
      </c>
      <c r="EX73" s="75">
        <f t="shared" si="108"/>
        <v>15000000</v>
      </c>
      <c r="EY73" s="66"/>
      <c r="EZ73" s="66">
        <f>'[1]Univ Comm Fund'!AP73</f>
        <v>10000000</v>
      </c>
      <c r="FA73" s="66">
        <f>'[1]UNIV 2019'!AP79</f>
        <v>10000000</v>
      </c>
      <c r="FB73" s="75">
        <f t="shared" si="109"/>
        <v>0</v>
      </c>
      <c r="FC73" s="75"/>
      <c r="FD73" s="75">
        <f>'[1]Univ Comm Fund'!AQ73</f>
        <v>0</v>
      </c>
      <c r="FE73" s="75">
        <f>'[1]UNIV 2019'!AQ79</f>
        <v>0</v>
      </c>
      <c r="FF73" s="75">
        <f t="shared" si="110"/>
        <v>0</v>
      </c>
      <c r="FG73" s="75"/>
      <c r="FH73" s="75">
        <f>'[1]Univ Comm Fund'!AR73</f>
        <v>0</v>
      </c>
      <c r="FI73" s="75">
        <f>'[1]UNIV 2019'!AR79</f>
        <v>0</v>
      </c>
      <c r="FJ73" s="75">
        <f t="shared" si="111"/>
        <v>0</v>
      </c>
      <c r="FK73" s="75"/>
      <c r="FL73" s="75">
        <f>'[1]Univ Comm Fund'!AS73</f>
        <v>300000000</v>
      </c>
      <c r="FM73" s="75">
        <f>'[1]UNIV 2019'!AS79</f>
        <v>0</v>
      </c>
      <c r="FN73" s="75">
        <f t="shared" si="112"/>
        <v>300000000</v>
      </c>
      <c r="FO73" s="75"/>
      <c r="FP73" s="75">
        <f>'[1]Univ Comm Fund'!AT73</f>
        <v>120000000</v>
      </c>
      <c r="FQ73" s="75">
        <f>'[1]UNIV 2019'!AT79</f>
        <v>82800000</v>
      </c>
      <c r="FR73" s="75">
        <f t="shared" si="113"/>
        <v>37200000</v>
      </c>
      <c r="FS73" s="75"/>
      <c r="FT73" s="75">
        <f>'[1]Univ Comm Fund'!AU73</f>
        <v>10000000</v>
      </c>
      <c r="FU73" s="75">
        <f>'[1]UNIV 2019'!AU79</f>
        <v>0</v>
      </c>
      <c r="FV73" s="75">
        <f t="shared" si="114"/>
        <v>10000000</v>
      </c>
      <c r="FW73" s="75"/>
      <c r="FX73" s="75">
        <f>'[1]Univ Comm Fund'!AV73</f>
        <v>5000000</v>
      </c>
      <c r="FY73" s="75">
        <f>'[1]UNIV 2019'!AV79</f>
        <v>0</v>
      </c>
      <c r="FZ73" s="75">
        <f t="shared" si="115"/>
        <v>5000000</v>
      </c>
      <c r="GA73" s="75"/>
      <c r="GB73" s="75">
        <f>'[1]Univ Comm Fund'!AW73</f>
        <v>10000000</v>
      </c>
      <c r="GC73" s="75">
        <f>'[1]UNIV 2019'!AW79</f>
        <v>0</v>
      </c>
      <c r="GD73" s="75">
        <f t="shared" si="116"/>
        <v>10000000</v>
      </c>
      <c r="GE73" s="75"/>
      <c r="GF73" s="75">
        <f>'[1]Univ Comm Fund'!AX73</f>
        <v>0</v>
      </c>
      <c r="GG73" s="75">
        <f>'[1]UNIV 2019'!AX79</f>
        <v>0</v>
      </c>
      <c r="GH73" s="75">
        <f t="shared" si="117"/>
        <v>0</v>
      </c>
      <c r="GI73" s="75"/>
      <c r="GJ73" s="75">
        <f>'[1]Univ Comm Fund'!AY73</f>
        <v>350000000</v>
      </c>
      <c r="GK73" s="75">
        <f>'[1]UNIV 2019'!AY79</f>
        <v>0</v>
      </c>
      <c r="GL73" s="75">
        <f t="shared" si="118"/>
        <v>350000000</v>
      </c>
      <c r="GM73" s="75"/>
      <c r="GN73" s="75">
        <f>'[1]Univ Comm Fund'!AZ73</f>
        <v>175823700</v>
      </c>
      <c r="GO73" s="75">
        <f>'[1]UNIV 2019'!AZ79</f>
        <v>0</v>
      </c>
      <c r="GP73" s="75">
        <f t="shared" si="119"/>
        <v>175823700</v>
      </c>
      <c r="GQ73" s="75"/>
      <c r="GR73" s="75">
        <f>'[1]Univ Comm Fund'!BA73</f>
        <v>20000000</v>
      </c>
      <c r="GS73" s="75">
        <f>'[1]UNIV 2019'!BA79</f>
        <v>0</v>
      </c>
      <c r="GT73" s="75">
        <f t="shared" si="120"/>
        <v>20000000</v>
      </c>
      <c r="GU73" s="75"/>
      <c r="GV73" s="75">
        <f>'[1]Univ Comm Fund'!BB73</f>
        <v>5000000</v>
      </c>
      <c r="GW73" s="75">
        <f>'[1]UNIV 2019'!BB79</f>
        <v>0</v>
      </c>
      <c r="GX73" s="75">
        <f t="shared" si="121"/>
        <v>5000000</v>
      </c>
      <c r="GY73" s="75"/>
      <c r="GZ73" s="75">
        <f>'[1]Univ Comm Fund'!BC73</f>
        <v>10000000</v>
      </c>
      <c r="HA73" s="75">
        <f>'[1]UNIV 2019'!BD79</f>
        <v>0</v>
      </c>
      <c r="HB73" s="75">
        <f t="shared" si="122"/>
        <v>10000000</v>
      </c>
      <c r="HC73" s="75"/>
      <c r="HD73" s="75">
        <f>'[1]Univ Comm Fund'!BD73</f>
        <v>0</v>
      </c>
      <c r="HE73" s="75">
        <f>'[1]UNIV 2019'!BC79</f>
        <v>0</v>
      </c>
      <c r="HF73" s="75">
        <f t="shared" si="123"/>
        <v>0</v>
      </c>
      <c r="HG73" s="75"/>
      <c r="HH73" s="75">
        <f t="shared" si="124"/>
        <v>4348094254</v>
      </c>
      <c r="HI73" s="75">
        <f t="shared" si="124"/>
        <v>2652307207.9400001</v>
      </c>
      <c r="HJ73" s="82">
        <f t="shared" si="125"/>
        <v>1695787046.0599999</v>
      </c>
      <c r="HL73" s="83">
        <f t="shared" si="126"/>
        <v>3635270554</v>
      </c>
      <c r="HM73" s="83">
        <f t="shared" si="126"/>
        <v>2273507207.9400001</v>
      </c>
      <c r="HN73" s="84">
        <f t="shared" si="127"/>
        <v>1361763346.0599999</v>
      </c>
      <c r="HP73" s="83">
        <f t="shared" si="128"/>
        <v>250000000</v>
      </c>
      <c r="HQ73" s="83">
        <f t="shared" si="128"/>
        <v>212500000</v>
      </c>
      <c r="HR73" s="84">
        <f t="shared" si="129"/>
        <v>37500000</v>
      </c>
      <c r="HT73" s="83">
        <f t="shared" si="130"/>
        <v>70000000</v>
      </c>
      <c r="HU73" s="83">
        <f t="shared" si="130"/>
        <v>51800000</v>
      </c>
      <c r="HV73" s="84">
        <f t="shared" si="131"/>
        <v>18200000</v>
      </c>
      <c r="HX73" s="83">
        <f t="shared" si="132"/>
        <v>60000000</v>
      </c>
      <c r="HY73" s="83">
        <f t="shared" si="132"/>
        <v>30000000</v>
      </c>
      <c r="HZ73" s="84">
        <f t="shared" si="133"/>
        <v>30000000</v>
      </c>
      <c r="IB73" s="83">
        <f t="shared" si="134"/>
        <v>35000000</v>
      </c>
      <c r="IC73" s="83">
        <f t="shared" si="134"/>
        <v>0</v>
      </c>
      <c r="ID73" s="84">
        <f t="shared" si="135"/>
        <v>35000000</v>
      </c>
      <c r="IF73" s="83">
        <f t="shared" si="73"/>
        <v>2000000</v>
      </c>
      <c r="IG73" s="83">
        <f t="shared" si="73"/>
        <v>1700000</v>
      </c>
      <c r="IH73" s="84">
        <f t="shared" si="136"/>
        <v>300000</v>
      </c>
      <c r="IJ73" s="84">
        <f t="shared" si="137"/>
        <v>295823700</v>
      </c>
      <c r="IK73" s="84">
        <f t="shared" si="137"/>
        <v>82800000</v>
      </c>
      <c r="IL73" s="84">
        <f t="shared" si="138"/>
        <v>213023700</v>
      </c>
    </row>
    <row r="74" spans="1:246" ht="15" customHeight="1" x14ac:dyDescent="0.25">
      <c r="A74" s="119">
        <v>68</v>
      </c>
      <c r="B74" s="91" t="s">
        <v>134</v>
      </c>
      <c r="C74" s="42" t="s">
        <v>76</v>
      </c>
      <c r="D74" s="66">
        <f>'[1]Univ Comm Fund'!D74</f>
        <v>0</v>
      </c>
      <c r="E74" s="66">
        <f>'[1]UNIV 2019'!D80</f>
        <v>0</v>
      </c>
      <c r="F74" s="75">
        <f t="shared" si="74"/>
        <v>0</v>
      </c>
      <c r="G74" s="66"/>
      <c r="H74" s="66">
        <f>'[1]Univ Comm Fund'!E74</f>
        <v>0</v>
      </c>
      <c r="I74" s="66">
        <f>'[1]UNIV 2019'!E80</f>
        <v>0</v>
      </c>
      <c r="J74" s="66">
        <f t="shared" si="75"/>
        <v>0</v>
      </c>
      <c r="K74" s="66"/>
      <c r="L74" s="66">
        <f>'[1]Univ Comm Fund'!F74</f>
        <v>0</v>
      </c>
      <c r="M74" s="66">
        <f>'[1]UNIV 2019'!F80</f>
        <v>0</v>
      </c>
      <c r="N74" s="66">
        <f t="shared" si="76"/>
        <v>0</v>
      </c>
      <c r="O74" s="66"/>
      <c r="P74" s="66">
        <f>'[1]Univ Comm Fund'!G74</f>
        <v>0</v>
      </c>
      <c r="Q74" s="66">
        <f>'[1]UNIV 2019'!G80</f>
        <v>0</v>
      </c>
      <c r="R74" s="66">
        <f t="shared" si="77"/>
        <v>0</v>
      </c>
      <c r="S74" s="87"/>
      <c r="T74" s="66">
        <f>'[1]Univ Comm Fund'!H74</f>
        <v>0</v>
      </c>
      <c r="U74" s="66">
        <f>'[1]UNIV 2019'!H80</f>
        <v>0</v>
      </c>
      <c r="V74" s="66">
        <f t="shared" si="78"/>
        <v>0</v>
      </c>
      <c r="W74" s="66"/>
      <c r="X74" s="66">
        <f>'[1]Univ Comm Fund'!I74</f>
        <v>0</v>
      </c>
      <c r="Y74" s="66">
        <f>'[1]UNIV 2019'!I80</f>
        <v>0</v>
      </c>
      <c r="Z74" s="66">
        <f t="shared" si="79"/>
        <v>0</v>
      </c>
      <c r="AA74" s="66"/>
      <c r="AB74" s="66">
        <f>'[1]Univ Comm Fund'!J74</f>
        <v>0</v>
      </c>
      <c r="AC74" s="66">
        <f>'[1]UNIV 2019'!J80</f>
        <v>0</v>
      </c>
      <c r="AD74" s="66">
        <f t="shared" si="80"/>
        <v>0</v>
      </c>
      <c r="AE74" s="66"/>
      <c r="AF74" s="66">
        <f>'[1]Univ Comm Fund'!K74</f>
        <v>0</v>
      </c>
      <c r="AG74" s="66">
        <f>'[1]UNIV 2019'!K80</f>
        <v>0</v>
      </c>
      <c r="AH74" s="66">
        <f t="shared" si="81"/>
        <v>0</v>
      </c>
      <c r="AI74" s="66"/>
      <c r="AJ74" s="66">
        <f>'[1]Univ Comm Fund'!L74</f>
        <v>0</v>
      </c>
      <c r="AK74" s="66">
        <f>'[1]UNIV 2019'!L80</f>
        <v>0</v>
      </c>
      <c r="AL74" s="66">
        <f t="shared" si="82"/>
        <v>0</v>
      </c>
      <c r="AM74" s="66"/>
      <c r="AN74" s="66">
        <f>'[1]Univ Comm Fund'!M74</f>
        <v>0</v>
      </c>
      <c r="AO74" s="66">
        <f>'[1]UNIV 2019'!M80</f>
        <v>0</v>
      </c>
      <c r="AP74" s="66">
        <f t="shared" si="83"/>
        <v>0</v>
      </c>
      <c r="AQ74" s="66"/>
      <c r="AR74" s="66">
        <f>'[1]Univ Comm Fund'!N74</f>
        <v>0</v>
      </c>
      <c r="AS74" s="66">
        <f>'[1]UNIV 2019'!N80</f>
        <v>0</v>
      </c>
      <c r="AT74" s="66">
        <f t="shared" si="84"/>
        <v>0</v>
      </c>
      <c r="AU74" s="66"/>
      <c r="AV74" s="66">
        <f>'[1]Univ Comm Fund'!O74</f>
        <v>0</v>
      </c>
      <c r="AW74" s="66">
        <f>'[1]UNIV 2019'!O80</f>
        <v>0</v>
      </c>
      <c r="AX74" s="66">
        <f t="shared" si="85"/>
        <v>0</v>
      </c>
      <c r="AY74" s="66"/>
      <c r="AZ74" s="66">
        <f>'[1]Univ Comm Fund'!P74</f>
        <v>0</v>
      </c>
      <c r="BA74" s="66">
        <f>'[1]UNIV 2019'!P80</f>
        <v>0</v>
      </c>
      <c r="BB74" s="66">
        <f t="shared" si="70"/>
        <v>0</v>
      </c>
      <c r="BC74" s="66"/>
      <c r="BD74" s="66">
        <f>'[1]Univ Comm Fund'!Q74</f>
        <v>0</v>
      </c>
      <c r="BE74" s="66">
        <f>'[1]UNIV 2019'!Q80</f>
        <v>0</v>
      </c>
      <c r="BF74" s="66">
        <f t="shared" si="71"/>
        <v>0</v>
      </c>
      <c r="BG74" s="66"/>
      <c r="BH74" s="66">
        <f>'[1]Univ Comm Fund'!R74</f>
        <v>0</v>
      </c>
      <c r="BI74" s="66">
        <f>'[1]UNIV 2019'!R80</f>
        <v>0</v>
      </c>
      <c r="BJ74" s="66">
        <f t="shared" si="86"/>
        <v>0</v>
      </c>
      <c r="BK74" s="66"/>
      <c r="BL74" s="66">
        <f>'[1]Univ Comm Fund'!S74</f>
        <v>0</v>
      </c>
      <c r="BM74" s="66">
        <f>'[1]UNIV 2019'!S80</f>
        <v>0</v>
      </c>
      <c r="BN74" s="66">
        <f t="shared" si="87"/>
        <v>0</v>
      </c>
      <c r="BO74" s="66"/>
      <c r="BP74" s="66">
        <f>'[1]Univ Comm Fund'!T74</f>
        <v>0</v>
      </c>
      <c r="BQ74" s="66">
        <f>'[1]UNIV 2019'!T80</f>
        <v>0</v>
      </c>
      <c r="BR74" s="66">
        <f t="shared" si="88"/>
        <v>0</v>
      </c>
      <c r="BS74" s="66"/>
      <c r="BT74" s="66">
        <f>'[1]Univ Comm Fund'!U74</f>
        <v>0</v>
      </c>
      <c r="BU74" s="66">
        <f>'[1]UNIV 2019'!U80</f>
        <v>0</v>
      </c>
      <c r="BV74" s="66">
        <f t="shared" si="72"/>
        <v>0</v>
      </c>
      <c r="BW74" s="66"/>
      <c r="BX74" s="66">
        <f>'[1]Univ Comm Fund'!V74</f>
        <v>0</v>
      </c>
      <c r="BY74" s="66">
        <f>'[1]UNIV 2019'!V80</f>
        <v>0</v>
      </c>
      <c r="BZ74" s="66">
        <f t="shared" si="89"/>
        <v>0</v>
      </c>
      <c r="CA74" s="66"/>
      <c r="CB74" s="66">
        <f>'[1]Univ Comm Fund'!W74</f>
        <v>1411860554</v>
      </c>
      <c r="CC74" s="66">
        <f>'[1]UNIV 2019'!W80</f>
        <v>1235955115.02</v>
      </c>
      <c r="CD74" s="66">
        <f t="shared" si="90"/>
        <v>175905438.98000002</v>
      </c>
      <c r="CE74" s="66"/>
      <c r="CF74" s="66">
        <v>0</v>
      </c>
      <c r="CG74" s="66">
        <f>'[1]UNIV 2019'!X80</f>
        <v>0</v>
      </c>
      <c r="CH74" s="75">
        <f t="shared" si="91"/>
        <v>0</v>
      </c>
      <c r="CI74" s="66"/>
      <c r="CJ74" s="90">
        <f>'[1]Univ Comm Fund'!Y74</f>
        <v>0</v>
      </c>
      <c r="CK74" s="90">
        <f>'[1]UNIV 2019'!Y80</f>
        <v>0</v>
      </c>
      <c r="CL74" s="90">
        <f t="shared" si="92"/>
        <v>0</v>
      </c>
      <c r="CM74" s="66"/>
      <c r="CN74" s="66">
        <f>'[1]Univ Comm Fund'!Z74</f>
        <v>0</v>
      </c>
      <c r="CO74" s="66">
        <f>'[1]UNIV 2019'!Z80</f>
        <v>0</v>
      </c>
      <c r="CP74" s="66">
        <f t="shared" si="93"/>
        <v>0</v>
      </c>
      <c r="CQ74" s="66"/>
      <c r="CR74" s="66">
        <f>'[1]Univ Comm Fund'!AA74</f>
        <v>42000000</v>
      </c>
      <c r="CS74" s="66">
        <f>'[1]UNIV 2019'!AA80</f>
        <v>21000000</v>
      </c>
      <c r="CT74" s="75">
        <f t="shared" si="94"/>
        <v>21000000</v>
      </c>
      <c r="CU74" s="66"/>
      <c r="CV74" s="66">
        <f>'[1]Univ Comm Fund'!AB74</f>
        <v>0</v>
      </c>
      <c r="CW74" s="66">
        <f>'[1]UNIV 2019'!AB80</f>
        <v>0</v>
      </c>
      <c r="CX74" s="75">
        <f t="shared" si="95"/>
        <v>0</v>
      </c>
      <c r="CY74" s="66"/>
      <c r="CZ74" s="66">
        <f>'[1]Univ Comm Fund'!AC74</f>
        <v>356000000</v>
      </c>
      <c r="DA74" s="66">
        <f>'[1]UNIV 2019'!AC80</f>
        <v>302600000</v>
      </c>
      <c r="DB74" s="66">
        <f t="shared" si="96"/>
        <v>53400000</v>
      </c>
      <c r="DC74" s="66"/>
      <c r="DD74" s="66">
        <f>'[1]Univ Comm Fund'!AD74</f>
        <v>20000000</v>
      </c>
      <c r="DE74" s="66">
        <f>'[1]UNIV 2019'!AD80</f>
        <v>20000000</v>
      </c>
      <c r="DF74" s="66">
        <f t="shared" si="97"/>
        <v>0</v>
      </c>
      <c r="DG74" s="66"/>
      <c r="DH74" s="66">
        <f>'[1]Univ Comm Fund'!AE74</f>
        <v>552000000</v>
      </c>
      <c r="DI74" s="66">
        <f>'[1]UNIV 2019'!AE80</f>
        <v>469200000</v>
      </c>
      <c r="DJ74" s="66">
        <f t="shared" si="98"/>
        <v>82800000</v>
      </c>
      <c r="DK74" s="66"/>
      <c r="DL74" s="66">
        <f>'[1]Univ Comm Fund'!AF74</f>
        <v>20000000</v>
      </c>
      <c r="DM74" s="66">
        <f>'[1]UNIV 2019'!AF80</f>
        <v>20000000</v>
      </c>
      <c r="DN74" s="66">
        <f t="shared" si="99"/>
        <v>0</v>
      </c>
      <c r="DO74" s="66"/>
      <c r="DP74" s="66">
        <f>'[1]Univ Comm Fund'!AG74</f>
        <v>10000000</v>
      </c>
      <c r="DQ74" s="66">
        <f>'[1]UNIV 2019'!AG80</f>
        <v>10000000</v>
      </c>
      <c r="DR74" s="66">
        <f t="shared" si="100"/>
        <v>0</v>
      </c>
      <c r="DS74" s="66"/>
      <c r="DT74" s="66">
        <f>'[1]Univ Comm Fund'!AH74</f>
        <v>100000000</v>
      </c>
      <c r="DU74" s="66">
        <f>'[1]UNIV 2019'!AH80</f>
        <v>85000000</v>
      </c>
      <c r="DV74" s="66">
        <f t="shared" si="101"/>
        <v>15000000</v>
      </c>
      <c r="DW74" s="66"/>
      <c r="DX74" s="66">
        <f>'[1]Univ Comm Fund'!AI74</f>
        <v>15000000</v>
      </c>
      <c r="DY74" s="66">
        <f>'[1]UNIV 2019'!AI80</f>
        <v>15000000</v>
      </c>
      <c r="DZ74" s="66">
        <f t="shared" si="102"/>
        <v>0</v>
      </c>
      <c r="EA74" s="66"/>
      <c r="EB74" s="66">
        <f>'[1]Univ Comm Fund'!AJ74</f>
        <v>2000000</v>
      </c>
      <c r="EC74" s="66">
        <f>'[1]UNIV 2019'!AJ80</f>
        <v>0</v>
      </c>
      <c r="ED74" s="66">
        <f t="shared" si="103"/>
        <v>2000000</v>
      </c>
      <c r="EE74" s="66"/>
      <c r="EF74" s="66">
        <f>'[1]Univ Comm Fund'!AK74</f>
        <v>10000000</v>
      </c>
      <c r="EG74" s="66">
        <f>'[1]UNIV 2019'!AK80</f>
        <v>10000000</v>
      </c>
      <c r="EH74" s="66">
        <f t="shared" si="104"/>
        <v>0</v>
      </c>
      <c r="EI74" s="66"/>
      <c r="EJ74" s="66">
        <f>'[1]Univ Comm Fund'!AL74</f>
        <v>0</v>
      </c>
      <c r="EK74" s="66">
        <f>'[1]UNIV 2019'!AL80</f>
        <v>0</v>
      </c>
      <c r="EL74" s="66">
        <f t="shared" si="105"/>
        <v>0</v>
      </c>
      <c r="EM74" s="66"/>
      <c r="EN74" s="80">
        <f>'[1]Univ Comm Fund'!AM74</f>
        <v>565410000</v>
      </c>
      <c r="EO74" s="66">
        <f>'[1]UNIV 2019'!AM80</f>
        <v>480598500</v>
      </c>
      <c r="EP74" s="75">
        <f t="shared" si="106"/>
        <v>84811500</v>
      </c>
      <c r="EQ74" s="66"/>
      <c r="ER74" s="66">
        <f>'[1]Univ Comm Fund'!AN74</f>
        <v>15000000</v>
      </c>
      <c r="ES74" s="66">
        <f>'[1]UNIV 2019'!AN80</f>
        <v>15000000</v>
      </c>
      <c r="ET74" s="75">
        <f t="shared" si="107"/>
        <v>0</v>
      </c>
      <c r="EU74" s="66"/>
      <c r="EV74" s="66">
        <f>'[1]Univ Comm Fund'!AO74</f>
        <v>15000000</v>
      </c>
      <c r="EW74" s="66">
        <f>'[1]UNIV 2019'!AO80</f>
        <v>0</v>
      </c>
      <c r="EX74" s="75">
        <f t="shared" si="108"/>
        <v>15000000</v>
      </c>
      <c r="EY74" s="66"/>
      <c r="EZ74" s="66">
        <f>'[1]Univ Comm Fund'!AP74</f>
        <v>10000000</v>
      </c>
      <c r="FA74" s="66">
        <f>'[1]UNIV 2019'!AP80</f>
        <v>10000000</v>
      </c>
      <c r="FB74" s="75">
        <f t="shared" si="109"/>
        <v>0</v>
      </c>
      <c r="FC74" s="75"/>
      <c r="FD74" s="75">
        <f>'[1]Univ Comm Fund'!AQ74</f>
        <v>0</v>
      </c>
      <c r="FE74" s="75">
        <f>'[1]UNIV 2019'!AQ80</f>
        <v>0</v>
      </c>
      <c r="FF74" s="75">
        <f t="shared" si="110"/>
        <v>0</v>
      </c>
      <c r="FG74" s="75"/>
      <c r="FH74" s="75">
        <f>'[1]Univ Comm Fund'!AR74</f>
        <v>0</v>
      </c>
      <c r="FI74" s="75">
        <f>'[1]UNIV 2019'!AR80</f>
        <v>0</v>
      </c>
      <c r="FJ74" s="75">
        <f t="shared" si="111"/>
        <v>0</v>
      </c>
      <c r="FK74" s="75"/>
      <c r="FL74" s="75">
        <f>'[1]Univ Comm Fund'!AS74</f>
        <v>300000000</v>
      </c>
      <c r="FM74" s="75">
        <f>'[1]UNIV 2019'!AS80</f>
        <v>0</v>
      </c>
      <c r="FN74" s="75">
        <f t="shared" si="112"/>
        <v>300000000</v>
      </c>
      <c r="FO74" s="75"/>
      <c r="FP74" s="75">
        <f>'[1]Univ Comm Fund'!AT74</f>
        <v>120000000</v>
      </c>
      <c r="FQ74" s="75">
        <f>'[1]UNIV 2019'!AT80</f>
        <v>78000000</v>
      </c>
      <c r="FR74" s="75">
        <f t="shared" si="113"/>
        <v>42000000</v>
      </c>
      <c r="FS74" s="75"/>
      <c r="FT74" s="75">
        <f>'[1]Univ Comm Fund'!AU74</f>
        <v>10000000</v>
      </c>
      <c r="FU74" s="75">
        <f>'[1]UNIV 2019'!AU80</f>
        <v>0</v>
      </c>
      <c r="FV74" s="75">
        <f t="shared" si="114"/>
        <v>10000000</v>
      </c>
      <c r="FW74" s="75"/>
      <c r="FX74" s="75">
        <f>'[1]Univ Comm Fund'!AV74</f>
        <v>5000000</v>
      </c>
      <c r="FY74" s="75">
        <f>'[1]UNIV 2019'!AV80</f>
        <v>0</v>
      </c>
      <c r="FZ74" s="75">
        <f t="shared" si="115"/>
        <v>5000000</v>
      </c>
      <c r="GA74" s="75"/>
      <c r="GB74" s="75">
        <f>'[1]Univ Comm Fund'!AW74</f>
        <v>10000000</v>
      </c>
      <c r="GC74" s="75">
        <f>'[1]UNIV 2019'!AW80</f>
        <v>0</v>
      </c>
      <c r="GD74" s="75">
        <f t="shared" si="116"/>
        <v>10000000</v>
      </c>
      <c r="GE74" s="75"/>
      <c r="GF74" s="75">
        <f>'[1]Univ Comm Fund'!AX74</f>
        <v>0</v>
      </c>
      <c r="GG74" s="75">
        <f>'[1]UNIV 2019'!AX80</f>
        <v>0</v>
      </c>
      <c r="GH74" s="75">
        <f t="shared" si="117"/>
        <v>0</v>
      </c>
      <c r="GI74" s="75"/>
      <c r="GJ74" s="75">
        <f>'[1]Univ Comm Fund'!AY74</f>
        <v>350000000</v>
      </c>
      <c r="GK74" s="75">
        <f>'[1]UNIV 2019'!AY80</f>
        <v>0</v>
      </c>
      <c r="GL74" s="75">
        <f t="shared" si="118"/>
        <v>350000000</v>
      </c>
      <c r="GM74" s="75"/>
      <c r="GN74" s="75">
        <f>'[1]Univ Comm Fund'!AZ74</f>
        <v>175823700</v>
      </c>
      <c r="GO74" s="75">
        <f>'[1]UNIV 2019'!AZ80</f>
        <v>0</v>
      </c>
      <c r="GP74" s="75">
        <f t="shared" si="119"/>
        <v>175823700</v>
      </c>
      <c r="GQ74" s="75"/>
      <c r="GR74" s="75">
        <f>'[1]Univ Comm Fund'!BA74</f>
        <v>20000000</v>
      </c>
      <c r="GS74" s="75">
        <f>'[1]UNIV 2019'!BA80</f>
        <v>0</v>
      </c>
      <c r="GT74" s="75">
        <f t="shared" si="120"/>
        <v>20000000</v>
      </c>
      <c r="GU74" s="75"/>
      <c r="GV74" s="75">
        <f>'[1]Univ Comm Fund'!BB74</f>
        <v>5000000</v>
      </c>
      <c r="GW74" s="75">
        <f>'[1]UNIV 2019'!BB80</f>
        <v>0</v>
      </c>
      <c r="GX74" s="75">
        <f t="shared" si="121"/>
        <v>5000000</v>
      </c>
      <c r="GY74" s="75"/>
      <c r="GZ74" s="75">
        <f>'[1]Univ Comm Fund'!BC74</f>
        <v>10000000</v>
      </c>
      <c r="HA74" s="75">
        <f>'[1]UNIV 2019'!BD80</f>
        <v>0</v>
      </c>
      <c r="HB74" s="75">
        <f t="shared" si="122"/>
        <v>10000000</v>
      </c>
      <c r="HC74" s="75"/>
      <c r="HD74" s="75">
        <f>'[1]Univ Comm Fund'!BD74</f>
        <v>0</v>
      </c>
      <c r="HE74" s="75">
        <f>'[1]UNIV 2019'!BC80</f>
        <v>0</v>
      </c>
      <c r="HF74" s="75">
        <f t="shared" si="123"/>
        <v>0</v>
      </c>
      <c r="HG74" s="75"/>
      <c r="HH74" s="75">
        <f t="shared" si="124"/>
        <v>4150094254</v>
      </c>
      <c r="HI74" s="75">
        <f t="shared" si="124"/>
        <v>2772353615.02</v>
      </c>
      <c r="HJ74" s="82">
        <f t="shared" si="125"/>
        <v>1377740638.98</v>
      </c>
      <c r="HL74" s="83">
        <f t="shared" si="126"/>
        <v>3635270554</v>
      </c>
      <c r="HM74" s="83">
        <f t="shared" si="126"/>
        <v>2573353615.02</v>
      </c>
      <c r="HN74" s="84">
        <f t="shared" si="127"/>
        <v>1061916938.98</v>
      </c>
      <c r="HP74" s="83">
        <f t="shared" si="128"/>
        <v>52000000</v>
      </c>
      <c r="HQ74" s="83">
        <f t="shared" si="128"/>
        <v>31000000</v>
      </c>
      <c r="HR74" s="84">
        <f t="shared" si="129"/>
        <v>21000000</v>
      </c>
      <c r="HT74" s="83">
        <f t="shared" si="130"/>
        <v>70000000</v>
      </c>
      <c r="HU74" s="83">
        <f t="shared" si="130"/>
        <v>60000000</v>
      </c>
      <c r="HV74" s="84">
        <f t="shared" si="131"/>
        <v>10000000</v>
      </c>
      <c r="HX74" s="83">
        <f t="shared" si="132"/>
        <v>60000000</v>
      </c>
      <c r="HY74" s="83">
        <f t="shared" si="132"/>
        <v>30000000</v>
      </c>
      <c r="HZ74" s="84">
        <f t="shared" si="133"/>
        <v>30000000</v>
      </c>
      <c r="IB74" s="83">
        <f t="shared" si="134"/>
        <v>35000000</v>
      </c>
      <c r="IC74" s="83">
        <f t="shared" si="134"/>
        <v>0</v>
      </c>
      <c r="ID74" s="84">
        <f t="shared" si="135"/>
        <v>35000000</v>
      </c>
      <c r="IF74" s="83">
        <f t="shared" si="73"/>
        <v>2000000</v>
      </c>
      <c r="IG74" s="83">
        <f t="shared" si="73"/>
        <v>0</v>
      </c>
      <c r="IH74" s="84">
        <f t="shared" si="136"/>
        <v>2000000</v>
      </c>
      <c r="IJ74" s="84">
        <f t="shared" si="137"/>
        <v>295823700</v>
      </c>
      <c r="IK74" s="84">
        <f t="shared" si="137"/>
        <v>78000000</v>
      </c>
      <c r="IL74" s="84">
        <f t="shared" si="138"/>
        <v>217823700</v>
      </c>
    </row>
    <row r="75" spans="1:246" s="125" customFormat="1" ht="15" customHeight="1" x14ac:dyDescent="0.25">
      <c r="A75" s="42">
        <v>69</v>
      </c>
      <c r="B75" s="120" t="s">
        <v>135</v>
      </c>
      <c r="C75" s="119" t="s">
        <v>65</v>
      </c>
      <c r="D75" s="121">
        <f>'[1]Univ Comm Fund'!D75</f>
        <v>0</v>
      </c>
      <c r="E75" s="121">
        <f>'[1]UNIV 2019'!D81</f>
        <v>0</v>
      </c>
      <c r="F75" s="75">
        <f t="shared" si="74"/>
        <v>0</v>
      </c>
      <c r="G75" s="121"/>
      <c r="H75" s="121">
        <f>'[1]Univ Comm Fund'!E75</f>
        <v>0</v>
      </c>
      <c r="I75" s="121">
        <f>'[1]UNIV 2019'!E81</f>
        <v>0</v>
      </c>
      <c r="J75" s="121">
        <f t="shared" si="75"/>
        <v>0</v>
      </c>
      <c r="K75" s="121"/>
      <c r="L75" s="121">
        <f>'[1]Univ Comm Fund'!F75</f>
        <v>0</v>
      </c>
      <c r="M75" s="121">
        <f>'[1]UNIV 2019'!F81</f>
        <v>0</v>
      </c>
      <c r="N75" s="121">
        <f t="shared" si="76"/>
        <v>0</v>
      </c>
      <c r="O75" s="121"/>
      <c r="P75" s="121">
        <f>'[1]Univ Comm Fund'!G75</f>
        <v>0</v>
      </c>
      <c r="Q75" s="121">
        <f>'[1]UNIV 2019'!G81</f>
        <v>0</v>
      </c>
      <c r="R75" s="121">
        <f t="shared" si="77"/>
        <v>0</v>
      </c>
      <c r="S75" s="122"/>
      <c r="T75" s="121">
        <f>'[1]Univ Comm Fund'!H75</f>
        <v>0</v>
      </c>
      <c r="U75" s="121">
        <f>'[1]UNIV 2019'!H81</f>
        <v>0</v>
      </c>
      <c r="V75" s="121">
        <f t="shared" si="78"/>
        <v>0</v>
      </c>
      <c r="W75" s="121"/>
      <c r="X75" s="121">
        <f>'[1]Univ Comm Fund'!I75</f>
        <v>0</v>
      </c>
      <c r="Y75" s="121">
        <f>'[1]UNIV 2019'!I81</f>
        <v>0</v>
      </c>
      <c r="Z75" s="121">
        <f t="shared" si="79"/>
        <v>0</v>
      </c>
      <c r="AA75" s="121"/>
      <c r="AB75" s="121">
        <f>'[1]Univ Comm Fund'!J75</f>
        <v>0</v>
      </c>
      <c r="AC75" s="121">
        <f>'[1]UNIV 2019'!J81</f>
        <v>0</v>
      </c>
      <c r="AD75" s="121">
        <f t="shared" si="80"/>
        <v>0</v>
      </c>
      <c r="AE75" s="121"/>
      <c r="AF75" s="121">
        <f>'[1]Univ Comm Fund'!K75</f>
        <v>0</v>
      </c>
      <c r="AG75" s="121">
        <f>'[1]UNIV 2019'!K81</f>
        <v>0</v>
      </c>
      <c r="AH75" s="121">
        <f t="shared" si="81"/>
        <v>0</v>
      </c>
      <c r="AI75" s="121"/>
      <c r="AJ75" s="121">
        <f>'[1]Univ Comm Fund'!L75</f>
        <v>0</v>
      </c>
      <c r="AK75" s="121">
        <f>'[1]UNIV 2019'!L81</f>
        <v>0</v>
      </c>
      <c r="AL75" s="121">
        <f>3088750000+75000000+150000000+37500000+75000000+80000000+140000000+15000000+15000000+30000000+75000000</f>
        <v>3781250000</v>
      </c>
      <c r="AM75" s="121"/>
      <c r="AN75" s="121">
        <f>'[1]Univ Comm Fund'!M75</f>
        <v>0</v>
      </c>
      <c r="AO75" s="121">
        <f>'[1]UNIV 2019'!M81</f>
        <v>0</v>
      </c>
      <c r="AP75" s="121">
        <f t="shared" si="83"/>
        <v>0</v>
      </c>
      <c r="AQ75" s="121"/>
      <c r="AR75" s="121">
        <f>'[1]Univ Comm Fund'!N75</f>
        <v>0</v>
      </c>
      <c r="AS75" s="121">
        <f>'[1]UNIV 2019'!N81</f>
        <v>0</v>
      </c>
      <c r="AT75" s="121">
        <f t="shared" si="84"/>
        <v>0</v>
      </c>
      <c r="AU75" s="121"/>
      <c r="AV75" s="121">
        <f>'[1]Univ Comm Fund'!O75</f>
        <v>0</v>
      </c>
      <c r="AW75" s="121">
        <f>'[1]UNIV 2019'!O81</f>
        <v>0</v>
      </c>
      <c r="AX75" s="121">
        <f t="shared" si="85"/>
        <v>0</v>
      </c>
      <c r="AY75" s="121"/>
      <c r="AZ75" s="121">
        <f>'[1]Univ Comm Fund'!P75</f>
        <v>0</v>
      </c>
      <c r="BA75" s="121">
        <f>'[1]UNIV 2019'!P81</f>
        <v>0</v>
      </c>
      <c r="BB75" s="121">
        <f t="shared" si="70"/>
        <v>0</v>
      </c>
      <c r="BC75" s="121"/>
      <c r="BD75" s="121">
        <f>'[1]Univ Comm Fund'!Q75</f>
        <v>0</v>
      </c>
      <c r="BE75" s="121">
        <f>'[1]UNIV 2019'!Q81</f>
        <v>0</v>
      </c>
      <c r="BF75" s="121">
        <f t="shared" si="71"/>
        <v>0</v>
      </c>
      <c r="BG75" s="121"/>
      <c r="BH75" s="121">
        <f>'[1]Univ Comm Fund'!R75</f>
        <v>0</v>
      </c>
      <c r="BI75" s="121">
        <f>'[1]UNIV 2019'!R81</f>
        <v>0</v>
      </c>
      <c r="BJ75" s="121">
        <f t="shared" si="86"/>
        <v>0</v>
      </c>
      <c r="BK75" s="121"/>
      <c r="BL75" s="121">
        <f>'[1]Univ Comm Fund'!S75</f>
        <v>0</v>
      </c>
      <c r="BM75" s="121">
        <f>'[1]UNIV 2019'!S81</f>
        <v>0</v>
      </c>
      <c r="BN75" s="121">
        <f t="shared" si="87"/>
        <v>0</v>
      </c>
      <c r="BO75" s="121"/>
      <c r="BP75" s="121">
        <f>'[1]Univ Comm Fund'!T75</f>
        <v>0</v>
      </c>
      <c r="BQ75" s="121">
        <f>'[1]UNIV 2019'!T81</f>
        <v>0</v>
      </c>
      <c r="BR75" s="121">
        <f t="shared" si="88"/>
        <v>0</v>
      </c>
      <c r="BS75" s="121"/>
      <c r="BT75" s="121">
        <f>'[1]Univ Comm Fund'!U75</f>
        <v>0</v>
      </c>
      <c r="BU75" s="121">
        <f>'[1]UNIV 2019'!U81</f>
        <v>0</v>
      </c>
      <c r="BV75" s="121">
        <f t="shared" si="72"/>
        <v>0</v>
      </c>
      <c r="BW75" s="121"/>
      <c r="BX75" s="121">
        <f>'[1]Univ Comm Fund'!V75</f>
        <v>0</v>
      </c>
      <c r="BY75" s="121">
        <f>'[1]UNIV 2019'!V81</f>
        <v>0</v>
      </c>
      <c r="BZ75" s="121">
        <f t="shared" si="89"/>
        <v>0</v>
      </c>
      <c r="CA75" s="121"/>
      <c r="CB75" s="121">
        <f>'[1]Univ Comm Fund'!W75</f>
        <v>1411860554</v>
      </c>
      <c r="CC75" s="121">
        <f>'[1]UNIV 2019'!W81</f>
        <v>1411860553.9999998</v>
      </c>
      <c r="CD75" s="121">
        <f t="shared" si="90"/>
        <v>0</v>
      </c>
      <c r="CE75" s="121"/>
      <c r="CF75" s="121">
        <v>0</v>
      </c>
      <c r="CG75" s="121">
        <f>'[1]UNIV 2019'!X81</f>
        <v>0</v>
      </c>
      <c r="CH75" s="75">
        <f t="shared" si="91"/>
        <v>0</v>
      </c>
      <c r="CI75" s="121"/>
      <c r="CJ75" s="121">
        <f>'[1]Univ Comm Fund'!Y75</f>
        <v>0</v>
      </c>
      <c r="CK75" s="121">
        <f>'[1]UNIV 2019'!Y81</f>
        <v>0</v>
      </c>
      <c r="CL75" s="121">
        <f t="shared" si="92"/>
        <v>0</v>
      </c>
      <c r="CM75" s="121"/>
      <c r="CN75" s="121">
        <f>'[1]Univ Comm Fund'!Z75</f>
        <v>0</v>
      </c>
      <c r="CO75" s="121">
        <f>'[1]UNIV 2019'!Z81</f>
        <v>0</v>
      </c>
      <c r="CP75" s="121">
        <f t="shared" si="93"/>
        <v>0</v>
      </c>
      <c r="CQ75" s="121"/>
      <c r="CR75" s="121">
        <f>'[1]Univ Comm Fund'!AA75</f>
        <v>0</v>
      </c>
      <c r="CS75" s="121">
        <f>'[1]UNIV 2019'!AA81</f>
        <v>0</v>
      </c>
      <c r="CT75" s="75">
        <f t="shared" si="94"/>
        <v>0</v>
      </c>
      <c r="CU75" s="121"/>
      <c r="CV75" s="121">
        <f>'[1]Univ Comm Fund'!AB75</f>
        <v>150000000</v>
      </c>
      <c r="CW75" s="121">
        <f>'[1]UNIV 2019'!AB81</f>
        <v>142650000</v>
      </c>
      <c r="CX75" s="75">
        <f t="shared" si="95"/>
        <v>7350000</v>
      </c>
      <c r="CY75" s="121"/>
      <c r="CZ75" s="121">
        <f>'[1]Univ Comm Fund'!AC75</f>
        <v>356000000</v>
      </c>
      <c r="DA75" s="121">
        <f>'[1]UNIV 2019'!AC81</f>
        <v>356000000</v>
      </c>
      <c r="DB75" s="121">
        <f t="shared" si="96"/>
        <v>0</v>
      </c>
      <c r="DC75" s="121"/>
      <c r="DD75" s="121">
        <f>'[1]Univ Comm Fund'!AD75</f>
        <v>20000000</v>
      </c>
      <c r="DE75" s="121">
        <f>'[1]UNIV 2019'!AD81</f>
        <v>12400000</v>
      </c>
      <c r="DF75" s="121">
        <f t="shared" si="97"/>
        <v>7600000</v>
      </c>
      <c r="DG75" s="121"/>
      <c r="DH75" s="121">
        <f>'[1]Univ Comm Fund'!AE75</f>
        <v>552000000</v>
      </c>
      <c r="DI75" s="121">
        <f>'[1]UNIV 2019'!AE81</f>
        <v>358800000</v>
      </c>
      <c r="DJ75" s="121">
        <f t="shared" si="98"/>
        <v>193200000</v>
      </c>
      <c r="DK75" s="121"/>
      <c r="DL75" s="121">
        <f>'[1]Univ Comm Fund'!AF75</f>
        <v>20000000</v>
      </c>
      <c r="DM75" s="121">
        <f>'[1]UNIV 2019'!AF81</f>
        <v>0</v>
      </c>
      <c r="DN75" s="121">
        <f t="shared" si="99"/>
        <v>20000000</v>
      </c>
      <c r="DO75" s="121"/>
      <c r="DP75" s="121">
        <f>'[1]Univ Comm Fund'!AG75</f>
        <v>100000000</v>
      </c>
      <c r="DQ75" s="121">
        <f>'[1]UNIV 2019'!AG81</f>
        <v>100000000</v>
      </c>
      <c r="DR75" s="121">
        <f t="shared" si="100"/>
        <v>0</v>
      </c>
      <c r="DS75" s="121"/>
      <c r="DT75" s="66">
        <f>'[1]Univ Comm Fund'!AH75</f>
        <v>100000000</v>
      </c>
      <c r="DU75" s="121">
        <f>'[1]UNIV 2019'!AH81</f>
        <v>65000000</v>
      </c>
      <c r="DV75" s="66">
        <f t="shared" si="101"/>
        <v>35000000</v>
      </c>
      <c r="DW75" s="121"/>
      <c r="DX75" s="66">
        <f>'[1]Univ Comm Fund'!AI75</f>
        <v>15000000</v>
      </c>
      <c r="DY75" s="121">
        <f>'[1]UNIV 2019'!AI81</f>
        <v>0</v>
      </c>
      <c r="DZ75" s="66">
        <f t="shared" si="102"/>
        <v>15000000</v>
      </c>
      <c r="EA75" s="121"/>
      <c r="EB75" s="66">
        <f>'[1]Univ Comm Fund'!AJ75</f>
        <v>2000000</v>
      </c>
      <c r="EC75" s="121">
        <f>'[1]UNIV 2019'!AJ81</f>
        <v>1700000</v>
      </c>
      <c r="ED75" s="66">
        <f t="shared" si="103"/>
        <v>300000</v>
      </c>
      <c r="EE75" s="121"/>
      <c r="EF75" s="66">
        <f>'[1]Univ Comm Fund'!AK75</f>
        <v>10000000</v>
      </c>
      <c r="EG75" s="121">
        <f>'[1]UNIV 2019'!AK81</f>
        <v>0</v>
      </c>
      <c r="EH75" s="66">
        <f t="shared" si="104"/>
        <v>10000000</v>
      </c>
      <c r="EI75" s="66"/>
      <c r="EJ75" s="66">
        <f>'[1]Univ Comm Fund'!AL75</f>
        <v>2100000000</v>
      </c>
      <c r="EK75" s="66">
        <f>'[1]UNIV 2019'!AL81</f>
        <v>1570000000</v>
      </c>
      <c r="EL75" s="66">
        <f t="shared" si="105"/>
        <v>530000000</v>
      </c>
      <c r="EM75" s="121"/>
      <c r="EN75" s="80">
        <f>'[1]Univ Comm Fund'!AM75</f>
        <v>565410000</v>
      </c>
      <c r="EO75" s="121">
        <f>'[1]UNIV 2019'!AM81</f>
        <v>367516500</v>
      </c>
      <c r="EP75" s="75">
        <f t="shared" si="106"/>
        <v>197893500</v>
      </c>
      <c r="EQ75" s="121"/>
      <c r="ER75" s="121">
        <f>'[1]Univ Comm Fund'!AN75</f>
        <v>15000000</v>
      </c>
      <c r="ES75" s="121">
        <f>'[1]UNIV 2019'!AN81</f>
        <v>0</v>
      </c>
      <c r="ET75" s="75">
        <f t="shared" si="107"/>
        <v>15000000</v>
      </c>
      <c r="EU75" s="121"/>
      <c r="EV75" s="121">
        <f>'[1]Univ Comm Fund'!AO75</f>
        <v>15000000</v>
      </c>
      <c r="EW75" s="121">
        <f>'[1]UNIV 2019'!AO81</f>
        <v>0</v>
      </c>
      <c r="EX75" s="75">
        <f t="shared" si="108"/>
        <v>15000000</v>
      </c>
      <c r="EY75" s="121"/>
      <c r="EZ75" s="121">
        <f>'[1]Univ Comm Fund'!AP75</f>
        <v>10000000</v>
      </c>
      <c r="FA75" s="121">
        <f>'[1]UNIV 2019'!AP81</f>
        <v>0</v>
      </c>
      <c r="FB75" s="75">
        <f t="shared" si="109"/>
        <v>10000000</v>
      </c>
      <c r="FC75" s="75"/>
      <c r="FD75" s="75">
        <f>'[1]Univ Comm Fund'!AQ75</f>
        <v>0</v>
      </c>
      <c r="FE75" s="75">
        <f>'[1]UNIV 2019'!AQ81</f>
        <v>0</v>
      </c>
      <c r="FF75" s="75">
        <f t="shared" si="110"/>
        <v>0</v>
      </c>
      <c r="FG75" s="75"/>
      <c r="FH75" s="75">
        <f>'[1]Univ Comm Fund'!AR75</f>
        <v>0</v>
      </c>
      <c r="FI75" s="75">
        <f>'[1]UNIV 2019'!AR81</f>
        <v>0</v>
      </c>
      <c r="FJ75" s="75">
        <f t="shared" si="111"/>
        <v>0</v>
      </c>
      <c r="FK75" s="75"/>
      <c r="FL75" s="75">
        <f>'[1]Univ Comm Fund'!AS75</f>
        <v>300000000</v>
      </c>
      <c r="FM75" s="75">
        <f>'[1]UNIV 2019'!AS81</f>
        <v>0</v>
      </c>
      <c r="FN75" s="75">
        <f t="shared" si="112"/>
        <v>300000000</v>
      </c>
      <c r="FO75" s="75"/>
      <c r="FP75" s="75">
        <f>'[1]Univ Comm Fund'!AT75</f>
        <v>120000000</v>
      </c>
      <c r="FQ75" s="75">
        <f>'[1]UNIV 2019'!AT81</f>
        <v>73200000</v>
      </c>
      <c r="FR75" s="75">
        <f t="shared" si="113"/>
        <v>46800000</v>
      </c>
      <c r="FS75" s="75"/>
      <c r="FT75" s="75">
        <f>'[1]Univ Comm Fund'!AU75</f>
        <v>10000000</v>
      </c>
      <c r="FU75" s="75">
        <f>'[1]UNIV 2019'!AU81</f>
        <v>0</v>
      </c>
      <c r="FV75" s="75">
        <f t="shared" si="114"/>
        <v>10000000</v>
      </c>
      <c r="FW75" s="75"/>
      <c r="FX75" s="75">
        <f>'[1]Univ Comm Fund'!AV75</f>
        <v>5000000</v>
      </c>
      <c r="FY75" s="75">
        <f>'[1]UNIV 2019'!AV81</f>
        <v>0</v>
      </c>
      <c r="FZ75" s="75">
        <f t="shared" si="115"/>
        <v>5000000</v>
      </c>
      <c r="GA75" s="75"/>
      <c r="GB75" s="75">
        <f>'[1]Univ Comm Fund'!AW75</f>
        <v>10000000</v>
      </c>
      <c r="GC75" s="75">
        <f>'[1]UNIV 2019'!AW81</f>
        <v>0</v>
      </c>
      <c r="GD75" s="75">
        <f t="shared" si="116"/>
        <v>10000000</v>
      </c>
      <c r="GE75" s="75"/>
      <c r="GF75" s="75">
        <f>'[1]Univ Comm Fund'!AX75</f>
        <v>0</v>
      </c>
      <c r="GG75" s="75">
        <f>'[1]UNIV 2019'!AX81</f>
        <v>0</v>
      </c>
      <c r="GH75" s="75">
        <f t="shared" si="117"/>
        <v>0</v>
      </c>
      <c r="GI75" s="75"/>
      <c r="GJ75" s="75">
        <f>'[1]Univ Comm Fund'!AY75</f>
        <v>350000000</v>
      </c>
      <c r="GK75" s="75">
        <f>'[1]UNIV 2019'!AY81</f>
        <v>0</v>
      </c>
      <c r="GL75" s="75">
        <f t="shared" si="118"/>
        <v>350000000</v>
      </c>
      <c r="GM75" s="75"/>
      <c r="GN75" s="75">
        <f>'[1]Univ Comm Fund'!AZ75</f>
        <v>175823700</v>
      </c>
      <c r="GO75" s="75">
        <f>'[1]UNIV 2019'!AZ81</f>
        <v>0</v>
      </c>
      <c r="GP75" s="75">
        <f t="shared" si="119"/>
        <v>175823700</v>
      </c>
      <c r="GQ75" s="75"/>
      <c r="GR75" s="75">
        <f>'[1]Univ Comm Fund'!BA75</f>
        <v>20000000</v>
      </c>
      <c r="GS75" s="75">
        <f>'[1]UNIV 2019'!BA81</f>
        <v>0</v>
      </c>
      <c r="GT75" s="75">
        <f t="shared" si="120"/>
        <v>20000000</v>
      </c>
      <c r="GU75" s="75"/>
      <c r="GV75" s="75">
        <f>'[1]Univ Comm Fund'!BB75</f>
        <v>5000000</v>
      </c>
      <c r="GW75" s="75">
        <f>'[1]UNIV 2019'!BB81</f>
        <v>0</v>
      </c>
      <c r="GX75" s="75">
        <f t="shared" si="121"/>
        <v>5000000</v>
      </c>
      <c r="GY75" s="75"/>
      <c r="GZ75" s="75">
        <f>'[1]Univ Comm Fund'!BC75</f>
        <v>10000000</v>
      </c>
      <c r="HA75" s="75">
        <f>'[1]UNIV 2019'!BD81</f>
        <v>0</v>
      </c>
      <c r="HB75" s="75">
        <f t="shared" si="122"/>
        <v>10000000</v>
      </c>
      <c r="HC75" s="75"/>
      <c r="HD75" s="75">
        <f>'[1]Univ Comm Fund'!BD75</f>
        <v>0</v>
      </c>
      <c r="HE75" s="75">
        <f>'[1]UNIV 2019'!BC81</f>
        <v>0</v>
      </c>
      <c r="HF75" s="75">
        <f t="shared" si="123"/>
        <v>0</v>
      </c>
      <c r="HG75" s="75"/>
      <c r="HH75" s="75">
        <f t="shared" si="124"/>
        <v>6448094254</v>
      </c>
      <c r="HI75" s="75">
        <f t="shared" si="124"/>
        <v>4459127054</v>
      </c>
      <c r="HJ75" s="82">
        <f t="shared" si="125"/>
        <v>1988967200</v>
      </c>
      <c r="HK75" s="3"/>
      <c r="HL75" s="83">
        <f t="shared" si="126"/>
        <v>3635270554</v>
      </c>
      <c r="HM75" s="83">
        <f t="shared" si="126"/>
        <v>2559177054</v>
      </c>
      <c r="HN75" s="84">
        <f t="shared" si="127"/>
        <v>1076093500</v>
      </c>
      <c r="HP75" s="83">
        <f t="shared" si="128"/>
        <v>2350000000</v>
      </c>
      <c r="HQ75" s="83">
        <f t="shared" si="128"/>
        <v>1812650000</v>
      </c>
      <c r="HR75" s="84">
        <f t="shared" si="129"/>
        <v>537350000</v>
      </c>
      <c r="HT75" s="83">
        <f t="shared" si="130"/>
        <v>70000000</v>
      </c>
      <c r="HU75" s="83">
        <f t="shared" si="130"/>
        <v>12400000</v>
      </c>
      <c r="HV75" s="84">
        <f t="shared" si="131"/>
        <v>57600000</v>
      </c>
      <c r="HX75" s="83">
        <f t="shared" si="132"/>
        <v>60000000</v>
      </c>
      <c r="HY75" s="83">
        <f t="shared" si="132"/>
        <v>0</v>
      </c>
      <c r="HZ75" s="84">
        <f t="shared" si="133"/>
        <v>60000000</v>
      </c>
      <c r="IB75" s="83">
        <f t="shared" si="134"/>
        <v>35000000</v>
      </c>
      <c r="IC75" s="83">
        <f t="shared" si="134"/>
        <v>0</v>
      </c>
      <c r="ID75" s="84">
        <f t="shared" si="135"/>
        <v>35000000</v>
      </c>
      <c r="IF75" s="83">
        <f t="shared" si="73"/>
        <v>2000000</v>
      </c>
      <c r="IG75" s="83">
        <f t="shared" si="73"/>
        <v>1700000</v>
      </c>
      <c r="IH75" s="84">
        <f t="shared" si="136"/>
        <v>300000</v>
      </c>
      <c r="IJ75" s="84">
        <f t="shared" si="137"/>
        <v>295823700</v>
      </c>
      <c r="IK75" s="84">
        <f t="shared" si="137"/>
        <v>73200000</v>
      </c>
      <c r="IL75" s="84">
        <f t="shared" si="138"/>
        <v>222623700</v>
      </c>
    </row>
    <row r="76" spans="1:246" ht="15" customHeight="1" x14ac:dyDescent="0.25">
      <c r="A76" s="119">
        <v>70</v>
      </c>
      <c r="B76" s="2" t="s">
        <v>136</v>
      </c>
      <c r="C76" s="55" t="s">
        <v>63</v>
      </c>
      <c r="D76" s="66">
        <f>'[1]Univ Comm Fund'!D76</f>
        <v>0</v>
      </c>
      <c r="E76" s="66">
        <f>'[1]UNIV 2019'!D82</f>
        <v>0</v>
      </c>
      <c r="F76" s="75">
        <f t="shared" si="74"/>
        <v>0</v>
      </c>
      <c r="G76" s="66"/>
      <c r="H76" s="66">
        <f>'[1]Univ Comm Fund'!E76</f>
        <v>0</v>
      </c>
      <c r="I76" s="66">
        <f>'[1]UNIV 2019'!E82</f>
        <v>0</v>
      </c>
      <c r="J76" s="66">
        <f t="shared" si="75"/>
        <v>0</v>
      </c>
      <c r="K76" s="66"/>
      <c r="L76" s="66">
        <f>'[1]Univ Comm Fund'!F76</f>
        <v>0</v>
      </c>
      <c r="M76" s="66">
        <f>'[1]UNIV 2019'!F82</f>
        <v>0</v>
      </c>
      <c r="N76" s="66">
        <f t="shared" si="76"/>
        <v>0</v>
      </c>
      <c r="O76" s="66"/>
      <c r="P76" s="66">
        <f>'[1]Univ Comm Fund'!G76</f>
        <v>0</v>
      </c>
      <c r="Q76" s="66">
        <f>'[1]UNIV 2019'!G82</f>
        <v>0</v>
      </c>
      <c r="R76" s="66">
        <f t="shared" si="77"/>
        <v>0</v>
      </c>
      <c r="S76" s="87"/>
      <c r="T76" s="66">
        <f>'[1]Univ Comm Fund'!H76</f>
        <v>0</v>
      </c>
      <c r="U76" s="66">
        <f>'[1]UNIV 2019'!H82</f>
        <v>0</v>
      </c>
      <c r="V76" s="66">
        <f t="shared" si="78"/>
        <v>0</v>
      </c>
      <c r="W76" s="66"/>
      <c r="X76" s="66">
        <f>'[1]Univ Comm Fund'!I76</f>
        <v>0</v>
      </c>
      <c r="Y76" s="66">
        <f>'[1]UNIV 2019'!I82</f>
        <v>0</v>
      </c>
      <c r="Z76" s="66">
        <f t="shared" si="79"/>
        <v>0</v>
      </c>
      <c r="AA76" s="66"/>
      <c r="AB76" s="66">
        <f>'[1]Univ Comm Fund'!J76</f>
        <v>0</v>
      </c>
      <c r="AC76" s="66">
        <f>'[1]UNIV 2019'!J82</f>
        <v>0</v>
      </c>
      <c r="AD76" s="66">
        <f t="shared" si="80"/>
        <v>0</v>
      </c>
      <c r="AE76" s="66"/>
      <c r="AF76" s="66">
        <f>'[1]Univ Comm Fund'!K76</f>
        <v>0</v>
      </c>
      <c r="AG76" s="66">
        <f>'[1]UNIV 2019'!K82</f>
        <v>0</v>
      </c>
      <c r="AH76" s="66">
        <f t="shared" si="81"/>
        <v>0</v>
      </c>
      <c r="AI76" s="66"/>
      <c r="AJ76" s="66">
        <f>'[1]Univ Comm Fund'!L76</f>
        <v>0</v>
      </c>
      <c r="AK76" s="66">
        <f>'[1]UNIV 2019'!L82</f>
        <v>0</v>
      </c>
      <c r="AL76" s="66">
        <f t="shared" si="82"/>
        <v>0</v>
      </c>
      <c r="AM76" s="66"/>
      <c r="AN76" s="66">
        <f>'[1]Univ Comm Fund'!M76</f>
        <v>0</v>
      </c>
      <c r="AO76" s="66">
        <f>'[1]UNIV 2019'!M82</f>
        <v>0</v>
      </c>
      <c r="AP76" s="66">
        <f t="shared" si="83"/>
        <v>0</v>
      </c>
      <c r="AQ76" s="66"/>
      <c r="AR76" s="66">
        <f>'[1]Univ Comm Fund'!N76</f>
        <v>0</v>
      </c>
      <c r="AS76" s="66">
        <f>'[1]UNIV 2019'!N82</f>
        <v>0</v>
      </c>
      <c r="AT76" s="66">
        <f t="shared" si="84"/>
        <v>0</v>
      </c>
      <c r="AU76" s="66"/>
      <c r="AV76" s="66">
        <f>'[1]Univ Comm Fund'!O76</f>
        <v>0</v>
      </c>
      <c r="AW76" s="66">
        <f>'[1]UNIV 2019'!O82</f>
        <v>0</v>
      </c>
      <c r="AX76" s="66">
        <f t="shared" si="85"/>
        <v>0</v>
      </c>
      <c r="AY76" s="66"/>
      <c r="AZ76" s="66">
        <f>'[1]Univ Comm Fund'!P76</f>
        <v>0</v>
      </c>
      <c r="BA76" s="66">
        <f>'[1]UNIV 2019'!P82</f>
        <v>0</v>
      </c>
      <c r="BB76" s="66">
        <f t="shared" si="70"/>
        <v>0</v>
      </c>
      <c r="BC76" s="66"/>
      <c r="BD76" s="66">
        <f>'[1]Univ Comm Fund'!Q76</f>
        <v>0</v>
      </c>
      <c r="BE76" s="66">
        <f>'[1]UNIV 2019'!Q82</f>
        <v>0</v>
      </c>
      <c r="BF76" s="66">
        <f t="shared" si="71"/>
        <v>0</v>
      </c>
      <c r="BG76" s="66"/>
      <c r="BH76" s="66">
        <f>'[1]Univ Comm Fund'!R76</f>
        <v>0</v>
      </c>
      <c r="BI76" s="66">
        <f>'[1]UNIV 2019'!R82</f>
        <v>0</v>
      </c>
      <c r="BJ76" s="66">
        <f t="shared" si="86"/>
        <v>0</v>
      </c>
      <c r="BK76" s="66"/>
      <c r="BL76" s="66">
        <f>'[1]Univ Comm Fund'!S76</f>
        <v>0</v>
      </c>
      <c r="BM76" s="66">
        <f>'[1]UNIV 2019'!S82</f>
        <v>0</v>
      </c>
      <c r="BN76" s="66">
        <f t="shared" si="87"/>
        <v>0</v>
      </c>
      <c r="BO76" s="66"/>
      <c r="BP76" s="66">
        <f>'[1]Univ Comm Fund'!T76</f>
        <v>0</v>
      </c>
      <c r="BQ76" s="66">
        <f>'[1]UNIV 2019'!T82</f>
        <v>0</v>
      </c>
      <c r="BR76" s="66">
        <f t="shared" si="88"/>
        <v>0</v>
      </c>
      <c r="BS76" s="66"/>
      <c r="BT76" s="66">
        <f>'[1]Univ Comm Fund'!U76</f>
        <v>0</v>
      </c>
      <c r="BU76" s="66">
        <f>'[1]UNIV 2019'!U82</f>
        <v>0</v>
      </c>
      <c r="BV76" s="66">
        <f t="shared" si="72"/>
        <v>0</v>
      </c>
      <c r="BW76" s="66"/>
      <c r="BX76" s="66">
        <f>'[1]Univ Comm Fund'!V76</f>
        <v>0</v>
      </c>
      <c r="BY76" s="66">
        <f>'[1]UNIV 2019'!V82</f>
        <v>0</v>
      </c>
      <c r="BZ76" s="66">
        <f t="shared" si="89"/>
        <v>0</v>
      </c>
      <c r="CA76" s="66"/>
      <c r="CB76" s="66">
        <f>'[1]Univ Comm Fund'!W76</f>
        <v>0</v>
      </c>
      <c r="CC76" s="66">
        <f>'[1]UNIV 2019'!W82</f>
        <v>0</v>
      </c>
      <c r="CD76" s="66">
        <f t="shared" si="90"/>
        <v>0</v>
      </c>
      <c r="CE76" s="66"/>
      <c r="CF76" s="66">
        <v>0</v>
      </c>
      <c r="CG76" s="66">
        <f>'[1]UNIV 2019'!X82</f>
        <v>0</v>
      </c>
      <c r="CH76" s="75">
        <f t="shared" si="91"/>
        <v>0</v>
      </c>
      <c r="CI76" s="66"/>
      <c r="CJ76" s="66">
        <f>'[1]Univ Comm Fund'!Y76</f>
        <v>0</v>
      </c>
      <c r="CK76" s="66">
        <f>'[1]UNIV 2019'!Y82</f>
        <v>0</v>
      </c>
      <c r="CL76" s="66">
        <f t="shared" si="92"/>
        <v>0</v>
      </c>
      <c r="CM76" s="66"/>
      <c r="CN76" s="66">
        <f>'[1]Univ Comm Fund'!Z76</f>
        <v>0</v>
      </c>
      <c r="CO76" s="66">
        <f>'[1]UNIV 2019'!Z82</f>
        <v>0</v>
      </c>
      <c r="CP76" s="66">
        <f t="shared" si="93"/>
        <v>0</v>
      </c>
      <c r="CQ76" s="66"/>
      <c r="CR76" s="66">
        <f>'[1]Univ Comm Fund'!AA76</f>
        <v>0</v>
      </c>
      <c r="CS76" s="66">
        <f>'[1]UNIV 2019'!AA82</f>
        <v>0</v>
      </c>
      <c r="CT76" s="75">
        <f t="shared" si="94"/>
        <v>0</v>
      </c>
      <c r="CU76" s="66"/>
      <c r="CV76" s="66">
        <f>'[1]Univ Comm Fund'!AB76</f>
        <v>300000000</v>
      </c>
      <c r="CW76" s="66">
        <f>'[1]UNIV 2019'!AB82</f>
        <v>255000000</v>
      </c>
      <c r="CX76" s="75">
        <f t="shared" si="95"/>
        <v>45000000</v>
      </c>
      <c r="CY76" s="66"/>
      <c r="CZ76" s="66">
        <f>'[1]Univ Comm Fund'!AC76</f>
        <v>1401581158.6400001</v>
      </c>
      <c r="DA76" s="66">
        <f>'[1]UNIV 2019'!AC82</f>
        <v>1384994762.7399998</v>
      </c>
      <c r="DB76" s="66">
        <f t="shared" si="96"/>
        <v>16586395.900000334</v>
      </c>
      <c r="DC76" s="66"/>
      <c r="DD76" s="66">
        <f>'[1]Univ Comm Fund'!AD76</f>
        <v>0</v>
      </c>
      <c r="DE76" s="66">
        <f>'[1]UNIV 2019'!AD82</f>
        <v>0</v>
      </c>
      <c r="DF76" s="66">
        <f t="shared" si="97"/>
        <v>0</v>
      </c>
      <c r="DG76" s="66"/>
      <c r="DH76" s="66">
        <f>'[1]Univ Comm Fund'!AE76</f>
        <v>552000000</v>
      </c>
      <c r="DI76" s="66">
        <f>'[1]UNIV 2019'!AE82</f>
        <v>552000000</v>
      </c>
      <c r="DJ76" s="66">
        <f t="shared" si="98"/>
        <v>0</v>
      </c>
      <c r="DK76" s="66"/>
      <c r="DL76" s="66">
        <f>'[1]Univ Comm Fund'!AF76</f>
        <v>20000000</v>
      </c>
      <c r="DM76" s="66">
        <f>'[1]UNIV 2019'!AF82</f>
        <v>16000000</v>
      </c>
      <c r="DN76" s="66">
        <f t="shared" si="99"/>
        <v>4000000</v>
      </c>
      <c r="DO76" s="66"/>
      <c r="DP76" s="66">
        <f>'[1]Univ Comm Fund'!AG76</f>
        <v>250000000</v>
      </c>
      <c r="DQ76" s="66">
        <f>'[1]UNIV 2019'!AG82</f>
        <v>250000000</v>
      </c>
      <c r="DR76" s="66">
        <f t="shared" si="100"/>
        <v>0</v>
      </c>
      <c r="DS76" s="66"/>
      <c r="DT76" s="66">
        <f>'[1]Univ Comm Fund'!AH76</f>
        <v>100000000</v>
      </c>
      <c r="DU76" s="66">
        <f>'[1]UNIV 2019'!AH82</f>
        <v>56000000</v>
      </c>
      <c r="DV76" s="66">
        <f t="shared" si="101"/>
        <v>44000000</v>
      </c>
      <c r="DW76" s="66"/>
      <c r="DX76" s="66">
        <f>'[1]Univ Comm Fund'!AI76</f>
        <v>15000000</v>
      </c>
      <c r="DY76" s="66">
        <f>'[1]UNIV 2019'!AI82</f>
        <v>15000000</v>
      </c>
      <c r="DZ76" s="66">
        <f t="shared" si="102"/>
        <v>0</v>
      </c>
      <c r="EA76" s="66"/>
      <c r="EB76" s="66">
        <f>'[1]Univ Comm Fund'!AJ76</f>
        <v>2000000</v>
      </c>
      <c r="EC76" s="66">
        <f>'[1]UNIV 2019'!AJ82</f>
        <v>0</v>
      </c>
      <c r="ED76" s="66">
        <f t="shared" si="103"/>
        <v>2000000</v>
      </c>
      <c r="EE76" s="66"/>
      <c r="EF76" s="66">
        <f>'[1]Univ Comm Fund'!AK76</f>
        <v>10000000</v>
      </c>
      <c r="EG76" s="66">
        <f>'[1]UNIV 2019'!AK82</f>
        <v>8000000</v>
      </c>
      <c r="EH76" s="66">
        <f t="shared" si="104"/>
        <v>2000000</v>
      </c>
      <c r="EI76" s="66"/>
      <c r="EJ76" s="66">
        <f>'[1]Univ Comm Fund'!AL76</f>
        <v>1850000000</v>
      </c>
      <c r="EK76" s="66">
        <f>'[1]UNIV 2019'!AL82</f>
        <v>1775000000</v>
      </c>
      <c r="EL76" s="66">
        <f t="shared" si="105"/>
        <v>75000000</v>
      </c>
      <c r="EM76" s="66"/>
      <c r="EN76" s="80">
        <f>'[1]Univ Comm Fund'!AM76</f>
        <v>565410000</v>
      </c>
      <c r="EO76" s="66">
        <f>'[1]UNIV 2019'!AM82</f>
        <v>316629600</v>
      </c>
      <c r="EP76" s="75">
        <f t="shared" si="106"/>
        <v>248780400</v>
      </c>
      <c r="EQ76" s="66"/>
      <c r="ER76" s="66">
        <f>'[1]Univ Comm Fund'!AN76</f>
        <v>15000000</v>
      </c>
      <c r="ES76" s="66">
        <f>'[1]UNIV 2019'!AN82</f>
        <v>15000000</v>
      </c>
      <c r="ET76" s="75">
        <f t="shared" si="107"/>
        <v>0</v>
      </c>
      <c r="EU76" s="66"/>
      <c r="EV76" s="66">
        <f>'[1]Univ Comm Fund'!AO76</f>
        <v>15000000</v>
      </c>
      <c r="EW76" s="66">
        <f>'[1]UNIV 2019'!AO82</f>
        <v>0</v>
      </c>
      <c r="EX76" s="75">
        <f t="shared" si="108"/>
        <v>15000000</v>
      </c>
      <c r="EY76" s="66"/>
      <c r="EZ76" s="66">
        <f>'[1]Univ Comm Fund'!AP76</f>
        <v>10000000</v>
      </c>
      <c r="FA76" s="66">
        <f>'[1]UNIV 2019'!AP82</f>
        <v>8000000</v>
      </c>
      <c r="FB76" s="75">
        <f t="shared" si="109"/>
        <v>2000000</v>
      </c>
      <c r="FC76" s="75"/>
      <c r="FD76" s="75">
        <f>'[1]Univ Comm Fund'!AQ76</f>
        <v>0</v>
      </c>
      <c r="FE76" s="75">
        <f>'[1]UNIV 2019'!AQ82</f>
        <v>0</v>
      </c>
      <c r="FF76" s="75">
        <f t="shared" si="110"/>
        <v>0</v>
      </c>
      <c r="FG76" s="75"/>
      <c r="FH76" s="75">
        <f>'[1]Univ Comm Fund'!AR76</f>
        <v>0</v>
      </c>
      <c r="FI76" s="75">
        <f>'[1]UNIV 2019'!AR82</f>
        <v>0</v>
      </c>
      <c r="FJ76" s="75">
        <f t="shared" si="111"/>
        <v>0</v>
      </c>
      <c r="FK76" s="75"/>
      <c r="FL76" s="75">
        <f>'[1]Univ Comm Fund'!AS76</f>
        <v>300000000</v>
      </c>
      <c r="FM76" s="75">
        <f>'[1]UNIV 2019'!AS82</f>
        <v>0</v>
      </c>
      <c r="FN76" s="75">
        <f t="shared" si="112"/>
        <v>300000000</v>
      </c>
      <c r="FO76" s="75"/>
      <c r="FP76" s="75">
        <f>'[1]Univ Comm Fund'!AT76</f>
        <v>120000000</v>
      </c>
      <c r="FQ76" s="75">
        <f>'[1]UNIV 2019'!AT82</f>
        <v>75600000</v>
      </c>
      <c r="FR76" s="75">
        <f t="shared" si="113"/>
        <v>44400000</v>
      </c>
      <c r="FS76" s="75"/>
      <c r="FT76" s="75">
        <f>'[1]Univ Comm Fund'!AU76</f>
        <v>10000000</v>
      </c>
      <c r="FU76" s="75">
        <f>'[1]UNIV 2019'!AU82</f>
        <v>0</v>
      </c>
      <c r="FV76" s="75">
        <f t="shared" si="114"/>
        <v>10000000</v>
      </c>
      <c r="FW76" s="75"/>
      <c r="FX76" s="75">
        <f>'[1]Univ Comm Fund'!AV76</f>
        <v>5000000</v>
      </c>
      <c r="FY76" s="75">
        <f>'[1]UNIV 2019'!AV82</f>
        <v>0</v>
      </c>
      <c r="FZ76" s="75">
        <f t="shared" si="115"/>
        <v>5000000</v>
      </c>
      <c r="GA76" s="75"/>
      <c r="GB76" s="75">
        <f>'[1]Univ Comm Fund'!AW76</f>
        <v>10000000</v>
      </c>
      <c r="GC76" s="75">
        <f>'[1]UNIV 2019'!AW82</f>
        <v>0</v>
      </c>
      <c r="GD76" s="75">
        <f t="shared" si="116"/>
        <v>10000000</v>
      </c>
      <c r="GE76" s="75"/>
      <c r="GF76" s="75">
        <f>'[1]Univ Comm Fund'!AX76</f>
        <v>0</v>
      </c>
      <c r="GG76" s="75">
        <f>'[1]UNIV 2019'!AX82</f>
        <v>0</v>
      </c>
      <c r="GH76" s="75">
        <f t="shared" si="117"/>
        <v>0</v>
      </c>
      <c r="GI76" s="75"/>
      <c r="GJ76" s="75">
        <f>'[1]Univ Comm Fund'!AY76</f>
        <v>350000000</v>
      </c>
      <c r="GK76" s="75">
        <f>'[1]UNIV 2019'!AY82</f>
        <v>0</v>
      </c>
      <c r="GL76" s="75">
        <f t="shared" si="118"/>
        <v>350000000</v>
      </c>
      <c r="GM76" s="75"/>
      <c r="GN76" s="75">
        <f>'[1]Univ Comm Fund'!AZ76</f>
        <v>175823700</v>
      </c>
      <c r="GO76" s="75">
        <f>'[1]UNIV 2019'!AZ82</f>
        <v>0</v>
      </c>
      <c r="GP76" s="75">
        <f t="shared" si="119"/>
        <v>175823700</v>
      </c>
      <c r="GQ76" s="75"/>
      <c r="GR76" s="75">
        <f>'[1]Univ Comm Fund'!BA76</f>
        <v>20000000</v>
      </c>
      <c r="GS76" s="75">
        <f>'[1]UNIV 2019'!BA82</f>
        <v>0</v>
      </c>
      <c r="GT76" s="75">
        <f t="shared" si="120"/>
        <v>20000000</v>
      </c>
      <c r="GU76" s="75"/>
      <c r="GV76" s="75">
        <f>'[1]Univ Comm Fund'!BB76</f>
        <v>5000000</v>
      </c>
      <c r="GW76" s="75">
        <f>'[1]UNIV 2019'!BB82</f>
        <v>0</v>
      </c>
      <c r="GX76" s="75">
        <f t="shared" si="121"/>
        <v>5000000</v>
      </c>
      <c r="GY76" s="75"/>
      <c r="GZ76" s="75">
        <f>'[1]Univ Comm Fund'!BC76</f>
        <v>10000000</v>
      </c>
      <c r="HA76" s="75">
        <f>'[1]UNIV 2019'!BD82</f>
        <v>0</v>
      </c>
      <c r="HB76" s="75">
        <f t="shared" si="122"/>
        <v>10000000</v>
      </c>
      <c r="HC76" s="75"/>
      <c r="HD76" s="75">
        <f>'[1]Univ Comm Fund'!BD76</f>
        <v>0</v>
      </c>
      <c r="HE76" s="75">
        <f>'[1]UNIV 2019'!BC82</f>
        <v>0</v>
      </c>
      <c r="HF76" s="75">
        <f t="shared" si="123"/>
        <v>0</v>
      </c>
      <c r="HG76" s="75"/>
      <c r="HH76" s="75">
        <f t="shared" si="124"/>
        <v>6111814858.6400003</v>
      </c>
      <c r="HI76" s="75">
        <f t="shared" si="124"/>
        <v>4727224362.7399998</v>
      </c>
      <c r="HJ76" s="82">
        <f t="shared" si="125"/>
        <v>1384590495.9000006</v>
      </c>
      <c r="HL76" s="83">
        <f t="shared" si="126"/>
        <v>3268991158.6400003</v>
      </c>
      <c r="HM76" s="83">
        <f t="shared" si="126"/>
        <v>2309624362.7399998</v>
      </c>
      <c r="HN76" s="84">
        <f t="shared" si="127"/>
        <v>959366795.90000057</v>
      </c>
      <c r="HP76" s="83">
        <f t="shared" si="128"/>
        <v>2400000000</v>
      </c>
      <c r="HQ76" s="83">
        <f t="shared" si="128"/>
        <v>2280000000</v>
      </c>
      <c r="HR76" s="84">
        <f t="shared" si="129"/>
        <v>120000000</v>
      </c>
      <c r="HT76" s="83">
        <f t="shared" si="130"/>
        <v>50000000</v>
      </c>
      <c r="HU76" s="83">
        <f t="shared" si="130"/>
        <v>32000000</v>
      </c>
      <c r="HV76" s="84">
        <f t="shared" si="131"/>
        <v>18000000</v>
      </c>
      <c r="HX76" s="83">
        <f t="shared" si="132"/>
        <v>60000000</v>
      </c>
      <c r="HY76" s="83">
        <f t="shared" si="132"/>
        <v>30000000</v>
      </c>
      <c r="HZ76" s="84">
        <f t="shared" si="133"/>
        <v>30000000</v>
      </c>
      <c r="IB76" s="83">
        <f t="shared" si="134"/>
        <v>35000000</v>
      </c>
      <c r="IC76" s="83">
        <f t="shared" si="134"/>
        <v>0</v>
      </c>
      <c r="ID76" s="84">
        <f t="shared" si="135"/>
        <v>35000000</v>
      </c>
      <c r="IF76" s="83">
        <f t="shared" si="73"/>
        <v>2000000</v>
      </c>
      <c r="IG76" s="83">
        <f t="shared" si="73"/>
        <v>0</v>
      </c>
      <c r="IH76" s="84">
        <f t="shared" si="136"/>
        <v>2000000</v>
      </c>
      <c r="IJ76" s="84">
        <f t="shared" si="137"/>
        <v>295823700</v>
      </c>
      <c r="IK76" s="84">
        <f t="shared" si="137"/>
        <v>75600000</v>
      </c>
      <c r="IL76" s="84">
        <f t="shared" si="138"/>
        <v>220223700</v>
      </c>
    </row>
    <row r="77" spans="1:246" ht="15" customHeight="1" x14ac:dyDescent="0.25">
      <c r="A77" s="42">
        <v>71</v>
      </c>
      <c r="B77" s="135" t="s">
        <v>137</v>
      </c>
      <c r="C77" s="136" t="s">
        <v>63</v>
      </c>
      <c r="D77" s="66">
        <f>'[1]Univ Comm Fund'!D77</f>
        <v>0</v>
      </c>
      <c r="E77" s="66">
        <f>'[1]UNIV 2019'!D83</f>
        <v>0</v>
      </c>
      <c r="F77" s="75">
        <f t="shared" si="74"/>
        <v>0</v>
      </c>
      <c r="G77" s="66"/>
      <c r="H77" s="66">
        <f>'[1]Univ Comm Fund'!E77</f>
        <v>0</v>
      </c>
      <c r="I77" s="66">
        <f>'[1]UNIV 2019'!E83</f>
        <v>0</v>
      </c>
      <c r="J77" s="66">
        <f t="shared" si="75"/>
        <v>0</v>
      </c>
      <c r="K77" s="66"/>
      <c r="L77" s="66">
        <f>'[1]Univ Comm Fund'!F77</f>
        <v>0</v>
      </c>
      <c r="M77" s="66">
        <f>'[1]UNIV 2019'!F83</f>
        <v>0</v>
      </c>
      <c r="N77" s="66">
        <f t="shared" si="76"/>
        <v>0</v>
      </c>
      <c r="O77" s="66"/>
      <c r="P77" s="66">
        <f>'[1]Univ Comm Fund'!G77</f>
        <v>0</v>
      </c>
      <c r="Q77" s="66">
        <f>'[1]UNIV 2019'!G83</f>
        <v>0</v>
      </c>
      <c r="R77" s="66">
        <f t="shared" si="77"/>
        <v>0</v>
      </c>
      <c r="S77" s="87"/>
      <c r="T77" s="66">
        <f>'[1]Univ Comm Fund'!H77</f>
        <v>0</v>
      </c>
      <c r="U77" s="66">
        <f>'[1]UNIV 2019'!H83</f>
        <v>0</v>
      </c>
      <c r="V77" s="66">
        <f t="shared" si="78"/>
        <v>0</v>
      </c>
      <c r="W77" s="66"/>
      <c r="X77" s="66">
        <f>'[1]Univ Comm Fund'!I77</f>
        <v>0</v>
      </c>
      <c r="Y77" s="66">
        <f>'[1]UNIV 2019'!I83</f>
        <v>0</v>
      </c>
      <c r="Z77" s="66">
        <f t="shared" si="79"/>
        <v>0</v>
      </c>
      <c r="AA77" s="66"/>
      <c r="AB77" s="66">
        <f>'[1]Univ Comm Fund'!J77</f>
        <v>0</v>
      </c>
      <c r="AC77" s="66">
        <f>'[1]UNIV 2019'!J83</f>
        <v>0</v>
      </c>
      <c r="AD77" s="66">
        <f t="shared" si="80"/>
        <v>0</v>
      </c>
      <c r="AE77" s="66"/>
      <c r="AF77" s="66">
        <f>'[1]Univ Comm Fund'!K77</f>
        <v>0</v>
      </c>
      <c r="AG77" s="66">
        <f>'[1]UNIV 2019'!K83</f>
        <v>0</v>
      </c>
      <c r="AH77" s="66">
        <f t="shared" si="81"/>
        <v>0</v>
      </c>
      <c r="AI77" s="66"/>
      <c r="AJ77" s="66">
        <f>'[1]Univ Comm Fund'!L77</f>
        <v>0</v>
      </c>
      <c r="AK77" s="66">
        <f>'[1]UNIV 2019'!L83</f>
        <v>0</v>
      </c>
      <c r="AL77" s="66">
        <f t="shared" si="82"/>
        <v>0</v>
      </c>
      <c r="AM77" s="66"/>
      <c r="AN77" s="66">
        <f>'[1]Univ Comm Fund'!M77</f>
        <v>0</v>
      </c>
      <c r="AO77" s="66">
        <f>'[1]UNIV 2019'!M83</f>
        <v>0</v>
      </c>
      <c r="AP77" s="66">
        <f t="shared" si="83"/>
        <v>0</v>
      </c>
      <c r="AQ77" s="66"/>
      <c r="AR77" s="66">
        <f>'[1]Univ Comm Fund'!N77</f>
        <v>0</v>
      </c>
      <c r="AS77" s="66">
        <f>'[1]UNIV 2019'!N83</f>
        <v>0</v>
      </c>
      <c r="AT77" s="66">
        <f t="shared" si="84"/>
        <v>0</v>
      </c>
      <c r="AU77" s="66"/>
      <c r="AV77" s="66">
        <f>'[1]Univ Comm Fund'!O77</f>
        <v>0</v>
      </c>
      <c r="AW77" s="66">
        <f>'[1]UNIV 2019'!O83</f>
        <v>0</v>
      </c>
      <c r="AX77" s="66">
        <f t="shared" si="85"/>
        <v>0</v>
      </c>
      <c r="AY77" s="66"/>
      <c r="AZ77" s="66">
        <f>'[1]Univ Comm Fund'!P77</f>
        <v>0</v>
      </c>
      <c r="BA77" s="66">
        <f>'[1]UNIV 2019'!P83</f>
        <v>0</v>
      </c>
      <c r="BB77" s="66">
        <f t="shared" si="70"/>
        <v>0</v>
      </c>
      <c r="BC77" s="66"/>
      <c r="BD77" s="66">
        <f>'[1]Univ Comm Fund'!Q77</f>
        <v>0</v>
      </c>
      <c r="BE77" s="66">
        <f>'[1]UNIV 2019'!Q83</f>
        <v>0</v>
      </c>
      <c r="BF77" s="66">
        <f t="shared" si="71"/>
        <v>0</v>
      </c>
      <c r="BG77" s="66"/>
      <c r="BH77" s="66">
        <f>'[1]Univ Comm Fund'!R77</f>
        <v>0</v>
      </c>
      <c r="BI77" s="66">
        <f>'[1]UNIV 2019'!R83</f>
        <v>0</v>
      </c>
      <c r="BJ77" s="66">
        <f t="shared" si="86"/>
        <v>0</v>
      </c>
      <c r="BK77" s="66"/>
      <c r="BL77" s="66">
        <f>'[1]Univ Comm Fund'!S77</f>
        <v>0</v>
      </c>
      <c r="BM77" s="66">
        <f>'[1]UNIV 2019'!S83</f>
        <v>0</v>
      </c>
      <c r="BN77" s="66">
        <f t="shared" si="87"/>
        <v>0</v>
      </c>
      <c r="BO77" s="66"/>
      <c r="BP77" s="66">
        <f>'[1]Univ Comm Fund'!T77</f>
        <v>0</v>
      </c>
      <c r="BQ77" s="66">
        <f>'[1]UNIV 2019'!T83</f>
        <v>0</v>
      </c>
      <c r="BR77" s="66">
        <f t="shared" si="88"/>
        <v>0</v>
      </c>
      <c r="BS77" s="66"/>
      <c r="BT77" s="66">
        <f>'[1]Univ Comm Fund'!U77</f>
        <v>0</v>
      </c>
      <c r="BU77" s="66">
        <f>'[1]UNIV 2019'!U83</f>
        <v>0</v>
      </c>
      <c r="BV77" s="66">
        <f t="shared" si="72"/>
        <v>0</v>
      </c>
      <c r="BW77" s="66"/>
      <c r="BX77" s="66">
        <f>'[1]Univ Comm Fund'!V77</f>
        <v>0</v>
      </c>
      <c r="BY77" s="66">
        <f>'[1]UNIV 2019'!V83</f>
        <v>0</v>
      </c>
      <c r="BZ77" s="66">
        <f t="shared" si="89"/>
        <v>0</v>
      </c>
      <c r="CA77" s="66"/>
      <c r="CB77" s="66">
        <f>'[1]Univ Comm Fund'!W77</f>
        <v>0</v>
      </c>
      <c r="CC77" s="66">
        <f>'[1]UNIV 2019'!W83</f>
        <v>0</v>
      </c>
      <c r="CD77" s="66">
        <f t="shared" si="90"/>
        <v>0</v>
      </c>
      <c r="CE77" s="66"/>
      <c r="CF77" s="66">
        <v>0</v>
      </c>
      <c r="CG77" s="66">
        <f>'[1]UNIV 2019'!X83</f>
        <v>0</v>
      </c>
      <c r="CH77" s="75">
        <f t="shared" si="91"/>
        <v>0</v>
      </c>
      <c r="CI77" s="66"/>
      <c r="CJ77" s="66">
        <f>'[1]Univ Comm Fund'!Y77</f>
        <v>0</v>
      </c>
      <c r="CK77" s="66">
        <f>'[1]UNIV 2019'!Y83</f>
        <v>0</v>
      </c>
      <c r="CL77" s="66">
        <f t="shared" si="92"/>
        <v>0</v>
      </c>
      <c r="CM77" s="66"/>
      <c r="CN77" s="66">
        <f>'[1]Univ Comm Fund'!Z77</f>
        <v>0</v>
      </c>
      <c r="CO77" s="66">
        <f>'[1]UNIV 2019'!Z83</f>
        <v>0</v>
      </c>
      <c r="CP77" s="66">
        <f t="shared" si="93"/>
        <v>0</v>
      </c>
      <c r="CQ77" s="66"/>
      <c r="CR77" s="66">
        <f>'[1]Univ Comm Fund'!AA77</f>
        <v>0</v>
      </c>
      <c r="CS77" s="66">
        <f>'[1]UNIV 2019'!AA83</f>
        <v>0</v>
      </c>
      <c r="CT77" s="75">
        <f t="shared" si="94"/>
        <v>0</v>
      </c>
      <c r="CU77" s="66"/>
      <c r="CV77" s="66">
        <f>'[1]Univ Comm Fund'!AB77</f>
        <v>0</v>
      </c>
      <c r="CW77" s="66">
        <f>'[1]UNIV 2019'!AB83</f>
        <v>0</v>
      </c>
      <c r="CX77" s="75">
        <f t="shared" si="95"/>
        <v>0</v>
      </c>
      <c r="CY77" s="66"/>
      <c r="CZ77" s="66">
        <f>'[1]Univ Comm Fund'!AC77</f>
        <v>1401581158.6400001</v>
      </c>
      <c r="DA77" s="66">
        <f>'[1]UNIV 2019'!AC83</f>
        <v>1387081748.5599999</v>
      </c>
      <c r="DB77" s="66">
        <f t="shared" si="96"/>
        <v>14499410.080000162</v>
      </c>
      <c r="DC77" s="66"/>
      <c r="DD77" s="66">
        <f>'[1]Univ Comm Fund'!AD77</f>
        <v>0</v>
      </c>
      <c r="DE77" s="66">
        <f>'[1]UNIV 2019'!AD83</f>
        <v>0</v>
      </c>
      <c r="DF77" s="66">
        <f t="shared" si="97"/>
        <v>0</v>
      </c>
      <c r="DG77" s="66"/>
      <c r="DH77" s="66">
        <f>'[1]Univ Comm Fund'!AE77</f>
        <v>552000000</v>
      </c>
      <c r="DI77" s="66">
        <f>'[1]UNIV 2019'!AE83</f>
        <v>550000000</v>
      </c>
      <c r="DJ77" s="66">
        <f t="shared" si="98"/>
        <v>2000000</v>
      </c>
      <c r="DK77" s="66"/>
      <c r="DL77" s="66">
        <f>'[1]Univ Comm Fund'!AF77</f>
        <v>20000000</v>
      </c>
      <c r="DM77" s="66">
        <f>'[1]UNIV 2019'!AF83</f>
        <v>17000000</v>
      </c>
      <c r="DN77" s="66">
        <f t="shared" si="99"/>
        <v>3000000</v>
      </c>
      <c r="DO77" s="66"/>
      <c r="DP77" s="66">
        <f>'[1]Univ Comm Fund'!AG77</f>
        <v>200000000</v>
      </c>
      <c r="DQ77" s="66">
        <f>'[1]UNIV 2019'!AG83</f>
        <v>200000000</v>
      </c>
      <c r="DR77" s="66">
        <f t="shared" si="100"/>
        <v>0</v>
      </c>
      <c r="DS77" s="66"/>
      <c r="DT77" s="66">
        <f>'[1]Univ Comm Fund'!AH77</f>
        <v>100000000</v>
      </c>
      <c r="DU77" s="66">
        <f>'[1]UNIV 2019'!AH83</f>
        <v>62000000</v>
      </c>
      <c r="DV77" s="66">
        <f t="shared" si="101"/>
        <v>38000000</v>
      </c>
      <c r="DW77" s="66"/>
      <c r="DX77" s="66">
        <f>'[1]Univ Comm Fund'!AI77</f>
        <v>15000000</v>
      </c>
      <c r="DY77" s="66">
        <f>'[1]UNIV 2019'!AI83</f>
        <v>8400000</v>
      </c>
      <c r="DZ77" s="66">
        <f t="shared" si="102"/>
        <v>6600000</v>
      </c>
      <c r="EA77" s="66"/>
      <c r="EB77" s="66">
        <f>'[1]Univ Comm Fund'!AJ77</f>
        <v>2000000</v>
      </c>
      <c r="EC77" s="66">
        <f>'[1]UNIV 2019'!AJ83</f>
        <v>0</v>
      </c>
      <c r="ED77" s="66">
        <f t="shared" si="103"/>
        <v>2000000</v>
      </c>
      <c r="EE77" s="66"/>
      <c r="EF77" s="66">
        <f>'[1]Univ Comm Fund'!AK77</f>
        <v>10000000</v>
      </c>
      <c r="EG77" s="66">
        <f>'[1]UNIV 2019'!AK83</f>
        <v>8500000</v>
      </c>
      <c r="EH77" s="66">
        <f t="shared" si="104"/>
        <v>1500000</v>
      </c>
      <c r="EI77" s="66"/>
      <c r="EJ77" s="66">
        <f>'[1]Univ Comm Fund'!AL77</f>
        <v>0</v>
      </c>
      <c r="EK77" s="66">
        <f>'[1]UNIV 2019'!AL83</f>
        <v>0</v>
      </c>
      <c r="EL77" s="66">
        <f t="shared" si="105"/>
        <v>0</v>
      </c>
      <c r="EM77" s="66"/>
      <c r="EN77" s="80">
        <f>'[1]Univ Comm Fund'!AM77</f>
        <v>565410000</v>
      </c>
      <c r="EO77" s="66">
        <f>'[1]UNIV 2019'!AM83</f>
        <v>350554200</v>
      </c>
      <c r="EP77" s="75">
        <f t="shared" si="106"/>
        <v>214855800</v>
      </c>
      <c r="EQ77" s="66"/>
      <c r="ER77" s="66">
        <f>'[1]Univ Comm Fund'!AN77</f>
        <v>15000000</v>
      </c>
      <c r="ES77" s="66">
        <f>'[1]UNIV 2019'!AN83</f>
        <v>8400000</v>
      </c>
      <c r="ET77" s="75">
        <f t="shared" si="107"/>
        <v>6600000</v>
      </c>
      <c r="EU77" s="66"/>
      <c r="EV77" s="66">
        <f>'[1]Univ Comm Fund'!AO77</f>
        <v>15000000</v>
      </c>
      <c r="EW77" s="66">
        <f>'[1]UNIV 2019'!AO83</f>
        <v>0</v>
      </c>
      <c r="EX77" s="75">
        <f t="shared" si="108"/>
        <v>15000000</v>
      </c>
      <c r="EY77" s="66"/>
      <c r="EZ77" s="66">
        <f>'[1]Univ Comm Fund'!AP77</f>
        <v>10000000</v>
      </c>
      <c r="FA77" s="66">
        <f>'[1]UNIV 2019'!AP83</f>
        <v>8500000</v>
      </c>
      <c r="FB77" s="75">
        <f t="shared" si="109"/>
        <v>1500000</v>
      </c>
      <c r="FC77" s="75"/>
      <c r="FD77" s="75">
        <f>'[1]Univ Comm Fund'!AQ77</f>
        <v>0</v>
      </c>
      <c r="FE77" s="75">
        <f>'[1]UNIV 2019'!AQ83</f>
        <v>0</v>
      </c>
      <c r="FF77" s="75">
        <f t="shared" si="110"/>
        <v>0</v>
      </c>
      <c r="FG77" s="75"/>
      <c r="FH77" s="75">
        <f>'[1]Univ Comm Fund'!AR77</f>
        <v>0</v>
      </c>
      <c r="FI77" s="75">
        <f>'[1]UNIV 2019'!AR83</f>
        <v>0</v>
      </c>
      <c r="FJ77" s="75">
        <f t="shared" si="111"/>
        <v>0</v>
      </c>
      <c r="FK77" s="75"/>
      <c r="FL77" s="75">
        <f>'[1]Univ Comm Fund'!AS77</f>
        <v>300000000</v>
      </c>
      <c r="FM77" s="75">
        <f>'[1]UNIV 2019'!AS83</f>
        <v>0</v>
      </c>
      <c r="FN77" s="75">
        <f t="shared" si="112"/>
        <v>300000000</v>
      </c>
      <c r="FO77" s="75"/>
      <c r="FP77" s="75">
        <f>'[1]Univ Comm Fund'!AT77</f>
        <v>120000000</v>
      </c>
      <c r="FQ77" s="75">
        <f>'[1]UNIV 2019'!AT83</f>
        <v>0</v>
      </c>
      <c r="FR77" s="75">
        <f t="shared" si="113"/>
        <v>120000000</v>
      </c>
      <c r="FS77" s="75"/>
      <c r="FT77" s="75">
        <f>'[1]Univ Comm Fund'!AU77</f>
        <v>10000000</v>
      </c>
      <c r="FU77" s="75">
        <f>'[1]UNIV 2019'!AU83</f>
        <v>0</v>
      </c>
      <c r="FV77" s="75">
        <f t="shared" si="114"/>
        <v>10000000</v>
      </c>
      <c r="FW77" s="75"/>
      <c r="FX77" s="75">
        <f>'[1]Univ Comm Fund'!AV77</f>
        <v>5000000</v>
      </c>
      <c r="FY77" s="75">
        <f>'[1]UNIV 2019'!AV83</f>
        <v>0</v>
      </c>
      <c r="FZ77" s="75">
        <f t="shared" si="115"/>
        <v>5000000</v>
      </c>
      <c r="GA77" s="75"/>
      <c r="GB77" s="75">
        <f>'[1]Univ Comm Fund'!AW77</f>
        <v>10000000</v>
      </c>
      <c r="GC77" s="75">
        <f>'[1]UNIV 2019'!AW83</f>
        <v>0</v>
      </c>
      <c r="GD77" s="75">
        <f t="shared" si="116"/>
        <v>10000000</v>
      </c>
      <c r="GE77" s="75"/>
      <c r="GF77" s="75">
        <f>'[1]Univ Comm Fund'!AX77</f>
        <v>0</v>
      </c>
      <c r="GG77" s="75">
        <f>'[1]UNIV 2019'!AX83</f>
        <v>0</v>
      </c>
      <c r="GH77" s="75">
        <f t="shared" si="117"/>
        <v>0</v>
      </c>
      <c r="GI77" s="75"/>
      <c r="GJ77" s="75">
        <f>'[1]Univ Comm Fund'!AY77</f>
        <v>350000000</v>
      </c>
      <c r="GK77" s="75">
        <f>'[1]UNIV 2019'!AY83</f>
        <v>0</v>
      </c>
      <c r="GL77" s="75">
        <f t="shared" si="118"/>
        <v>350000000</v>
      </c>
      <c r="GM77" s="75"/>
      <c r="GN77" s="75">
        <f>'[1]Univ Comm Fund'!AZ77</f>
        <v>175823700</v>
      </c>
      <c r="GO77" s="75">
        <f>'[1]UNIV 2019'!AZ83</f>
        <v>0</v>
      </c>
      <c r="GP77" s="75">
        <f t="shared" si="119"/>
        <v>175823700</v>
      </c>
      <c r="GQ77" s="75"/>
      <c r="GR77" s="75">
        <f>'[1]Univ Comm Fund'!BA77</f>
        <v>20000000</v>
      </c>
      <c r="GS77" s="75">
        <f>'[1]UNIV 2019'!BA83</f>
        <v>0</v>
      </c>
      <c r="GT77" s="75">
        <f t="shared" si="120"/>
        <v>20000000</v>
      </c>
      <c r="GU77" s="75"/>
      <c r="GV77" s="75">
        <f>'[1]Univ Comm Fund'!BB77</f>
        <v>5000000</v>
      </c>
      <c r="GW77" s="75">
        <f>'[1]UNIV 2019'!BB83</f>
        <v>0</v>
      </c>
      <c r="GX77" s="75">
        <f t="shared" si="121"/>
        <v>5000000</v>
      </c>
      <c r="GY77" s="75"/>
      <c r="GZ77" s="75">
        <f>'[1]Univ Comm Fund'!BC77</f>
        <v>10000000</v>
      </c>
      <c r="HA77" s="75">
        <f>'[1]UNIV 2019'!BD83</f>
        <v>0</v>
      </c>
      <c r="HB77" s="75">
        <f t="shared" si="122"/>
        <v>10000000</v>
      </c>
      <c r="HC77" s="75"/>
      <c r="HD77" s="75">
        <f>'[1]Univ Comm Fund'!BD77</f>
        <v>0</v>
      </c>
      <c r="HE77" s="75">
        <f>'[1]UNIV 2019'!BC83</f>
        <v>0</v>
      </c>
      <c r="HF77" s="75">
        <f t="shared" si="123"/>
        <v>0</v>
      </c>
      <c r="HG77" s="75"/>
      <c r="HH77" s="75">
        <f t="shared" si="124"/>
        <v>3911814858.6400003</v>
      </c>
      <c r="HI77" s="75">
        <f t="shared" si="124"/>
        <v>2600435948.5599999</v>
      </c>
      <c r="HJ77" s="82">
        <f t="shared" si="125"/>
        <v>1311378910.0800004</v>
      </c>
      <c r="HL77" s="83">
        <f t="shared" si="126"/>
        <v>3268991158.6400003</v>
      </c>
      <c r="HM77" s="83">
        <f t="shared" si="126"/>
        <v>2349635948.5599999</v>
      </c>
      <c r="HN77" s="84">
        <f t="shared" si="127"/>
        <v>919355210.0800004</v>
      </c>
      <c r="HP77" s="83">
        <f t="shared" si="128"/>
        <v>200000000</v>
      </c>
      <c r="HQ77" s="83">
        <f t="shared" si="128"/>
        <v>200000000</v>
      </c>
      <c r="HR77" s="84">
        <f t="shared" si="129"/>
        <v>0</v>
      </c>
      <c r="HT77" s="83">
        <f t="shared" si="130"/>
        <v>50000000</v>
      </c>
      <c r="HU77" s="83">
        <f t="shared" si="130"/>
        <v>34000000</v>
      </c>
      <c r="HV77" s="84">
        <f t="shared" si="131"/>
        <v>16000000</v>
      </c>
      <c r="HX77" s="83">
        <f t="shared" si="132"/>
        <v>60000000</v>
      </c>
      <c r="HY77" s="83">
        <f t="shared" si="132"/>
        <v>16800000</v>
      </c>
      <c r="HZ77" s="84">
        <f t="shared" si="133"/>
        <v>43200000</v>
      </c>
      <c r="IB77" s="83">
        <f t="shared" si="134"/>
        <v>35000000</v>
      </c>
      <c r="IC77" s="83">
        <f t="shared" si="134"/>
        <v>0</v>
      </c>
      <c r="ID77" s="84">
        <f t="shared" si="135"/>
        <v>35000000</v>
      </c>
      <c r="IF77" s="83">
        <f t="shared" si="73"/>
        <v>2000000</v>
      </c>
      <c r="IG77" s="83">
        <f t="shared" si="73"/>
        <v>0</v>
      </c>
      <c r="IH77" s="84">
        <f t="shared" si="136"/>
        <v>2000000</v>
      </c>
      <c r="IJ77" s="84">
        <f t="shared" si="137"/>
        <v>295823700</v>
      </c>
      <c r="IK77" s="84">
        <f t="shared" si="137"/>
        <v>0</v>
      </c>
      <c r="IL77" s="84">
        <f t="shared" si="138"/>
        <v>295823700</v>
      </c>
    </row>
    <row r="78" spans="1:246" ht="15" customHeight="1" x14ac:dyDescent="0.25">
      <c r="A78" s="119">
        <v>72</v>
      </c>
      <c r="B78" s="135" t="s">
        <v>138</v>
      </c>
      <c r="C78" s="136" t="s">
        <v>74</v>
      </c>
      <c r="D78" s="66">
        <f>'[1]Univ Comm Fund'!D78</f>
        <v>0</v>
      </c>
      <c r="E78" s="66">
        <f>'[1]UNIV 2019'!D84</f>
        <v>0</v>
      </c>
      <c r="F78" s="75">
        <f t="shared" si="74"/>
        <v>0</v>
      </c>
      <c r="G78" s="66"/>
      <c r="H78" s="66">
        <f>'[1]Univ Comm Fund'!E78</f>
        <v>0</v>
      </c>
      <c r="I78" s="66">
        <f>'[1]UNIV 2019'!E84</f>
        <v>0</v>
      </c>
      <c r="J78" s="66">
        <f t="shared" si="75"/>
        <v>0</v>
      </c>
      <c r="K78" s="66"/>
      <c r="L78" s="66">
        <f>'[1]Univ Comm Fund'!F78</f>
        <v>0</v>
      </c>
      <c r="M78" s="66">
        <f>'[1]UNIV 2019'!F84</f>
        <v>0</v>
      </c>
      <c r="N78" s="66">
        <f t="shared" si="76"/>
        <v>0</v>
      </c>
      <c r="O78" s="66"/>
      <c r="P78" s="66">
        <f>'[1]Univ Comm Fund'!G78</f>
        <v>0</v>
      </c>
      <c r="Q78" s="66">
        <f>'[1]UNIV 2019'!G84</f>
        <v>0</v>
      </c>
      <c r="R78" s="66">
        <f t="shared" si="77"/>
        <v>0</v>
      </c>
      <c r="S78" s="87"/>
      <c r="T78" s="66">
        <f>'[1]Univ Comm Fund'!H78</f>
        <v>0</v>
      </c>
      <c r="U78" s="66">
        <f>'[1]UNIV 2019'!H84</f>
        <v>0</v>
      </c>
      <c r="V78" s="66">
        <f t="shared" si="78"/>
        <v>0</v>
      </c>
      <c r="W78" s="66"/>
      <c r="X78" s="66">
        <f>'[1]Univ Comm Fund'!I78</f>
        <v>0</v>
      </c>
      <c r="Y78" s="66">
        <f>'[1]UNIV 2019'!I84</f>
        <v>0</v>
      </c>
      <c r="Z78" s="66">
        <f t="shared" si="79"/>
        <v>0</v>
      </c>
      <c r="AA78" s="66"/>
      <c r="AB78" s="66">
        <f>'[1]Univ Comm Fund'!J78</f>
        <v>0</v>
      </c>
      <c r="AC78" s="66">
        <f>'[1]UNIV 2019'!J84</f>
        <v>0</v>
      </c>
      <c r="AD78" s="66">
        <f t="shared" si="80"/>
        <v>0</v>
      </c>
      <c r="AE78" s="66"/>
      <c r="AF78" s="66">
        <f>'[1]Univ Comm Fund'!K78</f>
        <v>0</v>
      </c>
      <c r="AG78" s="66">
        <f>'[1]UNIV 2019'!K84</f>
        <v>0</v>
      </c>
      <c r="AH78" s="66">
        <f t="shared" si="81"/>
        <v>0</v>
      </c>
      <c r="AI78" s="66"/>
      <c r="AJ78" s="66">
        <f>'[1]Univ Comm Fund'!L78</f>
        <v>0</v>
      </c>
      <c r="AK78" s="66">
        <f>'[1]UNIV 2019'!L84</f>
        <v>0</v>
      </c>
      <c r="AL78" s="66">
        <f t="shared" si="82"/>
        <v>0</v>
      </c>
      <c r="AM78" s="66"/>
      <c r="AN78" s="66">
        <f>'[1]Univ Comm Fund'!M78</f>
        <v>0</v>
      </c>
      <c r="AO78" s="66">
        <f>'[1]UNIV 2019'!M84</f>
        <v>0</v>
      </c>
      <c r="AP78" s="66">
        <f t="shared" si="83"/>
        <v>0</v>
      </c>
      <c r="AQ78" s="66"/>
      <c r="AR78" s="66">
        <f>'[1]Univ Comm Fund'!N78</f>
        <v>0</v>
      </c>
      <c r="AS78" s="66">
        <f>'[1]UNIV 2019'!N84</f>
        <v>0</v>
      </c>
      <c r="AT78" s="66">
        <f t="shared" si="84"/>
        <v>0</v>
      </c>
      <c r="AU78" s="66"/>
      <c r="AV78" s="66">
        <f>'[1]Univ Comm Fund'!O78</f>
        <v>0</v>
      </c>
      <c r="AW78" s="66">
        <f>'[1]UNIV 2019'!O84</f>
        <v>0</v>
      </c>
      <c r="AX78" s="66">
        <f t="shared" si="85"/>
        <v>0</v>
      </c>
      <c r="AY78" s="66"/>
      <c r="AZ78" s="66">
        <f>'[1]Univ Comm Fund'!P78</f>
        <v>0</v>
      </c>
      <c r="BA78" s="66">
        <f>'[1]UNIV 2019'!P84</f>
        <v>0</v>
      </c>
      <c r="BB78" s="66">
        <f t="shared" si="70"/>
        <v>0</v>
      </c>
      <c r="BC78" s="66"/>
      <c r="BD78" s="66">
        <f>'[1]Univ Comm Fund'!Q78</f>
        <v>0</v>
      </c>
      <c r="BE78" s="66">
        <f>'[1]UNIV 2019'!Q84</f>
        <v>0</v>
      </c>
      <c r="BF78" s="66">
        <f t="shared" si="71"/>
        <v>0</v>
      </c>
      <c r="BG78" s="66"/>
      <c r="BH78" s="66">
        <f>'[1]Univ Comm Fund'!R78</f>
        <v>0</v>
      </c>
      <c r="BI78" s="66">
        <f>'[1]UNIV 2019'!R84</f>
        <v>0</v>
      </c>
      <c r="BJ78" s="66">
        <f t="shared" si="86"/>
        <v>0</v>
      </c>
      <c r="BK78" s="66"/>
      <c r="BL78" s="66">
        <f>'[1]Univ Comm Fund'!S78</f>
        <v>0</v>
      </c>
      <c r="BM78" s="66">
        <f>'[1]UNIV 2019'!S84</f>
        <v>0</v>
      </c>
      <c r="BN78" s="66">
        <f t="shared" si="87"/>
        <v>0</v>
      </c>
      <c r="BO78" s="66"/>
      <c r="BP78" s="66">
        <f>'[1]Univ Comm Fund'!T78</f>
        <v>0</v>
      </c>
      <c r="BQ78" s="66">
        <f>'[1]UNIV 2019'!T84</f>
        <v>0</v>
      </c>
      <c r="BR78" s="66">
        <f t="shared" si="88"/>
        <v>0</v>
      </c>
      <c r="BS78" s="66"/>
      <c r="BT78" s="66">
        <f>'[1]Univ Comm Fund'!U78</f>
        <v>0</v>
      </c>
      <c r="BU78" s="66">
        <f>'[1]UNIV 2019'!U84</f>
        <v>0</v>
      </c>
      <c r="BV78" s="66">
        <f t="shared" si="72"/>
        <v>0</v>
      </c>
      <c r="BW78" s="66"/>
      <c r="BX78" s="66">
        <f>'[1]Univ Comm Fund'!V78</f>
        <v>0</v>
      </c>
      <c r="BY78" s="66">
        <f>'[1]UNIV 2019'!V84</f>
        <v>0</v>
      </c>
      <c r="BZ78" s="66">
        <f t="shared" si="89"/>
        <v>0</v>
      </c>
      <c r="CA78" s="66"/>
      <c r="CB78" s="66">
        <f>'[1]Univ Comm Fund'!W78</f>
        <v>0</v>
      </c>
      <c r="CC78" s="66">
        <f>'[1]UNIV 2019'!W84</f>
        <v>0</v>
      </c>
      <c r="CD78" s="66">
        <f t="shared" si="90"/>
        <v>0</v>
      </c>
      <c r="CE78" s="66"/>
      <c r="CF78" s="66">
        <v>0</v>
      </c>
      <c r="CG78" s="66">
        <f>'[1]UNIV 2019'!X84</f>
        <v>0</v>
      </c>
      <c r="CH78" s="75">
        <f t="shared" si="91"/>
        <v>0</v>
      </c>
      <c r="CI78" s="66"/>
      <c r="CJ78" s="66">
        <f>'[1]Univ Comm Fund'!Y78</f>
        <v>0</v>
      </c>
      <c r="CK78" s="66">
        <f>'[1]UNIV 2019'!Y84</f>
        <v>0</v>
      </c>
      <c r="CL78" s="66">
        <f t="shared" si="92"/>
        <v>0</v>
      </c>
      <c r="CM78" s="66"/>
      <c r="CN78" s="66">
        <f>'[1]Univ Comm Fund'!Z78</f>
        <v>0</v>
      </c>
      <c r="CO78" s="66">
        <f>'[1]UNIV 2019'!Z84</f>
        <v>0</v>
      </c>
      <c r="CP78" s="66">
        <f t="shared" si="93"/>
        <v>0</v>
      </c>
      <c r="CQ78" s="66"/>
      <c r="CR78" s="66">
        <f>'[1]Univ Comm Fund'!AA78</f>
        <v>0</v>
      </c>
      <c r="CS78" s="66">
        <f>'[1]UNIV 2019'!AA84</f>
        <v>0</v>
      </c>
      <c r="CT78" s="75">
        <f t="shared" si="94"/>
        <v>0</v>
      </c>
      <c r="CU78" s="66"/>
      <c r="CV78" s="66">
        <f>'[1]Univ Comm Fund'!AB78</f>
        <v>0</v>
      </c>
      <c r="CW78" s="66">
        <f>'[1]UNIV 2019'!AB84</f>
        <v>0</v>
      </c>
      <c r="CX78" s="75">
        <f t="shared" si="95"/>
        <v>0</v>
      </c>
      <c r="CY78" s="66"/>
      <c r="CZ78" s="66">
        <f>'[1]Univ Comm Fund'!AC78</f>
        <v>1401581158.6400001</v>
      </c>
      <c r="DA78" s="66">
        <f>'[1]UNIV 2019'!AC84</f>
        <v>1172904599.6600001</v>
      </c>
      <c r="DB78" s="66">
        <f t="shared" si="96"/>
        <v>228676558.98000002</v>
      </c>
      <c r="DC78" s="66"/>
      <c r="DD78" s="66">
        <f>'[1]Univ Comm Fund'!AD78</f>
        <v>0</v>
      </c>
      <c r="DE78" s="66">
        <f>'[1]UNIV 2019'!AD84</f>
        <v>0</v>
      </c>
      <c r="DF78" s="66">
        <f t="shared" si="97"/>
        <v>0</v>
      </c>
      <c r="DG78" s="66"/>
      <c r="DH78" s="66">
        <f>'[1]Univ Comm Fund'!AE78</f>
        <v>552000000</v>
      </c>
      <c r="DI78" s="66">
        <f>'[1]UNIV 2019'!AE84</f>
        <v>510600000</v>
      </c>
      <c r="DJ78" s="66">
        <f t="shared" si="98"/>
        <v>41400000</v>
      </c>
      <c r="DK78" s="66"/>
      <c r="DL78" s="66">
        <f>'[1]Univ Comm Fund'!AF78</f>
        <v>20000000</v>
      </c>
      <c r="DM78" s="66">
        <f>'[1]UNIV 2019'!AF84</f>
        <v>17000000</v>
      </c>
      <c r="DN78" s="66">
        <f t="shared" si="99"/>
        <v>3000000</v>
      </c>
      <c r="DO78" s="66"/>
      <c r="DP78" s="66">
        <f>'[1]Univ Comm Fund'!AG78</f>
        <v>300000000</v>
      </c>
      <c r="DQ78" s="66">
        <f>'[1]UNIV 2019'!AG84</f>
        <v>300000000</v>
      </c>
      <c r="DR78" s="66">
        <f t="shared" si="100"/>
        <v>0</v>
      </c>
      <c r="DS78" s="66"/>
      <c r="DT78" s="66">
        <f>'[1]Univ Comm Fund'!AH78</f>
        <v>100000000</v>
      </c>
      <c r="DU78" s="66">
        <f>'[1]UNIV 2019'!AH84</f>
        <v>58000000</v>
      </c>
      <c r="DV78" s="66">
        <f t="shared" si="101"/>
        <v>42000000</v>
      </c>
      <c r="DW78" s="66"/>
      <c r="DX78" s="66">
        <f>'[1]Univ Comm Fund'!AI78</f>
        <v>15000000</v>
      </c>
      <c r="DY78" s="66">
        <f>'[1]UNIV 2019'!AI84</f>
        <v>8250000</v>
      </c>
      <c r="DZ78" s="66">
        <f t="shared" si="102"/>
        <v>6750000</v>
      </c>
      <c r="EA78" s="66"/>
      <c r="EB78" s="66">
        <f>'[1]Univ Comm Fund'!AJ78</f>
        <v>2000000</v>
      </c>
      <c r="EC78" s="66">
        <f>'[1]UNIV 2019'!AJ84</f>
        <v>0</v>
      </c>
      <c r="ED78" s="66">
        <f t="shared" si="103"/>
        <v>2000000</v>
      </c>
      <c r="EE78" s="66"/>
      <c r="EF78" s="66">
        <f>'[1]Univ Comm Fund'!AK78</f>
        <v>10000000</v>
      </c>
      <c r="EG78" s="66">
        <f>'[1]UNIV 2019'!AK84</f>
        <v>8500000</v>
      </c>
      <c r="EH78" s="66">
        <f t="shared" si="104"/>
        <v>1500000</v>
      </c>
      <c r="EI78" s="66"/>
      <c r="EJ78" s="66">
        <f>'[1]Univ Comm Fund'!AL78</f>
        <v>300000000</v>
      </c>
      <c r="EK78" s="66">
        <f>'[1]UNIV 2019'!AL84</f>
        <v>300000000</v>
      </c>
      <c r="EL78" s="66">
        <f t="shared" si="105"/>
        <v>0</v>
      </c>
      <c r="EM78" s="66"/>
      <c r="EN78" s="80">
        <f>'[1]Univ Comm Fund'!AM78</f>
        <v>565410000</v>
      </c>
      <c r="EO78" s="66">
        <f>'[1]UNIV 2019'!AM84</f>
        <v>327937800</v>
      </c>
      <c r="EP78" s="75">
        <f t="shared" si="106"/>
        <v>237472200</v>
      </c>
      <c r="EQ78" s="66"/>
      <c r="ER78" s="66">
        <f>'[1]Univ Comm Fund'!AN78</f>
        <v>15000000</v>
      </c>
      <c r="ES78" s="66">
        <f>'[1]UNIV 2019'!AN84</f>
        <v>8250000</v>
      </c>
      <c r="ET78" s="75">
        <f t="shared" si="107"/>
        <v>6750000</v>
      </c>
      <c r="EU78" s="66"/>
      <c r="EV78" s="66">
        <f>'[1]Univ Comm Fund'!AO78</f>
        <v>15000000</v>
      </c>
      <c r="EW78" s="66">
        <f>'[1]UNIV 2019'!AO84</f>
        <v>0</v>
      </c>
      <c r="EX78" s="75">
        <f t="shared" si="108"/>
        <v>15000000</v>
      </c>
      <c r="EY78" s="66"/>
      <c r="EZ78" s="66">
        <f>'[1]Univ Comm Fund'!AP78</f>
        <v>10000000</v>
      </c>
      <c r="FA78" s="66">
        <f>'[1]UNIV 2019'!AP84</f>
        <v>8500000</v>
      </c>
      <c r="FB78" s="75">
        <f t="shared" si="109"/>
        <v>1500000</v>
      </c>
      <c r="FC78" s="75"/>
      <c r="FD78" s="75">
        <f>'[1]Univ Comm Fund'!AQ78</f>
        <v>0</v>
      </c>
      <c r="FE78" s="75">
        <f>'[1]UNIV 2019'!AQ84</f>
        <v>0</v>
      </c>
      <c r="FF78" s="75">
        <f t="shared" si="110"/>
        <v>0</v>
      </c>
      <c r="FG78" s="75"/>
      <c r="FH78" s="75">
        <f>'[1]Univ Comm Fund'!AR78</f>
        <v>0</v>
      </c>
      <c r="FI78" s="75">
        <f>'[1]UNIV 2019'!AR84</f>
        <v>0</v>
      </c>
      <c r="FJ78" s="75">
        <f t="shared" si="111"/>
        <v>0</v>
      </c>
      <c r="FK78" s="75"/>
      <c r="FL78" s="75">
        <f>'[1]Univ Comm Fund'!AS78</f>
        <v>300000000</v>
      </c>
      <c r="FM78" s="75">
        <f>'[1]UNIV 2019'!AS84</f>
        <v>0</v>
      </c>
      <c r="FN78" s="75">
        <f t="shared" si="112"/>
        <v>300000000</v>
      </c>
      <c r="FO78" s="75"/>
      <c r="FP78" s="75">
        <f>'[1]Univ Comm Fund'!AT78</f>
        <v>120000000</v>
      </c>
      <c r="FQ78" s="75">
        <f>'[1]UNIV 2019'!AT84</f>
        <v>85200000</v>
      </c>
      <c r="FR78" s="75">
        <f t="shared" si="113"/>
        <v>34800000</v>
      </c>
      <c r="FS78" s="75"/>
      <c r="FT78" s="75">
        <f>'[1]Univ Comm Fund'!AU78</f>
        <v>10000000</v>
      </c>
      <c r="FU78" s="75">
        <f>'[1]UNIV 2019'!AU84</f>
        <v>0</v>
      </c>
      <c r="FV78" s="75">
        <f t="shared" si="114"/>
        <v>10000000</v>
      </c>
      <c r="FW78" s="75"/>
      <c r="FX78" s="75">
        <f>'[1]Univ Comm Fund'!AV78</f>
        <v>5000000</v>
      </c>
      <c r="FY78" s="75">
        <f>'[1]UNIV 2019'!AV84</f>
        <v>0</v>
      </c>
      <c r="FZ78" s="75">
        <f t="shared" si="115"/>
        <v>5000000</v>
      </c>
      <c r="GA78" s="75"/>
      <c r="GB78" s="75">
        <f>'[1]Univ Comm Fund'!AW78</f>
        <v>10000000</v>
      </c>
      <c r="GC78" s="75">
        <f>'[1]UNIV 2019'!AW84</f>
        <v>0</v>
      </c>
      <c r="GD78" s="75">
        <f t="shared" si="116"/>
        <v>10000000</v>
      </c>
      <c r="GE78" s="75"/>
      <c r="GF78" s="75">
        <f>'[1]Univ Comm Fund'!AX78</f>
        <v>0</v>
      </c>
      <c r="GG78" s="75">
        <f>'[1]UNIV 2019'!AX84</f>
        <v>0</v>
      </c>
      <c r="GH78" s="75">
        <f t="shared" si="117"/>
        <v>0</v>
      </c>
      <c r="GI78" s="75"/>
      <c r="GJ78" s="75">
        <f>'[1]Univ Comm Fund'!AY78</f>
        <v>350000000</v>
      </c>
      <c r="GK78" s="75">
        <f>'[1]UNIV 2019'!AY84</f>
        <v>0</v>
      </c>
      <c r="GL78" s="75">
        <f t="shared" si="118"/>
        <v>350000000</v>
      </c>
      <c r="GM78" s="75"/>
      <c r="GN78" s="75">
        <f>'[1]Univ Comm Fund'!AZ78</f>
        <v>175823700</v>
      </c>
      <c r="GO78" s="75">
        <f>'[1]UNIV 2019'!AZ84</f>
        <v>0</v>
      </c>
      <c r="GP78" s="75">
        <f t="shared" si="119"/>
        <v>175823700</v>
      </c>
      <c r="GQ78" s="75"/>
      <c r="GR78" s="75">
        <f>'[1]Univ Comm Fund'!BA78</f>
        <v>20000000</v>
      </c>
      <c r="GS78" s="75">
        <f>'[1]UNIV 2019'!BA84</f>
        <v>0</v>
      </c>
      <c r="GT78" s="75">
        <f t="shared" si="120"/>
        <v>20000000</v>
      </c>
      <c r="GU78" s="75"/>
      <c r="GV78" s="75">
        <f>'[1]Univ Comm Fund'!BB78</f>
        <v>5000000</v>
      </c>
      <c r="GW78" s="75">
        <f>'[1]UNIV 2019'!BB84</f>
        <v>0</v>
      </c>
      <c r="GX78" s="75">
        <f t="shared" si="121"/>
        <v>5000000</v>
      </c>
      <c r="GY78" s="75"/>
      <c r="GZ78" s="75">
        <f>'[1]Univ Comm Fund'!BC78</f>
        <v>10000000</v>
      </c>
      <c r="HA78" s="75">
        <f>'[1]UNIV 2019'!BD84</f>
        <v>0</v>
      </c>
      <c r="HB78" s="75">
        <f t="shared" si="122"/>
        <v>10000000</v>
      </c>
      <c r="HC78" s="75"/>
      <c r="HD78" s="75">
        <f>'[1]Univ Comm Fund'!BD78</f>
        <v>0</v>
      </c>
      <c r="HE78" s="75">
        <f>'[1]UNIV 2019'!BC84</f>
        <v>0</v>
      </c>
      <c r="HF78" s="75">
        <f t="shared" si="123"/>
        <v>0</v>
      </c>
      <c r="HG78" s="75"/>
      <c r="HH78" s="75">
        <f t="shared" si="124"/>
        <v>4311814858.6400003</v>
      </c>
      <c r="HI78" s="75">
        <f t="shared" si="124"/>
        <v>2805142399.6599998</v>
      </c>
      <c r="HJ78" s="82">
        <f t="shared" si="125"/>
        <v>1506672458.9800005</v>
      </c>
      <c r="HL78" s="83">
        <f t="shared" si="126"/>
        <v>3268991158.6400003</v>
      </c>
      <c r="HM78" s="83">
        <f t="shared" si="126"/>
        <v>2069442399.6600001</v>
      </c>
      <c r="HN78" s="84">
        <f t="shared" si="127"/>
        <v>1199548758.9800003</v>
      </c>
      <c r="HP78" s="83">
        <f t="shared" si="128"/>
        <v>600000000</v>
      </c>
      <c r="HQ78" s="83">
        <f t="shared" si="128"/>
        <v>600000000</v>
      </c>
      <c r="HR78" s="84">
        <f t="shared" si="129"/>
        <v>0</v>
      </c>
      <c r="HT78" s="83">
        <f t="shared" si="130"/>
        <v>50000000</v>
      </c>
      <c r="HU78" s="83">
        <f t="shared" si="130"/>
        <v>34000000</v>
      </c>
      <c r="HV78" s="84">
        <f t="shared" si="131"/>
        <v>16000000</v>
      </c>
      <c r="HX78" s="83">
        <f t="shared" si="132"/>
        <v>60000000</v>
      </c>
      <c r="HY78" s="83">
        <f t="shared" si="132"/>
        <v>16500000</v>
      </c>
      <c r="HZ78" s="84">
        <f t="shared" si="133"/>
        <v>43500000</v>
      </c>
      <c r="IB78" s="83">
        <f t="shared" si="134"/>
        <v>35000000</v>
      </c>
      <c r="IC78" s="83">
        <f t="shared" si="134"/>
        <v>0</v>
      </c>
      <c r="ID78" s="84">
        <f t="shared" si="135"/>
        <v>35000000</v>
      </c>
      <c r="IF78" s="83">
        <f t="shared" si="73"/>
        <v>2000000</v>
      </c>
      <c r="IG78" s="83">
        <f t="shared" si="73"/>
        <v>0</v>
      </c>
      <c r="IH78" s="84">
        <f t="shared" si="136"/>
        <v>2000000</v>
      </c>
      <c r="IJ78" s="84">
        <f t="shared" si="137"/>
        <v>295823700</v>
      </c>
      <c r="IK78" s="84">
        <f t="shared" si="137"/>
        <v>85200000</v>
      </c>
      <c r="IL78" s="84">
        <f t="shared" si="138"/>
        <v>210623700</v>
      </c>
    </row>
    <row r="79" spans="1:246" ht="15" customHeight="1" x14ac:dyDescent="0.25">
      <c r="A79" s="42">
        <v>73</v>
      </c>
      <c r="B79" s="135" t="s">
        <v>139</v>
      </c>
      <c r="C79" s="136" t="s">
        <v>63</v>
      </c>
      <c r="D79" s="66">
        <f>'[1]Univ Comm Fund'!D79</f>
        <v>0</v>
      </c>
      <c r="E79" s="66">
        <f>'[1]UNIV 2019'!D85</f>
        <v>0</v>
      </c>
      <c r="F79" s="75">
        <f t="shared" si="74"/>
        <v>0</v>
      </c>
      <c r="G79" s="66"/>
      <c r="H79" s="66">
        <f>'[1]Univ Comm Fund'!E79</f>
        <v>0</v>
      </c>
      <c r="I79" s="66">
        <f>'[1]UNIV 2019'!E85</f>
        <v>0</v>
      </c>
      <c r="J79" s="66">
        <f t="shared" si="75"/>
        <v>0</v>
      </c>
      <c r="K79" s="66"/>
      <c r="L79" s="66">
        <f>'[1]Univ Comm Fund'!F79</f>
        <v>0</v>
      </c>
      <c r="M79" s="66">
        <f>'[1]UNIV 2019'!F85</f>
        <v>0</v>
      </c>
      <c r="N79" s="66">
        <f t="shared" si="76"/>
        <v>0</v>
      </c>
      <c r="O79" s="66"/>
      <c r="P79" s="66">
        <f>'[1]Univ Comm Fund'!G79</f>
        <v>0</v>
      </c>
      <c r="Q79" s="66">
        <f>'[1]UNIV 2019'!G85</f>
        <v>0</v>
      </c>
      <c r="R79" s="66">
        <f t="shared" si="77"/>
        <v>0</v>
      </c>
      <c r="S79" s="87"/>
      <c r="T79" s="66">
        <f>'[1]Univ Comm Fund'!H79</f>
        <v>0</v>
      </c>
      <c r="U79" s="66">
        <f>'[1]UNIV 2019'!H85</f>
        <v>0</v>
      </c>
      <c r="V79" s="66">
        <f t="shared" si="78"/>
        <v>0</v>
      </c>
      <c r="W79" s="66"/>
      <c r="X79" s="66">
        <f>'[1]Univ Comm Fund'!I79</f>
        <v>0</v>
      </c>
      <c r="Y79" s="66">
        <f>'[1]UNIV 2019'!I85</f>
        <v>0</v>
      </c>
      <c r="Z79" s="66">
        <f t="shared" si="79"/>
        <v>0</v>
      </c>
      <c r="AA79" s="66"/>
      <c r="AB79" s="66">
        <f>'[1]Univ Comm Fund'!J79</f>
        <v>0</v>
      </c>
      <c r="AC79" s="66">
        <f>'[1]UNIV 2019'!J85</f>
        <v>0</v>
      </c>
      <c r="AD79" s="66">
        <f t="shared" si="80"/>
        <v>0</v>
      </c>
      <c r="AE79" s="66"/>
      <c r="AF79" s="66">
        <f>'[1]Univ Comm Fund'!K79</f>
        <v>0</v>
      </c>
      <c r="AG79" s="66">
        <f>'[1]UNIV 2019'!K85</f>
        <v>0</v>
      </c>
      <c r="AH79" s="66">
        <f t="shared" si="81"/>
        <v>0</v>
      </c>
      <c r="AI79" s="66"/>
      <c r="AJ79" s="66">
        <f>'[1]Univ Comm Fund'!L79</f>
        <v>0</v>
      </c>
      <c r="AK79" s="66">
        <f>'[1]UNIV 2019'!L85</f>
        <v>0</v>
      </c>
      <c r="AL79" s="66">
        <f t="shared" si="82"/>
        <v>0</v>
      </c>
      <c r="AM79" s="66"/>
      <c r="AN79" s="66">
        <f>'[1]Univ Comm Fund'!M79</f>
        <v>0</v>
      </c>
      <c r="AO79" s="66">
        <f>'[1]UNIV 2019'!M85</f>
        <v>0</v>
      </c>
      <c r="AP79" s="66">
        <f t="shared" si="83"/>
        <v>0</v>
      </c>
      <c r="AQ79" s="66"/>
      <c r="AR79" s="66">
        <f>'[1]Univ Comm Fund'!N79</f>
        <v>0</v>
      </c>
      <c r="AS79" s="66">
        <f>'[1]UNIV 2019'!N85</f>
        <v>0</v>
      </c>
      <c r="AT79" s="66">
        <f t="shared" si="84"/>
        <v>0</v>
      </c>
      <c r="AU79" s="66"/>
      <c r="AV79" s="66">
        <f>'[1]Univ Comm Fund'!O79</f>
        <v>0</v>
      </c>
      <c r="AW79" s="66">
        <f>'[1]UNIV 2019'!O85</f>
        <v>0</v>
      </c>
      <c r="AX79" s="66">
        <f t="shared" si="85"/>
        <v>0</v>
      </c>
      <c r="AY79" s="66"/>
      <c r="AZ79" s="66">
        <f>'[1]Univ Comm Fund'!P79</f>
        <v>0</v>
      </c>
      <c r="BA79" s="66">
        <f>'[1]UNIV 2019'!P85</f>
        <v>0</v>
      </c>
      <c r="BB79" s="66">
        <f t="shared" si="70"/>
        <v>0</v>
      </c>
      <c r="BC79" s="66"/>
      <c r="BD79" s="66">
        <f>'[1]Univ Comm Fund'!Q79</f>
        <v>0</v>
      </c>
      <c r="BE79" s="66">
        <f>'[1]UNIV 2019'!Q85</f>
        <v>0</v>
      </c>
      <c r="BF79" s="66">
        <f t="shared" si="71"/>
        <v>0</v>
      </c>
      <c r="BG79" s="66"/>
      <c r="BH79" s="66">
        <f>'[1]Univ Comm Fund'!R79</f>
        <v>0</v>
      </c>
      <c r="BI79" s="66">
        <f>'[1]UNIV 2019'!R85</f>
        <v>0</v>
      </c>
      <c r="BJ79" s="66">
        <f t="shared" si="86"/>
        <v>0</v>
      </c>
      <c r="BK79" s="66"/>
      <c r="BL79" s="66">
        <f>'[1]Univ Comm Fund'!S79</f>
        <v>0</v>
      </c>
      <c r="BM79" s="66">
        <f>'[1]UNIV 2019'!S85</f>
        <v>0</v>
      </c>
      <c r="BN79" s="66">
        <f t="shared" si="87"/>
        <v>0</v>
      </c>
      <c r="BO79" s="66"/>
      <c r="BP79" s="66">
        <f>'[1]Univ Comm Fund'!T79</f>
        <v>0</v>
      </c>
      <c r="BQ79" s="66">
        <f>'[1]UNIV 2019'!T85</f>
        <v>0</v>
      </c>
      <c r="BR79" s="66">
        <f t="shared" si="88"/>
        <v>0</v>
      </c>
      <c r="BS79" s="66"/>
      <c r="BT79" s="66">
        <f>'[1]Univ Comm Fund'!U79</f>
        <v>0</v>
      </c>
      <c r="BU79" s="66">
        <f>'[1]UNIV 2019'!U85</f>
        <v>0</v>
      </c>
      <c r="BV79" s="66">
        <f t="shared" si="72"/>
        <v>0</v>
      </c>
      <c r="BW79" s="66"/>
      <c r="BX79" s="66">
        <f>'[1]Univ Comm Fund'!V79</f>
        <v>0</v>
      </c>
      <c r="BY79" s="66">
        <f>'[1]UNIV 2019'!V85</f>
        <v>0</v>
      </c>
      <c r="BZ79" s="66">
        <f t="shared" si="89"/>
        <v>0</v>
      </c>
      <c r="CA79" s="66"/>
      <c r="CB79" s="66">
        <f>'[1]Univ Comm Fund'!W79</f>
        <v>0</v>
      </c>
      <c r="CC79" s="66">
        <f>'[1]UNIV 2019'!W85</f>
        <v>0</v>
      </c>
      <c r="CD79" s="66">
        <f t="shared" si="90"/>
        <v>0</v>
      </c>
      <c r="CE79" s="66"/>
      <c r="CF79" s="66">
        <v>0</v>
      </c>
      <c r="CG79" s="66">
        <f>'[1]UNIV 2019'!X85</f>
        <v>0</v>
      </c>
      <c r="CH79" s="75">
        <f t="shared" si="91"/>
        <v>0</v>
      </c>
      <c r="CI79" s="66"/>
      <c r="CJ79" s="66">
        <f>'[1]Univ Comm Fund'!Y79</f>
        <v>0</v>
      </c>
      <c r="CK79" s="66">
        <f>'[1]UNIV 2019'!Y85</f>
        <v>0</v>
      </c>
      <c r="CL79" s="66">
        <f t="shared" si="92"/>
        <v>0</v>
      </c>
      <c r="CM79" s="66"/>
      <c r="CN79" s="66">
        <f>'[1]Univ Comm Fund'!Z79</f>
        <v>0</v>
      </c>
      <c r="CO79" s="66">
        <f>'[1]UNIV 2019'!Z85</f>
        <v>0</v>
      </c>
      <c r="CP79" s="66">
        <f t="shared" si="93"/>
        <v>0</v>
      </c>
      <c r="CQ79" s="66"/>
      <c r="CR79" s="66">
        <f>'[1]Univ Comm Fund'!AA79</f>
        <v>0</v>
      </c>
      <c r="CS79" s="66">
        <f>'[1]UNIV 2019'!AA85</f>
        <v>0</v>
      </c>
      <c r="CT79" s="75">
        <f t="shared" si="94"/>
        <v>0</v>
      </c>
      <c r="CU79" s="66"/>
      <c r="CV79" s="66">
        <f>'[1]Univ Comm Fund'!AB79</f>
        <v>0</v>
      </c>
      <c r="CW79" s="66">
        <f>'[1]UNIV 2019'!AB85</f>
        <v>0</v>
      </c>
      <c r="CX79" s="75">
        <f t="shared" si="95"/>
        <v>0</v>
      </c>
      <c r="CY79" s="66"/>
      <c r="CZ79" s="66">
        <f>'[1]Univ Comm Fund'!AC79</f>
        <v>0</v>
      </c>
      <c r="DA79" s="66">
        <f>'[1]UNIV 2019'!AC85</f>
        <v>0</v>
      </c>
      <c r="DB79" s="66">
        <f t="shared" si="96"/>
        <v>0</v>
      </c>
      <c r="DC79" s="66"/>
      <c r="DD79" s="66">
        <f>'[1]Univ Comm Fund'!AD79</f>
        <v>0</v>
      </c>
      <c r="DE79" s="66">
        <f>'[1]UNIV 2019'!AD85</f>
        <v>0</v>
      </c>
      <c r="DF79" s="66">
        <f t="shared" si="97"/>
        <v>0</v>
      </c>
      <c r="DG79" s="66"/>
      <c r="DH79" s="66">
        <f>'[1]Univ Comm Fund'!AE79</f>
        <v>552000000</v>
      </c>
      <c r="DI79" s="66">
        <f>'[1]UNIV 2019'!AE85</f>
        <v>552000000</v>
      </c>
      <c r="DJ79" s="66">
        <f t="shared" si="98"/>
        <v>0</v>
      </c>
      <c r="DK79" s="66"/>
      <c r="DL79" s="66">
        <f>'[1]Univ Comm Fund'!AF79</f>
        <v>20000000</v>
      </c>
      <c r="DM79" s="66">
        <f>'[1]UNIV 2019'!AF85</f>
        <v>17000000</v>
      </c>
      <c r="DN79" s="66">
        <f t="shared" si="99"/>
        <v>3000000</v>
      </c>
      <c r="DO79" s="66"/>
      <c r="DP79" s="66">
        <f>'[1]Univ Comm Fund'!AG79</f>
        <v>250000000</v>
      </c>
      <c r="DQ79" s="66">
        <f>'[1]UNIV 2019'!AG85</f>
        <v>250000000</v>
      </c>
      <c r="DR79" s="66">
        <f t="shared" si="100"/>
        <v>0</v>
      </c>
      <c r="DS79" s="66"/>
      <c r="DT79" s="66">
        <f>'[1]Univ Comm Fund'!AH79</f>
        <v>100000000</v>
      </c>
      <c r="DU79" s="66">
        <f>'[1]UNIV 2019'!AH85</f>
        <v>100000000</v>
      </c>
      <c r="DV79" s="66">
        <f t="shared" si="101"/>
        <v>0</v>
      </c>
      <c r="DW79" s="66"/>
      <c r="DX79" s="66">
        <f>'[1]Univ Comm Fund'!AI79</f>
        <v>15000000</v>
      </c>
      <c r="DY79" s="66">
        <f>'[1]UNIV 2019'!AI85</f>
        <v>12750000</v>
      </c>
      <c r="DZ79" s="66">
        <f t="shared" si="102"/>
        <v>2250000</v>
      </c>
      <c r="EA79" s="66"/>
      <c r="EB79" s="66">
        <f>'[1]Univ Comm Fund'!AJ79</f>
        <v>2000000</v>
      </c>
      <c r="EC79" s="66">
        <f>'[1]UNIV 2019'!AJ85</f>
        <v>0</v>
      </c>
      <c r="ED79" s="66">
        <f t="shared" si="103"/>
        <v>2000000</v>
      </c>
      <c r="EE79" s="66"/>
      <c r="EF79" s="66">
        <f>'[1]Univ Comm Fund'!AK79</f>
        <v>10000000</v>
      </c>
      <c r="EG79" s="66">
        <f>'[1]UNIV 2019'!AK85</f>
        <v>8500000</v>
      </c>
      <c r="EH79" s="66">
        <f t="shared" si="104"/>
        <v>1500000</v>
      </c>
      <c r="EI79" s="66"/>
      <c r="EJ79" s="66">
        <f>'[1]Univ Comm Fund'!AL79</f>
        <v>1000000000</v>
      </c>
      <c r="EK79" s="66">
        <f>'[1]UNIV 2019'!AL85</f>
        <v>880000000</v>
      </c>
      <c r="EL79" s="66">
        <f t="shared" si="105"/>
        <v>120000000</v>
      </c>
      <c r="EM79" s="66"/>
      <c r="EN79" s="80">
        <f>'[1]Univ Comm Fund'!AM79</f>
        <v>565410000</v>
      </c>
      <c r="EO79" s="66">
        <f>'[1]UNIV 2019'!AM85</f>
        <v>565410000</v>
      </c>
      <c r="EP79" s="75">
        <f t="shared" si="106"/>
        <v>0</v>
      </c>
      <c r="EQ79" s="66"/>
      <c r="ER79" s="66">
        <f>'[1]Univ Comm Fund'!AN79</f>
        <v>15000000</v>
      </c>
      <c r="ES79" s="66">
        <f>'[1]UNIV 2019'!AN85</f>
        <v>12750000</v>
      </c>
      <c r="ET79" s="75">
        <f t="shared" si="107"/>
        <v>2250000</v>
      </c>
      <c r="EU79" s="66"/>
      <c r="EV79" s="66">
        <f>'[1]Univ Comm Fund'!AO79</f>
        <v>15000000</v>
      </c>
      <c r="EW79" s="66">
        <f>'[1]UNIV 2019'!AO85</f>
        <v>0</v>
      </c>
      <c r="EX79" s="75">
        <f t="shared" si="108"/>
        <v>15000000</v>
      </c>
      <c r="EY79" s="66"/>
      <c r="EZ79" s="66">
        <f>'[1]Univ Comm Fund'!AP79</f>
        <v>10000000</v>
      </c>
      <c r="FA79" s="66">
        <f>'[1]UNIV 2019'!AP85</f>
        <v>8500000</v>
      </c>
      <c r="FB79" s="75">
        <f t="shared" si="109"/>
        <v>1500000</v>
      </c>
      <c r="FC79" s="75"/>
      <c r="FD79" s="75">
        <f>'[1]Univ Comm Fund'!AQ79</f>
        <v>0</v>
      </c>
      <c r="FE79" s="75">
        <f>'[1]UNIV 2019'!AQ85</f>
        <v>0</v>
      </c>
      <c r="FF79" s="75">
        <f t="shared" si="110"/>
        <v>0</v>
      </c>
      <c r="FG79" s="75"/>
      <c r="FH79" s="75">
        <f>'[1]Univ Comm Fund'!AR79</f>
        <v>0</v>
      </c>
      <c r="FI79" s="75">
        <f>'[1]UNIV 2019'!AR85</f>
        <v>0</v>
      </c>
      <c r="FJ79" s="75">
        <f t="shared" si="111"/>
        <v>0</v>
      </c>
      <c r="FK79" s="75"/>
      <c r="FL79" s="75">
        <f>'[1]Univ Comm Fund'!AS79</f>
        <v>300000000</v>
      </c>
      <c r="FM79" s="75">
        <f>'[1]UNIV 2019'!AS85</f>
        <v>0</v>
      </c>
      <c r="FN79" s="75">
        <f t="shared" si="112"/>
        <v>300000000</v>
      </c>
      <c r="FO79" s="75"/>
      <c r="FP79" s="75">
        <f>'[1]Univ Comm Fund'!AT79</f>
        <v>120000000</v>
      </c>
      <c r="FQ79" s="75">
        <f>'[1]UNIV 2019'!AT85</f>
        <v>81600000</v>
      </c>
      <c r="FR79" s="75">
        <f t="shared" si="113"/>
        <v>38400000</v>
      </c>
      <c r="FS79" s="75"/>
      <c r="FT79" s="75">
        <f>'[1]Univ Comm Fund'!AU79</f>
        <v>10000000</v>
      </c>
      <c r="FU79" s="75">
        <f>'[1]UNIV 2019'!AU85</f>
        <v>0</v>
      </c>
      <c r="FV79" s="75">
        <f t="shared" si="114"/>
        <v>10000000</v>
      </c>
      <c r="FW79" s="75"/>
      <c r="FX79" s="75">
        <f>'[1]Univ Comm Fund'!AV79</f>
        <v>5000000</v>
      </c>
      <c r="FY79" s="75">
        <f>'[1]UNIV 2019'!AV85</f>
        <v>0</v>
      </c>
      <c r="FZ79" s="75">
        <f t="shared" si="115"/>
        <v>5000000</v>
      </c>
      <c r="GA79" s="75"/>
      <c r="GB79" s="75">
        <f>'[1]Univ Comm Fund'!AW79</f>
        <v>10000000</v>
      </c>
      <c r="GC79" s="75">
        <f>'[1]UNIV 2019'!AW85</f>
        <v>0</v>
      </c>
      <c r="GD79" s="75">
        <f t="shared" si="116"/>
        <v>10000000</v>
      </c>
      <c r="GE79" s="75"/>
      <c r="GF79" s="75">
        <f>'[1]Univ Comm Fund'!AX79</f>
        <v>0</v>
      </c>
      <c r="GG79" s="75">
        <f>'[1]UNIV 2019'!AX85</f>
        <v>0</v>
      </c>
      <c r="GH79" s="75">
        <f t="shared" si="117"/>
        <v>0</v>
      </c>
      <c r="GI79" s="75"/>
      <c r="GJ79" s="75">
        <f>'[1]Univ Comm Fund'!AY79</f>
        <v>350000000</v>
      </c>
      <c r="GK79" s="75">
        <f>'[1]UNIV 2019'!AY85</f>
        <v>0</v>
      </c>
      <c r="GL79" s="75">
        <f t="shared" si="118"/>
        <v>350000000</v>
      </c>
      <c r="GM79" s="75"/>
      <c r="GN79" s="75">
        <f>'[1]Univ Comm Fund'!AZ79</f>
        <v>175823700</v>
      </c>
      <c r="GO79" s="75">
        <f>'[1]UNIV 2019'!AZ85</f>
        <v>0</v>
      </c>
      <c r="GP79" s="75">
        <f t="shared" si="119"/>
        <v>175823700</v>
      </c>
      <c r="GQ79" s="75"/>
      <c r="GR79" s="75">
        <f>'[1]Univ Comm Fund'!BA79</f>
        <v>20000000</v>
      </c>
      <c r="GS79" s="75">
        <f>'[1]UNIV 2019'!BA85</f>
        <v>0</v>
      </c>
      <c r="GT79" s="75">
        <f t="shared" si="120"/>
        <v>20000000</v>
      </c>
      <c r="GU79" s="75"/>
      <c r="GV79" s="75">
        <f>'[1]Univ Comm Fund'!BB79</f>
        <v>5000000</v>
      </c>
      <c r="GW79" s="75">
        <f>'[1]UNIV 2019'!BB85</f>
        <v>0</v>
      </c>
      <c r="GX79" s="75">
        <f t="shared" si="121"/>
        <v>5000000</v>
      </c>
      <c r="GY79" s="75"/>
      <c r="GZ79" s="75">
        <f>'[1]Univ Comm Fund'!BC79</f>
        <v>10000000</v>
      </c>
      <c r="HA79" s="75">
        <f>'[1]UNIV 2019'!BD85</f>
        <v>0</v>
      </c>
      <c r="HB79" s="75">
        <f t="shared" si="122"/>
        <v>10000000</v>
      </c>
      <c r="HC79" s="75"/>
      <c r="HD79" s="75">
        <f>'[1]Univ Comm Fund'!BD79</f>
        <v>0</v>
      </c>
      <c r="HE79" s="75">
        <f>'[1]UNIV 2019'!BC85</f>
        <v>0</v>
      </c>
      <c r="HF79" s="75">
        <f t="shared" si="123"/>
        <v>0</v>
      </c>
      <c r="HG79" s="75"/>
      <c r="HH79" s="75">
        <f t="shared" si="124"/>
        <v>3560233700</v>
      </c>
      <c r="HI79" s="75">
        <f t="shared" si="124"/>
        <v>2488510000</v>
      </c>
      <c r="HJ79" s="82">
        <f t="shared" si="125"/>
        <v>1071723700</v>
      </c>
      <c r="HL79" s="83">
        <f t="shared" si="126"/>
        <v>1867410000</v>
      </c>
      <c r="HM79" s="83">
        <f t="shared" si="126"/>
        <v>1217410000</v>
      </c>
      <c r="HN79" s="84">
        <f t="shared" si="127"/>
        <v>650000000</v>
      </c>
      <c r="HP79" s="83">
        <f t="shared" si="128"/>
        <v>1250000000</v>
      </c>
      <c r="HQ79" s="83">
        <f t="shared" si="128"/>
        <v>1130000000</v>
      </c>
      <c r="HR79" s="84">
        <f t="shared" si="129"/>
        <v>120000000</v>
      </c>
      <c r="HT79" s="83">
        <f t="shared" si="130"/>
        <v>50000000</v>
      </c>
      <c r="HU79" s="83">
        <f t="shared" si="130"/>
        <v>34000000</v>
      </c>
      <c r="HV79" s="84">
        <f t="shared" si="131"/>
        <v>16000000</v>
      </c>
      <c r="HX79" s="83">
        <f t="shared" si="132"/>
        <v>60000000</v>
      </c>
      <c r="HY79" s="83">
        <f t="shared" si="132"/>
        <v>25500000</v>
      </c>
      <c r="HZ79" s="84">
        <f t="shared" si="133"/>
        <v>34500000</v>
      </c>
      <c r="IB79" s="83">
        <f t="shared" si="134"/>
        <v>35000000</v>
      </c>
      <c r="IC79" s="83">
        <f t="shared" si="134"/>
        <v>0</v>
      </c>
      <c r="ID79" s="84">
        <f t="shared" si="135"/>
        <v>35000000</v>
      </c>
      <c r="IF79" s="83">
        <f t="shared" si="73"/>
        <v>2000000</v>
      </c>
      <c r="IG79" s="83">
        <f t="shared" si="73"/>
        <v>0</v>
      </c>
      <c r="IH79" s="84">
        <f t="shared" si="136"/>
        <v>2000000</v>
      </c>
      <c r="IJ79" s="84">
        <f t="shared" si="137"/>
        <v>295823700</v>
      </c>
      <c r="IK79" s="84">
        <f t="shared" si="137"/>
        <v>81600000</v>
      </c>
      <c r="IL79" s="84">
        <f t="shared" si="138"/>
        <v>214223700</v>
      </c>
    </row>
    <row r="80" spans="1:246" x14ac:dyDescent="0.25">
      <c r="A80" s="119">
        <v>74</v>
      </c>
      <c r="B80" s="135" t="s">
        <v>140</v>
      </c>
      <c r="C80" s="136" t="s">
        <v>61</v>
      </c>
      <c r="D80" s="66">
        <f>'[1]Univ Comm Fund'!D80</f>
        <v>0</v>
      </c>
      <c r="E80" s="66">
        <f>'[1]UNIV 2019'!D86</f>
        <v>0</v>
      </c>
      <c r="F80" s="75">
        <f t="shared" si="74"/>
        <v>0</v>
      </c>
      <c r="G80" s="66"/>
      <c r="H80" s="66">
        <f>'[1]Univ Comm Fund'!E80</f>
        <v>0</v>
      </c>
      <c r="I80" s="66">
        <f>'[1]UNIV 2019'!E86</f>
        <v>0</v>
      </c>
      <c r="J80" s="66">
        <f t="shared" si="75"/>
        <v>0</v>
      </c>
      <c r="K80" s="66"/>
      <c r="L80" s="66">
        <f>'[1]Univ Comm Fund'!F80</f>
        <v>0</v>
      </c>
      <c r="M80" s="66">
        <f>'[1]UNIV 2019'!F86</f>
        <v>0</v>
      </c>
      <c r="N80" s="66">
        <f t="shared" si="76"/>
        <v>0</v>
      </c>
      <c r="O80" s="66"/>
      <c r="P80" s="66">
        <f>'[1]Univ Comm Fund'!G80</f>
        <v>0</v>
      </c>
      <c r="Q80" s="66">
        <f>'[1]UNIV 2019'!G86</f>
        <v>0</v>
      </c>
      <c r="R80" s="66">
        <f t="shared" si="77"/>
        <v>0</v>
      </c>
      <c r="S80" s="87"/>
      <c r="T80" s="66">
        <f>'[1]Univ Comm Fund'!H80</f>
        <v>0</v>
      </c>
      <c r="U80" s="66">
        <f>'[1]UNIV 2019'!H86</f>
        <v>0</v>
      </c>
      <c r="V80" s="66">
        <f t="shared" si="78"/>
        <v>0</v>
      </c>
      <c r="W80" s="66"/>
      <c r="X80" s="66">
        <f>'[1]Univ Comm Fund'!I80</f>
        <v>0</v>
      </c>
      <c r="Y80" s="66">
        <f>'[1]UNIV 2019'!I86</f>
        <v>0</v>
      </c>
      <c r="Z80" s="66">
        <f t="shared" si="79"/>
        <v>0</v>
      </c>
      <c r="AA80" s="66"/>
      <c r="AB80" s="66">
        <f>'[1]Univ Comm Fund'!J80</f>
        <v>0</v>
      </c>
      <c r="AC80" s="66">
        <f>'[1]UNIV 2019'!J86</f>
        <v>0</v>
      </c>
      <c r="AD80" s="66">
        <f t="shared" si="80"/>
        <v>0</v>
      </c>
      <c r="AE80" s="66"/>
      <c r="AF80" s="66">
        <f>'[1]Univ Comm Fund'!K80</f>
        <v>0</v>
      </c>
      <c r="AG80" s="66">
        <f>'[1]UNIV 2019'!K86</f>
        <v>0</v>
      </c>
      <c r="AH80" s="66">
        <f t="shared" si="81"/>
        <v>0</v>
      </c>
      <c r="AI80" s="66"/>
      <c r="AJ80" s="66">
        <f>'[1]Univ Comm Fund'!L80</f>
        <v>0</v>
      </c>
      <c r="AK80" s="66">
        <f>'[1]UNIV 2019'!L86</f>
        <v>0</v>
      </c>
      <c r="AL80" s="66">
        <f t="shared" si="82"/>
        <v>0</v>
      </c>
      <c r="AM80" s="66"/>
      <c r="AN80" s="66">
        <f>'[1]Univ Comm Fund'!M80</f>
        <v>0</v>
      </c>
      <c r="AO80" s="66">
        <f>'[1]UNIV 2019'!M86</f>
        <v>0</v>
      </c>
      <c r="AP80" s="66">
        <f t="shared" si="83"/>
        <v>0</v>
      </c>
      <c r="AQ80" s="66"/>
      <c r="AR80" s="66">
        <f>'[1]Univ Comm Fund'!N80</f>
        <v>0</v>
      </c>
      <c r="AS80" s="66">
        <f>'[1]UNIV 2019'!N86</f>
        <v>0</v>
      </c>
      <c r="AT80" s="66">
        <f t="shared" si="84"/>
        <v>0</v>
      </c>
      <c r="AU80" s="66"/>
      <c r="AV80" s="66">
        <f>'[1]Univ Comm Fund'!O80</f>
        <v>0</v>
      </c>
      <c r="AW80" s="66">
        <f>'[1]UNIV 2019'!O86</f>
        <v>0</v>
      </c>
      <c r="AX80" s="66">
        <f t="shared" si="85"/>
        <v>0</v>
      </c>
      <c r="AY80" s="66"/>
      <c r="AZ80" s="66">
        <f>'[1]Univ Comm Fund'!P80</f>
        <v>0</v>
      </c>
      <c r="BA80" s="66">
        <f>'[1]UNIV 2019'!P86</f>
        <v>0</v>
      </c>
      <c r="BB80" s="66">
        <f t="shared" si="70"/>
        <v>0</v>
      </c>
      <c r="BC80" s="66"/>
      <c r="BD80" s="66">
        <f>'[1]Univ Comm Fund'!Q80</f>
        <v>0</v>
      </c>
      <c r="BE80" s="66">
        <f>'[1]UNIV 2019'!Q86</f>
        <v>0</v>
      </c>
      <c r="BF80" s="66">
        <f t="shared" si="71"/>
        <v>0</v>
      </c>
      <c r="BG80" s="66"/>
      <c r="BH80" s="66">
        <f>'[1]Univ Comm Fund'!R80</f>
        <v>0</v>
      </c>
      <c r="BI80" s="66">
        <f>'[1]UNIV 2019'!R86</f>
        <v>0</v>
      </c>
      <c r="BJ80" s="66">
        <f t="shared" si="86"/>
        <v>0</v>
      </c>
      <c r="BK80" s="66"/>
      <c r="BL80" s="66">
        <f>'[1]Univ Comm Fund'!S80</f>
        <v>0</v>
      </c>
      <c r="BM80" s="66">
        <f>'[1]UNIV 2019'!S86</f>
        <v>0</v>
      </c>
      <c r="BN80" s="66">
        <f t="shared" si="87"/>
        <v>0</v>
      </c>
      <c r="BO80" s="66"/>
      <c r="BP80" s="66">
        <f>'[1]Univ Comm Fund'!T80</f>
        <v>0</v>
      </c>
      <c r="BQ80" s="66">
        <f>'[1]UNIV 2019'!T86</f>
        <v>0</v>
      </c>
      <c r="BR80" s="66">
        <f t="shared" si="88"/>
        <v>0</v>
      </c>
      <c r="BS80" s="66"/>
      <c r="BT80" s="66">
        <f>'[1]Univ Comm Fund'!U80</f>
        <v>0</v>
      </c>
      <c r="BU80" s="66">
        <f>'[1]UNIV 2019'!U86</f>
        <v>0</v>
      </c>
      <c r="BV80" s="66">
        <f t="shared" si="72"/>
        <v>0</v>
      </c>
      <c r="BW80" s="66"/>
      <c r="BX80" s="66">
        <f>'[1]Univ Comm Fund'!V80</f>
        <v>0</v>
      </c>
      <c r="BY80" s="66">
        <f>'[1]UNIV 2019'!V86</f>
        <v>0</v>
      </c>
      <c r="BZ80" s="66">
        <f t="shared" si="89"/>
        <v>0</v>
      </c>
      <c r="CA80" s="66"/>
      <c r="CB80" s="66">
        <f>'[1]Univ Comm Fund'!W80</f>
        <v>0</v>
      </c>
      <c r="CC80" s="66">
        <f>'[1]UNIV 2019'!W86</f>
        <v>0</v>
      </c>
      <c r="CD80" s="66">
        <f t="shared" si="90"/>
        <v>0</v>
      </c>
      <c r="CE80" s="66"/>
      <c r="CF80" s="66">
        <v>0</v>
      </c>
      <c r="CG80" s="66">
        <f>'[1]UNIV 2019'!X86</f>
        <v>0</v>
      </c>
      <c r="CH80" s="75">
        <f t="shared" si="91"/>
        <v>0</v>
      </c>
      <c r="CI80" s="66"/>
      <c r="CJ80" s="66">
        <f>'[1]Univ Comm Fund'!Y80</f>
        <v>0</v>
      </c>
      <c r="CK80" s="66">
        <f>'[1]UNIV 2019'!Y86</f>
        <v>0</v>
      </c>
      <c r="CL80" s="66">
        <f t="shared" si="92"/>
        <v>0</v>
      </c>
      <c r="CM80" s="66"/>
      <c r="CN80" s="66">
        <f>'[1]Univ Comm Fund'!Z80</f>
        <v>0</v>
      </c>
      <c r="CO80" s="66">
        <f>'[1]UNIV 2019'!Z86</f>
        <v>0</v>
      </c>
      <c r="CP80" s="66">
        <f t="shared" si="93"/>
        <v>0</v>
      </c>
      <c r="CQ80" s="66"/>
      <c r="CR80" s="66">
        <f>'[1]Univ Comm Fund'!AA80</f>
        <v>0</v>
      </c>
      <c r="CS80" s="66">
        <f>'[1]UNIV 2019'!AA86</f>
        <v>0</v>
      </c>
      <c r="CT80" s="75">
        <f t="shared" si="94"/>
        <v>0</v>
      </c>
      <c r="CU80" s="66"/>
      <c r="CV80" s="66">
        <f>'[1]Univ Comm Fund'!AB80</f>
        <v>0</v>
      </c>
      <c r="CW80" s="66">
        <f>'[1]UNIV 2019'!AB86</f>
        <v>0</v>
      </c>
      <c r="CX80" s="75">
        <f t="shared" si="95"/>
        <v>0</v>
      </c>
      <c r="CY80" s="66"/>
      <c r="CZ80" s="66">
        <f>'[1]Univ Comm Fund'!AC80</f>
        <v>356000000</v>
      </c>
      <c r="DA80" s="66">
        <f>'[1]UNIV 2019'!AC86</f>
        <v>356000000</v>
      </c>
      <c r="DB80" s="66">
        <f t="shared" si="96"/>
        <v>0</v>
      </c>
      <c r="DC80" s="66"/>
      <c r="DD80" s="66">
        <f>'[1]Univ Comm Fund'!AD80</f>
        <v>20000000</v>
      </c>
      <c r="DE80" s="66">
        <f>'[1]UNIV 2019'!AD86</f>
        <v>20000000</v>
      </c>
      <c r="DF80" s="66">
        <f t="shared" si="97"/>
        <v>0</v>
      </c>
      <c r="DG80" s="66"/>
      <c r="DH80" s="66">
        <f>'[1]Univ Comm Fund'!AE80</f>
        <v>552000000</v>
      </c>
      <c r="DI80" s="66">
        <f>'[1]UNIV 2019'!AE86</f>
        <v>276000000</v>
      </c>
      <c r="DJ80" s="66">
        <f t="shared" si="98"/>
        <v>276000000</v>
      </c>
      <c r="DK80" s="66"/>
      <c r="DL80" s="66">
        <f>'[1]Univ Comm Fund'!AF80</f>
        <v>20000000</v>
      </c>
      <c r="DM80" s="66">
        <f>'[1]UNIV 2019'!AF86</f>
        <v>20000000</v>
      </c>
      <c r="DN80" s="66">
        <f t="shared" si="99"/>
        <v>0</v>
      </c>
      <c r="DO80" s="66"/>
      <c r="DP80" s="66">
        <f>'[1]Univ Comm Fund'!AG80</f>
        <v>1000000000</v>
      </c>
      <c r="DQ80" s="66">
        <f>'[1]UNIV 2019'!AG86</f>
        <v>1000000000</v>
      </c>
      <c r="DR80" s="66">
        <f t="shared" si="100"/>
        <v>0</v>
      </c>
      <c r="DS80" s="66"/>
      <c r="DT80" s="66">
        <f>'[1]Univ Comm Fund'!AH80</f>
        <v>100000000</v>
      </c>
      <c r="DU80" s="66">
        <f>'[1]UNIV 2019'!AH86</f>
        <v>50000000</v>
      </c>
      <c r="DV80" s="66">
        <f t="shared" si="101"/>
        <v>50000000</v>
      </c>
      <c r="DW80" s="66"/>
      <c r="DX80" s="66">
        <f>'[1]Univ Comm Fund'!AI80</f>
        <v>15000000</v>
      </c>
      <c r="DY80" s="66">
        <f>'[1]UNIV 2019'!AI86</f>
        <v>7650000</v>
      </c>
      <c r="DZ80" s="66">
        <f t="shared" si="102"/>
        <v>7350000</v>
      </c>
      <c r="EA80" s="66"/>
      <c r="EB80" s="66">
        <f>'[1]Univ Comm Fund'!AJ80</f>
        <v>2000000</v>
      </c>
      <c r="EC80" s="66">
        <f>'[1]UNIV 2019'!AJ86</f>
        <v>0</v>
      </c>
      <c r="ED80" s="66">
        <f t="shared" si="103"/>
        <v>2000000</v>
      </c>
      <c r="EE80" s="66"/>
      <c r="EF80" s="66">
        <f>'[1]Univ Comm Fund'!AK80</f>
        <v>10000000</v>
      </c>
      <c r="EG80" s="66">
        <f>'[1]UNIV 2019'!AK86</f>
        <v>10000000</v>
      </c>
      <c r="EH80" s="66">
        <f t="shared" si="104"/>
        <v>0</v>
      </c>
      <c r="EI80" s="66"/>
      <c r="EJ80" s="66">
        <f>'[1]Univ Comm Fund'!AL80</f>
        <v>6800000000</v>
      </c>
      <c r="EK80" s="66">
        <f>'[1]UNIV 2019'!AL86</f>
        <v>6680000000</v>
      </c>
      <c r="EL80" s="66">
        <f t="shared" si="105"/>
        <v>120000000</v>
      </c>
      <c r="EM80" s="66"/>
      <c r="EN80" s="80">
        <f>'[1]Univ Comm Fund'!AM80</f>
        <v>565410000</v>
      </c>
      <c r="EO80" s="66">
        <f>'[1]UNIV 2019'!AM86</f>
        <v>282705000</v>
      </c>
      <c r="EP80" s="75">
        <f t="shared" si="106"/>
        <v>282705000</v>
      </c>
      <c r="EQ80" s="66"/>
      <c r="ER80" s="66">
        <f>'[1]Univ Comm Fund'!AN80</f>
        <v>15000000</v>
      </c>
      <c r="ES80" s="66">
        <f>'[1]UNIV 2019'!AN86</f>
        <v>7650000</v>
      </c>
      <c r="ET80" s="75">
        <f t="shared" si="107"/>
        <v>7350000</v>
      </c>
      <c r="EU80" s="66"/>
      <c r="EV80" s="66">
        <f>'[1]Univ Comm Fund'!AO80</f>
        <v>15000000</v>
      </c>
      <c r="EW80" s="66">
        <f>'[1]UNIV 2019'!AO86</f>
        <v>0</v>
      </c>
      <c r="EX80" s="75">
        <f t="shared" si="108"/>
        <v>15000000</v>
      </c>
      <c r="EY80" s="66"/>
      <c r="EZ80" s="66">
        <f>'[1]Univ Comm Fund'!AP80</f>
        <v>10000000</v>
      </c>
      <c r="FA80" s="66">
        <f>'[1]UNIV 2019'!AP86</f>
        <v>10000000</v>
      </c>
      <c r="FB80" s="75">
        <f t="shared" si="109"/>
        <v>0</v>
      </c>
      <c r="FC80" s="75"/>
      <c r="FD80" s="75">
        <f>'[1]Univ Comm Fund'!AQ80</f>
        <v>0</v>
      </c>
      <c r="FE80" s="75">
        <f>'[1]UNIV 2019'!AQ86</f>
        <v>0</v>
      </c>
      <c r="FF80" s="75">
        <f t="shared" si="110"/>
        <v>0</v>
      </c>
      <c r="FG80" s="75"/>
      <c r="FH80" s="75">
        <f>'[1]Univ Comm Fund'!AR80</f>
        <v>0</v>
      </c>
      <c r="FI80" s="75">
        <f>'[1]UNIV 2019'!AR86</f>
        <v>0</v>
      </c>
      <c r="FJ80" s="75">
        <f t="shared" si="111"/>
        <v>0</v>
      </c>
      <c r="FK80" s="75"/>
      <c r="FL80" s="75">
        <f>'[1]Univ Comm Fund'!AS80</f>
        <v>300000000</v>
      </c>
      <c r="FM80" s="75">
        <f>'[1]UNIV 2019'!AS86</f>
        <v>0</v>
      </c>
      <c r="FN80" s="75">
        <f t="shared" si="112"/>
        <v>300000000</v>
      </c>
      <c r="FO80" s="75"/>
      <c r="FP80" s="75">
        <f>'[1]Univ Comm Fund'!AT80</f>
        <v>120000000</v>
      </c>
      <c r="FQ80" s="75">
        <f>'[1]UNIV 2019'!AT86</f>
        <v>97200000</v>
      </c>
      <c r="FR80" s="75">
        <f t="shared" si="113"/>
        <v>22800000</v>
      </c>
      <c r="FS80" s="75"/>
      <c r="FT80" s="75">
        <f>'[1]Univ Comm Fund'!AU80</f>
        <v>10000000</v>
      </c>
      <c r="FU80" s="75">
        <f>'[1]UNIV 2019'!AU86</f>
        <v>0</v>
      </c>
      <c r="FV80" s="75">
        <f t="shared" si="114"/>
        <v>10000000</v>
      </c>
      <c r="FW80" s="75"/>
      <c r="FX80" s="75">
        <f>'[1]Univ Comm Fund'!AV80</f>
        <v>5000000</v>
      </c>
      <c r="FY80" s="75">
        <f>'[1]UNIV 2019'!AV86</f>
        <v>0</v>
      </c>
      <c r="FZ80" s="75">
        <f t="shared" si="115"/>
        <v>5000000</v>
      </c>
      <c r="GA80" s="75"/>
      <c r="GB80" s="75">
        <f>'[1]Univ Comm Fund'!AW80</f>
        <v>10000000</v>
      </c>
      <c r="GC80" s="75">
        <f>'[1]UNIV 2019'!AW86</f>
        <v>0</v>
      </c>
      <c r="GD80" s="75">
        <f t="shared" si="116"/>
        <v>10000000</v>
      </c>
      <c r="GE80" s="75"/>
      <c r="GF80" s="75">
        <f>'[1]Univ Comm Fund'!AX80</f>
        <v>0</v>
      </c>
      <c r="GG80" s="75">
        <f>'[1]UNIV 2019'!AX86</f>
        <v>0</v>
      </c>
      <c r="GH80" s="75">
        <f t="shared" si="117"/>
        <v>0</v>
      </c>
      <c r="GI80" s="75"/>
      <c r="GJ80" s="75">
        <f>'[1]Univ Comm Fund'!AY80</f>
        <v>350000000</v>
      </c>
      <c r="GK80" s="75">
        <f>'[1]UNIV 2019'!AY86</f>
        <v>0</v>
      </c>
      <c r="GL80" s="75">
        <f t="shared" si="118"/>
        <v>350000000</v>
      </c>
      <c r="GM80" s="75"/>
      <c r="GN80" s="75">
        <f>'[1]Univ Comm Fund'!AZ80</f>
        <v>175823700</v>
      </c>
      <c r="GO80" s="75">
        <f>'[1]UNIV 2019'!AZ86</f>
        <v>0</v>
      </c>
      <c r="GP80" s="75">
        <f t="shared" si="119"/>
        <v>175823700</v>
      </c>
      <c r="GQ80" s="75"/>
      <c r="GR80" s="75">
        <f>'[1]Univ Comm Fund'!BA80</f>
        <v>20000000</v>
      </c>
      <c r="GS80" s="75">
        <f>'[1]UNIV 2019'!BA86</f>
        <v>0</v>
      </c>
      <c r="GT80" s="75">
        <f t="shared" si="120"/>
        <v>20000000</v>
      </c>
      <c r="GU80" s="75"/>
      <c r="GV80" s="75">
        <f>'[1]Univ Comm Fund'!BB80</f>
        <v>5000000</v>
      </c>
      <c r="GW80" s="75">
        <f>'[1]UNIV 2019'!BB86</f>
        <v>0</v>
      </c>
      <c r="GX80" s="75">
        <f t="shared" si="121"/>
        <v>5000000</v>
      </c>
      <c r="GY80" s="75"/>
      <c r="GZ80" s="75">
        <f>'[1]Univ Comm Fund'!BC80</f>
        <v>10000000</v>
      </c>
      <c r="HA80" s="75">
        <f>'[1]UNIV 2019'!BD86</f>
        <v>0</v>
      </c>
      <c r="HB80" s="75">
        <f t="shared" si="122"/>
        <v>10000000</v>
      </c>
      <c r="HC80" s="75"/>
      <c r="HD80" s="75">
        <f>'[1]Univ Comm Fund'!BD80</f>
        <v>0</v>
      </c>
      <c r="HE80" s="75">
        <f>'[1]UNIV 2019'!BC86</f>
        <v>0</v>
      </c>
      <c r="HF80" s="75">
        <f t="shared" si="123"/>
        <v>0</v>
      </c>
      <c r="HG80" s="75"/>
      <c r="HH80" s="75">
        <f t="shared" si="124"/>
        <v>10486233700</v>
      </c>
      <c r="HI80" s="75">
        <f t="shared" si="124"/>
        <v>8817205000</v>
      </c>
      <c r="HJ80" s="82">
        <f t="shared" si="125"/>
        <v>1669028700</v>
      </c>
      <c r="HL80" s="83">
        <f t="shared" si="126"/>
        <v>2223410000</v>
      </c>
      <c r="HM80" s="83">
        <f t="shared" si="126"/>
        <v>964705000</v>
      </c>
      <c r="HN80" s="84">
        <f t="shared" si="127"/>
        <v>1258705000</v>
      </c>
      <c r="HP80" s="83">
        <f t="shared" si="128"/>
        <v>7800000000</v>
      </c>
      <c r="HQ80" s="83">
        <f t="shared" si="128"/>
        <v>7680000000</v>
      </c>
      <c r="HR80" s="84">
        <f t="shared" si="129"/>
        <v>120000000</v>
      </c>
      <c r="HT80" s="83">
        <f t="shared" si="130"/>
        <v>70000000</v>
      </c>
      <c r="HU80" s="83">
        <f t="shared" si="130"/>
        <v>60000000</v>
      </c>
      <c r="HV80" s="84">
        <f t="shared" si="131"/>
        <v>10000000</v>
      </c>
      <c r="HX80" s="83">
        <f t="shared" si="132"/>
        <v>60000000</v>
      </c>
      <c r="HY80" s="83">
        <f t="shared" si="132"/>
        <v>15300000</v>
      </c>
      <c r="HZ80" s="84">
        <f t="shared" si="133"/>
        <v>44700000</v>
      </c>
      <c r="IB80" s="83">
        <f t="shared" si="134"/>
        <v>35000000</v>
      </c>
      <c r="IC80" s="83">
        <f t="shared" si="134"/>
        <v>0</v>
      </c>
      <c r="ID80" s="84">
        <f t="shared" si="135"/>
        <v>35000000</v>
      </c>
      <c r="IF80" s="83">
        <f t="shared" si="73"/>
        <v>2000000</v>
      </c>
      <c r="IG80" s="83">
        <f t="shared" si="73"/>
        <v>0</v>
      </c>
      <c r="IH80" s="84">
        <f t="shared" si="136"/>
        <v>2000000</v>
      </c>
      <c r="IJ80" s="84">
        <f t="shared" si="137"/>
        <v>295823700</v>
      </c>
      <c r="IK80" s="84">
        <f t="shared" si="137"/>
        <v>97200000</v>
      </c>
      <c r="IL80" s="84">
        <f t="shared" si="138"/>
        <v>198623700</v>
      </c>
    </row>
    <row r="81" spans="1:246" ht="15" customHeight="1" x14ac:dyDescent="0.25">
      <c r="A81" s="42">
        <v>75</v>
      </c>
      <c r="B81" s="135" t="s">
        <v>141</v>
      </c>
      <c r="C81" s="136" t="s">
        <v>63</v>
      </c>
      <c r="D81" s="66">
        <f>'[1]Univ Comm Fund'!D81</f>
        <v>0</v>
      </c>
      <c r="E81" s="66">
        <f>'[1]UNIV 2019'!D87</f>
        <v>0</v>
      </c>
      <c r="F81" s="75">
        <f t="shared" si="74"/>
        <v>0</v>
      </c>
      <c r="G81" s="66"/>
      <c r="H81" s="66">
        <f>'[1]Univ Comm Fund'!E81</f>
        <v>0</v>
      </c>
      <c r="I81" s="66">
        <f>'[1]UNIV 2019'!E87</f>
        <v>0</v>
      </c>
      <c r="J81" s="66">
        <f t="shared" si="75"/>
        <v>0</v>
      </c>
      <c r="K81" s="66"/>
      <c r="L81" s="66">
        <f>'[1]Univ Comm Fund'!F81</f>
        <v>0</v>
      </c>
      <c r="M81" s="66">
        <f>'[1]UNIV 2019'!F87</f>
        <v>0</v>
      </c>
      <c r="N81" s="66">
        <f t="shared" si="76"/>
        <v>0</v>
      </c>
      <c r="O81" s="66"/>
      <c r="P81" s="66">
        <f>'[1]Univ Comm Fund'!G81</f>
        <v>0</v>
      </c>
      <c r="Q81" s="66">
        <f>'[1]UNIV 2019'!G87</f>
        <v>0</v>
      </c>
      <c r="R81" s="66">
        <f t="shared" si="77"/>
        <v>0</v>
      </c>
      <c r="S81" s="87"/>
      <c r="T81" s="66">
        <f>'[1]Univ Comm Fund'!H81</f>
        <v>0</v>
      </c>
      <c r="U81" s="66">
        <f>'[1]UNIV 2019'!H87</f>
        <v>0</v>
      </c>
      <c r="V81" s="66">
        <f t="shared" si="78"/>
        <v>0</v>
      </c>
      <c r="W81" s="66"/>
      <c r="X81" s="66">
        <f>'[1]Univ Comm Fund'!I81</f>
        <v>0</v>
      </c>
      <c r="Y81" s="66">
        <f>'[1]UNIV 2019'!I87</f>
        <v>0</v>
      </c>
      <c r="Z81" s="66">
        <f t="shared" si="79"/>
        <v>0</v>
      </c>
      <c r="AA81" s="66"/>
      <c r="AB81" s="66">
        <f>'[1]Univ Comm Fund'!J81</f>
        <v>0</v>
      </c>
      <c r="AC81" s="66">
        <f>'[1]UNIV 2019'!J87</f>
        <v>0</v>
      </c>
      <c r="AD81" s="66">
        <f t="shared" si="80"/>
        <v>0</v>
      </c>
      <c r="AE81" s="66"/>
      <c r="AF81" s="66">
        <f>'[1]Univ Comm Fund'!K81</f>
        <v>0</v>
      </c>
      <c r="AG81" s="66">
        <f>'[1]UNIV 2019'!K87</f>
        <v>0</v>
      </c>
      <c r="AH81" s="66">
        <f t="shared" si="81"/>
        <v>0</v>
      </c>
      <c r="AI81" s="66"/>
      <c r="AJ81" s="66">
        <f>'[1]Univ Comm Fund'!L81</f>
        <v>0</v>
      </c>
      <c r="AK81" s="66">
        <f>'[1]UNIV 2019'!L87</f>
        <v>0</v>
      </c>
      <c r="AL81" s="66">
        <f t="shared" si="82"/>
        <v>0</v>
      </c>
      <c r="AM81" s="66"/>
      <c r="AN81" s="66">
        <f>'[1]Univ Comm Fund'!M81</f>
        <v>0</v>
      </c>
      <c r="AO81" s="66">
        <f>'[1]UNIV 2019'!M87</f>
        <v>0</v>
      </c>
      <c r="AP81" s="66">
        <f t="shared" si="83"/>
        <v>0</v>
      </c>
      <c r="AQ81" s="66"/>
      <c r="AR81" s="66">
        <f>'[1]Univ Comm Fund'!N81</f>
        <v>0</v>
      </c>
      <c r="AS81" s="66">
        <f>'[1]UNIV 2019'!N87</f>
        <v>0</v>
      </c>
      <c r="AT81" s="66">
        <f t="shared" si="84"/>
        <v>0</v>
      </c>
      <c r="AU81" s="66"/>
      <c r="AV81" s="66">
        <f>'[1]Univ Comm Fund'!O81</f>
        <v>0</v>
      </c>
      <c r="AW81" s="66">
        <f>'[1]UNIV 2019'!O87</f>
        <v>0</v>
      </c>
      <c r="AX81" s="66">
        <f t="shared" si="85"/>
        <v>0</v>
      </c>
      <c r="AY81" s="66"/>
      <c r="AZ81" s="66">
        <f>'[1]Univ Comm Fund'!P81</f>
        <v>0</v>
      </c>
      <c r="BA81" s="66">
        <f>'[1]UNIV 2019'!P87</f>
        <v>0</v>
      </c>
      <c r="BB81" s="66">
        <f t="shared" si="70"/>
        <v>0</v>
      </c>
      <c r="BC81" s="66"/>
      <c r="BD81" s="66">
        <f>'[1]Univ Comm Fund'!Q81</f>
        <v>0</v>
      </c>
      <c r="BE81" s="66">
        <f>'[1]UNIV 2019'!Q87</f>
        <v>0</v>
      </c>
      <c r="BF81" s="66">
        <f t="shared" si="71"/>
        <v>0</v>
      </c>
      <c r="BG81" s="66"/>
      <c r="BH81" s="66">
        <f>'[1]Univ Comm Fund'!R81</f>
        <v>0</v>
      </c>
      <c r="BI81" s="66">
        <f>'[1]UNIV 2019'!R87</f>
        <v>0</v>
      </c>
      <c r="BJ81" s="66">
        <f t="shared" si="86"/>
        <v>0</v>
      </c>
      <c r="BK81" s="66"/>
      <c r="BL81" s="66">
        <f>'[1]Univ Comm Fund'!S81</f>
        <v>0</v>
      </c>
      <c r="BM81" s="66">
        <f>'[1]UNIV 2019'!S87</f>
        <v>0</v>
      </c>
      <c r="BN81" s="66">
        <f t="shared" si="87"/>
        <v>0</v>
      </c>
      <c r="BO81" s="66"/>
      <c r="BP81" s="66">
        <f>'[1]Univ Comm Fund'!T81</f>
        <v>0</v>
      </c>
      <c r="BQ81" s="66">
        <f>'[1]UNIV 2019'!T87</f>
        <v>0</v>
      </c>
      <c r="BR81" s="66">
        <f t="shared" si="88"/>
        <v>0</v>
      </c>
      <c r="BS81" s="66"/>
      <c r="BT81" s="66">
        <f>'[1]Univ Comm Fund'!U81</f>
        <v>0</v>
      </c>
      <c r="BU81" s="66">
        <f>'[1]UNIV 2019'!U87</f>
        <v>0</v>
      </c>
      <c r="BV81" s="66">
        <f t="shared" si="72"/>
        <v>0</v>
      </c>
      <c r="BW81" s="66"/>
      <c r="BX81" s="66">
        <f>'[1]Univ Comm Fund'!V81</f>
        <v>0</v>
      </c>
      <c r="BY81" s="66">
        <f>'[1]UNIV 2019'!V87</f>
        <v>0</v>
      </c>
      <c r="BZ81" s="66">
        <f t="shared" si="89"/>
        <v>0</v>
      </c>
      <c r="CA81" s="66"/>
      <c r="CB81" s="66">
        <f>'[1]Univ Comm Fund'!W81</f>
        <v>0</v>
      </c>
      <c r="CC81" s="66">
        <f>'[1]UNIV 2019'!W87</f>
        <v>0</v>
      </c>
      <c r="CD81" s="66">
        <f t="shared" si="90"/>
        <v>0</v>
      </c>
      <c r="CE81" s="66"/>
      <c r="CF81" s="66">
        <v>0</v>
      </c>
      <c r="CG81" s="66">
        <f>'[1]UNIV 2019'!X87</f>
        <v>0</v>
      </c>
      <c r="CH81" s="75">
        <f t="shared" si="91"/>
        <v>0</v>
      </c>
      <c r="CI81" s="66"/>
      <c r="CJ81" s="66">
        <f>'[1]Univ Comm Fund'!Y81</f>
        <v>0</v>
      </c>
      <c r="CK81" s="66">
        <f>'[1]UNIV 2019'!Y87</f>
        <v>0</v>
      </c>
      <c r="CL81" s="66">
        <f t="shared" si="92"/>
        <v>0</v>
      </c>
      <c r="CM81" s="66"/>
      <c r="CN81" s="66">
        <f>'[1]Univ Comm Fund'!Z81</f>
        <v>1385662901.4100001</v>
      </c>
      <c r="CO81" s="66">
        <f>'[1]UNIV 2019'!Z87</f>
        <v>1141274117.97</v>
      </c>
      <c r="CP81" s="66">
        <f t="shared" si="93"/>
        <v>244388783.44000006</v>
      </c>
      <c r="CQ81" s="66"/>
      <c r="CR81" s="66">
        <f>'[1]Univ Comm Fund'!AA81</f>
        <v>0</v>
      </c>
      <c r="CS81" s="66">
        <f>'[1]UNIV 2019'!AA87</f>
        <v>0</v>
      </c>
      <c r="CT81" s="75">
        <f t="shared" si="94"/>
        <v>0</v>
      </c>
      <c r="CU81" s="66"/>
      <c r="CV81" s="66">
        <f>'[1]Univ Comm Fund'!AB81</f>
        <v>0</v>
      </c>
      <c r="CW81" s="66">
        <f>'[1]UNIV 2019'!AB87</f>
        <v>0</v>
      </c>
      <c r="CX81" s="75">
        <f t="shared" si="95"/>
        <v>0</v>
      </c>
      <c r="CY81" s="66"/>
      <c r="CZ81" s="66">
        <f>'[1]Univ Comm Fund'!AC81</f>
        <v>356000000</v>
      </c>
      <c r="DA81" s="66">
        <f>'[1]UNIV 2019'!AC87</f>
        <v>356000000</v>
      </c>
      <c r="DB81" s="66">
        <f t="shared" si="96"/>
        <v>0</v>
      </c>
      <c r="DC81" s="66"/>
      <c r="DD81" s="66">
        <f>'[1]Univ Comm Fund'!AD81</f>
        <v>20000000</v>
      </c>
      <c r="DE81" s="66">
        <f>'[1]UNIV 2019'!AD87</f>
        <v>0</v>
      </c>
      <c r="DF81" s="66">
        <f t="shared" si="97"/>
        <v>20000000</v>
      </c>
      <c r="DG81" s="66"/>
      <c r="DH81" s="66">
        <f>'[1]Univ Comm Fund'!AE81</f>
        <v>552000000</v>
      </c>
      <c r="DI81" s="66">
        <f>'[1]UNIV 2019'!AE87</f>
        <v>469200000</v>
      </c>
      <c r="DJ81" s="66">
        <f t="shared" si="98"/>
        <v>82800000</v>
      </c>
      <c r="DK81" s="66"/>
      <c r="DL81" s="66">
        <f>'[1]Univ Comm Fund'!AF81</f>
        <v>20000000</v>
      </c>
      <c r="DM81" s="66">
        <f>'[1]UNIV 2019'!AF87</f>
        <v>0</v>
      </c>
      <c r="DN81" s="66">
        <f t="shared" si="99"/>
        <v>20000000</v>
      </c>
      <c r="DO81" s="66"/>
      <c r="DP81" s="66">
        <f>'[1]Univ Comm Fund'!AG81</f>
        <v>0</v>
      </c>
      <c r="DQ81" s="66">
        <f>'[1]UNIV 2019'!AG87</f>
        <v>0</v>
      </c>
      <c r="DR81" s="66">
        <f t="shared" si="100"/>
        <v>0</v>
      </c>
      <c r="DS81" s="66"/>
      <c r="DT81" s="66">
        <f>'[1]Univ Comm Fund'!AH81</f>
        <v>100000000</v>
      </c>
      <c r="DU81" s="66">
        <f>'[1]UNIV 2019'!AH87</f>
        <v>0</v>
      </c>
      <c r="DV81" s="66">
        <f t="shared" si="101"/>
        <v>100000000</v>
      </c>
      <c r="DW81" s="66"/>
      <c r="DX81" s="66">
        <f>'[1]Univ Comm Fund'!AI81</f>
        <v>15000000</v>
      </c>
      <c r="DY81" s="66">
        <f>'[1]UNIV 2019'!AI87</f>
        <v>0</v>
      </c>
      <c r="DZ81" s="66">
        <f t="shared" si="102"/>
        <v>15000000</v>
      </c>
      <c r="EA81" s="66"/>
      <c r="EB81" s="66">
        <f>'[1]Univ Comm Fund'!AJ81</f>
        <v>2000000</v>
      </c>
      <c r="EC81" s="66">
        <f>'[1]UNIV 2019'!AJ87</f>
        <v>0</v>
      </c>
      <c r="ED81" s="66">
        <f t="shared" si="103"/>
        <v>2000000</v>
      </c>
      <c r="EE81" s="66"/>
      <c r="EF81" s="66">
        <f>'[1]Univ Comm Fund'!AK81</f>
        <v>10000000</v>
      </c>
      <c r="EG81" s="66">
        <f>'[1]UNIV 2019'!AK87</f>
        <v>0</v>
      </c>
      <c r="EH81" s="66">
        <f t="shared" si="104"/>
        <v>10000000</v>
      </c>
      <c r="EI81" s="66"/>
      <c r="EJ81" s="66">
        <f>'[1]Univ Comm Fund'!AL81</f>
        <v>0</v>
      </c>
      <c r="EK81" s="66">
        <f>'[1]UNIV 2019'!AL87</f>
        <v>0</v>
      </c>
      <c r="EL81" s="66">
        <f t="shared" si="105"/>
        <v>0</v>
      </c>
      <c r="EM81" s="66"/>
      <c r="EN81" s="80">
        <f>'[1]Univ Comm Fund'!AM81</f>
        <v>565410000</v>
      </c>
      <c r="EO81" s="66">
        <f>'[1]UNIV 2019'!AM87</f>
        <v>0</v>
      </c>
      <c r="EP81" s="75">
        <f t="shared" si="106"/>
        <v>565410000</v>
      </c>
      <c r="EQ81" s="66"/>
      <c r="ER81" s="66">
        <f>'[1]Univ Comm Fund'!AN81</f>
        <v>15000000</v>
      </c>
      <c r="ES81" s="66">
        <f>'[1]UNIV 2019'!AN87</f>
        <v>0</v>
      </c>
      <c r="ET81" s="75">
        <f t="shared" si="107"/>
        <v>15000000</v>
      </c>
      <c r="EU81" s="66"/>
      <c r="EV81" s="66">
        <f>'[1]Univ Comm Fund'!AO81</f>
        <v>15000000</v>
      </c>
      <c r="EW81" s="66">
        <f>'[1]UNIV 2019'!AO87</f>
        <v>0</v>
      </c>
      <c r="EX81" s="75">
        <f t="shared" si="108"/>
        <v>15000000</v>
      </c>
      <c r="EY81" s="66"/>
      <c r="EZ81" s="66">
        <f>'[1]Univ Comm Fund'!AP81</f>
        <v>10000000</v>
      </c>
      <c r="FA81" s="66">
        <f>'[1]UNIV 2019'!AP87</f>
        <v>0</v>
      </c>
      <c r="FB81" s="75">
        <f t="shared" si="109"/>
        <v>10000000</v>
      </c>
      <c r="FC81" s="75"/>
      <c r="FD81" s="75">
        <f>'[1]Univ Comm Fund'!AQ81</f>
        <v>0</v>
      </c>
      <c r="FE81" s="75">
        <f>'[1]UNIV 2019'!AQ87</f>
        <v>0</v>
      </c>
      <c r="FF81" s="75">
        <f t="shared" si="110"/>
        <v>0</v>
      </c>
      <c r="FG81" s="75"/>
      <c r="FH81" s="75">
        <f>'[1]Univ Comm Fund'!AR81</f>
        <v>0</v>
      </c>
      <c r="FI81" s="75">
        <f>'[1]UNIV 2019'!AR87</f>
        <v>0</v>
      </c>
      <c r="FJ81" s="75">
        <f t="shared" si="111"/>
        <v>0</v>
      </c>
      <c r="FK81" s="75"/>
      <c r="FL81" s="75">
        <f>'[1]Univ Comm Fund'!AS81</f>
        <v>300000000</v>
      </c>
      <c r="FM81" s="75">
        <f>'[1]UNIV 2019'!AS87</f>
        <v>0</v>
      </c>
      <c r="FN81" s="75">
        <f t="shared" si="112"/>
        <v>300000000</v>
      </c>
      <c r="FO81" s="75"/>
      <c r="FP81" s="75">
        <f>'[1]Univ Comm Fund'!AT81</f>
        <v>120000000</v>
      </c>
      <c r="FQ81" s="75">
        <f>'[1]UNIV 2019'!AT87</f>
        <v>81600000</v>
      </c>
      <c r="FR81" s="75">
        <f t="shared" si="113"/>
        <v>38400000</v>
      </c>
      <c r="FS81" s="75"/>
      <c r="FT81" s="75">
        <f>'[1]Univ Comm Fund'!AU81</f>
        <v>10000000</v>
      </c>
      <c r="FU81" s="75">
        <f>'[1]UNIV 2019'!AU87</f>
        <v>0</v>
      </c>
      <c r="FV81" s="75">
        <f t="shared" si="114"/>
        <v>10000000</v>
      </c>
      <c r="FW81" s="75"/>
      <c r="FX81" s="75">
        <f>'[1]Univ Comm Fund'!AV81</f>
        <v>5000000</v>
      </c>
      <c r="FY81" s="75">
        <f>'[1]UNIV 2019'!AV87</f>
        <v>0</v>
      </c>
      <c r="FZ81" s="75">
        <f t="shared" si="115"/>
        <v>5000000</v>
      </c>
      <c r="GA81" s="75"/>
      <c r="GB81" s="75">
        <f>'[1]Univ Comm Fund'!AW81</f>
        <v>10000000</v>
      </c>
      <c r="GC81" s="75">
        <f>'[1]UNIV 2019'!AW87</f>
        <v>0</v>
      </c>
      <c r="GD81" s="75">
        <f t="shared" si="116"/>
        <v>10000000</v>
      </c>
      <c r="GE81" s="75"/>
      <c r="GF81" s="75">
        <f>'[1]Univ Comm Fund'!AX81</f>
        <v>0</v>
      </c>
      <c r="GG81" s="75">
        <f>'[1]UNIV 2019'!AX87</f>
        <v>0</v>
      </c>
      <c r="GH81" s="75">
        <f t="shared" si="117"/>
        <v>0</v>
      </c>
      <c r="GI81" s="75"/>
      <c r="GJ81" s="75">
        <f>'[1]Univ Comm Fund'!AY81</f>
        <v>350000000</v>
      </c>
      <c r="GK81" s="75">
        <f>'[1]UNIV 2019'!AY87</f>
        <v>0</v>
      </c>
      <c r="GL81" s="75">
        <f t="shared" si="118"/>
        <v>350000000</v>
      </c>
      <c r="GM81" s="75"/>
      <c r="GN81" s="75">
        <f>'[1]Univ Comm Fund'!AZ81</f>
        <v>175823700</v>
      </c>
      <c r="GO81" s="75">
        <f>'[1]UNIV 2019'!AZ87</f>
        <v>0</v>
      </c>
      <c r="GP81" s="75">
        <f t="shared" si="119"/>
        <v>175823700</v>
      </c>
      <c r="GQ81" s="75"/>
      <c r="GR81" s="75">
        <f>'[1]Univ Comm Fund'!BA81</f>
        <v>20000000</v>
      </c>
      <c r="GS81" s="75">
        <f>'[1]UNIV 2019'!BA87</f>
        <v>0</v>
      </c>
      <c r="GT81" s="75">
        <f t="shared" si="120"/>
        <v>20000000</v>
      </c>
      <c r="GU81" s="75"/>
      <c r="GV81" s="75">
        <f>'[1]Univ Comm Fund'!BB81</f>
        <v>5000000</v>
      </c>
      <c r="GW81" s="75">
        <f>'[1]UNIV 2019'!BB87</f>
        <v>0</v>
      </c>
      <c r="GX81" s="75">
        <f t="shared" si="121"/>
        <v>5000000</v>
      </c>
      <c r="GY81" s="75"/>
      <c r="GZ81" s="75">
        <f>'[1]Univ Comm Fund'!BC81</f>
        <v>10000000</v>
      </c>
      <c r="HA81" s="75">
        <f>'[1]UNIV 2019'!BD87</f>
        <v>0</v>
      </c>
      <c r="HB81" s="75">
        <f t="shared" si="122"/>
        <v>10000000</v>
      </c>
      <c r="HC81" s="75"/>
      <c r="HD81" s="75">
        <f>'[1]Univ Comm Fund'!BD81</f>
        <v>0</v>
      </c>
      <c r="HE81" s="75">
        <f>'[1]UNIV 2019'!BC87</f>
        <v>0</v>
      </c>
      <c r="HF81" s="75">
        <f t="shared" si="123"/>
        <v>0</v>
      </c>
      <c r="HG81" s="75"/>
      <c r="HH81" s="75">
        <f t="shared" si="124"/>
        <v>4071896601.4099998</v>
      </c>
      <c r="HI81" s="75">
        <f t="shared" si="124"/>
        <v>2048074117.97</v>
      </c>
      <c r="HJ81" s="82">
        <f t="shared" si="125"/>
        <v>2023822483.4399998</v>
      </c>
      <c r="HL81" s="83">
        <f t="shared" si="126"/>
        <v>3609072901.4099998</v>
      </c>
      <c r="HM81" s="83">
        <f t="shared" si="126"/>
        <v>1966474117.97</v>
      </c>
      <c r="HN81" s="84">
        <f t="shared" si="127"/>
        <v>1642598783.4399998</v>
      </c>
      <c r="HP81" s="83">
        <f t="shared" si="128"/>
        <v>0</v>
      </c>
      <c r="HQ81" s="83">
        <f t="shared" si="128"/>
        <v>0</v>
      </c>
      <c r="HR81" s="84">
        <f t="shared" si="129"/>
        <v>0</v>
      </c>
      <c r="HT81" s="83">
        <f t="shared" si="130"/>
        <v>70000000</v>
      </c>
      <c r="HU81" s="83">
        <f t="shared" si="130"/>
        <v>0</v>
      </c>
      <c r="HV81" s="84">
        <f t="shared" si="131"/>
        <v>70000000</v>
      </c>
      <c r="HX81" s="83">
        <f t="shared" si="132"/>
        <v>60000000</v>
      </c>
      <c r="HY81" s="83">
        <f t="shared" si="132"/>
        <v>0</v>
      </c>
      <c r="HZ81" s="84">
        <f t="shared" si="133"/>
        <v>60000000</v>
      </c>
      <c r="IB81" s="83">
        <f t="shared" si="134"/>
        <v>35000000</v>
      </c>
      <c r="IC81" s="83">
        <f t="shared" si="134"/>
        <v>0</v>
      </c>
      <c r="ID81" s="84">
        <f t="shared" si="135"/>
        <v>35000000</v>
      </c>
      <c r="IF81" s="83">
        <f t="shared" si="73"/>
        <v>2000000</v>
      </c>
      <c r="IG81" s="83">
        <f t="shared" si="73"/>
        <v>0</v>
      </c>
      <c r="IH81" s="84">
        <f t="shared" si="136"/>
        <v>2000000</v>
      </c>
      <c r="IJ81" s="84">
        <f t="shared" si="137"/>
        <v>295823700</v>
      </c>
      <c r="IK81" s="84">
        <f>FI81+FQ81+GO81</f>
        <v>81600000</v>
      </c>
      <c r="IL81" s="84">
        <f t="shared" si="138"/>
        <v>214223700</v>
      </c>
    </row>
    <row r="82" spans="1:246" ht="15" customHeight="1" x14ac:dyDescent="0.25">
      <c r="A82" s="119">
        <v>76</v>
      </c>
      <c r="B82" s="135" t="s">
        <v>142</v>
      </c>
      <c r="C82" s="136"/>
      <c r="D82" s="66"/>
      <c r="E82" s="66">
        <f>'[1]UNIV 2019'!D88</f>
        <v>0</v>
      </c>
      <c r="F82" s="75"/>
      <c r="G82" s="66"/>
      <c r="H82" s="66"/>
      <c r="I82" s="66">
        <f>'[1]UNIV 2019'!E88</f>
        <v>0</v>
      </c>
      <c r="J82" s="66"/>
      <c r="K82" s="66"/>
      <c r="L82" s="66"/>
      <c r="M82" s="66">
        <f>'[1]UNIV 2019'!F88</f>
        <v>0</v>
      </c>
      <c r="N82" s="66"/>
      <c r="O82" s="66"/>
      <c r="P82" s="66"/>
      <c r="Q82" s="66">
        <f>'[1]UNIV 2019'!G88</f>
        <v>0</v>
      </c>
      <c r="R82" s="66"/>
      <c r="S82" s="87"/>
      <c r="T82" s="66"/>
      <c r="U82" s="66">
        <f>'[1]UNIV 2019'!H88</f>
        <v>0</v>
      </c>
      <c r="V82" s="66"/>
      <c r="W82" s="66"/>
      <c r="X82" s="66"/>
      <c r="Y82" s="66">
        <f>'[1]UNIV 2019'!I88</f>
        <v>0</v>
      </c>
      <c r="Z82" s="66"/>
      <c r="AA82" s="66"/>
      <c r="AB82" s="66"/>
      <c r="AC82" s="66">
        <f>'[1]UNIV 2019'!J88</f>
        <v>0</v>
      </c>
      <c r="AD82" s="66"/>
      <c r="AE82" s="66"/>
      <c r="AF82" s="66"/>
      <c r="AG82" s="66">
        <f>'[1]UNIV 2019'!K88</f>
        <v>0</v>
      </c>
      <c r="AH82" s="66"/>
      <c r="AI82" s="66"/>
      <c r="AJ82" s="66"/>
      <c r="AK82" s="66">
        <f>'[1]UNIV 2019'!L88</f>
        <v>0</v>
      </c>
      <c r="AL82" s="66"/>
      <c r="AM82" s="66"/>
      <c r="AN82" s="66"/>
      <c r="AO82" s="66">
        <f>'[1]UNIV 2019'!M88</f>
        <v>0</v>
      </c>
      <c r="AP82" s="66"/>
      <c r="AQ82" s="66"/>
      <c r="AR82" s="66"/>
      <c r="AS82" s="66">
        <f>'[1]UNIV 2019'!N88</f>
        <v>0</v>
      </c>
      <c r="AT82" s="66"/>
      <c r="AU82" s="66"/>
      <c r="AV82" s="66"/>
      <c r="AW82" s="66">
        <f>'[1]UNIV 2019'!O88</f>
        <v>0</v>
      </c>
      <c r="AX82" s="66"/>
      <c r="AY82" s="66"/>
      <c r="AZ82" s="66"/>
      <c r="BA82" s="66">
        <f>'[1]UNIV 2019'!P88</f>
        <v>0</v>
      </c>
      <c r="BB82" s="66"/>
      <c r="BC82" s="66"/>
      <c r="BD82" s="66"/>
      <c r="BE82" s="66">
        <f>'[1]UNIV 2019'!Q88</f>
        <v>0</v>
      </c>
      <c r="BF82" s="66"/>
      <c r="BG82" s="66"/>
      <c r="BH82" s="66"/>
      <c r="BI82" s="66">
        <f>'[1]UNIV 2019'!R88</f>
        <v>0</v>
      </c>
      <c r="BJ82" s="66"/>
      <c r="BK82" s="66"/>
      <c r="BL82" s="66"/>
      <c r="BM82" s="66">
        <f>'[1]UNIV 2019'!S88</f>
        <v>0</v>
      </c>
      <c r="BN82" s="66"/>
      <c r="BO82" s="66"/>
      <c r="BP82" s="66"/>
      <c r="BQ82" s="66">
        <f>'[1]UNIV 2019'!T88</f>
        <v>0</v>
      </c>
      <c r="BR82" s="66"/>
      <c r="BS82" s="66"/>
      <c r="BT82" s="66">
        <f>'[1]Univ Comm Fund'!U82</f>
        <v>0</v>
      </c>
      <c r="BU82" s="66">
        <f>'[1]UNIV 2019'!U88</f>
        <v>0</v>
      </c>
      <c r="BV82" s="66"/>
      <c r="BW82" s="66"/>
      <c r="BX82" s="66">
        <f>'[1]Univ Comm Fund'!V82</f>
        <v>0</v>
      </c>
      <c r="BY82" s="66">
        <f>'[1]UNIV 2019'!V88</f>
        <v>0</v>
      </c>
      <c r="BZ82" s="66"/>
      <c r="CA82" s="66"/>
      <c r="CB82" s="66"/>
      <c r="CC82" s="66">
        <f>'[1]UNIV 2019'!W88</f>
        <v>0</v>
      </c>
      <c r="CD82" s="66"/>
      <c r="CE82" s="66"/>
      <c r="CF82" s="66"/>
      <c r="CG82" s="66">
        <f>'[1]UNIV 2019'!X88</f>
        <v>0</v>
      </c>
      <c r="CH82" s="75"/>
      <c r="CI82" s="66"/>
      <c r="CJ82" s="66"/>
      <c r="CK82" s="66">
        <f>'[1]UNIV 2019'!Y88</f>
        <v>0</v>
      </c>
      <c r="CL82" s="66"/>
      <c r="CM82" s="66"/>
      <c r="CN82" s="66"/>
      <c r="CO82" s="66">
        <f>'[1]UNIV 2019'!Z88</f>
        <v>0</v>
      </c>
      <c r="CP82" s="66"/>
      <c r="CQ82" s="66"/>
      <c r="CR82" s="66"/>
      <c r="CS82" s="66">
        <f>'[1]UNIV 2019'!AA88</f>
        <v>0</v>
      </c>
      <c r="CT82" s="75">
        <f t="shared" si="94"/>
        <v>0</v>
      </c>
      <c r="CU82" s="66"/>
      <c r="CV82" s="66">
        <f>'[1]Univ Comm Fund'!AB82</f>
        <v>300000000</v>
      </c>
      <c r="CW82" s="66">
        <f>'[1]UNIV 2019'!AB88</f>
        <v>300000000</v>
      </c>
      <c r="CX82" s="75">
        <f t="shared" si="95"/>
        <v>0</v>
      </c>
      <c r="CY82" s="66"/>
      <c r="CZ82" s="66"/>
      <c r="DA82" s="66">
        <f>'[1]UNIV 2019'!AC88</f>
        <v>0</v>
      </c>
      <c r="DB82" s="66"/>
      <c r="DC82" s="66"/>
      <c r="DD82" s="66"/>
      <c r="DE82" s="66">
        <f>'[1]UNIV 2019'!AD88</f>
        <v>0</v>
      </c>
      <c r="DF82" s="66"/>
      <c r="DG82" s="66"/>
      <c r="DH82" s="66">
        <f>'[1]Univ Comm Fund'!AE82</f>
        <v>552000000</v>
      </c>
      <c r="DI82" s="66">
        <f>'[1]UNIV 2019'!AE88</f>
        <v>552000000</v>
      </c>
      <c r="DJ82" s="66">
        <f t="shared" si="98"/>
        <v>0</v>
      </c>
      <c r="DK82" s="66"/>
      <c r="DL82" s="66">
        <f>'[1]Univ Comm Fund'!AF82</f>
        <v>20000000</v>
      </c>
      <c r="DM82" s="66">
        <f>'[1]UNIV 2019'!AF88</f>
        <v>12600000</v>
      </c>
      <c r="DN82" s="66">
        <f t="shared" si="99"/>
        <v>7400000</v>
      </c>
      <c r="DO82" s="66"/>
      <c r="DP82" s="66">
        <f>'[1]Univ Comm Fund'!AG82</f>
        <v>350000000</v>
      </c>
      <c r="DQ82" s="66">
        <f>'[1]UNIV 2019'!AG88</f>
        <v>350000000</v>
      </c>
      <c r="DR82" s="66">
        <f t="shared" si="100"/>
        <v>0</v>
      </c>
      <c r="DS82" s="66"/>
      <c r="DT82" s="66">
        <f>'[1]Univ Comm Fund'!AH82</f>
        <v>100000000</v>
      </c>
      <c r="DU82" s="66">
        <f>'[1]UNIV 2019'!AH88</f>
        <v>85000000</v>
      </c>
      <c r="DV82" s="66">
        <f t="shared" si="101"/>
        <v>15000000</v>
      </c>
      <c r="DW82" s="66"/>
      <c r="DX82" s="66">
        <f>'[1]Univ Comm Fund'!AI82</f>
        <v>15000000</v>
      </c>
      <c r="DY82" s="66">
        <f>'[1]UNIV 2019'!AI88</f>
        <v>12750000</v>
      </c>
      <c r="DZ82" s="66">
        <f t="shared" si="102"/>
        <v>2250000</v>
      </c>
      <c r="EA82" s="66"/>
      <c r="EB82" s="66">
        <f>'[1]Univ Comm Fund'!AJ82</f>
        <v>2000000</v>
      </c>
      <c r="EC82" s="66">
        <f>'[1]UNIV 2019'!AJ88</f>
        <v>0</v>
      </c>
      <c r="ED82" s="66">
        <f t="shared" si="103"/>
        <v>2000000</v>
      </c>
      <c r="EE82" s="66"/>
      <c r="EF82" s="66">
        <f>'[1]Univ Comm Fund'!AK82</f>
        <v>10000000</v>
      </c>
      <c r="EG82" s="66">
        <f>'[1]UNIV 2019'!AK88</f>
        <v>6300000</v>
      </c>
      <c r="EH82" s="66">
        <f t="shared" si="104"/>
        <v>3700000</v>
      </c>
      <c r="EI82" s="66"/>
      <c r="EJ82" s="66">
        <f>'[1]Univ Comm Fund'!AL82</f>
        <v>1150000000</v>
      </c>
      <c r="EK82" s="66">
        <f>'[1]UNIV 2019'!AL88</f>
        <v>1150000000</v>
      </c>
      <c r="EL82" s="66">
        <f t="shared" si="105"/>
        <v>0</v>
      </c>
      <c r="EM82" s="66"/>
      <c r="EN82" s="80">
        <f>'[1]Univ Comm Fund'!AM82</f>
        <v>0</v>
      </c>
      <c r="EO82" s="66">
        <f>'[1]UNIV 2019'!AM88</f>
        <v>0</v>
      </c>
      <c r="EP82" s="75">
        <f t="shared" si="106"/>
        <v>0</v>
      </c>
      <c r="EQ82" s="66"/>
      <c r="ER82" s="66">
        <f>'[1]Univ Comm Fund'!AN82</f>
        <v>0</v>
      </c>
      <c r="ES82" s="66">
        <f>'[1]UNIV 2019'!AN88</f>
        <v>0</v>
      </c>
      <c r="ET82" s="75">
        <f t="shared" si="107"/>
        <v>0</v>
      </c>
      <c r="EU82" s="66"/>
      <c r="EV82" s="66">
        <f>'[1]Univ Comm Fund'!AO82</f>
        <v>0</v>
      </c>
      <c r="EW82" s="66">
        <f>'[1]UNIV 2019'!AO88</f>
        <v>0</v>
      </c>
      <c r="EX82" s="75">
        <f t="shared" si="108"/>
        <v>0</v>
      </c>
      <c r="EY82" s="66"/>
      <c r="EZ82" s="66">
        <f>'[1]Univ Comm Fund'!AP82</f>
        <v>0</v>
      </c>
      <c r="FA82" s="66">
        <f>'[1]UNIV 2019'!AP88</f>
        <v>0</v>
      </c>
      <c r="FB82" s="75">
        <f t="shared" si="109"/>
        <v>0</v>
      </c>
      <c r="FC82" s="75"/>
      <c r="FD82" s="75">
        <f>'[1]Univ Comm Fund'!AQ82</f>
        <v>0</v>
      </c>
      <c r="FE82" s="75">
        <f>'[1]UNIV 2019'!AQ88</f>
        <v>0</v>
      </c>
      <c r="FF82" s="75">
        <f t="shared" si="110"/>
        <v>0</v>
      </c>
      <c r="FG82" s="75"/>
      <c r="FH82" s="81">
        <f>'[1]Univ Comm Fund'!AR82</f>
        <v>300000000</v>
      </c>
      <c r="FI82" s="75">
        <f>'[1]UNIV 2019'!AR88</f>
        <v>255000000</v>
      </c>
      <c r="FJ82" s="75">
        <f t="shared" si="111"/>
        <v>45000000</v>
      </c>
      <c r="FK82" s="75"/>
      <c r="FL82" s="75">
        <f>'[1]Univ Comm Fund'!AS82</f>
        <v>300000000</v>
      </c>
      <c r="FM82" s="75">
        <f>'[1]UNIV 2019'!AS88</f>
        <v>0</v>
      </c>
      <c r="FN82" s="75">
        <f t="shared" si="112"/>
        <v>300000000</v>
      </c>
      <c r="FO82" s="75"/>
      <c r="FP82" s="75">
        <f>'[1]Univ Comm Fund'!AT82</f>
        <v>120000000</v>
      </c>
      <c r="FQ82" s="75">
        <f>'[1]UNIV 2019'!AT88</f>
        <v>85200000</v>
      </c>
      <c r="FR82" s="75">
        <f t="shared" si="113"/>
        <v>34800000</v>
      </c>
      <c r="FS82" s="75"/>
      <c r="FT82" s="75">
        <f>'[1]Univ Comm Fund'!AU82</f>
        <v>10000000</v>
      </c>
      <c r="FU82" s="75">
        <f>'[1]UNIV 2019'!AU88</f>
        <v>0</v>
      </c>
      <c r="FV82" s="75">
        <f t="shared" si="114"/>
        <v>10000000</v>
      </c>
      <c r="FW82" s="75"/>
      <c r="FX82" s="75">
        <f>'[1]Univ Comm Fund'!AV82</f>
        <v>5000000</v>
      </c>
      <c r="FY82" s="75">
        <f>'[1]UNIV 2019'!AV88</f>
        <v>0</v>
      </c>
      <c r="FZ82" s="75">
        <f t="shared" si="115"/>
        <v>5000000</v>
      </c>
      <c r="GA82" s="75"/>
      <c r="GB82" s="75">
        <f>'[1]Univ Comm Fund'!AW82</f>
        <v>10000000</v>
      </c>
      <c r="GC82" s="75">
        <f>'[1]UNIV 2019'!AW88</f>
        <v>0</v>
      </c>
      <c r="GD82" s="75">
        <f t="shared" si="116"/>
        <v>10000000</v>
      </c>
      <c r="GE82" s="75"/>
      <c r="GF82" s="75">
        <f>'[1]Univ Comm Fund'!AX82</f>
        <v>0</v>
      </c>
      <c r="GG82" s="75">
        <f>'[1]UNIV 2019'!AX88</f>
        <v>0</v>
      </c>
      <c r="GH82" s="75">
        <f t="shared" si="117"/>
        <v>0</v>
      </c>
      <c r="GI82" s="75"/>
      <c r="GJ82" s="75">
        <f>'[1]Univ Comm Fund'!AY82</f>
        <v>0</v>
      </c>
      <c r="GK82" s="75">
        <f>'[1]UNIV 2019'!AY88</f>
        <v>0</v>
      </c>
      <c r="GL82" s="75">
        <f t="shared" si="118"/>
        <v>0</v>
      </c>
      <c r="GM82" s="75"/>
      <c r="GN82" s="75">
        <f>'[1]Univ Comm Fund'!AZ82</f>
        <v>175823700</v>
      </c>
      <c r="GO82" s="75">
        <f>'[1]UNIV 2019'!AZ88</f>
        <v>0</v>
      </c>
      <c r="GP82" s="75">
        <f t="shared" si="119"/>
        <v>175823700</v>
      </c>
      <c r="GQ82" s="75"/>
      <c r="GR82" s="75">
        <f>'[1]Univ Comm Fund'!BA82</f>
        <v>0</v>
      </c>
      <c r="GS82" s="75">
        <f>'[1]UNIV 2019'!BA88</f>
        <v>0</v>
      </c>
      <c r="GT82" s="75">
        <f t="shared" si="120"/>
        <v>0</v>
      </c>
      <c r="GU82" s="75"/>
      <c r="GV82" s="75">
        <f>'[1]Univ Comm Fund'!BB82</f>
        <v>0</v>
      </c>
      <c r="GW82" s="75">
        <f>'[1]UNIV 2019'!BB88</f>
        <v>0</v>
      </c>
      <c r="GX82" s="75">
        <f t="shared" si="121"/>
        <v>0</v>
      </c>
      <c r="GY82" s="75"/>
      <c r="GZ82" s="75">
        <f>'[1]Univ Comm Fund'!BC82</f>
        <v>0</v>
      </c>
      <c r="HA82" s="75">
        <f>'[1]UNIV 2019'!BD88</f>
        <v>0</v>
      </c>
      <c r="HB82" s="75">
        <f t="shared" si="122"/>
        <v>0</v>
      </c>
      <c r="HC82" s="75"/>
      <c r="HD82" s="75">
        <f>'[1]Univ Comm Fund'!BD82</f>
        <v>0</v>
      </c>
      <c r="HE82" s="75">
        <f>'[1]UNIV 2019'!BC88</f>
        <v>0</v>
      </c>
      <c r="HF82" s="75">
        <f t="shared" si="123"/>
        <v>0</v>
      </c>
      <c r="HG82" s="75"/>
      <c r="HH82" s="75">
        <f t="shared" si="124"/>
        <v>3419823700</v>
      </c>
      <c r="HI82" s="75">
        <f t="shared" si="124"/>
        <v>2808850000</v>
      </c>
      <c r="HJ82" s="82">
        <f t="shared" si="125"/>
        <v>610973700</v>
      </c>
      <c r="HL82" s="83">
        <f t="shared" si="126"/>
        <v>952000000</v>
      </c>
      <c r="HM82" s="83">
        <f t="shared" si="126"/>
        <v>637000000</v>
      </c>
      <c r="HN82" s="84">
        <f t="shared" si="127"/>
        <v>315000000</v>
      </c>
      <c r="HP82" s="83">
        <f t="shared" si="128"/>
        <v>1800000000</v>
      </c>
      <c r="HQ82" s="83">
        <f t="shared" si="128"/>
        <v>1800000000</v>
      </c>
      <c r="HR82" s="84">
        <f t="shared" si="129"/>
        <v>0</v>
      </c>
      <c r="HT82" s="83">
        <f t="shared" si="130"/>
        <v>35000000</v>
      </c>
      <c r="HU82" s="83">
        <f t="shared" si="130"/>
        <v>18900000</v>
      </c>
      <c r="HV82" s="84">
        <f t="shared" si="131"/>
        <v>16100000</v>
      </c>
      <c r="HX82" s="83">
        <f t="shared" si="132"/>
        <v>25000000</v>
      </c>
      <c r="HY82" s="83">
        <f t="shared" si="132"/>
        <v>12750000</v>
      </c>
      <c r="HZ82" s="84">
        <f t="shared" si="133"/>
        <v>12250000</v>
      </c>
      <c r="IB82" s="83">
        <f t="shared" si="134"/>
        <v>10000000</v>
      </c>
      <c r="IC82" s="83">
        <f t="shared" si="134"/>
        <v>0</v>
      </c>
      <c r="ID82" s="84">
        <f t="shared" si="135"/>
        <v>10000000</v>
      </c>
      <c r="IF82" s="83">
        <f t="shared" si="73"/>
        <v>2000000</v>
      </c>
      <c r="IG82" s="83">
        <f t="shared" si="73"/>
        <v>0</v>
      </c>
      <c r="IH82" s="84">
        <f t="shared" si="136"/>
        <v>2000000</v>
      </c>
      <c r="IJ82" s="84">
        <f t="shared" si="137"/>
        <v>595823700</v>
      </c>
      <c r="IK82" s="84">
        <f t="shared" si="137"/>
        <v>340200000</v>
      </c>
      <c r="IL82" s="84">
        <f t="shared" si="138"/>
        <v>255623700</v>
      </c>
    </row>
    <row r="83" spans="1:246" x14ac:dyDescent="0.25">
      <c r="A83" s="42" t="s">
        <v>143</v>
      </c>
      <c r="B83" s="91" t="s">
        <v>144</v>
      </c>
      <c r="C83" s="42"/>
      <c r="D83" s="66">
        <f>'[1]Univ Comm Fund'!D83</f>
        <v>0</v>
      </c>
      <c r="E83" s="66">
        <f>'[1]UNIV 2019'!D89</f>
        <v>0</v>
      </c>
      <c r="F83" s="75">
        <f t="shared" si="74"/>
        <v>0</v>
      </c>
      <c r="G83" s="66"/>
      <c r="H83" s="66">
        <f>'[1]Univ Comm Fund'!E83</f>
        <v>0</v>
      </c>
      <c r="I83" s="66">
        <f>'[1]UNIV 2019'!E89</f>
        <v>0</v>
      </c>
      <c r="J83" s="66">
        <f t="shared" si="75"/>
        <v>0</v>
      </c>
      <c r="K83" s="66"/>
      <c r="L83" s="66">
        <f>'[1]Univ Comm Fund'!F83</f>
        <v>0</v>
      </c>
      <c r="M83" s="66">
        <f>'[1]UNIV 2019'!F89</f>
        <v>0</v>
      </c>
      <c r="N83" s="66">
        <f t="shared" si="76"/>
        <v>0</v>
      </c>
      <c r="O83" s="66"/>
      <c r="P83" s="66">
        <f>'[1]Univ Comm Fund'!G83</f>
        <v>0</v>
      </c>
      <c r="Q83" s="66">
        <f>'[1]UNIV 2019'!G89</f>
        <v>0</v>
      </c>
      <c r="R83" s="66">
        <f t="shared" si="77"/>
        <v>0</v>
      </c>
      <c r="S83" s="87"/>
      <c r="T83" s="66">
        <f>'[1]Univ Comm Fund'!H83</f>
        <v>0</v>
      </c>
      <c r="U83" s="66">
        <f>'[1]UNIV 2019'!H89</f>
        <v>0</v>
      </c>
      <c r="V83" s="66">
        <f t="shared" si="78"/>
        <v>0</v>
      </c>
      <c r="W83" s="66"/>
      <c r="X83" s="66">
        <f>'[1]Univ Comm Fund'!I83</f>
        <v>25000000</v>
      </c>
      <c r="Y83" s="66">
        <f>'[1]UNIV 2019'!I89</f>
        <v>25000000</v>
      </c>
      <c r="Z83" s="66">
        <f t="shared" si="79"/>
        <v>0</v>
      </c>
      <c r="AA83" s="66"/>
      <c r="AB83" s="66">
        <f>'[1]Univ Comm Fund'!J83</f>
        <v>0</v>
      </c>
      <c r="AC83" s="66">
        <f>'[1]UNIV 2019'!J89</f>
        <v>0</v>
      </c>
      <c r="AD83" s="66">
        <f t="shared" si="80"/>
        <v>0</v>
      </c>
      <c r="AE83" s="66"/>
      <c r="AF83" s="88">
        <f>'[1]Univ Comm Fund'!K83</f>
        <v>0</v>
      </c>
      <c r="AG83" s="66">
        <f>'[1]UNIV 2019'!K89</f>
        <v>0</v>
      </c>
      <c r="AH83" s="66">
        <f t="shared" si="81"/>
        <v>0</v>
      </c>
      <c r="AI83" s="88"/>
      <c r="AJ83" s="66">
        <f>'[1]Univ Comm Fund'!L83</f>
        <v>0</v>
      </c>
      <c r="AK83" s="66">
        <f>'[1]UNIV 2019'!L89</f>
        <v>0</v>
      </c>
      <c r="AL83" s="66">
        <f t="shared" si="82"/>
        <v>0</v>
      </c>
      <c r="AM83" s="66"/>
      <c r="AN83" s="66">
        <f>'[1]Univ Comm Fund'!M83</f>
        <v>0</v>
      </c>
      <c r="AO83" s="66">
        <f>'[1]UNIV 2019'!M89</f>
        <v>0</v>
      </c>
      <c r="AP83" s="66">
        <f t="shared" si="83"/>
        <v>0</v>
      </c>
      <c r="AQ83" s="66"/>
      <c r="AR83" s="66">
        <f>'[1]Univ Comm Fund'!N83</f>
        <v>0</v>
      </c>
      <c r="AS83" s="66">
        <f>'[1]UNIV 2019'!N89</f>
        <v>0</v>
      </c>
      <c r="AT83" s="66">
        <f t="shared" si="84"/>
        <v>0</v>
      </c>
      <c r="AU83" s="66"/>
      <c r="AV83" s="66">
        <f>'[1]Univ Comm Fund'!O83</f>
        <v>0</v>
      </c>
      <c r="AW83" s="66">
        <f>'[1]UNIV 2019'!O89</f>
        <v>0</v>
      </c>
      <c r="AX83" s="66">
        <f t="shared" si="85"/>
        <v>0</v>
      </c>
      <c r="AY83" s="66"/>
      <c r="AZ83" s="66">
        <f>'[1]Univ Comm Fund'!P83</f>
        <v>0</v>
      </c>
      <c r="BA83" s="66">
        <f>'[1]UNIV 2019'!P89</f>
        <v>0</v>
      </c>
      <c r="BB83" s="66">
        <f t="shared" si="70"/>
        <v>0</v>
      </c>
      <c r="BC83" s="66"/>
      <c r="BD83" s="66">
        <f>'[1]Univ Comm Fund'!Q83</f>
        <v>0</v>
      </c>
      <c r="BE83" s="66">
        <f>'[1]UNIV 2019'!Q89</f>
        <v>0</v>
      </c>
      <c r="BF83" s="66">
        <f t="shared" si="71"/>
        <v>0</v>
      </c>
      <c r="BG83" s="66"/>
      <c r="BH83" s="66">
        <f>'[1]Univ Comm Fund'!R83</f>
        <v>0</v>
      </c>
      <c r="BI83" s="66">
        <f>'[1]UNIV 2019'!R89</f>
        <v>0</v>
      </c>
      <c r="BJ83" s="66">
        <f t="shared" si="86"/>
        <v>0</v>
      </c>
      <c r="BK83" s="66"/>
      <c r="BL83" s="66">
        <f>'[1]Univ Comm Fund'!S83</f>
        <v>0</v>
      </c>
      <c r="BM83" s="66">
        <f>'[1]UNIV 2019'!S89</f>
        <v>0</v>
      </c>
      <c r="BN83" s="66">
        <f t="shared" si="87"/>
        <v>0</v>
      </c>
      <c r="BO83" s="66"/>
      <c r="BP83" s="66">
        <f>'[1]Univ Comm Fund'!T83</f>
        <v>0</v>
      </c>
      <c r="BQ83" s="66">
        <f>'[1]UNIV 2019'!T89</f>
        <v>0</v>
      </c>
      <c r="BR83" s="66">
        <f t="shared" si="88"/>
        <v>0</v>
      </c>
      <c r="BS83" s="66"/>
      <c r="BT83" s="66">
        <f>'[1]Univ Comm Fund'!U83</f>
        <v>0</v>
      </c>
      <c r="BU83" s="66">
        <f>'[1]UNIV 2019'!U89</f>
        <v>0</v>
      </c>
      <c r="BV83" s="66">
        <f t="shared" si="72"/>
        <v>0</v>
      </c>
      <c r="BW83" s="66"/>
      <c r="BX83" s="66">
        <f>'[1]Univ Comm Fund'!V83</f>
        <v>0</v>
      </c>
      <c r="BY83" s="66">
        <f>'[1]UNIV 2019'!V89</f>
        <v>0</v>
      </c>
      <c r="BZ83" s="66">
        <f t="shared" si="89"/>
        <v>0</v>
      </c>
      <c r="CA83" s="66"/>
      <c r="CB83" s="66">
        <f>'[1]Univ Comm Fund'!W83</f>
        <v>0</v>
      </c>
      <c r="CC83" s="66">
        <f>'[1]UNIV 2019'!W89</f>
        <v>0</v>
      </c>
      <c r="CD83" s="66">
        <f t="shared" si="90"/>
        <v>0</v>
      </c>
      <c r="CE83" s="66"/>
      <c r="CF83" s="66">
        <v>0</v>
      </c>
      <c r="CG83" s="66">
        <f>'[1]UNIV 2019'!X89</f>
        <v>0</v>
      </c>
      <c r="CH83" s="75">
        <f t="shared" si="91"/>
        <v>0</v>
      </c>
      <c r="CI83" s="66"/>
      <c r="CJ83" s="66">
        <f>'[1]Univ Comm Fund'!Y83</f>
        <v>0</v>
      </c>
      <c r="CK83" s="66">
        <f>'[1]UNIV 2019'!Y89</f>
        <v>0</v>
      </c>
      <c r="CL83" s="66">
        <f t="shared" si="92"/>
        <v>0</v>
      </c>
      <c r="CM83" s="66"/>
      <c r="CN83" s="66">
        <f>'[1]Univ Comm Fund'!Z83</f>
        <v>0</v>
      </c>
      <c r="CO83" s="66">
        <f>'[1]UNIV 2019'!Z89</f>
        <v>0</v>
      </c>
      <c r="CP83" s="66">
        <v>0</v>
      </c>
      <c r="CQ83" s="66"/>
      <c r="CR83" s="66">
        <f>'[1]Univ Comm Fund'!AA83</f>
        <v>0</v>
      </c>
      <c r="CS83" s="66">
        <f>'[1]UNIV 2019'!AA89</f>
        <v>0</v>
      </c>
      <c r="CT83" s="75">
        <f t="shared" si="94"/>
        <v>0</v>
      </c>
      <c r="CU83" s="66"/>
      <c r="CV83" s="66">
        <f>'[1]Univ Comm Fund'!AB83</f>
        <v>0</v>
      </c>
      <c r="CW83" s="66">
        <f>'[1]UNIV 2019'!AB89</f>
        <v>0</v>
      </c>
      <c r="CX83" s="75">
        <f t="shared" si="95"/>
        <v>0</v>
      </c>
      <c r="CY83" s="66"/>
      <c r="CZ83" s="66">
        <f>'[1]Univ Comm Fund'!AC83</f>
        <v>0</v>
      </c>
      <c r="DA83" s="66">
        <f>'[1]UNIV 2019'!AC89</f>
        <v>0</v>
      </c>
      <c r="DB83" s="66">
        <f t="shared" si="96"/>
        <v>0</v>
      </c>
      <c r="DC83" s="66"/>
      <c r="DD83" s="66">
        <f>'[1]Univ Comm Fund'!AD83</f>
        <v>0</v>
      </c>
      <c r="DE83" s="66">
        <f>'[1]UNIV 2019'!AD89</f>
        <v>0</v>
      </c>
      <c r="DF83" s="66">
        <f t="shared" si="97"/>
        <v>0</v>
      </c>
      <c r="DG83" s="66"/>
      <c r="DH83" s="66">
        <f>'[1]Univ Comm Fund'!AE83</f>
        <v>0</v>
      </c>
      <c r="DI83" s="66">
        <f>'[1]UNIV 2019'!AE89</f>
        <v>0</v>
      </c>
      <c r="DJ83" s="66">
        <f t="shared" si="98"/>
        <v>0</v>
      </c>
      <c r="DK83" s="66"/>
      <c r="DL83" s="66">
        <f>'[1]Univ Comm Fund'!AF83</f>
        <v>0</v>
      </c>
      <c r="DM83" s="66">
        <f>'[1]UNIV 2019'!AF89</f>
        <v>0</v>
      </c>
      <c r="DN83" s="66">
        <f t="shared" si="99"/>
        <v>0</v>
      </c>
      <c r="DO83" s="66"/>
      <c r="DP83" s="66">
        <f>'[1]Univ Comm Fund'!AG83</f>
        <v>0</v>
      </c>
      <c r="DQ83" s="66">
        <f>'[1]UNIV 2019'!AG89</f>
        <v>0</v>
      </c>
      <c r="DR83" s="66">
        <f t="shared" si="100"/>
        <v>0</v>
      </c>
      <c r="DS83" s="66"/>
      <c r="DT83" s="66">
        <f>'[1]Univ Comm Fund'!AH83</f>
        <v>0</v>
      </c>
      <c r="DU83" s="66">
        <f>'[1]UNIV 2019'!AH89</f>
        <v>0</v>
      </c>
      <c r="DV83" s="66">
        <f t="shared" si="101"/>
        <v>0</v>
      </c>
      <c r="DW83" s="66"/>
      <c r="DX83" s="66">
        <f>'[1]Univ Comm Fund'!AI83</f>
        <v>0</v>
      </c>
      <c r="DY83" s="66">
        <f>'[1]UNIV 2019'!AI89</f>
        <v>0</v>
      </c>
      <c r="DZ83" s="66">
        <f t="shared" si="102"/>
        <v>0</v>
      </c>
      <c r="EA83" s="66"/>
      <c r="EB83" s="66">
        <f>'[1]Univ Comm Fund'!AJ83</f>
        <v>0</v>
      </c>
      <c r="EC83" s="66">
        <f>'[1]UNIV 2019'!AJ89</f>
        <v>0</v>
      </c>
      <c r="ED83" s="66">
        <f t="shared" si="103"/>
        <v>0</v>
      </c>
      <c r="EE83" s="66"/>
      <c r="EF83" s="66">
        <f>'[1]Univ Comm Fund'!AK83</f>
        <v>0</v>
      </c>
      <c r="EG83" s="66">
        <f>'[1]UNIV 2019'!AK89</f>
        <v>0</v>
      </c>
      <c r="EH83" s="66">
        <f>EF83-EG83</f>
        <v>0</v>
      </c>
      <c r="EI83" s="66"/>
      <c r="EJ83" s="66">
        <f>'[1]Univ Comm Fund'!AL83</f>
        <v>0</v>
      </c>
      <c r="EK83" s="66">
        <f>'[1]UNIV 2019'!AL89</f>
        <v>0</v>
      </c>
      <c r="EL83" s="66">
        <f t="shared" si="105"/>
        <v>0</v>
      </c>
      <c r="EM83" s="66"/>
      <c r="EN83" s="80">
        <f>'[1]Univ Comm Fund'!AM83</f>
        <v>0</v>
      </c>
      <c r="EO83" s="66">
        <f>'[1]UNIV 2019'!AM89</f>
        <v>0</v>
      </c>
      <c r="EP83" s="75">
        <f t="shared" si="106"/>
        <v>0</v>
      </c>
      <c r="EQ83" s="66"/>
      <c r="ER83" s="66">
        <f>'[1]Univ Comm Fund'!AN83</f>
        <v>0</v>
      </c>
      <c r="ES83" s="66">
        <f>'[1]UNIV 2019'!AN89</f>
        <v>0</v>
      </c>
      <c r="ET83" s="75">
        <f t="shared" si="107"/>
        <v>0</v>
      </c>
      <c r="EU83" s="66"/>
      <c r="EV83" s="66">
        <f>'[1]Univ Comm Fund'!AO83</f>
        <v>0</v>
      </c>
      <c r="EW83" s="66">
        <f>'[1]UNIV 2019'!AO89</f>
        <v>0</v>
      </c>
      <c r="EX83" s="75">
        <f t="shared" si="108"/>
        <v>0</v>
      </c>
      <c r="EY83" s="66"/>
      <c r="EZ83" s="66">
        <f>'[1]Univ Comm Fund'!AP83</f>
        <v>0</v>
      </c>
      <c r="FA83" s="66">
        <f>'[1]UNIV 2019'!AP89</f>
        <v>0</v>
      </c>
      <c r="FB83" s="75">
        <f t="shared" si="109"/>
        <v>0</v>
      </c>
      <c r="FC83" s="75"/>
      <c r="FD83" s="75">
        <f>'[1]Univ Comm Fund'!AQ83</f>
        <v>0</v>
      </c>
      <c r="FE83" s="75">
        <f>'[1]UNIV 2019'!AQ89</f>
        <v>0</v>
      </c>
      <c r="FF83" s="75">
        <f t="shared" si="110"/>
        <v>0</v>
      </c>
      <c r="FG83" s="75"/>
      <c r="FH83" s="75">
        <f>'[1]Univ Comm Fund'!AR83</f>
        <v>0</v>
      </c>
      <c r="FI83" s="75">
        <f>'[1]UNIV 2019'!AR89</f>
        <v>0</v>
      </c>
      <c r="FJ83" s="75">
        <f t="shared" si="111"/>
        <v>0</v>
      </c>
      <c r="FK83" s="75"/>
      <c r="FL83" s="75">
        <f>'[1]Univ Comm Fund'!AS83</f>
        <v>0</v>
      </c>
      <c r="FM83" s="75">
        <f>'[1]UNIV 2019'!AS89</f>
        <v>0</v>
      </c>
      <c r="FN83" s="75">
        <f t="shared" si="112"/>
        <v>0</v>
      </c>
      <c r="FO83" s="75"/>
      <c r="FP83" s="75">
        <f>'[1]Univ Comm Fund'!AT83</f>
        <v>0</v>
      </c>
      <c r="FQ83" s="75">
        <f>'[1]UNIV 2019'!AT89</f>
        <v>0</v>
      </c>
      <c r="FR83" s="75">
        <f t="shared" si="113"/>
        <v>0</v>
      </c>
      <c r="FS83" s="75"/>
      <c r="FT83" s="75">
        <f>'[1]Univ Comm Fund'!AU83</f>
        <v>0</v>
      </c>
      <c r="FU83" s="75">
        <f>'[1]UNIV 2019'!AU89</f>
        <v>0</v>
      </c>
      <c r="FV83" s="75">
        <f t="shared" si="114"/>
        <v>0</v>
      </c>
      <c r="FW83" s="75"/>
      <c r="FX83" s="75">
        <f>'[1]Univ Comm Fund'!AV83</f>
        <v>0</v>
      </c>
      <c r="FY83" s="75">
        <f>'[1]UNIV 2019'!AV89</f>
        <v>0</v>
      </c>
      <c r="FZ83" s="75">
        <f t="shared" si="115"/>
        <v>0</v>
      </c>
      <c r="GA83" s="75"/>
      <c r="GB83" s="75">
        <f>'[1]Univ Comm Fund'!AW83</f>
        <v>0</v>
      </c>
      <c r="GC83" s="75">
        <f>'[1]UNIV 2019'!AW89</f>
        <v>0</v>
      </c>
      <c r="GD83" s="75">
        <f t="shared" si="116"/>
        <v>0</v>
      </c>
      <c r="GE83" s="75"/>
      <c r="GF83" s="75">
        <f>'[1]Univ Comm Fund'!AX83</f>
        <v>0</v>
      </c>
      <c r="GG83" s="75">
        <f>'[1]UNIV 2019'!AX89</f>
        <v>0</v>
      </c>
      <c r="GH83" s="75">
        <f t="shared" si="117"/>
        <v>0</v>
      </c>
      <c r="GI83" s="75"/>
      <c r="GJ83" s="75">
        <f>'[1]Univ Comm Fund'!AY83</f>
        <v>0</v>
      </c>
      <c r="GK83" s="75">
        <f>'[1]UNIV 2019'!AY89</f>
        <v>0</v>
      </c>
      <c r="GL83" s="75">
        <f t="shared" si="118"/>
        <v>0</v>
      </c>
      <c r="GM83" s="75"/>
      <c r="GN83" s="75">
        <f>'[1]Univ Comm Fund'!AZ83</f>
        <v>0</v>
      </c>
      <c r="GO83" s="75">
        <f>'[1]UNIV 2019'!AZ89</f>
        <v>0</v>
      </c>
      <c r="GP83" s="75">
        <f t="shared" si="119"/>
        <v>0</v>
      </c>
      <c r="GQ83" s="75"/>
      <c r="GR83" s="75">
        <f>'[1]Univ Comm Fund'!BA83</f>
        <v>0</v>
      </c>
      <c r="GS83" s="75">
        <f>'[1]UNIV 2019'!BA89</f>
        <v>0</v>
      </c>
      <c r="GT83" s="75">
        <f t="shared" si="120"/>
        <v>0</v>
      </c>
      <c r="GU83" s="75"/>
      <c r="GV83" s="75">
        <f>'[1]Univ Comm Fund'!BB83</f>
        <v>0</v>
      </c>
      <c r="GW83" s="75">
        <f>'[1]UNIV 2019'!BB89</f>
        <v>0</v>
      </c>
      <c r="GX83" s="75">
        <f t="shared" si="121"/>
        <v>0</v>
      </c>
      <c r="GY83" s="75"/>
      <c r="GZ83" s="75">
        <f>'[1]Univ Comm Fund'!BC83</f>
        <v>0</v>
      </c>
      <c r="HA83" s="75">
        <f>'[1]UNIV 2019'!BD89</f>
        <v>0</v>
      </c>
      <c r="HB83" s="75">
        <f t="shared" si="122"/>
        <v>0</v>
      </c>
      <c r="HC83" s="75"/>
      <c r="HD83" s="75">
        <f>'[1]Univ Comm Fund'!BD83</f>
        <v>0</v>
      </c>
      <c r="HE83" s="75">
        <f>'[1]UNIV 2019'!BC89</f>
        <v>0</v>
      </c>
      <c r="HF83" s="75">
        <f t="shared" si="123"/>
        <v>0</v>
      </c>
      <c r="HG83" s="75"/>
      <c r="HH83" s="75">
        <f t="shared" si="124"/>
        <v>25000000</v>
      </c>
      <c r="HI83" s="75">
        <f t="shared" si="124"/>
        <v>25000000</v>
      </c>
      <c r="HJ83" s="82">
        <f t="shared" si="125"/>
        <v>0</v>
      </c>
      <c r="HL83" s="83">
        <f t="shared" si="126"/>
        <v>0</v>
      </c>
      <c r="HM83" s="83">
        <f t="shared" si="126"/>
        <v>0</v>
      </c>
      <c r="HN83" s="84">
        <f t="shared" si="127"/>
        <v>0</v>
      </c>
      <c r="HP83" s="83">
        <f t="shared" si="128"/>
        <v>0</v>
      </c>
      <c r="HQ83" s="83">
        <f t="shared" si="128"/>
        <v>0</v>
      </c>
      <c r="HR83" s="84">
        <f t="shared" si="129"/>
        <v>0</v>
      </c>
      <c r="HT83" s="83">
        <f t="shared" si="130"/>
        <v>0</v>
      </c>
      <c r="HU83" s="83">
        <f t="shared" si="130"/>
        <v>0</v>
      </c>
      <c r="HV83" s="84">
        <f t="shared" si="131"/>
        <v>0</v>
      </c>
      <c r="HX83" s="83">
        <f t="shared" si="132"/>
        <v>0</v>
      </c>
      <c r="HY83" s="83">
        <f t="shared" si="132"/>
        <v>0</v>
      </c>
      <c r="HZ83" s="84">
        <f t="shared" si="133"/>
        <v>0</v>
      </c>
      <c r="IB83" s="83">
        <f t="shared" si="134"/>
        <v>0</v>
      </c>
      <c r="IC83" s="83">
        <f t="shared" si="134"/>
        <v>0</v>
      </c>
      <c r="ID83" s="84">
        <f t="shared" si="135"/>
        <v>0</v>
      </c>
      <c r="IF83" s="83">
        <f t="shared" si="73"/>
        <v>0</v>
      </c>
      <c r="IG83" s="83">
        <f t="shared" si="73"/>
        <v>0</v>
      </c>
      <c r="IH83" s="84">
        <f t="shared" si="136"/>
        <v>0</v>
      </c>
      <c r="IJ83" s="84">
        <f t="shared" si="137"/>
        <v>0</v>
      </c>
      <c r="IK83" s="84">
        <f t="shared" si="137"/>
        <v>0</v>
      </c>
      <c r="IL83" s="84">
        <f t="shared" si="138"/>
        <v>0</v>
      </c>
    </row>
    <row r="84" spans="1:246" x14ac:dyDescent="0.25">
      <c r="A84" s="42">
        <v>77</v>
      </c>
      <c r="B84" s="91" t="s">
        <v>145</v>
      </c>
      <c r="C84" s="42" t="s">
        <v>63</v>
      </c>
      <c r="D84" s="66"/>
      <c r="E84" s="66"/>
      <c r="F84" s="75"/>
      <c r="G84" s="66"/>
      <c r="H84" s="66"/>
      <c r="I84" s="66"/>
      <c r="J84" s="66"/>
      <c r="K84" s="66"/>
      <c r="L84" s="66"/>
      <c r="M84" s="66"/>
      <c r="N84" s="66"/>
      <c r="O84" s="66"/>
      <c r="P84" s="66"/>
      <c r="Q84" s="66"/>
      <c r="R84" s="66"/>
      <c r="S84" s="87"/>
      <c r="T84" s="66"/>
      <c r="U84" s="66"/>
      <c r="V84" s="66"/>
      <c r="W84" s="66"/>
      <c r="X84" s="66"/>
      <c r="Y84" s="66"/>
      <c r="Z84" s="66"/>
      <c r="AA84" s="66"/>
      <c r="AB84" s="66"/>
      <c r="AC84" s="66"/>
      <c r="AD84" s="66"/>
      <c r="AE84" s="66"/>
      <c r="AF84" s="88"/>
      <c r="AG84" s="66"/>
      <c r="AH84" s="66"/>
      <c r="AI84" s="88"/>
      <c r="AJ84" s="66"/>
      <c r="AK84" s="66"/>
      <c r="AL84" s="66"/>
      <c r="AM84" s="66"/>
      <c r="AN84" s="66"/>
      <c r="AO84" s="66"/>
      <c r="AP84" s="66"/>
      <c r="AQ84" s="66"/>
      <c r="AR84" s="66"/>
      <c r="AS84" s="66"/>
      <c r="AT84" s="66"/>
      <c r="AU84" s="66"/>
      <c r="AV84" s="66"/>
      <c r="AW84" s="66"/>
      <c r="AX84" s="66"/>
      <c r="AY84" s="66"/>
      <c r="AZ84" s="66"/>
      <c r="BA84" s="66"/>
      <c r="BB84" s="66"/>
      <c r="BC84" s="66"/>
      <c r="BD84" s="66"/>
      <c r="BE84" s="66"/>
      <c r="BF84" s="66"/>
      <c r="BG84" s="66"/>
      <c r="BH84" s="66"/>
      <c r="BI84" s="66"/>
      <c r="BJ84" s="66"/>
      <c r="BK84" s="66"/>
      <c r="BL84" s="66"/>
      <c r="BM84" s="66"/>
      <c r="BN84" s="66"/>
      <c r="BO84" s="66"/>
      <c r="BP84" s="66"/>
      <c r="BQ84" s="66"/>
      <c r="BR84" s="66"/>
      <c r="BS84" s="66"/>
      <c r="BT84" s="66"/>
      <c r="BU84" s="66"/>
      <c r="BV84" s="66"/>
      <c r="BW84" s="66"/>
      <c r="BX84" s="66">
        <f>'[1]Univ Comm Fund'!V84</f>
        <v>0</v>
      </c>
      <c r="BY84" s="66"/>
      <c r="BZ84" s="66"/>
      <c r="CA84" s="66"/>
      <c r="CB84" s="66"/>
      <c r="CC84" s="66"/>
      <c r="CD84" s="66"/>
      <c r="CE84" s="66"/>
      <c r="CF84" s="66"/>
      <c r="CG84" s="66"/>
      <c r="CH84" s="75"/>
      <c r="CI84" s="66"/>
      <c r="CJ84" s="66"/>
      <c r="CK84" s="66"/>
      <c r="CL84" s="66"/>
      <c r="CM84" s="66"/>
      <c r="CN84" s="66"/>
      <c r="CO84" s="66"/>
      <c r="CP84" s="66"/>
      <c r="CQ84" s="66"/>
      <c r="CR84" s="66"/>
      <c r="CS84" s="66">
        <f>'[1]UNIV 2019'!AA90</f>
        <v>0</v>
      </c>
      <c r="CT84" s="75">
        <f t="shared" si="94"/>
        <v>0</v>
      </c>
      <c r="CU84" s="66"/>
      <c r="CV84" s="66"/>
      <c r="CW84" s="66"/>
      <c r="CX84" s="75"/>
      <c r="CY84" s="66"/>
      <c r="CZ84" s="66"/>
      <c r="DA84" s="66"/>
      <c r="DB84" s="66"/>
      <c r="DC84" s="66"/>
      <c r="DD84" s="66"/>
      <c r="DE84" s="66"/>
      <c r="DF84" s="66"/>
      <c r="DG84" s="66"/>
      <c r="DH84" s="66"/>
      <c r="DI84" s="66"/>
      <c r="DJ84" s="66"/>
      <c r="DK84" s="66"/>
      <c r="DL84" s="66"/>
      <c r="DM84" s="66"/>
      <c r="DN84" s="66"/>
      <c r="DO84" s="66"/>
      <c r="DP84" s="66"/>
      <c r="DQ84" s="66"/>
      <c r="DR84" s="66"/>
      <c r="DS84" s="66"/>
      <c r="DT84" s="66">
        <f>'[1]Univ Comm Fund'!$AH$84</f>
        <v>100000000</v>
      </c>
      <c r="DU84" s="66">
        <f>'[1]UNIV 2019'!AH90</f>
        <v>58000000</v>
      </c>
      <c r="DV84" s="66">
        <f t="shared" si="101"/>
        <v>42000000</v>
      </c>
      <c r="DW84" s="66"/>
      <c r="DX84" s="66">
        <f>'[1]Univ Comm Fund'!$AI$84</f>
        <v>15000000</v>
      </c>
      <c r="DY84" s="138">
        <f>'[1]UNIV 2019'!$AI$90</f>
        <v>8700000</v>
      </c>
      <c r="DZ84" s="66">
        <f t="shared" si="102"/>
        <v>6300000</v>
      </c>
      <c r="EA84" s="66"/>
      <c r="EB84" s="66">
        <f>'[1]Univ Comm Fund'!$AJ$84</f>
        <v>2000000</v>
      </c>
      <c r="EC84" s="66">
        <f>'[1]UNIV 2019'!AJ90</f>
        <v>0</v>
      </c>
      <c r="ED84" s="66">
        <f t="shared" si="103"/>
        <v>2000000</v>
      </c>
      <c r="EE84" s="66"/>
      <c r="EF84" s="66">
        <f>'[1]Univ Comm Fund'!$AK$84</f>
        <v>10000000</v>
      </c>
      <c r="EG84" s="66">
        <f>'[1]UNIV 2019'!AK90</f>
        <v>10000000</v>
      </c>
      <c r="EH84" s="66">
        <f>EF84-EG84</f>
        <v>0</v>
      </c>
      <c r="EI84" s="66"/>
      <c r="EJ84" s="66"/>
      <c r="EK84" s="66">
        <f>'[1]UNIV 2019'!AL90</f>
        <v>0</v>
      </c>
      <c r="EL84" s="66">
        <f t="shared" si="105"/>
        <v>0</v>
      </c>
      <c r="EM84" s="66"/>
      <c r="EN84" s="80">
        <f>'[1]Univ Comm Fund'!AM84</f>
        <v>565410000</v>
      </c>
      <c r="EO84" s="66">
        <f>'[1]UNIV 2019'!AM90</f>
        <v>327937800</v>
      </c>
      <c r="EP84" s="75">
        <f t="shared" si="106"/>
        <v>237472200</v>
      </c>
      <c r="EQ84" s="66"/>
      <c r="ER84" s="66">
        <f>'[1]Univ Comm Fund'!AN84</f>
        <v>15000000</v>
      </c>
      <c r="ES84" s="66">
        <f>'[1]UNIV 2019'!AN90</f>
        <v>8700000</v>
      </c>
      <c r="ET84" s="75">
        <f t="shared" si="107"/>
        <v>6300000</v>
      </c>
      <c r="EU84" s="66"/>
      <c r="EV84" s="66">
        <f>'[1]Univ Comm Fund'!AO84</f>
        <v>15000000</v>
      </c>
      <c r="EW84" s="66">
        <f>'[1]UNIV 2019'!AO90</f>
        <v>0</v>
      </c>
      <c r="EX84" s="75">
        <f t="shared" si="108"/>
        <v>15000000</v>
      </c>
      <c r="EY84" s="66"/>
      <c r="EZ84" s="66">
        <f>'[1]Univ Comm Fund'!AP84</f>
        <v>10000000</v>
      </c>
      <c r="FA84" s="66">
        <f>'[1]UNIV 2019'!AP90</f>
        <v>0</v>
      </c>
      <c r="FB84" s="75">
        <f t="shared" si="109"/>
        <v>10000000</v>
      </c>
      <c r="FC84" s="75"/>
      <c r="FD84" s="75">
        <f>'[1]Univ Comm Fund'!AQ84</f>
        <v>0</v>
      </c>
      <c r="FE84" s="75">
        <f>'[1]UNIV 2019'!AQ90</f>
        <v>0</v>
      </c>
      <c r="FF84" s="75">
        <f t="shared" si="110"/>
        <v>0</v>
      </c>
      <c r="FG84" s="75"/>
      <c r="FH84" s="81">
        <f>'[1]Univ Comm Fund'!AR84</f>
        <v>200000000</v>
      </c>
      <c r="FI84" s="75">
        <f>'[1]UNIV 2019'!AR90</f>
        <v>170000000</v>
      </c>
      <c r="FJ84" s="75">
        <f t="shared" si="111"/>
        <v>30000000</v>
      </c>
      <c r="FK84" s="75"/>
      <c r="FL84" s="75">
        <f>'[1]Univ Comm Fund'!AS84</f>
        <v>300000000</v>
      </c>
      <c r="FM84" s="75">
        <f>'[1]UNIV 2019'!AS90</f>
        <v>0</v>
      </c>
      <c r="FN84" s="75">
        <f t="shared" si="112"/>
        <v>300000000</v>
      </c>
      <c r="FO84" s="75"/>
      <c r="FP84" s="75">
        <f>'[1]Univ Comm Fund'!AT84</f>
        <v>120000000</v>
      </c>
      <c r="FQ84" s="75">
        <f>'[1]UNIV 2019'!AT90</f>
        <v>102000000</v>
      </c>
      <c r="FR84" s="75">
        <f t="shared" si="113"/>
        <v>18000000</v>
      </c>
      <c r="FS84" s="75"/>
      <c r="FT84" s="75">
        <f>'[1]Univ Comm Fund'!AU84</f>
        <v>10000000</v>
      </c>
      <c r="FU84" s="75">
        <f>'[1]UNIV 2019'!AU90</f>
        <v>0</v>
      </c>
      <c r="FV84" s="75">
        <f t="shared" si="114"/>
        <v>10000000</v>
      </c>
      <c r="FW84" s="75"/>
      <c r="FX84" s="75">
        <f>'[1]Univ Comm Fund'!AV84</f>
        <v>5000000</v>
      </c>
      <c r="FY84" s="75">
        <f>'[1]UNIV 2019'!AV90</f>
        <v>0</v>
      </c>
      <c r="FZ84" s="75">
        <f t="shared" si="115"/>
        <v>5000000</v>
      </c>
      <c r="GA84" s="75"/>
      <c r="GB84" s="75">
        <f>'[1]Univ Comm Fund'!AW84</f>
        <v>10000000</v>
      </c>
      <c r="GC84" s="75">
        <f>'[1]UNIV 2019'!AW90</f>
        <v>0</v>
      </c>
      <c r="GD84" s="75">
        <f t="shared" si="116"/>
        <v>10000000</v>
      </c>
      <c r="GE84" s="75"/>
      <c r="GF84" s="75">
        <f>'[1]Univ Comm Fund'!AX84</f>
        <v>0</v>
      </c>
      <c r="GG84" s="75">
        <f>'[1]UNIV 2019'!AX90</f>
        <v>0</v>
      </c>
      <c r="GH84" s="75">
        <f t="shared" si="117"/>
        <v>0</v>
      </c>
      <c r="GI84" s="75"/>
      <c r="GJ84" s="75">
        <f>'[1]Univ Comm Fund'!AY84</f>
        <v>350000000</v>
      </c>
      <c r="GK84" s="75">
        <f>'[1]UNIV 2019'!AY90</f>
        <v>0</v>
      </c>
      <c r="GL84" s="75">
        <f t="shared" si="118"/>
        <v>350000000</v>
      </c>
      <c r="GM84" s="75"/>
      <c r="GN84" s="75">
        <f>'[1]Univ Comm Fund'!AZ84</f>
        <v>175823700</v>
      </c>
      <c r="GO84" s="75">
        <f>'[1]UNIV 2019'!AZ90</f>
        <v>0</v>
      </c>
      <c r="GP84" s="75">
        <f t="shared" si="119"/>
        <v>175823700</v>
      </c>
      <c r="GQ84" s="75"/>
      <c r="GR84" s="75">
        <f>'[1]Univ Comm Fund'!BA84</f>
        <v>20000000</v>
      </c>
      <c r="GS84" s="75">
        <f>'[1]UNIV 2019'!BA90</f>
        <v>0</v>
      </c>
      <c r="GT84" s="75">
        <f t="shared" si="120"/>
        <v>20000000</v>
      </c>
      <c r="GU84" s="75"/>
      <c r="GV84" s="75">
        <f>'[1]Univ Comm Fund'!BB84</f>
        <v>5000000</v>
      </c>
      <c r="GW84" s="75">
        <f>'[1]UNIV 2019'!BB90</f>
        <v>0</v>
      </c>
      <c r="GX84" s="75">
        <f t="shared" si="121"/>
        <v>5000000</v>
      </c>
      <c r="GY84" s="75"/>
      <c r="GZ84" s="75">
        <f>'[1]Univ Comm Fund'!BC84</f>
        <v>10000000</v>
      </c>
      <c r="HA84" s="75">
        <f>'[1]UNIV 2019'!BD90</f>
        <v>0</v>
      </c>
      <c r="HB84" s="75">
        <f t="shared" si="122"/>
        <v>10000000</v>
      </c>
      <c r="HC84" s="75"/>
      <c r="HD84" s="75">
        <f>'[1]Univ Comm Fund'!BD84</f>
        <v>0</v>
      </c>
      <c r="HE84" s="75">
        <f>'[1]UNIV 2019'!BC90</f>
        <v>0</v>
      </c>
      <c r="HF84" s="75">
        <f t="shared" si="123"/>
        <v>0</v>
      </c>
      <c r="HG84" s="75"/>
      <c r="HH84" s="75">
        <f t="shared" si="124"/>
        <v>1938233700</v>
      </c>
      <c r="HI84" s="75">
        <f t="shared" si="124"/>
        <v>685337800</v>
      </c>
      <c r="HJ84" s="82">
        <f t="shared" si="125"/>
        <v>1252895900</v>
      </c>
      <c r="HL84" s="83">
        <f t="shared" si="126"/>
        <v>1315410000</v>
      </c>
      <c r="HM84" s="83">
        <f t="shared" si="126"/>
        <v>385937800</v>
      </c>
      <c r="HN84" s="84">
        <f t="shared" si="127"/>
        <v>929472200</v>
      </c>
      <c r="HP84" s="83">
        <f t="shared" si="128"/>
        <v>0</v>
      </c>
      <c r="HQ84" s="83">
        <f t="shared" si="128"/>
        <v>0</v>
      </c>
      <c r="HR84" s="84">
        <f t="shared" si="129"/>
        <v>0</v>
      </c>
      <c r="HT84" s="83">
        <f t="shared" si="130"/>
        <v>30000000</v>
      </c>
      <c r="HU84" s="83">
        <f t="shared" si="130"/>
        <v>10000000</v>
      </c>
      <c r="HV84" s="84">
        <f t="shared" si="131"/>
        <v>20000000</v>
      </c>
      <c r="HX84" s="83">
        <f t="shared" si="132"/>
        <v>60000000</v>
      </c>
      <c r="HY84" s="83">
        <f t="shared" si="132"/>
        <v>17400000</v>
      </c>
      <c r="HZ84" s="84">
        <f t="shared" si="133"/>
        <v>42600000</v>
      </c>
      <c r="IB84" s="83">
        <f t="shared" si="134"/>
        <v>35000000</v>
      </c>
      <c r="IC84" s="83">
        <f t="shared" si="134"/>
        <v>0</v>
      </c>
      <c r="ID84" s="84">
        <f t="shared" si="135"/>
        <v>35000000</v>
      </c>
      <c r="IF84" s="83">
        <f t="shared" si="73"/>
        <v>2000000</v>
      </c>
      <c r="IG84" s="83">
        <f t="shared" si="73"/>
        <v>0</v>
      </c>
      <c r="IH84" s="84">
        <f t="shared" si="136"/>
        <v>2000000</v>
      </c>
      <c r="IJ84" s="84">
        <f t="shared" si="137"/>
        <v>495823700</v>
      </c>
      <c r="IK84" s="84">
        <f t="shared" si="137"/>
        <v>272000000</v>
      </c>
      <c r="IL84" s="84">
        <f t="shared" si="138"/>
        <v>223823700</v>
      </c>
    </row>
    <row r="85" spans="1:246" ht="30" x14ac:dyDescent="0.25">
      <c r="A85" s="42">
        <v>78</v>
      </c>
      <c r="B85" s="17" t="s">
        <v>146</v>
      </c>
      <c r="C85" s="42"/>
      <c r="D85" s="66">
        <v>0</v>
      </c>
      <c r="E85" s="66">
        <v>0</v>
      </c>
      <c r="F85" s="66">
        <v>0</v>
      </c>
      <c r="G85" s="66">
        <v>0</v>
      </c>
      <c r="H85" s="66">
        <v>0</v>
      </c>
      <c r="I85" s="66">
        <v>0</v>
      </c>
      <c r="J85" s="66">
        <v>0</v>
      </c>
      <c r="K85" s="66">
        <v>0</v>
      </c>
      <c r="L85" s="66">
        <v>0</v>
      </c>
      <c r="M85" s="66">
        <v>0</v>
      </c>
      <c r="N85" s="66">
        <v>0</v>
      </c>
      <c r="O85" s="66">
        <v>0</v>
      </c>
      <c r="P85" s="66">
        <v>0</v>
      </c>
      <c r="Q85" s="66">
        <v>0</v>
      </c>
      <c r="R85" s="66">
        <v>0</v>
      </c>
      <c r="S85" s="66">
        <v>0</v>
      </c>
      <c r="T85" s="66">
        <v>0</v>
      </c>
      <c r="U85" s="66">
        <v>0</v>
      </c>
      <c r="V85" s="66">
        <v>0</v>
      </c>
      <c r="W85" s="66">
        <v>0</v>
      </c>
      <c r="X85" s="66">
        <v>0</v>
      </c>
      <c r="Y85" s="66">
        <v>0</v>
      </c>
      <c r="Z85" s="66">
        <v>0</v>
      </c>
      <c r="AA85" s="66">
        <v>0</v>
      </c>
      <c r="AB85" s="66">
        <v>0</v>
      </c>
      <c r="AC85" s="66">
        <v>0</v>
      </c>
      <c r="AD85" s="66">
        <v>0</v>
      </c>
      <c r="AE85" s="66">
        <v>0</v>
      </c>
      <c r="AF85" s="66">
        <v>0</v>
      </c>
      <c r="AG85" s="66">
        <v>0</v>
      </c>
      <c r="AH85" s="66">
        <v>0</v>
      </c>
      <c r="AI85" s="66">
        <v>0</v>
      </c>
      <c r="AJ85" s="66">
        <v>0</v>
      </c>
      <c r="AK85" s="66">
        <v>0</v>
      </c>
      <c r="AL85" s="66">
        <v>0</v>
      </c>
      <c r="AM85" s="66">
        <v>0</v>
      </c>
      <c r="AN85" s="66">
        <v>0</v>
      </c>
      <c r="AO85" s="66">
        <v>0</v>
      </c>
      <c r="AP85" s="66">
        <v>0</v>
      </c>
      <c r="AQ85" s="66">
        <v>0</v>
      </c>
      <c r="AR85" s="66">
        <v>0</v>
      </c>
      <c r="AS85" s="66">
        <v>0</v>
      </c>
      <c r="AT85" s="66">
        <v>0</v>
      </c>
      <c r="AU85" s="66">
        <v>0</v>
      </c>
      <c r="AV85" s="66">
        <v>0</v>
      </c>
      <c r="AW85" s="66">
        <v>0</v>
      </c>
      <c r="AX85" s="66">
        <v>0</v>
      </c>
      <c r="AY85" s="66">
        <v>0</v>
      </c>
      <c r="AZ85" s="66">
        <v>0</v>
      </c>
      <c r="BA85" s="66">
        <v>0</v>
      </c>
      <c r="BB85" s="66">
        <v>0</v>
      </c>
      <c r="BC85" s="66">
        <v>0</v>
      </c>
      <c r="BD85" s="66">
        <v>0</v>
      </c>
      <c r="BE85" s="66">
        <v>0</v>
      </c>
      <c r="BF85" s="66">
        <v>0</v>
      </c>
      <c r="BG85" s="66">
        <v>0</v>
      </c>
      <c r="BH85" s="66">
        <v>0</v>
      </c>
      <c r="BI85" s="66">
        <v>0</v>
      </c>
      <c r="BJ85" s="66">
        <v>0</v>
      </c>
      <c r="BK85" s="66">
        <v>0</v>
      </c>
      <c r="BL85" s="66">
        <v>0</v>
      </c>
      <c r="BM85" s="66">
        <v>0</v>
      </c>
      <c r="BN85" s="66">
        <v>0</v>
      </c>
      <c r="BO85" s="66">
        <v>0</v>
      </c>
      <c r="BP85" s="66">
        <v>0</v>
      </c>
      <c r="BQ85" s="66">
        <v>0</v>
      </c>
      <c r="BR85" s="66">
        <v>0</v>
      </c>
      <c r="BS85" s="66">
        <v>0</v>
      </c>
      <c r="BT85" s="66">
        <v>0</v>
      </c>
      <c r="BU85" s="66">
        <v>0</v>
      </c>
      <c r="BV85" s="66">
        <v>0</v>
      </c>
      <c r="BW85" s="66">
        <v>0</v>
      </c>
      <c r="BX85" s="66">
        <v>0</v>
      </c>
      <c r="BY85" s="66">
        <v>0</v>
      </c>
      <c r="BZ85" s="66">
        <v>0</v>
      </c>
      <c r="CA85" s="66">
        <v>0</v>
      </c>
      <c r="CB85" s="66">
        <v>0</v>
      </c>
      <c r="CC85" s="66">
        <v>0</v>
      </c>
      <c r="CD85" s="66">
        <v>0</v>
      </c>
      <c r="CE85" s="66">
        <v>0</v>
      </c>
      <c r="CF85" s="66">
        <v>0</v>
      </c>
      <c r="CG85" s="66">
        <v>0</v>
      </c>
      <c r="CH85" s="66">
        <v>0</v>
      </c>
      <c r="CI85" s="66">
        <v>0</v>
      </c>
      <c r="CJ85" s="66">
        <v>0</v>
      </c>
      <c r="CK85" s="66">
        <v>0</v>
      </c>
      <c r="CL85" s="66">
        <v>0</v>
      </c>
      <c r="CM85" s="66">
        <v>0</v>
      </c>
      <c r="CN85" s="66">
        <v>0</v>
      </c>
      <c r="CO85" s="66">
        <v>0</v>
      </c>
      <c r="CP85" s="66">
        <v>0</v>
      </c>
      <c r="CQ85" s="66">
        <v>0</v>
      </c>
      <c r="CR85" s="66">
        <v>0</v>
      </c>
      <c r="CS85" s="66">
        <v>0</v>
      </c>
      <c r="CT85" s="66">
        <v>0</v>
      </c>
      <c r="CU85" s="66">
        <v>0</v>
      </c>
      <c r="CV85" s="66">
        <v>0</v>
      </c>
      <c r="CW85" s="66">
        <v>0</v>
      </c>
      <c r="CX85" s="66">
        <v>0</v>
      </c>
      <c r="CY85" s="66">
        <v>0</v>
      </c>
      <c r="CZ85" s="66">
        <v>0</v>
      </c>
      <c r="DA85" s="66">
        <v>0</v>
      </c>
      <c r="DB85" s="66">
        <v>0</v>
      </c>
      <c r="DC85" s="66">
        <v>0</v>
      </c>
      <c r="DD85" s="66">
        <v>0</v>
      </c>
      <c r="DE85" s="66">
        <v>0</v>
      </c>
      <c r="DF85" s="66">
        <v>0</v>
      </c>
      <c r="DG85" s="66">
        <v>0</v>
      </c>
      <c r="DH85" s="66">
        <v>0</v>
      </c>
      <c r="DI85" s="66">
        <v>0</v>
      </c>
      <c r="DJ85" s="66">
        <v>0</v>
      </c>
      <c r="DK85" s="66">
        <v>0</v>
      </c>
      <c r="DL85" s="66">
        <v>0</v>
      </c>
      <c r="DM85" s="66">
        <v>0</v>
      </c>
      <c r="DN85" s="66">
        <v>0</v>
      </c>
      <c r="DO85" s="66">
        <v>0</v>
      </c>
      <c r="DP85" s="66">
        <v>0</v>
      </c>
      <c r="DQ85" s="66">
        <v>0</v>
      </c>
      <c r="DR85" s="66">
        <v>0</v>
      </c>
      <c r="DS85" s="66">
        <v>0</v>
      </c>
      <c r="DT85" s="66">
        <v>0</v>
      </c>
      <c r="DU85" s="66">
        <v>0</v>
      </c>
      <c r="DV85" s="66">
        <v>0</v>
      </c>
      <c r="DW85" s="66">
        <v>0</v>
      </c>
      <c r="DX85" s="66">
        <v>0</v>
      </c>
      <c r="DY85" s="66">
        <v>0</v>
      </c>
      <c r="DZ85" s="66">
        <v>0</v>
      </c>
      <c r="EA85" s="66">
        <v>0</v>
      </c>
      <c r="EB85" s="66">
        <v>0</v>
      </c>
      <c r="EC85" s="66">
        <v>0</v>
      </c>
      <c r="ED85" s="66">
        <v>0</v>
      </c>
      <c r="EE85" s="66">
        <v>0</v>
      </c>
      <c r="EF85" s="66">
        <v>0</v>
      </c>
      <c r="EG85" s="66">
        <v>0</v>
      </c>
      <c r="EH85" s="66">
        <v>0</v>
      </c>
      <c r="EI85" s="66">
        <v>0</v>
      </c>
      <c r="EJ85" s="66">
        <v>0</v>
      </c>
      <c r="EK85" s="66">
        <v>0</v>
      </c>
      <c r="EL85" s="66">
        <v>0</v>
      </c>
      <c r="EM85" s="66">
        <v>0</v>
      </c>
      <c r="EN85" s="66">
        <v>0</v>
      </c>
      <c r="EO85" s="66">
        <v>0</v>
      </c>
      <c r="EP85" s="66">
        <v>0</v>
      </c>
      <c r="EQ85" s="66">
        <v>0</v>
      </c>
      <c r="ER85" s="66">
        <v>0</v>
      </c>
      <c r="ES85" s="66">
        <v>0</v>
      </c>
      <c r="ET85" s="66">
        <v>0</v>
      </c>
      <c r="EU85" s="66">
        <v>0</v>
      </c>
      <c r="EV85" s="66">
        <v>0</v>
      </c>
      <c r="EW85" s="66">
        <v>0</v>
      </c>
      <c r="EX85" s="66">
        <v>0</v>
      </c>
      <c r="EY85" s="66">
        <v>0</v>
      </c>
      <c r="EZ85" s="66">
        <v>0</v>
      </c>
      <c r="FA85" s="66">
        <v>0</v>
      </c>
      <c r="FB85" s="66">
        <v>0</v>
      </c>
      <c r="FC85" s="66">
        <v>0</v>
      </c>
      <c r="FD85" s="66">
        <v>0</v>
      </c>
      <c r="FE85" s="66">
        <v>0</v>
      </c>
      <c r="FF85" s="66">
        <v>0</v>
      </c>
      <c r="FG85" s="66">
        <v>0</v>
      </c>
      <c r="FH85" s="66">
        <v>0</v>
      </c>
      <c r="FI85" s="66">
        <v>0</v>
      </c>
      <c r="FJ85" s="66">
        <v>0</v>
      </c>
      <c r="FK85" s="66">
        <v>0</v>
      </c>
      <c r="FL85" s="66">
        <v>0</v>
      </c>
      <c r="FM85" s="66">
        <v>0</v>
      </c>
      <c r="FN85" s="66">
        <v>0</v>
      </c>
      <c r="FO85" s="66">
        <v>0</v>
      </c>
      <c r="FP85" s="66">
        <v>0</v>
      </c>
      <c r="FQ85" s="66">
        <v>0</v>
      </c>
      <c r="FR85" s="66">
        <v>0</v>
      </c>
      <c r="FS85" s="66">
        <v>0</v>
      </c>
      <c r="FT85" s="66">
        <v>0</v>
      </c>
      <c r="FU85" s="66">
        <v>0</v>
      </c>
      <c r="FV85" s="66">
        <v>0</v>
      </c>
      <c r="FW85" s="66">
        <v>0</v>
      </c>
      <c r="FX85" s="66">
        <v>0</v>
      </c>
      <c r="FY85" s="66">
        <v>0</v>
      </c>
      <c r="FZ85" s="66">
        <v>0</v>
      </c>
      <c r="GA85" s="66">
        <v>0</v>
      </c>
      <c r="GB85" s="66">
        <v>0</v>
      </c>
      <c r="GC85" s="66">
        <v>0</v>
      </c>
      <c r="GD85" s="66">
        <v>0</v>
      </c>
      <c r="GE85" s="66">
        <v>0</v>
      </c>
      <c r="GF85" s="66">
        <v>0</v>
      </c>
      <c r="GG85" s="66">
        <v>0</v>
      </c>
      <c r="GH85" s="66">
        <v>0</v>
      </c>
      <c r="GI85" s="75"/>
      <c r="GJ85" s="75">
        <f>'[1]Univ Comm Fund'!AY85</f>
        <v>2000000000</v>
      </c>
      <c r="GK85" s="75">
        <f>'[1]UNIV 2019'!AY91</f>
        <v>1120000000</v>
      </c>
      <c r="GL85" s="75">
        <f t="shared" si="118"/>
        <v>880000000</v>
      </c>
      <c r="GM85" s="75"/>
      <c r="GN85" s="75">
        <f>'[1]Univ Comm Fund'!AZ85</f>
        <v>0</v>
      </c>
      <c r="GO85" s="75">
        <f>'[1]UNIV 2019'!AZ91</f>
        <v>0</v>
      </c>
      <c r="GP85" s="75">
        <f t="shared" si="119"/>
        <v>0</v>
      </c>
      <c r="GQ85" s="75">
        <f>'[1]Univ Comm Fund'!BC85</f>
        <v>0</v>
      </c>
      <c r="GR85" s="75">
        <f>'[1]Univ Comm Fund'!BA85</f>
        <v>0</v>
      </c>
      <c r="GS85" s="75">
        <f>'[1]UNIV 2019'!BA91</f>
        <v>0</v>
      </c>
      <c r="GT85" s="75">
        <f t="shared" si="120"/>
        <v>0</v>
      </c>
      <c r="GU85" s="75">
        <f>'[1]Univ Comm Fund'!BH85</f>
        <v>0</v>
      </c>
      <c r="GV85" s="75">
        <f>'[1]Univ Comm Fund'!BB85</f>
        <v>0</v>
      </c>
      <c r="GW85" s="75">
        <f>'[1]UNIV 2019'!BB91</f>
        <v>0</v>
      </c>
      <c r="GX85" s="75">
        <f t="shared" si="121"/>
        <v>0</v>
      </c>
      <c r="GY85" s="75">
        <f>'[1]Univ Comm Fund'!BL85</f>
        <v>0</v>
      </c>
      <c r="GZ85" s="75">
        <f>'[1]Univ Comm Fund'!BC85</f>
        <v>0</v>
      </c>
      <c r="HA85" s="75">
        <f>'[1]UNIV 2019'!BD91</f>
        <v>0</v>
      </c>
      <c r="HB85" s="75">
        <f t="shared" si="122"/>
        <v>0</v>
      </c>
      <c r="HC85" s="75">
        <f>'[1]Univ Comm Fund'!BP85</f>
        <v>0</v>
      </c>
      <c r="HD85" s="75">
        <f>'[1]Univ Comm Fund'!BD85</f>
        <v>0</v>
      </c>
      <c r="HE85" s="75">
        <f>'[1]UNIV 2019'!BC91</f>
        <v>0</v>
      </c>
      <c r="HF85" s="75">
        <f t="shared" si="123"/>
        <v>0</v>
      </c>
      <c r="HG85" s="75"/>
      <c r="HH85" s="75">
        <f t="shared" si="124"/>
        <v>2000000000</v>
      </c>
      <c r="HI85" s="75">
        <f t="shared" si="124"/>
        <v>1120000000</v>
      </c>
      <c r="HJ85" s="82">
        <f t="shared" si="125"/>
        <v>880000000</v>
      </c>
      <c r="HL85" s="83">
        <f t="shared" si="126"/>
        <v>2000000000</v>
      </c>
      <c r="HM85" s="83">
        <f t="shared" si="126"/>
        <v>1120000000</v>
      </c>
      <c r="HN85" s="84">
        <f t="shared" si="127"/>
        <v>880000000</v>
      </c>
      <c r="HP85" s="83">
        <f t="shared" si="128"/>
        <v>0</v>
      </c>
      <c r="HQ85" s="83">
        <f t="shared" si="128"/>
        <v>0</v>
      </c>
      <c r="HR85" s="84">
        <f t="shared" si="129"/>
        <v>0</v>
      </c>
      <c r="HT85" s="83">
        <f t="shared" si="130"/>
        <v>0</v>
      </c>
      <c r="HU85" s="83">
        <f t="shared" si="130"/>
        <v>0</v>
      </c>
      <c r="HV85" s="84">
        <f t="shared" si="131"/>
        <v>0</v>
      </c>
      <c r="HX85" s="83">
        <f t="shared" si="132"/>
        <v>0</v>
      </c>
      <c r="HY85" s="83">
        <f t="shared" si="132"/>
        <v>0</v>
      </c>
      <c r="HZ85" s="84">
        <f t="shared" si="133"/>
        <v>0</v>
      </c>
      <c r="IB85" s="83">
        <f t="shared" si="134"/>
        <v>0</v>
      </c>
      <c r="IC85" s="83">
        <f t="shared" si="134"/>
        <v>0</v>
      </c>
      <c r="ID85" s="84">
        <f t="shared" si="135"/>
        <v>0</v>
      </c>
      <c r="IF85" s="83"/>
      <c r="IG85" s="83"/>
      <c r="IH85" s="84"/>
      <c r="IJ85" s="84">
        <f t="shared" si="137"/>
        <v>0</v>
      </c>
      <c r="IK85" s="84">
        <f t="shared" si="137"/>
        <v>0</v>
      </c>
      <c r="IL85" s="84">
        <f t="shared" si="138"/>
        <v>0</v>
      </c>
    </row>
    <row r="86" spans="1:246" s="140" customFormat="1" x14ac:dyDescent="0.25">
      <c r="A86" s="139"/>
      <c r="B86" s="139" t="s">
        <v>147</v>
      </c>
      <c r="C86" s="139"/>
      <c r="D86" s="66">
        <f t="shared" ref="D86:AI86" si="139">SUM(D6:D85)</f>
        <v>2119661180.5400009</v>
      </c>
      <c r="E86" s="66">
        <f t="shared" si="139"/>
        <v>2119661181.9600008</v>
      </c>
      <c r="F86" s="66">
        <f t="shared" si="139"/>
        <v>-1.4199999868869781</v>
      </c>
      <c r="G86" s="66">
        <f t="shared" si="139"/>
        <v>0</v>
      </c>
      <c r="H86" s="66">
        <f t="shared" si="139"/>
        <v>1050000000</v>
      </c>
      <c r="I86" s="66">
        <f t="shared" si="139"/>
        <v>1050000000</v>
      </c>
      <c r="J86" s="66">
        <f t="shared" si="139"/>
        <v>0</v>
      </c>
      <c r="K86" s="66">
        <f t="shared" si="139"/>
        <v>0</v>
      </c>
      <c r="L86" s="66">
        <f t="shared" si="139"/>
        <v>1640000000</v>
      </c>
      <c r="M86" s="66">
        <f t="shared" si="139"/>
        <v>1640000000</v>
      </c>
      <c r="N86" s="66">
        <f t="shared" si="139"/>
        <v>0</v>
      </c>
      <c r="O86" s="66">
        <f t="shared" si="139"/>
        <v>0</v>
      </c>
      <c r="P86" s="66">
        <f t="shared" si="139"/>
        <v>18698000</v>
      </c>
      <c r="Q86" s="66">
        <f t="shared" si="139"/>
        <v>18698000</v>
      </c>
      <c r="R86" s="66">
        <f t="shared" si="139"/>
        <v>0</v>
      </c>
      <c r="S86" s="66">
        <f t="shared" si="139"/>
        <v>0</v>
      </c>
      <c r="T86" s="66">
        <f t="shared" si="139"/>
        <v>2034332474.5799999</v>
      </c>
      <c r="U86" s="66">
        <f t="shared" si="139"/>
        <v>2034332474.5799999</v>
      </c>
      <c r="V86" s="66">
        <f t="shared" si="139"/>
        <v>0</v>
      </c>
      <c r="W86" s="66">
        <f t="shared" si="139"/>
        <v>0</v>
      </c>
      <c r="X86" s="66">
        <f t="shared" si="139"/>
        <v>602238950</v>
      </c>
      <c r="Y86" s="66">
        <f t="shared" si="139"/>
        <v>602238950</v>
      </c>
      <c r="Z86" s="66">
        <f t="shared" si="139"/>
        <v>0</v>
      </c>
      <c r="AA86" s="66">
        <f t="shared" si="139"/>
        <v>0</v>
      </c>
      <c r="AB86" s="66">
        <f t="shared" si="139"/>
        <v>1258200000</v>
      </c>
      <c r="AC86" s="66">
        <f t="shared" si="139"/>
        <v>1258200000</v>
      </c>
      <c r="AD86" s="66">
        <f t="shared" si="139"/>
        <v>0</v>
      </c>
      <c r="AE86" s="66">
        <f t="shared" si="139"/>
        <v>0</v>
      </c>
      <c r="AF86" s="66">
        <f t="shared" si="139"/>
        <v>1272000000</v>
      </c>
      <c r="AG86" s="66">
        <f t="shared" si="139"/>
        <v>1272000000</v>
      </c>
      <c r="AH86" s="66">
        <f t="shared" si="139"/>
        <v>0</v>
      </c>
      <c r="AI86" s="66">
        <f t="shared" si="139"/>
        <v>0</v>
      </c>
      <c r="AJ86" s="66">
        <f t="shared" ref="AJ86:CU86" si="140">SUM(AJ6:AJ85)</f>
        <v>90400000</v>
      </c>
      <c r="AK86" s="66">
        <f t="shared" si="140"/>
        <v>90400000</v>
      </c>
      <c r="AL86" s="66">
        <f t="shared" si="140"/>
        <v>6044350000</v>
      </c>
      <c r="AM86" s="66">
        <f t="shared" si="140"/>
        <v>0</v>
      </c>
      <c r="AN86" s="66">
        <f t="shared" si="140"/>
        <v>1720312592.48</v>
      </c>
      <c r="AO86" s="66">
        <f t="shared" si="140"/>
        <v>1720312592.48</v>
      </c>
      <c r="AP86" s="66">
        <f t="shared" si="140"/>
        <v>0</v>
      </c>
      <c r="AQ86" s="66">
        <f t="shared" si="140"/>
        <v>0</v>
      </c>
      <c r="AR86" s="66">
        <f t="shared" si="140"/>
        <v>7400000</v>
      </c>
      <c r="AS86" s="66">
        <f t="shared" si="140"/>
        <v>7400000</v>
      </c>
      <c r="AT86" s="66">
        <f t="shared" si="140"/>
        <v>0</v>
      </c>
      <c r="AU86" s="66">
        <f t="shared" si="140"/>
        <v>0</v>
      </c>
      <c r="AV86" s="66">
        <f t="shared" si="140"/>
        <v>2022000000</v>
      </c>
      <c r="AW86" s="66">
        <f t="shared" si="140"/>
        <v>2022000000</v>
      </c>
      <c r="AX86" s="66">
        <f t="shared" si="140"/>
        <v>0</v>
      </c>
      <c r="AY86" s="66">
        <f t="shared" si="140"/>
        <v>0</v>
      </c>
      <c r="AZ86" s="66">
        <f t="shared" si="140"/>
        <v>179250000</v>
      </c>
      <c r="BA86" s="66">
        <f t="shared" si="140"/>
        <v>179250000</v>
      </c>
      <c r="BB86" s="66">
        <f t="shared" si="140"/>
        <v>0</v>
      </c>
      <c r="BC86" s="66">
        <f t="shared" si="140"/>
        <v>0</v>
      </c>
      <c r="BD86" s="66">
        <f t="shared" si="140"/>
        <v>3175400000</v>
      </c>
      <c r="BE86" s="66">
        <f t="shared" si="140"/>
        <v>3175400000</v>
      </c>
      <c r="BF86" s="66">
        <f t="shared" si="140"/>
        <v>0</v>
      </c>
      <c r="BG86" s="66">
        <f t="shared" si="140"/>
        <v>0</v>
      </c>
      <c r="BH86" s="66">
        <f t="shared" si="140"/>
        <v>3529270000</v>
      </c>
      <c r="BI86" s="66">
        <f t="shared" si="140"/>
        <v>3529270000</v>
      </c>
      <c r="BJ86" s="66">
        <f t="shared" si="140"/>
        <v>0</v>
      </c>
      <c r="BK86" s="66">
        <f t="shared" si="140"/>
        <v>0</v>
      </c>
      <c r="BL86" s="66">
        <f t="shared" si="140"/>
        <v>2783879000</v>
      </c>
      <c r="BM86" s="66">
        <f t="shared" si="140"/>
        <v>2783879000</v>
      </c>
      <c r="BN86" s="66">
        <f t="shared" si="140"/>
        <v>0</v>
      </c>
      <c r="BO86" s="66">
        <f t="shared" si="140"/>
        <v>0</v>
      </c>
      <c r="BP86" s="66">
        <f t="shared" si="140"/>
        <v>3289299516.4000001</v>
      </c>
      <c r="BQ86" s="66">
        <f t="shared" si="140"/>
        <v>3289299516.4000001</v>
      </c>
      <c r="BR86" s="66">
        <f t="shared" si="140"/>
        <v>0</v>
      </c>
      <c r="BS86" s="66">
        <f t="shared" si="140"/>
        <v>0</v>
      </c>
      <c r="BT86" s="66">
        <f t="shared" si="140"/>
        <v>9178946800</v>
      </c>
      <c r="BU86" s="66">
        <f t="shared" si="140"/>
        <v>9178946800</v>
      </c>
      <c r="BV86" s="66">
        <f t="shared" si="140"/>
        <v>0</v>
      </c>
      <c r="BW86" s="66">
        <f t="shared" si="140"/>
        <v>0</v>
      </c>
      <c r="BX86" s="66">
        <f t="shared" si="140"/>
        <v>9343020700</v>
      </c>
      <c r="BY86" s="66">
        <f t="shared" si="140"/>
        <v>9350520700</v>
      </c>
      <c r="BZ86" s="66">
        <f t="shared" si="140"/>
        <v>-7500000</v>
      </c>
      <c r="CA86" s="66">
        <f t="shared" si="140"/>
        <v>0</v>
      </c>
      <c r="CB86" s="66">
        <f t="shared" si="140"/>
        <v>22806744986</v>
      </c>
      <c r="CC86" s="66">
        <f t="shared" si="140"/>
        <v>21513911720.310001</v>
      </c>
      <c r="CD86" s="66">
        <f t="shared" si="140"/>
        <v>1292833265.6899998</v>
      </c>
      <c r="CE86" s="66">
        <f t="shared" si="140"/>
        <v>0</v>
      </c>
      <c r="CF86" s="66">
        <f t="shared" si="140"/>
        <v>4275000000</v>
      </c>
      <c r="CG86" s="66">
        <f t="shared" si="140"/>
        <v>3533250000</v>
      </c>
      <c r="CH86" s="66">
        <f t="shared" si="140"/>
        <v>741750000</v>
      </c>
      <c r="CI86" s="66">
        <f t="shared" si="140"/>
        <v>0</v>
      </c>
      <c r="CJ86" s="66">
        <f t="shared" si="140"/>
        <v>10315000000</v>
      </c>
      <c r="CK86" s="66">
        <f t="shared" si="140"/>
        <v>9159400000</v>
      </c>
      <c r="CL86" s="66">
        <f t="shared" si="140"/>
        <v>1155600000</v>
      </c>
      <c r="CM86" s="66">
        <f t="shared" si="140"/>
        <v>0</v>
      </c>
      <c r="CN86" s="66">
        <f t="shared" si="140"/>
        <v>21685662901.41</v>
      </c>
      <c r="CO86" s="66">
        <f t="shared" si="140"/>
        <v>19577302050.529999</v>
      </c>
      <c r="CP86" s="66">
        <f t="shared" si="140"/>
        <v>2108360850.8800001</v>
      </c>
      <c r="CQ86" s="66">
        <f t="shared" si="140"/>
        <v>0</v>
      </c>
      <c r="CR86" s="66">
        <f t="shared" si="140"/>
        <v>6698000000</v>
      </c>
      <c r="CS86" s="66">
        <f t="shared" si="140"/>
        <v>6503750000</v>
      </c>
      <c r="CT86" s="66">
        <f t="shared" si="140"/>
        <v>194250000</v>
      </c>
      <c r="CU86" s="66">
        <f t="shared" si="140"/>
        <v>0</v>
      </c>
      <c r="CV86" s="66">
        <f t="shared" ref="CV86:FG86" si="141">SUM(CV6:CV85)</f>
        <v>9003000000</v>
      </c>
      <c r="CW86" s="66">
        <f t="shared" si="141"/>
        <v>8707650000</v>
      </c>
      <c r="CX86" s="66">
        <f t="shared" si="141"/>
        <v>295350000</v>
      </c>
      <c r="CY86" s="66">
        <f t="shared" si="141"/>
        <v>0</v>
      </c>
      <c r="CZ86" s="66">
        <f t="shared" si="141"/>
        <v>28768743475.919998</v>
      </c>
      <c r="DA86" s="66">
        <f t="shared" si="141"/>
        <v>23866239505.929604</v>
      </c>
      <c r="DB86" s="66">
        <f t="shared" si="141"/>
        <v>4902503969.9904003</v>
      </c>
      <c r="DC86" s="66">
        <f t="shared" si="141"/>
        <v>0</v>
      </c>
      <c r="DD86" s="66">
        <f t="shared" si="141"/>
        <v>1380000000</v>
      </c>
      <c r="DE86" s="66">
        <f t="shared" si="141"/>
        <v>812600000</v>
      </c>
      <c r="DF86" s="66">
        <f t="shared" si="141"/>
        <v>567400000</v>
      </c>
      <c r="DG86" s="66">
        <f t="shared" si="141"/>
        <v>0</v>
      </c>
      <c r="DH86" s="66">
        <f t="shared" si="141"/>
        <v>40296000000</v>
      </c>
      <c r="DI86" s="66">
        <f t="shared" si="141"/>
        <v>28901074144.4632</v>
      </c>
      <c r="DJ86" s="66">
        <f t="shared" si="141"/>
        <v>11394925855.5368</v>
      </c>
      <c r="DK86" s="66">
        <f t="shared" si="141"/>
        <v>0</v>
      </c>
      <c r="DL86" s="66">
        <f t="shared" si="141"/>
        <v>1460000000</v>
      </c>
      <c r="DM86" s="66">
        <f t="shared" si="141"/>
        <v>725800000</v>
      </c>
      <c r="DN86" s="66">
        <f t="shared" si="141"/>
        <v>734200000</v>
      </c>
      <c r="DO86" s="66">
        <f t="shared" si="141"/>
        <v>0</v>
      </c>
      <c r="DP86" s="66">
        <f t="shared" si="141"/>
        <v>21923400000</v>
      </c>
      <c r="DQ86" s="66">
        <f t="shared" si="141"/>
        <v>20320950000</v>
      </c>
      <c r="DR86" s="66">
        <f t="shared" si="141"/>
        <v>1602450000</v>
      </c>
      <c r="DS86" s="66">
        <f t="shared" si="141"/>
        <v>0</v>
      </c>
      <c r="DT86" s="66">
        <f t="shared" si="141"/>
        <v>7400000000</v>
      </c>
      <c r="DU86" s="66">
        <f t="shared" si="141"/>
        <v>3834778929.23</v>
      </c>
      <c r="DV86" s="66">
        <f t="shared" si="141"/>
        <v>3565221070.77</v>
      </c>
      <c r="DW86" s="66">
        <f t="shared" si="141"/>
        <v>0</v>
      </c>
      <c r="DX86" s="66">
        <f t="shared" si="141"/>
        <v>1110000000</v>
      </c>
      <c r="DY86" s="66">
        <f t="shared" si="141"/>
        <v>360550000</v>
      </c>
      <c r="DZ86" s="66">
        <f t="shared" si="141"/>
        <v>749450000</v>
      </c>
      <c r="EA86" s="66">
        <f t="shared" si="141"/>
        <v>0</v>
      </c>
      <c r="EB86" s="66">
        <f t="shared" si="141"/>
        <v>148000000</v>
      </c>
      <c r="EC86" s="66">
        <f t="shared" si="141"/>
        <v>17600000</v>
      </c>
      <c r="ED86" s="66">
        <f t="shared" si="141"/>
        <v>130400000</v>
      </c>
      <c r="EE86" s="66">
        <f t="shared" si="141"/>
        <v>0</v>
      </c>
      <c r="EF86" s="66">
        <f t="shared" si="141"/>
        <v>740000000</v>
      </c>
      <c r="EG86" s="66">
        <f t="shared" si="141"/>
        <v>287500000</v>
      </c>
      <c r="EH86" s="66">
        <f t="shared" si="141"/>
        <v>452500000</v>
      </c>
      <c r="EI86" s="66">
        <f t="shared" si="141"/>
        <v>0</v>
      </c>
      <c r="EJ86" s="66">
        <f t="shared" si="141"/>
        <v>91531000000</v>
      </c>
      <c r="EK86" s="66">
        <f t="shared" si="141"/>
        <v>85746369699.669998</v>
      </c>
      <c r="EL86" s="66">
        <f t="shared" si="141"/>
        <v>5784630300.3299999</v>
      </c>
      <c r="EM86" s="66">
        <f t="shared" si="141"/>
        <v>0</v>
      </c>
      <c r="EN86" s="66">
        <f t="shared" si="141"/>
        <v>41840340000</v>
      </c>
      <c r="EO86" s="66">
        <f t="shared" si="141"/>
        <v>20140924731.970001</v>
      </c>
      <c r="EP86" s="66">
        <f t="shared" si="141"/>
        <v>21699415268.029999</v>
      </c>
      <c r="EQ86" s="66">
        <f t="shared" si="141"/>
        <v>0</v>
      </c>
      <c r="ER86" s="66">
        <f t="shared" si="141"/>
        <v>1110000000</v>
      </c>
      <c r="ES86" s="66">
        <f t="shared" si="141"/>
        <v>342850000</v>
      </c>
      <c r="ET86" s="66">
        <f t="shared" si="141"/>
        <v>767150000</v>
      </c>
      <c r="EU86" s="66">
        <f t="shared" si="141"/>
        <v>0</v>
      </c>
      <c r="EV86" s="66">
        <f t="shared" si="141"/>
        <v>1110000000</v>
      </c>
      <c r="EW86" s="66">
        <f t="shared" si="141"/>
        <v>0</v>
      </c>
      <c r="EX86" s="66">
        <f t="shared" si="141"/>
        <v>1110000000</v>
      </c>
      <c r="EY86" s="66">
        <f t="shared" si="141"/>
        <v>0</v>
      </c>
      <c r="EZ86" s="66">
        <f t="shared" si="141"/>
        <v>740000000</v>
      </c>
      <c r="FA86" s="66">
        <f t="shared" si="141"/>
        <v>209600000</v>
      </c>
      <c r="FB86" s="66">
        <f t="shared" si="141"/>
        <v>530400000</v>
      </c>
      <c r="FC86" s="66">
        <f t="shared" si="141"/>
        <v>0</v>
      </c>
      <c r="FD86" s="66">
        <f t="shared" si="141"/>
        <v>729381777.36000001</v>
      </c>
      <c r="FE86" s="66">
        <f t="shared" si="141"/>
        <v>619974510.75999999</v>
      </c>
      <c r="FF86" s="66">
        <f t="shared" si="141"/>
        <v>109407266.60000002</v>
      </c>
      <c r="FG86" s="66">
        <f t="shared" si="141"/>
        <v>0</v>
      </c>
      <c r="FH86" s="66">
        <f t="shared" ref="FH86:GN86" si="142">SUM(FH6:FH85)</f>
        <v>6600000000</v>
      </c>
      <c r="FI86" s="66">
        <f t="shared" si="142"/>
        <v>5228200000</v>
      </c>
      <c r="FJ86" s="66">
        <f t="shared" si="142"/>
        <v>1371800000</v>
      </c>
      <c r="FK86" s="66">
        <f t="shared" si="142"/>
        <v>0</v>
      </c>
      <c r="FL86" s="66">
        <f t="shared" si="142"/>
        <v>22200000000</v>
      </c>
      <c r="FM86" s="66">
        <f t="shared" si="142"/>
        <v>159000000</v>
      </c>
      <c r="FN86" s="66">
        <f t="shared" si="142"/>
        <v>22041000000</v>
      </c>
      <c r="FO86" s="66">
        <f t="shared" si="142"/>
        <v>0</v>
      </c>
      <c r="FP86" s="66">
        <f t="shared" si="142"/>
        <v>9600000000</v>
      </c>
      <c r="FQ86" s="66">
        <f t="shared" si="142"/>
        <v>5483400000</v>
      </c>
      <c r="FR86" s="66">
        <f t="shared" si="142"/>
        <v>4116600000</v>
      </c>
      <c r="FS86" s="66">
        <f t="shared" si="142"/>
        <v>0</v>
      </c>
      <c r="FT86" s="66">
        <f t="shared" si="142"/>
        <v>740000000</v>
      </c>
      <c r="FU86" s="66">
        <f t="shared" si="142"/>
        <v>0</v>
      </c>
      <c r="FV86" s="66">
        <f t="shared" si="142"/>
        <v>740000000</v>
      </c>
      <c r="FW86" s="66">
        <f t="shared" si="142"/>
        <v>0</v>
      </c>
      <c r="FX86" s="66">
        <f t="shared" si="142"/>
        <v>370000000</v>
      </c>
      <c r="FY86" s="66">
        <f t="shared" si="142"/>
        <v>0</v>
      </c>
      <c r="FZ86" s="66">
        <f t="shared" si="142"/>
        <v>370000000</v>
      </c>
      <c r="GA86" s="66">
        <f t="shared" si="142"/>
        <v>0</v>
      </c>
      <c r="GB86" s="66">
        <f t="shared" si="142"/>
        <v>740000000</v>
      </c>
      <c r="GC86" s="66">
        <f t="shared" si="142"/>
        <v>0</v>
      </c>
      <c r="GD86" s="66">
        <f t="shared" si="142"/>
        <v>740000000</v>
      </c>
      <c r="GE86" s="66">
        <f t="shared" si="142"/>
        <v>0</v>
      </c>
      <c r="GF86" s="66">
        <f t="shared" si="142"/>
        <v>450000000</v>
      </c>
      <c r="GG86" s="66">
        <f t="shared" si="142"/>
        <v>319500000</v>
      </c>
      <c r="GH86" s="66">
        <f t="shared" si="142"/>
        <v>130500000</v>
      </c>
      <c r="GI86" s="66">
        <f t="shared" si="142"/>
        <v>0</v>
      </c>
      <c r="GJ86" s="66">
        <f t="shared" si="142"/>
        <v>27900000000</v>
      </c>
      <c r="GK86" s="66">
        <f t="shared" si="142"/>
        <v>1305500000</v>
      </c>
      <c r="GL86" s="66">
        <f t="shared" si="142"/>
        <v>26594500000</v>
      </c>
      <c r="GM86" s="66">
        <f t="shared" si="142"/>
        <v>0</v>
      </c>
      <c r="GN86" s="66">
        <f t="shared" si="142"/>
        <v>13538424900</v>
      </c>
      <c r="GO86" s="66">
        <f>'[1]UNIV 2019'!AZ92</f>
        <v>0</v>
      </c>
      <c r="GP86" s="75">
        <f t="shared" si="119"/>
        <v>13538424900</v>
      </c>
      <c r="GQ86" s="66">
        <f>SUM(GQ6:GQ85)</f>
        <v>0</v>
      </c>
      <c r="GR86" s="66">
        <f>'[1]Univ Comm Fund'!BA86</f>
        <v>1480000000</v>
      </c>
      <c r="GS86" s="66">
        <f>'[1]UNIV 2019'!BA92</f>
        <v>0</v>
      </c>
      <c r="GT86" s="75">
        <f t="shared" si="120"/>
        <v>1480000000</v>
      </c>
      <c r="GU86" s="66">
        <f>SUM(GU6:GU85)</f>
        <v>0</v>
      </c>
      <c r="GV86" s="66">
        <f>'[1]Univ Comm Fund'!BB86</f>
        <v>370000000</v>
      </c>
      <c r="GW86" s="66">
        <f>'[1]UNIV 2019'!BB92</f>
        <v>0</v>
      </c>
      <c r="GX86" s="66">
        <f>SUM(GX6:GX85)</f>
        <v>370000000</v>
      </c>
      <c r="GY86" s="66">
        <f>SUM(GY6:GY85)</f>
        <v>0</v>
      </c>
      <c r="GZ86" s="66">
        <f>'[1]Univ Comm Fund'!BC86</f>
        <v>740000000</v>
      </c>
      <c r="HA86" s="66">
        <f>'[1]UNIV 2019'!BD92</f>
        <v>0</v>
      </c>
      <c r="HB86" s="75">
        <f t="shared" si="122"/>
        <v>740000000</v>
      </c>
      <c r="HC86" s="66">
        <f>SUM(HC6:HC85)</f>
        <v>0</v>
      </c>
      <c r="HD86" s="66">
        <f>SUM(HD6:HD85)</f>
        <v>120021258</v>
      </c>
      <c r="HE86" s="66">
        <f>'[1]UNIV 2019'!BC92</f>
        <v>63611266.740000002</v>
      </c>
      <c r="HF86" s="66">
        <f>SUM(HF6:HF85)</f>
        <v>56409991.259999998</v>
      </c>
      <c r="HG86" s="66">
        <f>SUM(HG6:HG85)</f>
        <v>0</v>
      </c>
      <c r="HH86" s="75">
        <f>SUM(HH6:HH85)</f>
        <v>445233028512.69025</v>
      </c>
      <c r="HI86" s="75">
        <f>SUM(HI6:HI85)</f>
        <v>313063095775.02277</v>
      </c>
      <c r="HJ86" s="82">
        <f t="shared" si="125"/>
        <v>132169932737.66748</v>
      </c>
      <c r="HK86" s="3"/>
      <c r="HL86" s="83">
        <f>SUM(HL6:HL85)</f>
        <v>244681493410.93002</v>
      </c>
      <c r="HM86" s="83">
        <f>SUM(HM6:HM85)</f>
        <v>151082733131.45276</v>
      </c>
      <c r="HN86" s="84">
        <f>HL86-HM86</f>
        <v>93598760279.477264</v>
      </c>
      <c r="HP86" s="83">
        <f>SUM(HP6:HP85)</f>
        <v>153581373251.76001</v>
      </c>
      <c r="HQ86" s="83">
        <f>SUM(HQ6:HQ85)</f>
        <v>144260275693.57001</v>
      </c>
      <c r="HR86" s="84">
        <f>HP86-HQ86</f>
        <v>9321097558.1900024</v>
      </c>
      <c r="HT86" s="83">
        <f>SUM(HT6:HT85)</f>
        <v>9335000000</v>
      </c>
      <c r="HU86" s="83">
        <f>SUM(HU6:HU85)</f>
        <v>5568750000</v>
      </c>
      <c r="HV86" s="84">
        <f>HT86-HU86</f>
        <v>3766250000</v>
      </c>
      <c r="HX86" s="83">
        <f>SUM(HX6:HX85)</f>
        <v>4440000000</v>
      </c>
      <c r="HY86" s="83">
        <f>SUM(HY6:HY85)</f>
        <v>703400000</v>
      </c>
      <c r="HZ86" s="83">
        <f>SUM(HZ6:HZ85)</f>
        <v>3736600000</v>
      </c>
      <c r="IB86" s="83">
        <f>SUM(IB6:IB85)</f>
        <v>2590000000</v>
      </c>
      <c r="IC86" s="83">
        <f>SUM(IC6:IC85)</f>
        <v>0</v>
      </c>
      <c r="ID86" s="84">
        <f>IB86-IC86</f>
        <v>2590000000</v>
      </c>
      <c r="IF86" s="83">
        <f>SUM(IF6:IF84)</f>
        <v>148000000</v>
      </c>
      <c r="IG86" s="83">
        <f>SUM(IG6:IG84)</f>
        <v>17600000</v>
      </c>
      <c r="IH86" s="84">
        <f>IF86-IG86</f>
        <v>130400000</v>
      </c>
      <c r="IJ86" s="141">
        <f>SUM(IJ6:IJ85)</f>
        <v>29738424900</v>
      </c>
      <c r="IK86" s="141">
        <f>SUM(IK6:IK85)</f>
        <v>10711600000</v>
      </c>
      <c r="IL86" s="84">
        <f>IJ86-IK86</f>
        <v>19026824900</v>
      </c>
    </row>
    <row r="87" spans="1:246" s="140" customFormat="1" x14ac:dyDescent="0.25">
      <c r="A87" s="142"/>
      <c r="B87" s="142"/>
      <c r="C87" s="142"/>
      <c r="D87" s="106"/>
      <c r="E87" s="106"/>
      <c r="F87" s="106"/>
      <c r="G87" s="106"/>
      <c r="H87" s="106"/>
      <c r="I87" s="106"/>
      <c r="J87" s="106"/>
      <c r="K87" s="106"/>
      <c r="L87" s="106"/>
      <c r="M87" s="106"/>
      <c r="N87" s="106"/>
      <c r="O87" s="106"/>
      <c r="P87" s="106">
        <v>18881000</v>
      </c>
      <c r="Q87" s="106"/>
      <c r="R87" s="106"/>
      <c r="S87" s="106"/>
      <c r="T87" s="106">
        <v>2050000000</v>
      </c>
      <c r="U87" s="106"/>
      <c r="V87" s="106"/>
      <c r="W87" s="106"/>
      <c r="X87" s="106">
        <v>625000000</v>
      </c>
      <c r="Y87" s="106"/>
      <c r="Z87" s="106"/>
      <c r="AA87" s="106"/>
      <c r="AB87" s="106">
        <v>1290000000</v>
      </c>
      <c r="AD87" s="106"/>
      <c r="AE87" s="106"/>
      <c r="AF87" s="106">
        <v>1290000000</v>
      </c>
      <c r="AG87" s="106"/>
      <c r="AH87" s="106"/>
      <c r="AI87" s="106"/>
      <c r="AJ87" s="106">
        <v>90400000</v>
      </c>
      <c r="AL87" s="106"/>
      <c r="AM87" s="106"/>
      <c r="AN87" s="106">
        <v>1800000000</v>
      </c>
      <c r="AO87" s="106"/>
      <c r="AP87" s="106"/>
      <c r="AQ87" s="106"/>
      <c r="AR87" s="106">
        <v>7400000</v>
      </c>
      <c r="AS87" s="106"/>
      <c r="AT87" s="106"/>
      <c r="AU87" s="106"/>
      <c r="AV87" s="106">
        <v>2040000000</v>
      </c>
      <c r="AW87" s="106"/>
      <c r="AX87" s="106"/>
      <c r="AY87" s="106"/>
      <c r="AZ87" s="106"/>
      <c r="BA87" s="106"/>
      <c r="BB87" s="106"/>
      <c r="BC87" s="106"/>
      <c r="BD87" s="106">
        <v>3256000000</v>
      </c>
      <c r="BE87" s="106"/>
      <c r="BF87" s="106"/>
      <c r="BG87" s="106"/>
      <c r="BH87" s="106">
        <v>3685000000</v>
      </c>
      <c r="BI87" s="106"/>
      <c r="BJ87" s="106"/>
      <c r="BK87" s="106"/>
      <c r="BL87" s="106">
        <v>3078000000</v>
      </c>
      <c r="BO87" s="106"/>
      <c r="BP87" s="106">
        <v>6723528237</v>
      </c>
      <c r="BQ87" s="106"/>
      <c r="BR87" s="106"/>
      <c r="BS87" s="106"/>
      <c r="BT87" s="106"/>
      <c r="BU87" s="106"/>
      <c r="BV87" s="106"/>
      <c r="BW87" s="106"/>
      <c r="BX87" s="106"/>
      <c r="CB87" s="106">
        <v>22681744986</v>
      </c>
      <c r="CF87" s="106">
        <v>4275000000</v>
      </c>
      <c r="CJ87" s="106">
        <v>13619850000</v>
      </c>
      <c r="CM87" s="106"/>
      <c r="CN87" s="106">
        <v>20300000000</v>
      </c>
      <c r="CP87" s="106"/>
      <c r="CQ87" s="106"/>
      <c r="CR87" s="106">
        <v>6698000000</v>
      </c>
      <c r="CS87" s="106"/>
      <c r="CT87" s="106"/>
      <c r="CU87" s="106"/>
      <c r="CV87" s="106"/>
      <c r="DG87" s="106"/>
      <c r="DH87" s="106">
        <v>40296000000</v>
      </c>
      <c r="DI87" s="106">
        <v>901640000</v>
      </c>
      <c r="DJ87" s="106">
        <v>39394360000</v>
      </c>
      <c r="DK87" s="106"/>
      <c r="DL87" s="106">
        <v>1460000000</v>
      </c>
      <c r="DM87" s="106">
        <v>0</v>
      </c>
      <c r="DN87" s="106">
        <v>1460000000</v>
      </c>
      <c r="DO87" s="106">
        <v>0</v>
      </c>
      <c r="DP87" s="106">
        <v>94014400000</v>
      </c>
      <c r="DQ87" s="106"/>
      <c r="DR87" s="106"/>
      <c r="DS87" s="106"/>
      <c r="DT87" s="106"/>
      <c r="DU87" s="106"/>
      <c r="DV87" s="106"/>
      <c r="DW87" s="106"/>
      <c r="DX87" s="106"/>
      <c r="DY87" s="106"/>
      <c r="DZ87" s="106"/>
      <c r="EA87" s="106"/>
      <c r="EB87" s="106"/>
      <c r="EC87" s="106"/>
      <c r="ED87" s="106"/>
      <c r="EE87" s="106"/>
      <c r="EF87" s="106"/>
      <c r="EG87" s="106"/>
      <c r="EH87" s="106"/>
      <c r="EI87" s="106"/>
      <c r="EJ87" s="106"/>
      <c r="EK87" s="106"/>
      <c r="EL87" s="106"/>
      <c r="EM87" s="106"/>
      <c r="EN87" s="143"/>
      <c r="EO87" s="106"/>
      <c r="EP87" s="106"/>
      <c r="EQ87" s="106"/>
      <c r="ER87" s="106"/>
    </row>
    <row r="88" spans="1:246" s="140" customFormat="1" x14ac:dyDescent="0.25">
      <c r="A88" s="142"/>
      <c r="B88" s="142"/>
      <c r="C88" s="142"/>
      <c r="D88" s="106"/>
      <c r="E88" s="106"/>
      <c r="F88" s="106"/>
      <c r="G88" s="106"/>
      <c r="H88" s="106"/>
      <c r="I88" s="106"/>
      <c r="J88" s="106"/>
      <c r="K88" s="106"/>
      <c r="L88" s="106"/>
      <c r="M88" s="106"/>
      <c r="N88" s="106"/>
      <c r="O88" s="106"/>
      <c r="P88" s="106"/>
      <c r="Q88" s="106"/>
      <c r="R88" s="106"/>
      <c r="S88" s="106"/>
      <c r="T88" s="106"/>
      <c r="U88" s="106"/>
      <c r="V88" s="106"/>
      <c r="W88" s="106"/>
      <c r="X88" s="106"/>
      <c r="Y88" s="106"/>
      <c r="Z88" s="106"/>
      <c r="AA88" s="106"/>
      <c r="AB88" s="106"/>
      <c r="AD88" s="106"/>
      <c r="AE88" s="106"/>
      <c r="AF88" s="106"/>
      <c r="AG88" s="106"/>
      <c r="AH88" s="106"/>
      <c r="AI88" s="106"/>
      <c r="AJ88" s="106"/>
      <c r="AL88" s="106"/>
      <c r="AM88" s="106"/>
      <c r="AN88" s="106"/>
      <c r="AO88" s="106"/>
      <c r="AP88" s="106"/>
      <c r="AQ88" s="106"/>
      <c r="AR88" s="106"/>
      <c r="AS88" s="106"/>
      <c r="AT88" s="106"/>
      <c r="AU88" s="106"/>
      <c r="AV88" s="106"/>
      <c r="AW88" s="106"/>
      <c r="AX88" s="106"/>
      <c r="AY88" s="106"/>
      <c r="AZ88" s="106"/>
      <c r="BA88" s="106"/>
      <c r="BB88" s="106"/>
      <c r="BC88" s="106"/>
      <c r="BD88" s="106"/>
      <c r="BE88" s="106"/>
      <c r="BF88" s="106"/>
      <c r="BG88" s="106"/>
      <c r="BH88" s="106"/>
      <c r="BI88" s="106"/>
      <c r="BJ88" s="106"/>
      <c r="BK88" s="106"/>
      <c r="BL88" s="106"/>
      <c r="BO88" s="106"/>
      <c r="BP88" s="106"/>
      <c r="BQ88" s="106"/>
      <c r="BR88" s="106"/>
      <c r="BS88" s="106"/>
      <c r="BT88" s="106"/>
      <c r="BU88" s="106"/>
      <c r="BV88" s="106"/>
      <c r="BW88" s="106"/>
      <c r="BX88" s="106"/>
      <c r="CB88" s="106"/>
      <c r="CF88" s="106"/>
      <c r="CJ88" s="106"/>
      <c r="CM88" s="106"/>
      <c r="CN88" s="106"/>
      <c r="CP88" s="106"/>
      <c r="CQ88" s="106"/>
      <c r="CR88" s="106"/>
      <c r="CS88" s="106"/>
      <c r="CT88" s="106"/>
      <c r="CU88" s="106"/>
      <c r="CV88" s="106"/>
      <c r="CZ88" s="106"/>
      <c r="DD88" s="106"/>
      <c r="DG88" s="106"/>
      <c r="DH88" s="106"/>
      <c r="DI88" s="106"/>
      <c r="DJ88" s="106"/>
      <c r="DK88" s="106"/>
      <c r="DL88" s="106"/>
      <c r="DM88" s="106"/>
      <c r="DN88" s="106"/>
      <c r="DO88" s="106"/>
      <c r="DP88" s="106"/>
      <c r="DQ88" s="106"/>
      <c r="DR88" s="106"/>
      <c r="DS88" s="106"/>
      <c r="DT88" s="106">
        <f>DT86+DX86</f>
        <v>8510000000</v>
      </c>
      <c r="DU88" s="106">
        <f>DU86+DY86</f>
        <v>4195328929.23</v>
      </c>
      <c r="DV88" s="106">
        <f>DV86+DZ86</f>
        <v>4314671070.7700005</v>
      </c>
      <c r="DW88" s="106"/>
      <c r="DX88" s="106"/>
      <c r="DY88" s="106"/>
      <c r="DZ88" s="106"/>
      <c r="EA88" s="106"/>
      <c r="EB88" s="106"/>
      <c r="EC88" s="106"/>
      <c r="ED88" s="106"/>
      <c r="EE88" s="106"/>
      <c r="EF88" s="106"/>
      <c r="EG88" s="106"/>
      <c r="EH88" s="106"/>
      <c r="EI88" s="106"/>
      <c r="EJ88" s="106"/>
      <c r="EK88" s="106"/>
      <c r="EL88" s="106"/>
      <c r="EM88" s="106"/>
      <c r="EN88" s="143"/>
      <c r="EO88" s="106"/>
      <c r="EP88" s="106"/>
      <c r="EQ88" s="106"/>
    </row>
    <row r="89" spans="1:246" s="140" customFormat="1" ht="17.25" x14ac:dyDescent="0.4">
      <c r="A89" s="142"/>
      <c r="B89" s="142"/>
      <c r="C89" s="142"/>
      <c r="D89" s="106"/>
      <c r="E89" s="106"/>
      <c r="F89" s="106"/>
      <c r="G89" s="106"/>
      <c r="H89" s="106"/>
      <c r="I89" s="106"/>
      <c r="J89" s="106"/>
      <c r="K89" s="106"/>
      <c r="L89" s="106"/>
      <c r="M89" s="106"/>
      <c r="N89" s="106"/>
      <c r="O89" s="106"/>
      <c r="P89" s="106"/>
      <c r="Q89" s="106"/>
      <c r="R89" s="106"/>
      <c r="S89" s="106"/>
      <c r="T89" s="106"/>
      <c r="U89" s="106"/>
      <c r="V89" s="106"/>
      <c r="W89" s="106"/>
      <c r="X89" s="106"/>
      <c r="Y89" s="106"/>
      <c r="Z89" s="106"/>
      <c r="AA89" s="106"/>
      <c r="AB89" s="106"/>
      <c r="AD89" s="106"/>
      <c r="AE89" s="106"/>
      <c r="AF89" s="106"/>
      <c r="AG89" s="106"/>
      <c r="AH89" s="106"/>
      <c r="AI89" s="106"/>
      <c r="AJ89" s="106"/>
      <c r="AL89" s="106"/>
      <c r="AM89" s="106"/>
      <c r="AN89" s="106"/>
      <c r="AO89" s="106"/>
      <c r="AP89" s="106"/>
      <c r="AQ89" s="106"/>
      <c r="AR89" s="106"/>
      <c r="AS89" s="106"/>
      <c r="AT89" s="106"/>
      <c r="AU89" s="106"/>
      <c r="AV89" s="106"/>
      <c r="AW89" s="106"/>
      <c r="AX89" s="106"/>
      <c r="AY89" s="106"/>
      <c r="AZ89" s="106"/>
      <c r="BA89" s="106"/>
      <c r="BB89" s="106"/>
      <c r="BC89" s="106"/>
      <c r="BD89" s="106"/>
      <c r="BE89" s="106"/>
      <c r="BF89" s="106"/>
      <c r="BG89" s="106"/>
      <c r="BH89" s="106"/>
      <c r="BI89" s="106"/>
      <c r="BJ89" s="106"/>
      <c r="BK89" s="106"/>
      <c r="BL89" s="106"/>
      <c r="BO89" s="106"/>
      <c r="BP89" s="106"/>
      <c r="BQ89" s="106"/>
      <c r="BR89" s="106"/>
      <c r="BS89" s="106"/>
      <c r="BT89" s="106"/>
      <c r="BU89" s="106"/>
      <c r="BV89" s="106"/>
      <c r="BW89" s="106"/>
      <c r="BX89" s="106"/>
      <c r="CB89" s="106"/>
      <c r="CF89" s="106"/>
      <c r="CJ89" s="106"/>
      <c r="CM89" s="106"/>
      <c r="CN89" s="106"/>
      <c r="CO89" s="144"/>
      <c r="CP89" s="106"/>
      <c r="CQ89" s="106"/>
      <c r="CR89" s="106"/>
      <c r="CS89" s="106"/>
      <c r="CT89" s="106"/>
      <c r="CU89" s="106"/>
      <c r="CV89" s="106"/>
      <c r="CZ89" s="106"/>
      <c r="DD89" s="106"/>
      <c r="DG89" s="106"/>
      <c r="DH89" s="106"/>
      <c r="DI89" s="106"/>
      <c r="DJ89" s="106"/>
      <c r="DK89" s="106"/>
      <c r="DL89" s="106"/>
      <c r="DM89" s="106"/>
      <c r="DN89" s="106"/>
      <c r="DO89" s="106"/>
      <c r="DP89" s="106"/>
      <c r="DQ89" s="106"/>
      <c r="DR89" s="106"/>
      <c r="DS89" s="106"/>
      <c r="DT89" s="106"/>
      <c r="DU89" s="106"/>
      <c r="DV89" s="106"/>
      <c r="DW89" s="106"/>
      <c r="DX89" s="106"/>
      <c r="DY89" s="106"/>
      <c r="DZ89" s="106"/>
      <c r="EA89" s="106"/>
      <c r="EB89" s="106"/>
      <c r="EC89" s="106"/>
      <c r="ED89" s="106"/>
      <c r="EE89" s="106"/>
      <c r="EF89" s="106"/>
      <c r="EG89" s="106"/>
      <c r="EH89" s="106"/>
      <c r="EI89" s="106"/>
      <c r="EJ89" s="106"/>
      <c r="EK89" s="106"/>
      <c r="EL89" s="106"/>
      <c r="EM89" s="106"/>
      <c r="EN89" s="143"/>
      <c r="EO89" s="106"/>
      <c r="EP89" s="106"/>
      <c r="EQ89" s="106"/>
      <c r="GJ89" s="145">
        <f>GJ86-GJ85</f>
        <v>25900000000</v>
      </c>
    </row>
    <row r="90" spans="1:246" s="140" customFormat="1" x14ac:dyDescent="0.25">
      <c r="A90" s="142"/>
      <c r="B90" s="142"/>
      <c r="C90" s="142"/>
      <c r="D90" s="106"/>
      <c r="E90" s="106"/>
      <c r="F90" s="106"/>
      <c r="G90" s="106"/>
      <c r="H90" s="106"/>
      <c r="I90" s="106"/>
      <c r="J90" s="106"/>
      <c r="K90" s="106"/>
      <c r="L90" s="106"/>
      <c r="M90" s="106"/>
      <c r="N90" s="106"/>
      <c r="O90" s="106"/>
      <c r="P90" s="106"/>
      <c r="Q90" s="106"/>
      <c r="R90" s="106"/>
      <c r="S90" s="106"/>
      <c r="T90" s="106"/>
      <c r="U90" s="106"/>
      <c r="V90" s="106"/>
      <c r="W90" s="106"/>
      <c r="X90" s="106"/>
      <c r="Y90" s="106"/>
      <c r="Z90" s="106"/>
      <c r="AA90" s="106"/>
      <c r="AB90" s="106"/>
      <c r="AD90" s="106"/>
      <c r="AE90" s="106"/>
      <c r="AF90" s="106"/>
      <c r="AG90" s="106"/>
      <c r="AH90" s="106"/>
      <c r="AI90" s="106"/>
      <c r="AJ90" s="106"/>
      <c r="AL90" s="106"/>
      <c r="AM90" s="106"/>
      <c r="AN90" s="106"/>
      <c r="AO90" s="106"/>
      <c r="AP90" s="106"/>
      <c r="AQ90" s="106"/>
      <c r="AR90" s="106"/>
      <c r="AS90" s="106"/>
      <c r="AT90" s="106"/>
      <c r="AU90" s="106"/>
      <c r="AV90" s="106"/>
      <c r="AW90" s="106"/>
      <c r="AX90" s="106"/>
      <c r="AY90" s="106"/>
      <c r="AZ90" s="106"/>
      <c r="BA90" s="106"/>
      <c r="BB90" s="106"/>
      <c r="BC90" s="106"/>
      <c r="BD90" s="106"/>
      <c r="BE90" s="106"/>
      <c r="BF90" s="106"/>
      <c r="BG90" s="106"/>
      <c r="BH90" s="106"/>
      <c r="BI90" s="106"/>
      <c r="BJ90" s="106"/>
      <c r="BK90" s="106"/>
      <c r="BL90" s="106"/>
      <c r="BO90" s="106"/>
      <c r="BP90" s="106"/>
      <c r="BQ90" s="106"/>
      <c r="BR90" s="106"/>
      <c r="BS90" s="106"/>
      <c r="BT90" s="106"/>
      <c r="BU90" s="106"/>
      <c r="BV90" s="106"/>
      <c r="BW90" s="106"/>
      <c r="BX90" s="106"/>
      <c r="CB90" s="106"/>
      <c r="CF90" s="106"/>
      <c r="CJ90" s="106"/>
      <c r="CM90" s="106"/>
      <c r="CN90" s="106"/>
      <c r="CP90" s="106"/>
      <c r="CQ90" s="106"/>
      <c r="CR90" s="106"/>
      <c r="CS90" s="106"/>
      <c r="CT90" s="106"/>
      <c r="CU90" s="106"/>
      <c r="CV90" s="106"/>
      <c r="CZ90" s="106"/>
      <c r="DD90" s="106"/>
      <c r="DG90" s="106"/>
      <c r="DH90" s="106"/>
      <c r="DI90" s="106"/>
      <c r="DJ90" s="106"/>
      <c r="DK90" s="106"/>
      <c r="DL90" s="106"/>
      <c r="DM90" s="106"/>
      <c r="DN90" s="106"/>
      <c r="DO90" s="106"/>
      <c r="DP90" s="106"/>
      <c r="DQ90" s="106"/>
      <c r="DR90" s="106"/>
      <c r="DS90" s="106"/>
      <c r="DT90" s="106">
        <f>DT86+DX86+EB86+EF86+EH86</f>
        <v>9850500000</v>
      </c>
      <c r="DU90" s="106"/>
      <c r="DV90" s="106"/>
      <c r="DW90" s="106"/>
      <c r="DX90" s="106"/>
      <c r="DY90" s="106"/>
      <c r="DZ90" s="106"/>
      <c r="EA90" s="106"/>
      <c r="EB90" s="106"/>
      <c r="EC90" s="106"/>
      <c r="ED90" s="106"/>
      <c r="EE90" s="106"/>
      <c r="EF90" s="106"/>
      <c r="EG90" s="106"/>
      <c r="EH90" s="106"/>
      <c r="EI90" s="106"/>
      <c r="EJ90" s="106"/>
      <c r="EK90" s="106"/>
      <c r="EL90" s="106"/>
      <c r="EM90" s="106"/>
      <c r="EN90" s="143"/>
      <c r="EO90" s="106"/>
      <c r="EP90" s="106"/>
      <c r="EQ90" s="106"/>
    </row>
    <row r="91" spans="1:246" s="140" customFormat="1" x14ac:dyDescent="0.25">
      <c r="A91" s="142"/>
      <c r="B91" s="142"/>
      <c r="C91" s="142"/>
      <c r="D91" s="106"/>
      <c r="E91" s="106"/>
      <c r="F91" s="106"/>
      <c r="G91" s="106"/>
      <c r="H91" s="106"/>
      <c r="L91" s="106">
        <v>1640000000</v>
      </c>
      <c r="AJ91" s="106">
        <v>1380000000</v>
      </c>
      <c r="AK91" s="106">
        <v>40296000000</v>
      </c>
      <c r="AL91" s="106">
        <v>1460000000</v>
      </c>
      <c r="AM91" s="106">
        <v>94014400000</v>
      </c>
      <c r="AN91" s="106">
        <v>0</v>
      </c>
      <c r="AQ91" s="106"/>
      <c r="AR91" s="106"/>
      <c r="AS91" s="106"/>
      <c r="AT91" s="106"/>
      <c r="AU91" s="106"/>
      <c r="AV91" s="106"/>
      <c r="AW91" s="106"/>
      <c r="AX91" s="106"/>
      <c r="AY91" s="106"/>
      <c r="AZ91" s="106"/>
      <c r="BA91" s="106"/>
      <c r="BB91" s="106"/>
      <c r="BC91" s="106"/>
      <c r="BD91" s="106"/>
      <c r="BE91" s="106"/>
      <c r="BF91" s="106"/>
      <c r="BG91" s="106"/>
      <c r="BH91" s="106"/>
      <c r="BI91" s="106"/>
      <c r="BJ91" s="106"/>
      <c r="BK91" s="106"/>
      <c r="BL91" s="106"/>
      <c r="BM91" s="106"/>
      <c r="BN91" s="106"/>
      <c r="BO91" s="106"/>
      <c r="BP91" s="106"/>
      <c r="BQ91" s="106"/>
      <c r="BR91" s="106"/>
      <c r="BS91" s="106"/>
      <c r="BT91" s="106"/>
      <c r="BU91" s="106"/>
      <c r="BV91" s="106"/>
      <c r="BW91" s="106"/>
      <c r="BX91" s="106"/>
      <c r="BY91" s="106"/>
      <c r="BZ91" s="106"/>
      <c r="CA91" s="106"/>
      <c r="CB91" s="106"/>
      <c r="CC91" s="106"/>
      <c r="CD91" s="106"/>
      <c r="CE91" s="106"/>
      <c r="CF91" s="106"/>
      <c r="CG91" s="106"/>
      <c r="CH91" s="106"/>
      <c r="CI91" s="106"/>
      <c r="CJ91" s="106"/>
      <c r="CK91" s="106"/>
      <c r="CL91" s="106"/>
      <c r="CM91" s="106"/>
      <c r="CN91" s="106"/>
      <c r="CO91" s="106"/>
      <c r="CP91" s="106"/>
      <c r="CQ91" s="106"/>
      <c r="CR91" s="106"/>
      <c r="CS91" s="106"/>
      <c r="CT91" s="106"/>
      <c r="CU91" s="106"/>
      <c r="CV91" s="106"/>
      <c r="CW91" s="106"/>
      <c r="CX91" s="106"/>
      <c r="CY91" s="106"/>
      <c r="CZ91" s="106"/>
      <c r="DA91" s="106"/>
      <c r="DB91" s="106"/>
      <c r="DD91" s="106"/>
      <c r="DE91" s="106"/>
      <c r="DF91" s="106"/>
      <c r="DG91" s="106"/>
      <c r="DH91" s="106"/>
      <c r="DI91" s="106"/>
      <c r="DJ91" s="106"/>
      <c r="DK91" s="106"/>
      <c r="DL91" s="106"/>
      <c r="DM91" s="106"/>
      <c r="DN91" s="106"/>
      <c r="DO91" s="106"/>
      <c r="DP91" s="106">
        <f>DP86-DP87</f>
        <v>-72091000000</v>
      </c>
      <c r="DQ91" s="106"/>
      <c r="DR91" s="106"/>
      <c r="DS91" s="106"/>
      <c r="DT91" s="106"/>
      <c r="DU91" s="106"/>
      <c r="DV91" s="106"/>
      <c r="DW91" s="106"/>
      <c r="DX91" s="106"/>
      <c r="DY91" s="106"/>
      <c r="DZ91" s="106"/>
      <c r="EA91" s="106"/>
      <c r="EB91" s="106"/>
      <c r="EC91" s="106"/>
      <c r="ED91" s="106"/>
      <c r="EE91" s="106"/>
      <c r="EF91" s="106"/>
      <c r="EG91" s="106"/>
      <c r="EH91" s="106"/>
      <c r="EI91" s="106"/>
      <c r="EJ91" s="106"/>
      <c r="EK91" s="106"/>
      <c r="EL91" s="106"/>
      <c r="EM91" s="106"/>
      <c r="EN91" s="143"/>
      <c r="EO91" s="106"/>
      <c r="EP91" s="106"/>
      <c r="EQ91" s="106"/>
      <c r="ER91" s="106"/>
      <c r="ES91" s="106"/>
      <c r="ET91" s="106"/>
      <c r="EU91" s="106"/>
    </row>
    <row r="92" spans="1:246" ht="15" customHeight="1" x14ac:dyDescent="0.25">
      <c r="B92" s="1"/>
      <c r="C92" s="1"/>
      <c r="D92" s="106"/>
      <c r="E92" s="106"/>
      <c r="F92" s="106"/>
      <c r="G92" s="106"/>
      <c r="H92" s="106"/>
      <c r="I92" s="4"/>
      <c r="J92" s="4"/>
      <c r="K92" s="4"/>
      <c r="L92" s="4"/>
      <c r="AI92" s="106">
        <v>28768743475.919998</v>
      </c>
      <c r="AJ92" s="146"/>
      <c r="AK92" s="146"/>
      <c r="AL92" s="146"/>
      <c r="AM92" s="146"/>
      <c r="AN92" s="4"/>
      <c r="AO92" s="4"/>
      <c r="AP92" s="4"/>
      <c r="AQ92" s="4"/>
      <c r="AR92" s="4"/>
      <c r="AS92" s="4"/>
      <c r="AT92" s="4"/>
      <c r="AU92" s="4"/>
      <c r="AV92" s="4"/>
      <c r="AY92" s="106">
        <v>180000000</v>
      </c>
      <c r="BK92" s="106">
        <v>10263000000</v>
      </c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DC92" s="140"/>
      <c r="DD92" s="106"/>
      <c r="DE92" s="106"/>
      <c r="DF92" s="106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>
        <f>DT86+DX86+EB86+EF86</f>
        <v>9398000000</v>
      </c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143"/>
      <c r="EO92" s="106"/>
      <c r="EP92" s="106"/>
      <c r="EQ92" s="106"/>
    </row>
    <row r="93" spans="1:246" ht="15" customHeight="1" x14ac:dyDescent="0.25">
      <c r="B93" s="1"/>
      <c r="C93" s="1"/>
      <c r="D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146"/>
      <c r="AK93" s="146"/>
      <c r="AL93" s="146"/>
      <c r="AM93" s="146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EN93" s="143"/>
      <c r="EO93" s="106"/>
      <c r="EP93" s="106"/>
      <c r="EQ93" s="106"/>
    </row>
    <row r="94" spans="1:246" x14ac:dyDescent="0.25">
      <c r="A94" s="3"/>
      <c r="B94" s="3"/>
      <c r="C94" s="3"/>
      <c r="AJ94" s="3"/>
      <c r="AK94" s="3"/>
      <c r="AL94" s="3"/>
      <c r="AM94" s="3"/>
      <c r="BD94" s="4"/>
      <c r="BI94" s="4"/>
      <c r="BU94" s="102"/>
      <c r="EO94" s="3"/>
      <c r="EP94" s="3"/>
      <c r="EQ94" s="3"/>
    </row>
    <row r="95" spans="1:246" x14ac:dyDescent="0.25">
      <c r="A95" s="3"/>
      <c r="B95" s="3"/>
      <c r="C95" s="3"/>
      <c r="AJ95" s="3"/>
      <c r="AK95" s="3"/>
      <c r="AL95" s="3"/>
      <c r="AM95" s="3"/>
      <c r="BA95" s="4"/>
      <c r="BD95" s="6"/>
      <c r="BU95" s="102"/>
      <c r="EO95" s="3"/>
      <c r="EP95" s="3"/>
      <c r="EQ95" s="3"/>
    </row>
    <row r="96" spans="1:246" x14ac:dyDescent="0.25">
      <c r="A96" s="3"/>
      <c r="B96" s="3"/>
      <c r="C96" s="3"/>
      <c r="AJ96" s="3"/>
      <c r="AK96" s="3"/>
      <c r="AL96" s="3"/>
      <c r="AM96" s="3"/>
      <c r="BU96" s="102"/>
      <c r="EO96" s="3"/>
      <c r="EP96" s="3"/>
      <c r="EQ96" s="3"/>
    </row>
    <row r="97" spans="1:147" x14ac:dyDescent="0.25">
      <c r="A97" s="3"/>
      <c r="B97" s="3"/>
      <c r="C97" s="3"/>
      <c r="AJ97" s="3"/>
      <c r="AK97" s="3"/>
      <c r="AL97" s="3"/>
      <c r="AM97" s="3"/>
      <c r="BI97" s="6"/>
      <c r="EO97" s="3"/>
      <c r="EP97" s="3"/>
      <c r="EQ97" s="3"/>
    </row>
    <row r="98" spans="1:147" x14ac:dyDescent="0.25">
      <c r="A98" s="3"/>
      <c r="B98" s="3"/>
      <c r="C98" s="3"/>
      <c r="AJ98" s="3"/>
      <c r="AK98" s="3"/>
      <c r="AL98" s="3"/>
      <c r="AM98" s="3"/>
      <c r="BA98" s="201"/>
      <c r="EO98" s="3"/>
      <c r="EP98" s="3"/>
      <c r="EQ98" s="3"/>
    </row>
    <row r="99" spans="1:147" x14ac:dyDescent="0.25">
      <c r="A99" s="3"/>
      <c r="B99" s="3"/>
      <c r="C99" s="3"/>
      <c r="AJ99" s="3"/>
      <c r="AK99" s="3"/>
      <c r="AL99" s="3"/>
      <c r="AM99" s="3"/>
      <c r="BH99" s="4"/>
      <c r="EO99" s="3"/>
      <c r="EP99" s="3"/>
      <c r="EQ99" s="3"/>
    </row>
    <row r="100" spans="1:147" x14ac:dyDescent="0.25">
      <c r="A100" s="3"/>
      <c r="B100" s="3"/>
      <c r="C100" s="3"/>
      <c r="AJ100" s="3"/>
      <c r="AK100" s="3"/>
      <c r="AL100" s="3"/>
      <c r="AM100" s="3"/>
      <c r="BH100" s="6"/>
      <c r="EO100" s="3"/>
      <c r="EP100" s="3"/>
      <c r="EQ100" s="3"/>
    </row>
    <row r="101" spans="1:147" x14ac:dyDescent="0.25">
      <c r="A101" s="3"/>
      <c r="B101" s="3"/>
      <c r="C101" s="3"/>
      <c r="AJ101" s="3"/>
      <c r="AK101" s="3"/>
      <c r="AL101" s="3"/>
      <c r="AM101" s="3"/>
      <c r="BH101" s="4"/>
      <c r="EO101" s="3"/>
      <c r="EP101" s="3"/>
      <c r="EQ101" s="3"/>
    </row>
    <row r="102" spans="1:147" x14ac:dyDescent="0.25">
      <c r="A102" s="3"/>
      <c r="B102" s="3"/>
      <c r="C102" s="3"/>
      <c r="AJ102" s="3"/>
      <c r="AK102" s="3"/>
      <c r="AL102" s="3"/>
      <c r="AM102" s="3"/>
      <c r="BH102" s="6"/>
      <c r="EO102" s="3"/>
      <c r="EP102" s="3"/>
      <c r="EQ102" s="3"/>
    </row>
    <row r="103" spans="1:147" x14ac:dyDescent="0.25">
      <c r="A103" s="3"/>
      <c r="B103" s="3"/>
      <c r="C103" s="3"/>
      <c r="AJ103" s="3"/>
      <c r="AK103" s="3"/>
      <c r="AL103" s="3"/>
      <c r="AM103" s="3"/>
      <c r="EO103" s="3"/>
      <c r="EP103" s="3"/>
      <c r="EQ103" s="3"/>
    </row>
    <row r="104" spans="1:147" x14ac:dyDescent="0.25">
      <c r="A104" s="3"/>
      <c r="B104" s="3"/>
      <c r="C104" s="3"/>
      <c r="AJ104" s="3"/>
      <c r="AK104" s="3"/>
      <c r="AL104" s="3"/>
      <c r="AM104" s="3"/>
      <c r="EO104" s="3"/>
      <c r="EP104" s="3"/>
      <c r="EQ104" s="3"/>
    </row>
    <row r="105" spans="1:147" x14ac:dyDescent="0.25">
      <c r="A105" s="3"/>
      <c r="B105" s="3"/>
      <c r="C105" s="3"/>
      <c r="AJ105" s="3"/>
      <c r="AK105" s="3"/>
      <c r="AL105" s="3"/>
      <c r="AM105" s="3"/>
      <c r="EO105" s="3"/>
      <c r="EP105" s="3"/>
      <c r="EQ105" s="3"/>
    </row>
    <row r="106" spans="1:147" x14ac:dyDescent="0.25">
      <c r="A106" s="3"/>
      <c r="B106" s="3"/>
      <c r="C106" s="3"/>
      <c r="AJ106" s="3"/>
      <c r="AK106" s="3"/>
      <c r="AL106" s="3"/>
      <c r="AM106" s="3"/>
      <c r="EO106" s="3"/>
      <c r="EP106" s="3"/>
      <c r="EQ106" s="3"/>
    </row>
    <row r="107" spans="1:147" x14ac:dyDescent="0.25">
      <c r="A107" s="3"/>
      <c r="B107" s="3"/>
      <c r="C107" s="3"/>
      <c r="AJ107" s="3"/>
      <c r="AK107" s="3"/>
      <c r="AL107" s="3"/>
      <c r="AM107" s="3"/>
      <c r="EO107" s="3"/>
      <c r="EP107" s="3"/>
      <c r="EQ107" s="3"/>
    </row>
    <row r="108" spans="1:147" x14ac:dyDescent="0.25">
      <c r="A108" s="3"/>
      <c r="B108" s="3"/>
      <c r="C108" s="3"/>
      <c r="AJ108" s="3"/>
      <c r="AK108" s="3"/>
      <c r="AL108" s="3"/>
      <c r="AM108" s="3"/>
      <c r="EO108" s="3"/>
      <c r="EP108" s="3"/>
      <c r="EQ108" s="3"/>
    </row>
    <row r="109" spans="1:147" x14ac:dyDescent="0.25">
      <c r="A109" s="3"/>
      <c r="B109" s="3"/>
      <c r="C109" s="3"/>
      <c r="AJ109" s="3"/>
      <c r="AK109" s="3"/>
      <c r="AL109" s="3"/>
      <c r="AM109" s="3"/>
      <c r="EO109" s="3"/>
      <c r="EP109" s="3"/>
      <c r="EQ109" s="3"/>
    </row>
    <row r="110" spans="1:147" x14ac:dyDescent="0.25">
      <c r="A110" s="3"/>
      <c r="B110" s="3"/>
      <c r="C110" s="3"/>
      <c r="AJ110" s="3"/>
      <c r="AK110" s="3"/>
      <c r="AL110" s="3"/>
      <c r="AM110" s="3"/>
      <c r="EO110" s="3"/>
      <c r="EP110" s="3"/>
      <c r="EQ110" s="3"/>
    </row>
    <row r="111" spans="1:147" x14ac:dyDescent="0.25">
      <c r="A111" s="3"/>
      <c r="B111" s="3"/>
      <c r="C111" s="3"/>
      <c r="AJ111" s="3"/>
      <c r="AK111" s="3"/>
      <c r="AL111" s="3"/>
      <c r="AM111" s="3"/>
      <c r="EO111" s="3"/>
      <c r="EP111" s="3"/>
      <c r="EQ111" s="3"/>
    </row>
    <row r="112" spans="1:147" x14ac:dyDescent="0.25">
      <c r="A112" s="3"/>
      <c r="B112" s="3"/>
      <c r="C112" s="3"/>
      <c r="AJ112" s="3"/>
      <c r="AK112" s="3"/>
      <c r="AL112" s="3"/>
      <c r="AM112" s="3"/>
      <c r="EO112" s="3"/>
      <c r="EP112" s="3"/>
      <c r="EQ112" s="3"/>
    </row>
    <row r="113" spans="1:147" x14ac:dyDescent="0.25">
      <c r="A113" s="3"/>
      <c r="B113" s="3"/>
      <c r="C113" s="3"/>
      <c r="AJ113" s="3"/>
      <c r="AK113" s="3"/>
      <c r="AL113" s="3"/>
      <c r="AM113" s="3"/>
      <c r="EO113" s="3"/>
      <c r="EP113" s="3"/>
      <c r="EQ113" s="3"/>
    </row>
    <row r="114" spans="1:147" x14ac:dyDescent="0.25">
      <c r="A114" s="3"/>
      <c r="B114" s="3"/>
      <c r="C114" s="3"/>
      <c r="AJ114" s="3"/>
      <c r="AK114" s="3"/>
      <c r="AL114" s="3"/>
      <c r="AM114" s="3"/>
      <c r="EO114" s="3"/>
      <c r="EP114" s="3"/>
      <c r="EQ114" s="3"/>
    </row>
    <row r="115" spans="1:147" x14ac:dyDescent="0.25">
      <c r="A115" s="3"/>
      <c r="B115" s="3"/>
      <c r="C115" s="3"/>
      <c r="AJ115" s="3"/>
      <c r="AK115" s="3"/>
      <c r="AL115" s="3"/>
      <c r="AM115" s="3"/>
      <c r="EO115" s="3"/>
      <c r="EP115" s="3"/>
      <c r="EQ115" s="3"/>
    </row>
    <row r="116" spans="1:147" x14ac:dyDescent="0.25">
      <c r="A116" s="3"/>
      <c r="B116" s="3"/>
      <c r="C116" s="3"/>
      <c r="AJ116" s="3"/>
      <c r="AK116" s="3"/>
      <c r="AL116" s="3"/>
      <c r="AM116" s="3"/>
      <c r="EO116" s="3"/>
      <c r="EP116" s="3"/>
      <c r="EQ116" s="3"/>
    </row>
    <row r="117" spans="1:147" x14ac:dyDescent="0.25">
      <c r="A117" s="3"/>
      <c r="B117" s="3"/>
      <c r="C117" s="3"/>
      <c r="AJ117" s="3"/>
      <c r="AK117" s="3"/>
      <c r="AL117" s="3"/>
      <c r="AM117" s="3"/>
      <c r="EO117" s="3"/>
      <c r="EP117" s="3"/>
      <c r="EQ117" s="3"/>
    </row>
    <row r="118" spans="1:147" x14ac:dyDescent="0.25">
      <c r="A118" s="3"/>
      <c r="B118" s="3"/>
      <c r="C118" s="3"/>
      <c r="AJ118" s="3"/>
      <c r="AK118" s="3"/>
      <c r="AL118" s="3"/>
      <c r="AM118" s="3"/>
      <c r="EO118" s="3"/>
      <c r="EP118" s="3"/>
      <c r="EQ118" s="3"/>
    </row>
    <row r="119" spans="1:147" x14ac:dyDescent="0.25">
      <c r="A119" s="3"/>
      <c r="B119" s="3"/>
      <c r="C119" s="3"/>
      <c r="AJ119" s="3"/>
      <c r="AK119" s="3"/>
      <c r="AL119" s="3"/>
      <c r="AM119" s="3"/>
      <c r="EO119" s="3"/>
      <c r="EP119" s="3"/>
      <c r="EQ119" s="3"/>
    </row>
    <row r="120" spans="1:147" x14ac:dyDescent="0.25">
      <c r="A120" s="3"/>
      <c r="B120" s="3"/>
      <c r="C120" s="3"/>
      <c r="AJ120" s="3"/>
      <c r="AK120" s="3"/>
      <c r="AL120" s="3"/>
      <c r="AM120" s="3"/>
      <c r="EO120" s="3"/>
      <c r="EP120" s="3"/>
      <c r="EQ120" s="3"/>
    </row>
    <row r="121" spans="1:147" x14ac:dyDescent="0.25">
      <c r="A121" s="3"/>
      <c r="B121" s="3"/>
      <c r="C121" s="3"/>
      <c r="AJ121" s="3"/>
      <c r="AK121" s="3"/>
      <c r="AL121" s="3"/>
      <c r="AM121" s="3"/>
      <c r="EO121" s="3"/>
      <c r="EP121" s="3"/>
      <c r="EQ121" s="3"/>
    </row>
    <row r="122" spans="1:147" x14ac:dyDescent="0.25">
      <c r="A122" s="3"/>
      <c r="B122" s="3"/>
      <c r="C122" s="3"/>
      <c r="AJ122" s="3"/>
      <c r="AK122" s="3"/>
      <c r="AL122" s="3"/>
      <c r="AM122" s="3"/>
      <c r="EO122" s="3"/>
      <c r="EP122" s="3"/>
      <c r="EQ122" s="3"/>
    </row>
    <row r="123" spans="1:147" x14ac:dyDescent="0.25">
      <c r="A123" s="3"/>
      <c r="B123" s="3"/>
      <c r="C123" s="3"/>
      <c r="AJ123" s="3"/>
      <c r="AK123" s="3"/>
      <c r="AL123" s="3"/>
      <c r="AM123" s="3"/>
      <c r="EO123" s="3"/>
      <c r="EP123" s="3"/>
      <c r="EQ123" s="3"/>
    </row>
    <row r="124" spans="1:147" x14ac:dyDescent="0.25">
      <c r="A124" s="3"/>
      <c r="B124" s="3"/>
      <c r="C124" s="3"/>
      <c r="AJ124" s="3"/>
      <c r="AK124" s="3"/>
      <c r="AL124" s="3"/>
      <c r="AM124" s="3"/>
      <c r="EO124" s="3"/>
      <c r="EP124" s="3"/>
      <c r="EQ124" s="3"/>
    </row>
    <row r="125" spans="1:147" x14ac:dyDescent="0.25">
      <c r="A125" s="3"/>
      <c r="B125" s="3"/>
      <c r="C125" s="3"/>
      <c r="AJ125" s="3"/>
      <c r="AK125" s="3"/>
      <c r="AL125" s="3"/>
      <c r="AM125" s="3"/>
      <c r="EO125" s="3"/>
      <c r="EP125" s="3"/>
      <c r="EQ125" s="3"/>
    </row>
    <row r="126" spans="1:147" x14ac:dyDescent="0.25">
      <c r="A126" s="3"/>
      <c r="B126" s="3"/>
      <c r="C126" s="3"/>
      <c r="AJ126" s="3"/>
      <c r="AK126" s="3"/>
      <c r="AL126" s="3"/>
      <c r="AM126" s="3"/>
      <c r="EO126" s="3"/>
      <c r="EP126" s="3"/>
      <c r="EQ126" s="3"/>
    </row>
    <row r="127" spans="1:147" x14ac:dyDescent="0.25">
      <c r="A127" s="3"/>
      <c r="B127" s="3"/>
      <c r="C127" s="3"/>
      <c r="AJ127" s="3"/>
      <c r="AK127" s="3"/>
      <c r="AL127" s="3"/>
      <c r="AM127" s="3"/>
      <c r="EO127" s="3"/>
      <c r="EP127" s="3"/>
      <c r="EQ127" s="3"/>
    </row>
    <row r="128" spans="1:147" x14ac:dyDescent="0.25">
      <c r="A128" s="3"/>
      <c r="B128" s="3"/>
      <c r="C128" s="3"/>
      <c r="AJ128" s="3"/>
      <c r="AK128" s="3"/>
      <c r="AL128" s="3"/>
      <c r="AM128" s="3"/>
      <c r="EO128" s="3"/>
      <c r="EP128" s="3"/>
      <c r="EQ128" s="3"/>
    </row>
    <row r="129" spans="1:147" x14ac:dyDescent="0.25">
      <c r="A129" s="3"/>
      <c r="B129" s="3"/>
      <c r="C129" s="3"/>
      <c r="AJ129" s="3"/>
      <c r="AK129" s="3"/>
      <c r="AL129" s="3"/>
      <c r="AM129" s="3"/>
      <c r="EO129" s="3"/>
      <c r="EP129" s="3"/>
      <c r="EQ129" s="3"/>
    </row>
    <row r="130" spans="1:147" x14ac:dyDescent="0.25">
      <c r="A130" s="3"/>
      <c r="B130" s="3"/>
      <c r="C130" s="3"/>
      <c r="AJ130" s="3"/>
      <c r="AK130" s="3"/>
      <c r="AL130" s="3"/>
      <c r="AM130" s="3"/>
      <c r="EO130" s="3"/>
      <c r="EP130" s="3"/>
      <c r="EQ130" s="3"/>
    </row>
    <row r="131" spans="1:147" x14ac:dyDescent="0.25">
      <c r="A131" s="3"/>
      <c r="B131" s="3"/>
      <c r="C131" s="3"/>
      <c r="AJ131" s="3"/>
      <c r="AK131" s="3"/>
      <c r="AL131" s="3"/>
      <c r="AM131" s="3"/>
      <c r="EO131" s="3"/>
      <c r="EP131" s="3"/>
      <c r="EQ131" s="3"/>
    </row>
    <row r="132" spans="1:147" x14ac:dyDescent="0.25">
      <c r="A132" s="3"/>
      <c r="B132" s="3"/>
      <c r="C132" s="3"/>
      <c r="AJ132" s="3"/>
      <c r="AK132" s="3"/>
      <c r="AL132" s="3"/>
      <c r="AM132" s="3"/>
      <c r="EO132" s="3"/>
      <c r="EP132" s="3"/>
      <c r="EQ132" s="3"/>
    </row>
    <row r="133" spans="1:147" x14ac:dyDescent="0.25">
      <c r="A133" s="3"/>
      <c r="B133" s="3"/>
      <c r="C133" s="3"/>
      <c r="AJ133" s="3"/>
      <c r="AK133" s="3"/>
      <c r="AL133" s="3"/>
      <c r="AM133" s="3"/>
      <c r="EO133" s="3"/>
      <c r="EP133" s="3"/>
      <c r="EQ133" s="3"/>
    </row>
    <row r="134" spans="1:147" x14ac:dyDescent="0.25">
      <c r="A134" s="3"/>
      <c r="B134" s="3"/>
      <c r="C134" s="3"/>
      <c r="AJ134" s="3"/>
      <c r="AK134" s="3"/>
      <c r="AL134" s="3"/>
      <c r="AM134" s="3"/>
      <c r="EO134" s="3"/>
      <c r="EP134" s="3"/>
      <c r="EQ134" s="3"/>
    </row>
    <row r="135" spans="1:147" x14ac:dyDescent="0.25">
      <c r="A135" s="3"/>
      <c r="B135" s="3"/>
      <c r="C135" s="3"/>
      <c r="AJ135" s="3"/>
      <c r="AK135" s="3"/>
      <c r="AL135" s="3"/>
      <c r="AM135" s="3"/>
      <c r="EO135" s="3"/>
      <c r="EP135" s="3"/>
      <c r="EQ135" s="3"/>
    </row>
    <row r="136" spans="1:147" x14ac:dyDescent="0.25">
      <c r="A136" s="3"/>
      <c r="B136" s="3"/>
      <c r="C136" s="3"/>
      <c r="AJ136" s="3"/>
      <c r="AK136" s="3"/>
      <c r="AL136" s="3"/>
      <c r="AM136" s="3"/>
      <c r="EO136" s="3"/>
      <c r="EP136" s="3"/>
      <c r="EQ136" s="3"/>
    </row>
    <row r="137" spans="1:147" x14ac:dyDescent="0.25">
      <c r="A137" s="3"/>
      <c r="B137" s="3"/>
      <c r="C137" s="3"/>
      <c r="AJ137" s="3"/>
      <c r="AK137" s="3"/>
      <c r="AL137" s="3"/>
      <c r="AM137" s="3"/>
      <c r="EO137" s="3"/>
      <c r="EP137" s="3"/>
      <c r="EQ137" s="3"/>
    </row>
    <row r="138" spans="1:147" x14ac:dyDescent="0.25">
      <c r="A138" s="3"/>
      <c r="B138" s="3"/>
      <c r="C138" s="3"/>
      <c r="AJ138" s="3"/>
      <c r="AK138" s="3"/>
      <c r="AL138" s="3"/>
      <c r="AM138" s="3"/>
      <c r="EO138" s="3"/>
      <c r="EP138" s="3"/>
      <c r="EQ138" s="3"/>
    </row>
    <row r="139" spans="1:147" x14ac:dyDescent="0.25">
      <c r="A139" s="3"/>
      <c r="B139" s="3"/>
      <c r="C139" s="3"/>
      <c r="AJ139" s="3"/>
      <c r="AK139" s="3"/>
      <c r="AL139" s="3"/>
      <c r="AM139" s="3"/>
      <c r="EO139" s="3"/>
      <c r="EP139" s="3"/>
      <c r="EQ139" s="3"/>
    </row>
    <row r="140" spans="1:147" x14ac:dyDescent="0.25">
      <c r="A140" s="3"/>
      <c r="B140" s="3"/>
      <c r="C140" s="3"/>
    </row>
    <row r="141" spans="1:147" x14ac:dyDescent="0.25">
      <c r="A141" s="3"/>
      <c r="B141" s="3"/>
      <c r="C141" s="3"/>
    </row>
    <row r="142" spans="1:147" x14ac:dyDescent="0.25">
      <c r="A142" s="3"/>
      <c r="B142" s="3"/>
      <c r="C142" s="3"/>
    </row>
    <row r="143" spans="1:147" x14ac:dyDescent="0.25">
      <c r="A143" s="3"/>
      <c r="B143" s="3"/>
      <c r="C143" s="3"/>
    </row>
    <row r="144" spans="1:147" x14ac:dyDescent="0.25">
      <c r="A144" s="3"/>
      <c r="B144" s="3"/>
      <c r="C144" s="3"/>
    </row>
    <row r="145" spans="1:147" x14ac:dyDescent="0.25">
      <c r="A145" s="3"/>
      <c r="B145" s="3"/>
      <c r="C145" s="3"/>
    </row>
    <row r="146" spans="1:147" x14ac:dyDescent="0.25">
      <c r="A146" s="3"/>
      <c r="B146" s="3"/>
      <c r="C146" s="3"/>
    </row>
    <row r="147" spans="1:147" x14ac:dyDescent="0.25">
      <c r="A147" s="3"/>
      <c r="B147" s="3"/>
      <c r="C147" s="3"/>
    </row>
    <row r="148" spans="1:147" x14ac:dyDescent="0.25">
      <c r="A148" s="3"/>
      <c r="B148" s="3"/>
      <c r="C148" s="3"/>
    </row>
    <row r="149" spans="1:147" x14ac:dyDescent="0.25">
      <c r="A149" s="3"/>
      <c r="B149" s="3"/>
      <c r="C149" s="3"/>
    </row>
    <row r="150" spans="1:147" x14ac:dyDescent="0.25">
      <c r="A150" s="3"/>
      <c r="B150" s="3"/>
      <c r="C150" s="3"/>
    </row>
    <row r="151" spans="1:147" x14ac:dyDescent="0.25">
      <c r="A151" s="3"/>
      <c r="B151" s="3"/>
      <c r="C151" s="3"/>
      <c r="AJ151" s="3"/>
      <c r="AK151" s="3"/>
      <c r="AL151" s="3"/>
      <c r="AM151" s="3"/>
      <c r="EO151" s="3"/>
      <c r="EP151" s="3"/>
      <c r="EQ151" s="3"/>
    </row>
    <row r="152" spans="1:147" x14ac:dyDescent="0.25">
      <c r="A152" s="3"/>
      <c r="B152" s="3"/>
      <c r="C152" s="3"/>
      <c r="AJ152" s="3"/>
      <c r="AK152" s="3"/>
      <c r="AL152" s="3"/>
      <c r="AM152" s="3"/>
      <c r="EO152" s="3"/>
      <c r="EP152" s="3"/>
      <c r="EQ152" s="3"/>
    </row>
    <row r="153" spans="1:147" x14ac:dyDescent="0.25">
      <c r="A153" s="3"/>
      <c r="B153" s="3"/>
      <c r="C153" s="3"/>
      <c r="AJ153" s="3"/>
      <c r="AK153" s="3"/>
      <c r="AL153" s="3"/>
      <c r="AM153" s="3"/>
      <c r="EO153" s="3"/>
      <c r="EP153" s="3"/>
      <c r="EQ153" s="3"/>
    </row>
    <row r="154" spans="1:147" x14ac:dyDescent="0.25">
      <c r="A154" s="3"/>
      <c r="B154" s="3"/>
      <c r="C154" s="3"/>
      <c r="AJ154" s="3"/>
      <c r="AK154" s="3"/>
      <c r="AL154" s="3"/>
      <c r="AM154" s="3"/>
      <c r="EO154" s="3"/>
      <c r="EP154" s="3"/>
      <c r="EQ154" s="3"/>
    </row>
    <row r="155" spans="1:147" x14ac:dyDescent="0.25">
      <c r="A155" s="3"/>
      <c r="B155" s="3"/>
      <c r="C155" s="3"/>
      <c r="AJ155" s="3"/>
      <c r="AK155" s="3"/>
      <c r="AL155" s="3"/>
      <c r="AM155" s="3"/>
      <c r="EO155" s="3"/>
      <c r="EP155" s="3"/>
      <c r="EQ155" s="3"/>
    </row>
    <row r="156" spans="1:147" x14ac:dyDescent="0.25">
      <c r="A156" s="3"/>
      <c r="B156" s="3"/>
      <c r="C156" s="3"/>
      <c r="AJ156" s="3"/>
      <c r="AK156" s="3"/>
      <c r="AL156" s="3"/>
      <c r="AM156" s="3"/>
      <c r="EO156" s="3"/>
      <c r="EP156" s="3"/>
      <c r="EQ156" s="3"/>
    </row>
    <row r="157" spans="1:147" x14ac:dyDescent="0.25">
      <c r="A157" s="3"/>
      <c r="B157" s="3"/>
      <c r="C157" s="3"/>
      <c r="AJ157" s="3"/>
      <c r="AK157" s="3"/>
      <c r="AL157" s="3"/>
      <c r="AM157" s="3"/>
      <c r="EO157" s="3"/>
      <c r="EP157" s="3"/>
      <c r="EQ157" s="3"/>
    </row>
    <row r="158" spans="1:147" x14ac:dyDescent="0.25">
      <c r="A158" s="3"/>
      <c r="B158" s="3"/>
      <c r="C158" s="3"/>
      <c r="AJ158" s="3"/>
      <c r="AK158" s="3"/>
      <c r="AL158" s="3"/>
      <c r="AM158" s="3"/>
      <c r="EO158" s="3"/>
      <c r="EP158" s="3"/>
      <c r="EQ158" s="3"/>
    </row>
    <row r="159" spans="1:147" x14ac:dyDescent="0.25">
      <c r="A159" s="3"/>
      <c r="B159" s="3"/>
      <c r="C159" s="3"/>
      <c r="AJ159" s="3"/>
      <c r="AK159" s="3"/>
      <c r="AL159" s="3"/>
      <c r="AM159" s="3"/>
      <c r="EO159" s="3"/>
      <c r="EP159" s="3"/>
      <c r="EQ159" s="3"/>
    </row>
    <row r="160" spans="1:147" x14ac:dyDescent="0.25">
      <c r="A160" s="3"/>
      <c r="B160" s="3"/>
      <c r="C160" s="3"/>
      <c r="AJ160" s="3"/>
      <c r="AK160" s="3"/>
      <c r="AL160" s="3"/>
      <c r="AM160" s="3"/>
      <c r="EO160" s="3"/>
      <c r="EP160" s="3"/>
      <c r="EQ160" s="3"/>
    </row>
    <row r="161" spans="1:147" x14ac:dyDescent="0.25">
      <c r="A161" s="3"/>
      <c r="B161" s="3"/>
      <c r="C161" s="3"/>
      <c r="AJ161" s="3"/>
      <c r="AK161" s="3"/>
      <c r="AL161" s="3"/>
      <c r="AM161" s="3"/>
      <c r="EO161" s="3"/>
      <c r="EP161" s="3"/>
      <c r="EQ161" s="3"/>
    </row>
    <row r="162" spans="1:147" x14ac:dyDescent="0.25">
      <c r="A162" s="3"/>
      <c r="B162" s="3"/>
      <c r="C162" s="3"/>
      <c r="AJ162" s="3"/>
      <c r="AK162" s="3"/>
      <c r="AL162" s="3"/>
      <c r="AM162" s="3"/>
      <c r="EO162" s="3"/>
      <c r="EP162" s="3"/>
      <c r="EQ162" s="3"/>
    </row>
    <row r="163" spans="1:147" x14ac:dyDescent="0.25">
      <c r="A163" s="3"/>
      <c r="B163" s="3"/>
      <c r="C163" s="3"/>
      <c r="AJ163" s="3"/>
      <c r="AK163" s="3"/>
      <c r="AL163" s="3"/>
      <c r="AM163" s="3"/>
      <c r="EO163" s="3"/>
      <c r="EP163" s="3"/>
      <c r="EQ163" s="3"/>
    </row>
    <row r="164" spans="1:147" x14ac:dyDescent="0.25">
      <c r="A164" s="3"/>
      <c r="B164" s="3"/>
      <c r="C164" s="3"/>
      <c r="AJ164" s="3"/>
      <c r="AK164" s="3"/>
      <c r="AL164" s="3"/>
      <c r="AM164" s="3"/>
      <c r="EO164" s="3"/>
      <c r="EP164" s="3"/>
      <c r="EQ164" s="3"/>
    </row>
    <row r="165" spans="1:147" x14ac:dyDescent="0.25">
      <c r="A165" s="3"/>
      <c r="B165" s="3"/>
      <c r="C165" s="3"/>
      <c r="AJ165" s="3"/>
      <c r="AK165" s="3"/>
      <c r="AL165" s="3"/>
      <c r="AM165" s="3"/>
      <c r="EO165" s="3"/>
      <c r="EP165" s="3"/>
      <c r="EQ165" s="3"/>
    </row>
    <row r="166" spans="1:147" x14ac:dyDescent="0.25">
      <c r="A166" s="3"/>
      <c r="B166" s="3"/>
      <c r="C166" s="3"/>
      <c r="AJ166" s="3"/>
      <c r="AK166" s="3"/>
      <c r="AL166" s="3"/>
      <c r="AM166" s="3"/>
      <c r="EO166" s="3"/>
      <c r="EP166" s="3"/>
      <c r="EQ166" s="3"/>
    </row>
    <row r="167" spans="1:147" x14ac:dyDescent="0.25">
      <c r="A167" s="3"/>
      <c r="B167" s="3"/>
      <c r="C167" s="3"/>
      <c r="AJ167" s="3"/>
      <c r="AK167" s="3"/>
      <c r="AL167" s="3"/>
      <c r="AM167" s="3"/>
      <c r="EO167" s="3"/>
      <c r="EP167" s="3"/>
      <c r="EQ167" s="3"/>
    </row>
    <row r="168" spans="1:147" x14ac:dyDescent="0.25">
      <c r="A168" s="3"/>
      <c r="B168" s="3"/>
      <c r="C168" s="3"/>
      <c r="AJ168" s="3"/>
      <c r="AK168" s="3"/>
      <c r="AL168" s="3"/>
      <c r="AM168" s="3"/>
      <c r="EO168" s="3"/>
      <c r="EP168" s="3"/>
      <c r="EQ168" s="3"/>
    </row>
    <row r="169" spans="1:147" x14ac:dyDescent="0.25">
      <c r="A169" s="3"/>
      <c r="B169" s="3"/>
      <c r="C169" s="3"/>
      <c r="AJ169" s="3"/>
      <c r="AK169" s="3"/>
      <c r="AL169" s="3"/>
      <c r="AM169" s="3"/>
      <c r="EO169" s="3"/>
      <c r="EP169" s="3"/>
      <c r="EQ169" s="3"/>
    </row>
    <row r="170" spans="1:147" x14ac:dyDescent="0.25">
      <c r="A170" s="3"/>
      <c r="B170" s="3"/>
      <c r="C170" s="3"/>
      <c r="AJ170" s="3"/>
      <c r="AK170" s="3"/>
      <c r="AL170" s="3"/>
      <c r="AM170" s="3"/>
      <c r="EO170" s="3"/>
      <c r="EP170" s="3"/>
      <c r="EQ170" s="3"/>
    </row>
    <row r="171" spans="1:147" x14ac:dyDescent="0.25">
      <c r="A171" s="3"/>
      <c r="B171" s="3"/>
      <c r="C171" s="3"/>
      <c r="AJ171" s="3"/>
      <c r="AK171" s="3"/>
      <c r="AL171" s="3"/>
      <c r="AM171" s="3"/>
      <c r="EO171" s="3"/>
      <c r="EP171" s="3"/>
      <c r="EQ171" s="3"/>
    </row>
    <row r="172" spans="1:147" x14ac:dyDescent="0.25">
      <c r="A172" s="3"/>
      <c r="B172" s="3"/>
      <c r="C172" s="3"/>
      <c r="AJ172" s="3"/>
      <c r="AK172" s="3"/>
      <c r="AL172" s="3"/>
      <c r="AM172" s="3"/>
      <c r="EO172" s="3"/>
      <c r="EP172" s="3"/>
      <c r="EQ172" s="3"/>
    </row>
    <row r="173" spans="1:147" x14ac:dyDescent="0.25">
      <c r="A173" s="3"/>
      <c r="B173" s="3"/>
      <c r="C173" s="3"/>
      <c r="AJ173" s="3"/>
      <c r="AK173" s="3"/>
      <c r="AL173" s="3"/>
      <c r="AM173" s="3"/>
      <c r="EO173" s="3"/>
      <c r="EP173" s="3"/>
      <c r="EQ173" s="3"/>
    </row>
    <row r="174" spans="1:147" x14ac:dyDescent="0.25">
      <c r="A174" s="3"/>
      <c r="B174" s="3"/>
      <c r="C174" s="3"/>
      <c r="AJ174" s="3"/>
      <c r="AK174" s="3"/>
      <c r="AL174" s="3"/>
      <c r="AM174" s="3"/>
      <c r="EO174" s="3"/>
      <c r="EP174" s="3"/>
      <c r="EQ174" s="3"/>
    </row>
    <row r="175" spans="1:147" x14ac:dyDescent="0.25">
      <c r="A175" s="3"/>
      <c r="B175" s="3"/>
      <c r="C175" s="3"/>
      <c r="AJ175" s="3"/>
      <c r="AK175" s="3"/>
      <c r="AL175" s="3"/>
      <c r="AM175" s="3"/>
      <c r="EO175" s="3"/>
      <c r="EP175" s="3"/>
      <c r="EQ175" s="3"/>
    </row>
    <row r="176" spans="1:147" x14ac:dyDescent="0.25">
      <c r="A176" s="3"/>
      <c r="B176" s="3"/>
      <c r="C176" s="3"/>
      <c r="AJ176" s="3"/>
      <c r="AK176" s="3"/>
      <c r="AL176" s="3"/>
      <c r="AM176" s="3"/>
      <c r="EO176" s="3"/>
      <c r="EP176" s="3"/>
      <c r="EQ176" s="3"/>
    </row>
    <row r="177" spans="1:147" x14ac:dyDescent="0.25">
      <c r="A177" s="3"/>
      <c r="B177" s="3"/>
      <c r="C177" s="3"/>
      <c r="AJ177" s="3"/>
      <c r="AK177" s="3"/>
      <c r="AL177" s="3"/>
      <c r="AM177" s="3"/>
      <c r="EO177" s="3"/>
      <c r="EP177" s="3"/>
      <c r="EQ177" s="3"/>
    </row>
    <row r="178" spans="1:147" x14ac:dyDescent="0.25">
      <c r="A178" s="3"/>
      <c r="B178" s="3"/>
      <c r="C178" s="3"/>
      <c r="AJ178" s="3"/>
      <c r="AK178" s="3"/>
      <c r="AL178" s="3"/>
      <c r="AM178" s="3"/>
      <c r="EO178" s="3"/>
      <c r="EP178" s="3"/>
      <c r="EQ178" s="3"/>
    </row>
    <row r="179" spans="1:147" x14ac:dyDescent="0.25">
      <c r="A179" s="3"/>
      <c r="B179" s="3"/>
      <c r="C179" s="3"/>
      <c r="AJ179" s="3"/>
      <c r="AK179" s="3"/>
      <c r="AL179" s="3"/>
      <c r="AM179" s="3"/>
      <c r="EO179" s="3"/>
      <c r="EP179" s="3"/>
      <c r="EQ179" s="3"/>
    </row>
    <row r="180" spans="1:147" x14ac:dyDescent="0.25">
      <c r="A180" s="3"/>
      <c r="B180" s="3"/>
      <c r="C180" s="3"/>
      <c r="AJ180" s="3"/>
      <c r="AK180" s="3"/>
      <c r="AL180" s="3"/>
      <c r="AM180" s="3"/>
      <c r="EO180" s="3"/>
      <c r="EP180" s="3"/>
      <c r="EQ180" s="3"/>
    </row>
    <row r="181" spans="1:147" x14ac:dyDescent="0.25">
      <c r="A181" s="3"/>
      <c r="B181" s="3"/>
      <c r="C181" s="3"/>
      <c r="AJ181" s="3"/>
      <c r="AK181" s="3"/>
      <c r="AL181" s="3"/>
      <c r="AM181" s="3"/>
      <c r="EO181" s="3"/>
      <c r="EP181" s="3"/>
      <c r="EQ181" s="3"/>
    </row>
    <row r="182" spans="1:147" x14ac:dyDescent="0.25">
      <c r="A182" s="3"/>
      <c r="B182" s="3"/>
      <c r="C182" s="3"/>
      <c r="AJ182" s="3"/>
      <c r="AK182" s="3"/>
      <c r="AL182" s="3"/>
      <c r="AM182" s="3"/>
      <c r="EO182" s="3"/>
      <c r="EP182" s="3"/>
      <c r="EQ182" s="3"/>
    </row>
    <row r="183" spans="1:147" x14ac:dyDescent="0.25">
      <c r="A183" s="3"/>
      <c r="B183" s="3"/>
      <c r="C183" s="3"/>
      <c r="AJ183" s="3"/>
      <c r="AK183" s="3"/>
      <c r="AL183" s="3"/>
      <c r="AM183" s="3"/>
      <c r="EO183" s="3"/>
      <c r="EP183" s="3"/>
      <c r="EQ183" s="3"/>
    </row>
    <row r="184" spans="1:147" x14ac:dyDescent="0.25">
      <c r="A184" s="3"/>
      <c r="B184" s="3"/>
      <c r="C184" s="3"/>
      <c r="AJ184" s="3"/>
      <c r="AK184" s="3"/>
      <c r="AL184" s="3"/>
      <c r="AM184" s="3"/>
      <c r="EO184" s="3"/>
      <c r="EP184" s="3"/>
      <c r="EQ184" s="3"/>
    </row>
    <row r="185" spans="1:147" x14ac:dyDescent="0.25">
      <c r="A185" s="3"/>
      <c r="B185" s="3"/>
      <c r="C185" s="3"/>
      <c r="AJ185" s="3"/>
      <c r="AK185" s="3"/>
      <c r="AL185" s="3"/>
      <c r="AM185" s="3"/>
      <c r="EO185" s="3"/>
      <c r="EP185" s="3"/>
      <c r="EQ185" s="3"/>
    </row>
    <row r="186" spans="1:147" x14ac:dyDescent="0.25">
      <c r="A186" s="3"/>
      <c r="B186" s="3"/>
      <c r="C186" s="3"/>
      <c r="AJ186" s="3"/>
      <c r="AK186" s="3"/>
      <c r="AL186" s="3"/>
      <c r="AM186" s="3"/>
      <c r="EO186" s="3"/>
      <c r="EP186" s="3"/>
      <c r="EQ186" s="3"/>
    </row>
    <row r="187" spans="1:147" x14ac:dyDescent="0.25">
      <c r="A187" s="3"/>
      <c r="B187" s="3"/>
      <c r="C187" s="3"/>
      <c r="AJ187" s="3"/>
      <c r="AK187" s="3"/>
      <c r="AL187" s="3"/>
      <c r="AM187" s="3"/>
      <c r="EO187" s="3"/>
      <c r="EP187" s="3"/>
      <c r="EQ187" s="3"/>
    </row>
    <row r="188" spans="1:147" x14ac:dyDescent="0.25">
      <c r="A188" s="3"/>
      <c r="B188" s="3"/>
      <c r="C188" s="3"/>
      <c r="AJ188" s="3"/>
      <c r="AK188" s="3"/>
      <c r="AL188" s="3"/>
      <c r="AM188" s="3"/>
      <c r="EO188" s="3"/>
      <c r="EP188" s="3"/>
      <c r="EQ188" s="3"/>
    </row>
    <row r="189" spans="1:147" x14ac:dyDescent="0.25">
      <c r="A189" s="3"/>
      <c r="B189" s="3"/>
      <c r="C189" s="3"/>
      <c r="AJ189" s="3"/>
      <c r="AK189" s="3"/>
      <c r="AL189" s="3"/>
      <c r="AM189" s="3"/>
      <c r="EO189" s="3"/>
      <c r="EP189" s="3"/>
      <c r="EQ189" s="3"/>
    </row>
    <row r="190" spans="1:147" x14ac:dyDescent="0.25">
      <c r="A190" s="3"/>
      <c r="B190" s="3"/>
      <c r="C190" s="3"/>
      <c r="AJ190" s="3"/>
      <c r="AK190" s="3"/>
      <c r="AL190" s="3"/>
      <c r="AM190" s="3"/>
      <c r="EO190" s="3"/>
      <c r="EP190" s="3"/>
      <c r="EQ190" s="3"/>
    </row>
    <row r="191" spans="1:147" x14ac:dyDescent="0.25">
      <c r="A191" s="3"/>
      <c r="B191" s="3"/>
      <c r="C191" s="3"/>
      <c r="AJ191" s="3"/>
      <c r="AK191" s="3"/>
      <c r="AL191" s="3"/>
      <c r="AM191" s="3"/>
      <c r="EO191" s="3"/>
      <c r="EP191" s="3"/>
      <c r="EQ191" s="3"/>
    </row>
    <row r="192" spans="1:147" x14ac:dyDescent="0.25">
      <c r="A192" s="3"/>
      <c r="B192" s="3"/>
      <c r="C192" s="3"/>
      <c r="AJ192" s="3"/>
      <c r="AK192" s="3"/>
      <c r="AL192" s="3"/>
      <c r="AM192" s="3"/>
      <c r="EO192" s="3"/>
      <c r="EP192" s="3"/>
      <c r="EQ192" s="3"/>
    </row>
    <row r="193" spans="1:147" x14ac:dyDescent="0.25">
      <c r="A193" s="3"/>
      <c r="B193" s="3"/>
      <c r="C193" s="3"/>
      <c r="AJ193" s="3"/>
      <c r="AK193" s="3"/>
      <c r="AL193" s="3"/>
      <c r="AM193" s="3"/>
      <c r="EO193" s="3"/>
      <c r="EP193" s="3"/>
      <c r="EQ193" s="3"/>
    </row>
    <row r="194" spans="1:147" x14ac:dyDescent="0.25">
      <c r="A194" s="3"/>
      <c r="B194" s="3"/>
      <c r="C194" s="3"/>
      <c r="AJ194" s="3"/>
      <c r="AK194" s="3"/>
      <c r="AL194" s="3"/>
      <c r="AM194" s="3"/>
      <c r="EO194" s="3"/>
      <c r="EP194" s="3"/>
      <c r="EQ194" s="3"/>
    </row>
    <row r="195" spans="1:147" x14ac:dyDescent="0.25">
      <c r="A195" s="3"/>
      <c r="B195" s="3"/>
      <c r="C195" s="3"/>
      <c r="AJ195" s="3"/>
      <c r="AK195" s="3"/>
      <c r="AL195" s="3"/>
      <c r="AM195" s="3"/>
      <c r="EO195" s="3"/>
      <c r="EP195" s="3"/>
      <c r="EQ195" s="3"/>
    </row>
    <row r="196" spans="1:147" x14ac:dyDescent="0.25">
      <c r="A196" s="3"/>
      <c r="B196" s="3"/>
      <c r="C196" s="3"/>
      <c r="AJ196" s="3"/>
      <c r="AK196" s="3"/>
      <c r="AL196" s="3"/>
      <c r="AM196" s="3"/>
      <c r="EO196" s="3"/>
      <c r="EP196" s="3"/>
      <c r="EQ196" s="3"/>
    </row>
    <row r="197" spans="1:147" x14ac:dyDescent="0.25">
      <c r="A197" s="3"/>
      <c r="B197" s="3"/>
      <c r="C197" s="3"/>
      <c r="AJ197" s="3"/>
      <c r="AK197" s="3"/>
      <c r="AL197" s="3"/>
      <c r="AM197" s="3"/>
      <c r="EO197" s="3"/>
      <c r="EP197" s="3"/>
      <c r="EQ197" s="3"/>
    </row>
    <row r="198" spans="1:147" x14ac:dyDescent="0.25">
      <c r="A198" s="3"/>
      <c r="B198" s="3"/>
      <c r="C198" s="3"/>
      <c r="AJ198" s="3"/>
      <c r="AK198" s="3"/>
      <c r="AL198" s="3"/>
      <c r="AM198" s="3"/>
      <c r="EO198" s="3"/>
      <c r="EP198" s="3"/>
      <c r="EQ198" s="3"/>
    </row>
    <row r="199" spans="1:147" x14ac:dyDescent="0.25">
      <c r="A199" s="3"/>
      <c r="B199" s="3"/>
      <c r="C199" s="3"/>
      <c r="AJ199" s="3"/>
      <c r="AK199" s="3"/>
      <c r="AL199" s="3"/>
      <c r="AM199" s="3"/>
      <c r="EO199" s="3"/>
      <c r="EP199" s="3"/>
      <c r="EQ199" s="3"/>
    </row>
    <row r="200" spans="1:147" x14ac:dyDescent="0.25">
      <c r="A200" s="3"/>
      <c r="B200" s="3"/>
      <c r="C200" s="3"/>
      <c r="AJ200" s="3"/>
      <c r="AK200" s="3"/>
      <c r="AL200" s="3"/>
      <c r="AM200" s="3"/>
      <c r="EO200" s="3"/>
      <c r="EP200" s="3"/>
      <c r="EQ200" s="3"/>
    </row>
    <row r="201" spans="1:147" x14ac:dyDescent="0.25">
      <c r="A201" s="3"/>
      <c r="B201" s="3"/>
      <c r="C201" s="3"/>
      <c r="AJ201" s="3"/>
      <c r="AK201" s="3"/>
      <c r="AL201" s="3"/>
      <c r="AM201" s="3"/>
      <c r="EO201" s="3"/>
      <c r="EP201" s="3"/>
      <c r="EQ201" s="3"/>
    </row>
    <row r="202" spans="1:147" x14ac:dyDescent="0.25">
      <c r="A202" s="3"/>
      <c r="B202" s="3"/>
      <c r="C202" s="3"/>
      <c r="AJ202" s="3"/>
      <c r="AK202" s="3"/>
      <c r="AL202" s="3"/>
      <c r="AM202" s="3"/>
      <c r="EO202" s="3"/>
      <c r="EP202" s="3"/>
      <c r="EQ202" s="3"/>
    </row>
    <row r="203" spans="1:147" x14ac:dyDescent="0.25">
      <c r="A203" s="3"/>
      <c r="B203" s="3"/>
      <c r="C203" s="3"/>
      <c r="AJ203" s="3"/>
      <c r="AK203" s="3"/>
      <c r="AL203" s="3"/>
      <c r="AM203" s="3"/>
      <c r="EO203" s="3"/>
      <c r="EP203" s="3"/>
      <c r="EQ203" s="3"/>
    </row>
    <row r="204" spans="1:147" x14ac:dyDescent="0.25">
      <c r="A204" s="3"/>
      <c r="B204" s="3"/>
      <c r="C204" s="3"/>
      <c r="AJ204" s="3"/>
      <c r="AK204" s="3"/>
      <c r="AL204" s="3"/>
      <c r="AM204" s="3"/>
      <c r="EO204" s="3"/>
      <c r="EP204" s="3"/>
      <c r="EQ204" s="3"/>
    </row>
    <row r="205" spans="1:147" x14ac:dyDescent="0.25">
      <c r="A205" s="3"/>
      <c r="B205" s="3"/>
      <c r="C205" s="3"/>
      <c r="AJ205" s="3"/>
      <c r="AK205" s="3"/>
      <c r="AL205" s="3"/>
      <c r="AM205" s="3"/>
      <c r="EO205" s="3"/>
      <c r="EP205" s="3"/>
      <c r="EQ205" s="3"/>
    </row>
    <row r="206" spans="1:147" x14ac:dyDescent="0.25">
      <c r="A206" s="3"/>
      <c r="B206" s="3"/>
      <c r="C206" s="3"/>
      <c r="AJ206" s="3"/>
      <c r="AK206" s="3"/>
      <c r="AL206" s="3"/>
      <c r="AM206" s="3"/>
      <c r="EO206" s="3"/>
      <c r="EP206" s="3"/>
      <c r="EQ206" s="3"/>
    </row>
    <row r="207" spans="1:147" x14ac:dyDescent="0.25">
      <c r="A207" s="3"/>
      <c r="B207" s="3"/>
      <c r="C207" s="3"/>
      <c r="AJ207" s="3"/>
      <c r="AK207" s="3"/>
      <c r="AL207" s="3"/>
      <c r="AM207" s="3"/>
      <c r="EO207" s="3"/>
      <c r="EP207" s="3"/>
      <c r="EQ207" s="3"/>
    </row>
    <row r="208" spans="1:147" x14ac:dyDescent="0.25">
      <c r="A208" s="3"/>
      <c r="B208" s="3"/>
      <c r="C208" s="3"/>
      <c r="AJ208" s="3"/>
      <c r="AK208" s="3"/>
      <c r="AL208" s="3"/>
      <c r="AM208" s="3"/>
      <c r="EO208" s="3"/>
      <c r="EP208" s="3"/>
      <c r="EQ208" s="3"/>
    </row>
    <row r="209" spans="1:147" x14ac:dyDescent="0.25">
      <c r="A209" s="3"/>
      <c r="B209" s="3"/>
      <c r="C209" s="3"/>
      <c r="AJ209" s="3"/>
      <c r="AK209" s="3"/>
      <c r="AL209" s="3"/>
      <c r="AM209" s="3"/>
      <c r="EO209" s="3"/>
      <c r="EP209" s="3"/>
      <c r="EQ209" s="3"/>
    </row>
    <row r="210" spans="1:147" x14ac:dyDescent="0.25">
      <c r="A210" s="3"/>
      <c r="B210" s="3"/>
      <c r="C210" s="3"/>
      <c r="AJ210" s="3"/>
      <c r="AK210" s="3"/>
      <c r="AL210" s="3"/>
      <c r="AM210" s="3"/>
      <c r="EO210" s="3"/>
      <c r="EP210" s="3"/>
      <c r="EQ210" s="3"/>
    </row>
    <row r="211" spans="1:147" x14ac:dyDescent="0.25">
      <c r="A211" s="3"/>
      <c r="B211" s="3"/>
      <c r="C211" s="3"/>
      <c r="AJ211" s="3"/>
      <c r="AK211" s="3"/>
      <c r="AL211" s="3"/>
      <c r="AM211" s="3"/>
      <c r="EO211" s="3"/>
      <c r="EP211" s="3"/>
      <c r="EQ211" s="3"/>
    </row>
    <row r="212" spans="1:147" x14ac:dyDescent="0.25">
      <c r="A212" s="3"/>
      <c r="B212" s="3"/>
      <c r="C212" s="3"/>
      <c r="AJ212" s="3"/>
      <c r="AK212" s="3"/>
      <c r="AL212" s="3"/>
      <c r="AM212" s="3"/>
      <c r="EO212" s="3"/>
      <c r="EP212" s="3"/>
      <c r="EQ212" s="3"/>
    </row>
    <row r="213" spans="1:147" x14ac:dyDescent="0.25">
      <c r="A213" s="3"/>
      <c r="B213" s="3"/>
      <c r="C213" s="3"/>
      <c r="AJ213" s="3"/>
      <c r="AK213" s="3"/>
      <c r="AL213" s="3"/>
      <c r="AM213" s="3"/>
      <c r="EO213" s="3"/>
      <c r="EP213" s="3"/>
      <c r="EQ213" s="3"/>
    </row>
    <row r="214" spans="1:147" x14ac:dyDescent="0.25">
      <c r="A214" s="3"/>
      <c r="B214" s="3"/>
      <c r="C214" s="3"/>
      <c r="AJ214" s="3"/>
      <c r="AK214" s="3"/>
      <c r="AL214" s="3"/>
      <c r="AM214" s="3"/>
      <c r="EO214" s="3"/>
      <c r="EP214" s="3"/>
      <c r="EQ214" s="3"/>
    </row>
    <row r="215" spans="1:147" x14ac:dyDescent="0.25">
      <c r="A215" s="3"/>
      <c r="B215" s="3"/>
      <c r="C215" s="3"/>
      <c r="AJ215" s="3"/>
      <c r="AK215" s="3"/>
      <c r="AL215" s="3"/>
      <c r="AM215" s="3"/>
      <c r="EO215" s="3"/>
      <c r="EP215" s="3"/>
      <c r="EQ215" s="3"/>
    </row>
    <row r="216" spans="1:147" x14ac:dyDescent="0.25">
      <c r="A216" s="3"/>
      <c r="B216" s="3"/>
      <c r="C216" s="3"/>
      <c r="AJ216" s="3"/>
      <c r="AK216" s="3"/>
      <c r="AL216" s="3"/>
      <c r="AM216" s="3"/>
      <c r="EO216" s="3"/>
      <c r="EP216" s="3"/>
      <c r="EQ216" s="3"/>
    </row>
    <row r="217" spans="1:147" x14ac:dyDescent="0.25">
      <c r="A217" s="3"/>
      <c r="B217" s="3"/>
      <c r="C217" s="3"/>
      <c r="AJ217" s="3"/>
      <c r="AK217" s="3"/>
      <c r="AL217" s="3"/>
      <c r="AM217" s="3"/>
      <c r="EO217" s="3"/>
      <c r="EP217" s="3"/>
      <c r="EQ217" s="3"/>
    </row>
    <row r="218" spans="1:147" x14ac:dyDescent="0.25">
      <c r="A218" s="3"/>
      <c r="B218" s="3"/>
      <c r="C218" s="3"/>
      <c r="AJ218" s="3"/>
      <c r="AK218" s="3"/>
      <c r="AL218" s="3"/>
      <c r="AM218" s="3"/>
      <c r="EO218" s="3"/>
      <c r="EP218" s="3"/>
      <c r="EQ218" s="3"/>
    </row>
    <row r="219" spans="1:147" x14ac:dyDescent="0.25">
      <c r="A219" s="3"/>
      <c r="B219" s="3"/>
      <c r="C219" s="3"/>
      <c r="AJ219" s="3"/>
      <c r="AK219" s="3"/>
      <c r="AL219" s="3"/>
      <c r="AM219" s="3"/>
      <c r="EO219" s="3"/>
      <c r="EP219" s="3"/>
      <c r="EQ219" s="3"/>
    </row>
    <row r="220" spans="1:147" x14ac:dyDescent="0.25">
      <c r="A220" s="3"/>
      <c r="B220" s="3"/>
      <c r="C220" s="3"/>
    </row>
    <row r="221" spans="1:147" x14ac:dyDescent="0.25">
      <c r="A221" s="3"/>
      <c r="B221" s="3"/>
      <c r="C221" s="3"/>
    </row>
    <row r="222" spans="1:147" x14ac:dyDescent="0.25">
      <c r="A222" s="3"/>
      <c r="B222" s="3"/>
      <c r="C222" s="3"/>
    </row>
    <row r="223" spans="1:147" x14ac:dyDescent="0.25">
      <c r="A223" s="3"/>
      <c r="B223" s="3"/>
      <c r="C223" s="3"/>
    </row>
    <row r="224" spans="1:147" x14ac:dyDescent="0.25">
      <c r="A224" s="3"/>
      <c r="B224" s="3"/>
      <c r="C224" s="3"/>
    </row>
    <row r="225" spans="1:147" x14ac:dyDescent="0.25">
      <c r="A225" s="3"/>
      <c r="B225" s="3"/>
      <c r="C225" s="3"/>
    </row>
    <row r="226" spans="1:147" x14ac:dyDescent="0.25">
      <c r="A226" s="3"/>
      <c r="B226" s="3"/>
      <c r="C226" s="3"/>
      <c r="E226" s="3"/>
      <c r="AJ226" s="3"/>
      <c r="AK226" s="3"/>
      <c r="AL226" s="3"/>
      <c r="AM226" s="3"/>
      <c r="EO226" s="3"/>
      <c r="EP226" s="3"/>
      <c r="EQ226" s="3"/>
    </row>
    <row r="227" spans="1:147" x14ac:dyDescent="0.25">
      <c r="A227" s="3"/>
      <c r="B227" s="3"/>
      <c r="C227" s="3"/>
      <c r="E227" s="3"/>
      <c r="AJ227" s="3"/>
      <c r="AK227" s="3"/>
      <c r="AL227" s="3"/>
      <c r="AM227" s="3"/>
      <c r="EO227" s="3"/>
      <c r="EP227" s="3"/>
      <c r="EQ227" s="3"/>
    </row>
    <row r="228" spans="1:147" x14ac:dyDescent="0.25">
      <c r="A228" s="3"/>
      <c r="B228" s="3"/>
      <c r="C228" s="3"/>
      <c r="E228" s="3"/>
      <c r="AJ228" s="3"/>
      <c r="AK228" s="3"/>
      <c r="AL228" s="3"/>
      <c r="AM228" s="3"/>
      <c r="EO228" s="3"/>
      <c r="EP228" s="3"/>
      <c r="EQ228" s="3"/>
    </row>
    <row r="229" spans="1:147" x14ac:dyDescent="0.25">
      <c r="A229" s="3"/>
      <c r="B229" s="3"/>
      <c r="C229" s="3"/>
      <c r="E229" s="3"/>
      <c r="AJ229" s="3"/>
      <c r="AK229" s="3"/>
      <c r="AL229" s="3"/>
      <c r="AM229" s="3"/>
      <c r="EO229" s="3"/>
      <c r="EP229" s="3"/>
      <c r="EQ229" s="3"/>
    </row>
    <row r="230" spans="1:147" x14ac:dyDescent="0.25">
      <c r="A230" s="3"/>
      <c r="B230" s="3"/>
      <c r="C230" s="3"/>
      <c r="E230" s="3"/>
      <c r="AJ230" s="3"/>
      <c r="AK230" s="3"/>
      <c r="AL230" s="3"/>
      <c r="AM230" s="3"/>
      <c r="EO230" s="3"/>
      <c r="EP230" s="3"/>
      <c r="EQ230" s="3"/>
    </row>
    <row r="231" spans="1:147" x14ac:dyDescent="0.25">
      <c r="A231" s="3"/>
      <c r="B231" s="3"/>
      <c r="C231" s="3"/>
      <c r="E231" s="3"/>
      <c r="AJ231" s="3"/>
      <c r="AK231" s="3"/>
      <c r="AL231" s="3"/>
      <c r="AM231" s="3"/>
      <c r="EO231" s="3"/>
      <c r="EP231" s="3"/>
      <c r="EQ231" s="3"/>
    </row>
    <row r="232" spans="1:147" x14ac:dyDescent="0.25">
      <c r="A232" s="3"/>
      <c r="B232" s="3"/>
      <c r="C232" s="3"/>
      <c r="E232" s="3"/>
      <c r="AJ232" s="3"/>
      <c r="AK232" s="3"/>
      <c r="AL232" s="3"/>
      <c r="AM232" s="3"/>
      <c r="EO232" s="3"/>
      <c r="EP232" s="3"/>
      <c r="EQ232" s="3"/>
    </row>
    <row r="233" spans="1:147" x14ac:dyDescent="0.25">
      <c r="A233" s="3"/>
      <c r="B233" s="3"/>
      <c r="C233" s="3"/>
      <c r="E233" s="3"/>
      <c r="AJ233" s="3"/>
      <c r="AK233" s="3"/>
      <c r="AL233" s="3"/>
      <c r="AM233" s="3"/>
      <c r="EO233" s="3"/>
      <c r="EP233" s="3"/>
      <c r="EQ233" s="3"/>
    </row>
    <row r="234" spans="1:147" x14ac:dyDescent="0.25">
      <c r="A234" s="3"/>
      <c r="B234" s="3"/>
      <c r="C234" s="3"/>
      <c r="E234" s="3"/>
      <c r="AJ234" s="3"/>
      <c r="AK234" s="3"/>
      <c r="AL234" s="3"/>
      <c r="AM234" s="3"/>
      <c r="EO234" s="3"/>
      <c r="EP234" s="3"/>
      <c r="EQ234" s="3"/>
    </row>
    <row r="235" spans="1:147" x14ac:dyDescent="0.25">
      <c r="A235" s="3"/>
      <c r="B235" s="3"/>
      <c r="C235" s="3"/>
      <c r="E235" s="3"/>
      <c r="AJ235" s="3"/>
      <c r="AK235" s="3"/>
      <c r="AL235" s="3"/>
      <c r="AM235" s="3"/>
      <c r="EO235" s="3"/>
      <c r="EP235" s="3"/>
      <c r="EQ235" s="3"/>
    </row>
    <row r="236" spans="1:147" x14ac:dyDescent="0.25">
      <c r="A236" s="3"/>
      <c r="B236" s="3"/>
      <c r="C236" s="3"/>
      <c r="E236" s="3"/>
      <c r="AJ236" s="3"/>
      <c r="AK236" s="3"/>
      <c r="AL236" s="3"/>
      <c r="AM236" s="3"/>
      <c r="EO236" s="3"/>
      <c r="EP236" s="3"/>
      <c r="EQ236" s="3"/>
    </row>
    <row r="237" spans="1:147" x14ac:dyDescent="0.25">
      <c r="A237" s="3"/>
      <c r="B237" s="3"/>
      <c r="C237" s="3"/>
      <c r="E237" s="3"/>
      <c r="AJ237" s="3"/>
      <c r="AK237" s="3"/>
      <c r="AL237" s="3"/>
      <c r="AM237" s="3"/>
      <c r="EO237" s="3"/>
      <c r="EP237" s="3"/>
      <c r="EQ237" s="3"/>
    </row>
    <row r="238" spans="1:147" x14ac:dyDescent="0.25">
      <c r="A238" s="3"/>
      <c r="B238" s="3"/>
      <c r="C238" s="3"/>
      <c r="E238" s="3"/>
      <c r="AJ238" s="3"/>
      <c r="AK238" s="3"/>
      <c r="AL238" s="3"/>
      <c r="AM238" s="3"/>
      <c r="EO238" s="3"/>
      <c r="EP238" s="3"/>
      <c r="EQ238" s="3"/>
    </row>
    <row r="239" spans="1:147" x14ac:dyDescent="0.25">
      <c r="A239" s="3"/>
      <c r="B239" s="3"/>
      <c r="C239" s="3"/>
      <c r="E239" s="3"/>
      <c r="AJ239" s="3"/>
      <c r="AK239" s="3"/>
      <c r="AL239" s="3"/>
      <c r="AM239" s="3"/>
      <c r="EO239" s="3"/>
      <c r="EP239" s="3"/>
      <c r="EQ239" s="3"/>
    </row>
    <row r="240" spans="1:147" x14ac:dyDescent="0.25">
      <c r="A240" s="3"/>
      <c r="B240" s="3"/>
      <c r="C240" s="3"/>
      <c r="E240" s="3"/>
      <c r="AJ240" s="3"/>
      <c r="AK240" s="3"/>
      <c r="AL240" s="3"/>
      <c r="AM240" s="3"/>
      <c r="EO240" s="3"/>
      <c r="EP240" s="3"/>
      <c r="EQ240" s="3"/>
    </row>
    <row r="241" spans="1:147" x14ac:dyDescent="0.25">
      <c r="A241" s="3"/>
      <c r="B241" s="3"/>
      <c r="C241" s="3"/>
      <c r="E241" s="3"/>
      <c r="AJ241" s="3"/>
      <c r="AK241" s="3"/>
      <c r="AL241" s="3"/>
      <c r="AM241" s="3"/>
      <c r="EO241" s="3"/>
      <c r="EP241" s="3"/>
      <c r="EQ241" s="3"/>
    </row>
    <row r="242" spans="1:147" x14ac:dyDescent="0.25">
      <c r="A242" s="3"/>
      <c r="B242" s="3"/>
      <c r="C242" s="3"/>
      <c r="E242" s="3"/>
      <c r="AJ242" s="3"/>
      <c r="AK242" s="3"/>
      <c r="AL242" s="3"/>
      <c r="AM242" s="3"/>
      <c r="EO242" s="3"/>
      <c r="EP242" s="3"/>
      <c r="EQ242" s="3"/>
    </row>
    <row r="243" spans="1:147" x14ac:dyDescent="0.25">
      <c r="A243" s="3"/>
      <c r="B243" s="3"/>
      <c r="C243" s="3"/>
      <c r="E243" s="3"/>
      <c r="AJ243" s="3"/>
      <c r="AK243" s="3"/>
      <c r="AL243" s="3"/>
      <c r="AM243" s="3"/>
      <c r="EO243" s="3"/>
      <c r="EP243" s="3"/>
      <c r="EQ243" s="3"/>
    </row>
    <row r="244" spans="1:147" x14ac:dyDescent="0.25">
      <c r="A244" s="3"/>
      <c r="B244" s="3"/>
      <c r="C244" s="3"/>
      <c r="E244" s="3"/>
      <c r="AJ244" s="3"/>
      <c r="AK244" s="3"/>
      <c r="AL244" s="3"/>
      <c r="AM244" s="3"/>
      <c r="EO244" s="3"/>
      <c r="EP244" s="3"/>
      <c r="EQ244" s="3"/>
    </row>
    <row r="245" spans="1:147" x14ac:dyDescent="0.25">
      <c r="A245" s="3"/>
      <c r="B245" s="3"/>
      <c r="C245" s="3"/>
      <c r="E245" s="3"/>
      <c r="AJ245" s="3"/>
      <c r="AK245" s="3"/>
      <c r="AL245" s="3"/>
      <c r="AM245" s="3"/>
      <c r="EO245" s="3"/>
      <c r="EP245" s="3"/>
      <c r="EQ245" s="3"/>
    </row>
    <row r="246" spans="1:147" x14ac:dyDescent="0.25">
      <c r="A246" s="3"/>
      <c r="B246" s="3"/>
      <c r="C246" s="3"/>
      <c r="E246" s="3"/>
      <c r="AJ246" s="3"/>
      <c r="AK246" s="3"/>
      <c r="AL246" s="3"/>
      <c r="AM246" s="3"/>
      <c r="EO246" s="3"/>
      <c r="EP246" s="3"/>
      <c r="EQ246" s="3"/>
    </row>
    <row r="247" spans="1:147" x14ac:dyDescent="0.25">
      <c r="A247" s="3"/>
      <c r="B247" s="3"/>
      <c r="C247" s="3"/>
      <c r="E247" s="3"/>
      <c r="AJ247" s="3"/>
      <c r="AK247" s="3"/>
      <c r="AL247" s="3"/>
      <c r="AM247" s="3"/>
      <c r="EO247" s="3"/>
      <c r="EP247" s="3"/>
      <c r="EQ247" s="3"/>
    </row>
    <row r="248" spans="1:147" x14ac:dyDescent="0.25">
      <c r="A248" s="3"/>
      <c r="B248" s="3"/>
      <c r="C248" s="3"/>
      <c r="E248" s="3"/>
      <c r="AJ248" s="3"/>
      <c r="AK248" s="3"/>
      <c r="AL248" s="3"/>
      <c r="AM248" s="3"/>
      <c r="EO248" s="3"/>
      <c r="EP248" s="3"/>
      <c r="EQ248" s="3"/>
    </row>
    <row r="249" spans="1:147" x14ac:dyDescent="0.25">
      <c r="A249" s="3"/>
      <c r="B249" s="3"/>
      <c r="C249" s="3"/>
      <c r="E249" s="3"/>
      <c r="AJ249" s="3"/>
      <c r="AK249" s="3"/>
      <c r="AL249" s="3"/>
      <c r="AM249" s="3"/>
      <c r="EO249" s="3"/>
      <c r="EP249" s="3"/>
      <c r="EQ249" s="3"/>
    </row>
    <row r="250" spans="1:147" x14ac:dyDescent="0.25">
      <c r="A250" s="3"/>
      <c r="B250" s="3"/>
      <c r="C250" s="3"/>
      <c r="E250" s="3"/>
      <c r="AJ250" s="3"/>
      <c r="AK250" s="3"/>
      <c r="AL250" s="3"/>
      <c r="AM250" s="3"/>
      <c r="EO250" s="3"/>
      <c r="EP250" s="3"/>
      <c r="EQ250" s="3"/>
    </row>
    <row r="251" spans="1:147" x14ac:dyDescent="0.25">
      <c r="A251" s="3"/>
      <c r="B251" s="3"/>
      <c r="C251" s="3"/>
      <c r="E251" s="3"/>
      <c r="AJ251" s="3"/>
      <c r="AK251" s="3"/>
      <c r="AL251" s="3"/>
      <c r="AM251" s="3"/>
      <c r="EO251" s="3"/>
      <c r="EP251" s="3"/>
      <c r="EQ251" s="3"/>
    </row>
    <row r="252" spans="1:147" x14ac:dyDescent="0.25">
      <c r="A252" s="3"/>
      <c r="B252" s="3"/>
      <c r="C252" s="3"/>
      <c r="E252" s="3"/>
      <c r="AJ252" s="3"/>
      <c r="AK252" s="3"/>
      <c r="AL252" s="3"/>
      <c r="AM252" s="3"/>
      <c r="EO252" s="3"/>
      <c r="EP252" s="3"/>
      <c r="EQ252" s="3"/>
    </row>
    <row r="253" spans="1:147" x14ac:dyDescent="0.25">
      <c r="A253" s="3"/>
      <c r="B253" s="3"/>
      <c r="C253" s="3"/>
      <c r="E253" s="3"/>
      <c r="AJ253" s="3"/>
      <c r="AK253" s="3"/>
      <c r="AL253" s="3"/>
      <c r="AM253" s="3"/>
      <c r="EO253" s="3"/>
      <c r="EP253" s="3"/>
      <c r="EQ253" s="3"/>
    </row>
    <row r="254" spans="1:147" x14ac:dyDescent="0.25">
      <c r="A254" s="3"/>
      <c r="B254" s="3"/>
      <c r="C254" s="3"/>
      <c r="E254" s="3"/>
      <c r="AJ254" s="3"/>
      <c r="AK254" s="3"/>
      <c r="AL254" s="3"/>
      <c r="AM254" s="3"/>
      <c r="EO254" s="3"/>
      <c r="EP254" s="3"/>
      <c r="EQ254" s="3"/>
    </row>
    <row r="255" spans="1:147" x14ac:dyDescent="0.25">
      <c r="A255" s="3"/>
      <c r="B255" s="3"/>
      <c r="C255" s="3"/>
      <c r="E255" s="3"/>
      <c r="AJ255" s="3"/>
      <c r="AK255" s="3"/>
      <c r="AL255" s="3"/>
      <c r="AM255" s="3"/>
      <c r="EO255" s="3"/>
      <c r="EP255" s="3"/>
      <c r="EQ255" s="3"/>
    </row>
    <row r="256" spans="1:147" x14ac:dyDescent="0.25">
      <c r="A256" s="3"/>
      <c r="B256" s="3"/>
      <c r="C256" s="3"/>
      <c r="E256" s="3"/>
      <c r="AJ256" s="3"/>
      <c r="AK256" s="3"/>
      <c r="AL256" s="3"/>
      <c r="AM256" s="3"/>
      <c r="EO256" s="3"/>
      <c r="EP256" s="3"/>
      <c r="EQ256" s="3"/>
    </row>
    <row r="257" spans="1:147" x14ac:dyDescent="0.25">
      <c r="A257" s="3"/>
      <c r="B257" s="3"/>
      <c r="C257" s="3"/>
      <c r="E257" s="3"/>
      <c r="AJ257" s="3"/>
      <c r="AK257" s="3"/>
      <c r="AL257" s="3"/>
      <c r="AM257" s="3"/>
      <c r="EO257" s="3"/>
      <c r="EP257" s="3"/>
      <c r="EQ257" s="3"/>
    </row>
    <row r="258" spans="1:147" x14ac:dyDescent="0.25">
      <c r="A258" s="3"/>
      <c r="B258" s="3"/>
      <c r="C258" s="3"/>
      <c r="E258" s="3"/>
      <c r="AJ258" s="3"/>
      <c r="AK258" s="3"/>
      <c r="AL258" s="3"/>
      <c r="AM258" s="3"/>
      <c r="EO258" s="3"/>
      <c r="EP258" s="3"/>
      <c r="EQ258" s="3"/>
    </row>
    <row r="259" spans="1:147" x14ac:dyDescent="0.25">
      <c r="A259" s="3"/>
      <c r="B259" s="3"/>
      <c r="C259" s="3"/>
      <c r="E259" s="3"/>
      <c r="AJ259" s="3"/>
      <c r="AK259" s="3"/>
      <c r="AL259" s="3"/>
      <c r="AM259" s="3"/>
      <c r="EO259" s="3"/>
      <c r="EP259" s="3"/>
      <c r="EQ259" s="3"/>
    </row>
    <row r="260" spans="1:147" x14ac:dyDescent="0.25">
      <c r="A260" s="3"/>
      <c r="B260" s="3"/>
      <c r="C260" s="3"/>
      <c r="E260" s="3"/>
      <c r="AJ260" s="3"/>
      <c r="AK260" s="3"/>
      <c r="AL260" s="3"/>
      <c r="AM260" s="3"/>
      <c r="EO260" s="3"/>
      <c r="EP260" s="3"/>
      <c r="EQ260" s="3"/>
    </row>
    <row r="261" spans="1:147" x14ac:dyDescent="0.25">
      <c r="A261" s="3"/>
      <c r="B261" s="3"/>
      <c r="C261" s="3"/>
      <c r="E261" s="3"/>
      <c r="AJ261" s="3"/>
      <c r="AK261" s="3"/>
      <c r="AL261" s="3"/>
      <c r="AM261" s="3"/>
      <c r="EO261" s="3"/>
      <c r="EP261" s="3"/>
      <c r="EQ261" s="3"/>
    </row>
    <row r="262" spans="1:147" x14ac:dyDescent="0.25">
      <c r="A262" s="3"/>
      <c r="B262" s="3"/>
      <c r="C262" s="3"/>
      <c r="E262" s="3"/>
      <c r="AJ262" s="3"/>
      <c r="AK262" s="3"/>
      <c r="AL262" s="3"/>
      <c r="AM262" s="3"/>
      <c r="EO262" s="3"/>
      <c r="EP262" s="3"/>
      <c r="EQ262" s="3"/>
    </row>
    <row r="263" spans="1:147" x14ac:dyDescent="0.25">
      <c r="A263" s="3"/>
      <c r="B263" s="3"/>
      <c r="C263" s="3"/>
      <c r="E263" s="3"/>
      <c r="AJ263" s="3"/>
      <c r="AK263" s="3"/>
      <c r="AL263" s="3"/>
      <c r="AM263" s="3"/>
      <c r="EO263" s="3"/>
      <c r="EP263" s="3"/>
      <c r="EQ263" s="3"/>
    </row>
    <row r="264" spans="1:147" x14ac:dyDescent="0.25">
      <c r="A264" s="3"/>
      <c r="B264" s="3"/>
      <c r="C264" s="3"/>
      <c r="E264" s="3"/>
      <c r="AJ264" s="3"/>
      <c r="AK264" s="3"/>
      <c r="AL264" s="3"/>
      <c r="AM264" s="3"/>
      <c r="EO264" s="3"/>
      <c r="EP264" s="3"/>
      <c r="EQ264" s="3"/>
    </row>
    <row r="265" spans="1:147" x14ac:dyDescent="0.25">
      <c r="A265" s="3"/>
      <c r="B265" s="3"/>
      <c r="C265" s="3"/>
      <c r="E265" s="3"/>
      <c r="AJ265" s="3"/>
      <c r="AK265" s="3"/>
      <c r="AL265" s="3"/>
      <c r="AM265" s="3"/>
      <c r="EO265" s="3"/>
      <c r="EP265" s="3"/>
      <c r="EQ265" s="3"/>
    </row>
    <row r="266" spans="1:147" x14ac:dyDescent="0.25">
      <c r="A266" s="3"/>
      <c r="B266" s="3"/>
      <c r="C266" s="3"/>
      <c r="E266" s="3"/>
      <c r="AJ266" s="3"/>
      <c r="AK266" s="3"/>
      <c r="AL266" s="3"/>
      <c r="AM266" s="3"/>
      <c r="EO266" s="3"/>
      <c r="EP266" s="3"/>
      <c r="EQ266" s="3"/>
    </row>
    <row r="267" spans="1:147" x14ac:dyDescent="0.25">
      <c r="A267" s="3"/>
      <c r="B267" s="3"/>
      <c r="C267" s="3"/>
      <c r="E267" s="3"/>
      <c r="AJ267" s="3"/>
      <c r="AK267" s="3"/>
      <c r="AL267" s="3"/>
      <c r="AM267" s="3"/>
      <c r="EO267" s="3"/>
      <c r="EP267" s="3"/>
      <c r="EQ267" s="3"/>
    </row>
    <row r="268" spans="1:147" x14ac:dyDescent="0.25">
      <c r="A268" s="3"/>
      <c r="B268" s="3"/>
      <c r="C268" s="3"/>
      <c r="E268" s="3"/>
      <c r="AJ268" s="3"/>
      <c r="AK268" s="3"/>
      <c r="AL268" s="3"/>
      <c r="AM268" s="3"/>
      <c r="EO268" s="3"/>
      <c r="EP268" s="3"/>
      <c r="EQ268" s="3"/>
    </row>
    <row r="269" spans="1:147" x14ac:dyDescent="0.25">
      <c r="A269" s="3"/>
      <c r="B269" s="3"/>
      <c r="C269" s="3"/>
      <c r="E269" s="3"/>
      <c r="AJ269" s="3"/>
      <c r="AK269" s="3"/>
      <c r="AL269" s="3"/>
      <c r="AM269" s="3"/>
      <c r="EO269" s="3"/>
      <c r="EP269" s="3"/>
      <c r="EQ269" s="3"/>
    </row>
    <row r="270" spans="1:147" x14ac:dyDescent="0.25">
      <c r="A270" s="3"/>
      <c r="B270" s="3"/>
      <c r="C270" s="3"/>
      <c r="E270" s="3"/>
      <c r="AJ270" s="3"/>
      <c r="AK270" s="3"/>
      <c r="AL270" s="3"/>
      <c r="AM270" s="3"/>
      <c r="EO270" s="3"/>
      <c r="EP270" s="3"/>
      <c r="EQ270" s="3"/>
    </row>
    <row r="271" spans="1:147" x14ac:dyDescent="0.25">
      <c r="A271" s="3"/>
      <c r="B271" s="3"/>
      <c r="C271" s="3"/>
      <c r="E271" s="3"/>
      <c r="AJ271" s="3"/>
      <c r="AK271" s="3"/>
      <c r="AL271" s="3"/>
      <c r="AM271" s="3"/>
      <c r="EO271" s="3"/>
      <c r="EP271" s="3"/>
      <c r="EQ271" s="3"/>
    </row>
    <row r="272" spans="1:147" x14ac:dyDescent="0.25">
      <c r="A272" s="3"/>
      <c r="B272" s="3"/>
      <c r="C272" s="3"/>
      <c r="E272" s="3"/>
      <c r="AJ272" s="3"/>
      <c r="AK272" s="3"/>
      <c r="AL272" s="3"/>
      <c r="AM272" s="3"/>
      <c r="EO272" s="3"/>
      <c r="EP272" s="3"/>
      <c r="EQ272" s="3"/>
    </row>
    <row r="273" spans="1:147" x14ac:dyDescent="0.25">
      <c r="A273" s="3"/>
      <c r="B273" s="3"/>
      <c r="C273" s="3"/>
      <c r="E273" s="3"/>
      <c r="AJ273" s="3"/>
      <c r="AK273" s="3"/>
      <c r="AL273" s="3"/>
      <c r="AM273" s="3"/>
      <c r="EO273" s="3"/>
      <c r="EP273" s="3"/>
      <c r="EQ273" s="3"/>
    </row>
    <row r="274" spans="1:147" x14ac:dyDescent="0.25">
      <c r="A274" s="3"/>
      <c r="B274" s="3"/>
      <c r="C274" s="3"/>
      <c r="E274" s="3"/>
      <c r="AJ274" s="3"/>
      <c r="AK274" s="3"/>
      <c r="AL274" s="3"/>
      <c r="AM274" s="3"/>
      <c r="EO274" s="3"/>
      <c r="EP274" s="3"/>
      <c r="EQ274" s="3"/>
    </row>
    <row r="275" spans="1:147" x14ac:dyDescent="0.25">
      <c r="A275" s="3"/>
      <c r="B275" s="3"/>
      <c r="C275" s="3"/>
      <c r="E275" s="3"/>
      <c r="AJ275" s="3"/>
      <c r="AK275" s="3"/>
      <c r="AL275" s="3"/>
      <c r="AM275" s="3"/>
      <c r="EO275" s="3"/>
      <c r="EP275" s="3"/>
      <c r="EQ275" s="3"/>
    </row>
    <row r="276" spans="1:147" x14ac:dyDescent="0.25">
      <c r="A276" s="3"/>
      <c r="B276" s="3"/>
      <c r="C276" s="3"/>
      <c r="E276" s="3"/>
      <c r="AJ276" s="3"/>
      <c r="AK276" s="3"/>
      <c r="AL276" s="3"/>
      <c r="AM276" s="3"/>
      <c r="EO276" s="3"/>
      <c r="EP276" s="3"/>
      <c r="EQ276" s="3"/>
    </row>
    <row r="277" spans="1:147" x14ac:dyDescent="0.25">
      <c r="A277" s="3"/>
      <c r="B277" s="3"/>
      <c r="C277" s="3"/>
      <c r="E277" s="3"/>
      <c r="AJ277" s="3"/>
      <c r="AK277" s="3"/>
      <c r="AL277" s="3"/>
      <c r="AM277" s="3"/>
      <c r="EO277" s="3"/>
      <c r="EP277" s="3"/>
      <c r="EQ277" s="3"/>
    </row>
    <row r="278" spans="1:147" x14ac:dyDescent="0.25">
      <c r="A278" s="3"/>
      <c r="B278" s="3"/>
      <c r="C278" s="3"/>
      <c r="E278" s="3"/>
      <c r="AJ278" s="3"/>
      <c r="AK278" s="3"/>
      <c r="AL278" s="3"/>
      <c r="AM278" s="3"/>
      <c r="EO278" s="3"/>
      <c r="EP278" s="3"/>
      <c r="EQ278" s="3"/>
    </row>
    <row r="279" spans="1:147" x14ac:dyDescent="0.25">
      <c r="A279" s="3"/>
      <c r="B279" s="3"/>
      <c r="C279" s="3"/>
      <c r="E279" s="3"/>
      <c r="AJ279" s="3"/>
      <c r="AK279" s="3"/>
      <c r="AL279" s="3"/>
      <c r="AM279" s="3"/>
      <c r="EO279" s="3"/>
      <c r="EP279" s="3"/>
      <c r="EQ279" s="3"/>
    </row>
    <row r="280" spans="1:147" x14ac:dyDescent="0.25">
      <c r="A280" s="3"/>
      <c r="B280" s="3"/>
      <c r="C280" s="3"/>
      <c r="E280" s="3"/>
      <c r="AJ280" s="3"/>
      <c r="AK280" s="3"/>
      <c r="AL280" s="3"/>
      <c r="AM280" s="3"/>
      <c r="EO280" s="3"/>
      <c r="EP280" s="3"/>
      <c r="EQ280" s="3"/>
    </row>
    <row r="281" spans="1:147" x14ac:dyDescent="0.25">
      <c r="A281" s="3"/>
      <c r="B281" s="3"/>
      <c r="C281" s="3"/>
      <c r="E281" s="3"/>
      <c r="AJ281" s="3"/>
      <c r="AK281" s="3"/>
      <c r="AL281" s="3"/>
      <c r="AM281" s="3"/>
      <c r="EO281" s="3"/>
      <c r="EP281" s="3"/>
      <c r="EQ281" s="3"/>
    </row>
    <row r="282" spans="1:147" x14ac:dyDescent="0.25">
      <c r="A282" s="3"/>
      <c r="B282" s="3"/>
      <c r="C282" s="3"/>
      <c r="E282" s="3"/>
      <c r="AJ282" s="3"/>
      <c r="AK282" s="3"/>
      <c r="AL282" s="3"/>
      <c r="AM282" s="3"/>
      <c r="EO282" s="3"/>
      <c r="EP282" s="3"/>
      <c r="EQ282" s="3"/>
    </row>
    <row r="283" spans="1:147" x14ac:dyDescent="0.25">
      <c r="A283" s="3"/>
      <c r="B283" s="3"/>
      <c r="C283" s="3"/>
      <c r="E283" s="3"/>
      <c r="AJ283" s="3"/>
      <c r="AK283" s="3"/>
      <c r="AL283" s="3"/>
      <c r="AM283" s="3"/>
      <c r="EO283" s="3"/>
      <c r="EP283" s="3"/>
      <c r="EQ283" s="3"/>
    </row>
    <row r="284" spans="1:147" x14ac:dyDescent="0.25">
      <c r="A284" s="3"/>
      <c r="B284" s="3"/>
      <c r="C284" s="3"/>
      <c r="E284" s="3"/>
      <c r="AJ284" s="3"/>
      <c r="AK284" s="3"/>
      <c r="AL284" s="3"/>
      <c r="AM284" s="3"/>
      <c r="EO284" s="3"/>
      <c r="EP284" s="3"/>
      <c r="EQ284" s="3"/>
    </row>
    <row r="285" spans="1:147" x14ac:dyDescent="0.25">
      <c r="A285" s="3"/>
      <c r="B285" s="3"/>
      <c r="C285" s="3"/>
      <c r="E285" s="3"/>
      <c r="AJ285" s="3"/>
      <c r="AK285" s="3"/>
      <c r="AL285" s="3"/>
      <c r="AM285" s="3"/>
      <c r="EO285" s="3"/>
      <c r="EP285" s="3"/>
      <c r="EQ285" s="3"/>
    </row>
    <row r="286" spans="1:147" x14ac:dyDescent="0.25">
      <c r="A286" s="3"/>
      <c r="B286" s="3"/>
      <c r="C286" s="3"/>
      <c r="E286" s="3"/>
      <c r="AJ286" s="3"/>
      <c r="AK286" s="3"/>
      <c r="AL286" s="3"/>
      <c r="AM286" s="3"/>
      <c r="EO286" s="3"/>
      <c r="EP286" s="3"/>
      <c r="EQ286" s="3"/>
    </row>
    <row r="287" spans="1:147" x14ac:dyDescent="0.25">
      <c r="A287" s="3"/>
      <c r="B287" s="3"/>
      <c r="C287" s="3"/>
      <c r="E287" s="3"/>
      <c r="AJ287" s="3"/>
      <c r="AK287" s="3"/>
      <c r="AL287" s="3"/>
      <c r="AM287" s="3"/>
      <c r="EO287" s="3"/>
      <c r="EP287" s="3"/>
      <c r="EQ287" s="3"/>
    </row>
    <row r="288" spans="1:147" x14ac:dyDescent="0.25">
      <c r="A288" s="3"/>
      <c r="B288" s="3"/>
      <c r="C288" s="3"/>
      <c r="E288" s="3"/>
      <c r="AJ288" s="3"/>
      <c r="AK288" s="3"/>
      <c r="AL288" s="3"/>
      <c r="AM288" s="3"/>
      <c r="EO288" s="3"/>
      <c r="EP288" s="3"/>
      <c r="EQ288" s="3"/>
    </row>
    <row r="289" spans="1:147" x14ac:dyDescent="0.25">
      <c r="A289" s="3"/>
      <c r="B289" s="3"/>
      <c r="C289" s="3"/>
      <c r="E289" s="3"/>
      <c r="AJ289" s="3"/>
      <c r="AK289" s="3"/>
      <c r="AL289" s="3"/>
      <c r="AM289" s="3"/>
      <c r="EO289" s="3"/>
      <c r="EP289" s="3"/>
      <c r="EQ289" s="3"/>
    </row>
    <row r="290" spans="1:147" x14ac:dyDescent="0.25">
      <c r="A290" s="3"/>
      <c r="B290" s="3"/>
      <c r="C290" s="3"/>
      <c r="E290" s="3"/>
      <c r="AJ290" s="3"/>
      <c r="AK290" s="3"/>
      <c r="AL290" s="3"/>
      <c r="AM290" s="3"/>
      <c r="EO290" s="3"/>
      <c r="EP290" s="3"/>
      <c r="EQ290" s="3"/>
    </row>
    <row r="291" spans="1:147" x14ac:dyDescent="0.25">
      <c r="A291" s="3"/>
      <c r="B291" s="3"/>
      <c r="C291" s="3"/>
      <c r="E291" s="3"/>
      <c r="AJ291" s="3"/>
      <c r="AK291" s="3"/>
      <c r="AL291" s="3"/>
      <c r="AM291" s="3"/>
      <c r="EO291" s="3"/>
      <c r="EP291" s="3"/>
      <c r="EQ291" s="3"/>
    </row>
    <row r="292" spans="1:147" x14ac:dyDescent="0.25">
      <c r="A292" s="3"/>
      <c r="B292" s="3"/>
      <c r="C292" s="3"/>
      <c r="E292" s="3"/>
      <c r="AJ292" s="3"/>
      <c r="AK292" s="3"/>
      <c r="AL292" s="3"/>
      <c r="AM292" s="3"/>
      <c r="EO292" s="3"/>
      <c r="EP292" s="3"/>
      <c r="EQ292" s="3"/>
    </row>
    <row r="293" spans="1:147" x14ac:dyDescent="0.25">
      <c r="A293" s="3"/>
      <c r="B293" s="3"/>
      <c r="C293" s="3"/>
      <c r="E293" s="3"/>
      <c r="AJ293" s="3"/>
      <c r="AK293" s="3"/>
      <c r="AL293" s="3"/>
      <c r="AM293" s="3"/>
      <c r="EO293" s="3"/>
      <c r="EP293" s="3"/>
      <c r="EQ293" s="3"/>
    </row>
    <row r="294" spans="1:147" x14ac:dyDescent="0.25">
      <c r="A294" s="3"/>
      <c r="B294" s="3"/>
      <c r="C294" s="3"/>
      <c r="E294" s="3"/>
      <c r="AJ294" s="3"/>
      <c r="AK294" s="3"/>
      <c r="AL294" s="3"/>
      <c r="AM294" s="3"/>
      <c r="EO294" s="3"/>
      <c r="EP294" s="3"/>
      <c r="EQ294" s="3"/>
    </row>
    <row r="295" spans="1:147" x14ac:dyDescent="0.25">
      <c r="A295" s="3"/>
      <c r="B295" s="3"/>
      <c r="C295" s="3"/>
      <c r="E295" s="3"/>
      <c r="AJ295" s="3"/>
      <c r="AK295" s="3"/>
      <c r="AL295" s="3"/>
      <c r="AM295" s="3"/>
      <c r="EO295" s="3"/>
      <c r="EP295" s="3"/>
      <c r="EQ295" s="3"/>
    </row>
    <row r="296" spans="1:147" x14ac:dyDescent="0.25">
      <c r="A296" s="3"/>
      <c r="B296" s="3"/>
      <c r="C296" s="3"/>
      <c r="E296" s="3"/>
      <c r="AJ296" s="3"/>
      <c r="AK296" s="3"/>
      <c r="AL296" s="3"/>
      <c r="AM296" s="3"/>
      <c r="EO296" s="3"/>
      <c r="EP296" s="3"/>
      <c r="EQ296" s="3"/>
    </row>
    <row r="297" spans="1:147" x14ac:dyDescent="0.25">
      <c r="A297" s="3"/>
      <c r="B297" s="3"/>
      <c r="C297" s="3"/>
      <c r="E297" s="3"/>
      <c r="AJ297" s="3"/>
      <c r="AK297" s="3"/>
      <c r="AL297" s="3"/>
      <c r="AM297" s="3"/>
      <c r="EO297" s="3"/>
      <c r="EP297" s="3"/>
      <c r="EQ297" s="3"/>
    </row>
    <row r="298" spans="1:147" x14ac:dyDescent="0.25">
      <c r="A298" s="3"/>
      <c r="B298" s="3"/>
      <c r="C298" s="3"/>
      <c r="E298" s="3"/>
      <c r="AJ298" s="3"/>
      <c r="AK298" s="3"/>
      <c r="AL298" s="3"/>
      <c r="AM298" s="3"/>
      <c r="EO298" s="3"/>
      <c r="EP298" s="3"/>
      <c r="EQ298" s="3"/>
    </row>
    <row r="299" spans="1:147" x14ac:dyDescent="0.25">
      <c r="A299" s="3"/>
      <c r="B299" s="3"/>
      <c r="C299" s="3"/>
      <c r="E299" s="3"/>
      <c r="AJ299" s="3"/>
      <c r="AK299" s="3"/>
      <c r="AL299" s="3"/>
      <c r="AM299" s="3"/>
      <c r="EO299" s="3"/>
      <c r="EP299" s="3"/>
      <c r="EQ299" s="3"/>
    </row>
    <row r="300" spans="1:147" x14ac:dyDescent="0.25">
      <c r="A300" s="3"/>
      <c r="B300" s="3"/>
      <c r="C300" s="3"/>
      <c r="E300" s="3"/>
      <c r="AJ300" s="3"/>
      <c r="AK300" s="3"/>
      <c r="AL300" s="3"/>
      <c r="AM300" s="3"/>
      <c r="EO300" s="3"/>
      <c r="EP300" s="3"/>
      <c r="EQ300" s="3"/>
    </row>
    <row r="301" spans="1:147" x14ac:dyDescent="0.25">
      <c r="A301" s="3"/>
      <c r="B301" s="3"/>
      <c r="C301" s="3"/>
      <c r="E301" s="3"/>
      <c r="AJ301" s="3"/>
      <c r="AK301" s="3"/>
      <c r="AL301" s="3"/>
      <c r="AM301" s="3"/>
      <c r="EO301" s="3"/>
      <c r="EP301" s="3"/>
      <c r="EQ301" s="3"/>
    </row>
    <row r="302" spans="1:147" x14ac:dyDescent="0.25">
      <c r="A302" s="3"/>
      <c r="B302" s="3"/>
      <c r="C302" s="3"/>
      <c r="E302" s="3"/>
      <c r="AJ302" s="3"/>
      <c r="AK302" s="3"/>
      <c r="AL302" s="3"/>
      <c r="AM302" s="3"/>
      <c r="EO302" s="3"/>
      <c r="EP302" s="3"/>
      <c r="EQ302" s="3"/>
    </row>
    <row r="303" spans="1:147" x14ac:dyDescent="0.25">
      <c r="A303" s="3"/>
      <c r="B303" s="3"/>
      <c r="C303" s="3"/>
      <c r="E303" s="3"/>
      <c r="AJ303" s="3"/>
      <c r="AK303" s="3"/>
      <c r="AL303" s="3"/>
      <c r="AM303" s="3"/>
      <c r="EO303" s="3"/>
      <c r="EP303" s="3"/>
      <c r="EQ303" s="3"/>
    </row>
    <row r="304" spans="1:147" x14ac:dyDescent="0.25">
      <c r="A304" s="3"/>
      <c r="B304" s="3"/>
      <c r="C304" s="3"/>
      <c r="E304" s="3"/>
      <c r="AJ304" s="3"/>
      <c r="AK304" s="3"/>
      <c r="AL304" s="3"/>
      <c r="AM304" s="3"/>
      <c r="EO304" s="3"/>
      <c r="EP304" s="3"/>
      <c r="EQ304" s="3"/>
    </row>
    <row r="305" spans="1:147" x14ac:dyDescent="0.25">
      <c r="A305" s="3"/>
      <c r="B305" s="3"/>
      <c r="C305" s="3"/>
      <c r="E305" s="3"/>
      <c r="AJ305" s="3"/>
      <c r="AK305" s="3"/>
      <c r="AL305" s="3"/>
      <c r="AM305" s="3"/>
      <c r="EO305" s="3"/>
      <c r="EP305" s="3"/>
      <c r="EQ305" s="3"/>
    </row>
    <row r="306" spans="1:147" x14ac:dyDescent="0.25">
      <c r="B306" s="3"/>
      <c r="C306" s="3"/>
    </row>
    <row r="307" spans="1:147" x14ac:dyDescent="0.25">
      <c r="A307" s="3"/>
      <c r="B307" s="3"/>
      <c r="C307" s="3"/>
      <c r="E307" s="3"/>
      <c r="AJ307" s="3"/>
      <c r="AK307" s="3"/>
      <c r="AL307" s="3"/>
      <c r="AM307" s="3"/>
      <c r="EO307" s="3"/>
      <c r="EP307" s="3"/>
      <c r="EQ307" s="3"/>
    </row>
    <row r="308" spans="1:147" x14ac:dyDescent="0.25">
      <c r="A308" s="3"/>
      <c r="B308" s="3"/>
      <c r="C308" s="3"/>
      <c r="E308" s="3"/>
      <c r="AJ308" s="3"/>
      <c r="AK308" s="3"/>
      <c r="AL308" s="3"/>
      <c r="AM308" s="3"/>
      <c r="EO308" s="3"/>
      <c r="EP308" s="3"/>
      <c r="EQ308" s="3"/>
    </row>
    <row r="309" spans="1:147" x14ac:dyDescent="0.25">
      <c r="A309" s="3"/>
      <c r="B309" s="3"/>
      <c r="C309" s="3"/>
      <c r="E309" s="3"/>
      <c r="AJ309" s="3"/>
      <c r="AK309" s="3"/>
      <c r="AL309" s="3"/>
      <c r="AM309" s="3"/>
      <c r="EO309" s="3"/>
      <c r="EP309" s="3"/>
      <c r="EQ309" s="3"/>
    </row>
    <row r="310" spans="1:147" x14ac:dyDescent="0.25">
      <c r="A310" s="3"/>
      <c r="B310" s="3"/>
      <c r="C310" s="3"/>
      <c r="E310" s="3"/>
      <c r="AJ310" s="3"/>
      <c r="AK310" s="3"/>
      <c r="AL310" s="3"/>
      <c r="AM310" s="3"/>
      <c r="EO310" s="3"/>
      <c r="EP310" s="3"/>
      <c r="EQ310" s="3"/>
    </row>
    <row r="311" spans="1:147" x14ac:dyDescent="0.25">
      <c r="A311" s="3"/>
      <c r="B311" s="3"/>
      <c r="C311" s="3"/>
      <c r="E311" s="3"/>
      <c r="AJ311" s="3"/>
      <c r="AK311" s="3"/>
      <c r="AL311" s="3"/>
      <c r="AM311" s="3"/>
      <c r="EO311" s="3"/>
      <c r="EP311" s="3"/>
      <c r="EQ311" s="3"/>
    </row>
    <row r="312" spans="1:147" x14ac:dyDescent="0.25">
      <c r="A312" s="3"/>
      <c r="B312" s="3"/>
      <c r="C312" s="3"/>
      <c r="E312" s="3"/>
      <c r="AJ312" s="3"/>
      <c r="AK312" s="3"/>
      <c r="AL312" s="3"/>
      <c r="AM312" s="3"/>
      <c r="EO312" s="3"/>
      <c r="EP312" s="3"/>
      <c r="EQ312" s="3"/>
    </row>
    <row r="313" spans="1:147" x14ac:dyDescent="0.25">
      <c r="A313" s="3"/>
      <c r="B313" s="3"/>
      <c r="C313" s="3"/>
      <c r="E313" s="3"/>
      <c r="AJ313" s="3"/>
      <c r="AK313" s="3"/>
      <c r="AL313" s="3"/>
      <c r="AM313" s="3"/>
      <c r="EO313" s="3"/>
      <c r="EP313" s="3"/>
      <c r="EQ313" s="3"/>
    </row>
    <row r="314" spans="1:147" x14ac:dyDescent="0.25">
      <c r="A314" s="3"/>
      <c r="B314" s="3"/>
      <c r="C314" s="3"/>
      <c r="E314" s="3"/>
      <c r="AJ314" s="3"/>
      <c r="AK314" s="3"/>
      <c r="AL314" s="3"/>
      <c r="AM314" s="3"/>
      <c r="EO314" s="3"/>
      <c r="EP314" s="3"/>
      <c r="EQ314" s="3"/>
    </row>
    <row r="315" spans="1:147" x14ac:dyDescent="0.25">
      <c r="A315" s="3"/>
      <c r="B315" s="3"/>
      <c r="C315" s="3"/>
      <c r="E315" s="3"/>
      <c r="AJ315" s="3"/>
      <c r="AK315" s="3"/>
      <c r="AL315" s="3"/>
      <c r="AM315" s="3"/>
      <c r="EO315" s="3"/>
      <c r="EP315" s="3"/>
      <c r="EQ315" s="3"/>
    </row>
    <row r="316" spans="1:147" x14ac:dyDescent="0.25">
      <c r="A316" s="3"/>
      <c r="B316" s="3"/>
      <c r="C316" s="3"/>
      <c r="E316" s="3"/>
      <c r="AJ316" s="3"/>
      <c r="AK316" s="3"/>
      <c r="AL316" s="3"/>
      <c r="AM316" s="3"/>
      <c r="EO316" s="3"/>
      <c r="EP316" s="3"/>
      <c r="EQ316" s="3"/>
    </row>
    <row r="317" spans="1:147" x14ac:dyDescent="0.25">
      <c r="A317" s="3"/>
      <c r="B317" s="3"/>
      <c r="C317" s="3"/>
      <c r="E317" s="3"/>
      <c r="AJ317" s="3"/>
      <c r="AK317" s="3"/>
      <c r="AL317" s="3"/>
      <c r="AM317" s="3"/>
      <c r="EO317" s="3"/>
      <c r="EP317" s="3"/>
      <c r="EQ317" s="3"/>
    </row>
    <row r="318" spans="1:147" x14ac:dyDescent="0.25">
      <c r="A318" s="3"/>
      <c r="B318" s="3"/>
      <c r="C318" s="3"/>
      <c r="E318" s="3"/>
      <c r="AJ318" s="3"/>
      <c r="AK318" s="3"/>
      <c r="AL318" s="3"/>
      <c r="AM318" s="3"/>
      <c r="EO318" s="3"/>
      <c r="EP318" s="3"/>
      <c r="EQ318" s="3"/>
    </row>
    <row r="319" spans="1:147" x14ac:dyDescent="0.25">
      <c r="A319" s="3"/>
      <c r="B319" s="3"/>
      <c r="C319" s="3"/>
      <c r="E319" s="3"/>
      <c r="AJ319" s="3"/>
      <c r="AK319" s="3"/>
      <c r="AL319" s="3"/>
      <c r="AM319" s="3"/>
      <c r="EO319" s="3"/>
      <c r="EP319" s="3"/>
      <c r="EQ319" s="3"/>
    </row>
    <row r="320" spans="1:147" x14ac:dyDescent="0.25">
      <c r="A320" s="3"/>
      <c r="B320" s="3"/>
      <c r="C320" s="3"/>
      <c r="E320" s="3"/>
      <c r="AJ320" s="3"/>
      <c r="AK320" s="3"/>
      <c r="AL320" s="3"/>
      <c r="AM320" s="3"/>
      <c r="EO320" s="3"/>
      <c r="EP320" s="3"/>
      <c r="EQ320" s="3"/>
    </row>
    <row r="321" spans="1:147" x14ac:dyDescent="0.25">
      <c r="A321" s="3"/>
      <c r="B321" s="3"/>
      <c r="C321" s="3"/>
      <c r="E321" s="3"/>
      <c r="AJ321" s="3"/>
      <c r="AK321" s="3"/>
      <c r="AL321" s="3"/>
      <c r="AM321" s="3"/>
      <c r="EO321" s="3"/>
      <c r="EP321" s="3"/>
      <c r="EQ321" s="3"/>
    </row>
    <row r="322" spans="1:147" x14ac:dyDescent="0.25">
      <c r="A322" s="3"/>
      <c r="B322" s="3"/>
      <c r="C322" s="3"/>
      <c r="E322" s="3"/>
      <c r="AJ322" s="3"/>
      <c r="AK322" s="3"/>
      <c r="AL322" s="3"/>
      <c r="AM322" s="3"/>
      <c r="EO322" s="3"/>
      <c r="EP322" s="3"/>
      <c r="EQ322" s="3"/>
    </row>
    <row r="323" spans="1:147" x14ac:dyDescent="0.25">
      <c r="A323" s="3"/>
      <c r="B323" s="3"/>
      <c r="C323" s="3"/>
      <c r="E323" s="3"/>
      <c r="AJ323" s="3"/>
      <c r="AK323" s="3"/>
      <c r="AL323" s="3"/>
      <c r="AM323" s="3"/>
      <c r="EO323" s="3"/>
      <c r="EP323" s="3"/>
      <c r="EQ323" s="3"/>
    </row>
    <row r="324" spans="1:147" x14ac:dyDescent="0.25">
      <c r="A324" s="3"/>
      <c r="B324" s="3"/>
      <c r="C324" s="3"/>
      <c r="E324" s="3"/>
      <c r="AJ324" s="3"/>
      <c r="AK324" s="3"/>
      <c r="AL324" s="3"/>
      <c r="AM324" s="3"/>
      <c r="EO324" s="3"/>
      <c r="EP324" s="3"/>
      <c r="EQ324" s="3"/>
    </row>
    <row r="325" spans="1:147" x14ac:dyDescent="0.25">
      <c r="A325" s="3"/>
      <c r="B325" s="3"/>
      <c r="C325" s="3"/>
      <c r="E325" s="3"/>
      <c r="AJ325" s="3"/>
      <c r="AK325" s="3"/>
      <c r="AL325" s="3"/>
      <c r="AM325" s="3"/>
      <c r="EO325" s="3"/>
      <c r="EP325" s="3"/>
      <c r="EQ325" s="3"/>
    </row>
    <row r="326" spans="1:147" x14ac:dyDescent="0.25">
      <c r="A326" s="3"/>
      <c r="B326" s="3"/>
      <c r="C326" s="3"/>
      <c r="E326" s="3"/>
      <c r="AJ326" s="3"/>
      <c r="AK326" s="3"/>
      <c r="AL326" s="3"/>
      <c r="AM326" s="3"/>
      <c r="EO326" s="3"/>
      <c r="EP326" s="3"/>
      <c r="EQ326" s="3"/>
    </row>
    <row r="327" spans="1:147" x14ac:dyDescent="0.25">
      <c r="A327" s="3"/>
      <c r="B327" s="3"/>
      <c r="C327" s="3"/>
      <c r="E327" s="3"/>
      <c r="AJ327" s="3"/>
      <c r="AK327" s="3"/>
      <c r="AL327" s="3"/>
      <c r="AM327" s="3"/>
      <c r="EO327" s="3"/>
      <c r="EP327" s="3"/>
      <c r="EQ327" s="3"/>
    </row>
    <row r="328" spans="1:147" x14ac:dyDescent="0.25">
      <c r="A328" s="3"/>
      <c r="B328" s="3"/>
      <c r="C328" s="3"/>
      <c r="E328" s="3"/>
      <c r="AJ328" s="3"/>
      <c r="AK328" s="3"/>
      <c r="AL328" s="3"/>
      <c r="AM328" s="3"/>
      <c r="EO328" s="3"/>
      <c r="EP328" s="3"/>
      <c r="EQ328" s="3"/>
    </row>
    <row r="329" spans="1:147" x14ac:dyDescent="0.25">
      <c r="A329" s="3"/>
      <c r="B329" s="3"/>
      <c r="C329" s="3"/>
      <c r="E329" s="3"/>
      <c r="AJ329" s="3"/>
      <c r="AK329" s="3"/>
      <c r="AL329" s="3"/>
      <c r="AM329" s="3"/>
      <c r="EO329" s="3"/>
      <c r="EP329" s="3"/>
      <c r="EQ329" s="3"/>
    </row>
    <row r="330" spans="1:147" x14ac:dyDescent="0.25">
      <c r="A330" s="3"/>
      <c r="B330" s="3"/>
      <c r="C330" s="3"/>
      <c r="E330" s="3"/>
      <c r="AJ330" s="3"/>
      <c r="AK330" s="3"/>
      <c r="AL330" s="3"/>
      <c r="AM330" s="3"/>
      <c r="EO330" s="3"/>
      <c r="EP330" s="3"/>
      <c r="EQ330" s="3"/>
    </row>
    <row r="331" spans="1:147" x14ac:dyDescent="0.25">
      <c r="A331" s="3"/>
      <c r="B331" s="3"/>
      <c r="C331" s="3"/>
      <c r="E331" s="3"/>
      <c r="AJ331" s="3"/>
      <c r="AK331" s="3"/>
      <c r="AL331" s="3"/>
      <c r="AM331" s="3"/>
      <c r="EO331" s="3"/>
      <c r="EP331" s="3"/>
      <c r="EQ331" s="3"/>
    </row>
    <row r="332" spans="1:147" x14ac:dyDescent="0.25">
      <c r="A332" s="3"/>
      <c r="B332" s="3"/>
      <c r="C332" s="3"/>
      <c r="E332" s="3"/>
      <c r="AJ332" s="3"/>
      <c r="AK332" s="3"/>
      <c r="AL332" s="3"/>
      <c r="AM332" s="3"/>
      <c r="EO332" s="3"/>
      <c r="EP332" s="3"/>
      <c r="EQ332" s="3"/>
    </row>
    <row r="333" spans="1:147" x14ac:dyDescent="0.25">
      <c r="A333" s="3"/>
      <c r="B333" s="3"/>
      <c r="C333" s="3"/>
      <c r="E333" s="3"/>
      <c r="AJ333" s="3"/>
      <c r="AK333" s="3"/>
      <c r="AL333" s="3"/>
      <c r="AM333" s="3"/>
      <c r="EO333" s="3"/>
      <c r="EP333" s="3"/>
      <c r="EQ333" s="3"/>
    </row>
    <row r="334" spans="1:147" x14ac:dyDescent="0.25">
      <c r="A334" s="3"/>
      <c r="B334" s="3"/>
      <c r="C334" s="3"/>
      <c r="E334" s="3"/>
      <c r="AJ334" s="3"/>
      <c r="AK334" s="3"/>
      <c r="AL334" s="3"/>
      <c r="AM334" s="3"/>
      <c r="EO334" s="3"/>
      <c r="EP334" s="3"/>
      <c r="EQ334" s="3"/>
    </row>
    <row r="335" spans="1:147" x14ac:dyDescent="0.25">
      <c r="A335" s="3"/>
      <c r="B335" s="3"/>
      <c r="C335" s="3"/>
      <c r="E335" s="3"/>
      <c r="AJ335" s="3"/>
      <c r="AK335" s="3"/>
      <c r="AL335" s="3"/>
      <c r="AM335" s="3"/>
      <c r="EO335" s="3"/>
      <c r="EP335" s="3"/>
      <c r="EQ335" s="3"/>
    </row>
    <row r="336" spans="1:147" x14ac:dyDescent="0.25">
      <c r="A336" s="3"/>
      <c r="B336" s="3"/>
      <c r="C336" s="3"/>
      <c r="E336" s="3"/>
      <c r="AJ336" s="3"/>
      <c r="AK336" s="3"/>
      <c r="AL336" s="3"/>
      <c r="AM336" s="3"/>
      <c r="EO336" s="3"/>
      <c r="EP336" s="3"/>
      <c r="EQ336" s="3"/>
    </row>
    <row r="337" spans="1:147" x14ac:dyDescent="0.25">
      <c r="A337" s="3"/>
      <c r="B337" s="3"/>
      <c r="C337" s="3"/>
      <c r="E337" s="3"/>
      <c r="AJ337" s="3"/>
      <c r="AK337" s="3"/>
      <c r="AL337" s="3"/>
      <c r="AM337" s="3"/>
      <c r="EO337" s="3"/>
      <c r="EP337" s="3"/>
      <c r="EQ337" s="3"/>
    </row>
    <row r="338" spans="1:147" x14ac:dyDescent="0.25">
      <c r="A338" s="3"/>
      <c r="B338" s="3"/>
      <c r="C338" s="3"/>
      <c r="E338" s="3"/>
      <c r="AJ338" s="3"/>
      <c r="AK338" s="3"/>
      <c r="AL338" s="3"/>
      <c r="AM338" s="3"/>
      <c r="EO338" s="3"/>
      <c r="EP338" s="3"/>
      <c r="EQ338" s="3"/>
    </row>
    <row r="339" spans="1:147" x14ac:dyDescent="0.25">
      <c r="A339" s="3"/>
      <c r="B339" s="3"/>
      <c r="C339" s="3"/>
      <c r="E339" s="3"/>
      <c r="AJ339" s="3"/>
      <c r="AK339" s="3"/>
      <c r="AL339" s="3"/>
      <c r="AM339" s="3"/>
      <c r="EO339" s="3"/>
      <c r="EP339" s="3"/>
      <c r="EQ339" s="3"/>
    </row>
    <row r="340" spans="1:147" x14ac:dyDescent="0.25">
      <c r="A340" s="3"/>
      <c r="B340" s="3"/>
      <c r="C340" s="3"/>
      <c r="E340" s="3"/>
      <c r="AJ340" s="3"/>
      <c r="AK340" s="3"/>
      <c r="AL340" s="3"/>
      <c r="AM340" s="3"/>
      <c r="EO340" s="3"/>
      <c r="EP340" s="3"/>
      <c r="EQ340" s="3"/>
    </row>
    <row r="341" spans="1:147" x14ac:dyDescent="0.25">
      <c r="A341" s="3"/>
      <c r="B341" s="3"/>
      <c r="C341" s="3"/>
      <c r="E341" s="3"/>
      <c r="AJ341" s="3"/>
      <c r="AK341" s="3"/>
      <c r="AL341" s="3"/>
      <c r="AM341" s="3"/>
      <c r="EO341" s="3"/>
      <c r="EP341" s="3"/>
      <c r="EQ341" s="3"/>
    </row>
    <row r="342" spans="1:147" x14ac:dyDescent="0.25">
      <c r="A342" s="3"/>
      <c r="B342" s="3"/>
      <c r="C342" s="3"/>
      <c r="E342" s="3"/>
      <c r="AJ342" s="3"/>
      <c r="AK342" s="3"/>
      <c r="AL342" s="3"/>
      <c r="AM342" s="3"/>
      <c r="EO342" s="3"/>
      <c r="EP342" s="3"/>
      <c r="EQ342" s="3"/>
    </row>
    <row r="343" spans="1:147" x14ac:dyDescent="0.25">
      <c r="A343" s="3"/>
      <c r="B343" s="3"/>
      <c r="C343" s="3"/>
      <c r="E343" s="3"/>
      <c r="AJ343" s="3"/>
      <c r="AK343" s="3"/>
      <c r="AL343" s="3"/>
      <c r="AM343" s="3"/>
      <c r="EO343" s="3"/>
      <c r="EP343" s="3"/>
      <c r="EQ343" s="3"/>
    </row>
    <row r="344" spans="1:147" x14ac:dyDescent="0.25">
      <c r="A344" s="3"/>
      <c r="B344" s="3"/>
      <c r="C344" s="3"/>
      <c r="E344" s="3"/>
      <c r="AJ344" s="3"/>
      <c r="AK344" s="3"/>
      <c r="AL344" s="3"/>
      <c r="AM344" s="3"/>
      <c r="EO344" s="3"/>
      <c r="EP344" s="3"/>
      <c r="EQ344" s="3"/>
    </row>
    <row r="345" spans="1:147" x14ac:dyDescent="0.25">
      <c r="A345" s="3"/>
      <c r="B345" s="3"/>
      <c r="C345" s="3"/>
      <c r="E345" s="3"/>
      <c r="AJ345" s="3"/>
      <c r="AK345" s="3"/>
      <c r="AL345" s="3"/>
      <c r="AM345" s="3"/>
      <c r="EO345" s="3"/>
      <c r="EP345" s="3"/>
      <c r="EQ345" s="3"/>
    </row>
    <row r="346" spans="1:147" x14ac:dyDescent="0.25">
      <c r="A346" s="3"/>
      <c r="B346" s="3"/>
      <c r="C346" s="3"/>
      <c r="E346" s="3"/>
      <c r="AJ346" s="3"/>
      <c r="AK346" s="3"/>
      <c r="AL346" s="3"/>
      <c r="AM346" s="3"/>
      <c r="EO346" s="3"/>
      <c r="EP346" s="3"/>
      <c r="EQ346" s="3"/>
    </row>
    <row r="347" spans="1:147" x14ac:dyDescent="0.25">
      <c r="A347" s="3"/>
      <c r="B347" s="3"/>
      <c r="C347" s="3"/>
      <c r="E347" s="3"/>
      <c r="AJ347" s="3"/>
      <c r="AK347" s="3"/>
      <c r="AL347" s="3"/>
      <c r="AM347" s="3"/>
      <c r="EO347" s="3"/>
      <c r="EP347" s="3"/>
      <c r="EQ347" s="3"/>
    </row>
    <row r="348" spans="1:147" x14ac:dyDescent="0.25">
      <c r="A348" s="3"/>
      <c r="B348" s="3"/>
      <c r="C348" s="3"/>
      <c r="E348" s="3"/>
      <c r="AJ348" s="3"/>
      <c r="AK348" s="3"/>
      <c r="AL348" s="3"/>
      <c r="AM348" s="3"/>
      <c r="EO348" s="3"/>
      <c r="EP348" s="3"/>
      <c r="EQ348" s="3"/>
    </row>
    <row r="349" spans="1:147" x14ac:dyDescent="0.25">
      <c r="A349" s="3"/>
      <c r="B349" s="3"/>
      <c r="C349" s="3"/>
      <c r="E349" s="3"/>
      <c r="AJ349" s="3"/>
      <c r="AK349" s="3"/>
      <c r="AL349" s="3"/>
      <c r="AM349" s="3"/>
      <c r="EO349" s="3"/>
      <c r="EP349" s="3"/>
      <c r="EQ349" s="3"/>
    </row>
    <row r="350" spans="1:147" x14ac:dyDescent="0.25">
      <c r="A350" s="3"/>
      <c r="B350" s="3"/>
      <c r="C350" s="3"/>
      <c r="E350" s="3"/>
      <c r="AJ350" s="3"/>
      <c r="AK350" s="3"/>
      <c r="AL350" s="3"/>
      <c r="AM350" s="3"/>
      <c r="EO350" s="3"/>
      <c r="EP350" s="3"/>
      <c r="EQ350" s="3"/>
    </row>
    <row r="351" spans="1:147" x14ac:dyDescent="0.25">
      <c r="A351" s="3"/>
      <c r="B351" s="3"/>
      <c r="C351" s="3"/>
      <c r="E351" s="3"/>
      <c r="AJ351" s="3"/>
      <c r="AK351" s="3"/>
      <c r="AL351" s="3"/>
      <c r="AM351" s="3"/>
      <c r="EO351" s="3"/>
      <c r="EP351" s="3"/>
      <c r="EQ351" s="3"/>
    </row>
    <row r="352" spans="1:147" x14ac:dyDescent="0.25">
      <c r="A352" s="3"/>
      <c r="B352" s="3"/>
      <c r="C352" s="3"/>
      <c r="E352" s="3"/>
      <c r="AJ352" s="3"/>
      <c r="AK352" s="3"/>
      <c r="AL352" s="3"/>
      <c r="AM352" s="3"/>
      <c r="EO352" s="3"/>
      <c r="EP352" s="3"/>
      <c r="EQ352" s="3"/>
    </row>
    <row r="353" spans="1:147" x14ac:dyDescent="0.25">
      <c r="A353" s="3"/>
      <c r="B353" s="3"/>
      <c r="C353" s="3"/>
      <c r="E353" s="3"/>
      <c r="AJ353" s="3"/>
      <c r="AK353" s="3"/>
      <c r="AL353" s="3"/>
      <c r="AM353" s="3"/>
      <c r="EO353" s="3"/>
      <c r="EP353" s="3"/>
      <c r="EQ353" s="3"/>
    </row>
    <row r="354" spans="1:147" x14ac:dyDescent="0.25">
      <c r="A354" s="3"/>
      <c r="B354" s="3"/>
      <c r="C354" s="3"/>
      <c r="E354" s="3"/>
      <c r="AJ354" s="3"/>
      <c r="AK354" s="3"/>
      <c r="AL354" s="3"/>
      <c r="AM354" s="3"/>
      <c r="EO354" s="3"/>
      <c r="EP354" s="3"/>
      <c r="EQ354" s="3"/>
    </row>
    <row r="355" spans="1:147" x14ac:dyDescent="0.25">
      <c r="A355" s="3"/>
      <c r="B355" s="3"/>
      <c r="C355" s="3"/>
      <c r="E355" s="3"/>
      <c r="AJ355" s="3"/>
      <c r="AK355" s="3"/>
      <c r="AL355" s="3"/>
      <c r="AM355" s="3"/>
      <c r="EO355" s="3"/>
      <c r="EP355" s="3"/>
      <c r="EQ355" s="3"/>
    </row>
    <row r="356" spans="1:147" x14ac:dyDescent="0.25">
      <c r="A356" s="3"/>
      <c r="B356" s="3"/>
      <c r="C356" s="3"/>
      <c r="E356" s="3"/>
      <c r="AJ356" s="3"/>
      <c r="AK356" s="3"/>
      <c r="AL356" s="3"/>
      <c r="AM356" s="3"/>
      <c r="EO356" s="3"/>
      <c r="EP356" s="3"/>
      <c r="EQ356" s="3"/>
    </row>
    <row r="357" spans="1:147" x14ac:dyDescent="0.25">
      <c r="A357" s="3"/>
      <c r="B357" s="3"/>
      <c r="C357" s="3"/>
      <c r="E357" s="3"/>
      <c r="AJ357" s="3"/>
      <c r="AK357" s="3"/>
      <c r="AL357" s="3"/>
      <c r="AM357" s="3"/>
      <c r="EO357" s="3"/>
      <c r="EP357" s="3"/>
      <c r="EQ357" s="3"/>
    </row>
    <row r="358" spans="1:147" x14ac:dyDescent="0.25">
      <c r="A358" s="3"/>
      <c r="B358" s="3"/>
      <c r="C358" s="3"/>
      <c r="E358" s="3"/>
      <c r="AJ358" s="3"/>
      <c r="AK358" s="3"/>
      <c r="AL358" s="3"/>
      <c r="AM358" s="3"/>
      <c r="EO358" s="3"/>
      <c r="EP358" s="3"/>
      <c r="EQ358" s="3"/>
    </row>
    <row r="359" spans="1:147" x14ac:dyDescent="0.25">
      <c r="A359" s="3"/>
      <c r="B359" s="3"/>
      <c r="C359" s="3"/>
      <c r="E359" s="3"/>
      <c r="AJ359" s="3"/>
      <c r="AK359" s="3"/>
      <c r="AL359" s="3"/>
      <c r="AM359" s="3"/>
      <c r="EO359" s="3"/>
      <c r="EP359" s="3"/>
      <c r="EQ359" s="3"/>
    </row>
    <row r="360" spans="1:147" x14ac:dyDescent="0.25">
      <c r="A360" s="3"/>
      <c r="B360" s="3"/>
      <c r="C360" s="3"/>
      <c r="E360" s="3"/>
      <c r="AJ360" s="3"/>
      <c r="AK360" s="3"/>
      <c r="AL360" s="3"/>
      <c r="AM360" s="3"/>
      <c r="EO360" s="3"/>
      <c r="EP360" s="3"/>
      <c r="EQ360" s="3"/>
    </row>
    <row r="361" spans="1:147" x14ac:dyDescent="0.25">
      <c r="A361" s="3"/>
      <c r="B361" s="3"/>
      <c r="C361" s="3"/>
      <c r="E361" s="3"/>
      <c r="AJ361" s="3"/>
      <c r="AK361" s="3"/>
      <c r="AL361" s="3"/>
      <c r="AM361" s="3"/>
      <c r="EO361" s="3"/>
      <c r="EP361" s="3"/>
      <c r="EQ361" s="3"/>
    </row>
    <row r="362" spans="1:147" x14ac:dyDescent="0.25">
      <c r="A362" s="3"/>
      <c r="B362" s="3"/>
      <c r="C362" s="3"/>
      <c r="E362" s="3"/>
      <c r="AJ362" s="3"/>
      <c r="AK362" s="3"/>
      <c r="AL362" s="3"/>
      <c r="AM362" s="3"/>
      <c r="EO362" s="3"/>
      <c r="EP362" s="3"/>
      <c r="EQ362" s="3"/>
    </row>
    <row r="363" spans="1:147" x14ac:dyDescent="0.25">
      <c r="A363" s="3"/>
      <c r="B363" s="3"/>
      <c r="C363" s="3"/>
      <c r="E363" s="3"/>
      <c r="AJ363" s="3"/>
      <c r="AK363" s="3"/>
      <c r="AL363" s="3"/>
      <c r="AM363" s="3"/>
      <c r="EO363" s="3"/>
      <c r="EP363" s="3"/>
      <c r="EQ363" s="3"/>
    </row>
    <row r="364" spans="1:147" x14ac:dyDescent="0.25">
      <c r="A364" s="3"/>
      <c r="B364" s="3"/>
      <c r="C364" s="3"/>
      <c r="E364" s="3"/>
      <c r="AJ364" s="3"/>
      <c r="AK364" s="3"/>
      <c r="AL364" s="3"/>
      <c r="AM364" s="3"/>
      <c r="EO364" s="3"/>
      <c r="EP364" s="3"/>
      <c r="EQ364" s="3"/>
    </row>
    <row r="365" spans="1:147" x14ac:dyDescent="0.25">
      <c r="A365" s="3"/>
      <c r="B365" s="3"/>
      <c r="C365" s="3"/>
      <c r="E365" s="3"/>
      <c r="AJ365" s="3"/>
      <c r="AK365" s="3"/>
      <c r="AL365" s="3"/>
      <c r="AM365" s="3"/>
      <c r="EO365" s="3"/>
      <c r="EP365" s="3"/>
      <c r="EQ365" s="3"/>
    </row>
    <row r="366" spans="1:147" x14ac:dyDescent="0.25">
      <c r="A366" s="3"/>
      <c r="B366" s="3"/>
      <c r="C366" s="3"/>
      <c r="E366" s="3"/>
      <c r="AJ366" s="3"/>
      <c r="AK366" s="3"/>
      <c r="AL366" s="3"/>
      <c r="AM366" s="3"/>
      <c r="EO366" s="3"/>
      <c r="EP366" s="3"/>
      <c r="EQ366" s="3"/>
    </row>
    <row r="367" spans="1:147" x14ac:dyDescent="0.25">
      <c r="A367" s="3"/>
      <c r="B367" s="3"/>
      <c r="C367" s="3"/>
      <c r="E367" s="3"/>
      <c r="AJ367" s="3"/>
      <c r="AK367" s="3"/>
      <c r="AL367" s="3"/>
      <c r="AM367" s="3"/>
      <c r="EO367" s="3"/>
      <c r="EP367" s="3"/>
      <c r="EQ367" s="3"/>
    </row>
    <row r="368" spans="1:147" x14ac:dyDescent="0.25">
      <c r="A368" s="3"/>
      <c r="B368" s="3"/>
      <c r="C368" s="3"/>
      <c r="E368" s="3"/>
      <c r="AJ368" s="3"/>
      <c r="AK368" s="3"/>
      <c r="AL368" s="3"/>
      <c r="AM368" s="3"/>
      <c r="EO368" s="3"/>
      <c r="EP368" s="3"/>
      <c r="EQ368" s="3"/>
    </row>
    <row r="369" spans="1:147" x14ac:dyDescent="0.25">
      <c r="A369" s="3"/>
      <c r="B369" s="3"/>
      <c r="C369" s="3"/>
      <c r="E369" s="3"/>
      <c r="AJ369" s="3"/>
      <c r="AK369" s="3"/>
      <c r="AL369" s="3"/>
      <c r="AM369" s="3"/>
      <c r="EO369" s="3"/>
      <c r="EP369" s="3"/>
      <c r="EQ369" s="3"/>
    </row>
    <row r="370" spans="1:147" x14ac:dyDescent="0.25">
      <c r="A370" s="3"/>
      <c r="B370" s="3"/>
      <c r="C370" s="3"/>
      <c r="E370" s="3"/>
      <c r="AJ370" s="3"/>
      <c r="AK370" s="3"/>
      <c r="AL370" s="3"/>
      <c r="AM370" s="3"/>
      <c r="EO370" s="3"/>
      <c r="EP370" s="3"/>
      <c r="EQ370" s="3"/>
    </row>
    <row r="371" spans="1:147" x14ac:dyDescent="0.25">
      <c r="A371" s="3"/>
      <c r="B371" s="3"/>
      <c r="C371" s="3"/>
      <c r="E371" s="3"/>
      <c r="AJ371" s="3"/>
      <c r="AK371" s="3"/>
      <c r="AL371" s="3"/>
      <c r="AM371" s="3"/>
      <c r="EO371" s="3"/>
      <c r="EP371" s="3"/>
      <c r="EQ371" s="3"/>
    </row>
    <row r="372" spans="1:147" x14ac:dyDescent="0.25">
      <c r="A372" s="3"/>
      <c r="B372" s="3"/>
      <c r="C372" s="3"/>
      <c r="E372" s="3"/>
      <c r="AJ372" s="3"/>
      <c r="AK372" s="3"/>
      <c r="AL372" s="3"/>
      <c r="AM372" s="3"/>
      <c r="EO372" s="3"/>
      <c r="EP372" s="3"/>
      <c r="EQ372" s="3"/>
    </row>
    <row r="373" spans="1:147" x14ac:dyDescent="0.25">
      <c r="A373" s="3"/>
      <c r="B373" s="3"/>
      <c r="C373" s="3"/>
      <c r="E373" s="3"/>
      <c r="AJ373" s="3"/>
      <c r="AK373" s="3"/>
      <c r="AL373" s="3"/>
      <c r="AM373" s="3"/>
      <c r="EO373" s="3"/>
      <c r="EP373" s="3"/>
      <c r="EQ373" s="3"/>
    </row>
    <row r="374" spans="1:147" x14ac:dyDescent="0.25">
      <c r="A374" s="3"/>
      <c r="B374" s="3"/>
      <c r="C374" s="3"/>
      <c r="E374" s="3"/>
      <c r="AJ374" s="3"/>
      <c r="AK374" s="3"/>
      <c r="AL374" s="3"/>
      <c r="AM374" s="3"/>
      <c r="EO374" s="3"/>
      <c r="EP374" s="3"/>
      <c r="EQ374" s="3"/>
    </row>
    <row r="375" spans="1:147" x14ac:dyDescent="0.25">
      <c r="A375" s="3"/>
      <c r="B375" s="3"/>
      <c r="C375" s="3"/>
      <c r="E375" s="3"/>
      <c r="AJ375" s="3"/>
      <c r="AK375" s="3"/>
      <c r="AL375" s="3"/>
      <c r="AM375" s="3"/>
      <c r="EO375" s="3"/>
      <c r="EP375" s="3"/>
      <c r="EQ375" s="3"/>
    </row>
    <row r="376" spans="1:147" x14ac:dyDescent="0.25">
      <c r="A376" s="3"/>
      <c r="B376" s="3"/>
      <c r="C376" s="3"/>
      <c r="E376" s="3"/>
      <c r="AJ376" s="3"/>
      <c r="AK376" s="3"/>
      <c r="AL376" s="3"/>
      <c r="AM376" s="3"/>
      <c r="EO376" s="3"/>
      <c r="EP376" s="3"/>
      <c r="EQ376" s="3"/>
    </row>
    <row r="377" spans="1:147" x14ac:dyDescent="0.25">
      <c r="A377" s="3"/>
      <c r="B377" s="3"/>
      <c r="C377" s="3"/>
      <c r="E377" s="3"/>
      <c r="AJ377" s="3"/>
      <c r="AK377" s="3"/>
      <c r="AL377" s="3"/>
      <c r="AM377" s="3"/>
      <c r="EO377" s="3"/>
      <c r="EP377" s="3"/>
      <c r="EQ377" s="3"/>
    </row>
    <row r="378" spans="1:147" x14ac:dyDescent="0.25">
      <c r="A378" s="3"/>
      <c r="B378" s="3"/>
      <c r="C378" s="3"/>
      <c r="E378" s="3"/>
      <c r="AJ378" s="3"/>
      <c r="AK378" s="3"/>
      <c r="AL378" s="3"/>
      <c r="AM378" s="3"/>
      <c r="EO378" s="3"/>
      <c r="EP378" s="3"/>
      <c r="EQ378" s="3"/>
    </row>
    <row r="379" spans="1:147" x14ac:dyDescent="0.25">
      <c r="A379" s="3"/>
      <c r="B379" s="3"/>
      <c r="C379" s="3"/>
      <c r="E379" s="3"/>
      <c r="AJ379" s="3"/>
      <c r="AK379" s="3"/>
      <c r="AL379" s="3"/>
      <c r="AM379" s="3"/>
      <c r="EO379" s="3"/>
      <c r="EP379" s="3"/>
      <c r="EQ379" s="3"/>
    </row>
    <row r="380" spans="1:147" x14ac:dyDescent="0.25">
      <c r="A380" s="3"/>
      <c r="B380" s="3"/>
      <c r="C380" s="3"/>
      <c r="E380" s="3"/>
      <c r="AJ380" s="3"/>
      <c r="AK380" s="3"/>
      <c r="AL380" s="3"/>
      <c r="AM380" s="3"/>
      <c r="EO380" s="3"/>
      <c r="EP380" s="3"/>
      <c r="EQ380" s="3"/>
    </row>
    <row r="381" spans="1:147" x14ac:dyDescent="0.25">
      <c r="A381" s="3"/>
      <c r="B381" s="3"/>
      <c r="C381" s="3"/>
      <c r="E381" s="3"/>
      <c r="AJ381" s="3"/>
      <c r="AK381" s="3"/>
      <c r="AL381" s="3"/>
      <c r="AM381" s="3"/>
      <c r="EO381" s="3"/>
      <c r="EP381" s="3"/>
      <c r="EQ381" s="3"/>
    </row>
    <row r="383" spans="1:147" x14ac:dyDescent="0.25">
      <c r="A383" s="3"/>
      <c r="B383" s="3"/>
      <c r="C383" s="3"/>
      <c r="E383" s="3"/>
      <c r="AJ383" s="3"/>
      <c r="AK383" s="3"/>
      <c r="AL383" s="3"/>
      <c r="AM383" s="3"/>
      <c r="EO383" s="3"/>
      <c r="EP383" s="3"/>
      <c r="EQ383" s="3"/>
    </row>
    <row r="384" spans="1:147" x14ac:dyDescent="0.25">
      <c r="A384" s="3"/>
      <c r="B384" s="3"/>
      <c r="C384" s="3"/>
      <c r="E384" s="3"/>
      <c r="AJ384" s="3"/>
      <c r="AK384" s="3"/>
      <c r="AL384" s="3"/>
      <c r="AM384" s="3"/>
      <c r="EO384" s="3"/>
      <c r="EP384" s="3"/>
      <c r="EQ384" s="3"/>
    </row>
    <row r="385" spans="1:147" x14ac:dyDescent="0.25">
      <c r="A385" s="3"/>
      <c r="B385" s="3"/>
      <c r="C385" s="3"/>
      <c r="E385" s="3"/>
      <c r="AJ385" s="3"/>
      <c r="AK385" s="3"/>
      <c r="AL385" s="3"/>
      <c r="AM385" s="3"/>
      <c r="EO385" s="3"/>
      <c r="EP385" s="3"/>
      <c r="EQ385" s="3"/>
    </row>
    <row r="386" spans="1:147" x14ac:dyDescent="0.25">
      <c r="A386" s="3"/>
      <c r="B386" s="3"/>
      <c r="C386" s="3"/>
      <c r="E386" s="3"/>
      <c r="AJ386" s="3"/>
      <c r="AK386" s="3"/>
      <c r="AL386" s="3"/>
      <c r="AM386" s="3"/>
      <c r="EO386" s="3"/>
      <c r="EP386" s="3"/>
      <c r="EQ386" s="3"/>
    </row>
    <row r="387" spans="1:147" x14ac:dyDescent="0.25">
      <c r="A387" s="3"/>
      <c r="B387" s="3"/>
      <c r="C387" s="3"/>
      <c r="E387" s="3"/>
      <c r="AJ387" s="3"/>
      <c r="AK387" s="3"/>
      <c r="AL387" s="3"/>
      <c r="AM387" s="3"/>
      <c r="EO387" s="3"/>
      <c r="EP387" s="3"/>
      <c r="EQ387" s="3"/>
    </row>
    <row r="388" spans="1:147" x14ac:dyDescent="0.25">
      <c r="A388" s="3"/>
      <c r="B388" s="3"/>
      <c r="C388" s="3"/>
      <c r="E388" s="3"/>
      <c r="AJ388" s="3"/>
      <c r="AK388" s="3"/>
      <c r="AL388" s="3"/>
      <c r="AM388" s="3"/>
      <c r="EO388" s="3"/>
      <c r="EP388" s="3"/>
      <c r="EQ388" s="3"/>
    </row>
    <row r="389" spans="1:147" x14ac:dyDescent="0.25">
      <c r="A389" s="3"/>
      <c r="B389" s="3"/>
      <c r="C389" s="3"/>
      <c r="E389" s="3"/>
      <c r="AJ389" s="3"/>
      <c r="AK389" s="3"/>
      <c r="AL389" s="3"/>
      <c r="AM389" s="3"/>
      <c r="EO389" s="3"/>
      <c r="EP389" s="3"/>
      <c r="EQ389" s="3"/>
    </row>
    <row r="390" spans="1:147" x14ac:dyDescent="0.25">
      <c r="A390" s="3"/>
      <c r="B390" s="3"/>
      <c r="C390" s="3"/>
      <c r="E390" s="3"/>
      <c r="AJ390" s="3"/>
      <c r="AK390" s="3"/>
      <c r="AL390" s="3"/>
      <c r="AM390" s="3"/>
      <c r="EO390" s="3"/>
      <c r="EP390" s="3"/>
      <c r="EQ390" s="3"/>
    </row>
    <row r="391" spans="1:147" x14ac:dyDescent="0.25">
      <c r="A391" s="3"/>
      <c r="B391" s="3"/>
      <c r="C391" s="3"/>
      <c r="E391" s="3"/>
      <c r="AJ391" s="3"/>
      <c r="AK391" s="3"/>
      <c r="AL391" s="3"/>
      <c r="AM391" s="3"/>
      <c r="EO391" s="3"/>
      <c r="EP391" s="3"/>
      <c r="EQ391" s="3"/>
    </row>
    <row r="392" spans="1:147" x14ac:dyDescent="0.25">
      <c r="A392" s="3"/>
      <c r="B392" s="3"/>
      <c r="C392" s="3"/>
      <c r="E392" s="3"/>
      <c r="AJ392" s="3"/>
      <c r="AK392" s="3"/>
      <c r="AL392" s="3"/>
      <c r="AM392" s="3"/>
      <c r="EO392" s="3"/>
      <c r="EP392" s="3"/>
      <c r="EQ392" s="3"/>
    </row>
    <row r="393" spans="1:147" x14ac:dyDescent="0.25">
      <c r="A393" s="3"/>
      <c r="B393" s="3"/>
      <c r="C393" s="3"/>
      <c r="E393" s="3"/>
      <c r="AJ393" s="3"/>
      <c r="AK393" s="3"/>
      <c r="AL393" s="3"/>
      <c r="AM393" s="3"/>
      <c r="EO393" s="3"/>
      <c r="EP393" s="3"/>
      <c r="EQ393" s="3"/>
    </row>
    <row r="394" spans="1:147" x14ac:dyDescent="0.25">
      <c r="A394" s="3"/>
      <c r="B394" s="3"/>
      <c r="C394" s="3"/>
      <c r="E394" s="3"/>
      <c r="AJ394" s="3"/>
      <c r="AK394" s="3"/>
      <c r="AL394" s="3"/>
      <c r="AM394" s="3"/>
      <c r="EO394" s="3"/>
      <c r="EP394" s="3"/>
      <c r="EQ394" s="3"/>
    </row>
    <row r="395" spans="1:147" x14ac:dyDescent="0.25">
      <c r="A395" s="3"/>
      <c r="B395" s="3"/>
      <c r="C395" s="3"/>
      <c r="E395" s="3"/>
      <c r="AJ395" s="3"/>
      <c r="AK395" s="3"/>
      <c r="AL395" s="3"/>
      <c r="AM395" s="3"/>
      <c r="EO395" s="3"/>
      <c r="EP395" s="3"/>
      <c r="EQ395" s="3"/>
    </row>
    <row r="396" spans="1:147" x14ac:dyDescent="0.25">
      <c r="A396" s="3"/>
      <c r="B396" s="3"/>
      <c r="C396" s="3"/>
      <c r="E396" s="3"/>
      <c r="AJ396" s="3"/>
      <c r="AK396" s="3"/>
      <c r="AL396" s="3"/>
      <c r="AM396" s="3"/>
      <c r="EO396" s="3"/>
      <c r="EP396" s="3"/>
      <c r="EQ396" s="3"/>
    </row>
    <row r="397" spans="1:147" x14ac:dyDescent="0.25">
      <c r="A397" s="3"/>
      <c r="B397" s="3"/>
      <c r="C397" s="3"/>
      <c r="E397" s="3"/>
      <c r="AJ397" s="3"/>
      <c r="AK397" s="3"/>
      <c r="AL397" s="3"/>
      <c r="AM397" s="3"/>
      <c r="EO397" s="3"/>
      <c r="EP397" s="3"/>
      <c r="EQ397" s="3"/>
    </row>
    <row r="398" spans="1:147" x14ac:dyDescent="0.25">
      <c r="A398" s="3"/>
      <c r="B398" s="3"/>
      <c r="C398" s="3"/>
      <c r="E398" s="3"/>
      <c r="AJ398" s="3"/>
      <c r="AK398" s="3"/>
      <c r="AL398" s="3"/>
      <c r="AM398" s="3"/>
      <c r="EO398" s="3"/>
      <c r="EP398" s="3"/>
      <c r="EQ398" s="3"/>
    </row>
    <row r="399" spans="1:147" x14ac:dyDescent="0.25">
      <c r="A399" s="3"/>
      <c r="B399" s="3"/>
      <c r="C399" s="3"/>
      <c r="E399" s="3"/>
      <c r="AJ399" s="3"/>
      <c r="AK399" s="3"/>
      <c r="AL399" s="3"/>
      <c r="AM399" s="3"/>
      <c r="EO399" s="3"/>
      <c r="EP399" s="3"/>
      <c r="EQ399" s="3"/>
    </row>
    <row r="400" spans="1:147" x14ac:dyDescent="0.25">
      <c r="A400" s="3"/>
      <c r="B400" s="3"/>
      <c r="C400" s="3"/>
      <c r="E400" s="3"/>
      <c r="AJ400" s="3"/>
      <c r="AK400" s="3"/>
      <c r="AL400" s="3"/>
      <c r="AM400" s="3"/>
      <c r="EO400" s="3"/>
      <c r="EP400" s="3"/>
      <c r="EQ400" s="3"/>
    </row>
    <row r="401" spans="1:147" x14ac:dyDescent="0.25">
      <c r="A401" s="3"/>
      <c r="B401" s="3"/>
      <c r="C401" s="3"/>
      <c r="E401" s="3"/>
      <c r="AJ401" s="3"/>
      <c r="AK401" s="3"/>
      <c r="AL401" s="3"/>
      <c r="AM401" s="3"/>
      <c r="EO401" s="3"/>
      <c r="EP401" s="3"/>
      <c r="EQ401" s="3"/>
    </row>
    <row r="402" spans="1:147" x14ac:dyDescent="0.25">
      <c r="A402" s="3"/>
      <c r="B402" s="3"/>
      <c r="C402" s="3"/>
      <c r="E402" s="3"/>
      <c r="AJ402" s="3"/>
      <c r="AK402" s="3"/>
      <c r="AL402" s="3"/>
      <c r="AM402" s="3"/>
      <c r="EO402" s="3"/>
      <c r="EP402" s="3"/>
      <c r="EQ402" s="3"/>
    </row>
    <row r="403" spans="1:147" x14ac:dyDescent="0.25">
      <c r="A403" s="3"/>
      <c r="B403" s="3"/>
      <c r="C403" s="3"/>
      <c r="E403" s="3"/>
      <c r="AJ403" s="3"/>
      <c r="AK403" s="3"/>
      <c r="AL403" s="3"/>
      <c r="AM403" s="3"/>
      <c r="EO403" s="3"/>
      <c r="EP403" s="3"/>
      <c r="EQ403" s="3"/>
    </row>
    <row r="404" spans="1:147" x14ac:dyDescent="0.25">
      <c r="A404" s="3"/>
      <c r="B404" s="3"/>
      <c r="C404" s="3"/>
      <c r="E404" s="3"/>
      <c r="AJ404" s="3"/>
      <c r="AK404" s="3"/>
      <c r="AL404" s="3"/>
      <c r="AM404" s="3"/>
      <c r="EO404" s="3"/>
      <c r="EP404" s="3"/>
      <c r="EQ404" s="3"/>
    </row>
    <row r="405" spans="1:147" x14ac:dyDescent="0.25">
      <c r="A405" s="3"/>
      <c r="B405" s="3"/>
      <c r="C405" s="3"/>
      <c r="E405" s="3"/>
      <c r="AJ405" s="3"/>
      <c r="AK405" s="3"/>
      <c r="AL405" s="3"/>
      <c r="AM405" s="3"/>
      <c r="EO405" s="3"/>
      <c r="EP405" s="3"/>
      <c r="EQ405" s="3"/>
    </row>
    <row r="406" spans="1:147" x14ac:dyDescent="0.25">
      <c r="A406" s="3"/>
      <c r="B406" s="3"/>
      <c r="C406" s="3"/>
      <c r="E406" s="3"/>
      <c r="AJ406" s="3"/>
      <c r="AK406" s="3"/>
      <c r="AL406" s="3"/>
      <c r="AM406" s="3"/>
      <c r="EO406" s="3"/>
      <c r="EP406" s="3"/>
      <c r="EQ406" s="3"/>
    </row>
    <row r="407" spans="1:147" x14ac:dyDescent="0.25">
      <c r="A407" s="3"/>
      <c r="B407" s="3"/>
      <c r="C407" s="3"/>
      <c r="E407" s="3"/>
      <c r="AJ407" s="3"/>
      <c r="AK407" s="3"/>
      <c r="AL407" s="3"/>
      <c r="AM407" s="3"/>
      <c r="EO407" s="3"/>
      <c r="EP407" s="3"/>
      <c r="EQ407" s="3"/>
    </row>
    <row r="408" spans="1:147" x14ac:dyDescent="0.25">
      <c r="A408" s="3"/>
      <c r="B408" s="3"/>
      <c r="C408" s="3"/>
      <c r="E408" s="3"/>
      <c r="AJ408" s="3"/>
      <c r="AK408" s="3"/>
      <c r="AL408" s="3"/>
      <c r="AM408" s="3"/>
      <c r="EO408" s="3"/>
      <c r="EP408" s="3"/>
      <c r="EQ408" s="3"/>
    </row>
    <row r="409" spans="1:147" x14ac:dyDescent="0.25">
      <c r="A409" s="3"/>
      <c r="B409" s="3"/>
      <c r="C409" s="3"/>
      <c r="E409" s="3"/>
      <c r="AJ409" s="3"/>
      <c r="AK409" s="3"/>
      <c r="AL409" s="3"/>
      <c r="AM409" s="3"/>
      <c r="EO409" s="3"/>
      <c r="EP409" s="3"/>
      <c r="EQ409" s="3"/>
    </row>
    <row r="410" spans="1:147" x14ac:dyDescent="0.25">
      <c r="A410" s="3"/>
      <c r="B410" s="3"/>
      <c r="C410" s="3"/>
      <c r="E410" s="3"/>
      <c r="AJ410" s="3"/>
      <c r="AK410" s="3"/>
      <c r="AL410" s="3"/>
      <c r="AM410" s="3"/>
      <c r="EO410" s="3"/>
      <c r="EP410" s="3"/>
      <c r="EQ410" s="3"/>
    </row>
    <row r="411" spans="1:147" x14ac:dyDescent="0.25">
      <c r="A411" s="3"/>
      <c r="B411" s="3"/>
      <c r="C411" s="3"/>
      <c r="E411" s="3"/>
      <c r="AJ411" s="3"/>
      <c r="AK411" s="3"/>
      <c r="AL411" s="3"/>
      <c r="AM411" s="3"/>
      <c r="EO411" s="3"/>
      <c r="EP411" s="3"/>
      <c r="EQ411" s="3"/>
    </row>
    <row r="412" spans="1:147" x14ac:dyDescent="0.25">
      <c r="A412" s="3"/>
      <c r="B412" s="3"/>
      <c r="C412" s="3"/>
      <c r="E412" s="3"/>
      <c r="AJ412" s="3"/>
      <c r="AK412" s="3"/>
      <c r="AL412" s="3"/>
      <c r="AM412" s="3"/>
      <c r="EO412" s="3"/>
      <c r="EP412" s="3"/>
      <c r="EQ412" s="3"/>
    </row>
    <row r="413" spans="1:147" x14ac:dyDescent="0.25">
      <c r="A413" s="3"/>
      <c r="B413" s="3"/>
      <c r="C413" s="3"/>
      <c r="E413" s="3"/>
      <c r="AJ413" s="3"/>
      <c r="AK413" s="3"/>
      <c r="AL413" s="3"/>
      <c r="AM413" s="3"/>
      <c r="EO413" s="3"/>
      <c r="EP413" s="3"/>
      <c r="EQ413" s="3"/>
    </row>
    <row r="414" spans="1:147" x14ac:dyDescent="0.25">
      <c r="A414" s="3"/>
      <c r="B414" s="3"/>
      <c r="C414" s="3"/>
      <c r="E414" s="3"/>
      <c r="AJ414" s="3"/>
      <c r="AK414" s="3"/>
      <c r="AL414" s="3"/>
      <c r="AM414" s="3"/>
      <c r="EO414" s="3"/>
      <c r="EP414" s="3"/>
      <c r="EQ414" s="3"/>
    </row>
    <row r="415" spans="1:147" x14ac:dyDescent="0.25">
      <c r="A415" s="3"/>
      <c r="B415" s="3"/>
      <c r="C415" s="3"/>
      <c r="E415" s="3"/>
      <c r="AJ415" s="3"/>
      <c r="AK415" s="3"/>
      <c r="AL415" s="3"/>
      <c r="AM415" s="3"/>
      <c r="EO415" s="3"/>
      <c r="EP415" s="3"/>
      <c r="EQ415" s="3"/>
    </row>
    <row r="416" spans="1:147" x14ac:dyDescent="0.25">
      <c r="A416" s="3"/>
      <c r="B416" s="3"/>
      <c r="C416" s="3"/>
      <c r="E416" s="3"/>
      <c r="AJ416" s="3"/>
      <c r="AK416" s="3"/>
      <c r="AL416" s="3"/>
      <c r="AM416" s="3"/>
      <c r="EO416" s="3"/>
      <c r="EP416" s="3"/>
      <c r="EQ416" s="3"/>
    </row>
    <row r="417" spans="1:147" x14ac:dyDescent="0.25">
      <c r="A417" s="3"/>
      <c r="B417" s="3"/>
      <c r="C417" s="3"/>
      <c r="E417" s="3"/>
      <c r="AJ417" s="3"/>
      <c r="AK417" s="3"/>
      <c r="AL417" s="3"/>
      <c r="AM417" s="3"/>
      <c r="EO417" s="3"/>
      <c r="EP417" s="3"/>
      <c r="EQ417" s="3"/>
    </row>
    <row r="418" spans="1:147" x14ac:dyDescent="0.25">
      <c r="A418" s="3"/>
      <c r="B418" s="3"/>
      <c r="C418" s="3"/>
      <c r="E418" s="3"/>
      <c r="AJ418" s="3"/>
      <c r="AK418" s="3"/>
      <c r="AL418" s="3"/>
      <c r="AM418" s="3"/>
      <c r="EO418" s="3"/>
      <c r="EP418" s="3"/>
      <c r="EQ418" s="3"/>
    </row>
    <row r="419" spans="1:147" x14ac:dyDescent="0.25">
      <c r="A419" s="3"/>
      <c r="B419" s="3"/>
      <c r="C419" s="3"/>
      <c r="E419" s="3"/>
      <c r="AJ419" s="3"/>
      <c r="AK419" s="3"/>
      <c r="AL419" s="3"/>
      <c r="AM419" s="3"/>
      <c r="EO419" s="3"/>
      <c r="EP419" s="3"/>
      <c r="EQ419" s="3"/>
    </row>
    <row r="420" spans="1:147" x14ac:dyDescent="0.25">
      <c r="A420" s="3"/>
      <c r="B420" s="3"/>
      <c r="C420" s="3"/>
      <c r="E420" s="3"/>
      <c r="AJ420" s="3"/>
      <c r="AK420" s="3"/>
      <c r="AL420" s="3"/>
      <c r="AM420" s="3"/>
      <c r="EO420" s="3"/>
      <c r="EP420" s="3"/>
      <c r="EQ420" s="3"/>
    </row>
    <row r="421" spans="1:147" x14ac:dyDescent="0.25">
      <c r="A421" s="3"/>
      <c r="B421" s="3"/>
      <c r="C421" s="3"/>
      <c r="E421" s="3"/>
      <c r="AJ421" s="3"/>
      <c r="AK421" s="3"/>
      <c r="AL421" s="3"/>
      <c r="AM421" s="3"/>
      <c r="EO421" s="3"/>
      <c r="EP421" s="3"/>
      <c r="EQ421" s="3"/>
    </row>
    <row r="422" spans="1:147" x14ac:dyDescent="0.25">
      <c r="A422" s="3"/>
      <c r="B422" s="3"/>
      <c r="C422" s="3"/>
      <c r="E422" s="3"/>
      <c r="AJ422" s="3"/>
      <c r="AK422" s="3"/>
      <c r="AL422" s="3"/>
      <c r="AM422" s="3"/>
      <c r="EO422" s="3"/>
      <c r="EP422" s="3"/>
      <c r="EQ422" s="3"/>
    </row>
    <row r="423" spans="1:147" x14ac:dyDescent="0.25">
      <c r="A423" s="3"/>
      <c r="B423" s="3"/>
      <c r="C423" s="3"/>
      <c r="E423" s="3"/>
      <c r="AJ423" s="3"/>
      <c r="AK423" s="3"/>
      <c r="AL423" s="3"/>
      <c r="AM423" s="3"/>
      <c r="EO423" s="3"/>
      <c r="EP423" s="3"/>
      <c r="EQ423" s="3"/>
    </row>
    <row r="424" spans="1:147" x14ac:dyDescent="0.25">
      <c r="A424" s="3"/>
      <c r="B424" s="3"/>
      <c r="C424" s="3"/>
      <c r="E424" s="3"/>
      <c r="AJ424" s="3"/>
      <c r="AK424" s="3"/>
      <c r="AL424" s="3"/>
      <c r="AM424" s="3"/>
      <c r="EO424" s="3"/>
      <c r="EP424" s="3"/>
      <c r="EQ424" s="3"/>
    </row>
    <row r="425" spans="1:147" x14ac:dyDescent="0.25">
      <c r="A425" s="3"/>
      <c r="B425" s="3"/>
      <c r="C425" s="3"/>
      <c r="E425" s="3"/>
      <c r="AJ425" s="3"/>
      <c r="AK425" s="3"/>
      <c r="AL425" s="3"/>
      <c r="AM425" s="3"/>
      <c r="EO425" s="3"/>
      <c r="EP425" s="3"/>
      <c r="EQ425" s="3"/>
    </row>
    <row r="426" spans="1:147" x14ac:dyDescent="0.25">
      <c r="A426" s="3"/>
      <c r="B426" s="3"/>
      <c r="C426" s="3"/>
      <c r="E426" s="3"/>
      <c r="AJ426" s="3"/>
      <c r="AK426" s="3"/>
      <c r="AL426" s="3"/>
      <c r="AM426" s="3"/>
      <c r="EO426" s="3"/>
      <c r="EP426" s="3"/>
      <c r="EQ426" s="3"/>
    </row>
    <row r="427" spans="1:147" x14ac:dyDescent="0.25">
      <c r="A427" s="3"/>
      <c r="B427" s="3"/>
      <c r="C427" s="3"/>
      <c r="E427" s="3"/>
      <c r="AJ427" s="3"/>
      <c r="AK427" s="3"/>
      <c r="AL427" s="3"/>
      <c r="AM427" s="3"/>
      <c r="EO427" s="3"/>
      <c r="EP427" s="3"/>
      <c r="EQ427" s="3"/>
    </row>
    <row r="428" spans="1:147" x14ac:dyDescent="0.25">
      <c r="A428" s="3"/>
      <c r="B428" s="3"/>
      <c r="C428" s="3"/>
      <c r="E428" s="3"/>
      <c r="AJ428" s="3"/>
      <c r="AK428" s="3"/>
      <c r="AL428" s="3"/>
      <c r="AM428" s="3"/>
      <c r="EO428" s="3"/>
      <c r="EP428" s="3"/>
      <c r="EQ428" s="3"/>
    </row>
    <row r="429" spans="1:147" x14ac:dyDescent="0.25">
      <c r="A429" s="3"/>
      <c r="B429" s="3"/>
      <c r="C429" s="3"/>
      <c r="E429" s="3"/>
      <c r="AJ429" s="3"/>
      <c r="AK429" s="3"/>
      <c r="AL429" s="3"/>
      <c r="AM429" s="3"/>
      <c r="EO429" s="3"/>
      <c r="EP429" s="3"/>
      <c r="EQ429" s="3"/>
    </row>
    <row r="430" spans="1:147" x14ac:dyDescent="0.25">
      <c r="A430" s="3"/>
      <c r="B430" s="3"/>
      <c r="C430" s="3"/>
      <c r="E430" s="3"/>
      <c r="AJ430" s="3"/>
      <c r="AK430" s="3"/>
      <c r="AL430" s="3"/>
      <c r="AM430" s="3"/>
      <c r="EO430" s="3"/>
      <c r="EP430" s="3"/>
      <c r="EQ430" s="3"/>
    </row>
    <row r="431" spans="1:147" x14ac:dyDescent="0.25">
      <c r="A431" s="3"/>
      <c r="B431" s="3"/>
      <c r="C431" s="3"/>
      <c r="E431" s="3"/>
      <c r="AJ431" s="3"/>
      <c r="AK431" s="3"/>
      <c r="AL431" s="3"/>
      <c r="AM431" s="3"/>
      <c r="EO431" s="3"/>
      <c r="EP431" s="3"/>
      <c r="EQ431" s="3"/>
    </row>
    <row r="432" spans="1:147" x14ac:dyDescent="0.25">
      <c r="A432" s="3"/>
      <c r="B432" s="3"/>
      <c r="C432" s="3"/>
      <c r="E432" s="3"/>
      <c r="AJ432" s="3"/>
      <c r="AK432" s="3"/>
      <c r="AL432" s="3"/>
      <c r="AM432" s="3"/>
      <c r="EO432" s="3"/>
      <c r="EP432" s="3"/>
      <c r="EQ432" s="3"/>
    </row>
    <row r="433" spans="1:147" x14ac:dyDescent="0.25">
      <c r="A433" s="3"/>
      <c r="B433" s="3"/>
      <c r="C433" s="3"/>
      <c r="E433" s="3"/>
      <c r="AJ433" s="3"/>
      <c r="AK433" s="3"/>
      <c r="AL433" s="3"/>
      <c r="AM433" s="3"/>
      <c r="EO433" s="3"/>
      <c r="EP433" s="3"/>
      <c r="EQ433" s="3"/>
    </row>
    <row r="434" spans="1:147" x14ac:dyDescent="0.25">
      <c r="A434" s="3"/>
      <c r="B434" s="3"/>
      <c r="C434" s="3"/>
      <c r="E434" s="3"/>
      <c r="AJ434" s="3"/>
      <c r="AK434" s="3"/>
      <c r="AL434" s="3"/>
      <c r="AM434" s="3"/>
      <c r="EO434" s="3"/>
      <c r="EP434" s="3"/>
      <c r="EQ434" s="3"/>
    </row>
    <row r="435" spans="1:147" x14ac:dyDescent="0.25">
      <c r="A435" s="3"/>
      <c r="B435" s="3"/>
      <c r="C435" s="3"/>
      <c r="E435" s="3"/>
      <c r="AJ435" s="3"/>
      <c r="AK435" s="3"/>
      <c r="AL435" s="3"/>
      <c r="AM435" s="3"/>
      <c r="EO435" s="3"/>
      <c r="EP435" s="3"/>
      <c r="EQ435" s="3"/>
    </row>
    <row r="436" spans="1:147" x14ac:dyDescent="0.25">
      <c r="A436" s="3"/>
      <c r="B436" s="3"/>
      <c r="C436" s="3"/>
      <c r="E436" s="3"/>
      <c r="AJ436" s="3"/>
      <c r="AK436" s="3"/>
      <c r="AL436" s="3"/>
      <c r="AM436" s="3"/>
      <c r="EO436" s="3"/>
      <c r="EP436" s="3"/>
      <c r="EQ436" s="3"/>
    </row>
    <row r="437" spans="1:147" x14ac:dyDescent="0.25">
      <c r="A437" s="3"/>
      <c r="B437" s="3"/>
      <c r="C437" s="3"/>
      <c r="E437" s="3"/>
      <c r="AJ437" s="3"/>
      <c r="AK437" s="3"/>
      <c r="AL437" s="3"/>
      <c r="AM437" s="3"/>
      <c r="EO437" s="3"/>
      <c r="EP437" s="3"/>
      <c r="EQ437" s="3"/>
    </row>
    <row r="438" spans="1:147" x14ac:dyDescent="0.25">
      <c r="A438" s="3"/>
      <c r="B438" s="3"/>
      <c r="C438" s="3"/>
      <c r="E438" s="3"/>
      <c r="AJ438" s="3"/>
      <c r="AK438" s="3"/>
      <c r="AL438" s="3"/>
      <c r="AM438" s="3"/>
      <c r="EO438" s="3"/>
      <c r="EP438" s="3"/>
      <c r="EQ438" s="3"/>
    </row>
    <row r="439" spans="1:147" x14ac:dyDescent="0.25">
      <c r="A439" s="3"/>
      <c r="B439" s="3"/>
      <c r="C439" s="3"/>
      <c r="E439" s="3"/>
      <c r="AJ439" s="3"/>
      <c r="AK439" s="3"/>
      <c r="AL439" s="3"/>
      <c r="AM439" s="3"/>
      <c r="EO439" s="3"/>
      <c r="EP439" s="3"/>
      <c r="EQ439" s="3"/>
    </row>
    <row r="440" spans="1:147" x14ac:dyDescent="0.25">
      <c r="A440" s="3"/>
      <c r="B440" s="3"/>
      <c r="C440" s="3"/>
      <c r="E440" s="3"/>
      <c r="AJ440" s="3"/>
      <c r="AK440" s="3"/>
      <c r="AL440" s="3"/>
      <c r="AM440" s="3"/>
      <c r="EO440" s="3"/>
      <c r="EP440" s="3"/>
      <c r="EQ440" s="3"/>
    </row>
    <row r="441" spans="1:147" x14ac:dyDescent="0.25">
      <c r="A441" s="3"/>
      <c r="B441" s="3"/>
      <c r="C441" s="3"/>
      <c r="E441" s="3"/>
      <c r="AJ441" s="3"/>
      <c r="AK441" s="3"/>
      <c r="AL441" s="3"/>
      <c r="AM441" s="3"/>
      <c r="EO441" s="3"/>
      <c r="EP441" s="3"/>
      <c r="EQ441" s="3"/>
    </row>
    <row r="442" spans="1:147" x14ac:dyDescent="0.25">
      <c r="A442" s="3"/>
      <c r="B442" s="3"/>
      <c r="C442" s="3"/>
      <c r="E442" s="3"/>
      <c r="AJ442" s="3"/>
      <c r="AK442" s="3"/>
      <c r="AL442" s="3"/>
      <c r="AM442" s="3"/>
      <c r="EO442" s="3"/>
      <c r="EP442" s="3"/>
      <c r="EQ442" s="3"/>
    </row>
    <row r="443" spans="1:147" x14ac:dyDescent="0.25">
      <c r="A443" s="3"/>
      <c r="B443" s="3"/>
      <c r="C443" s="3"/>
      <c r="E443" s="3"/>
      <c r="AJ443" s="3"/>
      <c r="AK443" s="3"/>
      <c r="AL443" s="3"/>
      <c r="AM443" s="3"/>
      <c r="EO443" s="3"/>
      <c r="EP443" s="3"/>
      <c r="EQ443" s="3"/>
    </row>
    <row r="444" spans="1:147" x14ac:dyDescent="0.25">
      <c r="A444" s="3"/>
      <c r="B444" s="3"/>
      <c r="C444" s="3"/>
      <c r="E444" s="3"/>
      <c r="AJ444" s="3"/>
      <c r="AK444" s="3"/>
      <c r="AL444" s="3"/>
      <c r="AM444" s="3"/>
      <c r="EO444" s="3"/>
      <c r="EP444" s="3"/>
      <c r="EQ444" s="3"/>
    </row>
    <row r="445" spans="1:147" x14ac:dyDescent="0.25">
      <c r="A445" s="3"/>
      <c r="B445" s="3"/>
      <c r="C445" s="3"/>
      <c r="E445" s="3"/>
      <c r="AJ445" s="3"/>
      <c r="AK445" s="3"/>
      <c r="AL445" s="3"/>
      <c r="AM445" s="3"/>
      <c r="EO445" s="3"/>
      <c r="EP445" s="3"/>
      <c r="EQ445" s="3"/>
    </row>
    <row r="446" spans="1:147" x14ac:dyDescent="0.25">
      <c r="A446" s="3"/>
      <c r="B446" s="3"/>
      <c r="C446" s="3"/>
      <c r="E446" s="3"/>
      <c r="AJ446" s="3"/>
      <c r="AK446" s="3"/>
      <c r="AL446" s="3"/>
      <c r="AM446" s="3"/>
      <c r="EO446" s="3"/>
      <c r="EP446" s="3"/>
      <c r="EQ446" s="3"/>
    </row>
    <row r="447" spans="1:147" x14ac:dyDescent="0.25">
      <c r="A447" s="3"/>
      <c r="B447" s="3"/>
      <c r="C447" s="3"/>
      <c r="E447" s="3"/>
      <c r="AJ447" s="3"/>
      <c r="AK447" s="3"/>
      <c r="AL447" s="3"/>
      <c r="AM447" s="3"/>
      <c r="EO447" s="3"/>
      <c r="EP447" s="3"/>
      <c r="EQ447" s="3"/>
    </row>
    <row r="448" spans="1:147" x14ac:dyDescent="0.25">
      <c r="A448" s="3"/>
      <c r="B448" s="3"/>
      <c r="C448" s="3"/>
      <c r="E448" s="3"/>
      <c r="AJ448" s="3"/>
      <c r="AK448" s="3"/>
      <c r="AL448" s="3"/>
      <c r="AM448" s="3"/>
      <c r="EO448" s="3"/>
      <c r="EP448" s="3"/>
      <c r="EQ448" s="3"/>
    </row>
    <row r="449" spans="1:147" x14ac:dyDescent="0.25">
      <c r="A449" s="3"/>
      <c r="B449" s="3"/>
      <c r="C449" s="3"/>
      <c r="E449" s="3"/>
      <c r="AJ449" s="3"/>
      <c r="AK449" s="3"/>
      <c r="AL449" s="3"/>
      <c r="AM449" s="3"/>
      <c r="EO449" s="3"/>
      <c r="EP449" s="3"/>
      <c r="EQ449" s="3"/>
    </row>
    <row r="450" spans="1:147" x14ac:dyDescent="0.25">
      <c r="A450" s="3"/>
      <c r="B450" s="3"/>
      <c r="C450" s="3"/>
      <c r="E450" s="3"/>
      <c r="AJ450" s="3"/>
      <c r="AK450" s="3"/>
      <c r="AL450" s="3"/>
      <c r="AM450" s="3"/>
      <c r="EO450" s="3"/>
      <c r="EP450" s="3"/>
      <c r="EQ450" s="3"/>
    </row>
    <row r="451" spans="1:147" x14ac:dyDescent="0.25">
      <c r="A451" s="3"/>
      <c r="B451" s="3"/>
      <c r="C451" s="3"/>
      <c r="E451" s="3"/>
      <c r="AJ451" s="3"/>
      <c r="AK451" s="3"/>
      <c r="AL451" s="3"/>
      <c r="AM451" s="3"/>
      <c r="EO451" s="3"/>
      <c r="EP451" s="3"/>
      <c r="EQ451" s="3"/>
    </row>
    <row r="452" spans="1:147" x14ac:dyDescent="0.25">
      <c r="A452" s="3"/>
      <c r="B452" s="3"/>
      <c r="C452" s="3"/>
      <c r="E452" s="3"/>
      <c r="AJ452" s="3"/>
      <c r="AK452" s="3"/>
      <c r="AL452" s="3"/>
      <c r="AM452" s="3"/>
      <c r="EO452" s="3"/>
      <c r="EP452" s="3"/>
      <c r="EQ452" s="3"/>
    </row>
    <row r="453" spans="1:147" x14ac:dyDescent="0.25">
      <c r="A453" s="3"/>
      <c r="B453" s="3"/>
      <c r="C453" s="3"/>
      <c r="E453" s="3"/>
      <c r="AJ453" s="3"/>
      <c r="AK453" s="3"/>
      <c r="AL453" s="3"/>
      <c r="AM453" s="3"/>
      <c r="EO453" s="3"/>
      <c r="EP453" s="3"/>
      <c r="EQ453" s="3"/>
    </row>
    <row r="454" spans="1:147" x14ac:dyDescent="0.25">
      <c r="A454" s="3"/>
      <c r="B454" s="3"/>
      <c r="C454" s="3"/>
      <c r="E454" s="3"/>
      <c r="AJ454" s="3"/>
      <c r="AK454" s="3"/>
      <c r="AL454" s="3"/>
      <c r="AM454" s="3"/>
      <c r="EO454" s="3"/>
      <c r="EP454" s="3"/>
      <c r="EQ454" s="3"/>
    </row>
    <row r="455" spans="1:147" x14ac:dyDescent="0.25">
      <c r="A455" s="3"/>
      <c r="B455" s="3"/>
      <c r="C455" s="3"/>
      <c r="E455" s="3"/>
      <c r="AJ455" s="3"/>
      <c r="AK455" s="3"/>
      <c r="AL455" s="3"/>
      <c r="AM455" s="3"/>
      <c r="EO455" s="3"/>
      <c r="EP455" s="3"/>
      <c r="EQ455" s="3"/>
    </row>
    <row r="456" spans="1:147" x14ac:dyDescent="0.25">
      <c r="A456" s="3"/>
      <c r="B456" s="3"/>
      <c r="C456" s="3"/>
      <c r="E456" s="3"/>
      <c r="AJ456" s="3"/>
      <c r="AK456" s="3"/>
      <c r="AL456" s="3"/>
      <c r="AM456" s="3"/>
      <c r="EO456" s="3"/>
      <c r="EP456" s="3"/>
      <c r="EQ456" s="3"/>
    </row>
    <row r="457" spans="1:147" x14ac:dyDescent="0.25">
      <c r="A457" s="3"/>
      <c r="B457" s="3"/>
      <c r="C457" s="3"/>
      <c r="E457" s="3"/>
      <c r="AJ457" s="3"/>
      <c r="AK457" s="3"/>
      <c r="AL457" s="3"/>
      <c r="AM457" s="3"/>
      <c r="EO457" s="3"/>
      <c r="EP457" s="3"/>
      <c r="EQ457" s="3"/>
    </row>
    <row r="460" spans="1:147" x14ac:dyDescent="0.25">
      <c r="A460" s="3"/>
      <c r="B460" s="3"/>
      <c r="C460" s="3"/>
      <c r="E460" s="3"/>
      <c r="AJ460" s="3"/>
      <c r="AK460" s="3"/>
      <c r="AL460" s="3"/>
      <c r="AM460" s="3"/>
      <c r="EO460" s="3"/>
      <c r="EP460" s="3"/>
      <c r="EQ460" s="3"/>
    </row>
    <row r="461" spans="1:147" x14ac:dyDescent="0.25">
      <c r="A461" s="3"/>
      <c r="B461" s="3"/>
      <c r="C461" s="3"/>
      <c r="E461" s="3"/>
      <c r="AJ461" s="3"/>
      <c r="AK461" s="3"/>
      <c r="AL461" s="3"/>
      <c r="AM461" s="3"/>
      <c r="EO461" s="3"/>
      <c r="EP461" s="3"/>
      <c r="EQ461" s="3"/>
    </row>
    <row r="462" spans="1:147" x14ac:dyDescent="0.25">
      <c r="A462" s="3"/>
      <c r="B462" s="3"/>
      <c r="C462" s="3"/>
      <c r="E462" s="3"/>
      <c r="AJ462" s="3"/>
      <c r="AK462" s="3"/>
      <c r="AL462" s="3"/>
      <c r="AM462" s="3"/>
      <c r="EO462" s="3"/>
      <c r="EP462" s="3"/>
      <c r="EQ462" s="3"/>
    </row>
    <row r="463" spans="1:147" x14ac:dyDescent="0.25">
      <c r="A463" s="3"/>
      <c r="B463" s="3"/>
      <c r="C463" s="3"/>
      <c r="E463" s="3"/>
      <c r="AJ463" s="3"/>
      <c r="AK463" s="3"/>
      <c r="AL463" s="3"/>
      <c r="AM463" s="3"/>
      <c r="EO463" s="3"/>
      <c r="EP463" s="3"/>
      <c r="EQ463" s="3"/>
    </row>
    <row r="464" spans="1:147" x14ac:dyDescent="0.25">
      <c r="A464" s="3"/>
      <c r="B464" s="3"/>
      <c r="C464" s="3"/>
      <c r="E464" s="3"/>
      <c r="AJ464" s="3"/>
      <c r="AK464" s="3"/>
      <c r="AL464" s="3"/>
      <c r="AM464" s="3"/>
      <c r="EO464" s="3"/>
      <c r="EP464" s="3"/>
      <c r="EQ464" s="3"/>
    </row>
    <row r="465" spans="1:147" x14ac:dyDescent="0.25">
      <c r="A465" s="3"/>
      <c r="B465" s="3"/>
      <c r="C465" s="3"/>
      <c r="E465" s="3"/>
      <c r="AJ465" s="3"/>
      <c r="AK465" s="3"/>
      <c r="AL465" s="3"/>
      <c r="AM465" s="3"/>
      <c r="EO465" s="3"/>
      <c r="EP465" s="3"/>
      <c r="EQ465" s="3"/>
    </row>
    <row r="466" spans="1:147" x14ac:dyDescent="0.25">
      <c r="A466" s="3"/>
      <c r="B466" s="3"/>
      <c r="C466" s="3"/>
      <c r="E466" s="3"/>
      <c r="AJ466" s="3"/>
      <c r="AK466" s="3"/>
      <c r="AL466" s="3"/>
      <c r="AM466" s="3"/>
      <c r="EO466" s="3"/>
      <c r="EP466" s="3"/>
      <c r="EQ466" s="3"/>
    </row>
    <row r="467" spans="1:147" x14ac:dyDescent="0.25">
      <c r="A467" s="3"/>
      <c r="B467" s="3"/>
      <c r="C467" s="3"/>
      <c r="E467" s="3"/>
      <c r="AJ467" s="3"/>
      <c r="AK467" s="3"/>
      <c r="AL467" s="3"/>
      <c r="AM467" s="3"/>
      <c r="EO467" s="3"/>
      <c r="EP467" s="3"/>
      <c r="EQ467" s="3"/>
    </row>
    <row r="468" spans="1:147" x14ac:dyDescent="0.25">
      <c r="A468" s="3"/>
      <c r="B468" s="3"/>
      <c r="C468" s="3"/>
      <c r="E468" s="3"/>
      <c r="AJ468" s="3"/>
      <c r="AK468" s="3"/>
      <c r="AL468" s="3"/>
      <c r="AM468" s="3"/>
      <c r="EO468" s="3"/>
      <c r="EP468" s="3"/>
      <c r="EQ468" s="3"/>
    </row>
    <row r="469" spans="1:147" x14ac:dyDescent="0.25">
      <c r="A469" s="3"/>
      <c r="B469" s="3"/>
      <c r="C469" s="3"/>
      <c r="E469" s="3"/>
      <c r="AJ469" s="3"/>
      <c r="AK469" s="3"/>
      <c r="AL469" s="3"/>
      <c r="AM469" s="3"/>
      <c r="EO469" s="3"/>
      <c r="EP469" s="3"/>
      <c r="EQ469" s="3"/>
    </row>
    <row r="470" spans="1:147" x14ac:dyDescent="0.25">
      <c r="A470" s="3"/>
      <c r="B470" s="3"/>
      <c r="C470" s="3"/>
      <c r="E470" s="3"/>
      <c r="AJ470" s="3"/>
      <c r="AK470" s="3"/>
      <c r="AL470" s="3"/>
      <c r="AM470" s="3"/>
      <c r="EO470" s="3"/>
      <c r="EP470" s="3"/>
      <c r="EQ470" s="3"/>
    </row>
    <row r="471" spans="1:147" x14ac:dyDescent="0.25">
      <c r="A471" s="3"/>
      <c r="B471" s="3"/>
      <c r="C471" s="3"/>
      <c r="E471" s="3"/>
      <c r="AJ471" s="3"/>
      <c r="AK471" s="3"/>
      <c r="AL471" s="3"/>
      <c r="AM471" s="3"/>
      <c r="EO471" s="3"/>
      <c r="EP471" s="3"/>
      <c r="EQ471" s="3"/>
    </row>
    <row r="472" spans="1:147" x14ac:dyDescent="0.25">
      <c r="A472" s="3"/>
      <c r="B472" s="3"/>
      <c r="C472" s="3"/>
      <c r="E472" s="3"/>
      <c r="AJ472" s="3"/>
      <c r="AK472" s="3"/>
      <c r="AL472" s="3"/>
      <c r="AM472" s="3"/>
      <c r="EO472" s="3"/>
      <c r="EP472" s="3"/>
      <c r="EQ472" s="3"/>
    </row>
    <row r="473" spans="1:147" x14ac:dyDescent="0.25">
      <c r="A473" s="3"/>
      <c r="B473" s="3"/>
      <c r="C473" s="3"/>
      <c r="E473" s="3"/>
      <c r="AJ473" s="3"/>
      <c r="AK473" s="3"/>
      <c r="AL473" s="3"/>
      <c r="AM473" s="3"/>
      <c r="EO473" s="3"/>
      <c r="EP473" s="3"/>
      <c r="EQ473" s="3"/>
    </row>
    <row r="474" spans="1:147" x14ac:dyDescent="0.25">
      <c r="A474" s="3"/>
      <c r="B474" s="3"/>
      <c r="C474" s="3"/>
      <c r="E474" s="3"/>
      <c r="AJ474" s="3"/>
      <c r="AK474" s="3"/>
      <c r="AL474" s="3"/>
      <c r="AM474" s="3"/>
      <c r="EO474" s="3"/>
      <c r="EP474" s="3"/>
      <c r="EQ474" s="3"/>
    </row>
    <row r="475" spans="1:147" x14ac:dyDescent="0.25">
      <c r="A475" s="3"/>
      <c r="B475" s="3"/>
      <c r="C475" s="3"/>
      <c r="E475" s="3"/>
      <c r="AJ475" s="3"/>
      <c r="AK475" s="3"/>
      <c r="AL475" s="3"/>
      <c r="AM475" s="3"/>
      <c r="EO475" s="3"/>
      <c r="EP475" s="3"/>
      <c r="EQ475" s="3"/>
    </row>
    <row r="476" spans="1:147" x14ac:dyDescent="0.25">
      <c r="A476" s="3"/>
      <c r="B476" s="3"/>
      <c r="C476" s="3"/>
      <c r="E476" s="3"/>
      <c r="AJ476" s="3"/>
      <c r="AK476" s="3"/>
      <c r="AL476" s="3"/>
      <c r="AM476" s="3"/>
      <c r="EO476" s="3"/>
      <c r="EP476" s="3"/>
      <c r="EQ476" s="3"/>
    </row>
    <row r="477" spans="1:147" x14ac:dyDescent="0.25">
      <c r="A477" s="3"/>
      <c r="B477" s="3"/>
      <c r="C477" s="3"/>
      <c r="E477" s="3"/>
      <c r="AJ477" s="3"/>
      <c r="AK477" s="3"/>
      <c r="AL477" s="3"/>
      <c r="AM477" s="3"/>
      <c r="EO477" s="3"/>
      <c r="EP477" s="3"/>
      <c r="EQ477" s="3"/>
    </row>
    <row r="478" spans="1:147" x14ac:dyDescent="0.25">
      <c r="A478" s="3"/>
      <c r="B478" s="3"/>
      <c r="C478" s="3"/>
      <c r="E478" s="3"/>
      <c r="AJ478" s="3"/>
      <c r="AK478" s="3"/>
      <c r="AL478" s="3"/>
      <c r="AM478" s="3"/>
      <c r="EO478" s="3"/>
      <c r="EP478" s="3"/>
      <c r="EQ478" s="3"/>
    </row>
    <row r="479" spans="1:147" x14ac:dyDescent="0.25">
      <c r="A479" s="3"/>
      <c r="B479" s="3"/>
      <c r="C479" s="3"/>
      <c r="E479" s="3"/>
      <c r="AJ479" s="3"/>
      <c r="AK479" s="3"/>
      <c r="AL479" s="3"/>
      <c r="AM479" s="3"/>
      <c r="EO479" s="3"/>
      <c r="EP479" s="3"/>
      <c r="EQ479" s="3"/>
    </row>
    <row r="480" spans="1:147" x14ac:dyDescent="0.25">
      <c r="A480" s="3"/>
      <c r="B480" s="3"/>
      <c r="C480" s="3"/>
      <c r="E480" s="3"/>
      <c r="AJ480" s="3"/>
      <c r="AK480" s="3"/>
      <c r="AL480" s="3"/>
      <c r="AM480" s="3"/>
      <c r="EO480" s="3"/>
      <c r="EP480" s="3"/>
      <c r="EQ480" s="3"/>
    </row>
    <row r="481" spans="1:147" x14ac:dyDescent="0.25">
      <c r="A481" s="3"/>
      <c r="B481" s="3"/>
      <c r="C481" s="3"/>
      <c r="E481" s="3"/>
      <c r="AJ481" s="3"/>
      <c r="AK481" s="3"/>
      <c r="AL481" s="3"/>
      <c r="AM481" s="3"/>
      <c r="EO481" s="3"/>
      <c r="EP481" s="3"/>
      <c r="EQ481" s="3"/>
    </row>
    <row r="482" spans="1:147" x14ac:dyDescent="0.25">
      <c r="A482" s="3"/>
      <c r="B482" s="3"/>
      <c r="C482" s="3"/>
      <c r="E482" s="3"/>
      <c r="AJ482" s="3"/>
      <c r="AK482" s="3"/>
      <c r="AL482" s="3"/>
      <c r="AM482" s="3"/>
      <c r="EO482" s="3"/>
      <c r="EP482" s="3"/>
      <c r="EQ482" s="3"/>
    </row>
    <row r="483" spans="1:147" x14ac:dyDescent="0.25">
      <c r="A483" s="3"/>
      <c r="B483" s="3"/>
      <c r="C483" s="3"/>
      <c r="E483" s="3"/>
      <c r="AJ483" s="3"/>
      <c r="AK483" s="3"/>
      <c r="AL483" s="3"/>
      <c r="AM483" s="3"/>
      <c r="EO483" s="3"/>
      <c r="EP483" s="3"/>
      <c r="EQ483" s="3"/>
    </row>
    <row r="484" spans="1:147" x14ac:dyDescent="0.25">
      <c r="A484" s="3"/>
      <c r="B484" s="3"/>
      <c r="C484" s="3"/>
      <c r="E484" s="3"/>
      <c r="AJ484" s="3"/>
      <c r="AK484" s="3"/>
      <c r="AL484" s="3"/>
      <c r="AM484" s="3"/>
      <c r="EO484" s="3"/>
      <c r="EP484" s="3"/>
      <c r="EQ484" s="3"/>
    </row>
    <row r="485" spans="1:147" x14ac:dyDescent="0.25">
      <c r="A485" s="3"/>
      <c r="B485" s="3"/>
      <c r="C485" s="3"/>
      <c r="E485" s="3"/>
      <c r="AJ485" s="3"/>
      <c r="AK485" s="3"/>
      <c r="AL485" s="3"/>
      <c r="AM485" s="3"/>
      <c r="EO485" s="3"/>
      <c r="EP485" s="3"/>
      <c r="EQ485" s="3"/>
    </row>
    <row r="486" spans="1:147" x14ac:dyDescent="0.25">
      <c r="A486" s="3"/>
      <c r="B486" s="3"/>
      <c r="C486" s="3"/>
      <c r="E486" s="3"/>
      <c r="AJ486" s="3"/>
      <c r="AK486" s="3"/>
      <c r="AL486" s="3"/>
      <c r="AM486" s="3"/>
      <c r="EO486" s="3"/>
      <c r="EP486" s="3"/>
      <c r="EQ486" s="3"/>
    </row>
    <row r="487" spans="1:147" x14ac:dyDescent="0.25">
      <c r="A487" s="3"/>
      <c r="B487" s="3"/>
      <c r="C487" s="3"/>
      <c r="E487" s="3"/>
      <c r="AJ487" s="3"/>
      <c r="AK487" s="3"/>
      <c r="AL487" s="3"/>
      <c r="AM487" s="3"/>
      <c r="EO487" s="3"/>
      <c r="EP487" s="3"/>
      <c r="EQ487" s="3"/>
    </row>
    <row r="488" spans="1:147" x14ac:dyDescent="0.25">
      <c r="A488" s="3"/>
      <c r="B488" s="3"/>
      <c r="C488" s="3"/>
      <c r="E488" s="3"/>
      <c r="AJ488" s="3"/>
      <c r="AK488" s="3"/>
      <c r="AL488" s="3"/>
      <c r="AM488" s="3"/>
      <c r="EO488" s="3"/>
      <c r="EP488" s="3"/>
      <c r="EQ488" s="3"/>
    </row>
    <row r="489" spans="1:147" x14ac:dyDescent="0.25">
      <c r="A489" s="3"/>
      <c r="B489" s="3"/>
      <c r="C489" s="3"/>
      <c r="E489" s="3"/>
      <c r="AJ489" s="3"/>
      <c r="AK489" s="3"/>
      <c r="AL489" s="3"/>
      <c r="AM489" s="3"/>
      <c r="EO489" s="3"/>
      <c r="EP489" s="3"/>
      <c r="EQ489" s="3"/>
    </row>
    <row r="490" spans="1:147" x14ac:dyDescent="0.25">
      <c r="A490" s="3"/>
      <c r="B490" s="3"/>
      <c r="C490" s="3"/>
      <c r="E490" s="3"/>
      <c r="AJ490" s="3"/>
      <c r="AK490" s="3"/>
      <c r="AL490" s="3"/>
      <c r="AM490" s="3"/>
      <c r="EO490" s="3"/>
      <c r="EP490" s="3"/>
      <c r="EQ490" s="3"/>
    </row>
    <row r="491" spans="1:147" x14ac:dyDescent="0.25">
      <c r="A491" s="3"/>
      <c r="B491" s="3"/>
      <c r="C491" s="3"/>
      <c r="E491" s="3"/>
      <c r="AJ491" s="3"/>
      <c r="AK491" s="3"/>
      <c r="AL491" s="3"/>
      <c r="AM491" s="3"/>
      <c r="EO491" s="3"/>
      <c r="EP491" s="3"/>
      <c r="EQ491" s="3"/>
    </row>
    <row r="492" spans="1:147" x14ac:dyDescent="0.25">
      <c r="A492" s="3"/>
      <c r="B492" s="3"/>
      <c r="C492" s="3"/>
      <c r="E492" s="3"/>
      <c r="AJ492" s="3"/>
      <c r="AK492" s="3"/>
      <c r="AL492" s="3"/>
      <c r="AM492" s="3"/>
      <c r="EO492" s="3"/>
      <c r="EP492" s="3"/>
      <c r="EQ492" s="3"/>
    </row>
    <row r="493" spans="1:147" x14ac:dyDescent="0.25">
      <c r="A493" s="3"/>
      <c r="B493" s="3"/>
      <c r="C493" s="3"/>
      <c r="E493" s="3"/>
      <c r="AJ493" s="3"/>
      <c r="AK493" s="3"/>
      <c r="AL493" s="3"/>
      <c r="AM493" s="3"/>
      <c r="EO493" s="3"/>
      <c r="EP493" s="3"/>
      <c r="EQ493" s="3"/>
    </row>
    <row r="494" spans="1:147" x14ac:dyDescent="0.25">
      <c r="A494" s="3"/>
      <c r="B494" s="3"/>
      <c r="C494" s="3"/>
      <c r="E494" s="3"/>
      <c r="AJ494" s="3"/>
      <c r="AK494" s="3"/>
      <c r="AL494" s="3"/>
      <c r="AM494" s="3"/>
      <c r="EO494" s="3"/>
      <c r="EP494" s="3"/>
      <c r="EQ494" s="3"/>
    </row>
    <row r="495" spans="1:147" x14ac:dyDescent="0.25">
      <c r="A495" s="3"/>
      <c r="B495" s="3"/>
      <c r="C495" s="3"/>
      <c r="E495" s="3"/>
      <c r="AJ495" s="3"/>
      <c r="AK495" s="3"/>
      <c r="AL495" s="3"/>
      <c r="AM495" s="3"/>
      <c r="EO495" s="3"/>
      <c r="EP495" s="3"/>
      <c r="EQ495" s="3"/>
    </row>
    <row r="496" spans="1:147" x14ac:dyDescent="0.25">
      <c r="A496" s="3"/>
      <c r="B496" s="3"/>
      <c r="C496" s="3"/>
      <c r="E496" s="3"/>
      <c r="AJ496" s="3"/>
      <c r="AK496" s="3"/>
      <c r="AL496" s="3"/>
      <c r="AM496" s="3"/>
      <c r="EO496" s="3"/>
      <c r="EP496" s="3"/>
      <c r="EQ496" s="3"/>
    </row>
    <row r="497" spans="1:147" x14ac:dyDescent="0.25">
      <c r="A497" s="3"/>
      <c r="B497" s="3"/>
      <c r="C497" s="3"/>
      <c r="E497" s="3"/>
      <c r="AJ497" s="3"/>
      <c r="AK497" s="3"/>
      <c r="AL497" s="3"/>
      <c r="AM497" s="3"/>
      <c r="EO497" s="3"/>
      <c r="EP497" s="3"/>
      <c r="EQ497" s="3"/>
    </row>
    <row r="498" spans="1:147" x14ac:dyDescent="0.25">
      <c r="A498" s="3"/>
      <c r="B498" s="3"/>
      <c r="C498" s="3"/>
      <c r="E498" s="3"/>
      <c r="AJ498" s="3"/>
      <c r="AK498" s="3"/>
      <c r="AL498" s="3"/>
      <c r="AM498" s="3"/>
      <c r="EO498" s="3"/>
      <c r="EP498" s="3"/>
      <c r="EQ498" s="3"/>
    </row>
    <row r="499" spans="1:147" x14ac:dyDescent="0.25">
      <c r="A499" s="3"/>
      <c r="B499" s="3"/>
      <c r="C499" s="3"/>
      <c r="E499" s="3"/>
      <c r="AJ499" s="3"/>
      <c r="AK499" s="3"/>
      <c r="AL499" s="3"/>
      <c r="AM499" s="3"/>
      <c r="EO499" s="3"/>
      <c r="EP499" s="3"/>
      <c r="EQ499" s="3"/>
    </row>
    <row r="500" spans="1:147" x14ac:dyDescent="0.25">
      <c r="A500" s="3"/>
      <c r="B500" s="3"/>
      <c r="C500" s="3"/>
      <c r="E500" s="3"/>
      <c r="AJ500" s="3"/>
      <c r="AK500" s="3"/>
      <c r="AL500" s="3"/>
      <c r="AM500" s="3"/>
      <c r="EO500" s="3"/>
      <c r="EP500" s="3"/>
      <c r="EQ500" s="3"/>
    </row>
    <row r="501" spans="1:147" x14ac:dyDescent="0.25">
      <c r="A501" s="3"/>
      <c r="B501" s="3"/>
      <c r="C501" s="3"/>
      <c r="E501" s="3"/>
      <c r="AJ501" s="3"/>
      <c r="AK501" s="3"/>
      <c r="AL501" s="3"/>
      <c r="AM501" s="3"/>
      <c r="EO501" s="3"/>
      <c r="EP501" s="3"/>
      <c r="EQ501" s="3"/>
    </row>
    <row r="502" spans="1:147" x14ac:dyDescent="0.25">
      <c r="A502" s="3"/>
      <c r="B502" s="3"/>
      <c r="C502" s="3"/>
      <c r="E502" s="3"/>
      <c r="AJ502" s="3"/>
      <c r="AK502" s="3"/>
      <c r="AL502" s="3"/>
      <c r="AM502" s="3"/>
      <c r="EO502" s="3"/>
      <c r="EP502" s="3"/>
      <c r="EQ502" s="3"/>
    </row>
    <row r="503" spans="1:147" x14ac:dyDescent="0.25">
      <c r="A503" s="3"/>
      <c r="B503" s="3"/>
      <c r="C503" s="3"/>
      <c r="E503" s="3"/>
      <c r="AJ503" s="3"/>
      <c r="AK503" s="3"/>
      <c r="AL503" s="3"/>
      <c r="AM503" s="3"/>
      <c r="EO503" s="3"/>
      <c r="EP503" s="3"/>
      <c r="EQ503" s="3"/>
    </row>
    <row r="504" spans="1:147" x14ac:dyDescent="0.25">
      <c r="A504" s="3"/>
      <c r="B504" s="3"/>
      <c r="C504" s="3"/>
      <c r="E504" s="3"/>
      <c r="AJ504" s="3"/>
      <c r="AK504" s="3"/>
      <c r="AL504" s="3"/>
      <c r="AM504" s="3"/>
      <c r="EO504" s="3"/>
      <c r="EP504" s="3"/>
      <c r="EQ504" s="3"/>
    </row>
    <row r="505" spans="1:147" x14ac:dyDescent="0.25">
      <c r="A505" s="3"/>
      <c r="B505" s="3"/>
      <c r="C505" s="3"/>
      <c r="E505" s="3"/>
      <c r="AJ505" s="3"/>
      <c r="AK505" s="3"/>
      <c r="AL505" s="3"/>
      <c r="AM505" s="3"/>
      <c r="EO505" s="3"/>
      <c r="EP505" s="3"/>
      <c r="EQ505" s="3"/>
    </row>
    <row r="506" spans="1:147" x14ac:dyDescent="0.25">
      <c r="A506" s="3"/>
      <c r="B506" s="3"/>
      <c r="C506" s="3"/>
      <c r="E506" s="3"/>
      <c r="AJ506" s="3"/>
      <c r="AK506" s="3"/>
      <c r="AL506" s="3"/>
      <c r="AM506" s="3"/>
      <c r="EO506" s="3"/>
      <c r="EP506" s="3"/>
      <c r="EQ506" s="3"/>
    </row>
    <row r="507" spans="1:147" x14ac:dyDescent="0.25">
      <c r="A507" s="3"/>
      <c r="B507" s="3"/>
      <c r="C507" s="3"/>
      <c r="E507" s="3"/>
      <c r="AJ507" s="3"/>
      <c r="AK507" s="3"/>
      <c r="AL507" s="3"/>
      <c r="AM507" s="3"/>
      <c r="EO507" s="3"/>
      <c r="EP507" s="3"/>
      <c r="EQ507" s="3"/>
    </row>
    <row r="508" spans="1:147" x14ac:dyDescent="0.25">
      <c r="A508" s="3"/>
      <c r="B508" s="3"/>
      <c r="C508" s="3"/>
      <c r="E508" s="3"/>
      <c r="AJ508" s="3"/>
      <c r="AK508" s="3"/>
      <c r="AL508" s="3"/>
      <c r="AM508" s="3"/>
      <c r="EO508" s="3"/>
      <c r="EP508" s="3"/>
      <c r="EQ508" s="3"/>
    </row>
    <row r="509" spans="1:147" x14ac:dyDescent="0.25">
      <c r="A509" s="3"/>
      <c r="B509" s="3"/>
      <c r="C509" s="3"/>
      <c r="E509" s="3"/>
      <c r="AJ509" s="3"/>
      <c r="AK509" s="3"/>
      <c r="AL509" s="3"/>
      <c r="AM509" s="3"/>
      <c r="EO509" s="3"/>
      <c r="EP509" s="3"/>
      <c r="EQ509" s="3"/>
    </row>
    <row r="510" spans="1:147" x14ac:dyDescent="0.25">
      <c r="A510" s="3"/>
      <c r="B510" s="3"/>
      <c r="C510" s="3"/>
      <c r="E510" s="3"/>
      <c r="AJ510" s="3"/>
      <c r="AK510" s="3"/>
      <c r="AL510" s="3"/>
      <c r="AM510" s="3"/>
      <c r="EO510" s="3"/>
      <c r="EP510" s="3"/>
      <c r="EQ510" s="3"/>
    </row>
    <row r="511" spans="1:147" x14ac:dyDescent="0.25">
      <c r="A511" s="3"/>
      <c r="B511" s="3"/>
      <c r="C511" s="3"/>
      <c r="E511" s="3"/>
      <c r="AJ511" s="3"/>
      <c r="AK511" s="3"/>
      <c r="AL511" s="3"/>
      <c r="AM511" s="3"/>
      <c r="EO511" s="3"/>
      <c r="EP511" s="3"/>
      <c r="EQ511" s="3"/>
    </row>
    <row r="512" spans="1:147" x14ac:dyDescent="0.25">
      <c r="A512" s="3"/>
      <c r="B512" s="3"/>
      <c r="C512" s="3"/>
      <c r="E512" s="3"/>
      <c r="AJ512" s="3"/>
      <c r="AK512" s="3"/>
      <c r="AL512" s="3"/>
      <c r="AM512" s="3"/>
      <c r="EO512" s="3"/>
      <c r="EP512" s="3"/>
      <c r="EQ512" s="3"/>
    </row>
    <row r="513" spans="1:147" x14ac:dyDescent="0.25">
      <c r="A513" s="3"/>
      <c r="B513" s="3"/>
      <c r="C513" s="3"/>
      <c r="E513" s="3"/>
      <c r="AJ513" s="3"/>
      <c r="AK513" s="3"/>
      <c r="AL513" s="3"/>
      <c r="AM513" s="3"/>
      <c r="EO513" s="3"/>
      <c r="EP513" s="3"/>
      <c r="EQ513" s="3"/>
    </row>
    <row r="514" spans="1:147" x14ac:dyDescent="0.25">
      <c r="A514" s="3"/>
      <c r="B514" s="3"/>
      <c r="C514" s="3"/>
      <c r="E514" s="3"/>
      <c r="AJ514" s="3"/>
      <c r="AK514" s="3"/>
      <c r="AL514" s="3"/>
      <c r="AM514" s="3"/>
      <c r="EO514" s="3"/>
      <c r="EP514" s="3"/>
      <c r="EQ514" s="3"/>
    </row>
    <row r="515" spans="1:147" x14ac:dyDescent="0.25">
      <c r="A515" s="3"/>
      <c r="B515" s="3"/>
      <c r="C515" s="3"/>
      <c r="E515" s="3"/>
      <c r="AJ515" s="3"/>
      <c r="AK515" s="3"/>
      <c r="AL515" s="3"/>
      <c r="AM515" s="3"/>
      <c r="EO515" s="3"/>
      <c r="EP515" s="3"/>
      <c r="EQ515" s="3"/>
    </row>
    <row r="516" spans="1:147" x14ac:dyDescent="0.25">
      <c r="A516" s="3"/>
      <c r="B516" s="3"/>
      <c r="C516" s="3"/>
      <c r="E516" s="3"/>
      <c r="AJ516" s="3"/>
      <c r="AK516" s="3"/>
      <c r="AL516" s="3"/>
      <c r="AM516" s="3"/>
      <c r="EO516" s="3"/>
      <c r="EP516" s="3"/>
      <c r="EQ516" s="3"/>
    </row>
    <row r="517" spans="1:147" x14ac:dyDescent="0.25">
      <c r="A517" s="3"/>
      <c r="B517" s="3"/>
      <c r="C517" s="3"/>
      <c r="E517" s="3"/>
      <c r="AJ517" s="3"/>
      <c r="AK517" s="3"/>
      <c r="AL517" s="3"/>
      <c r="AM517" s="3"/>
      <c r="EO517" s="3"/>
      <c r="EP517" s="3"/>
      <c r="EQ517" s="3"/>
    </row>
    <row r="518" spans="1:147" x14ac:dyDescent="0.25">
      <c r="A518" s="3"/>
      <c r="B518" s="3"/>
      <c r="C518" s="3"/>
      <c r="E518" s="3"/>
      <c r="AJ518" s="3"/>
      <c r="AK518" s="3"/>
      <c r="AL518" s="3"/>
      <c r="AM518" s="3"/>
      <c r="EO518" s="3"/>
      <c r="EP518" s="3"/>
      <c r="EQ518" s="3"/>
    </row>
    <row r="519" spans="1:147" x14ac:dyDescent="0.25">
      <c r="A519" s="3"/>
      <c r="B519" s="3"/>
      <c r="C519" s="3"/>
      <c r="E519" s="3"/>
      <c r="AJ519" s="3"/>
      <c r="AK519" s="3"/>
      <c r="AL519" s="3"/>
      <c r="AM519" s="3"/>
      <c r="EO519" s="3"/>
      <c r="EP519" s="3"/>
      <c r="EQ519" s="3"/>
    </row>
    <row r="520" spans="1:147" x14ac:dyDescent="0.25">
      <c r="A520" s="3"/>
      <c r="B520" s="3"/>
      <c r="C520" s="3"/>
      <c r="E520" s="3"/>
      <c r="AJ520" s="3"/>
      <c r="AK520" s="3"/>
      <c r="AL520" s="3"/>
      <c r="AM520" s="3"/>
      <c r="EO520" s="3"/>
      <c r="EP520" s="3"/>
      <c r="EQ520" s="3"/>
    </row>
    <row r="521" spans="1:147" x14ac:dyDescent="0.25">
      <c r="A521" s="3"/>
      <c r="B521" s="3"/>
      <c r="C521" s="3"/>
      <c r="E521" s="3"/>
      <c r="AJ521" s="3"/>
      <c r="AK521" s="3"/>
      <c r="AL521" s="3"/>
      <c r="AM521" s="3"/>
      <c r="EO521" s="3"/>
      <c r="EP521" s="3"/>
      <c r="EQ521" s="3"/>
    </row>
    <row r="522" spans="1:147" x14ac:dyDescent="0.25">
      <c r="A522" s="3"/>
      <c r="B522" s="3"/>
      <c r="C522" s="3"/>
      <c r="E522" s="3"/>
      <c r="AJ522" s="3"/>
      <c r="AK522" s="3"/>
      <c r="AL522" s="3"/>
      <c r="AM522" s="3"/>
      <c r="EO522" s="3"/>
      <c r="EP522" s="3"/>
      <c r="EQ522" s="3"/>
    </row>
    <row r="523" spans="1:147" x14ac:dyDescent="0.25">
      <c r="A523" s="3"/>
      <c r="B523" s="3"/>
      <c r="C523" s="3"/>
      <c r="E523" s="3"/>
      <c r="AJ523" s="3"/>
      <c r="AK523" s="3"/>
      <c r="AL523" s="3"/>
      <c r="AM523" s="3"/>
      <c r="EO523" s="3"/>
      <c r="EP523" s="3"/>
      <c r="EQ523" s="3"/>
    </row>
    <row r="524" spans="1:147" x14ac:dyDescent="0.25">
      <c r="A524" s="3"/>
      <c r="B524" s="3"/>
      <c r="C524" s="3"/>
      <c r="E524" s="3"/>
      <c r="AJ524" s="3"/>
      <c r="AK524" s="3"/>
      <c r="AL524" s="3"/>
      <c r="AM524" s="3"/>
      <c r="EO524" s="3"/>
      <c r="EP524" s="3"/>
      <c r="EQ524" s="3"/>
    </row>
    <row r="525" spans="1:147" x14ac:dyDescent="0.25">
      <c r="A525" s="3"/>
      <c r="B525" s="3"/>
      <c r="C525" s="3"/>
      <c r="E525" s="3"/>
      <c r="AJ525" s="3"/>
      <c r="AK525" s="3"/>
      <c r="AL525" s="3"/>
      <c r="AM525" s="3"/>
      <c r="EO525" s="3"/>
      <c r="EP525" s="3"/>
      <c r="EQ525" s="3"/>
    </row>
    <row r="526" spans="1:147" x14ac:dyDescent="0.25">
      <c r="A526" s="3"/>
      <c r="B526" s="3"/>
      <c r="C526" s="3"/>
      <c r="E526" s="3"/>
      <c r="AJ526" s="3"/>
      <c r="AK526" s="3"/>
      <c r="AL526" s="3"/>
      <c r="AM526" s="3"/>
      <c r="EO526" s="3"/>
      <c r="EP526" s="3"/>
      <c r="EQ526" s="3"/>
    </row>
    <row r="527" spans="1:147" x14ac:dyDescent="0.25">
      <c r="A527" s="3"/>
      <c r="B527" s="3"/>
      <c r="C527" s="3"/>
      <c r="E527" s="3"/>
      <c r="AJ527" s="3"/>
      <c r="AK527" s="3"/>
      <c r="AL527" s="3"/>
      <c r="AM527" s="3"/>
      <c r="EO527" s="3"/>
      <c r="EP527" s="3"/>
      <c r="EQ527" s="3"/>
    </row>
    <row r="528" spans="1:147" x14ac:dyDescent="0.25">
      <c r="A528" s="3"/>
      <c r="B528" s="3"/>
      <c r="C528" s="3"/>
      <c r="E528" s="3"/>
      <c r="AJ528" s="3"/>
      <c r="AK528" s="3"/>
      <c r="AL528" s="3"/>
      <c r="AM528" s="3"/>
      <c r="EO528" s="3"/>
      <c r="EP528" s="3"/>
      <c r="EQ528" s="3"/>
    </row>
    <row r="529" spans="1:147" x14ac:dyDescent="0.25">
      <c r="A529" s="3"/>
      <c r="B529" s="3"/>
      <c r="C529" s="3"/>
      <c r="E529" s="3"/>
      <c r="AJ529" s="3"/>
      <c r="AK529" s="3"/>
      <c r="AL529" s="3"/>
      <c r="AM529" s="3"/>
      <c r="EO529" s="3"/>
      <c r="EP529" s="3"/>
      <c r="EQ529" s="3"/>
    </row>
    <row r="530" spans="1:147" x14ac:dyDescent="0.25">
      <c r="A530" s="3"/>
      <c r="B530" s="3"/>
      <c r="C530" s="3"/>
      <c r="E530" s="3"/>
      <c r="AJ530" s="3"/>
      <c r="AK530" s="3"/>
      <c r="AL530" s="3"/>
      <c r="AM530" s="3"/>
      <c r="EO530" s="3"/>
      <c r="EP530" s="3"/>
      <c r="EQ530" s="3"/>
    </row>
    <row r="531" spans="1:147" x14ac:dyDescent="0.25">
      <c r="A531" s="3"/>
      <c r="B531" s="3"/>
      <c r="C531" s="3"/>
      <c r="E531" s="3"/>
      <c r="AJ531" s="3"/>
      <c r="AK531" s="3"/>
      <c r="AL531" s="3"/>
      <c r="AM531" s="3"/>
      <c r="EO531" s="3"/>
      <c r="EP531" s="3"/>
      <c r="EQ531" s="3"/>
    </row>
    <row r="532" spans="1:147" x14ac:dyDescent="0.25">
      <c r="A532" s="3"/>
      <c r="B532" s="3"/>
      <c r="C532" s="3"/>
      <c r="E532" s="3"/>
      <c r="AJ532" s="3"/>
      <c r="AK532" s="3"/>
      <c r="AL532" s="3"/>
      <c r="AM532" s="3"/>
      <c r="EO532" s="3"/>
      <c r="EP532" s="3"/>
      <c r="EQ532" s="3"/>
    </row>
    <row r="533" spans="1:147" x14ac:dyDescent="0.25">
      <c r="A533" s="3"/>
      <c r="B533" s="3"/>
      <c r="C533" s="3"/>
      <c r="E533" s="3"/>
      <c r="AJ533" s="3"/>
      <c r="AK533" s="3"/>
      <c r="AL533" s="3"/>
      <c r="AM533" s="3"/>
      <c r="EO533" s="3"/>
      <c r="EP533" s="3"/>
      <c r="EQ533" s="3"/>
    </row>
    <row r="534" spans="1:147" x14ac:dyDescent="0.25">
      <c r="A534" s="3"/>
      <c r="B534" s="3"/>
      <c r="C534" s="3"/>
      <c r="E534" s="3"/>
      <c r="AJ534" s="3"/>
      <c r="AK534" s="3"/>
      <c r="AL534" s="3"/>
      <c r="AM534" s="3"/>
      <c r="EO534" s="3"/>
      <c r="EP534" s="3"/>
      <c r="EQ534" s="3"/>
    </row>
    <row r="536" spans="1:147" x14ac:dyDescent="0.25">
      <c r="A536" s="3"/>
      <c r="B536" s="3"/>
      <c r="C536" s="3"/>
      <c r="E536" s="3"/>
      <c r="AJ536" s="3"/>
      <c r="AK536" s="3"/>
      <c r="AL536" s="3"/>
      <c r="AM536" s="3"/>
      <c r="EO536" s="3"/>
      <c r="EP536" s="3"/>
      <c r="EQ536" s="3"/>
    </row>
    <row r="537" spans="1:147" x14ac:dyDescent="0.25">
      <c r="A537" s="3"/>
      <c r="B537" s="3"/>
      <c r="C537" s="3"/>
      <c r="E537" s="3"/>
      <c r="AJ537" s="3"/>
      <c r="AK537" s="3"/>
      <c r="AL537" s="3"/>
      <c r="AM537" s="3"/>
      <c r="EO537" s="3"/>
      <c r="EP537" s="3"/>
      <c r="EQ537" s="3"/>
    </row>
    <row r="538" spans="1:147" x14ac:dyDescent="0.25">
      <c r="A538" s="3"/>
      <c r="B538" s="3"/>
      <c r="C538" s="3"/>
      <c r="E538" s="3"/>
      <c r="AJ538" s="3"/>
      <c r="AK538" s="3"/>
      <c r="AL538" s="3"/>
      <c r="AM538" s="3"/>
      <c r="EO538" s="3"/>
      <c r="EP538" s="3"/>
      <c r="EQ538" s="3"/>
    </row>
    <row r="539" spans="1:147" x14ac:dyDescent="0.25">
      <c r="A539" s="3"/>
      <c r="B539" s="3"/>
      <c r="C539" s="3"/>
      <c r="E539" s="3"/>
      <c r="AJ539" s="3"/>
      <c r="AK539" s="3"/>
      <c r="AL539" s="3"/>
      <c r="AM539" s="3"/>
      <c r="EO539" s="3"/>
      <c r="EP539" s="3"/>
      <c r="EQ539" s="3"/>
    </row>
  </sheetData>
  <mergeCells count="45">
    <mergeCell ref="HT4:HV4"/>
    <mergeCell ref="HX4:HZ4"/>
    <mergeCell ref="IB4:ID4"/>
    <mergeCell ref="IF4:IH4"/>
    <mergeCell ref="IJ4:IL4"/>
    <mergeCell ref="CN4:CP4"/>
    <mergeCell ref="CR4:CT4"/>
    <mergeCell ref="CV4:CX4"/>
    <mergeCell ref="DP4:DR4"/>
    <mergeCell ref="HL4:HN4"/>
    <mergeCell ref="HP4:HR4"/>
    <mergeCell ref="GN3:GP3"/>
    <mergeCell ref="GR3:GT3"/>
    <mergeCell ref="GV3:GX3"/>
    <mergeCell ref="GZ3:HB3"/>
    <mergeCell ref="HD3:HF3"/>
    <mergeCell ref="D4:F4"/>
    <mergeCell ref="H4:J4"/>
    <mergeCell ref="L4:N4"/>
    <mergeCell ref="AV4:AX4"/>
    <mergeCell ref="CF4:CH4"/>
    <mergeCell ref="FP3:FR3"/>
    <mergeCell ref="FT3:FV3"/>
    <mergeCell ref="FX3:FZ3"/>
    <mergeCell ref="GB3:GD3"/>
    <mergeCell ref="GF3:GH3"/>
    <mergeCell ref="GJ3:GL3"/>
    <mergeCell ref="ER3:ET3"/>
    <mergeCell ref="EV3:EX3"/>
    <mergeCell ref="EZ3:FB3"/>
    <mergeCell ref="FD3:FF3"/>
    <mergeCell ref="FH3:FJ3"/>
    <mergeCell ref="FL3:FN3"/>
    <mergeCell ref="DT3:DV3"/>
    <mergeCell ref="DX3:DZ3"/>
    <mergeCell ref="EB3:ED3"/>
    <mergeCell ref="EF3:EH3"/>
    <mergeCell ref="EJ3:EL3"/>
    <mergeCell ref="EN3:EP3"/>
    <mergeCell ref="CF2:CH2"/>
    <mergeCell ref="P3:R3"/>
    <mergeCell ref="X3:Z3"/>
    <mergeCell ref="AV3:AX3"/>
    <mergeCell ref="CB3:CD3"/>
    <mergeCell ref="CF3:CH3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T88"/>
  <sheetViews>
    <sheetView topLeftCell="A10" workbookViewId="0">
      <selection activeCell="B32" sqref="B32"/>
    </sheetView>
  </sheetViews>
  <sheetFormatPr defaultColWidth="9.140625" defaultRowHeight="15.75" x14ac:dyDescent="0.25"/>
  <cols>
    <col min="1" max="1" width="5.28515625" style="472" customWidth="1"/>
    <col min="2" max="2" width="64.5703125" style="568" customWidth="1"/>
    <col min="3" max="3" width="8" style="568" customWidth="1"/>
    <col min="4" max="4" width="24.85546875" style="519" customWidth="1"/>
    <col min="5" max="5" width="28.28515625" style="519" customWidth="1"/>
    <col min="6" max="6" width="16.5703125" style="519" customWidth="1"/>
    <col min="7" max="7" width="1.28515625" style="519" customWidth="1"/>
    <col min="8" max="8" width="20.5703125" style="472" bestFit="1" customWidth="1"/>
    <col min="9" max="9" width="19.28515625" style="472" bestFit="1" customWidth="1"/>
    <col min="10" max="10" width="17.7109375" style="472" bestFit="1" customWidth="1"/>
    <col min="11" max="11" width="1.28515625" style="519" customWidth="1"/>
    <col min="12" max="13" width="19.28515625" style="472" bestFit="1" customWidth="1"/>
    <col min="14" max="14" width="18.85546875" style="472" bestFit="1" customWidth="1"/>
    <col min="15" max="15" width="4.85546875" style="519" customWidth="1"/>
    <col min="16" max="16" width="18.7109375" style="472" bestFit="1" customWidth="1"/>
    <col min="17" max="17" width="19.5703125" style="472" customWidth="1"/>
    <col min="18" max="18" width="23" style="472" bestFit="1" customWidth="1"/>
    <col min="19" max="19" width="8.42578125" style="519" customWidth="1"/>
    <col min="20" max="20" width="19" style="472" customWidth="1"/>
    <col min="21" max="21" width="22.7109375" style="472" customWidth="1"/>
    <col min="22" max="22" width="21.85546875" style="472" customWidth="1"/>
    <col min="23" max="23" width="3.42578125" style="519" customWidth="1"/>
    <col min="24" max="24" width="22.5703125" style="472" customWidth="1"/>
    <col min="25" max="25" width="24.42578125" style="472" bestFit="1" customWidth="1"/>
    <col min="26" max="26" width="20.7109375" style="472" bestFit="1" customWidth="1"/>
    <col min="27" max="27" width="4.42578125" style="519" customWidth="1"/>
    <col min="28" max="28" width="20.42578125" style="472" bestFit="1" customWidth="1"/>
    <col min="29" max="29" width="17.42578125" style="472" bestFit="1" customWidth="1"/>
    <col min="30" max="30" width="17.5703125" style="472" bestFit="1" customWidth="1"/>
    <col min="31" max="31" width="5" style="519" customWidth="1"/>
    <col min="32" max="32" width="17.42578125" style="472" bestFit="1" customWidth="1"/>
    <col min="33" max="33" width="17.140625" style="472" customWidth="1"/>
    <col min="34" max="34" width="17.5703125" style="472" bestFit="1" customWidth="1"/>
    <col min="35" max="35" width="8.28515625" style="519" customWidth="1"/>
    <col min="36" max="37" width="17.42578125" style="472" bestFit="1" customWidth="1"/>
    <col min="38" max="38" width="16.5703125" style="472" customWidth="1"/>
    <col min="39" max="39" width="8" style="472" customWidth="1"/>
    <col min="40" max="40" width="19.28515625" style="472" bestFit="1" customWidth="1"/>
    <col min="41" max="41" width="25.85546875" style="472" bestFit="1" customWidth="1"/>
    <col min="42" max="42" width="19.42578125" style="472" bestFit="1" customWidth="1"/>
    <col min="43" max="43" width="4.42578125" style="519" customWidth="1"/>
    <col min="44" max="45" width="17.42578125" style="472" bestFit="1" customWidth="1"/>
    <col min="46" max="46" width="17.5703125" style="472" bestFit="1" customWidth="1"/>
    <col min="47" max="47" width="6.140625" style="519" customWidth="1"/>
    <col min="48" max="48" width="17.42578125" style="472" bestFit="1" customWidth="1"/>
    <col min="49" max="49" width="22.28515625" style="472" bestFit="1" customWidth="1"/>
    <col min="50" max="50" width="17.5703125" style="472" bestFit="1" customWidth="1"/>
    <col min="51" max="51" width="3.140625" style="519" customWidth="1"/>
    <col min="52" max="52" width="19.28515625" style="472" bestFit="1" customWidth="1"/>
    <col min="53" max="53" width="19.140625" style="472" customWidth="1"/>
    <col min="54" max="54" width="16.140625" style="472" customWidth="1"/>
    <col min="55" max="55" width="3.85546875" style="519" customWidth="1"/>
    <col min="56" max="56" width="18.42578125" style="472" customWidth="1"/>
    <col min="57" max="57" width="19.140625" style="472" customWidth="1"/>
    <col min="58" max="58" width="20" style="472" customWidth="1"/>
    <col min="59" max="59" width="4.140625" style="519" customWidth="1"/>
    <col min="60" max="61" width="19.28515625" style="472" bestFit="1" customWidth="1"/>
    <col min="62" max="62" width="19.7109375" style="472" bestFit="1" customWidth="1"/>
    <col min="63" max="63" width="4.5703125" style="519" customWidth="1"/>
    <col min="64" max="64" width="19.28515625" style="472" bestFit="1" customWidth="1"/>
    <col min="65" max="65" width="20.28515625" style="472" customWidth="1"/>
    <col min="66" max="66" width="19.28515625" style="472" customWidth="1"/>
    <col min="67" max="67" width="18.85546875" style="519" customWidth="1"/>
    <col min="68" max="68" width="18.7109375" style="472" customWidth="1"/>
    <col min="69" max="69" width="23.7109375" style="472" customWidth="1"/>
    <col min="70" max="70" width="17.5703125" style="472" bestFit="1" customWidth="1"/>
    <col min="71" max="71" width="16" style="519" bestFit="1" customWidth="1"/>
    <col min="72" max="72" width="19.28515625" style="472" bestFit="1" customWidth="1"/>
    <col min="73" max="73" width="22.28515625" style="472" bestFit="1" customWidth="1"/>
    <col min="74" max="74" width="19.42578125" style="472" bestFit="1" customWidth="1"/>
    <col min="75" max="75" width="7.140625" style="519" customWidth="1"/>
    <col min="76" max="76" width="19.140625" style="472" customWidth="1"/>
    <col min="77" max="77" width="19.5703125" style="472" customWidth="1"/>
    <col min="78" max="78" width="20" style="472" customWidth="1"/>
    <col min="79" max="79" width="5.85546875" style="519" customWidth="1"/>
    <col min="80" max="80" width="19.85546875" style="472" customWidth="1"/>
    <col min="81" max="81" width="18.28515625" style="472" customWidth="1"/>
    <col min="82" max="82" width="21.28515625" style="472" customWidth="1"/>
    <col min="83" max="83" width="6.5703125" style="519" customWidth="1"/>
    <col min="84" max="84" width="18.28515625" style="472" customWidth="1"/>
    <col min="85" max="85" width="19.5703125" style="472" customWidth="1"/>
    <col min="86" max="86" width="20.5703125" style="472" customWidth="1"/>
    <col min="87" max="87" width="5.5703125" style="519" customWidth="1"/>
    <col min="88" max="89" width="20.5703125" style="472" customWidth="1"/>
    <col min="90" max="90" width="22" style="472" customWidth="1"/>
    <col min="91" max="91" width="4.140625" style="519" customWidth="1"/>
    <col min="92" max="92" width="19.7109375" style="472" customWidth="1"/>
    <col min="93" max="93" width="20.28515625" style="472" customWidth="1"/>
    <col min="94" max="94" width="21.42578125" style="472" customWidth="1"/>
    <col min="95" max="95" width="4.5703125" style="519" customWidth="1"/>
    <col min="96" max="96" width="22.28515625" style="472" customWidth="1"/>
    <col min="97" max="97" width="20.5703125" style="472" customWidth="1"/>
    <col min="98" max="98" width="26.42578125" style="472" customWidth="1"/>
    <col min="99" max="99" width="4" style="519" customWidth="1"/>
    <col min="100" max="100" width="23.28515625" style="472" customWidth="1"/>
    <col min="101" max="101" width="19.5703125" style="472" customWidth="1"/>
    <col min="102" max="102" width="26.42578125" style="472" customWidth="1"/>
    <col min="103" max="103" width="5.85546875" style="519" customWidth="1"/>
    <col min="104" max="104" width="25.5703125" style="472" customWidth="1"/>
    <col min="105" max="105" width="24" style="472" customWidth="1"/>
    <col min="106" max="106" width="23.42578125" style="472" customWidth="1"/>
    <col min="107" max="107" width="21.5703125" style="519" customWidth="1"/>
    <col min="108" max="109" width="20.28515625" style="472" bestFit="1" customWidth="1"/>
    <col min="110" max="110" width="24" style="472" customWidth="1"/>
    <col min="111" max="111" width="2.140625" style="519" customWidth="1"/>
    <col min="112" max="113" width="19.5703125" style="472" customWidth="1"/>
    <col min="114" max="114" width="19.140625" style="472" bestFit="1" customWidth="1"/>
    <col min="115" max="115" width="6.28515625" style="519" customWidth="1"/>
    <col min="116" max="116" width="20.5703125" style="472" customWidth="1"/>
    <col min="117" max="117" width="22.140625" style="472" bestFit="1" customWidth="1"/>
    <col min="118" max="118" width="20.28515625" style="472" bestFit="1" customWidth="1"/>
    <col min="119" max="119" width="5.42578125" style="519" customWidth="1"/>
    <col min="120" max="120" width="20.28515625" style="472" bestFit="1" customWidth="1"/>
    <col min="121" max="121" width="22.140625" style="472" bestFit="1" customWidth="1"/>
    <col min="122" max="122" width="20.5703125" style="472" customWidth="1"/>
    <col min="123" max="123" width="6.5703125" style="472" customWidth="1"/>
    <col min="124" max="126" width="20.5703125" style="472" customWidth="1"/>
    <col min="127" max="127" width="16.140625" style="472" customWidth="1"/>
    <col min="128" max="128" width="20" style="472" customWidth="1"/>
    <col min="129" max="130" width="20.5703125" style="472" customWidth="1"/>
    <col min="131" max="131" width="5.5703125" style="472" customWidth="1"/>
    <col min="132" max="134" width="20.5703125" style="472" customWidth="1"/>
    <col min="135" max="135" width="3.7109375" style="472" customWidth="1"/>
    <col min="136" max="138" width="20.5703125" style="472" customWidth="1"/>
    <col min="139" max="139" width="20" style="472" customWidth="1"/>
    <col min="140" max="142" width="21.7109375" style="472" customWidth="1"/>
    <col min="143" max="143" width="4.42578125" style="519" customWidth="1"/>
    <col min="144" max="146" width="23.7109375" style="519" customWidth="1"/>
    <col min="147" max="147" width="5.42578125" style="519" customWidth="1"/>
    <col min="148" max="150" width="23.7109375" style="519" customWidth="1"/>
    <col min="151" max="151" width="6.42578125" style="519" customWidth="1"/>
    <col min="152" max="152" width="23.7109375" style="519" customWidth="1"/>
    <col min="153" max="153" width="20.7109375" style="519" customWidth="1"/>
    <col min="154" max="154" width="23.7109375" style="519" customWidth="1"/>
    <col min="155" max="155" width="6.28515625" style="519" customWidth="1"/>
    <col min="156" max="158" width="23.7109375" style="519" customWidth="1"/>
    <col min="159" max="159" width="5.7109375" style="519" customWidth="1"/>
    <col min="160" max="162" width="23.7109375" style="519" customWidth="1"/>
    <col min="163" max="163" width="5.28515625" style="519" customWidth="1"/>
    <col min="164" max="166" width="20.7109375" style="519" customWidth="1"/>
    <col min="167" max="167" width="4.7109375" style="519" customWidth="1"/>
    <col min="168" max="170" width="20.7109375" style="519" customWidth="1"/>
    <col min="171" max="171" width="4.42578125" style="519" customWidth="1"/>
    <col min="172" max="174" width="20.7109375" style="519" customWidth="1"/>
    <col min="175" max="175" width="4.85546875" style="519" customWidth="1"/>
    <col min="176" max="178" width="20.7109375" style="519" customWidth="1"/>
    <col min="179" max="179" width="5.140625" style="519" customWidth="1"/>
    <col min="180" max="182" width="20.7109375" style="519" customWidth="1"/>
    <col min="183" max="183" width="5.7109375" style="519" customWidth="1"/>
    <col min="184" max="184" width="19.7109375" style="519" customWidth="1"/>
    <col min="185" max="185" width="17" style="519" customWidth="1"/>
    <col min="186" max="186" width="19.5703125" style="519" customWidth="1"/>
    <col min="187" max="187" width="5.7109375" style="519" customWidth="1"/>
    <col min="188" max="188" width="19.85546875" style="519" customWidth="1"/>
    <col min="189" max="189" width="17.28515625" style="519" customWidth="1"/>
    <col min="190" max="190" width="19.28515625" style="519" customWidth="1"/>
    <col min="191" max="191" width="5.7109375" style="519" customWidth="1"/>
    <col min="192" max="192" width="18.28515625" style="519" customWidth="1"/>
    <col min="193" max="193" width="15.28515625" style="519" customWidth="1"/>
    <col min="194" max="194" width="17.42578125" style="519" customWidth="1"/>
    <col min="195" max="195" width="5.7109375" style="519" customWidth="1"/>
    <col min="196" max="196" width="20" style="519" customWidth="1"/>
    <col min="197" max="197" width="17" style="519" customWidth="1"/>
    <col min="198" max="198" width="18.85546875" style="519" customWidth="1"/>
    <col min="199" max="199" width="5.7109375" style="519" customWidth="1"/>
    <col min="200" max="200" width="18" style="519" customWidth="1"/>
    <col min="201" max="201" width="18.85546875" style="519" customWidth="1"/>
    <col min="202" max="202" width="17.42578125" style="519" customWidth="1"/>
    <col min="203" max="203" width="5.7109375" style="519" customWidth="1"/>
    <col min="204" max="204" width="26" style="472" customWidth="1"/>
    <col min="205" max="205" width="21.5703125" style="472" customWidth="1"/>
    <col min="206" max="206" width="20.42578125" style="472" customWidth="1"/>
    <col min="207" max="207" width="5" style="519" customWidth="1"/>
    <col min="208" max="208" width="22.85546875" style="472" customWidth="1"/>
    <col min="209" max="209" width="22.7109375" style="472" customWidth="1"/>
    <col min="210" max="210" width="22.28515625" style="472" customWidth="1"/>
    <col min="211" max="211" width="20.5703125" style="472" customWidth="1"/>
    <col min="212" max="212" width="6.28515625" style="472" customWidth="1"/>
    <col min="213" max="213" width="22.5703125" style="472" customWidth="1"/>
    <col min="214" max="214" width="22.85546875" style="472" customWidth="1"/>
    <col min="215" max="215" width="20.85546875" style="472" customWidth="1"/>
    <col min="216" max="216" width="4.5703125" style="472" customWidth="1"/>
    <col min="217" max="217" width="24.42578125" style="472" customWidth="1"/>
    <col min="218" max="218" width="23.140625" style="472" customWidth="1"/>
    <col min="219" max="219" width="19.7109375" style="472" customWidth="1"/>
    <col min="220" max="220" width="11.42578125" style="472" customWidth="1"/>
    <col min="221" max="221" width="19.7109375" style="472" customWidth="1"/>
    <col min="222" max="222" width="23.140625" style="472" customWidth="1"/>
    <col min="223" max="223" width="22.85546875" style="472" customWidth="1"/>
    <col min="224" max="224" width="6.140625" style="472" customWidth="1"/>
    <col min="225" max="225" width="19.7109375" style="472" customWidth="1"/>
    <col min="226" max="226" width="19.140625" style="472" customWidth="1"/>
    <col min="227" max="227" width="21.28515625" style="472" customWidth="1"/>
    <col min="228" max="228" width="21.42578125" style="472" customWidth="1"/>
    <col min="229" max="229" width="15.42578125" style="472" customWidth="1"/>
    <col min="230" max="231" width="21" style="472" customWidth="1"/>
    <col min="232" max="232" width="18.28515625" style="472" customWidth="1"/>
    <col min="233" max="233" width="21.140625" style="472" customWidth="1"/>
    <col min="234" max="234" width="9.140625" style="472"/>
    <col min="235" max="235" width="9.28515625" style="472" bestFit="1" customWidth="1"/>
    <col min="236" max="236" width="20.42578125" style="472" customWidth="1"/>
    <col min="237" max="238" width="9.140625" style="472"/>
    <col min="239" max="241" width="16.85546875" style="472" bestFit="1" customWidth="1"/>
    <col min="242" max="242" width="9.140625" style="472"/>
    <col min="243" max="243" width="15.7109375" style="472" bestFit="1" customWidth="1"/>
    <col min="244" max="244" width="16.85546875" style="472" bestFit="1" customWidth="1"/>
    <col min="245" max="245" width="9.140625" style="472"/>
    <col min="246" max="246" width="19.85546875" style="472" bestFit="1" customWidth="1"/>
    <col min="247" max="247" width="18.7109375" style="472" bestFit="1" customWidth="1"/>
    <col min="248" max="16384" width="9.140625" style="472"/>
  </cols>
  <sheetData>
    <row r="1" spans="1:228" s="445" customFormat="1" x14ac:dyDescent="0.25">
      <c r="A1" s="445" t="s">
        <v>51</v>
      </c>
      <c r="B1" s="446" t="s">
        <v>52</v>
      </c>
      <c r="C1" s="446"/>
      <c r="D1" s="447" t="s">
        <v>411</v>
      </c>
      <c r="E1" s="447"/>
      <c r="F1" s="448"/>
      <c r="G1" s="448"/>
      <c r="H1" s="449" t="s">
        <v>412</v>
      </c>
      <c r="I1" s="449"/>
      <c r="J1" s="449"/>
      <c r="K1" s="448"/>
      <c r="L1" s="450" t="s">
        <v>413</v>
      </c>
      <c r="M1" s="450"/>
      <c r="N1" s="450"/>
      <c r="O1" s="448"/>
      <c r="P1" s="450" t="s">
        <v>414</v>
      </c>
      <c r="Q1" s="450"/>
      <c r="R1" s="450"/>
      <c r="S1" s="448"/>
      <c r="T1" s="450" t="s">
        <v>415</v>
      </c>
      <c r="U1" s="450"/>
      <c r="V1" s="450"/>
      <c r="W1" s="448"/>
      <c r="X1" s="450" t="s">
        <v>416</v>
      </c>
      <c r="Y1" s="450"/>
      <c r="Z1" s="450"/>
      <c r="AA1" s="448"/>
      <c r="AB1" s="450" t="s">
        <v>417</v>
      </c>
      <c r="AC1" s="450"/>
      <c r="AD1" s="450"/>
      <c r="AE1" s="448"/>
      <c r="AF1" s="450" t="s">
        <v>418</v>
      </c>
      <c r="AG1" s="450"/>
      <c r="AH1" s="450"/>
      <c r="AI1" s="448"/>
      <c r="AJ1" s="449" t="s">
        <v>419</v>
      </c>
      <c r="AK1" s="449"/>
      <c r="AL1" s="449"/>
      <c r="AN1" s="451" t="s">
        <v>420</v>
      </c>
      <c r="AO1" s="451"/>
      <c r="AP1" s="451"/>
      <c r="AQ1" s="448"/>
      <c r="AR1" s="449" t="s">
        <v>421</v>
      </c>
      <c r="AS1" s="449"/>
      <c r="AT1" s="449"/>
      <c r="AU1" s="448"/>
      <c r="AV1" s="449" t="s">
        <v>422</v>
      </c>
      <c r="AW1" s="449"/>
      <c r="AX1" s="449"/>
      <c r="AY1" s="448"/>
      <c r="AZ1" s="449" t="s">
        <v>423</v>
      </c>
      <c r="BA1" s="449"/>
      <c r="BB1" s="449"/>
      <c r="BC1" s="448"/>
      <c r="BD1" s="449" t="s">
        <v>424</v>
      </c>
      <c r="BE1" s="449"/>
      <c r="BF1" s="449"/>
      <c r="BG1" s="448"/>
      <c r="BH1" s="449" t="s">
        <v>425</v>
      </c>
      <c r="BI1" s="449"/>
      <c r="BJ1" s="449"/>
      <c r="BK1" s="448"/>
      <c r="BL1" s="449" t="s">
        <v>426</v>
      </c>
      <c r="BM1" s="449"/>
      <c r="BN1" s="449"/>
      <c r="BO1" s="448"/>
      <c r="BP1" s="449" t="s">
        <v>427</v>
      </c>
      <c r="BQ1" s="449"/>
      <c r="BR1" s="449"/>
      <c r="BS1" s="448"/>
      <c r="BT1" s="449" t="s">
        <v>428</v>
      </c>
      <c r="BU1" s="449"/>
      <c r="BV1" s="449"/>
      <c r="BW1" s="448"/>
      <c r="BX1" s="449" t="s">
        <v>429</v>
      </c>
      <c r="BY1" s="449"/>
      <c r="BZ1" s="449"/>
      <c r="CA1" s="448"/>
      <c r="CB1" s="452" t="s">
        <v>430</v>
      </c>
      <c r="CC1" s="452"/>
      <c r="CD1" s="452"/>
      <c r="CE1" s="448"/>
      <c r="CF1" s="452" t="s">
        <v>431</v>
      </c>
      <c r="CG1" s="452"/>
      <c r="CH1" s="452"/>
      <c r="CI1" s="448"/>
      <c r="CJ1" s="453" t="s">
        <v>432</v>
      </c>
      <c r="CK1" s="453"/>
      <c r="CL1" s="453"/>
      <c r="CM1" s="448"/>
      <c r="CN1" s="453" t="s">
        <v>433</v>
      </c>
      <c r="CO1" s="453"/>
      <c r="CP1" s="453"/>
      <c r="CQ1" s="448"/>
      <c r="CR1" s="453" t="s">
        <v>434</v>
      </c>
      <c r="CS1" s="453"/>
      <c r="CT1" s="453"/>
      <c r="CU1" s="448"/>
      <c r="CV1" s="453" t="s">
        <v>435</v>
      </c>
      <c r="CW1" s="453"/>
      <c r="CX1" s="453"/>
      <c r="CY1" s="448"/>
      <c r="CZ1" s="453" t="s">
        <v>436</v>
      </c>
      <c r="DA1" s="453"/>
      <c r="DB1" s="453"/>
      <c r="DC1" s="454"/>
      <c r="DD1" s="453" t="s">
        <v>437</v>
      </c>
      <c r="DE1" s="453"/>
      <c r="DF1" s="453"/>
      <c r="DG1" s="448"/>
      <c r="DH1" s="453" t="s">
        <v>438</v>
      </c>
      <c r="DI1" s="453"/>
      <c r="DJ1" s="453"/>
      <c r="DK1" s="448"/>
      <c r="DL1" s="453" t="s">
        <v>439</v>
      </c>
      <c r="DM1" s="453"/>
      <c r="DN1" s="453"/>
      <c r="DO1" s="448"/>
      <c r="DP1" s="452" t="s">
        <v>440</v>
      </c>
      <c r="DQ1" s="452"/>
      <c r="DR1" s="452"/>
      <c r="DS1" s="452"/>
      <c r="DT1" s="453" t="s">
        <v>441</v>
      </c>
      <c r="DU1" s="453"/>
      <c r="DV1" s="453"/>
      <c r="DW1" s="448"/>
      <c r="DX1" s="453" t="s">
        <v>442</v>
      </c>
      <c r="DY1" s="453"/>
      <c r="DZ1" s="453"/>
      <c r="EA1" s="454"/>
      <c r="EB1" s="453" t="s">
        <v>443</v>
      </c>
      <c r="EC1" s="453"/>
      <c r="ED1" s="453"/>
      <c r="EE1" s="448"/>
      <c r="EF1" s="453" t="s">
        <v>444</v>
      </c>
      <c r="EG1" s="453"/>
      <c r="EH1" s="453"/>
      <c r="EI1" s="448"/>
      <c r="EJ1" s="453" t="s">
        <v>445</v>
      </c>
      <c r="EK1" s="453"/>
      <c r="EL1" s="453"/>
      <c r="EM1" s="448"/>
      <c r="EN1" s="453" t="s">
        <v>446</v>
      </c>
      <c r="EO1" s="453"/>
      <c r="EP1" s="453"/>
      <c r="EQ1" s="448"/>
      <c r="ER1" s="453" t="s">
        <v>447</v>
      </c>
      <c r="ES1" s="453"/>
      <c r="ET1" s="453"/>
      <c r="EU1" s="448"/>
      <c r="EV1" s="453" t="s">
        <v>448</v>
      </c>
      <c r="EW1" s="453"/>
      <c r="EX1" s="453"/>
      <c r="EY1" s="455"/>
      <c r="EZ1" s="453" t="s">
        <v>449</v>
      </c>
      <c r="FA1" s="453"/>
      <c r="FB1" s="453"/>
      <c r="FC1" s="448"/>
      <c r="FD1" s="453" t="s">
        <v>450</v>
      </c>
      <c r="FE1" s="453"/>
      <c r="FF1" s="453"/>
      <c r="FG1" s="454"/>
      <c r="FH1" s="453" t="s">
        <v>451</v>
      </c>
      <c r="FI1" s="453"/>
      <c r="FJ1" s="453"/>
      <c r="FK1" s="448"/>
      <c r="FL1" s="453" t="s">
        <v>452</v>
      </c>
      <c r="FM1" s="453"/>
      <c r="FN1" s="453"/>
      <c r="FO1" s="448"/>
      <c r="FP1" s="453" t="s">
        <v>453</v>
      </c>
      <c r="FQ1" s="453"/>
      <c r="FR1" s="453"/>
      <c r="FS1" s="455"/>
      <c r="FT1" s="453" t="s">
        <v>454</v>
      </c>
      <c r="FU1" s="453"/>
      <c r="FV1" s="453"/>
      <c r="FW1" s="448"/>
      <c r="FX1" s="453" t="s">
        <v>455</v>
      </c>
      <c r="FY1" s="453"/>
      <c r="FZ1" s="453"/>
      <c r="GA1" s="454"/>
      <c r="GB1" s="453" t="s">
        <v>456</v>
      </c>
      <c r="GC1" s="453"/>
      <c r="GD1" s="453"/>
      <c r="GE1" s="454"/>
      <c r="GF1" s="453" t="s">
        <v>457</v>
      </c>
      <c r="GG1" s="453"/>
      <c r="GH1" s="453"/>
      <c r="GI1" s="454"/>
      <c r="GJ1" s="453" t="s">
        <v>458</v>
      </c>
      <c r="GK1" s="453"/>
      <c r="GL1" s="453"/>
      <c r="GM1" s="454"/>
      <c r="GN1" s="453" t="s">
        <v>459</v>
      </c>
      <c r="GO1" s="453"/>
      <c r="GP1" s="453"/>
      <c r="GQ1" s="454"/>
      <c r="GR1" s="453" t="s">
        <v>460</v>
      </c>
      <c r="GS1" s="453"/>
      <c r="GT1" s="453"/>
      <c r="GU1" s="454"/>
      <c r="GX1" s="456"/>
    </row>
    <row r="2" spans="1:228" s="446" customFormat="1" ht="63" x14ac:dyDescent="0.25">
      <c r="A2" s="457"/>
      <c r="B2" s="457" t="s">
        <v>461</v>
      </c>
      <c r="C2" s="457" t="s">
        <v>53</v>
      </c>
      <c r="D2" s="458" t="s">
        <v>54</v>
      </c>
      <c r="E2" s="458" t="s">
        <v>462</v>
      </c>
      <c r="F2" s="458" t="s">
        <v>56</v>
      </c>
      <c r="G2" s="458"/>
      <c r="H2" s="457" t="s">
        <v>54</v>
      </c>
      <c r="I2" s="457" t="s">
        <v>462</v>
      </c>
      <c r="J2" s="457" t="s">
        <v>56</v>
      </c>
      <c r="K2" s="458"/>
      <c r="L2" s="457" t="s">
        <v>54</v>
      </c>
      <c r="M2" s="457" t="s">
        <v>462</v>
      </c>
      <c r="N2" s="457" t="s">
        <v>56</v>
      </c>
      <c r="O2" s="458"/>
      <c r="P2" s="457" t="s">
        <v>54</v>
      </c>
      <c r="Q2" s="457" t="s">
        <v>462</v>
      </c>
      <c r="R2" s="457" t="s">
        <v>56</v>
      </c>
      <c r="S2" s="458"/>
      <c r="T2" s="457" t="s">
        <v>54</v>
      </c>
      <c r="U2" s="457" t="s">
        <v>462</v>
      </c>
      <c r="V2" s="457" t="s">
        <v>56</v>
      </c>
      <c r="W2" s="458"/>
      <c r="X2" s="457" t="s">
        <v>54</v>
      </c>
      <c r="Y2" s="457" t="s">
        <v>462</v>
      </c>
      <c r="Z2" s="457" t="s">
        <v>56</v>
      </c>
      <c r="AA2" s="458"/>
      <c r="AB2" s="457" t="s">
        <v>54</v>
      </c>
      <c r="AC2" s="457" t="s">
        <v>462</v>
      </c>
      <c r="AD2" s="457" t="s">
        <v>56</v>
      </c>
      <c r="AE2" s="458"/>
      <c r="AF2" s="457" t="s">
        <v>54</v>
      </c>
      <c r="AG2" s="457" t="s">
        <v>462</v>
      </c>
      <c r="AH2" s="457" t="s">
        <v>56</v>
      </c>
      <c r="AI2" s="458"/>
      <c r="AJ2" s="457" t="s">
        <v>54</v>
      </c>
      <c r="AK2" s="457" t="s">
        <v>462</v>
      </c>
      <c r="AL2" s="457" t="s">
        <v>56</v>
      </c>
      <c r="AM2" s="457"/>
      <c r="AN2" s="457" t="s">
        <v>54</v>
      </c>
      <c r="AO2" s="457" t="s">
        <v>462</v>
      </c>
      <c r="AP2" s="457" t="s">
        <v>56</v>
      </c>
      <c r="AQ2" s="458"/>
      <c r="AR2" s="457" t="s">
        <v>54</v>
      </c>
      <c r="AS2" s="457" t="s">
        <v>462</v>
      </c>
      <c r="AT2" s="457" t="s">
        <v>56</v>
      </c>
      <c r="AU2" s="458"/>
      <c r="AV2" s="457" t="s">
        <v>54</v>
      </c>
      <c r="AW2" s="457" t="s">
        <v>462</v>
      </c>
      <c r="AX2" s="457" t="s">
        <v>56</v>
      </c>
      <c r="AY2" s="458"/>
      <c r="AZ2" s="457" t="s">
        <v>54</v>
      </c>
      <c r="BA2" s="457" t="s">
        <v>462</v>
      </c>
      <c r="BB2" s="457" t="s">
        <v>56</v>
      </c>
      <c r="BC2" s="458"/>
      <c r="BD2" s="457" t="s">
        <v>54</v>
      </c>
      <c r="BE2" s="457" t="s">
        <v>462</v>
      </c>
      <c r="BF2" s="457" t="s">
        <v>56</v>
      </c>
      <c r="BG2" s="458"/>
      <c r="BH2" s="457" t="s">
        <v>54</v>
      </c>
      <c r="BI2" s="457" t="s">
        <v>462</v>
      </c>
      <c r="BJ2" s="457" t="s">
        <v>56</v>
      </c>
      <c r="BK2" s="458"/>
      <c r="BL2" s="457" t="s">
        <v>54</v>
      </c>
      <c r="BM2" s="457" t="s">
        <v>462</v>
      </c>
      <c r="BN2" s="457" t="s">
        <v>56</v>
      </c>
      <c r="BO2" s="458"/>
      <c r="BP2" s="457" t="s">
        <v>54</v>
      </c>
      <c r="BQ2" s="457" t="s">
        <v>462</v>
      </c>
      <c r="BR2" s="457" t="s">
        <v>56</v>
      </c>
      <c r="BS2" s="458"/>
      <c r="BT2" s="457" t="s">
        <v>54</v>
      </c>
      <c r="BU2" s="457" t="s">
        <v>462</v>
      </c>
      <c r="BV2" s="457" t="s">
        <v>56</v>
      </c>
      <c r="BW2" s="458"/>
      <c r="BX2" s="457" t="s">
        <v>54</v>
      </c>
      <c r="BY2" s="457" t="s">
        <v>462</v>
      </c>
      <c r="BZ2" s="457" t="s">
        <v>56</v>
      </c>
      <c r="CA2" s="458"/>
      <c r="CB2" s="457" t="s">
        <v>54</v>
      </c>
      <c r="CC2" s="457" t="s">
        <v>462</v>
      </c>
      <c r="CD2" s="457" t="s">
        <v>56</v>
      </c>
      <c r="CE2" s="458"/>
      <c r="CF2" s="457" t="s">
        <v>54</v>
      </c>
      <c r="CG2" s="457" t="s">
        <v>462</v>
      </c>
      <c r="CH2" s="457" t="s">
        <v>56</v>
      </c>
      <c r="CI2" s="458"/>
      <c r="CJ2" s="457" t="s">
        <v>54</v>
      </c>
      <c r="CK2" s="457" t="s">
        <v>462</v>
      </c>
      <c r="CL2" s="457" t="s">
        <v>56</v>
      </c>
      <c r="CM2" s="458"/>
      <c r="CN2" s="457" t="s">
        <v>54</v>
      </c>
      <c r="CO2" s="457" t="s">
        <v>462</v>
      </c>
      <c r="CP2" s="457" t="s">
        <v>56</v>
      </c>
      <c r="CQ2" s="458"/>
      <c r="CR2" s="457" t="s">
        <v>54</v>
      </c>
      <c r="CS2" s="457" t="s">
        <v>462</v>
      </c>
      <c r="CT2" s="457" t="s">
        <v>56</v>
      </c>
      <c r="CU2" s="458"/>
      <c r="CV2" s="457" t="s">
        <v>54</v>
      </c>
      <c r="CW2" s="457" t="s">
        <v>462</v>
      </c>
      <c r="CX2" s="457" t="s">
        <v>56</v>
      </c>
      <c r="CY2" s="458"/>
      <c r="CZ2" s="457" t="s">
        <v>54</v>
      </c>
      <c r="DA2" s="457" t="s">
        <v>462</v>
      </c>
      <c r="DB2" s="457" t="s">
        <v>56</v>
      </c>
      <c r="DC2" s="457"/>
      <c r="DD2" s="457" t="s">
        <v>54</v>
      </c>
      <c r="DE2" s="457" t="s">
        <v>462</v>
      </c>
      <c r="DF2" s="457" t="s">
        <v>56</v>
      </c>
      <c r="DG2" s="458"/>
      <c r="DH2" s="457" t="s">
        <v>54</v>
      </c>
      <c r="DI2" s="457" t="s">
        <v>462</v>
      </c>
      <c r="DJ2" s="457" t="s">
        <v>56</v>
      </c>
      <c r="DK2" s="458"/>
      <c r="DL2" s="457" t="s">
        <v>54</v>
      </c>
      <c r="DM2" s="457" t="s">
        <v>462</v>
      </c>
      <c r="DN2" s="457" t="s">
        <v>56</v>
      </c>
      <c r="DO2" s="458"/>
      <c r="DP2" s="457" t="s">
        <v>54</v>
      </c>
      <c r="DQ2" s="457" t="s">
        <v>462</v>
      </c>
      <c r="DR2" s="457" t="s">
        <v>56</v>
      </c>
      <c r="DS2" s="457"/>
      <c r="DT2" s="457" t="s">
        <v>54</v>
      </c>
      <c r="DU2" s="457" t="s">
        <v>462</v>
      </c>
      <c r="DV2" s="457" t="s">
        <v>56</v>
      </c>
      <c r="DW2" s="458"/>
      <c r="DX2" s="457" t="s">
        <v>54</v>
      </c>
      <c r="DY2" s="457" t="s">
        <v>462</v>
      </c>
      <c r="DZ2" s="457" t="s">
        <v>56</v>
      </c>
      <c r="EA2" s="457"/>
      <c r="EB2" s="457" t="s">
        <v>54</v>
      </c>
      <c r="EC2" s="457" t="s">
        <v>462</v>
      </c>
      <c r="ED2" s="457" t="s">
        <v>56</v>
      </c>
      <c r="EE2" s="458"/>
      <c r="EF2" s="457" t="s">
        <v>54</v>
      </c>
      <c r="EG2" s="457" t="s">
        <v>462</v>
      </c>
      <c r="EH2" s="457" t="s">
        <v>56</v>
      </c>
      <c r="EI2" s="458"/>
      <c r="EJ2" s="457" t="s">
        <v>54</v>
      </c>
      <c r="EK2" s="457" t="s">
        <v>462</v>
      </c>
      <c r="EL2" s="457" t="s">
        <v>56</v>
      </c>
      <c r="EM2" s="458"/>
      <c r="EN2" s="457" t="s">
        <v>54</v>
      </c>
      <c r="EO2" s="457" t="s">
        <v>462</v>
      </c>
      <c r="EP2" s="457" t="s">
        <v>56</v>
      </c>
      <c r="EQ2" s="458"/>
      <c r="ER2" s="457" t="s">
        <v>54</v>
      </c>
      <c r="ES2" s="457" t="s">
        <v>462</v>
      </c>
      <c r="ET2" s="457" t="s">
        <v>56</v>
      </c>
      <c r="EU2" s="458"/>
      <c r="EV2" s="457" t="s">
        <v>54</v>
      </c>
      <c r="EW2" s="457" t="s">
        <v>462</v>
      </c>
      <c r="EX2" s="457" t="s">
        <v>56</v>
      </c>
      <c r="EY2" s="458"/>
      <c r="EZ2" s="457" t="s">
        <v>54</v>
      </c>
      <c r="FA2" s="457" t="s">
        <v>462</v>
      </c>
      <c r="FB2" s="457" t="s">
        <v>56</v>
      </c>
      <c r="FC2" s="458"/>
      <c r="FD2" s="457" t="s">
        <v>54</v>
      </c>
      <c r="FE2" s="457" t="s">
        <v>462</v>
      </c>
      <c r="FF2" s="457" t="s">
        <v>56</v>
      </c>
      <c r="FG2" s="457"/>
      <c r="FH2" s="457" t="s">
        <v>54</v>
      </c>
      <c r="FI2" s="457" t="s">
        <v>462</v>
      </c>
      <c r="FJ2" s="457" t="s">
        <v>56</v>
      </c>
      <c r="FK2" s="457"/>
      <c r="FL2" s="457" t="s">
        <v>54</v>
      </c>
      <c r="FM2" s="457" t="s">
        <v>462</v>
      </c>
      <c r="FN2" s="457" t="s">
        <v>56</v>
      </c>
      <c r="FO2" s="457"/>
      <c r="FP2" s="457" t="s">
        <v>54</v>
      </c>
      <c r="FQ2" s="457" t="s">
        <v>462</v>
      </c>
      <c r="FR2" s="457" t="s">
        <v>56</v>
      </c>
      <c r="FS2" s="457"/>
      <c r="FT2" s="457" t="s">
        <v>54</v>
      </c>
      <c r="FU2" s="457" t="s">
        <v>462</v>
      </c>
      <c r="FV2" s="457" t="s">
        <v>56</v>
      </c>
      <c r="FW2" s="457"/>
      <c r="FX2" s="457" t="s">
        <v>54</v>
      </c>
      <c r="FY2" s="457" t="s">
        <v>462</v>
      </c>
      <c r="FZ2" s="457" t="s">
        <v>56</v>
      </c>
      <c r="GA2" s="457"/>
      <c r="GB2" s="457" t="s">
        <v>54</v>
      </c>
      <c r="GC2" s="457" t="s">
        <v>462</v>
      </c>
      <c r="GD2" s="457" t="s">
        <v>56</v>
      </c>
      <c r="GE2" s="457"/>
      <c r="GF2" s="457" t="s">
        <v>54</v>
      </c>
      <c r="GG2" s="457" t="s">
        <v>462</v>
      </c>
      <c r="GH2" s="457" t="s">
        <v>56</v>
      </c>
      <c r="GI2" s="457"/>
      <c r="GJ2" s="457" t="s">
        <v>54</v>
      </c>
      <c r="GK2" s="457" t="s">
        <v>462</v>
      </c>
      <c r="GL2" s="457" t="s">
        <v>56</v>
      </c>
      <c r="GM2" s="457"/>
      <c r="GN2" s="457" t="s">
        <v>54</v>
      </c>
      <c r="GO2" s="457" t="s">
        <v>462</v>
      </c>
      <c r="GP2" s="457" t="s">
        <v>56</v>
      </c>
      <c r="GQ2" s="457"/>
      <c r="GR2" s="457" t="s">
        <v>54</v>
      </c>
      <c r="GS2" s="457" t="s">
        <v>462</v>
      </c>
      <c r="GT2" s="457" t="s">
        <v>56</v>
      </c>
      <c r="GU2" s="457"/>
      <c r="GV2" s="457" t="s">
        <v>463</v>
      </c>
      <c r="GW2" s="457" t="s">
        <v>464</v>
      </c>
      <c r="GX2" s="457" t="s">
        <v>465</v>
      </c>
      <c r="GY2" s="459"/>
      <c r="HA2" s="460" t="s">
        <v>659</v>
      </c>
      <c r="HB2" s="460"/>
      <c r="HC2" s="460"/>
      <c r="HE2" s="460" t="s">
        <v>658</v>
      </c>
      <c r="HF2" s="460"/>
      <c r="HG2" s="460"/>
      <c r="HI2" s="460" t="s">
        <v>660</v>
      </c>
      <c r="HJ2" s="460"/>
      <c r="HK2" s="460"/>
      <c r="HM2" s="460" t="s">
        <v>657</v>
      </c>
      <c r="HN2" s="460"/>
      <c r="HO2" s="460"/>
      <c r="HP2" s="459"/>
      <c r="HR2" s="460" t="s">
        <v>656</v>
      </c>
      <c r="HS2" s="460"/>
      <c r="HT2" s="460"/>
    </row>
    <row r="3" spans="1:228" s="464" customFormat="1" x14ac:dyDescent="0.25">
      <c r="A3" s="282"/>
      <c r="B3" s="282"/>
      <c r="C3" s="282"/>
      <c r="D3" s="461" t="s">
        <v>471</v>
      </c>
      <c r="E3" s="461" t="s">
        <v>471</v>
      </c>
      <c r="F3" s="461"/>
      <c r="G3" s="462"/>
      <c r="H3" s="282" t="s">
        <v>471</v>
      </c>
      <c r="I3" s="282" t="s">
        <v>471</v>
      </c>
      <c r="J3" s="282" t="s">
        <v>471</v>
      </c>
      <c r="K3" s="462"/>
      <c r="L3" s="282" t="s">
        <v>471</v>
      </c>
      <c r="M3" s="282" t="s">
        <v>471</v>
      </c>
      <c r="N3" s="282" t="s">
        <v>471</v>
      </c>
      <c r="O3" s="462"/>
      <c r="P3" s="282" t="s">
        <v>471</v>
      </c>
      <c r="Q3" s="282" t="s">
        <v>471</v>
      </c>
      <c r="R3" s="282" t="s">
        <v>471</v>
      </c>
      <c r="S3" s="462"/>
      <c r="T3" s="282" t="s">
        <v>471</v>
      </c>
      <c r="U3" s="282" t="s">
        <v>471</v>
      </c>
      <c r="V3" s="282" t="s">
        <v>471</v>
      </c>
      <c r="W3" s="462"/>
      <c r="X3" s="282" t="s">
        <v>471</v>
      </c>
      <c r="Y3" s="282" t="s">
        <v>471</v>
      </c>
      <c r="Z3" s="282" t="s">
        <v>471</v>
      </c>
      <c r="AA3" s="462"/>
      <c r="AB3" s="282" t="s">
        <v>471</v>
      </c>
      <c r="AC3" s="282" t="s">
        <v>471</v>
      </c>
      <c r="AD3" s="282" t="s">
        <v>471</v>
      </c>
      <c r="AE3" s="462"/>
      <c r="AF3" s="282" t="s">
        <v>471</v>
      </c>
      <c r="AG3" s="282" t="s">
        <v>471</v>
      </c>
      <c r="AH3" s="282" t="s">
        <v>471</v>
      </c>
      <c r="AI3" s="462"/>
      <c r="AJ3" s="282" t="s">
        <v>471</v>
      </c>
      <c r="AK3" s="282" t="s">
        <v>471</v>
      </c>
      <c r="AL3" s="282" t="s">
        <v>471</v>
      </c>
      <c r="AM3" s="282"/>
      <c r="AN3" s="282" t="s">
        <v>471</v>
      </c>
      <c r="AO3" s="282" t="s">
        <v>471</v>
      </c>
      <c r="AP3" s="282" t="s">
        <v>471</v>
      </c>
      <c r="AQ3" s="462"/>
      <c r="AR3" s="282" t="s">
        <v>471</v>
      </c>
      <c r="AS3" s="282" t="s">
        <v>471</v>
      </c>
      <c r="AT3" s="282" t="s">
        <v>471</v>
      </c>
      <c r="AU3" s="462"/>
      <c r="AV3" s="282" t="s">
        <v>471</v>
      </c>
      <c r="AW3" s="282" t="s">
        <v>471</v>
      </c>
      <c r="AX3" s="282" t="s">
        <v>471</v>
      </c>
      <c r="AY3" s="462"/>
      <c r="AZ3" s="282" t="s">
        <v>471</v>
      </c>
      <c r="BA3" s="282" t="s">
        <v>471</v>
      </c>
      <c r="BB3" s="282" t="s">
        <v>471</v>
      </c>
      <c r="BC3" s="462"/>
      <c r="BD3" s="282" t="s">
        <v>471</v>
      </c>
      <c r="BE3" s="282" t="s">
        <v>471</v>
      </c>
      <c r="BF3" s="282" t="s">
        <v>471</v>
      </c>
      <c r="BG3" s="462"/>
      <c r="BH3" s="282" t="s">
        <v>471</v>
      </c>
      <c r="BI3" s="282" t="s">
        <v>471</v>
      </c>
      <c r="BJ3" s="282" t="s">
        <v>471</v>
      </c>
      <c r="BK3" s="462"/>
      <c r="BL3" s="282" t="s">
        <v>471</v>
      </c>
      <c r="BM3" s="282" t="s">
        <v>471</v>
      </c>
      <c r="BN3" s="282" t="s">
        <v>471</v>
      </c>
      <c r="BO3" s="462"/>
      <c r="BP3" s="282" t="s">
        <v>471</v>
      </c>
      <c r="BQ3" s="282" t="s">
        <v>471</v>
      </c>
      <c r="BR3" s="282" t="s">
        <v>471</v>
      </c>
      <c r="BS3" s="462"/>
      <c r="BT3" s="282" t="s">
        <v>471</v>
      </c>
      <c r="BU3" s="282" t="s">
        <v>471</v>
      </c>
      <c r="BV3" s="282" t="s">
        <v>471</v>
      </c>
      <c r="BW3" s="462"/>
      <c r="BX3" s="282" t="s">
        <v>471</v>
      </c>
      <c r="BY3" s="282" t="s">
        <v>471</v>
      </c>
      <c r="BZ3" s="282" t="s">
        <v>471</v>
      </c>
      <c r="CA3" s="462"/>
      <c r="CB3" s="282" t="s">
        <v>471</v>
      </c>
      <c r="CC3" s="282" t="s">
        <v>471</v>
      </c>
      <c r="CD3" s="282" t="s">
        <v>471</v>
      </c>
      <c r="CE3" s="462"/>
      <c r="CF3" s="282" t="s">
        <v>471</v>
      </c>
      <c r="CG3" s="282" t="s">
        <v>471</v>
      </c>
      <c r="CH3" s="282" t="s">
        <v>471</v>
      </c>
      <c r="CI3" s="462"/>
      <c r="CJ3" s="282" t="s">
        <v>471</v>
      </c>
      <c r="CK3" s="282" t="s">
        <v>471</v>
      </c>
      <c r="CL3" s="282" t="s">
        <v>471</v>
      </c>
      <c r="CM3" s="462"/>
      <c r="CN3" s="282" t="s">
        <v>471</v>
      </c>
      <c r="CO3" s="282" t="s">
        <v>471</v>
      </c>
      <c r="CP3" s="282" t="s">
        <v>471</v>
      </c>
      <c r="CQ3" s="462"/>
      <c r="CR3" s="282" t="s">
        <v>471</v>
      </c>
      <c r="CS3" s="282" t="s">
        <v>471</v>
      </c>
      <c r="CT3" s="282" t="s">
        <v>471</v>
      </c>
      <c r="CU3" s="462"/>
      <c r="CV3" s="282" t="s">
        <v>471</v>
      </c>
      <c r="CW3" s="282" t="s">
        <v>471</v>
      </c>
      <c r="CX3" s="282" t="s">
        <v>471</v>
      </c>
      <c r="CY3" s="462"/>
      <c r="CZ3" s="282" t="s">
        <v>471</v>
      </c>
      <c r="DA3" s="282" t="s">
        <v>471</v>
      </c>
      <c r="DB3" s="282" t="s">
        <v>471</v>
      </c>
      <c r="DC3" s="454"/>
      <c r="DD3" s="282" t="s">
        <v>471</v>
      </c>
      <c r="DE3" s="282" t="s">
        <v>471</v>
      </c>
      <c r="DF3" s="282" t="s">
        <v>471</v>
      </c>
      <c r="DG3" s="462"/>
      <c r="DH3" s="282" t="s">
        <v>471</v>
      </c>
      <c r="DI3" s="282" t="s">
        <v>471</v>
      </c>
      <c r="DJ3" s="282" t="s">
        <v>471</v>
      </c>
      <c r="DK3" s="462"/>
      <c r="DL3" s="282" t="s">
        <v>471</v>
      </c>
      <c r="DM3" s="282" t="s">
        <v>471</v>
      </c>
      <c r="DN3" s="282" t="s">
        <v>471</v>
      </c>
      <c r="DO3" s="462"/>
      <c r="DP3" s="282" t="s">
        <v>471</v>
      </c>
      <c r="DQ3" s="282" t="s">
        <v>471</v>
      </c>
      <c r="DR3" s="282" t="s">
        <v>471</v>
      </c>
      <c r="DS3" s="454"/>
      <c r="DT3" s="282" t="s">
        <v>471</v>
      </c>
      <c r="DU3" s="282" t="s">
        <v>471</v>
      </c>
      <c r="DV3" s="282" t="s">
        <v>471</v>
      </c>
      <c r="DW3" s="461"/>
      <c r="DX3" s="282" t="s">
        <v>471</v>
      </c>
      <c r="DY3" s="282" t="s">
        <v>471</v>
      </c>
      <c r="DZ3" s="282" t="s">
        <v>471</v>
      </c>
      <c r="EA3" s="454"/>
      <c r="EB3" s="282" t="s">
        <v>471</v>
      </c>
      <c r="EC3" s="282" t="s">
        <v>471</v>
      </c>
      <c r="ED3" s="282" t="s">
        <v>471</v>
      </c>
      <c r="EE3" s="462"/>
      <c r="EF3" s="282" t="s">
        <v>471</v>
      </c>
      <c r="EG3" s="282" t="s">
        <v>471</v>
      </c>
      <c r="EH3" s="282" t="s">
        <v>471</v>
      </c>
      <c r="EI3" s="462"/>
      <c r="EJ3" s="282" t="s">
        <v>471</v>
      </c>
      <c r="EK3" s="282" t="s">
        <v>471</v>
      </c>
      <c r="EL3" s="282" t="s">
        <v>471</v>
      </c>
      <c r="EM3" s="462"/>
      <c r="EN3" s="282" t="s">
        <v>471</v>
      </c>
      <c r="EO3" s="282" t="s">
        <v>471</v>
      </c>
      <c r="EP3" s="282" t="s">
        <v>471</v>
      </c>
      <c r="EQ3" s="462"/>
      <c r="ER3" s="282" t="s">
        <v>471</v>
      </c>
      <c r="ES3" s="282" t="s">
        <v>471</v>
      </c>
      <c r="ET3" s="282" t="s">
        <v>471</v>
      </c>
      <c r="EU3" s="462"/>
      <c r="EV3" s="282" t="s">
        <v>471</v>
      </c>
      <c r="EW3" s="282" t="s">
        <v>471</v>
      </c>
      <c r="EX3" s="282" t="s">
        <v>471</v>
      </c>
      <c r="EY3" s="462"/>
      <c r="EZ3" s="282" t="s">
        <v>471</v>
      </c>
      <c r="FA3" s="282" t="s">
        <v>471</v>
      </c>
      <c r="FB3" s="282" t="s">
        <v>471</v>
      </c>
      <c r="FC3" s="462"/>
      <c r="FD3" s="282" t="s">
        <v>471</v>
      </c>
      <c r="FE3" s="282" t="s">
        <v>471</v>
      </c>
      <c r="FF3" s="282" t="s">
        <v>471</v>
      </c>
      <c r="FG3" s="282"/>
      <c r="FH3" s="463"/>
      <c r="FI3" s="463"/>
      <c r="FJ3" s="463"/>
      <c r="FK3" s="463"/>
      <c r="FL3" s="463"/>
      <c r="FM3" s="463"/>
      <c r="FN3" s="463"/>
      <c r="FO3" s="463"/>
      <c r="FP3" s="463"/>
      <c r="FQ3" s="463"/>
      <c r="FR3" s="463"/>
      <c r="FS3" s="463"/>
      <c r="FT3" s="463"/>
      <c r="FU3" s="463"/>
      <c r="FV3" s="463"/>
      <c r="FW3" s="463"/>
      <c r="FX3" s="463"/>
      <c r="FY3" s="463"/>
      <c r="FZ3" s="463"/>
      <c r="GA3" s="463"/>
      <c r="GB3" s="463"/>
      <c r="GC3" s="463"/>
      <c r="GD3" s="463"/>
      <c r="GE3" s="463"/>
      <c r="GF3" s="463"/>
      <c r="GG3" s="463"/>
      <c r="GH3" s="463"/>
      <c r="GI3" s="463"/>
      <c r="GJ3" s="463"/>
      <c r="GK3" s="463"/>
      <c r="GL3" s="463"/>
      <c r="GM3" s="463"/>
      <c r="GN3" s="463"/>
      <c r="GO3" s="463"/>
      <c r="GP3" s="463"/>
      <c r="GQ3" s="463"/>
      <c r="GR3" s="463"/>
      <c r="GS3" s="463"/>
      <c r="GT3" s="463"/>
      <c r="GU3" s="463"/>
      <c r="GV3" s="282" t="s">
        <v>471</v>
      </c>
      <c r="GW3" s="282" t="s">
        <v>471</v>
      </c>
      <c r="GX3" s="282" t="s">
        <v>471</v>
      </c>
      <c r="GY3" s="454"/>
      <c r="HA3" s="282" t="s">
        <v>54</v>
      </c>
      <c r="HB3" s="282" t="s">
        <v>462</v>
      </c>
      <c r="HC3" s="282" t="s">
        <v>56</v>
      </c>
      <c r="HE3" s="282" t="s">
        <v>54</v>
      </c>
      <c r="HF3" s="282" t="s">
        <v>462</v>
      </c>
      <c r="HG3" s="282" t="s">
        <v>56</v>
      </c>
      <c r="HI3" s="282" t="s">
        <v>54</v>
      </c>
      <c r="HJ3" s="282" t="s">
        <v>462</v>
      </c>
      <c r="HK3" s="282" t="s">
        <v>56</v>
      </c>
      <c r="HM3" s="282" t="s">
        <v>54</v>
      </c>
      <c r="HN3" s="282" t="s">
        <v>462</v>
      </c>
      <c r="HO3" s="282" t="s">
        <v>56</v>
      </c>
      <c r="HP3" s="454"/>
      <c r="HR3" s="282" t="s">
        <v>54</v>
      </c>
      <c r="HS3" s="282" t="s">
        <v>462</v>
      </c>
      <c r="HT3" s="282" t="s">
        <v>56</v>
      </c>
    </row>
    <row r="4" spans="1:228" x14ac:dyDescent="0.25">
      <c r="A4" s="107">
        <v>1</v>
      </c>
      <c r="B4" s="107" t="s">
        <v>60</v>
      </c>
      <c r="C4" s="113" t="s">
        <v>61</v>
      </c>
      <c r="D4" s="465">
        <v>0</v>
      </c>
      <c r="E4" s="465">
        <v>0</v>
      </c>
      <c r="F4" s="465">
        <f>D4-E4</f>
        <v>0</v>
      </c>
      <c r="G4" s="465"/>
      <c r="H4" s="465">
        <v>50000000</v>
      </c>
      <c r="I4" s="465">
        <v>50000000</v>
      </c>
      <c r="J4" s="465">
        <f>H4-I4</f>
        <v>0</v>
      </c>
      <c r="K4" s="465"/>
      <c r="L4" s="465">
        <v>50000000</v>
      </c>
      <c r="M4" s="465">
        <v>50000000</v>
      </c>
      <c r="N4" s="465">
        <f>L4-M4</f>
        <v>0</v>
      </c>
      <c r="O4" s="465"/>
      <c r="P4" s="465">
        <f>7000000-7000000</f>
        <v>0</v>
      </c>
      <c r="Q4" s="465">
        <v>0</v>
      </c>
      <c r="R4" s="465">
        <f>P4-Q4</f>
        <v>0</v>
      </c>
      <c r="S4" s="465"/>
      <c r="T4" s="465">
        <f>3000000-3000000</f>
        <v>0</v>
      </c>
      <c r="U4" s="465">
        <v>0</v>
      </c>
      <c r="V4" s="465">
        <f>T4-U4</f>
        <v>0</v>
      </c>
      <c r="W4" s="465"/>
      <c r="X4" s="465">
        <v>60000000</v>
      </c>
      <c r="Y4" s="465">
        <v>60000000</v>
      </c>
      <c r="Z4" s="465">
        <f>X4-Y4</f>
        <v>0</v>
      </c>
      <c r="AA4" s="465"/>
      <c r="AB4" s="465">
        <f>10000000-10000000</f>
        <v>0</v>
      </c>
      <c r="AC4" s="465">
        <v>0</v>
      </c>
      <c r="AD4" s="465">
        <f>AB4-AC4</f>
        <v>0</v>
      </c>
      <c r="AE4" s="465"/>
      <c r="AF4" s="465">
        <f>5000000-5000000</f>
        <v>0</v>
      </c>
      <c r="AG4" s="465">
        <v>0</v>
      </c>
      <c r="AH4" s="465">
        <f>AF4-AG4</f>
        <v>0</v>
      </c>
      <c r="AI4" s="465"/>
      <c r="AJ4" s="465">
        <v>9034252</v>
      </c>
      <c r="AK4" s="465">
        <f>1623962-1123225+1103950+6590765+838800</f>
        <v>9034252</v>
      </c>
      <c r="AL4" s="465">
        <f>AJ4-AK4</f>
        <v>0</v>
      </c>
      <c r="AM4" s="466"/>
      <c r="AN4" s="465">
        <v>80000000</v>
      </c>
      <c r="AO4" s="465">
        <f>31582910+31526250+16890840</f>
        <v>80000000</v>
      </c>
      <c r="AP4" s="465">
        <f>AN4-AO4</f>
        <v>0</v>
      </c>
      <c r="AQ4" s="465"/>
      <c r="AR4" s="465">
        <v>10000000</v>
      </c>
      <c r="AS4" s="465">
        <v>10000000</v>
      </c>
      <c r="AT4" s="465">
        <f>AR4-AS4</f>
        <v>0</v>
      </c>
      <c r="AU4" s="465"/>
      <c r="AV4" s="465">
        <v>5000000</v>
      </c>
      <c r="AW4" s="465">
        <v>0</v>
      </c>
      <c r="AX4" s="465">
        <f>AV4-AW4</f>
        <v>5000000</v>
      </c>
      <c r="AY4" s="465"/>
      <c r="AZ4" s="465">
        <v>20000000</v>
      </c>
      <c r="BA4" s="465">
        <f>4135089+6733725+9035490</f>
        <v>19904304</v>
      </c>
      <c r="BB4" s="465">
        <f>AZ4-BA4</f>
        <v>95696</v>
      </c>
      <c r="BC4" s="465"/>
      <c r="BD4" s="465">
        <v>5000000</v>
      </c>
      <c r="BE4" s="465">
        <f>0</f>
        <v>0</v>
      </c>
      <c r="BF4" s="465">
        <f>BD4-BE4</f>
        <v>5000000</v>
      </c>
      <c r="BG4" s="465"/>
      <c r="BH4" s="465">
        <v>130000000</v>
      </c>
      <c r="BI4" s="465">
        <f>72411660+57588340</f>
        <v>130000000</v>
      </c>
      <c r="BJ4" s="465">
        <f>BH4-BI4</f>
        <v>0</v>
      </c>
      <c r="BK4" s="465"/>
      <c r="BL4" s="465">
        <v>10000000</v>
      </c>
      <c r="BM4" s="465">
        <v>10000000</v>
      </c>
      <c r="BN4" s="465">
        <f>BL4-BM4</f>
        <v>0</v>
      </c>
      <c r="BO4" s="465"/>
      <c r="BP4" s="465">
        <v>10000000</v>
      </c>
      <c r="BQ4" s="465">
        <v>0</v>
      </c>
      <c r="BR4" s="465">
        <f>BP4-BQ4</f>
        <v>10000000</v>
      </c>
      <c r="BS4" s="465"/>
      <c r="BT4" s="465">
        <v>40000000</v>
      </c>
      <c r="BU4" s="465">
        <f>8308505+12963055+5992490+5172310+1090899</f>
        <v>33527259</v>
      </c>
      <c r="BV4" s="465">
        <f>BT4-BU4</f>
        <v>6472741</v>
      </c>
      <c r="BW4" s="465"/>
      <c r="BX4" s="465">
        <v>5000000</v>
      </c>
      <c r="BY4" s="465">
        <v>0</v>
      </c>
      <c r="BZ4" s="465">
        <f>BX4-BY4</f>
        <v>5000000</v>
      </c>
      <c r="CA4" s="465"/>
      <c r="CB4" s="465">
        <v>0</v>
      </c>
      <c r="CC4" s="465">
        <v>0</v>
      </c>
      <c r="CD4" s="465">
        <f>CB4-CC4</f>
        <v>0</v>
      </c>
      <c r="CE4" s="465"/>
      <c r="CF4" s="465">
        <f>140000000</f>
        <v>140000000</v>
      </c>
      <c r="CG4" s="465">
        <f>124931060+15068940</f>
        <v>140000000</v>
      </c>
      <c r="CH4" s="465">
        <f>CF4-CG4</f>
        <v>0</v>
      </c>
      <c r="CI4" s="465"/>
      <c r="CJ4" s="465">
        <v>20000000</v>
      </c>
      <c r="CK4" s="465">
        <v>7627250</v>
      </c>
      <c r="CL4" s="465">
        <f>CJ4-CK4</f>
        <v>12372750</v>
      </c>
      <c r="CM4" s="465"/>
      <c r="CN4" s="465">
        <v>10000000</v>
      </c>
      <c r="CO4" s="465">
        <v>0</v>
      </c>
      <c r="CP4" s="465">
        <f>CN4-CO4</f>
        <v>10000000</v>
      </c>
      <c r="CQ4" s="465"/>
      <c r="CR4" s="465">
        <v>40000000</v>
      </c>
      <c r="CS4" s="465">
        <f>23970915</f>
        <v>23970915</v>
      </c>
      <c r="CT4" s="465">
        <f>CR4-CS4</f>
        <v>16029085</v>
      </c>
      <c r="CU4" s="465"/>
      <c r="CV4" s="465">
        <v>150000000</v>
      </c>
      <c r="CW4" s="465">
        <f>1292960+124437700+24269340</f>
        <v>150000000</v>
      </c>
      <c r="CX4" s="465">
        <f>CV4-CW4</f>
        <v>0</v>
      </c>
      <c r="CY4" s="465"/>
      <c r="CZ4" s="465">
        <v>20000000</v>
      </c>
      <c r="DA4" s="465">
        <v>0</v>
      </c>
      <c r="DB4" s="465">
        <f>CZ4-DA4</f>
        <v>20000000</v>
      </c>
      <c r="DC4" s="465"/>
      <c r="DD4" s="465">
        <v>10000000</v>
      </c>
      <c r="DE4" s="465">
        <v>0</v>
      </c>
      <c r="DF4" s="465">
        <f>DD4-DE4</f>
        <v>10000000</v>
      </c>
      <c r="DG4" s="465"/>
      <c r="DH4" s="465">
        <v>50000000</v>
      </c>
      <c r="DI4" s="465">
        <f>36167521+1076527+12755952</f>
        <v>50000000</v>
      </c>
      <c r="DJ4" s="465">
        <f>DH4-DI4</f>
        <v>0</v>
      </c>
      <c r="DK4" s="465"/>
      <c r="DL4" s="465">
        <v>10000000</v>
      </c>
      <c r="DM4" s="465">
        <v>0</v>
      </c>
      <c r="DN4" s="465">
        <f>DL4-DM4</f>
        <v>10000000</v>
      </c>
      <c r="DO4" s="465"/>
      <c r="DP4" s="465">
        <v>0</v>
      </c>
      <c r="DQ4" s="465">
        <v>0</v>
      </c>
      <c r="DR4" s="465">
        <f>DP4-DQ4</f>
        <v>0</v>
      </c>
      <c r="DS4" s="465"/>
      <c r="DT4" s="465">
        <v>100000000</v>
      </c>
      <c r="DU4" s="465">
        <f>1430660+550000+60265000+18821867.4+18932472.6</f>
        <v>100000000</v>
      </c>
      <c r="DV4" s="465">
        <f>DT4-DU4</f>
        <v>0</v>
      </c>
      <c r="DW4" s="461"/>
      <c r="DX4" s="465">
        <v>15000000</v>
      </c>
      <c r="DY4" s="465">
        <v>15000000</v>
      </c>
      <c r="DZ4" s="465">
        <f>DX4-DY4</f>
        <v>0</v>
      </c>
      <c r="EA4" s="465"/>
      <c r="EB4" s="465">
        <v>10000000</v>
      </c>
      <c r="EC4" s="465">
        <v>0</v>
      </c>
      <c r="ED4" s="465">
        <f>EB4-EC4</f>
        <v>10000000</v>
      </c>
      <c r="EE4" s="465"/>
      <c r="EF4" s="465">
        <v>25000000</v>
      </c>
      <c r="EG4" s="465">
        <f>11635200+2974373.05+5269455+5120971.95</f>
        <v>25000000</v>
      </c>
      <c r="EH4" s="465">
        <f>EF4-EG4</f>
        <v>0</v>
      </c>
      <c r="EI4" s="465"/>
      <c r="EJ4" s="465">
        <v>10000000</v>
      </c>
      <c r="EK4" s="465">
        <v>0</v>
      </c>
      <c r="EL4" s="465">
        <f>EJ4-EK4</f>
        <v>10000000</v>
      </c>
      <c r="EM4" s="465"/>
      <c r="EN4" s="465">
        <v>300000000</v>
      </c>
      <c r="EO4" s="465">
        <f>140969487.4</f>
        <v>140969487.40000001</v>
      </c>
      <c r="EP4" s="465">
        <f>EN4-EO4</f>
        <v>159030512.59999999</v>
      </c>
      <c r="EQ4" s="465"/>
      <c r="ER4" s="465">
        <v>25000000</v>
      </c>
      <c r="ES4" s="465">
        <f>942456</f>
        <v>942456</v>
      </c>
      <c r="ET4" s="465">
        <f>ER4-ES4</f>
        <v>24057544</v>
      </c>
      <c r="EU4" s="465"/>
      <c r="EV4" s="465">
        <v>10000000</v>
      </c>
      <c r="EW4" s="465"/>
      <c r="EX4" s="465">
        <f>EV4-EW4</f>
        <v>10000000</v>
      </c>
      <c r="EY4" s="465"/>
      <c r="EZ4" s="465">
        <v>30000000</v>
      </c>
      <c r="FA4" s="467">
        <f>2633368.05+3017275+13389315+10960041.95</f>
        <v>30000000</v>
      </c>
      <c r="FB4" s="465">
        <f>EZ4-FA4</f>
        <v>0</v>
      </c>
      <c r="FC4" s="465"/>
      <c r="FD4" s="465">
        <v>5000000</v>
      </c>
      <c r="FE4" s="465">
        <v>0</v>
      </c>
      <c r="FF4" s="465">
        <f>FD4-FE4</f>
        <v>5000000</v>
      </c>
      <c r="FG4" s="465"/>
      <c r="FH4" s="463">
        <v>120000000</v>
      </c>
      <c r="FI4" s="463">
        <v>0</v>
      </c>
      <c r="FJ4" s="463">
        <f t="shared" ref="FJ4:FJ69" si="0">FH4-FI4</f>
        <v>120000000</v>
      </c>
      <c r="FK4" s="468"/>
      <c r="FL4" s="463">
        <v>25000000</v>
      </c>
      <c r="FM4" s="468">
        <v>0</v>
      </c>
      <c r="FN4" s="468">
        <f>FL4-FM4</f>
        <v>25000000</v>
      </c>
      <c r="FO4" s="468"/>
      <c r="FP4" s="468">
        <v>5000000</v>
      </c>
      <c r="FQ4" s="468">
        <v>0</v>
      </c>
      <c r="FR4" s="468">
        <f>FP4-FQ4</f>
        <v>5000000</v>
      </c>
      <c r="FS4" s="468"/>
      <c r="FT4" s="468">
        <v>30000000</v>
      </c>
      <c r="FU4" s="469">
        <f>13930282.05+16069717.95</f>
        <v>30000000</v>
      </c>
      <c r="FV4" s="468">
        <f>FT4-FU4</f>
        <v>0</v>
      </c>
      <c r="FW4" s="468"/>
      <c r="FX4" s="468">
        <v>4150000</v>
      </c>
      <c r="FY4" s="468">
        <v>0</v>
      </c>
      <c r="FZ4" s="468">
        <v>4150000</v>
      </c>
      <c r="GA4" s="468"/>
      <c r="GB4" s="468">
        <v>160000000</v>
      </c>
      <c r="GC4" s="468">
        <v>0</v>
      </c>
      <c r="GD4" s="468">
        <f>GB4-GC4</f>
        <v>160000000</v>
      </c>
      <c r="GE4" s="468"/>
      <c r="GF4" s="468">
        <v>25000000</v>
      </c>
      <c r="GG4" s="468">
        <v>0</v>
      </c>
      <c r="GH4" s="468">
        <f>GF4-GG4</f>
        <v>25000000</v>
      </c>
      <c r="GI4" s="468"/>
      <c r="GJ4" s="468">
        <v>5000000</v>
      </c>
      <c r="GK4" s="468">
        <v>0</v>
      </c>
      <c r="GL4" s="468">
        <f>GJ4-GK4</f>
        <v>5000000</v>
      </c>
      <c r="GM4" s="468"/>
      <c r="GN4" s="468">
        <v>20000000</v>
      </c>
      <c r="GO4" s="469">
        <f>18379142.05</f>
        <v>18379142.050000001</v>
      </c>
      <c r="GP4" s="468">
        <f>GN4-GO4</f>
        <v>1620857.9499999993</v>
      </c>
      <c r="GQ4" s="468"/>
      <c r="GR4" s="468">
        <v>5000000</v>
      </c>
      <c r="GS4" s="468">
        <v>0</v>
      </c>
      <c r="GT4" s="468">
        <f>GR4-GS4</f>
        <v>5000000</v>
      </c>
      <c r="GU4" s="468"/>
      <c r="GV4" s="465">
        <f>H4+L4+P4+T4+X4+AB4+AF4+AJ4+AN4+AR4+AV4+AZ4+BH4+BL4+BP4+BT4+BX4+D4+CB4+CF4+CJ4+CN4+CR4+BD4+DP4+CV4+CZ4+DD4+DH4+DL4+DT4+DX4+EB4+EF4+EJ4+EN4+ER4+EV4+EZ4+FD4+FH4+FL4+FP4+FT4+FX4+GB4+GF4+GJ4+GN4+GR4</f>
        <v>1863184252</v>
      </c>
      <c r="GW4" s="465">
        <f>I4+M4+Q4+U4+Y4+AC4+AG4+AK4+AO4+AS4+AW4+BA4+BI4+BM4+BQ4+BU4+BY4+E4+CC4+CG4+CK4+CO4+CS4+BE4+DQ4+CW4+DA4+DE4+DI4+DM4+DU4+DY4+EC4+EG4+EK4+EO4+ES4+EW4+FA4+FE4+FI4+FM4+FQ4+FU4+FY4+GC4+GG4+GK4+GO4+GS4</f>
        <v>1184355065.45</v>
      </c>
      <c r="GX4" s="465">
        <f>GV4-GW4</f>
        <v>678829186.54999995</v>
      </c>
      <c r="GY4" s="470"/>
      <c r="GZ4" s="464"/>
      <c r="HA4" s="471">
        <f>D4+H4+L4+X4+AN4+BH4+CB4+CF4+CV4+DP4+DT4+EN4+FH4+GB4</f>
        <v>1340000000</v>
      </c>
      <c r="HB4" s="471">
        <f>E4+I4+M4+Y4+AO4+BI4+CC4+CG4+CW4+DQ4+DU4+EO4+FI4+GC4</f>
        <v>900969487.39999998</v>
      </c>
      <c r="HC4" s="471">
        <f>HA4-HB4</f>
        <v>439030512.60000002</v>
      </c>
      <c r="HE4" s="471">
        <f>P4+AB4+AR4+
BL4+CJ4+CZ4+DX4+ER4+FL4+GF4</f>
        <v>150000000</v>
      </c>
      <c r="HF4" s="471">
        <f>Q4+AC4+AS4+
BM4+CK4+DA4+DY4+ES4+FM4+GG4</f>
        <v>43569706</v>
      </c>
      <c r="HG4" s="471">
        <f>HE4-HF4</f>
        <v>106430294</v>
      </c>
      <c r="HI4" s="471">
        <f>T4+AF4+AV4+BP4+CN4+DD4+EB4+EV4+FP4+GJ4</f>
        <v>65000000</v>
      </c>
      <c r="HJ4" s="471">
        <f>U4+AG4+AW4+BQ4+CO4+DE4+EC4+EW4+FQ4+GK4</f>
        <v>0</v>
      </c>
      <c r="HK4" s="471">
        <f>HI4-HJ4</f>
        <v>65000000</v>
      </c>
      <c r="HM4" s="475">
        <f>AJ4+AZ4+BT4+CR4+DH4+EF4+EZ4+FT4+GN4</f>
        <v>264034252</v>
      </c>
      <c r="HN4" s="475">
        <f>AK4+BA4+BU4+CS4+DI4+EG4+FA4+FU4+GO4</f>
        <v>239815872.05000001</v>
      </c>
      <c r="HO4" s="475">
        <f>HM4-HN4</f>
        <v>24218379.949999988</v>
      </c>
      <c r="HP4" s="476"/>
      <c r="HR4" s="471">
        <f>BD4+BX4+DL4+EJ4+FD4+FX4+GR4</f>
        <v>44150000</v>
      </c>
      <c r="HS4" s="471">
        <f>BE4+BY4+DM4+EK4+FE4+FY4+GS4</f>
        <v>0</v>
      </c>
      <c r="HT4" s="471">
        <f>HR4-HS4</f>
        <v>44150000</v>
      </c>
    </row>
    <row r="5" spans="1:228" x14ac:dyDescent="0.25">
      <c r="A5" s="107">
        <v>2</v>
      </c>
      <c r="B5" s="107" t="s">
        <v>62</v>
      </c>
      <c r="C5" s="113" t="s">
        <v>63</v>
      </c>
      <c r="D5" s="465">
        <v>1750000</v>
      </c>
      <c r="E5" s="465">
        <v>1750000</v>
      </c>
      <c r="F5" s="465">
        <f t="shared" ref="F5:F69" si="1">D5-E5</f>
        <v>0</v>
      </c>
      <c r="G5" s="465"/>
      <c r="H5" s="465">
        <v>50000000</v>
      </c>
      <c r="I5" s="465">
        <v>50000000</v>
      </c>
      <c r="J5" s="465">
        <f t="shared" ref="J5:J70" si="2">H5-I5</f>
        <v>0</v>
      </c>
      <c r="K5" s="465"/>
      <c r="L5" s="465">
        <v>50000000</v>
      </c>
      <c r="M5" s="465">
        <v>50000000</v>
      </c>
      <c r="N5" s="465">
        <f t="shared" ref="N5:N70" si="3">L5-M5</f>
        <v>0</v>
      </c>
      <c r="O5" s="465"/>
      <c r="P5" s="465">
        <v>7000000</v>
      </c>
      <c r="Q5" s="465">
        <v>7000000</v>
      </c>
      <c r="R5" s="465">
        <f t="shared" ref="R5:R70" si="4">P5-Q5</f>
        <v>0</v>
      </c>
      <c r="S5" s="465"/>
      <c r="T5" s="465">
        <f>3000000-3000000</f>
        <v>0</v>
      </c>
      <c r="U5" s="465">
        <v>0</v>
      </c>
      <c r="V5" s="465">
        <f t="shared" ref="V5:V70" si="5">T5-U5</f>
        <v>0</v>
      </c>
      <c r="W5" s="465"/>
      <c r="X5" s="465">
        <v>60000000</v>
      </c>
      <c r="Y5" s="465">
        <v>60000000</v>
      </c>
      <c r="Z5" s="465">
        <f t="shared" ref="Z5:Z70" si="6">X5-Y5</f>
        <v>0</v>
      </c>
      <c r="AA5" s="465"/>
      <c r="AB5" s="465">
        <v>10000000</v>
      </c>
      <c r="AC5" s="465">
        <v>10000000</v>
      </c>
      <c r="AD5" s="465">
        <f t="shared" ref="AD5:AD70" si="7">AB5-AC5</f>
        <v>0</v>
      </c>
      <c r="AE5" s="465"/>
      <c r="AF5" s="465">
        <f>5000000-5000000</f>
        <v>0</v>
      </c>
      <c r="AG5" s="465">
        <v>0</v>
      </c>
      <c r="AH5" s="465">
        <f t="shared" ref="AH5:AH70" si="8">AF5-AG5</f>
        <v>0</v>
      </c>
      <c r="AI5" s="465"/>
      <c r="AJ5" s="465">
        <v>15000000</v>
      </c>
      <c r="AK5" s="465">
        <v>15000000</v>
      </c>
      <c r="AL5" s="465">
        <f t="shared" ref="AL5:AL70" si="9">AJ5-AK5</f>
        <v>0</v>
      </c>
      <c r="AM5" s="465"/>
      <c r="AN5" s="465">
        <v>80000000</v>
      </c>
      <c r="AO5" s="465">
        <f>113326298.88-33326298.88</f>
        <v>80000000</v>
      </c>
      <c r="AP5" s="465">
        <f t="shared" ref="AP5:AP70" si="10">AN5-AO5</f>
        <v>0</v>
      </c>
      <c r="AQ5" s="465"/>
      <c r="AR5" s="465">
        <v>10000000</v>
      </c>
      <c r="AS5" s="465">
        <v>10000000</v>
      </c>
      <c r="AT5" s="465">
        <f t="shared" ref="AT5:AT70" si="11">AR5-AS5</f>
        <v>0</v>
      </c>
      <c r="AU5" s="465"/>
      <c r="AV5" s="465">
        <v>5000000</v>
      </c>
      <c r="AW5" s="477"/>
      <c r="AX5" s="465">
        <f t="shared" ref="AX5:AX70" si="12">AV5-AW5</f>
        <v>5000000</v>
      </c>
      <c r="AY5" s="465"/>
      <c r="AZ5" s="465">
        <v>20000000</v>
      </c>
      <c r="BA5" s="465">
        <v>20000000</v>
      </c>
      <c r="BB5" s="465">
        <f t="shared" ref="BB5:BB70" si="13">AZ5-BA5</f>
        <v>0</v>
      </c>
      <c r="BC5" s="465"/>
      <c r="BD5" s="465">
        <v>5000000</v>
      </c>
      <c r="BE5" s="465">
        <f>2154750+380250</f>
        <v>2535000</v>
      </c>
      <c r="BF5" s="465">
        <f t="shared" ref="BF5:BF70" si="14">BD5-BE5</f>
        <v>2465000</v>
      </c>
      <c r="BG5" s="465"/>
      <c r="BH5" s="465">
        <v>130000000</v>
      </c>
      <c r="BI5" s="465">
        <f>1450013.12+110488629.2+16798247.78+1263109.9</f>
        <v>130000000.00000001</v>
      </c>
      <c r="BJ5" s="465">
        <f t="shared" ref="BJ5:BJ70" si="15">BH5-BI5</f>
        <v>0</v>
      </c>
      <c r="BK5" s="465"/>
      <c r="BL5" s="465">
        <v>10000000</v>
      </c>
      <c r="BM5" s="478">
        <f>4467572.1+1880000+3652427.9-8504250+8504250</f>
        <v>10000000</v>
      </c>
      <c r="BN5" s="465">
        <f t="shared" ref="BN5:BN70" si="16">BL5-BM5</f>
        <v>0</v>
      </c>
      <c r="BO5" s="465"/>
      <c r="BP5" s="465">
        <v>10000000</v>
      </c>
      <c r="BQ5" s="479">
        <f>8504250</f>
        <v>8504250</v>
      </c>
      <c r="BR5" s="465">
        <f t="shared" ref="BR5:BR70" si="17">BP5-BQ5</f>
        <v>1495750</v>
      </c>
      <c r="BS5" s="465"/>
      <c r="BT5" s="465">
        <v>40000000</v>
      </c>
      <c r="BU5" s="465">
        <f>7262925.47+6844045+14237690+11655339.53</f>
        <v>40000000</v>
      </c>
      <c r="BV5" s="465">
        <f t="shared" ref="BV5:BV70" si="18">BT5-BU5</f>
        <v>0</v>
      </c>
      <c r="BW5" s="465"/>
      <c r="BX5" s="465">
        <v>5000000</v>
      </c>
      <c r="BY5" s="465">
        <v>0</v>
      </c>
      <c r="BZ5" s="465">
        <f t="shared" ref="BZ5:BZ70" si="19">BX5-BY5</f>
        <v>5000000</v>
      </c>
      <c r="CA5" s="465"/>
      <c r="CB5" s="465">
        <v>0</v>
      </c>
      <c r="CC5" s="465">
        <v>0</v>
      </c>
      <c r="CD5" s="465">
        <f t="shared" ref="CD5:CD70" si="20">CB5-CC5</f>
        <v>0</v>
      </c>
      <c r="CE5" s="465"/>
      <c r="CF5" s="465">
        <f t="shared" ref="CF5:CF70" si="21">140000000</f>
        <v>140000000</v>
      </c>
      <c r="CG5" s="465">
        <f>138649865.1+1350134.9</f>
        <v>140000000</v>
      </c>
      <c r="CH5" s="465">
        <f t="shared" ref="CH5:CH70" si="22">CF5-CG5</f>
        <v>0</v>
      </c>
      <c r="CI5" s="465"/>
      <c r="CJ5" s="465">
        <v>20000000</v>
      </c>
      <c r="CK5" s="480">
        <f>3590919.37+4706118.96</f>
        <v>8297038.3300000001</v>
      </c>
      <c r="CL5" s="465">
        <f t="shared" ref="CL5:CL70" si="23">CJ5-CK5</f>
        <v>11702961.67</v>
      </c>
      <c r="CM5" s="465"/>
      <c r="CN5" s="465">
        <v>10000000</v>
      </c>
      <c r="CO5" s="465">
        <v>0</v>
      </c>
      <c r="CP5" s="465">
        <f t="shared" ref="CP5:CP70" si="24">CN5-CO5</f>
        <v>10000000</v>
      </c>
      <c r="CQ5" s="465"/>
      <c r="CR5" s="465">
        <v>40000000</v>
      </c>
      <c r="CS5" s="465">
        <f>671899.47+10535959+6705780+22086361.53</f>
        <v>40000000</v>
      </c>
      <c r="CT5" s="465">
        <f t="shared" ref="CT5:CT70" si="25">CR5-CS5</f>
        <v>0</v>
      </c>
      <c r="CU5" s="465"/>
      <c r="CV5" s="465">
        <v>150000000</v>
      </c>
      <c r="CW5" s="465">
        <f>94935065.1+50561988+800000+3702946.9</f>
        <v>150000000</v>
      </c>
      <c r="CX5" s="465">
        <f t="shared" ref="CX5:CX70" si="26">CV5-CW5</f>
        <v>0</v>
      </c>
      <c r="CY5" s="465"/>
      <c r="CZ5" s="465">
        <v>20000000</v>
      </c>
      <c r="DA5" s="465">
        <v>0</v>
      </c>
      <c r="DB5" s="465">
        <f t="shared" ref="DB5:DB70" si="27">CZ5-DA5</f>
        <v>20000000</v>
      </c>
      <c r="DC5" s="465"/>
      <c r="DD5" s="465">
        <v>10000000</v>
      </c>
      <c r="DE5" s="465">
        <v>0</v>
      </c>
      <c r="DF5" s="465">
        <f t="shared" ref="DF5:DF70" si="28">DD5-DE5</f>
        <v>10000000</v>
      </c>
      <c r="DG5" s="465"/>
      <c r="DH5" s="465">
        <v>50000000</v>
      </c>
      <c r="DI5" s="465">
        <f>368783.47+16153430+1764771+5633654+12336134+1796780+11946447.53</f>
        <v>50000000</v>
      </c>
      <c r="DJ5" s="465">
        <f t="shared" ref="DJ5:DJ70" si="29">DH5-DI5</f>
        <v>0</v>
      </c>
      <c r="DK5" s="465"/>
      <c r="DL5" s="465">
        <v>10000000</v>
      </c>
      <c r="DM5" s="465">
        <v>0</v>
      </c>
      <c r="DN5" s="465">
        <f t="shared" ref="DN5:DN70" si="30">DL5-DM5</f>
        <v>10000000</v>
      </c>
      <c r="DO5" s="465"/>
      <c r="DP5" s="465">
        <v>0</v>
      </c>
      <c r="DQ5" s="465">
        <v>0</v>
      </c>
      <c r="DR5" s="465">
        <f t="shared" ref="DR5:DR70" si="31">DP5-DQ5</f>
        <v>0</v>
      </c>
      <c r="DS5" s="465"/>
      <c r="DT5" s="465">
        <v>100000000</v>
      </c>
      <c r="DU5" s="465">
        <f>53141413.1+6598000+24000000+16260586.9</f>
        <v>100000000</v>
      </c>
      <c r="DV5" s="465">
        <f t="shared" ref="DV5:DV70" si="32">DT5-DU5</f>
        <v>0</v>
      </c>
      <c r="DW5" s="461"/>
      <c r="DX5" s="465">
        <v>15000000</v>
      </c>
      <c r="DY5" s="465">
        <v>0</v>
      </c>
      <c r="DZ5" s="465">
        <f t="shared" ref="DZ5:DZ70" si="33">DX5-DY5</f>
        <v>15000000</v>
      </c>
      <c r="EA5" s="465"/>
      <c r="EB5" s="465">
        <v>10000000</v>
      </c>
      <c r="EC5" s="465">
        <v>0</v>
      </c>
      <c r="ED5" s="465">
        <f t="shared" ref="ED5:ED70" si="34">EB5-EC5</f>
        <v>10000000</v>
      </c>
      <c r="EE5" s="465"/>
      <c r="EF5" s="465">
        <v>25000000</v>
      </c>
      <c r="EG5" s="465">
        <f>2121618+5029672.1+6966480+7855720+3026509.9</f>
        <v>25000000</v>
      </c>
      <c r="EH5" s="465">
        <f t="shared" ref="EH5:EH70" si="35">EF5-EG5</f>
        <v>0</v>
      </c>
      <c r="EI5" s="465"/>
      <c r="EJ5" s="465">
        <v>10000000</v>
      </c>
      <c r="EK5" s="465">
        <v>0</v>
      </c>
      <c r="EL5" s="465">
        <f t="shared" ref="EL5:EL70" si="36">EJ5-EK5</f>
        <v>10000000</v>
      </c>
      <c r="EM5" s="465"/>
      <c r="EN5" s="465">
        <v>300000000</v>
      </c>
      <c r="EO5" s="465">
        <f>31739413.1+17100000+38937470+48942386.45+47931805.9+81484273.85+8243640+25621010.7</f>
        <v>300000000</v>
      </c>
      <c r="EP5" s="465">
        <f t="shared" ref="EP5:EP70" si="37">EN5-EO5</f>
        <v>0</v>
      </c>
      <c r="EQ5" s="465"/>
      <c r="ER5" s="465">
        <v>25000000</v>
      </c>
      <c r="ES5" s="465">
        <v>0</v>
      </c>
      <c r="ET5" s="465">
        <f t="shared" ref="ET5:ET70" si="38">ER5-ES5</f>
        <v>25000000</v>
      </c>
      <c r="EU5" s="465"/>
      <c r="EV5" s="465">
        <v>10000000</v>
      </c>
      <c r="EW5" s="465">
        <v>0</v>
      </c>
      <c r="EX5" s="465">
        <f t="shared" ref="EX5:EX70" si="39">EV5-EW5</f>
        <v>10000000</v>
      </c>
      <c r="EY5" s="465"/>
      <c r="EZ5" s="465">
        <v>30000000</v>
      </c>
      <c r="FA5" s="467">
        <f>7139295.1+5151605+9639088+1919113.39+5952655+198243.51</f>
        <v>30000000.000000004</v>
      </c>
      <c r="FB5" s="465">
        <f t="shared" ref="FB5:FB70" si="40">EZ5-FA5</f>
        <v>0</v>
      </c>
      <c r="FC5" s="465"/>
      <c r="FD5" s="465">
        <v>5000000</v>
      </c>
      <c r="FE5" s="465">
        <v>0</v>
      </c>
      <c r="FF5" s="465">
        <f t="shared" ref="FF5:FF70" si="41">FD5-FE5</f>
        <v>5000000</v>
      </c>
      <c r="FG5" s="465"/>
      <c r="FH5" s="463">
        <v>120000000</v>
      </c>
      <c r="FI5" s="481">
        <f>7678989.30000001+26100000+16717000</f>
        <v>50495989.300000012</v>
      </c>
      <c r="FJ5" s="463">
        <f t="shared" si="0"/>
        <v>69504010.699999988</v>
      </c>
      <c r="FK5" s="468"/>
      <c r="FL5" s="463">
        <v>25000000</v>
      </c>
      <c r="FM5" s="468">
        <v>0</v>
      </c>
      <c r="FN5" s="468">
        <f t="shared" ref="FN5:FN29" si="42">FL5-FM5</f>
        <v>25000000</v>
      </c>
      <c r="FO5" s="468"/>
      <c r="FP5" s="468">
        <v>5000000</v>
      </c>
      <c r="FQ5" s="468">
        <v>0</v>
      </c>
      <c r="FR5" s="468">
        <f t="shared" ref="FR5:FR17" si="43">FP5-FQ5</f>
        <v>5000000</v>
      </c>
      <c r="FS5" s="468"/>
      <c r="FT5" s="468">
        <v>30000000</v>
      </c>
      <c r="FU5" s="482">
        <f>19776091.19</f>
        <v>19776091.190000001</v>
      </c>
      <c r="FV5" s="468">
        <f t="shared" ref="FV5:FV17" si="44">FT5-FU5</f>
        <v>10223908.809999999</v>
      </c>
      <c r="FW5" s="468"/>
      <c r="FX5" s="468">
        <v>4150000</v>
      </c>
      <c r="FY5" s="468">
        <v>0</v>
      </c>
      <c r="FZ5" s="468">
        <v>4150000</v>
      </c>
      <c r="GA5" s="468"/>
      <c r="GB5" s="468">
        <v>160000000</v>
      </c>
      <c r="GC5" s="468">
        <v>0</v>
      </c>
      <c r="GD5" s="468">
        <f t="shared" ref="GD5:GD54" si="45">GB5-GC5</f>
        <v>160000000</v>
      </c>
      <c r="GE5" s="468"/>
      <c r="GF5" s="468">
        <v>25000000</v>
      </c>
      <c r="GG5" s="468">
        <v>0</v>
      </c>
      <c r="GH5" s="468">
        <f t="shared" ref="GH5:GH54" si="46">GF5-GG5</f>
        <v>25000000</v>
      </c>
      <c r="GI5" s="468"/>
      <c r="GJ5" s="468">
        <v>5000000</v>
      </c>
      <c r="GK5" s="468">
        <v>0</v>
      </c>
      <c r="GL5" s="468">
        <f t="shared" ref="GL5:GL54" si="47">GJ5-GK5</f>
        <v>5000000</v>
      </c>
      <c r="GM5" s="468"/>
      <c r="GN5" s="468">
        <v>20000000</v>
      </c>
      <c r="GO5" s="468">
        <v>0</v>
      </c>
      <c r="GP5" s="468">
        <f t="shared" ref="GP5:GP53" si="48">GN5-GO5</f>
        <v>20000000</v>
      </c>
      <c r="GQ5" s="468"/>
      <c r="GR5" s="468">
        <v>5000000</v>
      </c>
      <c r="GS5" s="468">
        <v>0</v>
      </c>
      <c r="GT5" s="468">
        <f t="shared" ref="GT5:GT54" si="49">GR5-GS5</f>
        <v>5000000</v>
      </c>
      <c r="GU5" s="468"/>
      <c r="GV5" s="465">
        <f t="shared" ref="GV5:GW70" si="50">H5+L5+P5+T5+X5+AB5+AF5+AJ5+AN5+AR5+AV5+AZ5+BH5+BL5+BP5+BT5+BX5+D5+CB5+CF5+CJ5+CN5+CR5+BD5+DP5+CV5+CZ5+DD5+DH5+DL5+DT5+DX5+EB5+EF5+EJ5+EN5+ER5+EV5+EZ5+FD5+FH5+FL5+FP5+FT5+FX5+GB5+GF5+GJ5+GN5+GR5</f>
        <v>1887900000</v>
      </c>
      <c r="GW5" s="465">
        <f t="shared" si="50"/>
        <v>1408358368.8199999</v>
      </c>
      <c r="GX5" s="465">
        <f t="shared" ref="GX5:GX70" si="51">GV5-GW5</f>
        <v>479541631.18000007</v>
      </c>
      <c r="GY5" s="470"/>
      <c r="GZ5" s="464"/>
      <c r="HA5" s="471">
        <f>D5+H5+L5+X5+AN5+BH5+CB5+CF5+CV5+DP5+DT5+EN5+FH5+GB5</f>
        <v>1341750000</v>
      </c>
      <c r="HB5" s="471">
        <f>E5+I5+M5+Y5+AO5+BI5+CC5+CG5+CW5+DQ5+DU5+EO5+FI5+GC5</f>
        <v>1112245989.3</v>
      </c>
      <c r="HC5" s="471">
        <f t="shared" ref="HC5:HC70" si="52">HA5-HB5</f>
        <v>229504010.70000005</v>
      </c>
      <c r="HE5" s="471">
        <f>P5+AB5+AR5+
BL5+CJ5+CZ5+DX5+ER5+FL5+GF5</f>
        <v>167000000</v>
      </c>
      <c r="HF5" s="471">
        <f>Q5+AC5+AS5+
BM5+CK5+DA5+DY5+ES5+FM5+GG5</f>
        <v>45297038.329999998</v>
      </c>
      <c r="HG5" s="471">
        <f t="shared" ref="HG5:HG70" si="53">HE5-HF5</f>
        <v>121702961.67</v>
      </c>
      <c r="HI5" s="471">
        <f>T5+AF5+AV5+BP5+CN5+DD5+EB5+EV5+FP5+GJ5</f>
        <v>65000000</v>
      </c>
      <c r="HJ5" s="471">
        <f>U5+AG5+AW5+BQ5+CO5+DE5+EC5+EW5+FQ5+GK5</f>
        <v>8504250</v>
      </c>
      <c r="HK5" s="471">
        <f t="shared" ref="HK5:HK70" si="54">HI5-HJ5</f>
        <v>56495750</v>
      </c>
      <c r="HM5" s="475">
        <f>AJ5+AZ5+BT5+CR5+DH5+EF5+EZ5+FT5+GN5</f>
        <v>270000000</v>
      </c>
      <c r="HN5" s="475">
        <f>AK5+BA5+BU5+CS5+DI5+EG5+FA5+FU5+GO5</f>
        <v>239776091.19</v>
      </c>
      <c r="HO5" s="475">
        <f t="shared" ref="HO5:HO70" si="55">HM5-HN5</f>
        <v>30223908.810000002</v>
      </c>
      <c r="HP5" s="476"/>
      <c r="HR5" s="471">
        <f>BD5+BX5+DL5+EJ5+FD5+FX5+GR5</f>
        <v>44150000</v>
      </c>
      <c r="HS5" s="471">
        <f>BE5+BY5+DM5+EK5+FE5+FY5+GS5</f>
        <v>2535000</v>
      </c>
      <c r="HT5" s="471">
        <f t="shared" ref="HT5:HT70" si="56">HR5-HS5</f>
        <v>41615000</v>
      </c>
    </row>
    <row r="6" spans="1:228" x14ac:dyDescent="0.25">
      <c r="A6" s="107">
        <v>3</v>
      </c>
      <c r="B6" s="107" t="s">
        <v>64</v>
      </c>
      <c r="C6" s="113" t="s">
        <v>65</v>
      </c>
      <c r="D6" s="465">
        <v>1750000</v>
      </c>
      <c r="E6" s="465">
        <v>1750000</v>
      </c>
      <c r="F6" s="465">
        <f t="shared" si="1"/>
        <v>0</v>
      </c>
      <c r="G6" s="465"/>
      <c r="H6" s="465">
        <v>50000000</v>
      </c>
      <c r="I6" s="465">
        <v>50000000</v>
      </c>
      <c r="J6" s="465">
        <f t="shared" si="2"/>
        <v>0</v>
      </c>
      <c r="K6" s="465"/>
      <c r="L6" s="465">
        <v>50000000</v>
      </c>
      <c r="M6" s="465">
        <v>50000000</v>
      </c>
      <c r="N6" s="465">
        <f t="shared" si="3"/>
        <v>0</v>
      </c>
      <c r="O6" s="465"/>
      <c r="P6" s="465">
        <v>7000000</v>
      </c>
      <c r="Q6" s="465">
        <v>7000000</v>
      </c>
      <c r="R6" s="465">
        <f t="shared" si="4"/>
        <v>0</v>
      </c>
      <c r="S6" s="465"/>
      <c r="T6" s="465">
        <v>1275000</v>
      </c>
      <c r="U6" s="465">
        <v>1275000</v>
      </c>
      <c r="V6" s="465">
        <f t="shared" si="5"/>
        <v>0</v>
      </c>
      <c r="W6" s="465"/>
      <c r="X6" s="465">
        <v>60000000</v>
      </c>
      <c r="Y6" s="465">
        <v>60000000</v>
      </c>
      <c r="Z6" s="465">
        <f t="shared" si="6"/>
        <v>0</v>
      </c>
      <c r="AA6" s="465"/>
      <c r="AB6" s="465">
        <v>10000000</v>
      </c>
      <c r="AC6" s="465">
        <f>6648750+3351250</f>
        <v>10000000</v>
      </c>
      <c r="AD6" s="465">
        <f t="shared" si="7"/>
        <v>0</v>
      </c>
      <c r="AE6" s="465"/>
      <c r="AF6" s="465">
        <f>5000000-5000000</f>
        <v>0</v>
      </c>
      <c r="AG6" s="465">
        <v>0</v>
      </c>
      <c r="AH6" s="465">
        <f t="shared" si="8"/>
        <v>0</v>
      </c>
      <c r="AI6" s="465"/>
      <c r="AJ6" s="465">
        <v>15000000</v>
      </c>
      <c r="AK6" s="465">
        <v>15000000</v>
      </c>
      <c r="AL6" s="465">
        <f t="shared" si="9"/>
        <v>0</v>
      </c>
      <c r="AM6" s="465"/>
      <c r="AN6" s="465">
        <v>80000000</v>
      </c>
      <c r="AO6" s="465">
        <v>80000000</v>
      </c>
      <c r="AP6" s="465">
        <f t="shared" si="10"/>
        <v>0</v>
      </c>
      <c r="AQ6" s="465"/>
      <c r="AR6" s="465">
        <v>10000000</v>
      </c>
      <c r="AS6" s="465">
        <f>6570020+3429980</f>
        <v>10000000</v>
      </c>
      <c r="AT6" s="465">
        <f t="shared" si="11"/>
        <v>0</v>
      </c>
      <c r="AU6" s="465"/>
      <c r="AV6" s="465">
        <v>5000000</v>
      </c>
      <c r="AW6" s="465">
        <v>5000000</v>
      </c>
      <c r="AX6" s="465">
        <f t="shared" si="12"/>
        <v>0</v>
      </c>
      <c r="AY6" s="465"/>
      <c r="AZ6" s="465">
        <v>20000000</v>
      </c>
      <c r="BA6" s="465">
        <v>20000000</v>
      </c>
      <c r="BB6" s="465">
        <f t="shared" si="13"/>
        <v>0</v>
      </c>
      <c r="BC6" s="465"/>
      <c r="BD6" s="465">
        <v>5000000</v>
      </c>
      <c r="BE6" s="465">
        <v>5000000</v>
      </c>
      <c r="BF6" s="465">
        <f t="shared" si="14"/>
        <v>0</v>
      </c>
      <c r="BG6" s="465"/>
      <c r="BH6" s="465">
        <v>130000000</v>
      </c>
      <c r="BI6" s="465">
        <f>121036409.85+8963590.15</f>
        <v>130000000</v>
      </c>
      <c r="BJ6" s="465">
        <f t="shared" si="15"/>
        <v>0</v>
      </c>
      <c r="BK6" s="465"/>
      <c r="BL6" s="465">
        <v>10000000</v>
      </c>
      <c r="BM6" s="465">
        <f>10000000</f>
        <v>10000000</v>
      </c>
      <c r="BN6" s="465">
        <f t="shared" si="16"/>
        <v>0</v>
      </c>
      <c r="BO6" s="465"/>
      <c r="BP6" s="465">
        <v>10000000</v>
      </c>
      <c r="BQ6" s="465">
        <v>10000000</v>
      </c>
      <c r="BR6" s="465">
        <f t="shared" si="17"/>
        <v>0</v>
      </c>
      <c r="BS6" s="465"/>
      <c r="BT6" s="465">
        <v>40000000</v>
      </c>
      <c r="BU6" s="465">
        <f>37749478.69+2250521.31</f>
        <v>40000000</v>
      </c>
      <c r="BV6" s="465">
        <f t="shared" si="18"/>
        <v>0</v>
      </c>
      <c r="BW6" s="465"/>
      <c r="BX6" s="465">
        <v>5000000</v>
      </c>
      <c r="BY6" s="483">
        <f>168000+214500+697500+1020000+1428136</f>
        <v>3528136</v>
      </c>
      <c r="BZ6" s="465">
        <f t="shared" si="19"/>
        <v>1471864</v>
      </c>
      <c r="CA6" s="465"/>
      <c r="CB6" s="465">
        <v>0</v>
      </c>
      <c r="CC6" s="465">
        <v>0</v>
      </c>
      <c r="CD6" s="465">
        <f t="shared" si="20"/>
        <v>0</v>
      </c>
      <c r="CE6" s="465"/>
      <c r="CF6" s="465">
        <f t="shared" si="21"/>
        <v>140000000</v>
      </c>
      <c r="CG6" s="465">
        <f>139580684.85+419315.15</f>
        <v>140000000</v>
      </c>
      <c r="CH6" s="465">
        <f t="shared" si="22"/>
        <v>0</v>
      </c>
      <c r="CI6" s="465"/>
      <c r="CJ6" s="465">
        <v>20000000</v>
      </c>
      <c r="CK6" s="465">
        <f>16954108+3045892</f>
        <v>20000000</v>
      </c>
      <c r="CL6" s="465">
        <f t="shared" si="23"/>
        <v>0</v>
      </c>
      <c r="CM6" s="465"/>
      <c r="CN6" s="465">
        <v>10000000</v>
      </c>
      <c r="CO6" s="465">
        <f>9713025+286975</f>
        <v>10000000</v>
      </c>
      <c r="CP6" s="465">
        <f t="shared" si="24"/>
        <v>0</v>
      </c>
      <c r="CQ6" s="465"/>
      <c r="CR6" s="465">
        <v>40000000</v>
      </c>
      <c r="CS6" s="465">
        <f>4235358.69+11052716+9522020+3744546.6+9803050+1642308.71</f>
        <v>40000000.000000007</v>
      </c>
      <c r="CT6" s="465">
        <f t="shared" si="25"/>
        <v>0</v>
      </c>
      <c r="CU6" s="465"/>
      <c r="CV6" s="465">
        <v>150000000</v>
      </c>
      <c r="CW6" s="465">
        <f>149394200-419315.15+1025115.15</f>
        <v>150000000</v>
      </c>
      <c r="CX6" s="465">
        <f t="shared" si="26"/>
        <v>0</v>
      </c>
      <c r="CY6" s="465"/>
      <c r="CZ6" s="465">
        <v>20000000</v>
      </c>
      <c r="DA6" s="465">
        <f>5888800-3045892+16015602+1141490</f>
        <v>20000000</v>
      </c>
      <c r="DB6" s="465">
        <f t="shared" si="27"/>
        <v>0</v>
      </c>
      <c r="DC6" s="465"/>
      <c r="DD6" s="465">
        <v>10000000</v>
      </c>
      <c r="DE6" s="465">
        <f>4713025+5243475</f>
        <v>9956500</v>
      </c>
      <c r="DF6" s="465">
        <f t="shared" si="28"/>
        <v>43500</v>
      </c>
      <c r="DG6" s="465"/>
      <c r="DH6" s="465">
        <v>50000000</v>
      </c>
      <c r="DI6" s="465">
        <f>18114831.29+11194922+7910640+12778720+886.71</f>
        <v>50000000</v>
      </c>
      <c r="DJ6" s="465">
        <f t="shared" si="29"/>
        <v>0</v>
      </c>
      <c r="DK6" s="465"/>
      <c r="DL6" s="465">
        <v>10000000</v>
      </c>
      <c r="DM6" s="465">
        <f>2125000+555000</f>
        <v>2680000</v>
      </c>
      <c r="DN6" s="465">
        <f t="shared" si="30"/>
        <v>7320000</v>
      </c>
      <c r="DO6" s="465"/>
      <c r="DP6" s="465">
        <v>50000000</v>
      </c>
      <c r="DQ6" s="465">
        <v>38402000</v>
      </c>
      <c r="DR6" s="465">
        <f t="shared" si="31"/>
        <v>11598000</v>
      </c>
      <c r="DS6" s="465"/>
      <c r="DT6" s="465">
        <v>100000000</v>
      </c>
      <c r="DU6" s="465">
        <f>4804684.85+69265000+25930315.15</f>
        <v>100000000</v>
      </c>
      <c r="DV6" s="465">
        <f t="shared" si="32"/>
        <v>0</v>
      </c>
      <c r="DW6" s="465"/>
      <c r="DX6" s="465">
        <v>15000000</v>
      </c>
      <c r="DY6" s="465">
        <f>13023153+1976847</f>
        <v>15000000</v>
      </c>
      <c r="DZ6" s="465">
        <f t="shared" si="33"/>
        <v>0</v>
      </c>
      <c r="EA6" s="465"/>
      <c r="EB6" s="465">
        <v>10000000</v>
      </c>
      <c r="EC6" s="465">
        <v>0</v>
      </c>
      <c r="ED6" s="465">
        <f t="shared" si="34"/>
        <v>10000000</v>
      </c>
      <c r="EE6" s="465"/>
      <c r="EF6" s="465">
        <v>25000000</v>
      </c>
      <c r="EG6" s="465">
        <f>1132863.29+23616823.16+250313.55</f>
        <v>25000000</v>
      </c>
      <c r="EH6" s="465">
        <f t="shared" si="35"/>
        <v>0</v>
      </c>
      <c r="EI6" s="465"/>
      <c r="EJ6" s="465">
        <v>10000000</v>
      </c>
      <c r="EK6" s="465">
        <v>0</v>
      </c>
      <c r="EL6" s="465">
        <f t="shared" si="36"/>
        <v>10000000</v>
      </c>
      <c r="EM6" s="465"/>
      <c r="EN6" s="465">
        <v>300000000</v>
      </c>
      <c r="EO6" s="483">
        <f>118541434.85+144471750-144471750+17100000+16200000</f>
        <v>151841434.84999999</v>
      </c>
      <c r="EP6" s="465">
        <f t="shared" si="37"/>
        <v>148158565.15000001</v>
      </c>
      <c r="EQ6" s="465"/>
      <c r="ER6" s="465">
        <v>25000000</v>
      </c>
      <c r="ES6" s="484">
        <f>2809723+3652800+8286760.5</f>
        <v>14749283.5</v>
      </c>
      <c r="ET6" s="465">
        <f t="shared" si="38"/>
        <v>10250716.5</v>
      </c>
      <c r="EU6" s="465"/>
      <c r="EV6" s="465">
        <v>10000000</v>
      </c>
      <c r="EW6" s="465">
        <v>0</v>
      </c>
      <c r="EX6" s="465">
        <f t="shared" si="39"/>
        <v>10000000</v>
      </c>
      <c r="EY6" s="465"/>
      <c r="EZ6" s="465">
        <v>30000000</v>
      </c>
      <c r="FA6" s="483">
        <f>3036691.45+6869675+3149855+12998940+3944838.55</f>
        <v>30000000</v>
      </c>
      <c r="FB6" s="465">
        <f t="shared" si="40"/>
        <v>0</v>
      </c>
      <c r="FC6" s="465"/>
      <c r="FD6" s="465">
        <v>5000000</v>
      </c>
      <c r="FE6" s="465">
        <v>0</v>
      </c>
      <c r="FF6" s="465">
        <f t="shared" si="41"/>
        <v>5000000</v>
      </c>
      <c r="FG6" s="465"/>
      <c r="FH6" s="463">
        <v>120000000</v>
      </c>
      <c r="FI6" s="463">
        <v>52285000</v>
      </c>
      <c r="FJ6" s="463">
        <f t="shared" si="0"/>
        <v>67715000</v>
      </c>
      <c r="FK6" s="468"/>
      <c r="FL6" s="463">
        <v>25000000</v>
      </c>
      <c r="FM6" s="468">
        <v>0</v>
      </c>
      <c r="FN6" s="468">
        <f t="shared" si="42"/>
        <v>25000000</v>
      </c>
      <c r="FO6" s="468"/>
      <c r="FP6" s="468">
        <v>5000000</v>
      </c>
      <c r="FQ6" s="468">
        <v>0</v>
      </c>
      <c r="FR6" s="468">
        <f t="shared" si="43"/>
        <v>5000000</v>
      </c>
      <c r="FS6" s="468"/>
      <c r="FT6" s="468">
        <v>30000000</v>
      </c>
      <c r="FU6" s="469">
        <f>4911111.45+11599825</f>
        <v>16510936.449999999</v>
      </c>
      <c r="FV6" s="468">
        <f t="shared" si="44"/>
        <v>13489063.550000001</v>
      </c>
      <c r="FW6" s="468"/>
      <c r="FX6" s="468">
        <v>4150000</v>
      </c>
      <c r="FY6" s="468">
        <v>0</v>
      </c>
      <c r="FZ6" s="468">
        <v>4150000</v>
      </c>
      <c r="GA6" s="468"/>
      <c r="GB6" s="468">
        <v>160000000</v>
      </c>
      <c r="GC6" s="468">
        <v>0</v>
      </c>
      <c r="GD6" s="468">
        <f t="shared" si="45"/>
        <v>160000000</v>
      </c>
      <c r="GE6" s="468"/>
      <c r="GF6" s="468">
        <v>25000000</v>
      </c>
      <c r="GG6" s="468">
        <v>0</v>
      </c>
      <c r="GH6" s="468">
        <f t="shared" si="46"/>
        <v>25000000</v>
      </c>
      <c r="GI6" s="468"/>
      <c r="GJ6" s="468">
        <v>5000000</v>
      </c>
      <c r="GK6" s="468">
        <v>0</v>
      </c>
      <c r="GL6" s="468">
        <f t="shared" si="47"/>
        <v>5000000</v>
      </c>
      <c r="GM6" s="468"/>
      <c r="GN6" s="468">
        <v>20000000</v>
      </c>
      <c r="GO6" s="468">
        <v>0</v>
      </c>
      <c r="GP6" s="468">
        <f t="shared" si="48"/>
        <v>20000000</v>
      </c>
      <c r="GQ6" s="468"/>
      <c r="GR6" s="468">
        <v>5000000</v>
      </c>
      <c r="GS6" s="468">
        <v>0</v>
      </c>
      <c r="GT6" s="468">
        <f t="shared" si="49"/>
        <v>5000000</v>
      </c>
      <c r="GU6" s="468"/>
      <c r="GV6" s="465">
        <f t="shared" si="50"/>
        <v>1939175000</v>
      </c>
      <c r="GW6" s="465">
        <f t="shared" si="50"/>
        <v>1394978290.8</v>
      </c>
      <c r="GX6" s="465">
        <f t="shared" si="51"/>
        <v>544196709.20000005</v>
      </c>
      <c r="GY6" s="470"/>
      <c r="GZ6" s="464"/>
      <c r="HA6" s="471">
        <f>D6+H6+L6+X6+AN6+BH6+CB6+CF6+CV6+DP6+DT6+EN6+FH6+GB6</f>
        <v>1391750000</v>
      </c>
      <c r="HB6" s="471">
        <f>E6+I6+M6+Y6+AO6+BI6+CC6+CG6+CW6+DQ6+DU6+EO6+FI6+GC6</f>
        <v>1004278434.85</v>
      </c>
      <c r="HC6" s="471">
        <f t="shared" si="52"/>
        <v>387471565.14999998</v>
      </c>
      <c r="HE6" s="471">
        <f>P6+AB6+AR6+
BL6+CJ6+CZ6+DX6+ER6+FL6+GF6</f>
        <v>167000000</v>
      </c>
      <c r="HF6" s="471">
        <f>Q6+AC6+AS6+
BM6+CK6+DA6+DY6+ES6+FM6+GG6</f>
        <v>106749283.5</v>
      </c>
      <c r="HG6" s="471">
        <f t="shared" si="53"/>
        <v>60250716.5</v>
      </c>
      <c r="HI6" s="471">
        <f>T6+AF6+AV6+BP6+CN6+DD6+EB6+EV6+FP6+GJ6</f>
        <v>66275000</v>
      </c>
      <c r="HJ6" s="471">
        <f>U6+AG6+AW6+BQ6+CO6+DE6+EC6+EW6+FQ6+GK6</f>
        <v>36231500</v>
      </c>
      <c r="HK6" s="471">
        <f t="shared" si="54"/>
        <v>30043500</v>
      </c>
      <c r="HM6" s="475">
        <f>AJ6+AZ6+BT6+CR6+DH6+EF6+EZ6+FT6+GN6</f>
        <v>270000000</v>
      </c>
      <c r="HN6" s="475">
        <f>AK6+BA6+BU6+CS6+DI6+EG6+FA6+FU6+GO6</f>
        <v>236510936.44999999</v>
      </c>
      <c r="HO6" s="475">
        <f t="shared" si="55"/>
        <v>33489063.550000012</v>
      </c>
      <c r="HP6" s="476"/>
      <c r="HR6" s="471">
        <f>BD6+BX6+DL6+EJ6+FD6+FX6+GR6</f>
        <v>44150000</v>
      </c>
      <c r="HS6" s="471">
        <f>BE6+BY6+DM6+EK6+FE6+FY6+GS6</f>
        <v>11208136</v>
      </c>
      <c r="HT6" s="471">
        <f t="shared" si="56"/>
        <v>32941864</v>
      </c>
    </row>
    <row r="7" spans="1:228" x14ac:dyDescent="0.25">
      <c r="A7" s="107">
        <v>4</v>
      </c>
      <c r="B7" s="107" t="s">
        <v>66</v>
      </c>
      <c r="C7" s="113" t="s">
        <v>63</v>
      </c>
      <c r="D7" s="465">
        <v>0</v>
      </c>
      <c r="E7" s="465">
        <v>0</v>
      </c>
      <c r="F7" s="465">
        <f t="shared" si="1"/>
        <v>0</v>
      </c>
      <c r="G7" s="107"/>
      <c r="H7" s="465">
        <v>50000000</v>
      </c>
      <c r="I7" s="465">
        <v>50000000</v>
      </c>
      <c r="J7" s="465">
        <f t="shared" si="2"/>
        <v>0</v>
      </c>
      <c r="K7" s="107"/>
      <c r="L7" s="465">
        <v>50000000</v>
      </c>
      <c r="M7" s="465">
        <v>50000000</v>
      </c>
      <c r="N7" s="465">
        <f t="shared" si="3"/>
        <v>0</v>
      </c>
      <c r="O7" s="107"/>
      <c r="P7" s="465">
        <v>7000000</v>
      </c>
      <c r="Q7" s="465">
        <v>7000000</v>
      </c>
      <c r="R7" s="465">
        <f t="shared" si="4"/>
        <v>0</v>
      </c>
      <c r="S7" s="107"/>
      <c r="T7" s="465">
        <v>3000000</v>
      </c>
      <c r="U7" s="465">
        <v>3000000</v>
      </c>
      <c r="V7" s="465">
        <f t="shared" si="5"/>
        <v>0</v>
      </c>
      <c r="W7" s="107"/>
      <c r="X7" s="465">
        <v>60000000</v>
      </c>
      <c r="Y7" s="465">
        <v>60000000</v>
      </c>
      <c r="Z7" s="465">
        <f t="shared" si="6"/>
        <v>0</v>
      </c>
      <c r="AA7" s="107"/>
      <c r="AB7" s="465">
        <v>9511660</v>
      </c>
      <c r="AC7" s="465">
        <v>9511660</v>
      </c>
      <c r="AD7" s="465">
        <f t="shared" si="7"/>
        <v>0</v>
      </c>
      <c r="AE7" s="107"/>
      <c r="AF7" s="465">
        <v>3800000</v>
      </c>
      <c r="AG7" s="465">
        <v>3800000</v>
      </c>
      <c r="AH7" s="465">
        <f t="shared" si="8"/>
        <v>0</v>
      </c>
      <c r="AI7" s="107"/>
      <c r="AJ7" s="465">
        <v>15000000</v>
      </c>
      <c r="AK7" s="465">
        <f>6425385+8574615</f>
        <v>15000000</v>
      </c>
      <c r="AL7" s="465">
        <f t="shared" si="9"/>
        <v>0</v>
      </c>
      <c r="AM7" s="465"/>
      <c r="AN7" s="465">
        <f>80000000+50000000</f>
        <v>130000000</v>
      </c>
      <c r="AO7" s="465">
        <f>80000000+50000000</f>
        <v>130000000</v>
      </c>
      <c r="AP7" s="465">
        <f t="shared" si="10"/>
        <v>0</v>
      </c>
      <c r="AQ7" s="107"/>
      <c r="AR7" s="465">
        <v>10000000</v>
      </c>
      <c r="AS7" s="465">
        <v>5000000</v>
      </c>
      <c r="AT7" s="465">
        <f t="shared" si="11"/>
        <v>5000000</v>
      </c>
      <c r="AU7" s="107"/>
      <c r="AV7" s="465">
        <v>5000000</v>
      </c>
      <c r="AW7" s="465">
        <v>0</v>
      </c>
      <c r="AX7" s="465">
        <f t="shared" si="12"/>
        <v>5000000</v>
      </c>
      <c r="AY7" s="107"/>
      <c r="AZ7" s="465">
        <v>20000000</v>
      </c>
      <c r="BA7" s="465">
        <f>2254220-5000+7611930+10138850</f>
        <v>20000000</v>
      </c>
      <c r="BB7" s="465">
        <f t="shared" si="13"/>
        <v>0</v>
      </c>
      <c r="BC7" s="107"/>
      <c r="BD7" s="465">
        <v>5000000</v>
      </c>
      <c r="BE7" s="465">
        <f>0</f>
        <v>0</v>
      </c>
      <c r="BF7" s="465">
        <f t="shared" si="14"/>
        <v>5000000</v>
      </c>
      <c r="BG7" s="107"/>
      <c r="BH7" s="465">
        <v>130000000</v>
      </c>
      <c r="BI7" s="465">
        <f>42962405+84527830+413000+2096765</f>
        <v>130000000</v>
      </c>
      <c r="BJ7" s="465">
        <f t="shared" si="15"/>
        <v>0</v>
      </c>
      <c r="BK7" s="107"/>
      <c r="BL7" s="465">
        <v>10000000</v>
      </c>
      <c r="BM7" s="465">
        <v>0</v>
      </c>
      <c r="BN7" s="465">
        <f t="shared" si="16"/>
        <v>10000000</v>
      </c>
      <c r="BO7" s="107"/>
      <c r="BP7" s="465">
        <v>10000000</v>
      </c>
      <c r="BQ7" s="465">
        <v>0</v>
      </c>
      <c r="BR7" s="465">
        <f t="shared" si="17"/>
        <v>10000000</v>
      </c>
      <c r="BS7" s="107"/>
      <c r="BT7" s="465">
        <v>40000000</v>
      </c>
      <c r="BU7" s="465">
        <v>40000000</v>
      </c>
      <c r="BV7" s="465">
        <f t="shared" si="18"/>
        <v>0</v>
      </c>
      <c r="BW7" s="107"/>
      <c r="BX7" s="465">
        <v>5000000</v>
      </c>
      <c r="BY7" s="465">
        <v>0</v>
      </c>
      <c r="BZ7" s="465">
        <f t="shared" si="19"/>
        <v>5000000</v>
      </c>
      <c r="CA7" s="107"/>
      <c r="CB7" s="465">
        <v>40000000</v>
      </c>
      <c r="CC7" s="474">
        <v>40000000</v>
      </c>
      <c r="CD7" s="465">
        <f t="shared" si="20"/>
        <v>0</v>
      </c>
      <c r="CE7" s="107"/>
      <c r="CF7" s="465">
        <f t="shared" si="21"/>
        <v>140000000</v>
      </c>
      <c r="CG7" s="465">
        <f>2100000+137758870+141130</f>
        <v>140000000</v>
      </c>
      <c r="CH7" s="465">
        <f t="shared" si="22"/>
        <v>0</v>
      </c>
      <c r="CI7" s="107"/>
      <c r="CJ7" s="465">
        <v>20000000</v>
      </c>
      <c r="CK7" s="465">
        <v>0</v>
      </c>
      <c r="CL7" s="465">
        <f t="shared" si="23"/>
        <v>20000000</v>
      </c>
      <c r="CM7" s="107"/>
      <c r="CN7" s="465">
        <v>10000000</v>
      </c>
      <c r="CO7" s="465">
        <v>0</v>
      </c>
      <c r="CP7" s="465">
        <f t="shared" si="24"/>
        <v>10000000</v>
      </c>
      <c r="CQ7" s="107"/>
      <c r="CR7" s="465">
        <v>40000000</v>
      </c>
      <c r="CS7" s="465">
        <f>2240397+15989870+12614678+6560555+2594500</f>
        <v>40000000</v>
      </c>
      <c r="CT7" s="465">
        <f t="shared" si="25"/>
        <v>0</v>
      </c>
      <c r="CU7" s="465"/>
      <c r="CV7" s="465">
        <v>150000000</v>
      </c>
      <c r="CW7" s="465">
        <f>56781370+93218630</f>
        <v>150000000</v>
      </c>
      <c r="CX7" s="465">
        <f t="shared" si="26"/>
        <v>0</v>
      </c>
      <c r="CY7" s="107"/>
      <c r="CZ7" s="465">
        <v>20000000</v>
      </c>
      <c r="DA7" s="465">
        <v>0</v>
      </c>
      <c r="DB7" s="465">
        <f t="shared" si="27"/>
        <v>20000000</v>
      </c>
      <c r="DC7" s="465"/>
      <c r="DD7" s="465">
        <v>10000000</v>
      </c>
      <c r="DE7" s="465">
        <v>0</v>
      </c>
      <c r="DF7" s="465">
        <f t="shared" si="28"/>
        <v>10000000</v>
      </c>
      <c r="DG7" s="107"/>
      <c r="DH7" s="465">
        <v>50000000</v>
      </c>
      <c r="DI7" s="465">
        <f>35111685.65+14888314.35</f>
        <v>50000000</v>
      </c>
      <c r="DJ7" s="465">
        <f t="shared" si="29"/>
        <v>0</v>
      </c>
      <c r="DK7" s="107"/>
      <c r="DL7" s="465">
        <v>10000000</v>
      </c>
      <c r="DM7" s="465">
        <v>0</v>
      </c>
      <c r="DN7" s="465">
        <f t="shared" si="30"/>
        <v>10000000</v>
      </c>
      <c r="DO7" s="107"/>
      <c r="DP7" s="465">
        <f>126840000+50000000+30000000+50000000</f>
        <v>256840000</v>
      </c>
      <c r="DQ7" s="465">
        <f>115957325+54896582+27824550+52175450+2500000+3486093</f>
        <v>256840000</v>
      </c>
      <c r="DR7" s="465">
        <f t="shared" si="31"/>
        <v>0</v>
      </c>
      <c r="DS7" s="465"/>
      <c r="DT7" s="465">
        <v>100000000</v>
      </c>
      <c r="DU7" s="465">
        <f>80576800+9000000+8263907+2159293</f>
        <v>100000000</v>
      </c>
      <c r="DV7" s="465">
        <f t="shared" si="32"/>
        <v>0</v>
      </c>
      <c r="DW7" s="465"/>
      <c r="DX7" s="465">
        <v>15000000</v>
      </c>
      <c r="DY7" s="465">
        <v>0</v>
      </c>
      <c r="DZ7" s="465">
        <f t="shared" si="33"/>
        <v>15000000</v>
      </c>
      <c r="EA7" s="465"/>
      <c r="EB7" s="465">
        <v>10000000</v>
      </c>
      <c r="EC7" s="465">
        <v>0</v>
      </c>
      <c r="ED7" s="465">
        <f t="shared" si="34"/>
        <v>10000000</v>
      </c>
      <c r="EE7" s="465"/>
      <c r="EF7" s="465">
        <v>25000000</v>
      </c>
      <c r="EG7" s="465">
        <f>14358665+10641335</f>
        <v>25000000</v>
      </c>
      <c r="EH7" s="465">
        <f t="shared" si="35"/>
        <v>0</v>
      </c>
      <c r="EI7" s="465"/>
      <c r="EJ7" s="465">
        <v>10000000</v>
      </c>
      <c r="EK7" s="465">
        <v>0</v>
      </c>
      <c r="EL7" s="465">
        <f t="shared" si="36"/>
        <v>10000000</v>
      </c>
      <c r="EM7" s="107"/>
      <c r="EN7" s="465">
        <v>300000000</v>
      </c>
      <c r="EO7" s="485">
        <f>13500000+12954707+100500000+144789660+9000000+585430.8+4500000+14170202.2</f>
        <v>300000000</v>
      </c>
      <c r="EP7" s="465">
        <f t="shared" si="37"/>
        <v>0</v>
      </c>
      <c r="EQ7" s="107"/>
      <c r="ER7" s="465">
        <v>25000000</v>
      </c>
      <c r="ES7" s="465">
        <v>0</v>
      </c>
      <c r="ET7" s="465">
        <f t="shared" si="38"/>
        <v>25000000</v>
      </c>
      <c r="EU7" s="107"/>
      <c r="EV7" s="465">
        <v>10000000</v>
      </c>
      <c r="EW7" s="465">
        <v>0</v>
      </c>
      <c r="EX7" s="465">
        <f t="shared" si="39"/>
        <v>10000000</v>
      </c>
      <c r="EY7" s="107"/>
      <c r="EZ7" s="465">
        <v>30000000</v>
      </c>
      <c r="FA7" s="465">
        <f>3000260.55+21484866.6+5514872.85</f>
        <v>30000000</v>
      </c>
      <c r="FB7" s="465">
        <f t="shared" si="40"/>
        <v>0</v>
      </c>
      <c r="FC7" s="107"/>
      <c r="FD7" s="465">
        <v>5000000</v>
      </c>
      <c r="FE7" s="465">
        <v>0</v>
      </c>
      <c r="FF7" s="465">
        <f t="shared" si="41"/>
        <v>5000000</v>
      </c>
      <c r="FG7" s="465"/>
      <c r="FH7" s="463">
        <v>120000000</v>
      </c>
      <c r="FI7" s="486">
        <f>108921139.4+4729797.8</f>
        <v>113650937.2</v>
      </c>
      <c r="FJ7" s="463">
        <f t="shared" si="0"/>
        <v>6349062.799999997</v>
      </c>
      <c r="FK7" s="468"/>
      <c r="FL7" s="463">
        <v>25000000</v>
      </c>
      <c r="FM7" s="468">
        <v>0</v>
      </c>
      <c r="FN7" s="468">
        <f t="shared" si="42"/>
        <v>25000000</v>
      </c>
      <c r="FO7" s="468"/>
      <c r="FP7" s="468">
        <v>5000000</v>
      </c>
      <c r="FQ7" s="468">
        <v>0</v>
      </c>
      <c r="FR7" s="468">
        <f t="shared" si="43"/>
        <v>5000000</v>
      </c>
      <c r="FS7" s="468"/>
      <c r="FT7" s="468">
        <v>30000000</v>
      </c>
      <c r="FU7" s="469">
        <f>20477599.15+9522400.85</f>
        <v>30000000</v>
      </c>
      <c r="FV7" s="468">
        <f t="shared" si="44"/>
        <v>0</v>
      </c>
      <c r="FW7" s="468"/>
      <c r="FX7" s="468">
        <v>4150000</v>
      </c>
      <c r="FY7" s="468">
        <v>0</v>
      </c>
      <c r="FZ7" s="468">
        <v>4150000</v>
      </c>
      <c r="GA7" s="468"/>
      <c r="GB7" s="468">
        <v>160000000</v>
      </c>
      <c r="GC7" s="468">
        <v>0</v>
      </c>
      <c r="GD7" s="468">
        <f t="shared" si="45"/>
        <v>160000000</v>
      </c>
      <c r="GE7" s="468"/>
      <c r="GF7" s="468">
        <v>25000000</v>
      </c>
      <c r="GG7" s="468">
        <v>0</v>
      </c>
      <c r="GH7" s="468">
        <f t="shared" si="46"/>
        <v>25000000</v>
      </c>
      <c r="GI7" s="468"/>
      <c r="GJ7" s="468">
        <v>5000000</v>
      </c>
      <c r="GK7" s="468">
        <v>0</v>
      </c>
      <c r="GL7" s="468">
        <f t="shared" si="47"/>
        <v>5000000</v>
      </c>
      <c r="GM7" s="468"/>
      <c r="GN7" s="468">
        <v>20000000</v>
      </c>
      <c r="GO7" s="469">
        <f>13402119.15</f>
        <v>13402119.15</v>
      </c>
      <c r="GP7" s="468">
        <f t="shared" si="48"/>
        <v>6597880.8499999996</v>
      </c>
      <c r="GQ7" s="468"/>
      <c r="GR7" s="468">
        <v>5000000</v>
      </c>
      <c r="GS7" s="468">
        <v>0</v>
      </c>
      <c r="GT7" s="468">
        <f t="shared" si="49"/>
        <v>5000000</v>
      </c>
      <c r="GU7" s="468"/>
      <c r="GV7" s="465">
        <f t="shared" si="50"/>
        <v>2239301660</v>
      </c>
      <c r="GW7" s="465">
        <f t="shared" si="50"/>
        <v>1812204716.3500001</v>
      </c>
      <c r="GX7" s="465">
        <f t="shared" si="51"/>
        <v>427096943.64999986</v>
      </c>
      <c r="GY7" s="476"/>
      <c r="GZ7" s="464"/>
      <c r="HA7" s="471">
        <f>D7+H7+L7+X7+AN7+BH7+CB7+CF7+CV7+DP7+DT7+EN7+FH7+GB7</f>
        <v>1686840000</v>
      </c>
      <c r="HB7" s="471">
        <f>E7+I7+M7+Y7+AO7+BI7+CC7+CG7+CW7+DQ7+DU7+EO7+FI7+GC7</f>
        <v>1520490937.2</v>
      </c>
      <c r="HC7" s="471">
        <f t="shared" si="52"/>
        <v>166349062.79999995</v>
      </c>
      <c r="HE7" s="471">
        <f>P7+AB7+AR7+
BL7+CJ7+CZ7+DX7+ER7+FL7+GF7</f>
        <v>166511660</v>
      </c>
      <c r="HF7" s="471">
        <f>Q7+AC7+AS7+
BM7+CK7+DA7+DY7+ES7+FM7+GG7</f>
        <v>21511660</v>
      </c>
      <c r="HG7" s="471">
        <f t="shared" si="53"/>
        <v>145000000</v>
      </c>
      <c r="HI7" s="471">
        <f>T7+AF7+AV7+BP7+CN7+DD7+EB7+EV7+FP7+GJ7</f>
        <v>71800000</v>
      </c>
      <c r="HJ7" s="471">
        <f>U7+AG7+AW7+BQ7+CO7+DE7+EC7+EW7+FQ7+GK7</f>
        <v>6800000</v>
      </c>
      <c r="HK7" s="471">
        <f t="shared" si="54"/>
        <v>65000000</v>
      </c>
      <c r="HM7" s="475">
        <f>AJ7+AZ7+BT7+CR7+DH7+EF7+EZ7+FT7+GN7</f>
        <v>270000000</v>
      </c>
      <c r="HN7" s="475">
        <f>AK7+BA7+BU7+CS7+DI7+EG7+FA7+FU7+GO7</f>
        <v>263402119.15000001</v>
      </c>
      <c r="HO7" s="475">
        <f t="shared" si="55"/>
        <v>6597880.849999994</v>
      </c>
      <c r="HP7" s="476"/>
      <c r="HR7" s="471">
        <f>BD7+BX7+DL7+EJ7+FD7+FX7+GR7</f>
        <v>44150000</v>
      </c>
      <c r="HS7" s="471">
        <f>BE7+BY7+DM7+EK7+FE7+FY7+GS7</f>
        <v>0</v>
      </c>
      <c r="HT7" s="471">
        <f t="shared" si="56"/>
        <v>44150000</v>
      </c>
    </row>
    <row r="8" spans="1:228" x14ac:dyDescent="0.25">
      <c r="A8" s="107">
        <v>5</v>
      </c>
      <c r="B8" s="107" t="s">
        <v>67</v>
      </c>
      <c r="C8" s="113" t="s">
        <v>65</v>
      </c>
      <c r="D8" s="465">
        <v>0</v>
      </c>
      <c r="E8" s="465">
        <v>0</v>
      </c>
      <c r="F8" s="465">
        <f t="shared" si="1"/>
        <v>0</v>
      </c>
      <c r="G8" s="465"/>
      <c r="H8" s="465">
        <v>50000000</v>
      </c>
      <c r="I8" s="465">
        <v>50000000</v>
      </c>
      <c r="J8" s="465">
        <f t="shared" si="2"/>
        <v>0</v>
      </c>
      <c r="K8" s="465"/>
      <c r="L8" s="465">
        <v>50000000</v>
      </c>
      <c r="M8" s="465">
        <v>50000000</v>
      </c>
      <c r="N8" s="465">
        <f t="shared" si="3"/>
        <v>0</v>
      </c>
      <c r="O8" s="465"/>
      <c r="P8" s="465">
        <v>7000000</v>
      </c>
      <c r="Q8" s="465">
        <f>6963200+36800-6963200+6963200</f>
        <v>7000000</v>
      </c>
      <c r="R8" s="465">
        <f t="shared" si="4"/>
        <v>0</v>
      </c>
      <c r="S8" s="465"/>
      <c r="T8" s="465">
        <v>3000000</v>
      </c>
      <c r="U8" s="465">
        <v>3000000</v>
      </c>
      <c r="V8" s="465">
        <f t="shared" si="5"/>
        <v>0</v>
      </c>
      <c r="W8" s="465"/>
      <c r="X8" s="465">
        <v>60000000</v>
      </c>
      <c r="Y8" s="465">
        <v>60000000</v>
      </c>
      <c r="Z8" s="465">
        <f t="shared" si="6"/>
        <v>0</v>
      </c>
      <c r="AA8" s="465"/>
      <c r="AB8" s="465">
        <v>10000000</v>
      </c>
      <c r="AC8" s="465">
        <f>1963200+3797900+4238900</f>
        <v>10000000</v>
      </c>
      <c r="AD8" s="465">
        <f t="shared" si="7"/>
        <v>0</v>
      </c>
      <c r="AE8" s="465"/>
      <c r="AF8" s="465">
        <v>3963200</v>
      </c>
      <c r="AG8" s="465">
        <v>3963200</v>
      </c>
      <c r="AH8" s="465">
        <f t="shared" si="8"/>
        <v>0</v>
      </c>
      <c r="AI8" s="465"/>
      <c r="AJ8" s="465">
        <v>15000000</v>
      </c>
      <c r="AK8" s="465">
        <v>15000000</v>
      </c>
      <c r="AL8" s="465">
        <f t="shared" si="9"/>
        <v>0</v>
      </c>
      <c r="AM8" s="465"/>
      <c r="AN8" s="465">
        <v>80000000</v>
      </c>
      <c r="AO8" s="465">
        <v>80000000</v>
      </c>
      <c r="AP8" s="465">
        <f t="shared" si="10"/>
        <v>0</v>
      </c>
      <c r="AQ8" s="465"/>
      <c r="AR8" s="465">
        <v>10000000</v>
      </c>
      <c r="AS8" s="465">
        <v>10000000</v>
      </c>
      <c r="AT8" s="465">
        <f t="shared" si="11"/>
        <v>0</v>
      </c>
      <c r="AU8" s="465"/>
      <c r="AV8" s="465">
        <v>5000000</v>
      </c>
      <c r="AW8" s="465">
        <v>0</v>
      </c>
      <c r="AX8" s="465">
        <f t="shared" si="12"/>
        <v>5000000</v>
      </c>
      <c r="AY8" s="465"/>
      <c r="AZ8" s="465">
        <v>20000000</v>
      </c>
      <c r="BA8" s="465">
        <v>20000000</v>
      </c>
      <c r="BB8" s="465">
        <f t="shared" si="13"/>
        <v>0</v>
      </c>
      <c r="BC8" s="465"/>
      <c r="BD8" s="465">
        <v>5000000</v>
      </c>
      <c r="BE8" s="465">
        <f>4443375+556625</f>
        <v>5000000</v>
      </c>
      <c r="BF8" s="465">
        <f t="shared" si="14"/>
        <v>0</v>
      </c>
      <c r="BG8" s="465"/>
      <c r="BH8" s="465">
        <v>130000000</v>
      </c>
      <c r="BI8" s="465">
        <f>123408185+6591815</f>
        <v>130000000</v>
      </c>
      <c r="BJ8" s="465">
        <f t="shared" si="15"/>
        <v>0</v>
      </c>
      <c r="BK8" s="465"/>
      <c r="BL8" s="465">
        <v>10000000</v>
      </c>
      <c r="BM8" s="465">
        <v>10000000</v>
      </c>
      <c r="BN8" s="465">
        <f t="shared" si="16"/>
        <v>0</v>
      </c>
      <c r="BO8" s="465"/>
      <c r="BP8" s="465">
        <v>10000000</v>
      </c>
      <c r="BQ8" s="465">
        <v>0</v>
      </c>
      <c r="BR8" s="465">
        <f t="shared" si="17"/>
        <v>10000000</v>
      </c>
      <c r="BS8" s="465"/>
      <c r="BT8" s="465">
        <v>40000000</v>
      </c>
      <c r="BU8" s="465">
        <f>25957060+14006638+36302</f>
        <v>40000000</v>
      </c>
      <c r="BV8" s="465">
        <f t="shared" si="18"/>
        <v>0</v>
      </c>
      <c r="BW8" s="465"/>
      <c r="BX8" s="465">
        <v>5000000</v>
      </c>
      <c r="BY8" s="465">
        <f>3565875+1434125</f>
        <v>5000000</v>
      </c>
      <c r="BZ8" s="465">
        <f t="shared" si="19"/>
        <v>0</v>
      </c>
      <c r="CA8" s="465"/>
      <c r="CB8" s="465">
        <v>0</v>
      </c>
      <c r="CC8" s="465">
        <v>0</v>
      </c>
      <c r="CD8" s="465">
        <f t="shared" si="20"/>
        <v>0</v>
      </c>
      <c r="CE8" s="465"/>
      <c r="CF8" s="465">
        <f t="shared" si="21"/>
        <v>140000000</v>
      </c>
      <c r="CG8" s="465">
        <f>140000000</f>
        <v>140000000</v>
      </c>
      <c r="CH8" s="465">
        <f t="shared" si="22"/>
        <v>0</v>
      </c>
      <c r="CI8" s="465"/>
      <c r="CJ8" s="465">
        <v>20000000</v>
      </c>
      <c r="CK8" s="465">
        <f>26404964-6404964</f>
        <v>20000000</v>
      </c>
      <c r="CL8" s="465">
        <f t="shared" si="23"/>
        <v>0</v>
      </c>
      <c r="CM8" s="465"/>
      <c r="CN8" s="465">
        <v>10000000</v>
      </c>
      <c r="CO8" s="465">
        <v>0</v>
      </c>
      <c r="CP8" s="465">
        <f t="shared" si="24"/>
        <v>10000000</v>
      </c>
      <c r="CQ8" s="465"/>
      <c r="CR8" s="465">
        <v>40000000</v>
      </c>
      <c r="CS8" s="465">
        <f>38973349+1026651</f>
        <v>40000000</v>
      </c>
      <c r="CT8" s="465">
        <f t="shared" si="25"/>
        <v>0</v>
      </c>
      <c r="CU8" s="465"/>
      <c r="CV8" s="465">
        <v>150000000</v>
      </c>
      <c r="CW8" s="465">
        <f>32620000+9054000+106854042+1471958</f>
        <v>150000000</v>
      </c>
      <c r="CX8" s="465">
        <f t="shared" si="26"/>
        <v>0</v>
      </c>
      <c r="CY8" s="465"/>
      <c r="CZ8" s="465">
        <v>20000000</v>
      </c>
      <c r="DA8" s="465">
        <f>6404964+13595036</f>
        <v>20000000</v>
      </c>
      <c r="DB8" s="465">
        <f t="shared" si="27"/>
        <v>0</v>
      </c>
      <c r="DC8" s="465"/>
      <c r="DD8" s="465">
        <v>10000000</v>
      </c>
      <c r="DE8" s="465">
        <v>0</v>
      </c>
      <c r="DF8" s="465">
        <f t="shared" si="28"/>
        <v>10000000</v>
      </c>
      <c r="DG8" s="465"/>
      <c r="DH8" s="465">
        <v>50000000</v>
      </c>
      <c r="DI8" s="465">
        <f>47805796+2194204</f>
        <v>50000000</v>
      </c>
      <c r="DJ8" s="465">
        <f t="shared" si="29"/>
        <v>0</v>
      </c>
      <c r="DK8" s="465"/>
      <c r="DL8" s="465">
        <v>10000000</v>
      </c>
      <c r="DM8" s="465">
        <v>264260</v>
      </c>
      <c r="DN8" s="465">
        <f t="shared" si="30"/>
        <v>9735740</v>
      </c>
      <c r="DO8" s="465"/>
      <c r="DP8" s="465">
        <v>0</v>
      </c>
      <c r="DQ8" s="465">
        <v>0</v>
      </c>
      <c r="DR8" s="465">
        <f t="shared" si="31"/>
        <v>0</v>
      </c>
      <c r="DS8" s="465"/>
      <c r="DT8" s="465">
        <v>100000000</v>
      </c>
      <c r="DU8" s="465">
        <f>22528042+3600000+73871958</f>
        <v>100000000</v>
      </c>
      <c r="DV8" s="465">
        <f t="shared" si="32"/>
        <v>0</v>
      </c>
      <c r="DW8" s="465"/>
      <c r="DX8" s="465">
        <v>15000000</v>
      </c>
      <c r="DY8" s="465">
        <f>4945572+10053081</f>
        <v>14998653</v>
      </c>
      <c r="DZ8" s="465">
        <f t="shared" si="33"/>
        <v>1347</v>
      </c>
      <c r="EA8" s="465"/>
      <c r="EB8" s="465">
        <v>10000000</v>
      </c>
      <c r="EC8" s="465">
        <v>0</v>
      </c>
      <c r="ED8" s="465">
        <f t="shared" si="34"/>
        <v>10000000</v>
      </c>
      <c r="EE8" s="465"/>
      <c r="EF8" s="465">
        <v>25000000</v>
      </c>
      <c r="EG8" s="465">
        <f>15224956+9775044</f>
        <v>25000000</v>
      </c>
      <c r="EH8" s="465">
        <f t="shared" si="35"/>
        <v>0</v>
      </c>
      <c r="EI8" s="465"/>
      <c r="EJ8" s="465">
        <v>10000000</v>
      </c>
      <c r="EK8" s="465">
        <v>0</v>
      </c>
      <c r="EL8" s="465">
        <f t="shared" si="36"/>
        <v>10000000</v>
      </c>
      <c r="EM8" s="465"/>
      <c r="EN8" s="465">
        <v>300000000</v>
      </c>
      <c r="EO8" s="465">
        <f>104543628.2+7200000+140171750</f>
        <v>251915378.19999999</v>
      </c>
      <c r="EP8" s="465">
        <f t="shared" si="37"/>
        <v>48084621.800000012</v>
      </c>
      <c r="EQ8" s="465"/>
      <c r="ER8" s="465">
        <v>25000000</v>
      </c>
      <c r="ES8" s="465">
        <v>0</v>
      </c>
      <c r="ET8" s="465">
        <f t="shared" si="38"/>
        <v>25000000</v>
      </c>
      <c r="EU8" s="465"/>
      <c r="EV8" s="465">
        <v>10000000</v>
      </c>
      <c r="EW8" s="465">
        <v>0</v>
      </c>
      <c r="EX8" s="465">
        <f t="shared" si="39"/>
        <v>10000000</v>
      </c>
      <c r="EY8" s="465"/>
      <c r="EZ8" s="465">
        <v>30000000</v>
      </c>
      <c r="FA8" s="465">
        <f>19001261+10998739</f>
        <v>30000000</v>
      </c>
      <c r="FB8" s="465">
        <f t="shared" si="40"/>
        <v>0</v>
      </c>
      <c r="FC8" s="465"/>
      <c r="FD8" s="465">
        <v>5000000</v>
      </c>
      <c r="FE8" s="465">
        <v>0</v>
      </c>
      <c r="FF8" s="465">
        <f t="shared" si="41"/>
        <v>5000000</v>
      </c>
      <c r="FG8" s="465"/>
      <c r="FH8" s="463">
        <v>120000000</v>
      </c>
      <c r="FI8" s="463">
        <v>0</v>
      </c>
      <c r="FJ8" s="463">
        <f t="shared" si="0"/>
        <v>120000000</v>
      </c>
      <c r="FK8" s="468"/>
      <c r="FL8" s="463">
        <v>25000000</v>
      </c>
      <c r="FM8" s="468">
        <v>0</v>
      </c>
      <c r="FN8" s="468">
        <f t="shared" si="42"/>
        <v>25000000</v>
      </c>
      <c r="FO8" s="468"/>
      <c r="FP8" s="468">
        <v>5000000</v>
      </c>
      <c r="FQ8" s="468">
        <v>0</v>
      </c>
      <c r="FR8" s="468">
        <f t="shared" si="43"/>
        <v>5000000</v>
      </c>
      <c r="FS8" s="468"/>
      <c r="FT8" s="468">
        <v>30000000</v>
      </c>
      <c r="FU8" s="468">
        <f>4591941</f>
        <v>4591941</v>
      </c>
      <c r="FV8" s="468">
        <f t="shared" si="44"/>
        <v>25408059</v>
      </c>
      <c r="FW8" s="468"/>
      <c r="FX8" s="468">
        <v>4150000</v>
      </c>
      <c r="FY8" s="468">
        <v>0</v>
      </c>
      <c r="FZ8" s="468">
        <v>4150000</v>
      </c>
      <c r="GA8" s="468"/>
      <c r="GB8" s="468">
        <v>160000000</v>
      </c>
      <c r="GC8" s="468">
        <v>0</v>
      </c>
      <c r="GD8" s="468">
        <f t="shared" si="45"/>
        <v>160000000</v>
      </c>
      <c r="GE8" s="468"/>
      <c r="GF8" s="468">
        <v>25000000</v>
      </c>
      <c r="GG8" s="468">
        <v>0</v>
      </c>
      <c r="GH8" s="468">
        <f t="shared" si="46"/>
        <v>25000000</v>
      </c>
      <c r="GI8" s="468"/>
      <c r="GJ8" s="468">
        <v>5000000</v>
      </c>
      <c r="GK8" s="468">
        <v>0</v>
      </c>
      <c r="GL8" s="468">
        <f t="shared" si="47"/>
        <v>5000000</v>
      </c>
      <c r="GM8" s="468"/>
      <c r="GN8" s="468">
        <v>20000000</v>
      </c>
      <c r="GO8" s="468">
        <v>0</v>
      </c>
      <c r="GP8" s="468">
        <f t="shared" si="48"/>
        <v>20000000</v>
      </c>
      <c r="GQ8" s="468"/>
      <c r="GR8" s="468">
        <v>5000000</v>
      </c>
      <c r="GS8" s="468">
        <v>0</v>
      </c>
      <c r="GT8" s="468">
        <f t="shared" si="49"/>
        <v>5000000</v>
      </c>
      <c r="GU8" s="468"/>
      <c r="GV8" s="465">
        <f t="shared" si="50"/>
        <v>1893113200</v>
      </c>
      <c r="GW8" s="465">
        <f t="shared" si="50"/>
        <v>1345733432.2</v>
      </c>
      <c r="GX8" s="465">
        <f t="shared" si="51"/>
        <v>547379767.79999995</v>
      </c>
      <c r="GY8" s="470"/>
      <c r="GZ8" s="464"/>
      <c r="HA8" s="471">
        <f>D8+H8+L8+X8+AN8+BH8+CB8+CF8+CV8+DP8+DT8+EN8+FH8+GB8</f>
        <v>1340000000</v>
      </c>
      <c r="HB8" s="471">
        <f>E8+I8+M8+Y8+AO8+BI8+CC8+CG8+CW8+DQ8+DU8+EO8+FI8+GC8</f>
        <v>1011915378.2</v>
      </c>
      <c r="HC8" s="471">
        <f t="shared" si="52"/>
        <v>328084621.79999995</v>
      </c>
      <c r="HE8" s="471">
        <f>P8+AB8+AR8+
BL8+CJ8+CZ8+DX8+ER8+FL8+GF8</f>
        <v>167000000</v>
      </c>
      <c r="HF8" s="471">
        <f>Q8+AC8+AS8+
BM8+CK8+DA8+DY8+ES8+FM8+GG8</f>
        <v>91998653</v>
      </c>
      <c r="HG8" s="471">
        <f t="shared" si="53"/>
        <v>75001347</v>
      </c>
      <c r="HI8" s="471">
        <f>T8+AF8+AV8+BP8+CN8+DD8+EB8+EV8+FP8+GJ8</f>
        <v>71963200</v>
      </c>
      <c r="HJ8" s="471">
        <f>U8+AG8+AW8+BQ8+CO8+DE8+EC8+EW8+FQ8+GK8</f>
        <v>6963200</v>
      </c>
      <c r="HK8" s="471">
        <f t="shared" si="54"/>
        <v>65000000</v>
      </c>
      <c r="HM8" s="475">
        <f>AJ8+AZ8+BT8+CR8+DH8+EF8+EZ8+FT8+GN8</f>
        <v>270000000</v>
      </c>
      <c r="HN8" s="475">
        <f>AK8+BA8+BU8+CS8+DI8+EG8+FA8+FU8+GO8</f>
        <v>224591941</v>
      </c>
      <c r="HO8" s="475">
        <f t="shared" si="55"/>
        <v>45408059</v>
      </c>
      <c r="HP8" s="476"/>
      <c r="HR8" s="471">
        <f>BD8+BX8+DL8+EJ8+FD8+FX8+GR8</f>
        <v>44150000</v>
      </c>
      <c r="HS8" s="471">
        <f>BE8+BY8+DM8+EK8+FE8+FY8+GS8</f>
        <v>10264260</v>
      </c>
      <c r="HT8" s="471">
        <f t="shared" si="56"/>
        <v>33885740</v>
      </c>
    </row>
    <row r="9" spans="1:228" x14ac:dyDescent="0.25">
      <c r="A9" s="107">
        <v>6</v>
      </c>
      <c r="B9" s="107" t="s">
        <v>68</v>
      </c>
      <c r="C9" s="113" t="s">
        <v>69</v>
      </c>
      <c r="D9" s="465">
        <v>0</v>
      </c>
      <c r="E9" s="465">
        <v>0</v>
      </c>
      <c r="F9" s="465">
        <f t="shared" si="1"/>
        <v>0</v>
      </c>
      <c r="G9" s="465"/>
      <c r="H9" s="465">
        <v>50000000</v>
      </c>
      <c r="I9" s="465">
        <v>50000000</v>
      </c>
      <c r="J9" s="465">
        <f t="shared" si="2"/>
        <v>0</v>
      </c>
      <c r="K9" s="465"/>
      <c r="L9" s="465">
        <v>50000000</v>
      </c>
      <c r="M9" s="465">
        <v>50000000</v>
      </c>
      <c r="N9" s="465">
        <f t="shared" si="3"/>
        <v>0</v>
      </c>
      <c r="O9" s="465"/>
      <c r="P9" s="465">
        <v>7000000</v>
      </c>
      <c r="Q9" s="465">
        <f>7000000</f>
        <v>7000000</v>
      </c>
      <c r="R9" s="465">
        <f t="shared" si="4"/>
        <v>0</v>
      </c>
      <c r="S9" s="465"/>
      <c r="T9" s="465">
        <f>3000000-3000000</f>
        <v>0</v>
      </c>
      <c r="U9" s="465">
        <v>0</v>
      </c>
      <c r="V9" s="465">
        <f t="shared" si="5"/>
        <v>0</v>
      </c>
      <c r="W9" s="465"/>
      <c r="X9" s="465">
        <v>60000000</v>
      </c>
      <c r="Y9" s="465">
        <v>60000000</v>
      </c>
      <c r="Z9" s="465">
        <f t="shared" si="6"/>
        <v>0</v>
      </c>
      <c r="AA9" s="465"/>
      <c r="AB9" s="465">
        <v>10000000</v>
      </c>
      <c r="AC9" s="465">
        <f>10000000</f>
        <v>10000000</v>
      </c>
      <c r="AD9" s="465">
        <f t="shared" si="7"/>
        <v>0</v>
      </c>
      <c r="AE9" s="465"/>
      <c r="AF9" s="465">
        <f>5000000-5000000</f>
        <v>0</v>
      </c>
      <c r="AG9" s="465">
        <v>0</v>
      </c>
      <c r="AH9" s="465">
        <f t="shared" si="8"/>
        <v>0</v>
      </c>
      <c r="AI9" s="465"/>
      <c r="AJ9" s="465">
        <v>15000000</v>
      </c>
      <c r="AK9" s="465">
        <f>1649000+5172976+8178024</f>
        <v>15000000</v>
      </c>
      <c r="AL9" s="465">
        <f t="shared" si="9"/>
        <v>0</v>
      </c>
      <c r="AM9" s="465"/>
      <c r="AN9" s="465">
        <v>80000000</v>
      </c>
      <c r="AO9" s="465">
        <f>9423975+67950750+2625275</f>
        <v>80000000</v>
      </c>
      <c r="AP9" s="465">
        <f t="shared" si="10"/>
        <v>0</v>
      </c>
      <c r="AQ9" s="465"/>
      <c r="AR9" s="465">
        <v>10000000</v>
      </c>
      <c r="AS9" s="465">
        <f>10000000</f>
        <v>10000000</v>
      </c>
      <c r="AT9" s="465">
        <f t="shared" si="11"/>
        <v>0</v>
      </c>
      <c r="AU9" s="465"/>
      <c r="AV9" s="465">
        <v>5000000</v>
      </c>
      <c r="AW9" s="465">
        <v>0</v>
      </c>
      <c r="AX9" s="465">
        <f t="shared" si="12"/>
        <v>5000000</v>
      </c>
      <c r="AY9" s="465"/>
      <c r="AZ9" s="465">
        <v>20000000</v>
      </c>
      <c r="BA9" s="465">
        <f>3028820.9+3530030+4264190+8535514.05+641445.05</f>
        <v>20000000.000000004</v>
      </c>
      <c r="BB9" s="465">
        <f t="shared" si="13"/>
        <v>0</v>
      </c>
      <c r="BC9" s="465"/>
      <c r="BD9" s="465">
        <v>5000000</v>
      </c>
      <c r="BE9" s="485">
        <v>5000000</v>
      </c>
      <c r="BF9" s="465">
        <f t="shared" si="14"/>
        <v>0</v>
      </c>
      <c r="BG9" s="465"/>
      <c r="BH9" s="465">
        <v>130000000</v>
      </c>
      <c r="BI9" s="465">
        <f>8614725+12182640+8672100+39618215+60912320</f>
        <v>130000000</v>
      </c>
      <c r="BJ9" s="465">
        <f t="shared" si="15"/>
        <v>0</v>
      </c>
      <c r="BK9" s="465"/>
      <c r="BL9" s="465">
        <v>10000000</v>
      </c>
      <c r="BM9" s="465">
        <f>8424530+1575470</f>
        <v>10000000</v>
      </c>
      <c r="BN9" s="465">
        <f t="shared" si="16"/>
        <v>0</v>
      </c>
      <c r="BO9" s="465"/>
      <c r="BP9" s="465">
        <v>10000000</v>
      </c>
      <c r="BQ9" s="465">
        <v>0</v>
      </c>
      <c r="BR9" s="465">
        <f t="shared" si="17"/>
        <v>10000000</v>
      </c>
      <c r="BS9" s="465"/>
      <c r="BT9" s="465">
        <v>40000000</v>
      </c>
      <c r="BU9" s="465">
        <f>40000000</f>
        <v>40000000</v>
      </c>
      <c r="BV9" s="465">
        <f t="shared" si="18"/>
        <v>0</v>
      </c>
      <c r="BW9" s="465"/>
      <c r="BX9" s="465">
        <v>5000000</v>
      </c>
      <c r="BY9" s="483">
        <f>79600+2125000+1317500</f>
        <v>3522100</v>
      </c>
      <c r="BZ9" s="465">
        <f t="shared" si="19"/>
        <v>1477900</v>
      </c>
      <c r="CA9" s="465"/>
      <c r="CB9" s="465">
        <v>0</v>
      </c>
      <c r="CC9" s="465">
        <v>0</v>
      </c>
      <c r="CD9" s="465">
        <f t="shared" si="20"/>
        <v>0</v>
      </c>
      <c r="CE9" s="465"/>
      <c r="CF9" s="465">
        <f t="shared" si="21"/>
        <v>140000000</v>
      </c>
      <c r="CG9" s="484">
        <f>6750498.2+53499560+34019008.42+11628000</f>
        <v>105897066.62</v>
      </c>
      <c r="CH9" s="465">
        <f t="shared" si="22"/>
        <v>34102933.379999995</v>
      </c>
      <c r="CI9" s="465"/>
      <c r="CJ9" s="465">
        <v>20000000</v>
      </c>
      <c r="CK9" s="465">
        <f>20000000</f>
        <v>20000000</v>
      </c>
      <c r="CL9" s="465">
        <f t="shared" si="23"/>
        <v>0</v>
      </c>
      <c r="CM9" s="465"/>
      <c r="CN9" s="465">
        <v>10000000</v>
      </c>
      <c r="CO9" s="465">
        <v>0</v>
      </c>
      <c r="CP9" s="465">
        <f t="shared" si="24"/>
        <v>10000000</v>
      </c>
      <c r="CQ9" s="465"/>
      <c r="CR9" s="465">
        <v>40000000</v>
      </c>
      <c r="CS9" s="465">
        <f>5078010+34921990</f>
        <v>40000000</v>
      </c>
      <c r="CT9" s="465">
        <f t="shared" si="25"/>
        <v>0</v>
      </c>
      <c r="CU9" s="465"/>
      <c r="CV9" s="465">
        <v>150000000</v>
      </c>
      <c r="CW9" s="465">
        <f>1258540+806544+15220300-10958275+1451800+57831250</f>
        <v>65610159</v>
      </c>
      <c r="CX9" s="465">
        <f t="shared" si="26"/>
        <v>84389841</v>
      </c>
      <c r="CY9" s="465"/>
      <c r="CZ9" s="465">
        <v>20000000</v>
      </c>
      <c r="DA9" s="465">
        <f>20457130-1575470+1118340</f>
        <v>20000000</v>
      </c>
      <c r="DB9" s="465">
        <f t="shared" si="27"/>
        <v>0</v>
      </c>
      <c r="DC9" s="465"/>
      <c r="DD9" s="465">
        <v>10000000</v>
      </c>
      <c r="DE9" s="465">
        <v>0</v>
      </c>
      <c r="DF9" s="465">
        <f t="shared" si="28"/>
        <v>10000000</v>
      </c>
      <c r="DG9" s="465"/>
      <c r="DH9" s="465">
        <v>50000000</v>
      </c>
      <c r="DI9" s="478">
        <f>4407445+23450000+2138805.95+16662815</f>
        <v>46659065.950000003</v>
      </c>
      <c r="DJ9" s="465">
        <f t="shared" si="29"/>
        <v>3340934.049999997</v>
      </c>
      <c r="DK9" s="465"/>
      <c r="DL9" s="465">
        <v>10000000</v>
      </c>
      <c r="DM9" s="465">
        <v>0</v>
      </c>
      <c r="DN9" s="465">
        <f t="shared" si="30"/>
        <v>10000000</v>
      </c>
      <c r="DO9" s="465"/>
      <c r="DP9" s="465">
        <v>0</v>
      </c>
      <c r="DQ9" s="465">
        <v>0</v>
      </c>
      <c r="DR9" s="465">
        <f t="shared" si="31"/>
        <v>0</v>
      </c>
      <c r="DS9" s="465"/>
      <c r="DT9" s="465">
        <v>100000000</v>
      </c>
      <c r="DU9" s="465">
        <f>3000000+6000000+16963375+54252140</f>
        <v>80215515</v>
      </c>
      <c r="DV9" s="465">
        <f t="shared" si="32"/>
        <v>19784485</v>
      </c>
      <c r="DW9" s="465"/>
      <c r="DX9" s="465">
        <v>15000000</v>
      </c>
      <c r="DY9" s="485">
        <f>12689710+2310290</f>
        <v>15000000</v>
      </c>
      <c r="DZ9" s="465">
        <f t="shared" si="33"/>
        <v>0</v>
      </c>
      <c r="EA9" s="465"/>
      <c r="EB9" s="465">
        <v>10000000</v>
      </c>
      <c r="EC9" s="465">
        <v>0</v>
      </c>
      <c r="ED9" s="465">
        <f t="shared" si="34"/>
        <v>10000000</v>
      </c>
      <c r="EE9" s="465"/>
      <c r="EF9" s="465">
        <v>25000000</v>
      </c>
      <c r="EG9" s="465">
        <f>20704580+4295420</f>
        <v>25000000</v>
      </c>
      <c r="EH9" s="465">
        <f t="shared" si="35"/>
        <v>0</v>
      </c>
      <c r="EI9" s="465"/>
      <c r="EJ9" s="465">
        <v>10000000</v>
      </c>
      <c r="EK9" s="465">
        <v>0</v>
      </c>
      <c r="EL9" s="465">
        <f t="shared" si="36"/>
        <v>10000000</v>
      </c>
      <c r="EM9" s="465"/>
      <c r="EN9" s="465">
        <v>300000000</v>
      </c>
      <c r="EO9" s="465">
        <v>0</v>
      </c>
      <c r="EP9" s="465">
        <f t="shared" si="37"/>
        <v>300000000</v>
      </c>
      <c r="EQ9" s="465"/>
      <c r="ER9" s="465">
        <v>25000000</v>
      </c>
      <c r="ES9" s="485">
        <f>6210130</f>
        <v>6210130</v>
      </c>
      <c r="ET9" s="465">
        <f t="shared" si="38"/>
        <v>18789870</v>
      </c>
      <c r="EU9" s="465"/>
      <c r="EV9" s="465">
        <v>10000000</v>
      </c>
      <c r="EW9" s="465">
        <v>0</v>
      </c>
      <c r="EX9" s="465">
        <f t="shared" si="39"/>
        <v>10000000</v>
      </c>
      <c r="EY9" s="465"/>
      <c r="EZ9" s="465">
        <v>30000000</v>
      </c>
      <c r="FA9" s="465">
        <f>15788980+10656455+3554565</f>
        <v>30000000</v>
      </c>
      <c r="FB9" s="465">
        <f t="shared" si="40"/>
        <v>0</v>
      </c>
      <c r="FC9" s="465"/>
      <c r="FD9" s="465">
        <v>5000000</v>
      </c>
      <c r="FE9" s="465">
        <v>0</v>
      </c>
      <c r="FF9" s="465">
        <f t="shared" si="41"/>
        <v>5000000</v>
      </c>
      <c r="FG9" s="465"/>
      <c r="FH9" s="463">
        <v>120000000</v>
      </c>
      <c r="FI9" s="463">
        <v>0</v>
      </c>
      <c r="FJ9" s="463">
        <f t="shared" si="0"/>
        <v>120000000</v>
      </c>
      <c r="FK9" s="468"/>
      <c r="FL9" s="463">
        <v>25000000</v>
      </c>
      <c r="FM9" s="468">
        <v>0</v>
      </c>
      <c r="FN9" s="468">
        <f t="shared" si="42"/>
        <v>25000000</v>
      </c>
      <c r="FO9" s="468"/>
      <c r="FP9" s="468">
        <v>5000000</v>
      </c>
      <c r="FQ9" s="468">
        <v>0</v>
      </c>
      <c r="FR9" s="468">
        <f t="shared" si="43"/>
        <v>5000000</v>
      </c>
      <c r="FS9" s="468"/>
      <c r="FT9" s="468">
        <v>30000000</v>
      </c>
      <c r="FU9" s="468">
        <f>77475+18055995</f>
        <v>18133470</v>
      </c>
      <c r="FV9" s="468">
        <f t="shared" si="44"/>
        <v>11866530</v>
      </c>
      <c r="FW9" s="468"/>
      <c r="FX9" s="468">
        <v>4150000</v>
      </c>
      <c r="FY9" s="468">
        <v>0</v>
      </c>
      <c r="FZ9" s="468">
        <v>4150000</v>
      </c>
      <c r="GA9" s="468"/>
      <c r="GB9" s="468">
        <v>160000000</v>
      </c>
      <c r="GC9" s="468">
        <v>0</v>
      </c>
      <c r="GD9" s="468">
        <f t="shared" si="45"/>
        <v>160000000</v>
      </c>
      <c r="GE9" s="468"/>
      <c r="GF9" s="468">
        <v>25000000</v>
      </c>
      <c r="GG9" s="468">
        <v>0</v>
      </c>
      <c r="GH9" s="468">
        <f t="shared" si="46"/>
        <v>25000000</v>
      </c>
      <c r="GI9" s="468"/>
      <c r="GJ9" s="468">
        <v>5000000</v>
      </c>
      <c r="GK9" s="468">
        <v>0</v>
      </c>
      <c r="GL9" s="468">
        <f t="shared" si="47"/>
        <v>5000000</v>
      </c>
      <c r="GM9" s="468"/>
      <c r="GN9" s="468">
        <v>20000000</v>
      </c>
      <c r="GO9" s="468">
        <v>0</v>
      </c>
      <c r="GP9" s="468">
        <f t="shared" si="48"/>
        <v>20000000</v>
      </c>
      <c r="GQ9" s="468"/>
      <c r="GR9" s="468">
        <v>5000000</v>
      </c>
      <c r="GS9" s="468">
        <v>0</v>
      </c>
      <c r="GT9" s="468">
        <f t="shared" si="49"/>
        <v>5000000</v>
      </c>
      <c r="GU9" s="468"/>
      <c r="GV9" s="465">
        <f t="shared" si="50"/>
        <v>1886150000</v>
      </c>
      <c r="GW9" s="465">
        <f t="shared" si="50"/>
        <v>963247506.57000005</v>
      </c>
      <c r="GX9" s="465">
        <f t="shared" si="51"/>
        <v>922902493.42999995</v>
      </c>
      <c r="GY9" s="470"/>
      <c r="GZ9" s="464"/>
      <c r="HA9" s="471">
        <f>D9+H9+L9+X9+AN9+BH9+CB9+CF9+CV9+DP9+DT9+EN9+FH9+GB9</f>
        <v>1340000000</v>
      </c>
      <c r="HB9" s="471">
        <f>E9+I9+M9+Y9+AO9+BI9+CC9+CG9+CW9+DQ9+DU9+EO9+FI9+GC9</f>
        <v>621722740.62</v>
      </c>
      <c r="HC9" s="471">
        <f t="shared" si="52"/>
        <v>718277259.38</v>
      </c>
      <c r="HE9" s="471">
        <f>P9+AB9+AR9+
BL9+CJ9+CZ9+DX9+ER9+FL9+GF9</f>
        <v>167000000</v>
      </c>
      <c r="HF9" s="471">
        <f>Q9+AC9+AS9+
BM9+CK9+DA9+DY9+ES9+FM9+GG9</f>
        <v>98210130</v>
      </c>
      <c r="HG9" s="471">
        <f t="shared" si="53"/>
        <v>68789870</v>
      </c>
      <c r="HI9" s="471">
        <f>T9+AF9+AV9+BP9+CN9+DD9+EB9+EV9+FP9+GJ9</f>
        <v>65000000</v>
      </c>
      <c r="HJ9" s="471">
        <f>U9+AG9+AW9+BQ9+CO9+DE9+EC9+EW9+FQ9+GK9</f>
        <v>0</v>
      </c>
      <c r="HK9" s="471">
        <f t="shared" si="54"/>
        <v>65000000</v>
      </c>
      <c r="HM9" s="475">
        <f>AJ9+AZ9+BT9+CR9+DH9+EF9+EZ9+FT9+GN9</f>
        <v>270000000</v>
      </c>
      <c r="HN9" s="475">
        <f>AK9+BA9+BU9+CS9+DI9+EG9+FA9+FU9+GO9</f>
        <v>234792535.94999999</v>
      </c>
      <c r="HO9" s="475">
        <f t="shared" si="55"/>
        <v>35207464.050000012</v>
      </c>
      <c r="HP9" s="476"/>
      <c r="HR9" s="471">
        <f>BD9+BX9+DL9+EJ9+FD9+FX9+GR9</f>
        <v>44150000</v>
      </c>
      <c r="HS9" s="471">
        <f>BE9+BY9+DM9+EK9+FE9+FY9+GS9</f>
        <v>8522100</v>
      </c>
      <c r="HT9" s="471">
        <f t="shared" si="56"/>
        <v>35627900</v>
      </c>
    </row>
    <row r="10" spans="1:228" x14ac:dyDescent="0.25">
      <c r="A10" s="107">
        <v>7</v>
      </c>
      <c r="B10" s="107" t="s">
        <v>70</v>
      </c>
      <c r="C10" s="113" t="s">
        <v>69</v>
      </c>
      <c r="D10" s="465">
        <v>0</v>
      </c>
      <c r="E10" s="465">
        <v>0</v>
      </c>
      <c r="F10" s="465">
        <f t="shared" si="1"/>
        <v>0</v>
      </c>
      <c r="G10" s="465"/>
      <c r="H10" s="465">
        <v>50000000</v>
      </c>
      <c r="I10" s="465">
        <v>50000000</v>
      </c>
      <c r="J10" s="465">
        <f t="shared" si="2"/>
        <v>0</v>
      </c>
      <c r="K10" s="465"/>
      <c r="L10" s="465">
        <v>50000000</v>
      </c>
      <c r="M10" s="465">
        <v>50000000</v>
      </c>
      <c r="N10" s="465">
        <f t="shared" si="3"/>
        <v>0</v>
      </c>
      <c r="O10" s="465"/>
      <c r="P10" s="465">
        <v>7000000</v>
      </c>
      <c r="Q10" s="465">
        <v>7000000</v>
      </c>
      <c r="R10" s="465">
        <f t="shared" si="4"/>
        <v>0</v>
      </c>
      <c r="S10" s="465"/>
      <c r="T10" s="465">
        <f>3000000-3000000</f>
        <v>0</v>
      </c>
      <c r="U10" s="465">
        <v>0</v>
      </c>
      <c r="V10" s="465">
        <f t="shared" si="5"/>
        <v>0</v>
      </c>
      <c r="W10" s="465"/>
      <c r="X10" s="465">
        <v>60000000</v>
      </c>
      <c r="Y10" s="465">
        <v>60000000</v>
      </c>
      <c r="Z10" s="465">
        <f t="shared" si="6"/>
        <v>0</v>
      </c>
      <c r="AA10" s="465"/>
      <c r="AB10" s="465">
        <v>10000000</v>
      </c>
      <c r="AC10" s="465">
        <v>10000000</v>
      </c>
      <c r="AD10" s="465">
        <f t="shared" si="7"/>
        <v>0</v>
      </c>
      <c r="AE10" s="465"/>
      <c r="AF10" s="465">
        <f>5000000-5000000</f>
        <v>0</v>
      </c>
      <c r="AG10" s="465">
        <v>0</v>
      </c>
      <c r="AH10" s="465">
        <f t="shared" si="8"/>
        <v>0</v>
      </c>
      <c r="AI10" s="465"/>
      <c r="AJ10" s="465">
        <v>15000000</v>
      </c>
      <c r="AK10" s="465">
        <v>15000000</v>
      </c>
      <c r="AL10" s="465">
        <f t="shared" si="9"/>
        <v>0</v>
      </c>
      <c r="AM10" s="465"/>
      <c r="AN10" s="465">
        <v>80000000</v>
      </c>
      <c r="AO10" s="465">
        <v>80000000</v>
      </c>
      <c r="AP10" s="465">
        <f t="shared" si="10"/>
        <v>0</v>
      </c>
      <c r="AQ10" s="465"/>
      <c r="AR10" s="465">
        <v>10000000</v>
      </c>
      <c r="AS10" s="465">
        <f>9791306+208694</f>
        <v>10000000</v>
      </c>
      <c r="AT10" s="465">
        <f t="shared" si="11"/>
        <v>0</v>
      </c>
      <c r="AU10" s="465"/>
      <c r="AV10" s="465">
        <v>5000000</v>
      </c>
      <c r="AW10" s="465">
        <f>3397450+290775+308775+6003000-5000000</f>
        <v>5000000</v>
      </c>
      <c r="AX10" s="465">
        <f t="shared" si="12"/>
        <v>0</v>
      </c>
      <c r="AY10" s="465"/>
      <c r="AZ10" s="465">
        <v>20000000</v>
      </c>
      <c r="BA10" s="465">
        <f>4306935+967520+14725545</f>
        <v>20000000</v>
      </c>
      <c r="BB10" s="465">
        <f t="shared" si="13"/>
        <v>0</v>
      </c>
      <c r="BC10" s="465"/>
      <c r="BD10" s="465">
        <v>5000000</v>
      </c>
      <c r="BE10" s="487">
        <f>1224000+637500</f>
        <v>1861500</v>
      </c>
      <c r="BF10" s="465">
        <f t="shared" si="14"/>
        <v>3138500</v>
      </c>
      <c r="BG10" s="465"/>
      <c r="BH10" s="465">
        <v>130000000</v>
      </c>
      <c r="BI10" s="465">
        <f>895750+129104250</f>
        <v>130000000</v>
      </c>
      <c r="BJ10" s="465">
        <f t="shared" si="15"/>
        <v>0</v>
      </c>
      <c r="BK10" s="465"/>
      <c r="BL10" s="465">
        <v>10000000</v>
      </c>
      <c r="BM10" s="465">
        <f>10000000</f>
        <v>10000000</v>
      </c>
      <c r="BN10" s="465">
        <f t="shared" si="16"/>
        <v>0</v>
      </c>
      <c r="BO10" s="465"/>
      <c r="BP10" s="465">
        <v>10000000</v>
      </c>
      <c r="BQ10" s="465">
        <f>294004+5000000</f>
        <v>5294004</v>
      </c>
      <c r="BR10" s="465">
        <f t="shared" si="17"/>
        <v>4705996</v>
      </c>
      <c r="BS10" s="465"/>
      <c r="BT10" s="465">
        <v>40000000</v>
      </c>
      <c r="BU10" s="465">
        <f>7510867.51+6227493.22+26261639.27</f>
        <v>40000000</v>
      </c>
      <c r="BV10" s="465">
        <f t="shared" si="18"/>
        <v>0</v>
      </c>
      <c r="BW10" s="465"/>
      <c r="BX10" s="465">
        <v>5000000</v>
      </c>
      <c r="BY10" s="465">
        <v>0</v>
      </c>
      <c r="BZ10" s="465">
        <f t="shared" si="19"/>
        <v>5000000</v>
      </c>
      <c r="CA10" s="465"/>
      <c r="CB10" s="465">
        <v>0</v>
      </c>
      <c r="CC10" s="465">
        <v>0</v>
      </c>
      <c r="CD10" s="465">
        <f t="shared" si="20"/>
        <v>0</v>
      </c>
      <c r="CE10" s="465"/>
      <c r="CF10" s="465">
        <f t="shared" si="21"/>
        <v>140000000</v>
      </c>
      <c r="CG10" s="465">
        <f>56297590+61073060+22629350</f>
        <v>140000000</v>
      </c>
      <c r="CH10" s="465">
        <f t="shared" si="22"/>
        <v>0</v>
      </c>
      <c r="CI10" s="465"/>
      <c r="CJ10" s="465">
        <v>20000000</v>
      </c>
      <c r="CK10" s="478">
        <f>7463326.5+2377306+9556961.25+602406.25</f>
        <v>20000000</v>
      </c>
      <c r="CL10" s="465">
        <f t="shared" si="23"/>
        <v>0</v>
      </c>
      <c r="CM10" s="465"/>
      <c r="CN10" s="465">
        <v>10000000</v>
      </c>
      <c r="CO10" s="465">
        <v>0</v>
      </c>
      <c r="CP10" s="465">
        <f t="shared" si="24"/>
        <v>10000000</v>
      </c>
      <c r="CQ10" s="465"/>
      <c r="CR10" s="465">
        <v>40000000</v>
      </c>
      <c r="CS10" s="465">
        <f>14294515.73+3707845+12748605+9249034.27</f>
        <v>40000000</v>
      </c>
      <c r="CT10" s="465">
        <f t="shared" si="25"/>
        <v>0</v>
      </c>
      <c r="CU10" s="465"/>
      <c r="CV10" s="465">
        <v>150000000</v>
      </c>
      <c r="CW10" s="465">
        <f>13804279.79+136195720.21</f>
        <v>150000000</v>
      </c>
      <c r="CX10" s="465">
        <f t="shared" si="26"/>
        <v>0</v>
      </c>
      <c r="CY10" s="465"/>
      <c r="CZ10" s="465">
        <v>20000000</v>
      </c>
      <c r="DA10" s="465">
        <f>19334586+665414</f>
        <v>20000000</v>
      </c>
      <c r="DB10" s="465">
        <f t="shared" si="27"/>
        <v>0</v>
      </c>
      <c r="DC10" s="465"/>
      <c r="DD10" s="465">
        <v>10000000</v>
      </c>
      <c r="DE10" s="465">
        <v>0</v>
      </c>
      <c r="DF10" s="465">
        <f t="shared" si="28"/>
        <v>10000000</v>
      </c>
      <c r="DG10" s="465"/>
      <c r="DH10" s="465">
        <v>50000000</v>
      </c>
      <c r="DI10" s="465">
        <f>39431921.73+4182126+2285108+3435938-1756890</f>
        <v>47578203.729999997</v>
      </c>
      <c r="DJ10" s="465">
        <f t="shared" si="29"/>
        <v>2421796.2700000033</v>
      </c>
      <c r="DK10" s="465"/>
      <c r="DL10" s="465">
        <v>10000000</v>
      </c>
      <c r="DM10" s="465">
        <v>0</v>
      </c>
      <c r="DN10" s="465">
        <f t="shared" si="30"/>
        <v>10000000</v>
      </c>
      <c r="DO10" s="465"/>
      <c r="DP10" s="465">
        <v>0</v>
      </c>
      <c r="DQ10" s="465">
        <v>0</v>
      </c>
      <c r="DR10" s="465">
        <f t="shared" si="31"/>
        <v>0</v>
      </c>
      <c r="DS10" s="465"/>
      <c r="DT10" s="465">
        <v>100000000</v>
      </c>
      <c r="DU10" s="465">
        <f>712949.79+42000000+43696340+13590710.21</f>
        <v>100000000</v>
      </c>
      <c r="DV10" s="465">
        <f t="shared" si="32"/>
        <v>0</v>
      </c>
      <c r="DW10" s="465"/>
      <c r="DX10" s="465">
        <v>15000000</v>
      </c>
      <c r="DY10" s="478">
        <f>4985438.5+2719320+3764930.11+2091000+596993.75</f>
        <v>14157682.359999999</v>
      </c>
      <c r="DZ10" s="465">
        <f t="shared" si="33"/>
        <v>842317.6400000006</v>
      </c>
      <c r="EA10" s="465"/>
      <c r="EB10" s="465">
        <v>10000000</v>
      </c>
      <c r="EC10" s="465">
        <v>0</v>
      </c>
      <c r="ED10" s="465">
        <f t="shared" si="34"/>
        <v>10000000</v>
      </c>
      <c r="EE10" s="465"/>
      <c r="EF10" s="465">
        <v>25000000</v>
      </c>
      <c r="EG10" s="465">
        <f>17933500+7066500</f>
        <v>25000000</v>
      </c>
      <c r="EH10" s="465">
        <f t="shared" si="35"/>
        <v>0</v>
      </c>
      <c r="EI10" s="465"/>
      <c r="EJ10" s="465">
        <v>10000000</v>
      </c>
      <c r="EK10" s="465">
        <v>0</v>
      </c>
      <c r="EL10" s="465">
        <f t="shared" si="36"/>
        <v>10000000</v>
      </c>
      <c r="EM10" s="465"/>
      <c r="EN10" s="465">
        <v>300000000</v>
      </c>
      <c r="EO10" s="484">
        <f>101430539.79+57332500-42000000+56406250-93828840+34541045+20166980</f>
        <v>134048474.79000002</v>
      </c>
      <c r="EP10" s="465">
        <f t="shared" si="37"/>
        <v>165951525.20999998</v>
      </c>
      <c r="EQ10" s="465"/>
      <c r="ER10" s="465">
        <v>25000000</v>
      </c>
      <c r="ES10" s="465">
        <v>0</v>
      </c>
      <c r="ET10" s="465">
        <f t="shared" si="38"/>
        <v>25000000</v>
      </c>
      <c r="EU10" s="465"/>
      <c r="EV10" s="465">
        <v>10000000</v>
      </c>
      <c r="EW10" s="465">
        <v>0</v>
      </c>
      <c r="EX10" s="465">
        <f t="shared" si="39"/>
        <v>10000000</v>
      </c>
      <c r="EY10" s="465"/>
      <c r="EZ10" s="465">
        <v>30000000</v>
      </c>
      <c r="FA10" s="465">
        <f>4803600+3804975+3654595+20000+8196413.2</f>
        <v>20479583.199999999</v>
      </c>
      <c r="FB10" s="465">
        <f t="shared" si="40"/>
        <v>9520416.8000000007</v>
      </c>
      <c r="FC10" s="465"/>
      <c r="FD10" s="465">
        <v>5000000</v>
      </c>
      <c r="FE10" s="465">
        <v>0</v>
      </c>
      <c r="FF10" s="465">
        <f t="shared" si="41"/>
        <v>5000000</v>
      </c>
      <c r="FG10" s="465"/>
      <c r="FH10" s="463">
        <v>120000000</v>
      </c>
      <c r="FI10" s="463">
        <v>0</v>
      </c>
      <c r="FJ10" s="463">
        <f t="shared" si="0"/>
        <v>120000000</v>
      </c>
      <c r="FK10" s="468"/>
      <c r="FL10" s="463">
        <v>25000000</v>
      </c>
      <c r="FM10" s="468">
        <v>0</v>
      </c>
      <c r="FN10" s="468">
        <f t="shared" si="42"/>
        <v>25000000</v>
      </c>
      <c r="FO10" s="468"/>
      <c r="FP10" s="468">
        <v>5000000</v>
      </c>
      <c r="FQ10" s="468">
        <v>0</v>
      </c>
      <c r="FR10" s="468">
        <f t="shared" si="43"/>
        <v>5000000</v>
      </c>
      <c r="FS10" s="468"/>
      <c r="FT10" s="468">
        <v>30000000</v>
      </c>
      <c r="FU10" s="468">
        <v>0</v>
      </c>
      <c r="FV10" s="468">
        <f t="shared" si="44"/>
        <v>30000000</v>
      </c>
      <c r="FW10" s="468"/>
      <c r="FX10" s="468">
        <v>4150000</v>
      </c>
      <c r="FY10" s="468">
        <v>0</v>
      </c>
      <c r="FZ10" s="468">
        <v>4150000</v>
      </c>
      <c r="GA10" s="468"/>
      <c r="GB10" s="468">
        <v>160000000</v>
      </c>
      <c r="GC10" s="468">
        <v>0</v>
      </c>
      <c r="GD10" s="468">
        <f t="shared" si="45"/>
        <v>160000000</v>
      </c>
      <c r="GE10" s="468"/>
      <c r="GF10" s="468">
        <v>25000000</v>
      </c>
      <c r="GG10" s="468">
        <v>0</v>
      </c>
      <c r="GH10" s="468">
        <f t="shared" si="46"/>
        <v>25000000</v>
      </c>
      <c r="GI10" s="468"/>
      <c r="GJ10" s="468">
        <v>5000000</v>
      </c>
      <c r="GK10" s="468">
        <v>0</v>
      </c>
      <c r="GL10" s="468">
        <f t="shared" si="47"/>
        <v>5000000</v>
      </c>
      <c r="GM10" s="468"/>
      <c r="GN10" s="468">
        <v>20000000</v>
      </c>
      <c r="GO10" s="468">
        <v>0</v>
      </c>
      <c r="GP10" s="468">
        <f t="shared" si="48"/>
        <v>20000000</v>
      </c>
      <c r="GQ10" s="468"/>
      <c r="GR10" s="468">
        <v>5000000</v>
      </c>
      <c r="GS10" s="468">
        <v>0</v>
      </c>
      <c r="GT10" s="468">
        <f t="shared" si="49"/>
        <v>5000000</v>
      </c>
      <c r="GU10" s="468"/>
      <c r="GV10" s="465">
        <f t="shared" si="50"/>
        <v>1886150000</v>
      </c>
      <c r="GW10" s="465">
        <f t="shared" si="50"/>
        <v>1205419448.0800002</v>
      </c>
      <c r="GX10" s="465">
        <f t="shared" si="51"/>
        <v>680730551.91999984</v>
      </c>
      <c r="GY10" s="470"/>
      <c r="GZ10" s="464"/>
      <c r="HA10" s="471">
        <f>D10+H10+L10+X10+AN10+BH10+CB10+CF10+CV10+DP10+DT10+EN10+FH10+GB10</f>
        <v>1340000000</v>
      </c>
      <c r="HB10" s="471">
        <f>E10+I10+M10+Y10+AO10+BI10+CC10+CG10+CW10+DQ10+DU10+EO10+FI10+GC10</f>
        <v>894048474.78999996</v>
      </c>
      <c r="HC10" s="471">
        <f t="shared" si="52"/>
        <v>445951525.21000004</v>
      </c>
      <c r="HE10" s="471">
        <f>P10+AB10+AR10+
BL10+CJ10+CZ10+DX10+ER10+FL10+GF10</f>
        <v>167000000</v>
      </c>
      <c r="HF10" s="471">
        <f>Q10+AC10+AS10+
BM10+CK10+DA10+DY10+ES10+FM10+GG10</f>
        <v>91157682.359999999</v>
      </c>
      <c r="HG10" s="471">
        <f t="shared" si="53"/>
        <v>75842317.640000001</v>
      </c>
      <c r="HI10" s="471">
        <f>T10+AF10+AV10+BP10+CN10+DD10+EB10+EV10+FP10+GJ10</f>
        <v>65000000</v>
      </c>
      <c r="HJ10" s="471">
        <f>U10+AG10+AW10+BQ10+CO10+DE10+EC10+EW10+FQ10+GK10</f>
        <v>10294004</v>
      </c>
      <c r="HK10" s="471">
        <f t="shared" si="54"/>
        <v>54705996</v>
      </c>
      <c r="HM10" s="475">
        <f>AJ10+AZ10+BT10+CR10+DH10+EF10+EZ10+FT10+GN10</f>
        <v>270000000</v>
      </c>
      <c r="HN10" s="475">
        <f>AK10+BA10+BU10+CS10+DI10+EG10+FA10+FU10+GO10</f>
        <v>208057786.92999998</v>
      </c>
      <c r="HO10" s="475">
        <f t="shared" si="55"/>
        <v>61942213.070000023</v>
      </c>
      <c r="HP10" s="476"/>
      <c r="HR10" s="471">
        <f>BD10+BX10+DL10+EJ10+FD10+FX10+GR10</f>
        <v>44150000</v>
      </c>
      <c r="HS10" s="471">
        <f>BE10+BY10+DM10+EK10+FE10+FY10+GS10</f>
        <v>1861500</v>
      </c>
      <c r="HT10" s="471">
        <f t="shared" si="56"/>
        <v>42288500</v>
      </c>
    </row>
    <row r="11" spans="1:228" x14ac:dyDescent="0.25">
      <c r="A11" s="107">
        <v>8</v>
      </c>
      <c r="B11" s="107" t="s">
        <v>71</v>
      </c>
      <c r="C11" s="113" t="s">
        <v>61</v>
      </c>
      <c r="D11" s="488">
        <v>1750000</v>
      </c>
      <c r="E11" s="488">
        <v>1750000</v>
      </c>
      <c r="F11" s="465">
        <f t="shared" si="1"/>
        <v>0</v>
      </c>
      <c r="G11" s="488"/>
      <c r="H11" s="465">
        <v>50000000</v>
      </c>
      <c r="I11" s="465">
        <v>50000000</v>
      </c>
      <c r="J11" s="465">
        <f t="shared" si="2"/>
        <v>0</v>
      </c>
      <c r="K11" s="488"/>
      <c r="L11" s="465">
        <v>50000000</v>
      </c>
      <c r="M11" s="465">
        <v>50000000</v>
      </c>
      <c r="N11" s="465">
        <f t="shared" si="3"/>
        <v>0</v>
      </c>
      <c r="O11" s="488"/>
      <c r="P11" s="465">
        <v>7000000</v>
      </c>
      <c r="Q11" s="465">
        <f>2125000+4875000</f>
        <v>7000000</v>
      </c>
      <c r="R11" s="465">
        <f t="shared" si="4"/>
        <v>0</v>
      </c>
      <c r="S11" s="488"/>
      <c r="T11" s="465">
        <v>3000000</v>
      </c>
      <c r="U11" s="465">
        <v>3000000</v>
      </c>
      <c r="V11" s="465">
        <f t="shared" si="5"/>
        <v>0</v>
      </c>
      <c r="W11" s="488"/>
      <c r="X11" s="465">
        <v>60000000</v>
      </c>
      <c r="Y11" s="465">
        <v>60000000</v>
      </c>
      <c r="Z11" s="465">
        <f t="shared" si="6"/>
        <v>0</v>
      </c>
      <c r="AA11" s="488"/>
      <c r="AB11" s="465">
        <v>10000000</v>
      </c>
      <c r="AC11" s="465">
        <f>4040063.16+5959936.84</f>
        <v>10000000</v>
      </c>
      <c r="AD11" s="465">
        <f t="shared" si="7"/>
        <v>0</v>
      </c>
      <c r="AE11" s="488"/>
      <c r="AF11" s="465">
        <v>5000000</v>
      </c>
      <c r="AG11" s="465">
        <f>3800000+1200000</f>
        <v>5000000</v>
      </c>
      <c r="AH11" s="465">
        <f t="shared" si="8"/>
        <v>0</v>
      </c>
      <c r="AI11" s="488"/>
      <c r="AJ11" s="465">
        <v>15000000</v>
      </c>
      <c r="AK11" s="465">
        <v>15000000</v>
      </c>
      <c r="AL11" s="465">
        <f t="shared" si="9"/>
        <v>0</v>
      </c>
      <c r="AM11" s="465"/>
      <c r="AN11" s="465">
        <v>80000000</v>
      </c>
      <c r="AO11" s="465">
        <v>80000000</v>
      </c>
      <c r="AP11" s="465">
        <f t="shared" si="10"/>
        <v>0</v>
      </c>
      <c r="AQ11" s="488"/>
      <c r="AR11" s="465">
        <v>10000000</v>
      </c>
      <c r="AS11" s="465">
        <f>10000000</f>
        <v>10000000</v>
      </c>
      <c r="AT11" s="465">
        <f t="shared" si="11"/>
        <v>0</v>
      </c>
      <c r="AU11" s="488"/>
      <c r="AV11" s="465">
        <v>5000000</v>
      </c>
      <c r="AW11" s="465">
        <f>925000+375000</f>
        <v>1300000</v>
      </c>
      <c r="AX11" s="465">
        <f t="shared" si="12"/>
        <v>3700000</v>
      </c>
      <c r="AY11" s="488"/>
      <c r="AZ11" s="465">
        <v>20000000</v>
      </c>
      <c r="BA11" s="465">
        <f>18470451.96+192800+1336748.04</f>
        <v>20000000</v>
      </c>
      <c r="BB11" s="465">
        <f t="shared" si="13"/>
        <v>0</v>
      </c>
      <c r="BC11" s="488"/>
      <c r="BD11" s="465">
        <v>5000000</v>
      </c>
      <c r="BE11" s="465">
        <f>465000</f>
        <v>465000</v>
      </c>
      <c r="BF11" s="465">
        <f t="shared" si="14"/>
        <v>4535000</v>
      </c>
      <c r="BG11" s="488"/>
      <c r="BH11" s="465">
        <v>130000000</v>
      </c>
      <c r="BI11" s="465">
        <f>16106899+45000000+20437700+24888000+3004450+20562951</f>
        <v>130000000</v>
      </c>
      <c r="BJ11" s="465">
        <f t="shared" si="15"/>
        <v>0</v>
      </c>
      <c r="BK11" s="488"/>
      <c r="BL11" s="465">
        <v>10000000</v>
      </c>
      <c r="BM11" s="465">
        <f>10000000</f>
        <v>10000000</v>
      </c>
      <c r="BN11" s="465">
        <f t="shared" si="16"/>
        <v>0</v>
      </c>
      <c r="BO11" s="488"/>
      <c r="BP11" s="465">
        <v>10000000</v>
      </c>
      <c r="BQ11" s="465">
        <v>0</v>
      </c>
      <c r="BR11" s="465">
        <f t="shared" si="17"/>
        <v>10000000</v>
      </c>
      <c r="BS11" s="488"/>
      <c r="BT11" s="465">
        <v>40000000</v>
      </c>
      <c r="BU11" s="465">
        <f>21512679.16+804000+17683320.84</f>
        <v>40000000</v>
      </c>
      <c r="BV11" s="465">
        <f t="shared" si="18"/>
        <v>0</v>
      </c>
      <c r="BW11" s="465"/>
      <c r="BX11" s="465">
        <v>5000000</v>
      </c>
      <c r="BY11" s="465">
        <f>2635000</f>
        <v>2635000</v>
      </c>
      <c r="BZ11" s="465">
        <f t="shared" si="19"/>
        <v>2365000</v>
      </c>
      <c r="CA11" s="488"/>
      <c r="CB11" s="465">
        <v>0</v>
      </c>
      <c r="CC11" s="465">
        <v>0</v>
      </c>
      <c r="CD11" s="465">
        <f t="shared" si="20"/>
        <v>0</v>
      </c>
      <c r="CE11" s="488"/>
      <c r="CF11" s="465">
        <f t="shared" si="21"/>
        <v>140000000</v>
      </c>
      <c r="CG11" s="465">
        <f>137705009+858690+1436301</f>
        <v>140000000</v>
      </c>
      <c r="CH11" s="465">
        <f t="shared" si="22"/>
        <v>0</v>
      </c>
      <c r="CI11" s="488"/>
      <c r="CJ11" s="465">
        <v>20000000</v>
      </c>
      <c r="CK11" s="465">
        <f>2733523.36+17266476.64</f>
        <v>20000000</v>
      </c>
      <c r="CL11" s="465">
        <f t="shared" si="23"/>
        <v>0</v>
      </c>
      <c r="CM11" s="488"/>
      <c r="CN11" s="465">
        <v>10000000</v>
      </c>
      <c r="CO11" s="465">
        <v>0</v>
      </c>
      <c r="CP11" s="465">
        <f t="shared" si="24"/>
        <v>10000000</v>
      </c>
      <c r="CQ11" s="488"/>
      <c r="CR11" s="465">
        <v>40000000</v>
      </c>
      <c r="CS11" s="465">
        <f>48123855-8123855</f>
        <v>40000000</v>
      </c>
      <c r="CT11" s="465">
        <f t="shared" si="25"/>
        <v>0</v>
      </c>
      <c r="CU11" s="488"/>
      <c r="CV11" s="465">
        <v>150000000</v>
      </c>
      <c r="CW11" s="465">
        <f>143881961+5639600</f>
        <v>149521561</v>
      </c>
      <c r="CX11" s="465">
        <f t="shared" si="26"/>
        <v>478439</v>
      </c>
      <c r="CY11" s="488"/>
      <c r="CZ11" s="465">
        <v>20000000</v>
      </c>
      <c r="DA11" s="465">
        <v>20000000</v>
      </c>
      <c r="DB11" s="465">
        <f t="shared" si="27"/>
        <v>0</v>
      </c>
      <c r="DC11" s="465"/>
      <c r="DD11" s="465">
        <v>10000000</v>
      </c>
      <c r="DE11" s="465">
        <v>0</v>
      </c>
      <c r="DF11" s="465">
        <f t="shared" si="28"/>
        <v>10000000</v>
      </c>
      <c r="DG11" s="488"/>
      <c r="DH11" s="465">
        <v>50000000</v>
      </c>
      <c r="DI11" s="465">
        <f>8123855+1339800+2592153.16+24373437+8499755+5070999.84</f>
        <v>50000000</v>
      </c>
      <c r="DJ11" s="465">
        <f t="shared" si="29"/>
        <v>0</v>
      </c>
      <c r="DK11" s="465"/>
      <c r="DL11" s="465">
        <v>10000000</v>
      </c>
      <c r="DM11" s="465">
        <v>0</v>
      </c>
      <c r="DN11" s="465">
        <f t="shared" si="30"/>
        <v>10000000</v>
      </c>
      <c r="DO11" s="488"/>
      <c r="DP11" s="465">
        <v>0</v>
      </c>
      <c r="DQ11" s="465">
        <v>0</v>
      </c>
      <c r="DR11" s="465">
        <f t="shared" si="31"/>
        <v>0</v>
      </c>
      <c r="DS11" s="465"/>
      <c r="DT11" s="465">
        <v>100000000</v>
      </c>
      <c r="DU11" s="465">
        <f>23462700+3000000+73537300</f>
        <v>100000000</v>
      </c>
      <c r="DV11" s="465">
        <f t="shared" si="32"/>
        <v>0</v>
      </c>
      <c r="DW11" s="465"/>
      <c r="DX11" s="465">
        <v>15000000</v>
      </c>
      <c r="DY11" s="484">
        <f>10246822.93+4459225.32-447000+740951.75</f>
        <v>15000000</v>
      </c>
      <c r="DZ11" s="465">
        <f t="shared" si="33"/>
        <v>0</v>
      </c>
      <c r="EA11" s="465"/>
      <c r="EB11" s="465">
        <v>10000000</v>
      </c>
      <c r="EC11" s="465">
        <v>0</v>
      </c>
      <c r="ED11" s="465">
        <f t="shared" si="34"/>
        <v>10000000</v>
      </c>
      <c r="EE11" s="465"/>
      <c r="EF11" s="465">
        <v>25000000</v>
      </c>
      <c r="EG11" s="465">
        <f>3450905.16+21484240+64854.84</f>
        <v>25000000</v>
      </c>
      <c r="EH11" s="465">
        <f t="shared" si="35"/>
        <v>0</v>
      </c>
      <c r="EI11" s="465"/>
      <c r="EJ11" s="465">
        <v>10000000</v>
      </c>
      <c r="EK11" s="465">
        <v>0</v>
      </c>
      <c r="EL11" s="465">
        <f t="shared" si="36"/>
        <v>10000000</v>
      </c>
      <c r="EM11" s="488"/>
      <c r="EN11" s="465">
        <v>300000000</v>
      </c>
      <c r="EO11" s="465">
        <f>116919438.8+23400000+22637197.8+104660752.4+11700000</f>
        <v>279317389</v>
      </c>
      <c r="EP11" s="465">
        <f t="shared" si="37"/>
        <v>20682611</v>
      </c>
      <c r="EQ11" s="488"/>
      <c r="ER11" s="465">
        <v>25000000</v>
      </c>
      <c r="ES11" s="484">
        <f>1584339.86</f>
        <v>1584339.86</v>
      </c>
      <c r="ET11" s="465">
        <f t="shared" si="38"/>
        <v>23415660.140000001</v>
      </c>
      <c r="EU11" s="488"/>
      <c r="EV11" s="465">
        <v>10000000</v>
      </c>
      <c r="EW11" s="465">
        <v>0</v>
      </c>
      <c r="EX11" s="465">
        <f t="shared" si="39"/>
        <v>10000000</v>
      </c>
      <c r="EY11" s="488"/>
      <c r="EZ11" s="465">
        <v>30000000</v>
      </c>
      <c r="FA11" s="465">
        <f>18804620.16+11195379.84</f>
        <v>30000000</v>
      </c>
      <c r="FB11" s="465">
        <f t="shared" si="40"/>
        <v>0</v>
      </c>
      <c r="FC11" s="488"/>
      <c r="FD11" s="465">
        <v>5000000</v>
      </c>
      <c r="FE11" s="465">
        <v>0</v>
      </c>
      <c r="FF11" s="465">
        <f t="shared" si="41"/>
        <v>5000000</v>
      </c>
      <c r="FG11" s="465"/>
      <c r="FH11" s="463">
        <v>120000000</v>
      </c>
      <c r="FI11" s="463">
        <v>0</v>
      </c>
      <c r="FJ11" s="463">
        <f t="shared" si="0"/>
        <v>120000000</v>
      </c>
      <c r="FK11" s="468"/>
      <c r="FL11" s="463">
        <v>25000000</v>
      </c>
      <c r="FM11" s="468">
        <v>0</v>
      </c>
      <c r="FN11" s="468">
        <f t="shared" si="42"/>
        <v>25000000</v>
      </c>
      <c r="FO11" s="468"/>
      <c r="FP11" s="468">
        <v>5000000</v>
      </c>
      <c r="FQ11" s="468">
        <v>0</v>
      </c>
      <c r="FR11" s="468">
        <f t="shared" si="43"/>
        <v>5000000</v>
      </c>
      <c r="FS11" s="468"/>
      <c r="FT11" s="468">
        <v>30000000</v>
      </c>
      <c r="FU11" s="482">
        <f>2031399.16+3596350+1528325+7940150</f>
        <v>15096224.16</v>
      </c>
      <c r="FV11" s="468">
        <f t="shared" si="44"/>
        <v>14903775.84</v>
      </c>
      <c r="FW11" s="468"/>
      <c r="FX11" s="468">
        <v>4150000</v>
      </c>
      <c r="FY11" s="468">
        <v>0</v>
      </c>
      <c r="FZ11" s="468">
        <v>4150000</v>
      </c>
      <c r="GA11" s="468"/>
      <c r="GB11" s="468">
        <v>160000000</v>
      </c>
      <c r="GC11" s="468">
        <v>0</v>
      </c>
      <c r="GD11" s="468">
        <f t="shared" si="45"/>
        <v>160000000</v>
      </c>
      <c r="GE11" s="468"/>
      <c r="GF11" s="468">
        <v>25000000</v>
      </c>
      <c r="GG11" s="468">
        <v>0</v>
      </c>
      <c r="GH11" s="468">
        <f t="shared" si="46"/>
        <v>25000000</v>
      </c>
      <c r="GI11" s="468"/>
      <c r="GJ11" s="468">
        <v>5000000</v>
      </c>
      <c r="GK11" s="468">
        <v>0</v>
      </c>
      <c r="GL11" s="468">
        <f t="shared" si="47"/>
        <v>5000000</v>
      </c>
      <c r="GM11" s="468"/>
      <c r="GN11" s="468">
        <v>20000000</v>
      </c>
      <c r="GO11" s="468">
        <v>0</v>
      </c>
      <c r="GP11" s="468">
        <f t="shared" si="48"/>
        <v>20000000</v>
      </c>
      <c r="GQ11" s="468"/>
      <c r="GR11" s="468">
        <v>5000000</v>
      </c>
      <c r="GS11" s="468">
        <v>0</v>
      </c>
      <c r="GT11" s="468">
        <f t="shared" si="49"/>
        <v>5000000</v>
      </c>
      <c r="GU11" s="468"/>
      <c r="GV11" s="465">
        <f t="shared" si="50"/>
        <v>1895900000</v>
      </c>
      <c r="GW11" s="465">
        <f t="shared" si="50"/>
        <v>1381669514.02</v>
      </c>
      <c r="GX11" s="465">
        <f t="shared" si="51"/>
        <v>514230485.98000002</v>
      </c>
      <c r="GY11" s="470"/>
      <c r="GZ11" s="464"/>
      <c r="HA11" s="471">
        <f>D11+H11+L11+X11+AN11+BH11+CB11+CF11+CV11+DP11+DT11+EN11+FH11+GB11</f>
        <v>1341750000</v>
      </c>
      <c r="HB11" s="471">
        <f>E11+I11+M11+Y11+AO11+BI11+CC11+CG11+CW11+DQ11+DU11+EO11+FI11+GC11</f>
        <v>1040588950</v>
      </c>
      <c r="HC11" s="471">
        <f t="shared" si="52"/>
        <v>301161050</v>
      </c>
      <c r="HE11" s="471">
        <f>P11+AB11+AR11+
BL11+CJ11+CZ11+DX11+ER11+FL11+GF11</f>
        <v>167000000</v>
      </c>
      <c r="HF11" s="471">
        <f>Q11+AC11+AS11+
BM11+CK11+DA11+DY11+ES11+FM11+GG11</f>
        <v>93584339.859999999</v>
      </c>
      <c r="HG11" s="471">
        <f t="shared" si="53"/>
        <v>73415660.140000001</v>
      </c>
      <c r="HI11" s="471">
        <f>T11+AF11+AV11+BP11+CN11+DD11+EB11+EV11+FP11+GJ11</f>
        <v>73000000</v>
      </c>
      <c r="HJ11" s="471">
        <f>U11+AG11+AW11+BQ11+CO11+DE11+EC11+EW11+FQ11+GK11</f>
        <v>9300000</v>
      </c>
      <c r="HK11" s="471">
        <f t="shared" si="54"/>
        <v>63700000</v>
      </c>
      <c r="HM11" s="475">
        <f>AJ11+AZ11+BT11+CR11+DH11+EF11+EZ11+FT11+GN11</f>
        <v>270000000</v>
      </c>
      <c r="HN11" s="475">
        <f>AK11+BA11+BU11+CS11+DI11+EG11+FA11+FU11+GO11</f>
        <v>235096224.16</v>
      </c>
      <c r="HO11" s="475">
        <f t="shared" si="55"/>
        <v>34903775.840000004</v>
      </c>
      <c r="HP11" s="476"/>
      <c r="HR11" s="471">
        <f>BD11+BX11+DL11+EJ11+FD11+FX11+GR11</f>
        <v>44150000</v>
      </c>
      <c r="HS11" s="471">
        <f>BE11+BY11+DM11+EK11+FE11+FY11+GS11</f>
        <v>3100000</v>
      </c>
      <c r="HT11" s="471">
        <f t="shared" si="56"/>
        <v>41050000</v>
      </c>
    </row>
    <row r="12" spans="1:228" x14ac:dyDescent="0.25">
      <c r="A12" s="107">
        <v>9</v>
      </c>
      <c r="B12" s="107" t="s">
        <v>72</v>
      </c>
      <c r="C12" s="113" t="s">
        <v>61</v>
      </c>
      <c r="D12" s="488">
        <v>1750000</v>
      </c>
      <c r="E12" s="488">
        <v>1750000</v>
      </c>
      <c r="F12" s="465">
        <f t="shared" si="1"/>
        <v>0</v>
      </c>
      <c r="G12" s="488"/>
      <c r="H12" s="465">
        <v>50000000</v>
      </c>
      <c r="I12" s="465">
        <v>50000000</v>
      </c>
      <c r="J12" s="465">
        <f t="shared" si="2"/>
        <v>0</v>
      </c>
      <c r="K12" s="488"/>
      <c r="L12" s="465">
        <v>50000000</v>
      </c>
      <c r="M12" s="465">
        <v>50000000</v>
      </c>
      <c r="N12" s="465">
        <f t="shared" si="3"/>
        <v>0</v>
      </c>
      <c r="O12" s="488"/>
      <c r="P12" s="465">
        <v>7000000</v>
      </c>
      <c r="Q12" s="465">
        <v>7000000</v>
      </c>
      <c r="R12" s="465">
        <f t="shared" si="4"/>
        <v>0</v>
      </c>
      <c r="S12" s="488"/>
      <c r="T12" s="465">
        <v>3000000</v>
      </c>
      <c r="U12" s="465">
        <v>3000000</v>
      </c>
      <c r="V12" s="465">
        <f t="shared" si="5"/>
        <v>0</v>
      </c>
      <c r="W12" s="488"/>
      <c r="X12" s="465">
        <v>60000000</v>
      </c>
      <c r="Y12" s="465">
        <v>60000000</v>
      </c>
      <c r="Z12" s="465">
        <f t="shared" si="6"/>
        <v>0</v>
      </c>
      <c r="AA12" s="488"/>
      <c r="AB12" s="465">
        <v>9661732.5</v>
      </c>
      <c r="AC12" s="465">
        <v>9661732.5</v>
      </c>
      <c r="AD12" s="465">
        <f t="shared" si="7"/>
        <v>0</v>
      </c>
      <c r="AE12" s="488"/>
      <c r="AF12" s="465">
        <v>3800000</v>
      </c>
      <c r="AG12" s="465">
        <v>3800000</v>
      </c>
      <c r="AH12" s="465">
        <f t="shared" si="8"/>
        <v>0</v>
      </c>
      <c r="AI12" s="488"/>
      <c r="AJ12" s="465">
        <v>15000000</v>
      </c>
      <c r="AK12" s="465">
        <v>15000000</v>
      </c>
      <c r="AL12" s="465">
        <f t="shared" si="9"/>
        <v>0</v>
      </c>
      <c r="AN12" s="465">
        <v>80000000</v>
      </c>
      <c r="AO12" s="465">
        <v>80000000</v>
      </c>
      <c r="AP12" s="465">
        <f t="shared" si="10"/>
        <v>0</v>
      </c>
      <c r="AQ12" s="488"/>
      <c r="AR12" s="465">
        <v>10000000</v>
      </c>
      <c r="AS12" s="465">
        <f>5459550+4540450</f>
        <v>10000000</v>
      </c>
      <c r="AT12" s="465">
        <f t="shared" si="11"/>
        <v>0</v>
      </c>
      <c r="AU12" s="488"/>
      <c r="AV12" s="465">
        <v>5000000</v>
      </c>
      <c r="AW12" s="465">
        <v>0</v>
      </c>
      <c r="AX12" s="465">
        <f t="shared" si="12"/>
        <v>5000000</v>
      </c>
      <c r="AY12" s="488"/>
      <c r="AZ12" s="465">
        <v>20000000</v>
      </c>
      <c r="BA12" s="465">
        <v>20000000</v>
      </c>
      <c r="BB12" s="465">
        <f t="shared" si="13"/>
        <v>0</v>
      </c>
      <c r="BC12" s="488"/>
      <c r="BD12" s="465">
        <v>5000000</v>
      </c>
      <c r="BE12" s="465">
        <f>0</f>
        <v>0</v>
      </c>
      <c r="BF12" s="465">
        <f t="shared" si="14"/>
        <v>5000000</v>
      </c>
      <c r="BG12" s="488"/>
      <c r="BH12" s="465">
        <v>130000000</v>
      </c>
      <c r="BI12" s="465">
        <f>104812437.71+9000000+8155250+8032312.29</f>
        <v>130000000</v>
      </c>
      <c r="BJ12" s="465">
        <f t="shared" si="15"/>
        <v>0</v>
      </c>
      <c r="BK12" s="488"/>
      <c r="BL12" s="465">
        <v>10000000</v>
      </c>
      <c r="BM12" s="465">
        <f>10000000</f>
        <v>10000000</v>
      </c>
      <c r="BN12" s="465">
        <f t="shared" si="16"/>
        <v>0</v>
      </c>
      <c r="BO12" s="488"/>
      <c r="BP12" s="465">
        <v>10000000</v>
      </c>
      <c r="BQ12" s="465">
        <v>0</v>
      </c>
      <c r="BR12" s="465">
        <f t="shared" si="17"/>
        <v>10000000</v>
      </c>
      <c r="BS12" s="488"/>
      <c r="BT12" s="465">
        <v>40000000</v>
      </c>
      <c r="BU12" s="465">
        <f>2710701+15407576.4+14762656+7119066.6</f>
        <v>40000000</v>
      </c>
      <c r="BV12" s="465">
        <f t="shared" si="18"/>
        <v>0</v>
      </c>
      <c r="BW12" s="465"/>
      <c r="BX12" s="465">
        <v>5000000</v>
      </c>
      <c r="BY12" s="465">
        <v>0</v>
      </c>
      <c r="BZ12" s="465">
        <f t="shared" si="19"/>
        <v>5000000</v>
      </c>
      <c r="CA12" s="488"/>
      <c r="CB12" s="465">
        <v>0</v>
      </c>
      <c r="CC12" s="465">
        <v>0</v>
      </c>
      <c r="CD12" s="465">
        <f t="shared" si="20"/>
        <v>0</v>
      </c>
      <c r="CE12" s="488"/>
      <c r="CF12" s="465">
        <f t="shared" si="21"/>
        <v>140000000</v>
      </c>
      <c r="CG12" s="465">
        <f>16473187.71+127040960-3514147.71</f>
        <v>140000000</v>
      </c>
      <c r="CH12" s="465">
        <f t="shared" si="22"/>
        <v>0</v>
      </c>
      <c r="CI12" s="488"/>
      <c r="CJ12" s="465">
        <v>20000000</v>
      </c>
      <c r="CK12" s="465">
        <f>14499503+5500497</f>
        <v>20000000</v>
      </c>
      <c r="CL12" s="465">
        <f t="shared" si="23"/>
        <v>0</v>
      </c>
      <c r="CM12" s="488"/>
      <c r="CN12" s="465">
        <v>10000000</v>
      </c>
      <c r="CO12" s="465">
        <v>0</v>
      </c>
      <c r="CP12" s="465">
        <f t="shared" si="24"/>
        <v>10000000</v>
      </c>
      <c r="CQ12" s="488"/>
      <c r="CR12" s="465">
        <v>40000000</v>
      </c>
      <c r="CS12" s="465">
        <f>38334580.4+1558395+107024.6</f>
        <v>40000000</v>
      </c>
      <c r="CT12" s="465">
        <f t="shared" si="25"/>
        <v>0</v>
      </c>
      <c r="CU12" s="488"/>
      <c r="CV12" s="465">
        <v>150000000</v>
      </c>
      <c r="CW12" s="465">
        <f>3514147.71+132375310+16321500-2210957.71</f>
        <v>150000000</v>
      </c>
      <c r="CX12" s="465">
        <f t="shared" si="26"/>
        <v>0</v>
      </c>
      <c r="CY12" s="488"/>
      <c r="CZ12" s="465">
        <v>20000000</v>
      </c>
      <c r="DA12" s="465">
        <f>19223834+776166</f>
        <v>20000000</v>
      </c>
      <c r="DB12" s="465">
        <f t="shared" si="27"/>
        <v>0</v>
      </c>
      <c r="DC12" s="465"/>
      <c r="DD12" s="465">
        <v>10000000</v>
      </c>
      <c r="DE12" s="465">
        <v>0</v>
      </c>
      <c r="DF12" s="465">
        <f t="shared" si="28"/>
        <v>10000000</v>
      </c>
      <c r="DG12" s="488"/>
      <c r="DH12" s="465">
        <v>50000000</v>
      </c>
      <c r="DI12" s="465">
        <f>29048795.4+19903785</f>
        <v>48952580.399999999</v>
      </c>
      <c r="DJ12" s="465">
        <f t="shared" si="29"/>
        <v>1047419.6000000015</v>
      </c>
      <c r="DK12" s="465"/>
      <c r="DL12" s="465">
        <v>10000000</v>
      </c>
      <c r="DM12" s="465">
        <v>0</v>
      </c>
      <c r="DN12" s="465">
        <f t="shared" si="30"/>
        <v>10000000</v>
      </c>
      <c r="DO12" s="488"/>
      <c r="DP12" s="465">
        <v>0</v>
      </c>
      <c r="DQ12" s="465">
        <v>0</v>
      </c>
      <c r="DR12" s="465">
        <f t="shared" si="31"/>
        <v>0</v>
      </c>
      <c r="DS12" s="465"/>
      <c r="DT12" s="465">
        <v>100000000</v>
      </c>
      <c r="DU12" s="465">
        <f>4500000+2210957.71+93289042.29</f>
        <v>100000000</v>
      </c>
      <c r="DV12" s="465">
        <f t="shared" si="32"/>
        <v>0</v>
      </c>
      <c r="DW12" s="465"/>
      <c r="DX12" s="465">
        <v>15000000</v>
      </c>
      <c r="DY12" s="465">
        <v>15000000</v>
      </c>
      <c r="DZ12" s="465">
        <f t="shared" si="33"/>
        <v>0</v>
      </c>
      <c r="EA12" s="465"/>
      <c r="EB12" s="465">
        <v>10000000</v>
      </c>
      <c r="EC12" s="465">
        <v>0</v>
      </c>
      <c r="ED12" s="465">
        <f t="shared" si="34"/>
        <v>10000000</v>
      </c>
      <c r="EE12" s="465"/>
      <c r="EF12" s="465">
        <v>25000000</v>
      </c>
      <c r="EG12" s="483">
        <f>5714142.25+10796165+8489692.75</f>
        <v>25000000</v>
      </c>
      <c r="EH12" s="465">
        <f t="shared" si="35"/>
        <v>0</v>
      </c>
      <c r="EI12" s="465"/>
      <c r="EJ12" s="465">
        <v>10000000</v>
      </c>
      <c r="EK12" s="465">
        <v>0</v>
      </c>
      <c r="EL12" s="465">
        <f t="shared" si="36"/>
        <v>10000000</v>
      </c>
      <c r="EM12" s="488"/>
      <c r="EN12" s="465">
        <v>300000000</v>
      </c>
      <c r="EO12" s="483">
        <f>107088984.11+19849065+14100000+58710458.05+20980750+43800000+9000000+26470742.84</f>
        <v>300000000</v>
      </c>
      <c r="EP12" s="465">
        <f t="shared" si="37"/>
        <v>0</v>
      </c>
      <c r="EQ12" s="488"/>
      <c r="ER12" s="465">
        <v>25000000</v>
      </c>
      <c r="ES12" s="484">
        <f>4894582.8+3987657.3+7903518.72+408000+4682520+1062000+682200</f>
        <v>23620478.82</v>
      </c>
      <c r="ET12" s="465">
        <f t="shared" si="38"/>
        <v>1379521.1799999997</v>
      </c>
      <c r="EU12" s="488"/>
      <c r="EV12" s="465">
        <v>10000000</v>
      </c>
      <c r="EW12" s="465">
        <v>0</v>
      </c>
      <c r="EX12" s="465">
        <f t="shared" si="39"/>
        <v>10000000</v>
      </c>
      <c r="EY12" s="488"/>
      <c r="EZ12" s="465">
        <v>30000000</v>
      </c>
      <c r="FA12" s="483">
        <f>26071362.25</f>
        <v>26071362.25</v>
      </c>
      <c r="FB12" s="465">
        <f t="shared" si="40"/>
        <v>3928637.75</v>
      </c>
      <c r="FC12" s="488"/>
      <c r="FD12" s="465">
        <v>5000000</v>
      </c>
      <c r="FE12" s="465">
        <v>0</v>
      </c>
      <c r="FF12" s="465">
        <f t="shared" si="41"/>
        <v>5000000</v>
      </c>
      <c r="FG12" s="465"/>
      <c r="FH12" s="463">
        <v>120000000</v>
      </c>
      <c r="FI12" s="481">
        <f>53764007.16</f>
        <v>53764007.159999996</v>
      </c>
      <c r="FJ12" s="463">
        <f t="shared" si="0"/>
        <v>66235992.840000004</v>
      </c>
      <c r="FK12" s="468"/>
      <c r="FL12" s="463">
        <v>25000000</v>
      </c>
      <c r="FM12" s="468">
        <v>0</v>
      </c>
      <c r="FN12" s="468">
        <f t="shared" si="42"/>
        <v>25000000</v>
      </c>
      <c r="FO12" s="468"/>
      <c r="FP12" s="468">
        <v>5000000</v>
      </c>
      <c r="FQ12" s="468">
        <v>0</v>
      </c>
      <c r="FR12" s="468">
        <f t="shared" si="43"/>
        <v>5000000</v>
      </c>
      <c r="FS12" s="468"/>
      <c r="FT12" s="468">
        <v>30000000</v>
      </c>
      <c r="FU12" s="468">
        <v>0</v>
      </c>
      <c r="FV12" s="468">
        <f t="shared" si="44"/>
        <v>30000000</v>
      </c>
      <c r="FW12" s="468"/>
      <c r="FX12" s="468">
        <v>4150000</v>
      </c>
      <c r="FY12" s="468">
        <v>0</v>
      </c>
      <c r="FZ12" s="468">
        <v>4150000</v>
      </c>
      <c r="GA12" s="468"/>
      <c r="GB12" s="468">
        <v>160000000</v>
      </c>
      <c r="GC12" s="468">
        <v>0</v>
      </c>
      <c r="GD12" s="468">
        <f t="shared" si="45"/>
        <v>160000000</v>
      </c>
      <c r="GE12" s="468"/>
      <c r="GF12" s="468">
        <v>25000000</v>
      </c>
      <c r="GG12" s="468">
        <v>0</v>
      </c>
      <c r="GH12" s="468">
        <f t="shared" si="46"/>
        <v>25000000</v>
      </c>
      <c r="GI12" s="468"/>
      <c r="GJ12" s="468">
        <v>5000000</v>
      </c>
      <c r="GK12" s="468">
        <v>0</v>
      </c>
      <c r="GL12" s="468">
        <f t="shared" si="47"/>
        <v>5000000</v>
      </c>
      <c r="GM12" s="468"/>
      <c r="GN12" s="468">
        <v>20000000</v>
      </c>
      <c r="GO12" s="468">
        <v>0</v>
      </c>
      <c r="GP12" s="468">
        <f t="shared" si="48"/>
        <v>20000000</v>
      </c>
      <c r="GQ12" s="468"/>
      <c r="GR12" s="468">
        <v>5000000</v>
      </c>
      <c r="GS12" s="468">
        <v>0</v>
      </c>
      <c r="GT12" s="468">
        <f t="shared" si="49"/>
        <v>5000000</v>
      </c>
      <c r="GU12" s="468"/>
      <c r="GV12" s="465">
        <f t="shared" si="50"/>
        <v>1894361732.5</v>
      </c>
      <c r="GW12" s="465">
        <f t="shared" si="50"/>
        <v>1452620161.1300001</v>
      </c>
      <c r="GX12" s="465">
        <f t="shared" si="51"/>
        <v>441741571.36999989</v>
      </c>
      <c r="GY12" s="470"/>
      <c r="GZ12" s="464"/>
      <c r="HA12" s="471">
        <f>D12+H12+L12+X12+AN12+BH12+CB12+CF12+CV12+DP12+DT12+EN12+FH12+GB12</f>
        <v>1341750000</v>
      </c>
      <c r="HB12" s="471">
        <f>E12+I12+M12+Y12+AO12+BI12+CC12+CG12+CW12+DQ12+DU12+EO12+FI12+GC12</f>
        <v>1115514007.1600001</v>
      </c>
      <c r="HC12" s="471">
        <f t="shared" si="52"/>
        <v>226235992.83999991</v>
      </c>
      <c r="HE12" s="471">
        <f>P12+AB12+AR12+
BL12+CJ12+CZ12+DX12+ER12+FL12+GF12</f>
        <v>166661732.5</v>
      </c>
      <c r="HF12" s="471">
        <f>Q12+AC12+AS12+
BM12+CK12+DA12+DY12+ES12+FM12+GG12</f>
        <v>115282211.31999999</v>
      </c>
      <c r="HG12" s="471">
        <f t="shared" si="53"/>
        <v>51379521.180000007</v>
      </c>
      <c r="HI12" s="471">
        <f>T12+AF12+AV12+BP12+CN12+DD12+EB12+EV12+FP12+GJ12</f>
        <v>71800000</v>
      </c>
      <c r="HJ12" s="471">
        <f>U12+AG12+AW12+BQ12+CO12+DE12+EC12+EW12+FQ12+GK12</f>
        <v>6800000</v>
      </c>
      <c r="HK12" s="471">
        <f t="shared" si="54"/>
        <v>65000000</v>
      </c>
      <c r="HM12" s="475">
        <f>AJ12+AZ12+BT12+CR12+DH12+EF12+EZ12+FT12+GN12</f>
        <v>270000000</v>
      </c>
      <c r="HN12" s="475">
        <f>AK12+BA12+BU12+CS12+DI12+EG12+FA12+FU12+GO12</f>
        <v>215023942.65000001</v>
      </c>
      <c r="HO12" s="475">
        <f t="shared" si="55"/>
        <v>54976057.349999994</v>
      </c>
      <c r="HP12" s="476"/>
      <c r="HR12" s="471">
        <f>BD12+BX12+DL12+EJ12+FD12+FX12+GR12</f>
        <v>44150000</v>
      </c>
      <c r="HS12" s="471">
        <f>BE12+BY12+DM12+EK12+FE12+FY12+GS12</f>
        <v>0</v>
      </c>
      <c r="HT12" s="471">
        <f t="shared" si="56"/>
        <v>44150000</v>
      </c>
    </row>
    <row r="13" spans="1:228" x14ac:dyDescent="0.25">
      <c r="A13" s="107">
        <v>10</v>
      </c>
      <c r="B13" s="107" t="s">
        <v>73</v>
      </c>
      <c r="C13" s="113" t="s">
        <v>74</v>
      </c>
      <c r="D13" s="465">
        <v>0</v>
      </c>
      <c r="E13" s="465">
        <v>0</v>
      </c>
      <c r="F13" s="465">
        <f t="shared" si="1"/>
        <v>0</v>
      </c>
      <c r="G13" s="465"/>
      <c r="H13" s="465">
        <v>50000000</v>
      </c>
      <c r="I13" s="465">
        <v>50000000</v>
      </c>
      <c r="J13" s="465">
        <f t="shared" si="2"/>
        <v>0</v>
      </c>
      <c r="K13" s="465"/>
      <c r="L13" s="465">
        <v>50000000</v>
      </c>
      <c r="M13" s="465">
        <v>50000000</v>
      </c>
      <c r="N13" s="465">
        <f t="shared" si="3"/>
        <v>0</v>
      </c>
      <c r="O13" s="465"/>
      <c r="P13" s="465">
        <v>7000000</v>
      </c>
      <c r="Q13" s="465">
        <v>7000000</v>
      </c>
      <c r="R13" s="465">
        <f t="shared" si="4"/>
        <v>0</v>
      </c>
      <c r="S13" s="465"/>
      <c r="T13" s="465">
        <v>3000000</v>
      </c>
      <c r="U13" s="465">
        <v>3000000</v>
      </c>
      <c r="V13" s="465">
        <f t="shared" si="5"/>
        <v>0</v>
      </c>
      <c r="W13" s="465"/>
      <c r="X13" s="465">
        <v>60000000</v>
      </c>
      <c r="Y13" s="465">
        <v>60000000</v>
      </c>
      <c r="Z13" s="465">
        <f t="shared" si="6"/>
        <v>0</v>
      </c>
      <c r="AA13" s="465"/>
      <c r="AB13" s="465">
        <v>10000000</v>
      </c>
      <c r="AC13" s="465">
        <v>10000000</v>
      </c>
      <c r="AD13" s="465">
        <f t="shared" si="7"/>
        <v>0</v>
      </c>
      <c r="AE13" s="465"/>
      <c r="AF13" s="465">
        <v>3800000</v>
      </c>
      <c r="AG13" s="465">
        <v>3800000</v>
      </c>
      <c r="AH13" s="465">
        <f t="shared" si="8"/>
        <v>0</v>
      </c>
      <c r="AI13" s="465"/>
      <c r="AJ13" s="465">
        <v>15000000</v>
      </c>
      <c r="AK13" s="465">
        <v>15000000</v>
      </c>
      <c r="AL13" s="465">
        <f t="shared" si="9"/>
        <v>0</v>
      </c>
      <c r="AM13" s="465"/>
      <c r="AN13" s="465">
        <v>80000000</v>
      </c>
      <c r="AO13" s="465">
        <v>80000000</v>
      </c>
      <c r="AP13" s="465">
        <f t="shared" si="10"/>
        <v>0</v>
      </c>
      <c r="AQ13" s="465"/>
      <c r="AR13" s="465">
        <v>10000000</v>
      </c>
      <c r="AS13" s="465">
        <f>9929200+70800</f>
        <v>10000000</v>
      </c>
      <c r="AT13" s="465">
        <f t="shared" si="11"/>
        <v>0</v>
      </c>
      <c r="AU13" s="465"/>
      <c r="AV13" s="465">
        <v>5000000</v>
      </c>
      <c r="AW13" s="465">
        <v>0</v>
      </c>
      <c r="AX13" s="465">
        <f t="shared" si="12"/>
        <v>5000000</v>
      </c>
      <c r="AY13" s="465"/>
      <c r="AZ13" s="465">
        <v>20000000</v>
      </c>
      <c r="BA13" s="465">
        <v>20000000</v>
      </c>
      <c r="BB13" s="465">
        <f t="shared" si="13"/>
        <v>0</v>
      </c>
      <c r="BC13" s="465"/>
      <c r="BD13" s="465">
        <v>5000000</v>
      </c>
      <c r="BE13" s="465">
        <f>0</f>
        <v>0</v>
      </c>
      <c r="BF13" s="465">
        <f t="shared" si="14"/>
        <v>5000000</v>
      </c>
      <c r="BG13" s="465"/>
      <c r="BH13" s="465">
        <v>130000000</v>
      </c>
      <c r="BI13" s="465">
        <f>53832206+8539430+3517250+64111114</f>
        <v>130000000</v>
      </c>
      <c r="BJ13" s="465">
        <f t="shared" si="15"/>
        <v>0</v>
      </c>
      <c r="BK13" s="465"/>
      <c r="BL13" s="465">
        <v>10000000</v>
      </c>
      <c r="BM13" s="465">
        <f>9432000+568000</f>
        <v>10000000</v>
      </c>
      <c r="BN13" s="465">
        <f t="shared" si="16"/>
        <v>0</v>
      </c>
      <c r="BO13" s="465"/>
      <c r="BP13" s="465">
        <v>10000000</v>
      </c>
      <c r="BQ13" s="465">
        <v>0</v>
      </c>
      <c r="BR13" s="465">
        <f t="shared" si="17"/>
        <v>10000000</v>
      </c>
      <c r="BS13" s="465"/>
      <c r="BT13" s="465">
        <v>40000000</v>
      </c>
      <c r="BU13" s="465">
        <f>5968523.67+11789402.79+15531920+4910120+1800033.54</f>
        <v>40000000</v>
      </c>
      <c r="BV13" s="465">
        <f t="shared" si="18"/>
        <v>0</v>
      </c>
      <c r="BW13" s="465"/>
      <c r="BX13" s="465">
        <v>5000000</v>
      </c>
      <c r="BY13" s="465">
        <v>0</v>
      </c>
      <c r="BZ13" s="465">
        <f t="shared" si="19"/>
        <v>5000000</v>
      </c>
      <c r="CA13" s="465"/>
      <c r="CB13" s="465">
        <v>0</v>
      </c>
      <c r="CC13" s="465">
        <v>0</v>
      </c>
      <c r="CD13" s="465">
        <f t="shared" si="20"/>
        <v>0</v>
      </c>
      <c r="CE13" s="465"/>
      <c r="CF13" s="465">
        <f t="shared" si="21"/>
        <v>140000000</v>
      </c>
      <c r="CG13" s="465">
        <f>145391296-5391296</f>
        <v>140000000</v>
      </c>
      <c r="CH13" s="465">
        <f t="shared" si="22"/>
        <v>0</v>
      </c>
      <c r="CI13" s="465"/>
      <c r="CJ13" s="465">
        <v>20000000</v>
      </c>
      <c r="CK13" s="465">
        <f>7361200+7975170+4663630</f>
        <v>20000000</v>
      </c>
      <c r="CL13" s="465">
        <f t="shared" si="23"/>
        <v>0</v>
      </c>
      <c r="CM13" s="465"/>
      <c r="CN13" s="465">
        <v>10000000</v>
      </c>
      <c r="CO13" s="465">
        <v>0</v>
      </c>
      <c r="CP13" s="465">
        <f t="shared" si="24"/>
        <v>10000000</v>
      </c>
      <c r="CQ13" s="465"/>
      <c r="CR13" s="465">
        <v>40000000</v>
      </c>
      <c r="CS13" s="465">
        <f>13781536.46+19427885+2672230+4118348.54</f>
        <v>40000000</v>
      </c>
      <c r="CT13" s="465">
        <f t="shared" si="25"/>
        <v>0</v>
      </c>
      <c r="CU13" s="465"/>
      <c r="CV13" s="465">
        <v>150000000</v>
      </c>
      <c r="CW13" s="465">
        <f>5391296+139040105+3200920+11000000-8632321</f>
        <v>150000000</v>
      </c>
      <c r="CX13" s="465">
        <f t="shared" si="26"/>
        <v>0</v>
      </c>
      <c r="CY13" s="465"/>
      <c r="CZ13" s="465">
        <v>20000000</v>
      </c>
      <c r="DA13" s="465">
        <f>11970000+2089190+5940810</f>
        <v>20000000</v>
      </c>
      <c r="DB13" s="465">
        <f t="shared" si="27"/>
        <v>0</v>
      </c>
      <c r="DC13" s="465"/>
      <c r="DD13" s="465">
        <v>10000000</v>
      </c>
      <c r="DE13" s="465">
        <v>0</v>
      </c>
      <c r="DF13" s="465">
        <f t="shared" si="28"/>
        <v>10000000</v>
      </c>
      <c r="DG13" s="465"/>
      <c r="DH13" s="465">
        <v>50000000</v>
      </c>
      <c r="DI13" s="465">
        <f>27943410.46+13673665+7208216+1174708.54</f>
        <v>50000000</v>
      </c>
      <c r="DJ13" s="465">
        <f t="shared" si="29"/>
        <v>0</v>
      </c>
      <c r="DK13" s="465"/>
      <c r="DL13" s="465">
        <v>10000000</v>
      </c>
      <c r="DM13" s="465">
        <v>0</v>
      </c>
      <c r="DN13" s="465">
        <f t="shared" si="30"/>
        <v>10000000</v>
      </c>
      <c r="DO13" s="465"/>
      <c r="DP13" s="465">
        <v>0</v>
      </c>
      <c r="DQ13" s="465">
        <v>0</v>
      </c>
      <c r="DR13" s="465">
        <f t="shared" si="31"/>
        <v>0</v>
      </c>
      <c r="DS13" s="465"/>
      <c r="DT13" s="465">
        <v>100000000</v>
      </c>
      <c r="DU13" s="465">
        <f>8632321+91367679</f>
        <v>100000000</v>
      </c>
      <c r="DV13" s="465">
        <f t="shared" si="32"/>
        <v>0</v>
      </c>
      <c r="DW13" s="465"/>
      <c r="DX13" s="465">
        <v>15000000</v>
      </c>
      <c r="DY13" s="465">
        <f>5355990+9644010</f>
        <v>15000000</v>
      </c>
      <c r="DZ13" s="465">
        <f t="shared" si="33"/>
        <v>0</v>
      </c>
      <c r="EA13" s="465"/>
      <c r="EB13" s="465">
        <v>10000000</v>
      </c>
      <c r="EC13" s="465">
        <v>0</v>
      </c>
      <c r="ED13" s="465">
        <f t="shared" si="34"/>
        <v>10000000</v>
      </c>
      <c r="EE13" s="465"/>
      <c r="EF13" s="465">
        <v>25000000</v>
      </c>
      <c r="EG13" s="465">
        <f>13843349.46+11156650.54</f>
        <v>25000000</v>
      </c>
      <c r="EH13" s="465">
        <f t="shared" si="35"/>
        <v>0</v>
      </c>
      <c r="EI13" s="465"/>
      <c r="EJ13" s="465">
        <v>10000000</v>
      </c>
      <c r="EK13" s="465">
        <v>0</v>
      </c>
      <c r="EL13" s="465">
        <f t="shared" si="36"/>
        <v>10000000</v>
      </c>
      <c r="EM13" s="465"/>
      <c r="EN13" s="465">
        <v>300000000</v>
      </c>
      <c r="EO13" s="465">
        <f>42705321+44100000+117412561.25+95782117.75</f>
        <v>300000000</v>
      </c>
      <c r="EP13" s="465">
        <f t="shared" si="37"/>
        <v>0</v>
      </c>
      <c r="EQ13" s="465"/>
      <c r="ER13" s="465">
        <v>25000000</v>
      </c>
      <c r="ES13" s="485">
        <f>136740+9572640</f>
        <v>9709380</v>
      </c>
      <c r="ET13" s="465">
        <f t="shared" si="38"/>
        <v>15290620</v>
      </c>
      <c r="EU13" s="465"/>
      <c r="EV13" s="465">
        <v>10000000</v>
      </c>
      <c r="EW13" s="465">
        <v>0</v>
      </c>
      <c r="EX13" s="465">
        <f t="shared" si="39"/>
        <v>10000000</v>
      </c>
      <c r="EY13" s="465"/>
      <c r="EZ13" s="465">
        <v>30000000</v>
      </c>
      <c r="FA13" s="483">
        <f>9185069.46+10621215+9590604+603111.54</f>
        <v>30000000</v>
      </c>
      <c r="FB13" s="465">
        <f t="shared" si="40"/>
        <v>0</v>
      </c>
      <c r="FC13" s="488"/>
      <c r="FD13" s="465">
        <v>5000000</v>
      </c>
      <c r="FE13" s="465">
        <v>0</v>
      </c>
      <c r="FF13" s="465">
        <f t="shared" si="41"/>
        <v>5000000</v>
      </c>
      <c r="FG13" s="465"/>
      <c r="FH13" s="463">
        <v>120000000</v>
      </c>
      <c r="FI13" s="463">
        <f>37045222.25+31989000</f>
        <v>69034222.25</v>
      </c>
      <c r="FJ13" s="463">
        <f t="shared" si="0"/>
        <v>50965777.75</v>
      </c>
      <c r="FK13" s="468"/>
      <c r="FL13" s="463">
        <v>25000000</v>
      </c>
      <c r="FM13" s="468">
        <v>0</v>
      </c>
      <c r="FN13" s="468">
        <f t="shared" si="42"/>
        <v>25000000</v>
      </c>
      <c r="FO13" s="468"/>
      <c r="FP13" s="468">
        <v>5000000</v>
      </c>
      <c r="FQ13" s="468">
        <v>0</v>
      </c>
      <c r="FR13" s="468">
        <f t="shared" si="43"/>
        <v>5000000</v>
      </c>
      <c r="FS13" s="468"/>
      <c r="FT13" s="468">
        <v>30000000</v>
      </c>
      <c r="FU13" s="489">
        <f>1952838.46</f>
        <v>1952838.46</v>
      </c>
      <c r="FV13" s="468">
        <f t="shared" si="44"/>
        <v>28047161.539999999</v>
      </c>
      <c r="FW13" s="468"/>
      <c r="FX13" s="468">
        <v>4150000</v>
      </c>
      <c r="FY13" s="468">
        <v>0</v>
      </c>
      <c r="FZ13" s="468">
        <v>4150000</v>
      </c>
      <c r="GA13" s="468"/>
      <c r="GB13" s="468">
        <v>160000000</v>
      </c>
      <c r="GC13" s="468">
        <v>0</v>
      </c>
      <c r="GD13" s="468">
        <f t="shared" si="45"/>
        <v>160000000</v>
      </c>
      <c r="GE13" s="468"/>
      <c r="GF13" s="468">
        <v>25000000</v>
      </c>
      <c r="GG13" s="468">
        <v>0</v>
      </c>
      <c r="GH13" s="468">
        <f t="shared" si="46"/>
        <v>25000000</v>
      </c>
      <c r="GI13" s="468"/>
      <c r="GJ13" s="468">
        <v>5000000</v>
      </c>
      <c r="GK13" s="468">
        <v>0</v>
      </c>
      <c r="GL13" s="468">
        <f t="shared" si="47"/>
        <v>5000000</v>
      </c>
      <c r="GM13" s="468"/>
      <c r="GN13" s="468">
        <v>20000000</v>
      </c>
      <c r="GO13" s="468">
        <v>0</v>
      </c>
      <c r="GP13" s="468">
        <f t="shared" si="48"/>
        <v>20000000</v>
      </c>
      <c r="GQ13" s="468"/>
      <c r="GR13" s="468">
        <v>5000000</v>
      </c>
      <c r="GS13" s="468">
        <v>0</v>
      </c>
      <c r="GT13" s="468">
        <f t="shared" si="49"/>
        <v>5000000</v>
      </c>
      <c r="GU13" s="468"/>
      <c r="GV13" s="465">
        <f t="shared" si="50"/>
        <v>1892950000</v>
      </c>
      <c r="GW13" s="465">
        <f t="shared" si="50"/>
        <v>1459496440.71</v>
      </c>
      <c r="GX13" s="465">
        <f t="shared" si="51"/>
        <v>433453559.28999996</v>
      </c>
      <c r="GY13" s="470"/>
      <c r="GZ13" s="464"/>
      <c r="HA13" s="471">
        <f>D13+H13+L13+X13+AN13+BH13+CB13+CF13+CV13+DP13+DT13+EN13+FH13+GB13</f>
        <v>1340000000</v>
      </c>
      <c r="HB13" s="471">
        <f>E13+I13+M13+Y13+AO13+BI13+CC13+CG13+CW13+DQ13+DU13+EO13+FI13+GC13</f>
        <v>1129034222.25</v>
      </c>
      <c r="HC13" s="471">
        <f t="shared" si="52"/>
        <v>210965777.75</v>
      </c>
      <c r="HE13" s="471">
        <f>P13+AB13+AR13+
BL13+CJ13+CZ13+DX13+ER13+FL13+GF13</f>
        <v>167000000</v>
      </c>
      <c r="HF13" s="471">
        <f>Q13+AC13+AS13+
BM13+CK13+DA13+DY13+ES13+FM13+GG13</f>
        <v>101709380</v>
      </c>
      <c r="HG13" s="471">
        <f t="shared" si="53"/>
        <v>65290620</v>
      </c>
      <c r="HI13" s="471">
        <f>T13+AF13+AV13+BP13+CN13+DD13+EB13+EV13+FP13+GJ13</f>
        <v>71800000</v>
      </c>
      <c r="HJ13" s="471">
        <f>U13+AG13+AW13+BQ13+CO13+DE13+EC13+EW13+FQ13+GK13</f>
        <v>6800000</v>
      </c>
      <c r="HK13" s="471">
        <f t="shared" si="54"/>
        <v>65000000</v>
      </c>
      <c r="HM13" s="475">
        <f>AJ13+AZ13+BT13+CR13+DH13+EF13+EZ13+FT13+GN13</f>
        <v>270000000</v>
      </c>
      <c r="HN13" s="475">
        <f>AK13+BA13+BU13+CS13+DI13+EG13+FA13+FU13+GO13</f>
        <v>221952838.46000001</v>
      </c>
      <c r="HO13" s="475">
        <f t="shared" si="55"/>
        <v>48047161.539999992</v>
      </c>
      <c r="HP13" s="476"/>
      <c r="HR13" s="471">
        <f>BD13+BX13+DL13+EJ13+FD13+FX13+GR13</f>
        <v>44150000</v>
      </c>
      <c r="HS13" s="471">
        <f>BE13+BY13+DM13+EK13+FE13+FY13+GS13</f>
        <v>0</v>
      </c>
      <c r="HT13" s="471">
        <f t="shared" si="56"/>
        <v>44150000</v>
      </c>
    </row>
    <row r="14" spans="1:228" x14ac:dyDescent="0.25">
      <c r="A14" s="107">
        <v>11</v>
      </c>
      <c r="B14" s="107" t="s">
        <v>75</v>
      </c>
      <c r="C14" s="113" t="s">
        <v>76</v>
      </c>
      <c r="D14" s="488">
        <v>1750000</v>
      </c>
      <c r="E14" s="488">
        <v>1750000</v>
      </c>
      <c r="F14" s="465">
        <f t="shared" si="1"/>
        <v>0</v>
      </c>
      <c r="G14" s="488"/>
      <c r="H14" s="465">
        <v>50000000</v>
      </c>
      <c r="I14" s="465">
        <f>32012000+2898390+15089610</f>
        <v>50000000</v>
      </c>
      <c r="J14" s="465">
        <f t="shared" si="2"/>
        <v>0</v>
      </c>
      <c r="K14" s="488"/>
      <c r="L14" s="465">
        <v>50000000</v>
      </c>
      <c r="M14" s="465">
        <f>44236290+5763710</f>
        <v>50000000</v>
      </c>
      <c r="N14" s="465">
        <f t="shared" si="3"/>
        <v>0</v>
      </c>
      <c r="O14" s="488"/>
      <c r="P14" s="465">
        <v>7000000</v>
      </c>
      <c r="Q14" s="465">
        <v>7000000</v>
      </c>
      <c r="R14" s="465">
        <f t="shared" si="4"/>
        <v>0</v>
      </c>
      <c r="S14" s="488"/>
      <c r="T14" s="465">
        <f>3000000-3000000</f>
        <v>0</v>
      </c>
      <c r="U14" s="465">
        <v>0</v>
      </c>
      <c r="V14" s="465">
        <f t="shared" si="5"/>
        <v>0</v>
      </c>
      <c r="W14" s="488"/>
      <c r="X14" s="465">
        <v>60000000</v>
      </c>
      <c r="Y14" s="465">
        <f>72721686-5763710-2898390-4059586</f>
        <v>60000000</v>
      </c>
      <c r="Z14" s="465">
        <f t="shared" si="6"/>
        <v>0</v>
      </c>
      <c r="AA14" s="488"/>
      <c r="AB14" s="465">
        <v>10000000</v>
      </c>
      <c r="AC14" s="465">
        <f>7169000+1995000+836000</f>
        <v>10000000</v>
      </c>
      <c r="AD14" s="465">
        <f t="shared" si="7"/>
        <v>0</v>
      </c>
      <c r="AE14" s="488"/>
      <c r="AF14" s="465">
        <f>5000000-5000000</f>
        <v>0</v>
      </c>
      <c r="AG14" s="465">
        <v>0</v>
      </c>
      <c r="AH14" s="465">
        <f t="shared" si="8"/>
        <v>0</v>
      </c>
      <c r="AI14" s="488"/>
      <c r="AJ14" s="465">
        <v>15000000</v>
      </c>
      <c r="AK14" s="465">
        <v>15000000</v>
      </c>
      <c r="AL14" s="465">
        <f t="shared" si="9"/>
        <v>0</v>
      </c>
      <c r="AM14" s="465"/>
      <c r="AN14" s="465">
        <v>80000000</v>
      </c>
      <c r="AO14" s="465">
        <f>87049480+590325-7639805</f>
        <v>80000000</v>
      </c>
      <c r="AP14" s="465">
        <f t="shared" si="10"/>
        <v>0</v>
      </c>
      <c r="AQ14" s="488"/>
      <c r="AR14" s="465">
        <v>10000000</v>
      </c>
      <c r="AS14" s="465">
        <f>7454200+2545800</f>
        <v>10000000</v>
      </c>
      <c r="AT14" s="465">
        <f t="shared" si="11"/>
        <v>0</v>
      </c>
      <c r="AU14" s="488"/>
      <c r="AV14" s="465">
        <v>5000000</v>
      </c>
      <c r="AW14" s="465">
        <f>1470500+473450+3573400-517350</f>
        <v>5000000</v>
      </c>
      <c r="AX14" s="465">
        <f t="shared" si="12"/>
        <v>0</v>
      </c>
      <c r="AY14" s="488"/>
      <c r="AZ14" s="465">
        <v>20000000</v>
      </c>
      <c r="BA14" s="465">
        <f>8776070+11223930</f>
        <v>20000000</v>
      </c>
      <c r="BB14" s="465">
        <f t="shared" si="13"/>
        <v>0</v>
      </c>
      <c r="BC14" s="488"/>
      <c r="BD14" s="465">
        <v>5000000</v>
      </c>
      <c r="BE14" s="465">
        <f>1595025+1077800+2327175</f>
        <v>5000000</v>
      </c>
      <c r="BF14" s="465">
        <f t="shared" si="14"/>
        <v>0</v>
      </c>
      <c r="BG14" s="488"/>
      <c r="BH14" s="465">
        <v>130000000</v>
      </c>
      <c r="BI14" s="465">
        <f>13000000+116947810+52190</f>
        <v>130000000</v>
      </c>
      <c r="BJ14" s="465">
        <f t="shared" si="15"/>
        <v>0</v>
      </c>
      <c r="BK14" s="488"/>
      <c r="BL14" s="465">
        <v>10000000</v>
      </c>
      <c r="BM14" s="465">
        <f>1999200+1984500+5999000+17300</f>
        <v>10000000</v>
      </c>
      <c r="BN14" s="465">
        <f t="shared" si="16"/>
        <v>0</v>
      </c>
      <c r="BO14" s="488"/>
      <c r="BP14" s="465">
        <v>10000000</v>
      </c>
      <c r="BQ14" s="465">
        <f>517350+3812250+679500+898500+4092400</f>
        <v>10000000</v>
      </c>
      <c r="BR14" s="465">
        <f t="shared" si="17"/>
        <v>0</v>
      </c>
      <c r="BS14" s="488"/>
      <c r="BT14" s="465">
        <v>40000000</v>
      </c>
      <c r="BU14" s="465">
        <f>14266285+25733715</f>
        <v>40000000</v>
      </c>
      <c r="BV14" s="465">
        <f t="shared" si="18"/>
        <v>0</v>
      </c>
      <c r="BW14" s="488"/>
      <c r="BX14" s="465">
        <v>5000000</v>
      </c>
      <c r="BY14" s="465">
        <f>830875+749825+146625+2687700+584975</f>
        <v>5000000</v>
      </c>
      <c r="BZ14" s="465">
        <f t="shared" si="19"/>
        <v>0</v>
      </c>
      <c r="CA14" s="488"/>
      <c r="CB14" s="465">
        <v>0</v>
      </c>
      <c r="CC14" s="465">
        <v>0</v>
      </c>
      <c r="CD14" s="465">
        <f t="shared" si="20"/>
        <v>0</v>
      </c>
      <c r="CE14" s="465"/>
      <c r="CF14" s="465">
        <f t="shared" si="21"/>
        <v>140000000</v>
      </c>
      <c r="CG14" s="465">
        <f>11365023+54000000+526400+24263625+4059586+7639805+38145561</f>
        <v>140000000</v>
      </c>
      <c r="CH14" s="465">
        <f t="shared" si="22"/>
        <v>0</v>
      </c>
      <c r="CI14" s="488"/>
      <c r="CJ14" s="465">
        <v>20000000</v>
      </c>
      <c r="CK14" s="465">
        <f>16795500+3204500</f>
        <v>20000000</v>
      </c>
      <c r="CL14" s="465">
        <f t="shared" si="23"/>
        <v>0</v>
      </c>
      <c r="CM14" s="488"/>
      <c r="CN14" s="465">
        <v>10000000</v>
      </c>
      <c r="CO14" s="465">
        <f>3379100+630600+5990300</f>
        <v>10000000</v>
      </c>
      <c r="CP14" s="465">
        <f t="shared" si="24"/>
        <v>0</v>
      </c>
      <c r="CQ14" s="488"/>
      <c r="CR14" s="465">
        <v>40000000</v>
      </c>
      <c r="CS14" s="465">
        <f>20284867+10985420+8729713</f>
        <v>40000000</v>
      </c>
      <c r="CT14" s="465">
        <f t="shared" si="25"/>
        <v>0</v>
      </c>
      <c r="CU14" s="488"/>
      <c r="CV14" s="465">
        <v>150000000</v>
      </c>
      <c r="CW14" s="465">
        <f>36410939+26127000+35816485+30000000+4406400</f>
        <v>132760824</v>
      </c>
      <c r="CX14" s="465">
        <f t="shared" si="26"/>
        <v>17239176</v>
      </c>
      <c r="CY14" s="488"/>
      <c r="CZ14" s="465">
        <v>20000000</v>
      </c>
      <c r="DA14" s="465">
        <f>15350000+4650000</f>
        <v>20000000</v>
      </c>
      <c r="DB14" s="465">
        <f t="shared" si="27"/>
        <v>0</v>
      </c>
      <c r="DC14" s="465"/>
      <c r="DD14" s="465">
        <v>10000000</v>
      </c>
      <c r="DE14" s="485">
        <f>3706500+756300+5168000</f>
        <v>9630800</v>
      </c>
      <c r="DF14" s="465">
        <f t="shared" si="28"/>
        <v>369200</v>
      </c>
      <c r="DG14" s="465"/>
      <c r="DH14" s="465">
        <v>50000000</v>
      </c>
      <c r="DI14" s="465">
        <f>31929676+294767.97+17568801.5+206754.53</f>
        <v>50000000</v>
      </c>
      <c r="DJ14" s="465">
        <f t="shared" si="29"/>
        <v>0</v>
      </c>
      <c r="DK14" s="465"/>
      <c r="DL14" s="465">
        <v>10000000</v>
      </c>
      <c r="DM14" s="485">
        <f>1666850+1014675+4236650+2073150+474300+534375</f>
        <v>10000000</v>
      </c>
      <c r="DN14" s="465">
        <f t="shared" si="30"/>
        <v>0</v>
      </c>
      <c r="DO14" s="488"/>
      <c r="DP14" s="465">
        <v>0</v>
      </c>
      <c r="DQ14" s="465">
        <v>0</v>
      </c>
      <c r="DR14" s="465">
        <f t="shared" si="31"/>
        <v>0</v>
      </c>
      <c r="DS14" s="465"/>
      <c r="DT14" s="465">
        <v>100000000</v>
      </c>
      <c r="DU14" s="465">
        <f>15000000+37348200+18791200+15815744.4+13044855.6</f>
        <v>100000000</v>
      </c>
      <c r="DV14" s="465">
        <f t="shared" si="32"/>
        <v>0</v>
      </c>
      <c r="DW14" s="465"/>
      <c r="DX14" s="465">
        <v>15000000</v>
      </c>
      <c r="DY14" s="465">
        <f>10097200+2177700+2725100</f>
        <v>15000000</v>
      </c>
      <c r="DZ14" s="465">
        <f t="shared" si="33"/>
        <v>0</v>
      </c>
      <c r="EA14" s="465"/>
      <c r="EB14" s="465">
        <v>10000000</v>
      </c>
      <c r="EC14" s="465">
        <v>0</v>
      </c>
      <c r="ED14" s="465">
        <f t="shared" si="34"/>
        <v>10000000</v>
      </c>
      <c r="EE14" s="465"/>
      <c r="EF14" s="465">
        <v>25000000</v>
      </c>
      <c r="EG14" s="465">
        <f>6162065.47+1331565+16658468.6+847900.93</f>
        <v>25000000</v>
      </c>
      <c r="EH14" s="465">
        <f t="shared" si="35"/>
        <v>0</v>
      </c>
      <c r="EI14" s="465"/>
      <c r="EJ14" s="465">
        <v>10000000</v>
      </c>
      <c r="EK14" s="485">
        <f>2657375</f>
        <v>2657375</v>
      </c>
      <c r="EL14" s="465">
        <f t="shared" si="36"/>
        <v>7342625</v>
      </c>
      <c r="EM14" s="488"/>
      <c r="EN14" s="465">
        <v>300000000</v>
      </c>
      <c r="EO14" s="465">
        <f>83939144.4+901255.6+23722000+17931250+137674145.45</f>
        <v>264167795.44999999</v>
      </c>
      <c r="EP14" s="465">
        <f t="shared" si="37"/>
        <v>35832204.550000012</v>
      </c>
      <c r="EQ14" s="488"/>
      <c r="ER14" s="465">
        <v>25000000</v>
      </c>
      <c r="ES14" s="478">
        <f>8150140+3223560-7471500+10471221.6+294150</f>
        <v>14667571.6</v>
      </c>
      <c r="ET14" s="465">
        <f t="shared" si="38"/>
        <v>10332428.4</v>
      </c>
      <c r="EU14" s="488"/>
      <c r="EV14" s="465">
        <v>10000000</v>
      </c>
      <c r="EW14" s="465">
        <v>0</v>
      </c>
      <c r="EX14" s="465">
        <f t="shared" si="39"/>
        <v>10000000</v>
      </c>
      <c r="EY14" s="488"/>
      <c r="EZ14" s="465">
        <v>30000000</v>
      </c>
      <c r="FA14" s="465">
        <f>9849324.07+1943460+14700440+3506775.93</f>
        <v>30000000</v>
      </c>
      <c r="FB14" s="465">
        <f t="shared" si="40"/>
        <v>0</v>
      </c>
      <c r="FC14" s="488"/>
      <c r="FD14" s="465">
        <v>5000000</v>
      </c>
      <c r="FE14" s="465">
        <v>0</v>
      </c>
      <c r="FF14" s="465">
        <f t="shared" si="41"/>
        <v>5000000</v>
      </c>
      <c r="FG14" s="465"/>
      <c r="FH14" s="463">
        <v>120000000</v>
      </c>
      <c r="FI14" s="463">
        <v>0</v>
      </c>
      <c r="FJ14" s="463">
        <f t="shared" si="0"/>
        <v>120000000</v>
      </c>
      <c r="FK14" s="468"/>
      <c r="FL14" s="463">
        <v>25000000</v>
      </c>
      <c r="FM14" s="468">
        <v>0</v>
      </c>
      <c r="FN14" s="468">
        <f t="shared" si="42"/>
        <v>25000000</v>
      </c>
      <c r="FO14" s="468"/>
      <c r="FP14" s="468">
        <v>5000000</v>
      </c>
      <c r="FQ14" s="468">
        <v>0</v>
      </c>
      <c r="FR14" s="468">
        <f t="shared" si="43"/>
        <v>5000000</v>
      </c>
      <c r="FS14" s="468"/>
      <c r="FT14" s="468">
        <v>30000000</v>
      </c>
      <c r="FU14" s="490">
        <f>19636655+5560768.07+4802576.93</f>
        <v>30000000</v>
      </c>
      <c r="FV14" s="468">
        <f t="shared" si="44"/>
        <v>0</v>
      </c>
      <c r="FW14" s="468"/>
      <c r="FX14" s="468">
        <v>4150000</v>
      </c>
      <c r="FY14" s="468">
        <v>0</v>
      </c>
      <c r="FZ14" s="468">
        <v>4150000</v>
      </c>
      <c r="GA14" s="468"/>
      <c r="GB14" s="468">
        <v>160000000</v>
      </c>
      <c r="GC14" s="468">
        <v>0</v>
      </c>
      <c r="GD14" s="468">
        <f t="shared" si="45"/>
        <v>160000000</v>
      </c>
      <c r="GE14" s="468"/>
      <c r="GF14" s="468">
        <v>25000000</v>
      </c>
      <c r="GG14" s="468">
        <v>0</v>
      </c>
      <c r="GH14" s="468">
        <f t="shared" si="46"/>
        <v>25000000</v>
      </c>
      <c r="GI14" s="468"/>
      <c r="GJ14" s="468">
        <v>5000000</v>
      </c>
      <c r="GK14" s="468">
        <v>0</v>
      </c>
      <c r="GL14" s="468">
        <f t="shared" si="47"/>
        <v>5000000</v>
      </c>
      <c r="GM14" s="468"/>
      <c r="GN14" s="468">
        <v>20000000</v>
      </c>
      <c r="GO14" s="469">
        <f>16442473.07+1637825</f>
        <v>18080298.07</v>
      </c>
      <c r="GP14" s="468">
        <f t="shared" si="48"/>
        <v>1919701.9299999997</v>
      </c>
      <c r="GQ14" s="468"/>
      <c r="GR14" s="468">
        <v>5000000</v>
      </c>
      <c r="GS14" s="468">
        <v>0</v>
      </c>
      <c r="GT14" s="468">
        <f t="shared" si="49"/>
        <v>5000000</v>
      </c>
      <c r="GU14" s="468"/>
      <c r="GV14" s="465">
        <f t="shared" si="50"/>
        <v>1887900000</v>
      </c>
      <c r="GW14" s="465">
        <f t="shared" si="50"/>
        <v>1440714664.1199999</v>
      </c>
      <c r="GX14" s="465">
        <f t="shared" si="51"/>
        <v>447185335.88000011</v>
      </c>
      <c r="GY14" s="470"/>
      <c r="GZ14" s="464"/>
      <c r="HA14" s="471">
        <f>D14+H14+L14+X14+AN14+BH14+CB14+CF14+CV14+DP14+DT14+EN14+FH14+GB14</f>
        <v>1341750000</v>
      </c>
      <c r="HB14" s="471">
        <f>E14+I14+M14+Y14+AO14+BI14+CC14+CG14+CW14+DQ14+DU14+EO14+FI14+GC14</f>
        <v>1008678619.45</v>
      </c>
      <c r="HC14" s="471">
        <f t="shared" si="52"/>
        <v>333071380.54999995</v>
      </c>
      <c r="HE14" s="471">
        <f>P14+AB14+AR14+
BL14+CJ14+CZ14+DX14+ER14+FL14+GF14</f>
        <v>167000000</v>
      </c>
      <c r="HF14" s="471">
        <f>Q14+AC14+AS14+
BM14+CK14+DA14+DY14+ES14+FM14+GG14</f>
        <v>106667571.59999999</v>
      </c>
      <c r="HG14" s="471">
        <f t="shared" si="53"/>
        <v>60332428.400000006</v>
      </c>
      <c r="HI14" s="471">
        <f>T14+AF14+AV14+BP14+CN14+DD14+EB14+EV14+FP14+GJ14</f>
        <v>65000000</v>
      </c>
      <c r="HJ14" s="471">
        <f>U14+AG14+AW14+BQ14+CO14+DE14+EC14+EW14+FQ14+GK14</f>
        <v>34630800</v>
      </c>
      <c r="HK14" s="471">
        <f t="shared" si="54"/>
        <v>30369200</v>
      </c>
      <c r="HM14" s="475">
        <f>AJ14+AZ14+BT14+CR14+DH14+EF14+EZ14+FT14+GN14</f>
        <v>270000000</v>
      </c>
      <c r="HN14" s="475">
        <f>AK14+BA14+BU14+CS14+DI14+EG14+FA14+FU14+GO14</f>
        <v>268080298.06999999</v>
      </c>
      <c r="HO14" s="475">
        <f t="shared" si="55"/>
        <v>1919701.9300000072</v>
      </c>
      <c r="HP14" s="476"/>
      <c r="HR14" s="471">
        <f>BD14+BX14+DL14+EJ14+FD14+FX14+GR14</f>
        <v>44150000</v>
      </c>
      <c r="HS14" s="471">
        <f>BE14+BY14+DM14+EK14+FE14+FY14+GS14</f>
        <v>22657375</v>
      </c>
      <c r="HT14" s="471">
        <f t="shared" si="56"/>
        <v>21492625</v>
      </c>
    </row>
    <row r="15" spans="1:228" x14ac:dyDescent="0.25">
      <c r="A15" s="107">
        <v>12</v>
      </c>
      <c r="B15" s="107" t="s">
        <v>77</v>
      </c>
      <c r="C15" s="113" t="s">
        <v>69</v>
      </c>
      <c r="D15" s="488">
        <v>1750000</v>
      </c>
      <c r="E15" s="488">
        <v>1750000</v>
      </c>
      <c r="F15" s="465">
        <f t="shared" si="1"/>
        <v>0</v>
      </c>
      <c r="G15" s="488"/>
      <c r="H15" s="465">
        <v>50000000</v>
      </c>
      <c r="I15" s="465">
        <v>50000000</v>
      </c>
      <c r="J15" s="465">
        <f t="shared" si="2"/>
        <v>0</v>
      </c>
      <c r="K15" s="488"/>
      <c r="L15" s="465">
        <v>50000000</v>
      </c>
      <c r="M15" s="465">
        <v>50000000</v>
      </c>
      <c r="N15" s="465">
        <f t="shared" si="3"/>
        <v>0</v>
      </c>
      <c r="O15" s="488"/>
      <c r="P15" s="465">
        <v>7000000</v>
      </c>
      <c r="Q15" s="465">
        <v>7000000</v>
      </c>
      <c r="R15" s="465">
        <f t="shared" si="4"/>
        <v>0</v>
      </c>
      <c r="S15" s="488"/>
      <c r="T15" s="465">
        <v>3000000</v>
      </c>
      <c r="U15" s="465">
        <v>3000000</v>
      </c>
      <c r="V15" s="465">
        <f t="shared" si="5"/>
        <v>0</v>
      </c>
      <c r="W15" s="488"/>
      <c r="X15" s="465">
        <v>60000000</v>
      </c>
      <c r="Y15" s="465">
        <v>60000000</v>
      </c>
      <c r="Z15" s="465">
        <f t="shared" si="6"/>
        <v>0</v>
      </c>
      <c r="AA15" s="488"/>
      <c r="AB15" s="465">
        <v>10000000</v>
      </c>
      <c r="AC15" s="465">
        <v>10000000</v>
      </c>
      <c r="AD15" s="465">
        <f t="shared" si="7"/>
        <v>0</v>
      </c>
      <c r="AE15" s="488"/>
      <c r="AF15" s="465">
        <v>5000000</v>
      </c>
      <c r="AG15" s="465">
        <f>3800000+1200000</f>
        <v>5000000</v>
      </c>
      <c r="AH15" s="465">
        <f t="shared" si="8"/>
        <v>0</v>
      </c>
      <c r="AI15" s="488"/>
      <c r="AJ15" s="465">
        <v>12070500</v>
      </c>
      <c r="AK15" s="465">
        <f>15000000-2929500</f>
        <v>12070500</v>
      </c>
      <c r="AL15" s="465">
        <f t="shared" si="9"/>
        <v>0</v>
      </c>
      <c r="AN15" s="465">
        <v>80000000</v>
      </c>
      <c r="AO15" s="465">
        <v>80000000</v>
      </c>
      <c r="AP15" s="465">
        <f t="shared" si="10"/>
        <v>0</v>
      </c>
      <c r="AQ15" s="488"/>
      <c r="AR15" s="465">
        <v>10000000</v>
      </c>
      <c r="AS15" s="465">
        <f>1625488+1979528+6394984</f>
        <v>10000000</v>
      </c>
      <c r="AT15" s="465">
        <f t="shared" si="11"/>
        <v>0</v>
      </c>
      <c r="AU15" s="488"/>
      <c r="AV15" s="465">
        <v>5000000</v>
      </c>
      <c r="AW15" s="465">
        <f>2750281.5+5390275-3140556.5</f>
        <v>5000000</v>
      </c>
      <c r="AX15" s="465">
        <f t="shared" si="12"/>
        <v>0</v>
      </c>
      <c r="AY15" s="488"/>
      <c r="AZ15" s="465">
        <v>20000000</v>
      </c>
      <c r="BA15" s="465">
        <v>20000000</v>
      </c>
      <c r="BB15" s="465">
        <f t="shared" si="13"/>
        <v>0</v>
      </c>
      <c r="BC15" s="488"/>
      <c r="BD15" s="465">
        <v>5000000</v>
      </c>
      <c r="BE15" s="483">
        <v>1020000</v>
      </c>
      <c r="BF15" s="465">
        <f t="shared" si="14"/>
        <v>3980000</v>
      </c>
      <c r="BG15" s="488"/>
      <c r="BH15" s="465">
        <v>130000000</v>
      </c>
      <c r="BI15" s="465">
        <f>2286815+7641680+46446360+10082000+21404910+42138235</f>
        <v>130000000</v>
      </c>
      <c r="BJ15" s="465">
        <f t="shared" si="15"/>
        <v>0</v>
      </c>
      <c r="BK15" s="488"/>
      <c r="BL15" s="465">
        <v>10000000</v>
      </c>
      <c r="BM15" s="465">
        <v>10000000</v>
      </c>
      <c r="BN15" s="465">
        <f t="shared" si="16"/>
        <v>0</v>
      </c>
      <c r="BO15" s="488"/>
      <c r="BP15" s="465">
        <v>10000000</v>
      </c>
      <c r="BQ15" s="465">
        <f>3140556.5+697108.5</f>
        <v>3837665</v>
      </c>
      <c r="BR15" s="465">
        <f t="shared" si="17"/>
        <v>6162335</v>
      </c>
      <c r="BS15" s="488"/>
      <c r="BT15" s="465">
        <v>40000000</v>
      </c>
      <c r="BU15" s="465">
        <f>1326685.26+12640361.6+25488491+544462.14</f>
        <v>40000000</v>
      </c>
      <c r="BV15" s="465">
        <f t="shared" si="18"/>
        <v>0</v>
      </c>
      <c r="BW15" s="488"/>
      <c r="BX15" s="465">
        <v>5000000</v>
      </c>
      <c r="BY15" s="465">
        <v>0</v>
      </c>
      <c r="BZ15" s="465">
        <f t="shared" si="19"/>
        <v>5000000</v>
      </c>
      <c r="CA15" s="488"/>
      <c r="CB15" s="465">
        <v>0</v>
      </c>
      <c r="CC15" s="465">
        <v>0</v>
      </c>
      <c r="CD15" s="465">
        <f t="shared" si="20"/>
        <v>0</v>
      </c>
      <c r="CE15" s="488"/>
      <c r="CF15" s="465">
        <f t="shared" si="21"/>
        <v>140000000</v>
      </c>
      <c r="CG15" s="465">
        <f>14938876+9425500+29513160+1948075+37664409+25329600+2200000+18980380</f>
        <v>140000000</v>
      </c>
      <c r="CH15" s="465">
        <f t="shared" si="22"/>
        <v>0</v>
      </c>
      <c r="CI15" s="488"/>
      <c r="CJ15" s="465">
        <v>20000000</v>
      </c>
      <c r="CK15" s="465">
        <f>5228233+14771767</f>
        <v>20000000</v>
      </c>
      <c r="CL15" s="465">
        <f t="shared" si="23"/>
        <v>0</v>
      </c>
      <c r="CM15" s="488"/>
      <c r="CN15" s="465">
        <v>10000000</v>
      </c>
      <c r="CO15" s="465">
        <v>0</v>
      </c>
      <c r="CP15" s="465">
        <f t="shared" si="24"/>
        <v>10000000</v>
      </c>
      <c r="CQ15" s="488"/>
      <c r="CR15" s="465">
        <v>40000000</v>
      </c>
      <c r="CS15" s="465">
        <f>5680377.86+31676795+1897540+745287.14</f>
        <v>40000000</v>
      </c>
      <c r="CT15" s="465">
        <f t="shared" si="25"/>
        <v>0</v>
      </c>
      <c r="CU15" s="488"/>
      <c r="CV15" s="465">
        <v>150000000</v>
      </c>
      <c r="CW15" s="465">
        <f>39080397.32+32845064+9000000+15434800+32964867+20674871.68</f>
        <v>150000000</v>
      </c>
      <c r="CX15" s="465">
        <f t="shared" si="26"/>
        <v>0</v>
      </c>
      <c r="CY15" s="488"/>
      <c r="CZ15" s="465">
        <v>20000000</v>
      </c>
      <c r="DA15" s="465">
        <f>9962880+2559233+7477887</f>
        <v>20000000</v>
      </c>
      <c r="DB15" s="465">
        <f t="shared" si="27"/>
        <v>0</v>
      </c>
      <c r="DC15" s="465"/>
      <c r="DD15" s="465">
        <v>10000000</v>
      </c>
      <c r="DE15" s="465">
        <v>0</v>
      </c>
      <c r="DF15" s="465">
        <f t="shared" si="28"/>
        <v>10000000</v>
      </c>
      <c r="DG15" s="488"/>
      <c r="DH15" s="465">
        <v>50000000</v>
      </c>
      <c r="DI15" s="465">
        <f>13152957.86+11743110+15977000+5671490+3455442.14</f>
        <v>50000000</v>
      </c>
      <c r="DJ15" s="465">
        <f t="shared" si="29"/>
        <v>0</v>
      </c>
      <c r="DK15" s="488"/>
      <c r="DL15" s="465">
        <v>10000000</v>
      </c>
      <c r="DM15" s="465">
        <v>0</v>
      </c>
      <c r="DN15" s="465">
        <f t="shared" si="30"/>
        <v>10000000</v>
      </c>
      <c r="DO15" s="488"/>
      <c r="DP15" s="465">
        <v>0</v>
      </c>
      <c r="DQ15" s="465">
        <v>0</v>
      </c>
      <c r="DR15" s="465">
        <f t="shared" si="31"/>
        <v>0</v>
      </c>
      <c r="DS15" s="465" t="s">
        <v>474</v>
      </c>
      <c r="DT15" s="465">
        <v>100000000</v>
      </c>
      <c r="DU15" s="465">
        <f>8675083.32+10857012+49251230-10524978.92+41741653.6</f>
        <v>100000000</v>
      </c>
      <c r="DV15" s="465">
        <f t="shared" si="32"/>
        <v>0</v>
      </c>
      <c r="DW15" s="465"/>
      <c r="DX15" s="465">
        <v>15000000</v>
      </c>
      <c r="DY15" s="465">
        <f>2929500+2463350+15242651-5635501</f>
        <v>15000000</v>
      </c>
      <c r="DZ15" s="465">
        <f t="shared" si="33"/>
        <v>0</v>
      </c>
      <c r="EA15" s="465"/>
      <c r="EB15" s="465">
        <v>10000000</v>
      </c>
      <c r="EC15" s="465">
        <v>0</v>
      </c>
      <c r="ED15" s="465">
        <f t="shared" si="34"/>
        <v>10000000</v>
      </c>
      <c r="EE15" s="465"/>
      <c r="EF15" s="465">
        <v>25000000</v>
      </c>
      <c r="EG15" s="465">
        <f>8577424.54+10524978.92+5897596.54</f>
        <v>25000000</v>
      </c>
      <c r="EH15" s="465">
        <f t="shared" si="35"/>
        <v>0</v>
      </c>
      <c r="EI15" s="465"/>
      <c r="EJ15" s="465">
        <v>10000000</v>
      </c>
      <c r="EK15" s="465">
        <v>0</v>
      </c>
      <c r="EL15" s="465">
        <f t="shared" si="36"/>
        <v>10000000</v>
      </c>
      <c r="EM15" s="488"/>
      <c r="EN15" s="465">
        <v>300000000</v>
      </c>
      <c r="EO15" s="484">
        <f>31884331.4+34873195+71722865+22849000+16530000+27954422.6</f>
        <v>205813814</v>
      </c>
      <c r="EP15" s="465">
        <f t="shared" si="37"/>
        <v>94186186</v>
      </c>
      <c r="EQ15" s="488"/>
      <c r="ER15" s="465">
        <v>25000000</v>
      </c>
      <c r="ES15" s="465">
        <f>5635501+5374620+9831120</f>
        <v>20841241</v>
      </c>
      <c r="ET15" s="465">
        <f t="shared" si="38"/>
        <v>4158759</v>
      </c>
      <c r="EU15" s="488"/>
      <c r="EV15" s="465">
        <v>10000000</v>
      </c>
      <c r="EW15" s="465">
        <v>0</v>
      </c>
      <c r="EX15" s="465">
        <f t="shared" si="39"/>
        <v>10000000</v>
      </c>
      <c r="EY15" s="488"/>
      <c r="EZ15" s="465">
        <v>30000000</v>
      </c>
      <c r="FA15" s="465">
        <f>3434301.06+3374640+7424153+9013360+6753545.94</f>
        <v>30000000.000000004</v>
      </c>
      <c r="FB15" s="465">
        <f t="shared" si="40"/>
        <v>0</v>
      </c>
      <c r="FC15" s="488"/>
      <c r="FD15" s="465">
        <v>5000000</v>
      </c>
      <c r="FE15" s="465">
        <v>0</v>
      </c>
      <c r="FF15" s="465">
        <f t="shared" si="41"/>
        <v>5000000</v>
      </c>
      <c r="FG15" s="465"/>
      <c r="FH15" s="463">
        <v>120000000</v>
      </c>
      <c r="FI15" s="463">
        <v>0</v>
      </c>
      <c r="FJ15" s="463">
        <f t="shared" si="0"/>
        <v>120000000</v>
      </c>
      <c r="FK15" s="468"/>
      <c r="FL15" s="463">
        <v>25000000</v>
      </c>
      <c r="FM15" s="468">
        <v>0</v>
      </c>
      <c r="FN15" s="468">
        <f t="shared" si="42"/>
        <v>25000000</v>
      </c>
      <c r="FO15" s="468"/>
      <c r="FP15" s="468">
        <v>5000000</v>
      </c>
      <c r="FQ15" s="468">
        <v>0</v>
      </c>
      <c r="FR15" s="468">
        <f t="shared" si="43"/>
        <v>5000000</v>
      </c>
      <c r="FS15" s="468"/>
      <c r="FT15" s="468">
        <v>30000000</v>
      </c>
      <c r="FU15" s="489">
        <f>569209.06+12833885</f>
        <v>13403094.060000001</v>
      </c>
      <c r="FV15" s="468">
        <f t="shared" si="44"/>
        <v>16596905.939999999</v>
      </c>
      <c r="FW15" s="468"/>
      <c r="FX15" s="468">
        <v>4150000</v>
      </c>
      <c r="FY15" s="468">
        <v>0</v>
      </c>
      <c r="FZ15" s="468">
        <v>4150000</v>
      </c>
      <c r="GA15" s="468"/>
      <c r="GB15" s="468">
        <v>160000000</v>
      </c>
      <c r="GC15" s="468">
        <v>0</v>
      </c>
      <c r="GD15" s="468">
        <f t="shared" si="45"/>
        <v>160000000</v>
      </c>
      <c r="GE15" s="468"/>
      <c r="GF15" s="468">
        <v>25000000</v>
      </c>
      <c r="GG15" s="468">
        <v>0</v>
      </c>
      <c r="GH15" s="468">
        <f t="shared" si="46"/>
        <v>25000000</v>
      </c>
      <c r="GI15" s="468"/>
      <c r="GJ15" s="468">
        <v>5000000</v>
      </c>
      <c r="GK15" s="468">
        <v>0</v>
      </c>
      <c r="GL15" s="468">
        <f t="shared" si="47"/>
        <v>5000000</v>
      </c>
      <c r="GM15" s="468"/>
      <c r="GN15" s="468">
        <v>20000000</v>
      </c>
      <c r="GO15" s="468">
        <v>0</v>
      </c>
      <c r="GP15" s="468">
        <f t="shared" si="48"/>
        <v>20000000</v>
      </c>
      <c r="GQ15" s="468"/>
      <c r="GR15" s="468">
        <v>5000000</v>
      </c>
      <c r="GS15" s="468">
        <v>0</v>
      </c>
      <c r="GT15" s="468">
        <f t="shared" si="49"/>
        <v>5000000</v>
      </c>
      <c r="GU15" s="468"/>
      <c r="GV15" s="465">
        <f t="shared" si="50"/>
        <v>1892970500</v>
      </c>
      <c r="GW15" s="465">
        <f t="shared" si="50"/>
        <v>1328736314.0599999</v>
      </c>
      <c r="GX15" s="465">
        <f t="shared" si="51"/>
        <v>564234185.94000006</v>
      </c>
      <c r="GY15" s="470"/>
      <c r="GZ15" s="464"/>
      <c r="HA15" s="471">
        <f>D15+H15+L15+X15+AN15+BH15+CB15+CF15+CV15+DP15+DT15+EN15+FH15+GB15</f>
        <v>1341750000</v>
      </c>
      <c r="HB15" s="471">
        <f>E15+I15+M15+Y15+AO15+BI15+CC15+CG15+CW15+DQ15+DU15+EO15+FI15+GC15</f>
        <v>967563814</v>
      </c>
      <c r="HC15" s="471">
        <f t="shared" si="52"/>
        <v>374186186</v>
      </c>
      <c r="HE15" s="471">
        <f>P15+AB15+AR15+
BL15+CJ15+CZ15+DX15+ER15+FL15+GF15</f>
        <v>167000000</v>
      </c>
      <c r="HF15" s="471">
        <f>Q15+AC15+AS15+
BM15+CK15+DA15+DY15+ES15+FM15+GG15</f>
        <v>112841241</v>
      </c>
      <c r="HG15" s="471">
        <f t="shared" si="53"/>
        <v>54158759</v>
      </c>
      <c r="HI15" s="471">
        <f>T15+AF15+AV15+BP15+CN15+DD15+EB15+EV15+FP15+GJ15</f>
        <v>73000000</v>
      </c>
      <c r="HJ15" s="471">
        <f>U15+AG15+AW15+BQ15+CO15+DE15+EC15+EW15+FQ15+GK15</f>
        <v>16837665</v>
      </c>
      <c r="HK15" s="471">
        <f t="shared" si="54"/>
        <v>56162335</v>
      </c>
      <c r="HM15" s="475">
        <f>AJ15+AZ15+BT15+CR15+DH15+EF15+EZ15+FT15+GN15</f>
        <v>267070500</v>
      </c>
      <c r="HN15" s="475">
        <f>AK15+BA15+BU15+CS15+DI15+EG15+FA15+FU15+GO15</f>
        <v>230473594.06</v>
      </c>
      <c r="HO15" s="475">
        <f t="shared" si="55"/>
        <v>36596905.939999998</v>
      </c>
      <c r="HP15" s="476"/>
      <c r="HR15" s="471">
        <f>BD15+BX15+DL15+EJ15+FD15+FX15+GR15</f>
        <v>44150000</v>
      </c>
      <c r="HS15" s="471">
        <f>BE15+BY15+DM15+EK15+FE15+FY15+GS15</f>
        <v>1020000</v>
      </c>
      <c r="HT15" s="471">
        <f t="shared" si="56"/>
        <v>43130000</v>
      </c>
    </row>
    <row r="16" spans="1:228" x14ac:dyDescent="0.25">
      <c r="A16" s="107">
        <v>13</v>
      </c>
      <c r="B16" s="107" t="s">
        <v>78</v>
      </c>
      <c r="C16" s="113" t="s">
        <v>63</v>
      </c>
      <c r="D16" s="465">
        <v>0</v>
      </c>
      <c r="E16" s="465">
        <v>0</v>
      </c>
      <c r="F16" s="465">
        <f t="shared" si="1"/>
        <v>0</v>
      </c>
      <c r="G16" s="465"/>
      <c r="H16" s="465">
        <v>50000000</v>
      </c>
      <c r="I16" s="465">
        <v>50000000</v>
      </c>
      <c r="J16" s="465">
        <f t="shared" si="2"/>
        <v>0</v>
      </c>
      <c r="K16" s="465"/>
      <c r="L16" s="465">
        <v>50000000</v>
      </c>
      <c r="M16" s="465">
        <v>50000000</v>
      </c>
      <c r="N16" s="465">
        <f t="shared" si="3"/>
        <v>0</v>
      </c>
      <c r="O16" s="465"/>
      <c r="P16" s="465">
        <v>7000000</v>
      </c>
      <c r="Q16" s="465">
        <v>7000000</v>
      </c>
      <c r="R16" s="465">
        <f t="shared" si="4"/>
        <v>0</v>
      </c>
      <c r="S16" s="465"/>
      <c r="T16" s="465">
        <v>3000000</v>
      </c>
      <c r="U16" s="465">
        <v>3000000</v>
      </c>
      <c r="V16" s="465">
        <f t="shared" si="5"/>
        <v>0</v>
      </c>
      <c r="W16" s="465"/>
      <c r="X16" s="465">
        <v>60000000</v>
      </c>
      <c r="Y16" s="465">
        <v>60000000</v>
      </c>
      <c r="Z16" s="465">
        <f t="shared" si="6"/>
        <v>0</v>
      </c>
      <c r="AA16" s="465"/>
      <c r="AB16" s="465">
        <v>10000000</v>
      </c>
      <c r="AC16" s="465">
        <v>10000000</v>
      </c>
      <c r="AD16" s="465">
        <f t="shared" si="7"/>
        <v>0</v>
      </c>
      <c r="AE16" s="465"/>
      <c r="AF16" s="465">
        <v>3800000</v>
      </c>
      <c r="AG16" s="465">
        <v>3800000</v>
      </c>
      <c r="AH16" s="465">
        <f t="shared" si="8"/>
        <v>0</v>
      </c>
      <c r="AI16" s="465"/>
      <c r="AJ16" s="465">
        <v>15000000</v>
      </c>
      <c r="AK16" s="465">
        <v>15000000</v>
      </c>
      <c r="AL16" s="465">
        <f t="shared" si="9"/>
        <v>0</v>
      </c>
      <c r="AM16" s="465"/>
      <c r="AN16" s="465">
        <v>80000000</v>
      </c>
      <c r="AO16" s="465">
        <v>80000000</v>
      </c>
      <c r="AP16" s="465">
        <f t="shared" si="10"/>
        <v>0</v>
      </c>
      <c r="AQ16" s="465"/>
      <c r="AR16" s="465">
        <v>10000000</v>
      </c>
      <c r="AS16" s="465">
        <v>9827281</v>
      </c>
      <c r="AT16" s="465">
        <f t="shared" si="11"/>
        <v>172719</v>
      </c>
      <c r="AU16" s="465"/>
      <c r="AV16" s="465">
        <v>5000000</v>
      </c>
      <c r="AW16" s="465">
        <v>0</v>
      </c>
      <c r="AX16" s="465">
        <f t="shared" si="12"/>
        <v>5000000</v>
      </c>
      <c r="AY16" s="465"/>
      <c r="AZ16" s="465">
        <v>20000000</v>
      </c>
      <c r="BA16" s="465">
        <v>20000000</v>
      </c>
      <c r="BB16" s="465">
        <f t="shared" si="13"/>
        <v>0</v>
      </c>
      <c r="BC16" s="465"/>
      <c r="BD16" s="465">
        <v>5000000</v>
      </c>
      <c r="BE16" s="465">
        <v>4105287.5</v>
      </c>
      <c r="BF16" s="465">
        <f t="shared" si="14"/>
        <v>894712.5</v>
      </c>
      <c r="BG16" s="465"/>
      <c r="BH16" s="465">
        <v>130000000</v>
      </c>
      <c r="BI16" s="465">
        <f>2840589+44000000+5032000+44883260+33244151</f>
        <v>130000000</v>
      </c>
      <c r="BJ16" s="465">
        <f t="shared" si="15"/>
        <v>0</v>
      </c>
      <c r="BK16" s="465"/>
      <c r="BL16" s="465">
        <v>10000000</v>
      </c>
      <c r="BM16" s="465">
        <v>0</v>
      </c>
      <c r="BN16" s="465">
        <f t="shared" si="16"/>
        <v>10000000</v>
      </c>
      <c r="BO16" s="465"/>
      <c r="BP16" s="465">
        <v>10000000</v>
      </c>
      <c r="BQ16" s="465">
        <v>0</v>
      </c>
      <c r="BR16" s="465">
        <f t="shared" si="17"/>
        <v>10000000</v>
      </c>
      <c r="BS16" s="465"/>
      <c r="BT16" s="465">
        <v>40000000</v>
      </c>
      <c r="BU16" s="465">
        <f>7048421.4+3337920+2446565.64+19634727+6556225+976140.96</f>
        <v>40000000</v>
      </c>
      <c r="BV16" s="465">
        <f t="shared" si="18"/>
        <v>0</v>
      </c>
      <c r="BW16" s="465"/>
      <c r="BX16" s="465">
        <v>5000000</v>
      </c>
      <c r="BY16" s="465">
        <v>0</v>
      </c>
      <c r="BZ16" s="465">
        <f t="shared" si="19"/>
        <v>5000000</v>
      </c>
      <c r="CA16" s="465"/>
      <c r="CB16" s="465">
        <v>0</v>
      </c>
      <c r="CC16" s="465">
        <v>0</v>
      </c>
      <c r="CD16" s="465">
        <f t="shared" si="20"/>
        <v>0</v>
      </c>
      <c r="CE16" s="465"/>
      <c r="CF16" s="465">
        <f t="shared" si="21"/>
        <v>140000000</v>
      </c>
      <c r="CG16" s="465">
        <f>4709922.39+67764450+27004500+40521127.61</f>
        <v>140000000</v>
      </c>
      <c r="CH16" s="465">
        <f t="shared" si="22"/>
        <v>0</v>
      </c>
      <c r="CI16" s="465"/>
      <c r="CJ16" s="465">
        <v>20000000</v>
      </c>
      <c r="CK16" s="465">
        <v>0</v>
      </c>
      <c r="CL16" s="465">
        <f t="shared" si="23"/>
        <v>20000000</v>
      </c>
      <c r="CM16" s="465"/>
      <c r="CN16" s="465">
        <v>10000000</v>
      </c>
      <c r="CO16" s="465">
        <v>0</v>
      </c>
      <c r="CP16" s="465">
        <f t="shared" si="24"/>
        <v>10000000</v>
      </c>
      <c r="CQ16" s="465"/>
      <c r="CR16" s="465">
        <v>40000000</v>
      </c>
      <c r="CS16" s="465">
        <f>6905814.04+5384643+9212451+9895195+7155000+979555+467341.96</f>
        <v>40000000</v>
      </c>
      <c r="CT16" s="465">
        <f t="shared" si="25"/>
        <v>0</v>
      </c>
      <c r="CU16" s="465"/>
      <c r="CV16" s="465">
        <v>150000000</v>
      </c>
      <c r="CW16" s="465">
        <f>121676125+60442992.39+1259700-121676125+88297307.61</f>
        <v>150000000</v>
      </c>
      <c r="CX16" s="465">
        <f t="shared" si="26"/>
        <v>0</v>
      </c>
      <c r="CY16" s="465"/>
      <c r="CZ16" s="465">
        <v>20000000</v>
      </c>
      <c r="DA16" s="465">
        <v>0</v>
      </c>
      <c r="DB16" s="465">
        <f t="shared" si="27"/>
        <v>20000000</v>
      </c>
      <c r="DC16" s="465"/>
      <c r="DD16" s="465">
        <v>10000000</v>
      </c>
      <c r="DE16" s="465">
        <v>0</v>
      </c>
      <c r="DF16" s="465">
        <f t="shared" si="28"/>
        <v>10000000</v>
      </c>
      <c r="DG16" s="465"/>
      <c r="DH16" s="465">
        <v>50000000</v>
      </c>
      <c r="DI16" s="465">
        <f>4310718.04+5751580+27685450+307200+4901700+1308850+2965200+730200+2039101.96</f>
        <v>50000000</v>
      </c>
      <c r="DJ16" s="465">
        <f t="shared" si="29"/>
        <v>0</v>
      </c>
      <c r="DK16" s="488"/>
      <c r="DL16" s="465">
        <v>10000000</v>
      </c>
      <c r="DM16" s="465">
        <v>0</v>
      </c>
      <c r="DN16" s="465">
        <f t="shared" si="30"/>
        <v>10000000</v>
      </c>
      <c r="DO16" s="465"/>
      <c r="DP16" s="465">
        <v>0</v>
      </c>
      <c r="DQ16" s="465">
        <v>0</v>
      </c>
      <c r="DR16" s="465">
        <f t="shared" si="31"/>
        <v>0</v>
      </c>
      <c r="DS16" s="465"/>
      <c r="DT16" s="465">
        <v>100000000</v>
      </c>
      <c r="DU16" s="465">
        <f>52404852.39+45793160+1801987.61</f>
        <v>100000000</v>
      </c>
      <c r="DV16" s="465">
        <f t="shared" si="32"/>
        <v>0</v>
      </c>
      <c r="DW16" s="465"/>
      <c r="DX16" s="465">
        <v>15000000</v>
      </c>
      <c r="DY16" s="465">
        <v>0</v>
      </c>
      <c r="DZ16" s="465">
        <f t="shared" si="33"/>
        <v>15000000</v>
      </c>
      <c r="EA16" s="465"/>
      <c r="EB16" s="465">
        <v>10000000</v>
      </c>
      <c r="EC16" s="465">
        <v>0</v>
      </c>
      <c r="ED16" s="465">
        <f t="shared" si="34"/>
        <v>10000000</v>
      </c>
      <c r="EE16" s="465"/>
      <c r="EF16" s="465">
        <v>25000000</v>
      </c>
      <c r="EG16" s="465">
        <f>7979142.04+1375525+8694650+6950682.96</f>
        <v>25000000</v>
      </c>
      <c r="EH16" s="465">
        <f t="shared" si="35"/>
        <v>0</v>
      </c>
      <c r="EI16" s="465"/>
      <c r="EJ16" s="465">
        <v>10000000</v>
      </c>
      <c r="EK16" s="465">
        <v>0</v>
      </c>
      <c r="EL16" s="465">
        <f t="shared" si="36"/>
        <v>10000000</v>
      </c>
      <c r="EM16" s="465"/>
      <c r="EN16" s="465">
        <v>300000000</v>
      </c>
      <c r="EO16" s="465">
        <f>77606012.39+62614122+7782416+58957756.5+41100000+51939693.11</f>
        <v>300000000</v>
      </c>
      <c r="EP16" s="465">
        <f t="shared" si="37"/>
        <v>0</v>
      </c>
      <c r="EQ16" s="465"/>
      <c r="ER16" s="465">
        <v>25000000</v>
      </c>
      <c r="ES16" s="465">
        <v>0</v>
      </c>
      <c r="ET16" s="465">
        <f t="shared" si="38"/>
        <v>25000000</v>
      </c>
      <c r="EU16" s="465"/>
      <c r="EV16" s="465">
        <v>10000000</v>
      </c>
      <c r="EW16" s="465">
        <v>0</v>
      </c>
      <c r="EX16" s="465">
        <f t="shared" si="39"/>
        <v>10000000</v>
      </c>
      <c r="EY16" s="465"/>
      <c r="EZ16" s="465">
        <v>30000000</v>
      </c>
      <c r="FA16" s="465">
        <f>1664371.38+5814600+10379580+12141448.62</f>
        <v>30000000</v>
      </c>
      <c r="FB16" s="465">
        <f t="shared" si="40"/>
        <v>0</v>
      </c>
      <c r="FC16" s="465"/>
      <c r="FD16" s="465">
        <v>5000000</v>
      </c>
      <c r="FE16" s="465">
        <v>0</v>
      </c>
      <c r="FF16" s="465">
        <f t="shared" si="41"/>
        <v>5000000</v>
      </c>
      <c r="FG16" s="465"/>
      <c r="FH16" s="463">
        <v>120000000</v>
      </c>
      <c r="FI16" s="463">
        <f>97544213.29+9000000</f>
        <v>106544213.29000001</v>
      </c>
      <c r="FJ16" s="463">
        <f t="shared" si="0"/>
        <v>13455786.709999993</v>
      </c>
      <c r="FK16" s="468"/>
      <c r="FL16" s="463">
        <v>25000000</v>
      </c>
      <c r="FM16" s="468">
        <v>0</v>
      </c>
      <c r="FN16" s="468">
        <f t="shared" si="42"/>
        <v>25000000</v>
      </c>
      <c r="FO16" s="468"/>
      <c r="FP16" s="468">
        <v>5000000</v>
      </c>
      <c r="FQ16" s="468">
        <v>0</v>
      </c>
      <c r="FR16" s="468">
        <f t="shared" si="43"/>
        <v>5000000</v>
      </c>
      <c r="FS16" s="468"/>
      <c r="FT16" s="468">
        <v>30000000</v>
      </c>
      <c r="FU16" s="469">
        <f>8918693.65+11020855+10060451.35</f>
        <v>30000000</v>
      </c>
      <c r="FV16" s="468">
        <f t="shared" si="44"/>
        <v>0</v>
      </c>
      <c r="FW16" s="468"/>
      <c r="FX16" s="468">
        <v>4150000</v>
      </c>
      <c r="FY16" s="468">
        <v>0</v>
      </c>
      <c r="FZ16" s="468">
        <v>4150000</v>
      </c>
      <c r="GA16" s="468"/>
      <c r="GB16" s="468">
        <v>160000000</v>
      </c>
      <c r="GC16" s="468">
        <v>0</v>
      </c>
      <c r="GD16" s="468">
        <f t="shared" si="45"/>
        <v>160000000</v>
      </c>
      <c r="GE16" s="468"/>
      <c r="GF16" s="468">
        <v>25000000</v>
      </c>
      <c r="GG16" s="468">
        <v>0</v>
      </c>
      <c r="GH16" s="468">
        <f t="shared" si="46"/>
        <v>25000000</v>
      </c>
      <c r="GI16" s="468"/>
      <c r="GJ16" s="468">
        <v>5000000</v>
      </c>
      <c r="GK16" s="468">
        <v>0</v>
      </c>
      <c r="GL16" s="468">
        <f t="shared" si="47"/>
        <v>5000000</v>
      </c>
      <c r="GM16" s="468"/>
      <c r="GN16" s="468">
        <v>20000000</v>
      </c>
      <c r="GO16" s="469">
        <f>8916013.65</f>
        <v>8916013.6500000004</v>
      </c>
      <c r="GP16" s="468">
        <f t="shared" si="48"/>
        <v>11083986.35</v>
      </c>
      <c r="GQ16" s="468"/>
      <c r="GR16" s="468">
        <v>5000000</v>
      </c>
      <c r="GS16" s="468">
        <v>0</v>
      </c>
      <c r="GT16" s="468">
        <f t="shared" si="49"/>
        <v>5000000</v>
      </c>
      <c r="GU16" s="468"/>
      <c r="GV16" s="465">
        <f t="shared" si="50"/>
        <v>1892950000</v>
      </c>
      <c r="GW16" s="465">
        <f t="shared" si="50"/>
        <v>1463192795.4400001</v>
      </c>
      <c r="GX16" s="465">
        <f t="shared" si="51"/>
        <v>429757204.55999994</v>
      </c>
      <c r="GY16" s="470"/>
      <c r="GZ16" s="464"/>
      <c r="HA16" s="471">
        <f>D16+H16+L16+X16+AN16+BH16+CB16+CF16+CV16+DP16+DT16+EN16+FH16+GB16</f>
        <v>1340000000</v>
      </c>
      <c r="HB16" s="471">
        <f>E16+I16+M16+Y16+AO16+BI16+CC16+CG16+CW16+DQ16+DU16+EO16+FI16+GC16</f>
        <v>1166544213.29</v>
      </c>
      <c r="HC16" s="471">
        <f t="shared" si="52"/>
        <v>173455786.71000004</v>
      </c>
      <c r="HE16" s="471">
        <f>P16+AB16+AR16+
BL16+CJ16+CZ16+DX16+ER16+FL16+GF16</f>
        <v>167000000</v>
      </c>
      <c r="HF16" s="471">
        <f>Q16+AC16+AS16+
BM16+CK16+DA16+DY16+ES16+FM16+GG16</f>
        <v>26827281</v>
      </c>
      <c r="HG16" s="471">
        <f t="shared" si="53"/>
        <v>140172719</v>
      </c>
      <c r="HI16" s="471">
        <f>T16+AF16+AV16+BP16+CN16+DD16+EB16+EV16+FP16+GJ16</f>
        <v>71800000</v>
      </c>
      <c r="HJ16" s="471">
        <f>U16+AG16+AW16+BQ16+CO16+DE16+EC16+EW16+FQ16+GK16</f>
        <v>6800000</v>
      </c>
      <c r="HK16" s="471">
        <f t="shared" si="54"/>
        <v>65000000</v>
      </c>
      <c r="HM16" s="475">
        <f>AJ16+AZ16+BT16+CR16+DH16+EF16+EZ16+FT16+GN16</f>
        <v>270000000</v>
      </c>
      <c r="HN16" s="475">
        <f>AK16+BA16+BU16+CS16+DI16+EG16+FA16+FU16+GO16</f>
        <v>258916013.65000001</v>
      </c>
      <c r="HO16" s="475">
        <f t="shared" si="55"/>
        <v>11083986.349999994</v>
      </c>
      <c r="HP16" s="476"/>
      <c r="HR16" s="471">
        <f>BD16+BX16+DL16+EJ16+FD16+FX16+GR16</f>
        <v>44150000</v>
      </c>
      <c r="HS16" s="471">
        <f>BE16+BY16+DM16+EK16+FE16+FY16+GS16</f>
        <v>4105287.5</v>
      </c>
      <c r="HT16" s="471">
        <f t="shared" si="56"/>
        <v>40044712.5</v>
      </c>
    </row>
    <row r="17" spans="1:228" x14ac:dyDescent="0.25">
      <c r="A17" s="107">
        <v>14</v>
      </c>
      <c r="B17" s="107" t="s">
        <v>79</v>
      </c>
      <c r="C17" s="113" t="s">
        <v>65</v>
      </c>
      <c r="D17" s="488">
        <v>1750000</v>
      </c>
      <c r="E17" s="488">
        <v>1750000</v>
      </c>
      <c r="F17" s="465">
        <f t="shared" si="1"/>
        <v>0</v>
      </c>
      <c r="G17" s="488"/>
      <c r="H17" s="465">
        <v>50000000</v>
      </c>
      <c r="I17" s="465">
        <v>50000000</v>
      </c>
      <c r="J17" s="465">
        <f t="shared" si="2"/>
        <v>0</v>
      </c>
      <c r="K17" s="488"/>
      <c r="L17" s="465">
        <v>50000000</v>
      </c>
      <c r="M17" s="465">
        <v>50000000</v>
      </c>
      <c r="N17" s="465">
        <f t="shared" si="3"/>
        <v>0</v>
      </c>
      <c r="O17" s="488"/>
      <c r="P17" s="465">
        <v>7000000</v>
      </c>
      <c r="Q17" s="465">
        <v>7000000</v>
      </c>
      <c r="R17" s="465">
        <f t="shared" si="4"/>
        <v>0</v>
      </c>
      <c r="S17" s="488"/>
      <c r="T17" s="465">
        <v>3000000</v>
      </c>
      <c r="U17" s="465">
        <v>3000000</v>
      </c>
      <c r="V17" s="465">
        <f t="shared" si="5"/>
        <v>0</v>
      </c>
      <c r="W17" s="488"/>
      <c r="X17" s="465">
        <v>60000000</v>
      </c>
      <c r="Y17" s="465">
        <v>60000000</v>
      </c>
      <c r="Z17" s="465">
        <f t="shared" si="6"/>
        <v>0</v>
      </c>
      <c r="AA17" s="488"/>
      <c r="AB17" s="465">
        <v>10000000</v>
      </c>
      <c r="AC17" s="465">
        <v>10000000</v>
      </c>
      <c r="AD17" s="465">
        <f t="shared" si="7"/>
        <v>0</v>
      </c>
      <c r="AE17" s="488"/>
      <c r="AF17" s="465">
        <v>1963898</v>
      </c>
      <c r="AG17" s="465">
        <f>1130898+833000</f>
        <v>1963898</v>
      </c>
      <c r="AH17" s="465">
        <f t="shared" si="8"/>
        <v>0</v>
      </c>
      <c r="AI17" s="488"/>
      <c r="AJ17" s="465">
        <v>15000000</v>
      </c>
      <c r="AK17" s="465">
        <v>15000000</v>
      </c>
      <c r="AL17" s="465">
        <f t="shared" si="9"/>
        <v>0</v>
      </c>
      <c r="AM17" s="465"/>
      <c r="AN17" s="465">
        <v>80000000</v>
      </c>
      <c r="AO17" s="465">
        <v>80000000</v>
      </c>
      <c r="AP17" s="465">
        <f t="shared" si="10"/>
        <v>0</v>
      </c>
      <c r="AQ17" s="488"/>
      <c r="AR17" s="465">
        <v>10000000</v>
      </c>
      <c r="AS17" s="465">
        <v>10000000</v>
      </c>
      <c r="AT17" s="465">
        <f t="shared" si="11"/>
        <v>0</v>
      </c>
      <c r="AU17" s="488"/>
      <c r="AV17" s="465">
        <v>5000000</v>
      </c>
      <c r="AW17" s="465">
        <v>0</v>
      </c>
      <c r="AX17" s="465">
        <f t="shared" si="12"/>
        <v>5000000</v>
      </c>
      <c r="AY17" s="488"/>
      <c r="AZ17" s="465">
        <v>20000000</v>
      </c>
      <c r="BA17" s="465">
        <v>20000000</v>
      </c>
      <c r="BB17" s="465">
        <f t="shared" si="13"/>
        <v>0</v>
      </c>
      <c r="BC17" s="488"/>
      <c r="BD17" s="465">
        <v>5000000</v>
      </c>
      <c r="BE17" s="465">
        <f>0</f>
        <v>0</v>
      </c>
      <c r="BF17" s="465">
        <f t="shared" si="14"/>
        <v>5000000</v>
      </c>
      <c r="BG17" s="488"/>
      <c r="BH17" s="465">
        <v>130000000</v>
      </c>
      <c r="BI17" s="465">
        <f>175529845-45529845</f>
        <v>130000000</v>
      </c>
      <c r="BJ17" s="465">
        <f t="shared" si="15"/>
        <v>0</v>
      </c>
      <c r="BK17" s="488"/>
      <c r="BL17" s="465">
        <v>10000000</v>
      </c>
      <c r="BM17" s="465">
        <v>9944800</v>
      </c>
      <c r="BN17" s="465">
        <f t="shared" si="16"/>
        <v>55200</v>
      </c>
      <c r="BO17" s="488"/>
      <c r="BP17" s="465">
        <v>10000000</v>
      </c>
      <c r="BQ17" s="465">
        <v>0</v>
      </c>
      <c r="BR17" s="465">
        <f t="shared" si="17"/>
        <v>10000000</v>
      </c>
      <c r="BS17" s="488"/>
      <c r="BT17" s="465">
        <v>40000000</v>
      </c>
      <c r="BU17" s="465">
        <f>149426.68+3396080+22355355+12615350+1483788.32</f>
        <v>40000000</v>
      </c>
      <c r="BV17" s="465">
        <f t="shared" si="18"/>
        <v>0</v>
      </c>
      <c r="BW17" s="488"/>
      <c r="BX17" s="465">
        <v>5000000</v>
      </c>
      <c r="BY17" s="465">
        <v>0</v>
      </c>
      <c r="BZ17" s="465">
        <f t="shared" si="19"/>
        <v>5000000</v>
      </c>
      <c r="CA17" s="488"/>
      <c r="CB17" s="465">
        <v>0</v>
      </c>
      <c r="CC17" s="465">
        <v>0</v>
      </c>
      <c r="CD17" s="465">
        <f t="shared" si="20"/>
        <v>0</v>
      </c>
      <c r="CE17" s="488"/>
      <c r="CF17" s="465">
        <f t="shared" si="21"/>
        <v>140000000</v>
      </c>
      <c r="CG17" s="465">
        <f>140313470-313470</f>
        <v>140000000</v>
      </c>
      <c r="CH17" s="465">
        <f t="shared" si="22"/>
        <v>0</v>
      </c>
      <c r="CI17" s="488"/>
      <c r="CJ17" s="465">
        <v>20000000</v>
      </c>
      <c r="CK17" s="465">
        <f>3728800+5799200+1194600</f>
        <v>10722600</v>
      </c>
      <c r="CL17" s="465">
        <f t="shared" si="23"/>
        <v>9277400</v>
      </c>
      <c r="CM17" s="488"/>
      <c r="CN17" s="465">
        <v>10000000</v>
      </c>
      <c r="CO17" s="465">
        <v>0</v>
      </c>
      <c r="CP17" s="465">
        <f t="shared" si="24"/>
        <v>10000000</v>
      </c>
      <c r="CQ17" s="488"/>
      <c r="CR17" s="465">
        <v>40000000</v>
      </c>
      <c r="CS17" s="465">
        <f>20424081.68+15658455+3917463.32</f>
        <v>40000000</v>
      </c>
      <c r="CT17" s="465">
        <f t="shared" si="25"/>
        <v>0</v>
      </c>
      <c r="CU17" s="488"/>
      <c r="CV17" s="465">
        <v>150000000</v>
      </c>
      <c r="CW17" s="491">
        <f>27071000+45529845+313470+8265000+70022050-1201365</f>
        <v>150000000</v>
      </c>
      <c r="CX17" s="465">
        <f t="shared" si="26"/>
        <v>0</v>
      </c>
      <c r="CY17" s="488"/>
      <c r="CZ17" s="465">
        <v>20000000</v>
      </c>
      <c r="DA17" s="465">
        <v>0</v>
      </c>
      <c r="DB17" s="465">
        <f t="shared" si="27"/>
        <v>20000000</v>
      </c>
      <c r="DC17" s="465"/>
      <c r="DD17" s="465">
        <v>10000000</v>
      </c>
      <c r="DE17" s="465">
        <v>0</v>
      </c>
      <c r="DF17" s="465">
        <f t="shared" si="28"/>
        <v>10000000</v>
      </c>
      <c r="DG17" s="488"/>
      <c r="DH17" s="465">
        <v>50000000</v>
      </c>
      <c r="DI17" s="465">
        <f>40750666.68+7789563+1459770.32</f>
        <v>50000000</v>
      </c>
      <c r="DJ17" s="465">
        <f t="shared" si="29"/>
        <v>0</v>
      </c>
      <c r="DK17" s="488"/>
      <c r="DL17" s="465">
        <v>10000000</v>
      </c>
      <c r="DM17" s="465">
        <v>0</v>
      </c>
      <c r="DN17" s="465">
        <f t="shared" si="30"/>
        <v>10000000</v>
      </c>
      <c r="DO17" s="488"/>
      <c r="DP17" s="465">
        <v>0</v>
      </c>
      <c r="DQ17" s="465">
        <v>0</v>
      </c>
      <c r="DR17" s="465">
        <f t="shared" si="31"/>
        <v>0</v>
      </c>
      <c r="DS17" s="465"/>
      <c r="DT17" s="465">
        <v>100000000</v>
      </c>
      <c r="DU17" s="465">
        <f>36000000+1201365+3600000+59198635</f>
        <v>100000000</v>
      </c>
      <c r="DV17" s="465">
        <f t="shared" si="32"/>
        <v>0</v>
      </c>
      <c r="DW17" s="465"/>
      <c r="DX17" s="465">
        <v>15000000</v>
      </c>
      <c r="DY17" s="465">
        <v>0</v>
      </c>
      <c r="DZ17" s="465">
        <f t="shared" si="33"/>
        <v>15000000</v>
      </c>
      <c r="EA17" s="465"/>
      <c r="EB17" s="465">
        <v>10000000</v>
      </c>
      <c r="EC17" s="465">
        <v>0</v>
      </c>
      <c r="ED17" s="465">
        <f t="shared" si="34"/>
        <v>10000000</v>
      </c>
      <c r="EE17" s="465"/>
      <c r="EF17" s="465">
        <v>25000000</v>
      </c>
      <c r="EG17" s="467">
        <f>7340987.68+3661080+1334510+12514665+148757.32</f>
        <v>25000000</v>
      </c>
      <c r="EH17" s="465">
        <f t="shared" si="35"/>
        <v>0</v>
      </c>
      <c r="EI17" s="465"/>
      <c r="EJ17" s="465">
        <v>10000000</v>
      </c>
      <c r="EK17" s="465">
        <v>0</v>
      </c>
      <c r="EL17" s="465">
        <f t="shared" si="36"/>
        <v>10000000</v>
      </c>
      <c r="EM17" s="488"/>
      <c r="EN17" s="465">
        <v>300000000</v>
      </c>
      <c r="EO17" s="487">
        <f>29122365+120451927.15</f>
        <v>149574292.15000001</v>
      </c>
      <c r="EP17" s="465">
        <f t="shared" si="37"/>
        <v>150425707.84999999</v>
      </c>
      <c r="EQ17" s="488"/>
      <c r="ER17" s="465">
        <v>25000000</v>
      </c>
      <c r="ES17" s="465">
        <v>0</v>
      </c>
      <c r="ET17" s="465">
        <f t="shared" si="38"/>
        <v>25000000</v>
      </c>
      <c r="EU17" s="488"/>
      <c r="EV17" s="465">
        <v>10000000</v>
      </c>
      <c r="EW17" s="465">
        <v>0</v>
      </c>
      <c r="EX17" s="465">
        <f t="shared" si="39"/>
        <v>10000000</v>
      </c>
      <c r="EY17" s="488"/>
      <c r="EZ17" s="465">
        <v>30000000</v>
      </c>
      <c r="FA17" s="467">
        <f>8788860+7822905+11599665+1788570</f>
        <v>30000000</v>
      </c>
      <c r="FB17" s="465">
        <f t="shared" si="40"/>
        <v>0</v>
      </c>
      <c r="FC17" s="488"/>
      <c r="FD17" s="465">
        <v>5000000</v>
      </c>
      <c r="FE17" s="465">
        <v>0</v>
      </c>
      <c r="FF17" s="465">
        <f t="shared" si="41"/>
        <v>5000000</v>
      </c>
      <c r="FG17" s="465"/>
      <c r="FH17" s="463">
        <v>120000000</v>
      </c>
      <c r="FI17" s="463">
        <v>0</v>
      </c>
      <c r="FJ17" s="463">
        <f t="shared" si="0"/>
        <v>120000000</v>
      </c>
      <c r="FK17" s="468"/>
      <c r="FL17" s="463">
        <v>25000000</v>
      </c>
      <c r="FM17" s="468">
        <v>0</v>
      </c>
      <c r="FN17" s="468">
        <f t="shared" si="42"/>
        <v>25000000</v>
      </c>
      <c r="FO17" s="468"/>
      <c r="FP17" s="468">
        <v>5000000</v>
      </c>
      <c r="FQ17" s="468">
        <v>0</v>
      </c>
      <c r="FR17" s="468">
        <f t="shared" si="43"/>
        <v>5000000</v>
      </c>
      <c r="FS17" s="468"/>
      <c r="FT17" s="468">
        <v>30000000</v>
      </c>
      <c r="FU17" s="490">
        <f>6473212.68+23526787.32</f>
        <v>30000000</v>
      </c>
      <c r="FV17" s="468">
        <f t="shared" si="44"/>
        <v>0</v>
      </c>
      <c r="FW17" s="468"/>
      <c r="FX17" s="468">
        <v>4150000</v>
      </c>
      <c r="FY17" s="468">
        <v>0</v>
      </c>
      <c r="FZ17" s="468">
        <v>4150000</v>
      </c>
      <c r="GA17" s="468"/>
      <c r="GB17" s="468">
        <v>160000000</v>
      </c>
      <c r="GC17" s="468">
        <v>0</v>
      </c>
      <c r="GD17" s="468">
        <f t="shared" si="45"/>
        <v>160000000</v>
      </c>
      <c r="GE17" s="468"/>
      <c r="GF17" s="468">
        <v>25000000</v>
      </c>
      <c r="GG17" s="468">
        <v>0</v>
      </c>
      <c r="GH17" s="468">
        <f t="shared" si="46"/>
        <v>25000000</v>
      </c>
      <c r="GI17" s="468"/>
      <c r="GJ17" s="468">
        <v>5000000</v>
      </c>
      <c r="GK17" s="468">
        <v>0</v>
      </c>
      <c r="GL17" s="468">
        <f t="shared" si="47"/>
        <v>5000000</v>
      </c>
      <c r="GM17" s="468"/>
      <c r="GN17" s="468">
        <v>20000000</v>
      </c>
      <c r="GO17" s="490">
        <f>6856462.68</f>
        <v>6856462.6799999997</v>
      </c>
      <c r="GP17" s="468">
        <f t="shared" si="48"/>
        <v>13143537.32</v>
      </c>
      <c r="GQ17" s="468"/>
      <c r="GR17" s="468">
        <v>5000000</v>
      </c>
      <c r="GS17" s="468">
        <v>0</v>
      </c>
      <c r="GT17" s="468">
        <f t="shared" si="49"/>
        <v>5000000</v>
      </c>
      <c r="GU17" s="468"/>
      <c r="GV17" s="465">
        <f t="shared" si="50"/>
        <v>1892863898</v>
      </c>
      <c r="GW17" s="465">
        <f t="shared" si="50"/>
        <v>1220812052.8300002</v>
      </c>
      <c r="GX17" s="465">
        <f t="shared" si="51"/>
        <v>672051845.16999984</v>
      </c>
      <c r="GY17" s="470"/>
      <c r="GZ17" s="464"/>
      <c r="HA17" s="471">
        <f>D17+H17+L17+X17+AN17+BH17+CB17+CF17+CV17+DP17+DT17+EN17+FH17+GB17</f>
        <v>1341750000</v>
      </c>
      <c r="HB17" s="471">
        <f>E17+I17+M17+Y17+AO17+BI17+CC17+CG17+CW17+DQ17+DU17+EO17+FI17+GC17</f>
        <v>911324292.14999998</v>
      </c>
      <c r="HC17" s="471">
        <f t="shared" si="52"/>
        <v>430425707.85000002</v>
      </c>
      <c r="HE17" s="471">
        <f>P17+AB17+AR17+
BL17+CJ17+CZ17+DX17+ER17+FL17+GF17</f>
        <v>167000000</v>
      </c>
      <c r="HF17" s="471">
        <f>Q17+AC17+AS17+
BM17+CK17+DA17+DY17+ES17+FM17+GG17</f>
        <v>47667400</v>
      </c>
      <c r="HG17" s="471">
        <f t="shared" si="53"/>
        <v>119332600</v>
      </c>
      <c r="HI17" s="471">
        <f>T17+AF17+AV17+BP17+CN17+DD17+EB17+EV17+FP17+GJ17</f>
        <v>69963898</v>
      </c>
      <c r="HJ17" s="471">
        <f>U17+AG17+AW17+BQ17+CO17+DE17+EC17+EW17+FQ17+GK17</f>
        <v>4963898</v>
      </c>
      <c r="HK17" s="471">
        <f t="shared" si="54"/>
        <v>65000000</v>
      </c>
      <c r="HM17" s="475">
        <f>AJ17+AZ17+BT17+CR17+DH17+EF17+EZ17+FT17+GN17</f>
        <v>270000000</v>
      </c>
      <c r="HN17" s="475">
        <f>AK17+BA17+BU17+CS17+DI17+EG17+FA17+FU17+GO17</f>
        <v>256856462.68000001</v>
      </c>
      <c r="HO17" s="475">
        <f t="shared" si="55"/>
        <v>13143537.319999993</v>
      </c>
      <c r="HP17" s="476"/>
      <c r="HR17" s="471">
        <f>BD17+BX17+DL17+EJ17+FD17+FX17+GR17</f>
        <v>44150000</v>
      </c>
      <c r="HS17" s="471">
        <f>BE17+BY17+DM17+EK17+FE17+FY17+GS17</f>
        <v>0</v>
      </c>
      <c r="HT17" s="471">
        <f t="shared" si="56"/>
        <v>44150000</v>
      </c>
    </row>
    <row r="18" spans="1:228" x14ac:dyDescent="0.25">
      <c r="A18" s="107">
        <v>15</v>
      </c>
      <c r="B18" s="107" t="s">
        <v>1</v>
      </c>
      <c r="C18" s="113" t="s">
        <v>63</v>
      </c>
      <c r="D18" s="488">
        <v>1750000</v>
      </c>
      <c r="E18" s="488">
        <v>1750000</v>
      </c>
      <c r="F18" s="465">
        <f t="shared" si="1"/>
        <v>0</v>
      </c>
      <c r="G18" s="488"/>
      <c r="H18" s="465">
        <v>50000000</v>
      </c>
      <c r="I18" s="465">
        <v>50000000</v>
      </c>
      <c r="J18" s="465">
        <f t="shared" si="2"/>
        <v>0</v>
      </c>
      <c r="K18" s="488"/>
      <c r="L18" s="465">
        <v>50000000</v>
      </c>
      <c r="M18" s="465">
        <v>50000000</v>
      </c>
      <c r="N18" s="465">
        <f t="shared" si="3"/>
        <v>0</v>
      </c>
      <c r="O18" s="488"/>
      <c r="P18" s="465">
        <v>7000000</v>
      </c>
      <c r="Q18" s="465">
        <v>7000000</v>
      </c>
      <c r="R18" s="465">
        <f t="shared" si="4"/>
        <v>0</v>
      </c>
      <c r="S18" s="488"/>
      <c r="T18" s="465">
        <v>3000000</v>
      </c>
      <c r="U18" s="465">
        <v>3000000</v>
      </c>
      <c r="V18" s="465">
        <f t="shared" si="5"/>
        <v>0</v>
      </c>
      <c r="W18" s="488"/>
      <c r="X18" s="465">
        <v>60000000</v>
      </c>
      <c r="Y18" s="465">
        <v>60000000</v>
      </c>
      <c r="Z18" s="465">
        <f t="shared" si="6"/>
        <v>0</v>
      </c>
      <c r="AA18" s="488"/>
      <c r="AB18" s="465">
        <v>10000000</v>
      </c>
      <c r="AC18" s="465">
        <v>10000000</v>
      </c>
      <c r="AD18" s="465">
        <f t="shared" si="7"/>
        <v>0</v>
      </c>
      <c r="AE18" s="488"/>
      <c r="AF18" s="465">
        <v>3800000</v>
      </c>
      <c r="AG18" s="465">
        <v>3800000</v>
      </c>
      <c r="AH18" s="465">
        <f t="shared" si="8"/>
        <v>0</v>
      </c>
      <c r="AI18" s="488"/>
      <c r="AJ18" s="465">
        <v>15000000</v>
      </c>
      <c r="AK18" s="465">
        <v>15000000</v>
      </c>
      <c r="AL18" s="465">
        <f t="shared" si="9"/>
        <v>0</v>
      </c>
      <c r="AM18" s="465"/>
      <c r="AN18" s="465">
        <v>80000000</v>
      </c>
      <c r="AO18" s="465">
        <f>53799899+6880000+10329000</f>
        <v>71008899</v>
      </c>
      <c r="AP18" s="465">
        <f t="shared" si="10"/>
        <v>8991101</v>
      </c>
      <c r="AQ18" s="488"/>
      <c r="AR18" s="465">
        <v>10000000</v>
      </c>
      <c r="AS18" s="465">
        <v>10000000</v>
      </c>
      <c r="AT18" s="465">
        <f t="shared" si="11"/>
        <v>0</v>
      </c>
      <c r="AU18" s="488"/>
      <c r="AV18" s="465">
        <v>5000000</v>
      </c>
      <c r="AW18" s="465">
        <f>2264400+345200</f>
        <v>2609600</v>
      </c>
      <c r="AX18" s="465">
        <f t="shared" si="12"/>
        <v>2390400</v>
      </c>
      <c r="AY18" s="488"/>
      <c r="AZ18" s="465">
        <v>20000000</v>
      </c>
      <c r="BA18" s="465">
        <v>20000000</v>
      </c>
      <c r="BB18" s="465">
        <f t="shared" si="13"/>
        <v>0</v>
      </c>
      <c r="BC18" s="488"/>
      <c r="BD18" s="465">
        <v>5000000</v>
      </c>
      <c r="BE18" s="465">
        <f>0</f>
        <v>0</v>
      </c>
      <c r="BF18" s="465">
        <f t="shared" si="14"/>
        <v>5000000</v>
      </c>
      <c r="BG18" s="488"/>
      <c r="BH18" s="465">
        <v>130000000</v>
      </c>
      <c r="BI18" s="492">
        <f>14920875+115079125</f>
        <v>130000000</v>
      </c>
      <c r="BJ18" s="465">
        <f t="shared" si="15"/>
        <v>0</v>
      </c>
      <c r="BK18" s="488"/>
      <c r="BL18" s="465">
        <v>10000000</v>
      </c>
      <c r="BM18" s="465">
        <f>441300+6400000+3100000+58700</f>
        <v>10000000</v>
      </c>
      <c r="BN18" s="465">
        <f t="shared" si="16"/>
        <v>0</v>
      </c>
      <c r="BO18" s="488"/>
      <c r="BP18" s="465">
        <v>10000000</v>
      </c>
      <c r="BQ18" s="465">
        <f>4448900+2007700+2466700</f>
        <v>8923300</v>
      </c>
      <c r="BR18" s="465">
        <f t="shared" si="17"/>
        <v>1076700</v>
      </c>
      <c r="BS18" s="488"/>
      <c r="BT18" s="465">
        <v>40000000</v>
      </c>
      <c r="BU18" s="465">
        <f>1294965.3+9267350+9219413+9424025+10794246.7</f>
        <v>40000000</v>
      </c>
      <c r="BV18" s="465">
        <f t="shared" si="18"/>
        <v>0</v>
      </c>
      <c r="BW18" s="488"/>
      <c r="BX18" s="465">
        <v>5000000</v>
      </c>
      <c r="BY18" s="465">
        <v>0</v>
      </c>
      <c r="BZ18" s="465">
        <f t="shared" si="19"/>
        <v>5000000</v>
      </c>
      <c r="CA18" s="488"/>
      <c r="CB18" s="465">
        <v>0</v>
      </c>
      <c r="CC18" s="465">
        <v>0</v>
      </c>
      <c r="CD18" s="465">
        <f t="shared" si="20"/>
        <v>0</v>
      </c>
      <c r="CE18" s="488"/>
      <c r="CF18" s="465">
        <f t="shared" si="21"/>
        <v>140000000</v>
      </c>
      <c r="CG18" s="465">
        <f>121607365-9362000+19800622.2</f>
        <v>132045987.2</v>
      </c>
      <c r="CH18" s="465">
        <f t="shared" si="22"/>
        <v>7954012.799999997</v>
      </c>
      <c r="CI18" s="488"/>
      <c r="CJ18" s="465">
        <v>20000000</v>
      </c>
      <c r="CK18" s="465">
        <f>19221300+659250+119450</f>
        <v>20000000</v>
      </c>
      <c r="CL18" s="465">
        <f t="shared" si="23"/>
        <v>0</v>
      </c>
      <c r="CM18" s="488"/>
      <c r="CN18" s="465">
        <v>10000000</v>
      </c>
      <c r="CO18" s="465">
        <f>10000000-10000000+1500000</f>
        <v>1500000</v>
      </c>
      <c r="CP18" s="465">
        <f t="shared" si="24"/>
        <v>8500000</v>
      </c>
      <c r="CQ18" s="488"/>
      <c r="CR18" s="465">
        <v>40000000</v>
      </c>
      <c r="CS18" s="465">
        <f>15769800.3+24230199.7</f>
        <v>40000000</v>
      </c>
      <c r="CT18" s="465">
        <f t="shared" si="25"/>
        <v>0</v>
      </c>
      <c r="CU18" s="488"/>
      <c r="CV18" s="465">
        <v>150000000</v>
      </c>
      <c r="CW18" s="465">
        <f>30000000+1050000+31115600</f>
        <v>62165600</v>
      </c>
      <c r="CX18" s="465">
        <f t="shared" si="26"/>
        <v>87834400</v>
      </c>
      <c r="CY18" s="488"/>
      <c r="CZ18" s="465">
        <v>20000000</v>
      </c>
      <c r="DA18" s="465">
        <f>4000000+4000000+1130000+1467713+3546650.37+3875450+1980186.63</f>
        <v>20000000</v>
      </c>
      <c r="DB18" s="465">
        <f t="shared" si="27"/>
        <v>0</v>
      </c>
      <c r="DC18" s="465"/>
      <c r="DD18" s="465">
        <v>10000000</v>
      </c>
      <c r="DE18" s="465">
        <f>9280000-9280000</f>
        <v>0</v>
      </c>
      <c r="DF18" s="465">
        <f t="shared" si="28"/>
        <v>10000000</v>
      </c>
      <c r="DG18" s="488"/>
      <c r="DH18" s="465">
        <v>50000000</v>
      </c>
      <c r="DI18" s="484">
        <f>3590728.3+13919950+4271086+7459318+416400+3333934+1734844+4733362+9362000+1178377.7</f>
        <v>50000000</v>
      </c>
      <c r="DJ18" s="465">
        <f t="shared" si="29"/>
        <v>0</v>
      </c>
      <c r="DK18" s="488"/>
      <c r="DL18" s="465">
        <v>10000000</v>
      </c>
      <c r="DM18" s="465">
        <v>0</v>
      </c>
      <c r="DN18" s="465">
        <f t="shared" si="30"/>
        <v>10000000</v>
      </c>
      <c r="DO18" s="488"/>
      <c r="DP18" s="465">
        <v>0</v>
      </c>
      <c r="DQ18" s="465">
        <v>0</v>
      </c>
      <c r="DR18" s="465">
        <f t="shared" si="31"/>
        <v>0</v>
      </c>
      <c r="DS18" s="465"/>
      <c r="DT18" s="465">
        <v>100000000</v>
      </c>
      <c r="DU18" s="465">
        <f>79069790+20930210</f>
        <v>100000000</v>
      </c>
      <c r="DV18" s="465">
        <f t="shared" si="32"/>
        <v>0</v>
      </c>
      <c r="DW18" s="465"/>
      <c r="DX18" s="465">
        <v>15000000</v>
      </c>
      <c r="DY18" s="485">
        <f>835763.37+1235050+2311950+1634205</f>
        <v>6016968.3700000001</v>
      </c>
      <c r="DZ18" s="465">
        <f t="shared" si="33"/>
        <v>8983031.629999999</v>
      </c>
      <c r="EA18" s="465"/>
      <c r="EB18" s="465">
        <v>10000000</v>
      </c>
      <c r="EC18" s="465">
        <v>0</v>
      </c>
      <c r="ED18" s="465">
        <f t="shared" si="34"/>
        <v>10000000</v>
      </c>
      <c r="EE18" s="465"/>
      <c r="EF18" s="465">
        <v>25000000</v>
      </c>
      <c r="EG18" s="484">
        <f>1104300+1931932+1827100+1641475+6068157.45+5056475+7370560.55</f>
        <v>25000000</v>
      </c>
      <c r="EH18" s="465">
        <f t="shared" si="35"/>
        <v>0</v>
      </c>
      <c r="EI18" s="465"/>
      <c r="EJ18" s="465">
        <v>10000000</v>
      </c>
      <c r="EK18" s="465">
        <v>0</v>
      </c>
      <c r="EL18" s="465">
        <f t="shared" si="36"/>
        <v>10000000</v>
      </c>
      <c r="EM18" s="488"/>
      <c r="EN18" s="465">
        <v>300000000</v>
      </c>
      <c r="EO18" s="465">
        <f>39223790+90880908.3+109663345+60231956.7</f>
        <v>300000000</v>
      </c>
      <c r="EP18" s="465">
        <f t="shared" si="37"/>
        <v>0</v>
      </c>
      <c r="EQ18" s="488"/>
      <c r="ER18" s="465">
        <v>25000000</v>
      </c>
      <c r="ES18" s="465">
        <v>0</v>
      </c>
      <c r="ET18" s="465">
        <f t="shared" si="38"/>
        <v>25000000</v>
      </c>
      <c r="EU18" s="488"/>
      <c r="EV18" s="465">
        <v>10000000</v>
      </c>
      <c r="EW18" s="465">
        <v>0</v>
      </c>
      <c r="EX18" s="465">
        <f t="shared" si="39"/>
        <v>10000000</v>
      </c>
      <c r="EY18" s="488"/>
      <c r="EZ18" s="465">
        <v>30000000</v>
      </c>
      <c r="FA18" s="484">
        <f>3882596.75</f>
        <v>3882596.75</v>
      </c>
      <c r="FB18" s="465">
        <f t="shared" si="40"/>
        <v>26117403.25</v>
      </c>
      <c r="FC18" s="488"/>
      <c r="FD18" s="465">
        <v>5000000</v>
      </c>
      <c r="FE18" s="465">
        <v>0</v>
      </c>
      <c r="FF18" s="465">
        <f t="shared" si="41"/>
        <v>5000000</v>
      </c>
      <c r="FG18" s="465"/>
      <c r="FH18" s="463">
        <v>120000000</v>
      </c>
      <c r="FI18" s="463">
        <f>81535324.6</f>
        <v>81535324.599999994</v>
      </c>
      <c r="FJ18" s="463">
        <f t="shared" si="0"/>
        <v>38464675.400000006</v>
      </c>
      <c r="FK18" s="468"/>
      <c r="FL18" s="463">
        <v>25000000</v>
      </c>
      <c r="FM18" s="468">
        <v>0</v>
      </c>
      <c r="FN18" s="468">
        <f>FL18-FM18</f>
        <v>25000000</v>
      </c>
      <c r="FO18" s="468"/>
      <c r="FP18" s="468">
        <v>5000000</v>
      </c>
      <c r="FQ18" s="468">
        <v>0</v>
      </c>
      <c r="FR18" s="468">
        <f>FP18-FQ18</f>
        <v>5000000</v>
      </c>
      <c r="FS18" s="468"/>
      <c r="FT18" s="468">
        <v>30000000</v>
      </c>
      <c r="FU18" s="468">
        <v>0</v>
      </c>
      <c r="FV18" s="468">
        <f>FT18-FU18</f>
        <v>30000000</v>
      </c>
      <c r="FW18" s="468"/>
      <c r="FX18" s="468">
        <v>4150000</v>
      </c>
      <c r="FY18" s="468">
        <v>0</v>
      </c>
      <c r="FZ18" s="468">
        <v>4150000</v>
      </c>
      <c r="GA18" s="468"/>
      <c r="GB18" s="468">
        <v>160000000</v>
      </c>
      <c r="GC18" s="468">
        <v>0</v>
      </c>
      <c r="GD18" s="468">
        <f t="shared" si="45"/>
        <v>160000000</v>
      </c>
      <c r="GE18" s="468"/>
      <c r="GF18" s="468">
        <v>25000000</v>
      </c>
      <c r="GG18" s="468">
        <v>0</v>
      </c>
      <c r="GH18" s="468">
        <f t="shared" si="46"/>
        <v>25000000</v>
      </c>
      <c r="GI18" s="468"/>
      <c r="GJ18" s="468">
        <v>5000000</v>
      </c>
      <c r="GK18" s="468">
        <v>0</v>
      </c>
      <c r="GL18" s="468">
        <f t="shared" si="47"/>
        <v>5000000</v>
      </c>
      <c r="GM18" s="468"/>
      <c r="GN18" s="468">
        <v>20000000</v>
      </c>
      <c r="GO18" s="468">
        <v>0</v>
      </c>
      <c r="GP18" s="468">
        <f t="shared" si="48"/>
        <v>20000000</v>
      </c>
      <c r="GQ18" s="468"/>
      <c r="GR18" s="468">
        <v>5000000</v>
      </c>
      <c r="GS18" s="468">
        <v>0</v>
      </c>
      <c r="GT18" s="468">
        <f t="shared" si="49"/>
        <v>5000000</v>
      </c>
      <c r="GU18" s="468"/>
      <c r="GV18" s="465">
        <f t="shared" si="50"/>
        <v>1894700000</v>
      </c>
      <c r="GW18" s="465">
        <f t="shared" si="50"/>
        <v>1335238275.9200001</v>
      </c>
      <c r="GX18" s="465">
        <f t="shared" si="51"/>
        <v>559461724.07999992</v>
      </c>
      <c r="GY18" s="470"/>
      <c r="GZ18" s="464"/>
      <c r="HA18" s="471">
        <f>D18+H18+L18+X18+AN18+BH18+CB18+CF18+CV18+DP18+DT18+EN18+FH18+GB18</f>
        <v>1341750000</v>
      </c>
      <c r="HB18" s="471">
        <f>E18+I18+M18+Y18+AO18+BI18+CC18+CG18+CW18+DQ18+DU18+EO18+FI18+GC18</f>
        <v>1038505810.8000001</v>
      </c>
      <c r="HC18" s="471">
        <f t="shared" si="52"/>
        <v>303244189.19999993</v>
      </c>
      <c r="HE18" s="471">
        <f>P18+AB18+AR18+
BL18+CJ18+CZ18+DX18+ER18+FL18+GF18</f>
        <v>167000000</v>
      </c>
      <c r="HF18" s="471">
        <f>Q18+AC18+AS18+
BM18+CK18+DA18+DY18+ES18+FM18+GG18</f>
        <v>83016968.370000005</v>
      </c>
      <c r="HG18" s="471">
        <f t="shared" si="53"/>
        <v>83983031.629999995</v>
      </c>
      <c r="HI18" s="471">
        <f>T18+AF18+AV18+BP18+CN18+DD18+EB18+EV18+FP18+GJ18</f>
        <v>71800000</v>
      </c>
      <c r="HJ18" s="471">
        <f>U18+AG18+AW18+BQ18+CO18+DE18+EC18+EW18+FQ18+GK18</f>
        <v>19832900</v>
      </c>
      <c r="HK18" s="471">
        <f t="shared" si="54"/>
        <v>51967100</v>
      </c>
      <c r="HM18" s="475">
        <f>AJ18+AZ18+BT18+CR18+DH18+EF18+EZ18+FT18+GN18</f>
        <v>270000000</v>
      </c>
      <c r="HN18" s="475">
        <f>AK18+BA18+BU18+CS18+DI18+EG18+FA18+FU18+GO18</f>
        <v>193882596.75</v>
      </c>
      <c r="HO18" s="475">
        <f t="shared" si="55"/>
        <v>76117403.25</v>
      </c>
      <c r="HP18" s="476"/>
      <c r="HR18" s="471">
        <f>BD18+BX18+DL18+EJ18+FD18+FX18+GR18</f>
        <v>44150000</v>
      </c>
      <c r="HS18" s="471">
        <f>BE18+BY18+DM18+EK18+FE18+FY18+GS18</f>
        <v>0</v>
      </c>
      <c r="HT18" s="471">
        <f t="shared" si="56"/>
        <v>44150000</v>
      </c>
    </row>
    <row r="19" spans="1:228" x14ac:dyDescent="0.25">
      <c r="A19" s="107">
        <v>16</v>
      </c>
      <c r="B19" s="107" t="s">
        <v>80</v>
      </c>
      <c r="C19" s="113" t="s">
        <v>76</v>
      </c>
      <c r="D19" s="488">
        <v>1750000</v>
      </c>
      <c r="E19" s="488">
        <v>1750000</v>
      </c>
      <c r="F19" s="465">
        <f t="shared" si="1"/>
        <v>0</v>
      </c>
      <c r="G19" s="488"/>
      <c r="H19" s="465">
        <v>50000000</v>
      </c>
      <c r="I19" s="465">
        <v>50000000</v>
      </c>
      <c r="J19" s="465">
        <f t="shared" si="2"/>
        <v>0</v>
      </c>
      <c r="K19" s="488"/>
      <c r="L19" s="465">
        <v>50000000</v>
      </c>
      <c r="M19" s="465">
        <v>50000000</v>
      </c>
      <c r="N19" s="465">
        <f t="shared" si="3"/>
        <v>0</v>
      </c>
      <c r="O19" s="488"/>
      <c r="P19" s="465">
        <v>7000000</v>
      </c>
      <c r="Q19" s="465">
        <v>7000000</v>
      </c>
      <c r="R19" s="465">
        <f t="shared" si="4"/>
        <v>0</v>
      </c>
      <c r="S19" s="488"/>
      <c r="T19" s="465">
        <v>3000000</v>
      </c>
      <c r="U19" s="465">
        <v>3000000</v>
      </c>
      <c r="V19" s="465">
        <f t="shared" si="5"/>
        <v>0</v>
      </c>
      <c r="W19" s="488"/>
      <c r="X19" s="465">
        <v>60000000</v>
      </c>
      <c r="Y19" s="465">
        <v>60000000</v>
      </c>
      <c r="Z19" s="465">
        <f t="shared" si="6"/>
        <v>0</v>
      </c>
      <c r="AA19" s="488"/>
      <c r="AB19" s="465">
        <v>10000000</v>
      </c>
      <c r="AC19" s="465">
        <v>10000000</v>
      </c>
      <c r="AD19" s="465">
        <f t="shared" si="7"/>
        <v>0</v>
      </c>
      <c r="AE19" s="488"/>
      <c r="AF19" s="465">
        <v>5000000</v>
      </c>
      <c r="AG19" s="465">
        <v>5000000</v>
      </c>
      <c r="AH19" s="465">
        <f t="shared" si="8"/>
        <v>0</v>
      </c>
      <c r="AI19" s="488"/>
      <c r="AJ19" s="465">
        <v>15000000</v>
      </c>
      <c r="AK19" s="465">
        <v>15000000</v>
      </c>
      <c r="AL19" s="465">
        <f t="shared" si="9"/>
        <v>0</v>
      </c>
      <c r="AM19" s="465"/>
      <c r="AN19" s="465">
        <v>80000000</v>
      </c>
      <c r="AO19" s="465">
        <f>23025000+11287750.79+24527175+21160074.21</f>
        <v>80000000</v>
      </c>
      <c r="AP19" s="465">
        <f t="shared" si="10"/>
        <v>0</v>
      </c>
      <c r="AQ19" s="488"/>
      <c r="AR19" s="465">
        <v>10000000</v>
      </c>
      <c r="AS19" s="465">
        <f>3990000+6010000</f>
        <v>10000000</v>
      </c>
      <c r="AT19" s="465">
        <f t="shared" si="11"/>
        <v>0</v>
      </c>
      <c r="AU19" s="488"/>
      <c r="AV19" s="465">
        <v>5000000</v>
      </c>
      <c r="AW19" s="465">
        <f>3275250+6724750-5000000</f>
        <v>5000000</v>
      </c>
      <c r="AX19" s="465">
        <f t="shared" si="12"/>
        <v>0</v>
      </c>
      <c r="AY19" s="488"/>
      <c r="AZ19" s="465">
        <v>20000000</v>
      </c>
      <c r="BA19" s="465">
        <f>7892351.9+11248528.22+859119.88</f>
        <v>20000000</v>
      </c>
      <c r="BB19" s="465">
        <f t="shared" si="13"/>
        <v>0</v>
      </c>
      <c r="BC19" s="488"/>
      <c r="BD19" s="465">
        <v>5000000</v>
      </c>
      <c r="BE19" s="465">
        <f>0</f>
        <v>0</v>
      </c>
      <c r="BF19" s="465">
        <f t="shared" si="14"/>
        <v>5000000</v>
      </c>
      <c r="BG19" s="488"/>
      <c r="BH19" s="465">
        <v>130000000</v>
      </c>
      <c r="BI19" s="465">
        <f>19731978.24+54339050+21904500+293280+2566625+27279700+3884866.76</f>
        <v>130000000</v>
      </c>
      <c r="BJ19" s="465">
        <f t="shared" si="15"/>
        <v>0</v>
      </c>
      <c r="BK19" s="488"/>
      <c r="BL19" s="465">
        <v>10000000</v>
      </c>
      <c r="BM19" s="465">
        <v>10000000</v>
      </c>
      <c r="BN19" s="465">
        <f t="shared" si="16"/>
        <v>0</v>
      </c>
      <c r="BO19" s="488"/>
      <c r="BP19" s="465">
        <v>10000000</v>
      </c>
      <c r="BQ19" s="465">
        <v>10000000</v>
      </c>
      <c r="BR19" s="465">
        <f t="shared" si="17"/>
        <v>0</v>
      </c>
      <c r="BS19" s="488"/>
      <c r="BT19" s="465">
        <v>40000000</v>
      </c>
      <c r="BU19" s="465">
        <f>11556976.12+10148760+3718340+11692750+2663425+219748.88</f>
        <v>40000000</v>
      </c>
      <c r="BV19" s="465">
        <f t="shared" si="18"/>
        <v>0</v>
      </c>
      <c r="BW19" s="488"/>
      <c r="BX19" s="465">
        <v>5000000</v>
      </c>
      <c r="BY19" s="465">
        <v>0</v>
      </c>
      <c r="BZ19" s="465">
        <f t="shared" si="19"/>
        <v>5000000</v>
      </c>
      <c r="CA19" s="488"/>
      <c r="CB19" s="465">
        <v>0</v>
      </c>
      <c r="CC19" s="465">
        <v>0</v>
      </c>
      <c r="CD19" s="465">
        <f t="shared" si="20"/>
        <v>0</v>
      </c>
      <c r="CE19" s="488"/>
      <c r="CF19" s="465">
        <f t="shared" si="21"/>
        <v>140000000</v>
      </c>
      <c r="CG19" s="465">
        <f>40349133.24+1550000+2100000+78454300+17546566.76</f>
        <v>140000000</v>
      </c>
      <c r="CH19" s="465">
        <f t="shared" si="22"/>
        <v>0</v>
      </c>
      <c r="CI19" s="488"/>
      <c r="CJ19" s="465">
        <v>20000000</v>
      </c>
      <c r="CK19" s="484">
        <f>16122675+3877325</f>
        <v>20000000</v>
      </c>
      <c r="CL19" s="465">
        <f t="shared" si="23"/>
        <v>0</v>
      </c>
      <c r="CM19" s="488"/>
      <c r="CN19" s="465">
        <v>10000000</v>
      </c>
      <c r="CO19" s="465">
        <f>8550000+1450000</f>
        <v>10000000</v>
      </c>
      <c r="CP19" s="465">
        <f t="shared" si="24"/>
        <v>0</v>
      </c>
      <c r="CQ19" s="488"/>
      <c r="CR19" s="465">
        <v>40000000</v>
      </c>
      <c r="CS19" s="465">
        <f>8067316.12+11008912.7+7405430+9914430+2958460+645451.18</f>
        <v>40000000</v>
      </c>
      <c r="CT19" s="465">
        <f t="shared" si="25"/>
        <v>0</v>
      </c>
      <c r="CU19" s="488"/>
      <c r="CV19" s="465">
        <v>150000000</v>
      </c>
      <c r="CW19" s="465">
        <f>43670133.24+41515200+59608800+5205866.76</f>
        <v>150000000</v>
      </c>
      <c r="CX19" s="465">
        <f t="shared" si="26"/>
        <v>0</v>
      </c>
      <c r="CY19" s="488"/>
      <c r="CZ19" s="465">
        <v>20000000</v>
      </c>
      <c r="DA19" s="465">
        <v>20000000</v>
      </c>
      <c r="DB19" s="465">
        <f t="shared" si="27"/>
        <v>0</v>
      </c>
      <c r="DC19" s="465"/>
      <c r="DD19" s="465">
        <v>10000000</v>
      </c>
      <c r="DE19" s="465">
        <f>3550000</f>
        <v>3550000</v>
      </c>
      <c r="DF19" s="465">
        <f t="shared" si="28"/>
        <v>6450000</v>
      </c>
      <c r="DG19" s="488"/>
      <c r="DH19" s="465">
        <v>50000000</v>
      </c>
      <c r="DI19" s="465">
        <f>19665118.82+10605110+11739480+2199091+1765652+4025548.18</f>
        <v>50000000</v>
      </c>
      <c r="DJ19" s="465">
        <f t="shared" si="29"/>
        <v>0</v>
      </c>
      <c r="DK19" s="488"/>
      <c r="DL19" s="465">
        <v>10000000</v>
      </c>
      <c r="DM19" s="465">
        <f>3526650+622350</f>
        <v>4149000</v>
      </c>
      <c r="DN19" s="465">
        <f t="shared" si="30"/>
        <v>5851000</v>
      </c>
      <c r="DO19" s="488"/>
      <c r="DP19" s="465">
        <v>0</v>
      </c>
      <c r="DQ19" s="465">
        <v>0</v>
      </c>
      <c r="DR19" s="465">
        <f t="shared" si="31"/>
        <v>0</v>
      </c>
      <c r="DS19" s="465"/>
      <c r="DT19" s="465">
        <v>100000000</v>
      </c>
      <c r="DU19" s="465">
        <f>54948133.24+45051866.76</f>
        <v>100000000</v>
      </c>
      <c r="DV19" s="465">
        <f t="shared" si="32"/>
        <v>0</v>
      </c>
      <c r="DW19" s="465"/>
      <c r="DX19" s="465">
        <v>15000000</v>
      </c>
      <c r="DY19" s="484">
        <f>1869800+13130200</f>
        <v>15000000</v>
      </c>
      <c r="DZ19" s="465">
        <f t="shared" si="33"/>
        <v>0</v>
      </c>
      <c r="EA19" s="465"/>
      <c r="EB19" s="465">
        <v>10000000</v>
      </c>
      <c r="EC19" s="465">
        <v>0</v>
      </c>
      <c r="ED19" s="465">
        <f t="shared" si="34"/>
        <v>10000000</v>
      </c>
      <c r="EE19" s="465"/>
      <c r="EF19" s="465">
        <v>25000000</v>
      </c>
      <c r="EG19" s="484">
        <f>4708946.82+3280567+3175875+3715775</f>
        <v>14881163.82</v>
      </c>
      <c r="EH19" s="465">
        <f t="shared" si="35"/>
        <v>10118836.18</v>
      </c>
      <c r="EI19" s="465"/>
      <c r="EJ19" s="465">
        <v>10000000</v>
      </c>
      <c r="EK19" s="465">
        <v>0</v>
      </c>
      <c r="EL19" s="465">
        <f t="shared" si="36"/>
        <v>10000000</v>
      </c>
      <c r="EM19" s="488"/>
      <c r="EN19" s="465">
        <v>300000000</v>
      </c>
      <c r="EO19" s="487">
        <f>4500000+58615926.44+43128812.5+83673000+16200000</f>
        <v>206117738.94</v>
      </c>
      <c r="EP19" s="465">
        <f t="shared" si="37"/>
        <v>93882261.060000002</v>
      </c>
      <c r="EQ19" s="488"/>
      <c r="ER19" s="465">
        <v>25000000</v>
      </c>
      <c r="ES19" s="484">
        <f>23248127.61</f>
        <v>23248127.609999999</v>
      </c>
      <c r="ET19" s="465">
        <f t="shared" si="38"/>
        <v>1751872.3900000006</v>
      </c>
      <c r="EU19" s="488"/>
      <c r="EV19" s="465">
        <v>10000000</v>
      </c>
      <c r="EW19" s="465">
        <v>0</v>
      </c>
      <c r="EX19" s="465">
        <f t="shared" si="39"/>
        <v>10000000</v>
      </c>
      <c r="EY19" s="488"/>
      <c r="EZ19" s="465">
        <v>30000000</v>
      </c>
      <c r="FA19" s="465">
        <v>0</v>
      </c>
      <c r="FB19" s="465">
        <f t="shared" si="40"/>
        <v>30000000</v>
      </c>
      <c r="FC19" s="488"/>
      <c r="FD19" s="465">
        <v>5000000</v>
      </c>
      <c r="FE19" s="465">
        <v>0</v>
      </c>
      <c r="FF19" s="465">
        <f t="shared" si="41"/>
        <v>5000000</v>
      </c>
      <c r="FG19" s="465"/>
      <c r="FH19" s="463">
        <v>120000000</v>
      </c>
      <c r="FI19" s="463">
        <v>0</v>
      </c>
      <c r="FJ19" s="463">
        <f t="shared" si="0"/>
        <v>120000000</v>
      </c>
      <c r="FK19" s="468"/>
      <c r="FL19" s="463">
        <v>25000000</v>
      </c>
      <c r="FM19" s="468">
        <v>0</v>
      </c>
      <c r="FN19" s="468">
        <f t="shared" si="42"/>
        <v>25000000</v>
      </c>
      <c r="FO19" s="468"/>
      <c r="FP19" s="468">
        <v>5000000</v>
      </c>
      <c r="FQ19" s="468">
        <v>0</v>
      </c>
      <c r="FR19" s="468">
        <f t="shared" ref="FR19:FR29" si="57">FP19-FQ19</f>
        <v>5000000</v>
      </c>
      <c r="FS19" s="468"/>
      <c r="FT19" s="468">
        <v>30000000</v>
      </c>
      <c r="FU19" s="468">
        <v>0</v>
      </c>
      <c r="FV19" s="468">
        <f t="shared" ref="FV19:FV27" si="58">FT19-FU19</f>
        <v>30000000</v>
      </c>
      <c r="FW19" s="468"/>
      <c r="FX19" s="468">
        <v>4150000</v>
      </c>
      <c r="FY19" s="468">
        <v>0</v>
      </c>
      <c r="FZ19" s="468">
        <v>4150000</v>
      </c>
      <c r="GA19" s="468"/>
      <c r="GB19" s="468">
        <v>160000000</v>
      </c>
      <c r="GC19" s="468">
        <v>0</v>
      </c>
      <c r="GD19" s="468">
        <f t="shared" si="45"/>
        <v>160000000</v>
      </c>
      <c r="GE19" s="468"/>
      <c r="GF19" s="468">
        <v>25000000</v>
      </c>
      <c r="GG19" s="468">
        <v>0</v>
      </c>
      <c r="GH19" s="468">
        <f t="shared" si="46"/>
        <v>25000000</v>
      </c>
      <c r="GI19" s="468"/>
      <c r="GJ19" s="468">
        <v>5000000</v>
      </c>
      <c r="GK19" s="468">
        <v>0</v>
      </c>
      <c r="GL19" s="468">
        <f t="shared" si="47"/>
        <v>5000000</v>
      </c>
      <c r="GM19" s="468"/>
      <c r="GN19" s="468">
        <v>20000000</v>
      </c>
      <c r="GO19" s="468">
        <v>0</v>
      </c>
      <c r="GP19" s="468">
        <f t="shared" si="48"/>
        <v>20000000</v>
      </c>
      <c r="GQ19" s="468"/>
      <c r="GR19" s="468">
        <v>5000000</v>
      </c>
      <c r="GS19" s="468">
        <v>0</v>
      </c>
      <c r="GT19" s="468">
        <f t="shared" si="49"/>
        <v>5000000</v>
      </c>
      <c r="GU19" s="468"/>
      <c r="GV19" s="465">
        <f t="shared" si="50"/>
        <v>1895900000</v>
      </c>
      <c r="GW19" s="465">
        <f t="shared" si="50"/>
        <v>1303696030.3699999</v>
      </c>
      <c r="GX19" s="465">
        <f t="shared" si="51"/>
        <v>592203969.63000011</v>
      </c>
      <c r="GY19" s="470"/>
      <c r="GZ19" s="464"/>
      <c r="HA19" s="471">
        <f>D19+H19+L19+X19+AN19+BH19+CB19+CF19+CV19+DP19+DT19+EN19+FH19+GB19</f>
        <v>1341750000</v>
      </c>
      <c r="HB19" s="471">
        <f>E19+I19+M19+Y19+AO19+BI19+CC19+CG19+CW19+DQ19+DU19+EO19+FI19+GC19</f>
        <v>967867738.94000006</v>
      </c>
      <c r="HC19" s="471">
        <f t="shared" si="52"/>
        <v>373882261.05999994</v>
      </c>
      <c r="HE19" s="471">
        <f>P19+AB19+AR19+
BL19+CJ19+CZ19+DX19+ER19+FL19+GF19</f>
        <v>167000000</v>
      </c>
      <c r="HF19" s="471">
        <f>Q19+AC19+AS19+
BM19+CK19+DA19+DY19+ES19+FM19+GG19</f>
        <v>115248127.61</v>
      </c>
      <c r="HG19" s="471">
        <f t="shared" si="53"/>
        <v>51751872.390000001</v>
      </c>
      <c r="HI19" s="471">
        <f>T19+AF19+AV19+BP19+CN19+DD19+EB19+EV19+FP19+GJ19</f>
        <v>73000000</v>
      </c>
      <c r="HJ19" s="471">
        <f>U19+AG19+AW19+BQ19+CO19+DE19+EC19+EW19+FQ19+GK19</f>
        <v>36550000</v>
      </c>
      <c r="HK19" s="471">
        <f t="shared" si="54"/>
        <v>36450000</v>
      </c>
      <c r="HM19" s="475">
        <f>AJ19+AZ19+BT19+CR19+DH19+EF19+EZ19+FT19+GN19</f>
        <v>270000000</v>
      </c>
      <c r="HN19" s="475">
        <f>AK19+BA19+BU19+CS19+DI19+EG19+FA19+FU19+GO19</f>
        <v>179881163.81999999</v>
      </c>
      <c r="HO19" s="475">
        <f t="shared" si="55"/>
        <v>90118836.180000007</v>
      </c>
      <c r="HP19" s="476"/>
      <c r="HR19" s="471">
        <f>BD19+BX19+DL19+EJ19+FD19+FX19+GR19</f>
        <v>44150000</v>
      </c>
      <c r="HS19" s="471">
        <f>BE19+BY19+DM19+EK19+FE19+FY19+GS19</f>
        <v>4149000</v>
      </c>
      <c r="HT19" s="471">
        <f t="shared" si="56"/>
        <v>40001000</v>
      </c>
    </row>
    <row r="20" spans="1:228" x14ac:dyDescent="0.25">
      <c r="A20" s="107">
        <v>17</v>
      </c>
      <c r="B20" s="107" t="s">
        <v>475</v>
      </c>
      <c r="C20" s="493" t="s">
        <v>74</v>
      </c>
      <c r="D20" s="465">
        <v>0</v>
      </c>
      <c r="E20" s="465">
        <v>0</v>
      </c>
      <c r="F20" s="465">
        <f t="shared" si="1"/>
        <v>0</v>
      </c>
      <c r="G20" s="465"/>
      <c r="H20" s="465">
        <v>50000000</v>
      </c>
      <c r="I20" s="465">
        <v>50000000</v>
      </c>
      <c r="J20" s="465">
        <f t="shared" si="2"/>
        <v>0</v>
      </c>
      <c r="K20" s="465"/>
      <c r="L20" s="465">
        <v>50000000</v>
      </c>
      <c r="M20" s="465">
        <v>50000000</v>
      </c>
      <c r="N20" s="465">
        <f t="shared" si="3"/>
        <v>0</v>
      </c>
      <c r="O20" s="465"/>
      <c r="P20" s="465">
        <f>605000+1827120</f>
        <v>2432120</v>
      </c>
      <c r="Q20" s="465">
        <f>605000+1827120</f>
        <v>2432120</v>
      </c>
      <c r="R20" s="465">
        <f t="shared" si="4"/>
        <v>0</v>
      </c>
      <c r="S20" s="465"/>
      <c r="T20" s="465">
        <v>3000000</v>
      </c>
      <c r="U20" s="465">
        <v>3000000</v>
      </c>
      <c r="V20" s="465">
        <f t="shared" si="5"/>
        <v>0</v>
      </c>
      <c r="W20" s="465"/>
      <c r="X20" s="465">
        <v>60000000</v>
      </c>
      <c r="Y20" s="465">
        <v>60000000</v>
      </c>
      <c r="Z20" s="465">
        <f t="shared" si="6"/>
        <v>0</v>
      </c>
      <c r="AA20" s="465"/>
      <c r="AB20" s="465">
        <f>10000000-10000000</f>
        <v>0</v>
      </c>
      <c r="AC20" s="465">
        <v>0</v>
      </c>
      <c r="AD20" s="465">
        <f t="shared" si="7"/>
        <v>0</v>
      </c>
      <c r="AE20" s="465"/>
      <c r="AF20" s="465">
        <v>3800000</v>
      </c>
      <c r="AG20" s="465">
        <v>3800000</v>
      </c>
      <c r="AH20" s="465">
        <f t="shared" si="8"/>
        <v>0</v>
      </c>
      <c r="AI20" s="465"/>
      <c r="AJ20" s="465">
        <v>15000000</v>
      </c>
      <c r="AK20" s="465">
        <v>15000000</v>
      </c>
      <c r="AL20" s="465">
        <f t="shared" si="9"/>
        <v>0</v>
      </c>
      <c r="AM20" s="465"/>
      <c r="AN20" s="465">
        <v>80000000</v>
      </c>
      <c r="AO20" s="465">
        <v>80000000</v>
      </c>
      <c r="AP20" s="465">
        <f t="shared" si="10"/>
        <v>0</v>
      </c>
      <c r="AQ20" s="465"/>
      <c r="AR20" s="465">
        <v>10000000</v>
      </c>
      <c r="AS20" s="465">
        <f>6000000+4000000</f>
        <v>10000000</v>
      </c>
      <c r="AT20" s="465">
        <f t="shared" si="11"/>
        <v>0</v>
      </c>
      <c r="AU20" s="465"/>
      <c r="AV20" s="465">
        <v>5000000</v>
      </c>
      <c r="AW20" s="485">
        <f>1638375+289125+3072500</f>
        <v>5000000</v>
      </c>
      <c r="AX20" s="465">
        <f t="shared" si="12"/>
        <v>0</v>
      </c>
      <c r="AY20" s="465"/>
      <c r="AZ20" s="465">
        <v>20000000</v>
      </c>
      <c r="BA20" s="465">
        <v>20000000</v>
      </c>
      <c r="BB20" s="465">
        <f t="shared" si="13"/>
        <v>0</v>
      </c>
      <c r="BC20" s="465"/>
      <c r="BD20" s="465">
        <v>5000000</v>
      </c>
      <c r="BE20" s="465">
        <f>278970+3348653.2</f>
        <v>3627623.2</v>
      </c>
      <c r="BF20" s="465">
        <f t="shared" si="14"/>
        <v>1372376.7999999998</v>
      </c>
      <c r="BG20" s="465"/>
      <c r="BH20" s="465">
        <v>130000000</v>
      </c>
      <c r="BI20" s="465">
        <f>116493525.17+8846000+4660474.83</f>
        <v>130000000</v>
      </c>
      <c r="BJ20" s="465">
        <f t="shared" si="15"/>
        <v>0</v>
      </c>
      <c r="BK20" s="465"/>
      <c r="BL20" s="465">
        <v>10000000</v>
      </c>
      <c r="BM20" s="465">
        <f>8000000+2000000</f>
        <v>10000000</v>
      </c>
      <c r="BN20" s="465">
        <f t="shared" si="16"/>
        <v>0</v>
      </c>
      <c r="BO20" s="465"/>
      <c r="BP20" s="465">
        <v>10000000</v>
      </c>
      <c r="BQ20" s="485">
        <f>956500</f>
        <v>956500</v>
      </c>
      <c r="BR20" s="465">
        <f t="shared" si="17"/>
        <v>9043500</v>
      </c>
      <c r="BS20" s="465"/>
      <c r="BT20" s="465">
        <v>40000000</v>
      </c>
      <c r="BU20" s="465">
        <f>8220347.2+6387332+1932600+15353020+6221599+1885101.8</f>
        <v>40000000</v>
      </c>
      <c r="BV20" s="465">
        <f t="shared" si="18"/>
        <v>0</v>
      </c>
      <c r="BW20" s="465"/>
      <c r="BX20" s="465">
        <v>5000000</v>
      </c>
      <c r="BY20" s="485">
        <f>1258000+1683000</f>
        <v>2941000</v>
      </c>
      <c r="BZ20" s="465">
        <f t="shared" si="19"/>
        <v>2059000</v>
      </c>
      <c r="CA20" s="465"/>
      <c r="CB20" s="465">
        <v>0</v>
      </c>
      <c r="CC20" s="465">
        <v>0</v>
      </c>
      <c r="CD20" s="465">
        <f t="shared" si="20"/>
        <v>0</v>
      </c>
      <c r="CE20" s="465"/>
      <c r="CF20" s="465">
        <f t="shared" si="21"/>
        <v>140000000</v>
      </c>
      <c r="CG20" s="465">
        <f>137419340.17+2580659.83</f>
        <v>140000000</v>
      </c>
      <c r="CH20" s="465">
        <f t="shared" si="22"/>
        <v>0</v>
      </c>
      <c r="CI20" s="465"/>
      <c r="CJ20" s="465">
        <v>20000000</v>
      </c>
      <c r="CK20" s="465">
        <f>3914743+7982352.8+4782492+2665884.3+654527.9</f>
        <v>20000000</v>
      </c>
      <c r="CL20" s="465">
        <f t="shared" si="23"/>
        <v>0</v>
      </c>
      <c r="CM20" s="465"/>
      <c r="CN20" s="465">
        <v>10000000</v>
      </c>
      <c r="CO20" s="465">
        <v>0</v>
      </c>
      <c r="CP20" s="465">
        <f t="shared" si="24"/>
        <v>10000000</v>
      </c>
      <c r="CQ20" s="465"/>
      <c r="CR20" s="465">
        <v>40000000</v>
      </c>
      <c r="CS20" s="465">
        <f>5352518.2+13692850+22818877.8-1864246</f>
        <v>40000000</v>
      </c>
      <c r="CT20" s="465">
        <f t="shared" si="25"/>
        <v>0</v>
      </c>
      <c r="CU20" s="465"/>
      <c r="CV20" s="465">
        <v>150000000</v>
      </c>
      <c r="CW20" s="465">
        <f>142260615.17+4230800+3508584.83</f>
        <v>150000000</v>
      </c>
      <c r="CX20" s="465">
        <f t="shared" si="26"/>
        <v>0</v>
      </c>
      <c r="CY20" s="465"/>
      <c r="CZ20" s="465">
        <v>20000000</v>
      </c>
      <c r="DA20" s="465">
        <f>545412.1+15121559.4+4333028.5</f>
        <v>20000000</v>
      </c>
      <c r="DB20" s="465">
        <f t="shared" si="27"/>
        <v>0</v>
      </c>
      <c r="DC20" s="465"/>
      <c r="DD20" s="465">
        <v>10000000</v>
      </c>
      <c r="DE20" s="465">
        <v>0</v>
      </c>
      <c r="DF20" s="465">
        <f t="shared" si="28"/>
        <v>10000000</v>
      </c>
      <c r="DG20" s="465"/>
      <c r="DH20" s="465">
        <v>50000000</v>
      </c>
      <c r="DI20" s="491">
        <f>32385027+1864246+12680842+3069885</f>
        <v>50000000</v>
      </c>
      <c r="DJ20" s="465">
        <f t="shared" si="29"/>
        <v>0</v>
      </c>
      <c r="DK20" s="488"/>
      <c r="DL20" s="465">
        <v>10000000</v>
      </c>
      <c r="DM20" s="465">
        <f>1580830+1699923.5+299986.5+294525</f>
        <v>3875265</v>
      </c>
      <c r="DN20" s="465">
        <f t="shared" si="30"/>
        <v>6124735</v>
      </c>
      <c r="DO20" s="465"/>
      <c r="DP20" s="465">
        <v>0</v>
      </c>
      <c r="DQ20" s="465">
        <v>0</v>
      </c>
      <c r="DR20" s="465">
        <f t="shared" si="31"/>
        <v>0</v>
      </c>
      <c r="DS20" s="465"/>
      <c r="DT20" s="465">
        <v>100000000</v>
      </c>
      <c r="DU20" s="465">
        <f>9469680+84609400+1050000+4870920</f>
        <v>100000000</v>
      </c>
      <c r="DV20" s="465">
        <f t="shared" si="32"/>
        <v>0</v>
      </c>
      <c r="DW20" s="465"/>
      <c r="DX20" s="465">
        <v>15000000</v>
      </c>
      <c r="DY20" s="487">
        <f>1290711.5+3375280.8+1433640+1798800+6148461.6</f>
        <v>14046893.899999999</v>
      </c>
      <c r="DZ20" s="465">
        <f t="shared" si="33"/>
        <v>953106.10000000149</v>
      </c>
      <c r="EA20" s="465"/>
      <c r="EB20" s="465">
        <v>10000000</v>
      </c>
      <c r="EC20" s="465">
        <v>0</v>
      </c>
      <c r="ED20" s="465">
        <f t="shared" si="34"/>
        <v>10000000</v>
      </c>
      <c r="EE20" s="465"/>
      <c r="EF20" s="465">
        <v>25000000</v>
      </c>
      <c r="EG20" s="485">
        <f>1672035+939157+2486000+2250400+14249550+1520842.6+1882015.4</f>
        <v>25000000</v>
      </c>
      <c r="EH20" s="465">
        <f t="shared" si="35"/>
        <v>0</v>
      </c>
      <c r="EI20" s="465"/>
      <c r="EJ20" s="465">
        <v>10000000</v>
      </c>
      <c r="EK20" s="465">
        <v>0</v>
      </c>
      <c r="EL20" s="465">
        <f t="shared" si="36"/>
        <v>10000000</v>
      </c>
      <c r="EM20" s="465"/>
      <c r="EN20" s="465">
        <v>300000000</v>
      </c>
      <c r="EO20" s="465">
        <f>50204580+5491415.17+118871232.65+115623530+9809242.18</f>
        <v>300000000</v>
      </c>
      <c r="EP20" s="465">
        <f t="shared" si="37"/>
        <v>0</v>
      </c>
      <c r="EQ20" s="488"/>
      <c r="ER20" s="465">
        <v>25000000</v>
      </c>
      <c r="ES20" s="465">
        <v>4682914.03</v>
      </c>
      <c r="ET20" s="465">
        <f t="shared" si="38"/>
        <v>20317085.969999999</v>
      </c>
      <c r="EU20" s="465"/>
      <c r="EV20" s="465">
        <v>10000000</v>
      </c>
      <c r="EW20" s="465">
        <v>0</v>
      </c>
      <c r="EX20" s="465">
        <f t="shared" si="39"/>
        <v>10000000</v>
      </c>
      <c r="EY20" s="465"/>
      <c r="EZ20" s="465">
        <v>30000000</v>
      </c>
      <c r="FA20" s="465">
        <f>9615510+20384490</f>
        <v>30000000</v>
      </c>
      <c r="FB20" s="465">
        <f t="shared" si="40"/>
        <v>0</v>
      </c>
      <c r="FC20" s="465"/>
      <c r="FD20" s="465">
        <v>5000000</v>
      </c>
      <c r="FE20" s="465">
        <v>0</v>
      </c>
      <c r="FF20" s="465">
        <f t="shared" si="41"/>
        <v>5000000</v>
      </c>
      <c r="FG20" s="465"/>
      <c r="FH20" s="463">
        <v>120000000</v>
      </c>
      <c r="FI20" s="486">
        <f>30362070.32+34200000</f>
        <v>64562070.32</v>
      </c>
      <c r="FJ20" s="463">
        <f t="shared" si="0"/>
        <v>55437929.68</v>
      </c>
      <c r="FK20" s="468"/>
      <c r="FL20" s="463">
        <v>25000000</v>
      </c>
      <c r="FM20" s="468">
        <v>0</v>
      </c>
      <c r="FN20" s="468">
        <f t="shared" si="42"/>
        <v>25000000</v>
      </c>
      <c r="FO20" s="468"/>
      <c r="FP20" s="468">
        <v>5000000</v>
      </c>
      <c r="FQ20" s="468">
        <v>0</v>
      </c>
      <c r="FR20" s="468">
        <f t="shared" si="57"/>
        <v>5000000</v>
      </c>
      <c r="FS20" s="468"/>
      <c r="FT20" s="468">
        <v>30000000</v>
      </c>
      <c r="FU20" s="490">
        <f>6492968+13804659.6+1544750</f>
        <v>21842377.600000001</v>
      </c>
      <c r="FV20" s="468">
        <f t="shared" si="58"/>
        <v>8157622.3999999985</v>
      </c>
      <c r="FW20" s="468"/>
      <c r="FX20" s="468">
        <v>4150000</v>
      </c>
      <c r="FY20" s="468">
        <v>0</v>
      </c>
      <c r="FZ20" s="468">
        <v>4150000</v>
      </c>
      <c r="GA20" s="468"/>
      <c r="GB20" s="468">
        <v>160000000</v>
      </c>
      <c r="GC20" s="468">
        <v>0</v>
      </c>
      <c r="GD20" s="468">
        <f t="shared" si="45"/>
        <v>160000000</v>
      </c>
      <c r="GE20" s="468"/>
      <c r="GF20" s="468">
        <v>25000000</v>
      </c>
      <c r="GG20" s="468">
        <v>0</v>
      </c>
      <c r="GH20" s="468">
        <f t="shared" si="46"/>
        <v>25000000</v>
      </c>
      <c r="GI20" s="468"/>
      <c r="GJ20" s="468">
        <v>5000000</v>
      </c>
      <c r="GK20" s="468">
        <v>0</v>
      </c>
      <c r="GL20" s="468">
        <f t="shared" si="47"/>
        <v>5000000</v>
      </c>
      <c r="GM20" s="468"/>
      <c r="GN20" s="468">
        <v>20000000</v>
      </c>
      <c r="GO20" s="468">
        <v>0</v>
      </c>
      <c r="GP20" s="468">
        <f t="shared" si="48"/>
        <v>20000000</v>
      </c>
      <c r="GQ20" s="468"/>
      <c r="GR20" s="468">
        <v>5000000</v>
      </c>
      <c r="GS20" s="468">
        <v>0</v>
      </c>
      <c r="GT20" s="468">
        <f t="shared" si="49"/>
        <v>5000000</v>
      </c>
      <c r="GU20" s="468"/>
      <c r="GV20" s="465">
        <f t="shared" si="50"/>
        <v>1878382120</v>
      </c>
      <c r="GW20" s="465">
        <f t="shared" si="50"/>
        <v>1470766764.0499997</v>
      </c>
      <c r="GX20" s="465">
        <f t="shared" si="51"/>
        <v>407615355.95000029</v>
      </c>
      <c r="GY20" s="470"/>
      <c r="GZ20" s="464"/>
      <c r="HA20" s="471">
        <f>D20+H20+L20+X20+AN20+BH20+CB20+CF20+CV20+DP20+DT20+EN20+FH20+GB20</f>
        <v>1340000000</v>
      </c>
      <c r="HB20" s="471">
        <f>E20+I20+M20+Y20+AO20+BI20+CC20+CG20+CW20+DQ20+DU20+EO20+FI20+GC20</f>
        <v>1124562070.3199999</v>
      </c>
      <c r="HC20" s="471">
        <f t="shared" si="52"/>
        <v>215437929.68000007</v>
      </c>
      <c r="HE20" s="471">
        <f>P20+AB20+AR20+
BL20+CJ20+CZ20+DX20+ER20+FL20+GF20</f>
        <v>152432120</v>
      </c>
      <c r="HF20" s="471">
        <f>Q20+AC20+AS20+
BM20+CK20+DA20+DY20+ES20+FM20+GG20</f>
        <v>81161927.930000007</v>
      </c>
      <c r="HG20" s="471">
        <f t="shared" si="53"/>
        <v>71270192.069999993</v>
      </c>
      <c r="HI20" s="471">
        <f>T20+AF20+AV20+BP20+CN20+DD20+EB20+EV20+FP20+GJ20</f>
        <v>71800000</v>
      </c>
      <c r="HJ20" s="471">
        <f>U20+AG20+AW20+BQ20+CO20+DE20+EC20+EW20+FQ20+GK20</f>
        <v>12756500</v>
      </c>
      <c r="HK20" s="471">
        <f t="shared" si="54"/>
        <v>59043500</v>
      </c>
      <c r="HM20" s="475">
        <f>AJ20+AZ20+BT20+CR20+DH20+EF20+EZ20+FT20+GN20</f>
        <v>270000000</v>
      </c>
      <c r="HN20" s="475">
        <f>AK20+BA20+BU20+CS20+DI20+EG20+FA20+FU20+GO20</f>
        <v>241842377.59999999</v>
      </c>
      <c r="HO20" s="475">
        <f t="shared" si="55"/>
        <v>28157622.400000006</v>
      </c>
      <c r="HP20" s="476"/>
      <c r="HR20" s="471">
        <f>BD20+BX20+DL20+EJ20+FD20+FX20+GR20</f>
        <v>44150000</v>
      </c>
      <c r="HS20" s="471">
        <f>BE20+BY20+DM20+EK20+FE20+FY20+GS20</f>
        <v>10443888.199999999</v>
      </c>
      <c r="HT20" s="471">
        <f t="shared" si="56"/>
        <v>33706111.799999997</v>
      </c>
    </row>
    <row r="21" spans="1:228" x14ac:dyDescent="0.25">
      <c r="A21" s="107"/>
      <c r="B21" s="107"/>
      <c r="C21" s="494"/>
      <c r="D21" s="465"/>
      <c r="E21" s="465"/>
      <c r="F21" s="465"/>
      <c r="G21" s="465"/>
      <c r="H21" s="465"/>
      <c r="I21" s="465"/>
      <c r="J21" s="465"/>
      <c r="K21" s="465"/>
      <c r="L21" s="465"/>
      <c r="M21" s="465"/>
      <c r="N21" s="465"/>
      <c r="O21" s="465"/>
      <c r="P21" s="465"/>
      <c r="Q21" s="465"/>
      <c r="R21" s="465"/>
      <c r="S21" s="465"/>
      <c r="T21" s="465"/>
      <c r="U21" s="465"/>
      <c r="V21" s="465"/>
      <c r="W21" s="465"/>
      <c r="X21" s="465"/>
      <c r="Y21" s="465"/>
      <c r="Z21" s="465"/>
      <c r="AA21" s="465"/>
      <c r="AB21" s="465"/>
      <c r="AC21" s="465"/>
      <c r="AD21" s="465"/>
      <c r="AE21" s="465"/>
      <c r="AF21" s="465"/>
      <c r="AG21" s="465"/>
      <c r="AH21" s="465"/>
      <c r="AI21" s="465"/>
      <c r="AJ21" s="465"/>
      <c r="AK21" s="465"/>
      <c r="AL21" s="465"/>
      <c r="AM21" s="465"/>
      <c r="AN21" s="465"/>
      <c r="AO21" s="465"/>
      <c r="AP21" s="465"/>
      <c r="AQ21" s="465"/>
      <c r="AR21" s="465"/>
      <c r="AS21" s="465"/>
      <c r="AT21" s="465"/>
      <c r="AU21" s="465"/>
      <c r="AV21" s="465"/>
      <c r="AW21" s="485"/>
      <c r="AX21" s="465"/>
      <c r="AY21" s="465"/>
      <c r="AZ21" s="465"/>
      <c r="BA21" s="465"/>
      <c r="BB21" s="465"/>
      <c r="BC21" s="465"/>
      <c r="BD21" s="465"/>
      <c r="BE21" s="465"/>
      <c r="BF21" s="465"/>
      <c r="BG21" s="465"/>
      <c r="BH21" s="465"/>
      <c r="BI21" s="465"/>
      <c r="BJ21" s="465"/>
      <c r="BK21" s="465"/>
      <c r="BL21" s="465"/>
      <c r="BM21" s="465"/>
      <c r="BN21" s="465"/>
      <c r="BO21" s="465"/>
      <c r="BP21" s="465"/>
      <c r="BQ21" s="485"/>
      <c r="BR21" s="465"/>
      <c r="BS21" s="465"/>
      <c r="BT21" s="465"/>
      <c r="BU21" s="465"/>
      <c r="BV21" s="465"/>
      <c r="BW21" s="465"/>
      <c r="BX21" s="465"/>
      <c r="BY21" s="485"/>
      <c r="BZ21" s="465"/>
      <c r="CA21" s="465"/>
      <c r="CB21" s="465"/>
      <c r="CC21" s="465"/>
      <c r="CD21" s="465"/>
      <c r="CE21" s="465"/>
      <c r="CF21" s="465"/>
      <c r="CG21" s="465"/>
      <c r="CH21" s="465"/>
      <c r="CI21" s="465"/>
      <c r="CJ21" s="465"/>
      <c r="CK21" s="465"/>
      <c r="CL21" s="465"/>
      <c r="CM21" s="465"/>
      <c r="CN21" s="465"/>
      <c r="CO21" s="465"/>
      <c r="CP21" s="465"/>
      <c r="CQ21" s="465"/>
      <c r="CR21" s="465"/>
      <c r="CS21" s="465"/>
      <c r="CT21" s="465"/>
      <c r="CU21" s="465"/>
      <c r="CV21" s="465"/>
      <c r="CW21" s="465"/>
      <c r="CX21" s="465"/>
      <c r="CY21" s="465"/>
      <c r="CZ21" s="465"/>
      <c r="DA21" s="465"/>
      <c r="DB21" s="465"/>
      <c r="DC21" s="465"/>
      <c r="DD21" s="465"/>
      <c r="DE21" s="465"/>
      <c r="DF21" s="465"/>
      <c r="DG21" s="465"/>
      <c r="DH21" s="465"/>
      <c r="DI21" s="491"/>
      <c r="DJ21" s="465"/>
      <c r="DK21" s="488"/>
      <c r="DL21" s="465"/>
      <c r="DM21" s="465"/>
      <c r="DN21" s="465"/>
      <c r="DO21" s="465"/>
      <c r="DP21" s="465"/>
      <c r="DQ21" s="465"/>
      <c r="DR21" s="465"/>
      <c r="DS21" s="465"/>
      <c r="DT21" s="465"/>
      <c r="DU21" s="465"/>
      <c r="DV21" s="465"/>
      <c r="DW21" s="465"/>
      <c r="DX21" s="465"/>
      <c r="DY21" s="487"/>
      <c r="DZ21" s="465"/>
      <c r="EA21" s="465"/>
      <c r="EB21" s="465"/>
      <c r="EC21" s="465"/>
      <c r="ED21" s="465"/>
      <c r="EE21" s="465"/>
      <c r="EF21" s="465"/>
      <c r="EG21" s="485"/>
      <c r="EH21" s="465"/>
      <c r="EI21" s="465"/>
      <c r="EJ21" s="465"/>
      <c r="EK21" s="465"/>
      <c r="EL21" s="465"/>
      <c r="EM21" s="465"/>
      <c r="EN21" s="465"/>
      <c r="EO21" s="465"/>
      <c r="EP21" s="465"/>
      <c r="EQ21" s="488"/>
      <c r="ER21" s="465"/>
      <c r="ES21" s="465"/>
      <c r="ET21" s="465"/>
      <c r="EU21" s="465"/>
      <c r="EV21" s="465"/>
      <c r="EW21" s="465"/>
      <c r="EX21" s="465"/>
      <c r="EY21" s="465"/>
      <c r="EZ21" s="465"/>
      <c r="FA21" s="465"/>
      <c r="FB21" s="465"/>
      <c r="FC21" s="465"/>
      <c r="FD21" s="465"/>
      <c r="FE21" s="465"/>
      <c r="FF21" s="465"/>
      <c r="FG21" s="465"/>
      <c r="FH21" s="463"/>
      <c r="FI21" s="486"/>
      <c r="FJ21" s="463"/>
      <c r="FK21" s="468"/>
      <c r="FL21" s="463"/>
      <c r="FM21" s="468"/>
      <c r="FN21" s="468"/>
      <c r="FO21" s="468"/>
      <c r="FP21" s="468"/>
      <c r="FQ21" s="468"/>
      <c r="FR21" s="468"/>
      <c r="FS21" s="468"/>
      <c r="FT21" s="468"/>
      <c r="FU21" s="490"/>
      <c r="FV21" s="468"/>
      <c r="FW21" s="468"/>
      <c r="FX21" s="468"/>
      <c r="FY21" s="468"/>
      <c r="FZ21" s="468"/>
      <c r="GA21" s="468"/>
      <c r="GB21" s="468"/>
      <c r="GC21" s="468"/>
      <c r="GD21" s="468"/>
      <c r="GE21" s="468"/>
      <c r="GF21" s="468"/>
      <c r="GG21" s="468"/>
      <c r="GH21" s="468"/>
      <c r="GI21" s="468"/>
      <c r="GJ21" s="468"/>
      <c r="GK21" s="468"/>
      <c r="GL21" s="468"/>
      <c r="GM21" s="468"/>
      <c r="GN21" s="468"/>
      <c r="GO21" s="468"/>
      <c r="GP21" s="468"/>
      <c r="GQ21" s="468"/>
      <c r="GR21" s="468"/>
      <c r="GS21" s="468"/>
      <c r="GT21" s="468"/>
      <c r="GU21" s="468"/>
      <c r="GV21" s="465"/>
      <c r="GW21" s="465"/>
      <c r="GX21" s="465"/>
      <c r="GY21" s="470"/>
      <c r="GZ21" s="464"/>
      <c r="HA21" s="471"/>
      <c r="HB21" s="471"/>
      <c r="HC21" s="471"/>
      <c r="HE21" s="471"/>
      <c r="HF21" s="471"/>
      <c r="HG21" s="471"/>
      <c r="HI21" s="471"/>
      <c r="HJ21" s="471"/>
      <c r="HK21" s="471"/>
      <c r="HM21" s="475"/>
      <c r="HN21" s="475"/>
      <c r="HO21" s="475"/>
      <c r="HP21" s="476"/>
      <c r="HR21" s="471"/>
      <c r="HS21" s="471"/>
      <c r="HT21" s="471"/>
    </row>
    <row r="22" spans="1:228" x14ac:dyDescent="0.25">
      <c r="A22" s="107"/>
      <c r="B22" s="107"/>
      <c r="C22" s="494"/>
      <c r="D22" s="465"/>
      <c r="E22" s="465"/>
      <c r="F22" s="465"/>
      <c r="G22" s="465"/>
      <c r="H22" s="465"/>
      <c r="I22" s="465"/>
      <c r="J22" s="465"/>
      <c r="K22" s="465"/>
      <c r="L22" s="465"/>
      <c r="M22" s="465"/>
      <c r="N22" s="465"/>
      <c r="O22" s="465"/>
      <c r="P22" s="465"/>
      <c r="Q22" s="465"/>
      <c r="R22" s="465"/>
      <c r="S22" s="465"/>
      <c r="T22" s="465"/>
      <c r="U22" s="465"/>
      <c r="V22" s="465"/>
      <c r="W22" s="465"/>
      <c r="X22" s="465"/>
      <c r="Y22" s="465"/>
      <c r="Z22" s="465"/>
      <c r="AA22" s="465"/>
      <c r="AB22" s="465"/>
      <c r="AC22" s="465"/>
      <c r="AD22" s="465"/>
      <c r="AE22" s="465"/>
      <c r="AF22" s="465"/>
      <c r="AG22" s="465"/>
      <c r="AH22" s="465"/>
      <c r="AI22" s="465"/>
      <c r="AJ22" s="465"/>
      <c r="AK22" s="465"/>
      <c r="AL22" s="465"/>
      <c r="AM22" s="465"/>
      <c r="AN22" s="465"/>
      <c r="AO22" s="465"/>
      <c r="AP22" s="465"/>
      <c r="AQ22" s="465"/>
      <c r="AR22" s="465"/>
      <c r="AS22" s="465"/>
      <c r="AT22" s="465"/>
      <c r="AU22" s="465"/>
      <c r="AV22" s="465"/>
      <c r="AW22" s="485"/>
      <c r="AX22" s="465"/>
      <c r="AY22" s="465"/>
      <c r="AZ22" s="465"/>
      <c r="BA22" s="465"/>
      <c r="BB22" s="465"/>
      <c r="BC22" s="465"/>
      <c r="BD22" s="465"/>
      <c r="BE22" s="465"/>
      <c r="BF22" s="465"/>
      <c r="BG22" s="465"/>
      <c r="BH22" s="465"/>
      <c r="BI22" s="465"/>
      <c r="BJ22" s="465"/>
      <c r="BK22" s="465"/>
      <c r="BL22" s="465"/>
      <c r="BM22" s="465"/>
      <c r="BN22" s="465"/>
      <c r="BO22" s="465"/>
      <c r="BP22" s="465"/>
      <c r="BQ22" s="485"/>
      <c r="BR22" s="465"/>
      <c r="BS22" s="465"/>
      <c r="BT22" s="465"/>
      <c r="BU22" s="465"/>
      <c r="BV22" s="465"/>
      <c r="BW22" s="465"/>
      <c r="BX22" s="465"/>
      <c r="BY22" s="485"/>
      <c r="BZ22" s="465"/>
      <c r="CA22" s="465"/>
      <c r="CB22" s="465"/>
      <c r="CC22" s="465"/>
      <c r="CD22" s="465"/>
      <c r="CE22" s="465"/>
      <c r="CF22" s="465"/>
      <c r="CG22" s="465"/>
      <c r="CH22" s="465"/>
      <c r="CI22" s="465"/>
      <c r="CJ22" s="465"/>
      <c r="CK22" s="465"/>
      <c r="CL22" s="465"/>
      <c r="CM22" s="465"/>
      <c r="CN22" s="465"/>
      <c r="CO22" s="465"/>
      <c r="CP22" s="465"/>
      <c r="CQ22" s="465"/>
      <c r="CR22" s="465"/>
      <c r="CS22" s="465"/>
      <c r="CT22" s="465"/>
      <c r="CU22" s="465"/>
      <c r="CV22" s="465"/>
      <c r="CW22" s="465"/>
      <c r="CX22" s="465"/>
      <c r="CY22" s="465"/>
      <c r="CZ22" s="465"/>
      <c r="DA22" s="465"/>
      <c r="DB22" s="465"/>
      <c r="DC22" s="465"/>
      <c r="DD22" s="465"/>
      <c r="DE22" s="465"/>
      <c r="DF22" s="465"/>
      <c r="DG22" s="465"/>
      <c r="DH22" s="465"/>
      <c r="DI22" s="491"/>
      <c r="DJ22" s="465"/>
      <c r="DK22" s="488"/>
      <c r="DL22" s="465"/>
      <c r="DM22" s="465"/>
      <c r="DN22" s="465"/>
      <c r="DO22" s="465"/>
      <c r="DP22" s="465"/>
      <c r="DQ22" s="465"/>
      <c r="DR22" s="465"/>
      <c r="DS22" s="465"/>
      <c r="DT22" s="465"/>
      <c r="DU22" s="465"/>
      <c r="DV22" s="465"/>
      <c r="DW22" s="465"/>
      <c r="DX22" s="465"/>
      <c r="DY22" s="487"/>
      <c r="DZ22" s="465"/>
      <c r="EA22" s="465"/>
      <c r="EB22" s="465"/>
      <c r="EC22" s="465"/>
      <c r="ED22" s="465"/>
      <c r="EE22" s="465"/>
      <c r="EF22" s="465"/>
      <c r="EG22" s="485"/>
      <c r="EH22" s="465"/>
      <c r="EI22" s="465"/>
      <c r="EJ22" s="465"/>
      <c r="EK22" s="465"/>
      <c r="EL22" s="465"/>
      <c r="EM22" s="465"/>
      <c r="EN22" s="465"/>
      <c r="EO22" s="465"/>
      <c r="EP22" s="465"/>
      <c r="EQ22" s="488"/>
      <c r="ER22" s="465"/>
      <c r="ES22" s="465"/>
      <c r="ET22" s="465"/>
      <c r="EU22" s="465"/>
      <c r="EV22" s="465"/>
      <c r="EW22" s="465"/>
      <c r="EX22" s="465"/>
      <c r="EY22" s="465"/>
      <c r="EZ22" s="465"/>
      <c r="FA22" s="465"/>
      <c r="FB22" s="465"/>
      <c r="FC22" s="465"/>
      <c r="FD22" s="465"/>
      <c r="FE22" s="465"/>
      <c r="FF22" s="465"/>
      <c r="FG22" s="465"/>
      <c r="FH22" s="463"/>
      <c r="FI22" s="486"/>
      <c r="FJ22" s="463"/>
      <c r="FK22" s="468"/>
      <c r="FL22" s="463"/>
      <c r="FM22" s="468"/>
      <c r="FN22" s="468"/>
      <c r="FO22" s="468"/>
      <c r="FP22" s="468"/>
      <c r="FQ22" s="468"/>
      <c r="FR22" s="468"/>
      <c r="FS22" s="468"/>
      <c r="FT22" s="468"/>
      <c r="FU22" s="490"/>
      <c r="FV22" s="468"/>
      <c r="FW22" s="468"/>
      <c r="FX22" s="468"/>
      <c r="FY22" s="468"/>
      <c r="FZ22" s="468"/>
      <c r="GA22" s="468"/>
      <c r="GB22" s="468"/>
      <c r="GC22" s="468"/>
      <c r="GD22" s="468"/>
      <c r="GE22" s="468"/>
      <c r="GF22" s="468"/>
      <c r="GG22" s="468"/>
      <c r="GH22" s="468"/>
      <c r="GI22" s="468"/>
      <c r="GJ22" s="468"/>
      <c r="GK22" s="468"/>
      <c r="GL22" s="468"/>
      <c r="GM22" s="468"/>
      <c r="GN22" s="468"/>
      <c r="GO22" s="468"/>
      <c r="GP22" s="468"/>
      <c r="GQ22" s="468"/>
      <c r="GR22" s="468"/>
      <c r="GS22" s="468"/>
      <c r="GT22" s="468"/>
      <c r="GU22" s="468"/>
      <c r="GV22" s="465"/>
      <c r="GW22" s="465"/>
      <c r="GX22" s="465"/>
      <c r="GY22" s="470"/>
      <c r="GZ22" s="464"/>
      <c r="HA22" s="471"/>
      <c r="HB22" s="471"/>
      <c r="HC22" s="471"/>
      <c r="HE22" s="471"/>
      <c r="HF22" s="471"/>
      <c r="HG22" s="471"/>
      <c r="HI22" s="471"/>
      <c r="HJ22" s="471"/>
      <c r="HK22" s="471"/>
      <c r="HM22" s="475"/>
      <c r="HN22" s="475"/>
      <c r="HO22" s="475"/>
      <c r="HP22" s="476"/>
      <c r="HR22" s="471"/>
      <c r="HS22" s="471"/>
      <c r="HT22" s="471"/>
    </row>
    <row r="23" spans="1:228" x14ac:dyDescent="0.25">
      <c r="A23" s="107">
        <v>18</v>
      </c>
      <c r="B23" s="107" t="s">
        <v>476</v>
      </c>
      <c r="C23" s="495" t="s">
        <v>69</v>
      </c>
      <c r="D23" s="488">
        <v>1750000</v>
      </c>
      <c r="E23" s="488">
        <v>1750000</v>
      </c>
      <c r="F23" s="465">
        <f t="shared" si="1"/>
        <v>0</v>
      </c>
      <c r="G23" s="488"/>
      <c r="H23" s="465">
        <v>50000000</v>
      </c>
      <c r="I23" s="465">
        <v>50000000</v>
      </c>
      <c r="J23" s="465">
        <f t="shared" si="2"/>
        <v>0</v>
      </c>
      <c r="K23" s="488"/>
      <c r="L23" s="465">
        <v>50000000</v>
      </c>
      <c r="M23" s="465">
        <v>50000000</v>
      </c>
      <c r="N23" s="465">
        <f t="shared" si="3"/>
        <v>0</v>
      </c>
      <c r="O23" s="488"/>
      <c r="P23" s="465">
        <v>7000000</v>
      </c>
      <c r="Q23" s="465">
        <v>7000000</v>
      </c>
      <c r="R23" s="465">
        <f t="shared" si="4"/>
        <v>0</v>
      </c>
      <c r="S23" s="488"/>
      <c r="T23" s="465">
        <f>3000000-3000000</f>
        <v>0</v>
      </c>
      <c r="U23" s="465">
        <v>0</v>
      </c>
      <c r="V23" s="465">
        <f t="shared" si="5"/>
        <v>0</v>
      </c>
      <c r="W23" s="488"/>
      <c r="X23" s="465">
        <v>60000000</v>
      </c>
      <c r="Y23" s="465">
        <v>60000000</v>
      </c>
      <c r="Z23" s="465">
        <f t="shared" si="6"/>
        <v>0</v>
      </c>
      <c r="AA23" s="488"/>
      <c r="AB23" s="465">
        <v>100000</v>
      </c>
      <c r="AC23" s="465">
        <v>100000</v>
      </c>
      <c r="AD23" s="465">
        <f t="shared" si="7"/>
        <v>0</v>
      </c>
      <c r="AE23" s="488"/>
      <c r="AF23" s="465">
        <f>5000000-5000000</f>
        <v>0</v>
      </c>
      <c r="AG23" s="465">
        <v>0</v>
      </c>
      <c r="AH23" s="465">
        <f t="shared" si="8"/>
        <v>0</v>
      </c>
      <c r="AI23" s="488"/>
      <c r="AJ23" s="465">
        <v>15000000</v>
      </c>
      <c r="AK23" s="465">
        <v>15000000</v>
      </c>
      <c r="AL23" s="465">
        <f t="shared" si="9"/>
        <v>0</v>
      </c>
      <c r="AM23" s="465"/>
      <c r="AN23" s="465">
        <v>80000000</v>
      </c>
      <c r="AO23" s="465">
        <v>80000000</v>
      </c>
      <c r="AP23" s="465">
        <f t="shared" si="10"/>
        <v>0</v>
      </c>
      <c r="AQ23" s="488"/>
      <c r="AR23" s="465">
        <v>10000000</v>
      </c>
      <c r="AS23" s="465">
        <v>10000000</v>
      </c>
      <c r="AT23" s="465">
        <f t="shared" si="11"/>
        <v>0</v>
      </c>
      <c r="AU23" s="488"/>
      <c r="AV23" s="465">
        <v>5000000</v>
      </c>
      <c r="AW23" s="465">
        <v>0</v>
      </c>
      <c r="AX23" s="465">
        <f t="shared" si="12"/>
        <v>5000000</v>
      </c>
      <c r="AY23" s="488"/>
      <c r="AZ23" s="465">
        <v>20000000</v>
      </c>
      <c r="BA23" s="465">
        <f>14550832.86+728800+4720367.14</f>
        <v>20000000</v>
      </c>
      <c r="BB23" s="465">
        <f t="shared" si="13"/>
        <v>0</v>
      </c>
      <c r="BC23" s="465"/>
      <c r="BD23" s="465">
        <v>5000000</v>
      </c>
      <c r="BE23" s="465">
        <f>0</f>
        <v>0</v>
      </c>
      <c r="BF23" s="465">
        <f t="shared" si="14"/>
        <v>5000000</v>
      </c>
      <c r="BG23" s="488"/>
      <c r="BH23" s="465">
        <v>130000000</v>
      </c>
      <c r="BI23" s="465">
        <f>127352918.38+2647081.62</f>
        <v>130000000</v>
      </c>
      <c r="BJ23" s="465">
        <f t="shared" si="15"/>
        <v>0</v>
      </c>
      <c r="BK23" s="488"/>
      <c r="BL23" s="465">
        <v>10000000</v>
      </c>
      <c r="BM23" s="465">
        <v>10000000</v>
      </c>
      <c r="BN23" s="465">
        <f t="shared" si="16"/>
        <v>0</v>
      </c>
      <c r="BO23" s="488"/>
      <c r="BP23" s="465">
        <v>10000000</v>
      </c>
      <c r="BQ23" s="465">
        <v>0</v>
      </c>
      <c r="BR23" s="465">
        <f t="shared" si="17"/>
        <v>10000000</v>
      </c>
      <c r="BS23" s="488"/>
      <c r="BT23" s="465">
        <v>40000000</v>
      </c>
      <c r="BU23" s="465">
        <f>27473394+12526606</f>
        <v>40000000</v>
      </c>
      <c r="BV23" s="465">
        <f t="shared" si="18"/>
        <v>0</v>
      </c>
      <c r="BW23" s="488"/>
      <c r="BX23" s="465">
        <v>5000000</v>
      </c>
      <c r="BY23" s="465">
        <v>0</v>
      </c>
      <c r="BZ23" s="465">
        <f t="shared" si="19"/>
        <v>5000000</v>
      </c>
      <c r="CA23" s="488"/>
      <c r="CB23" s="465">
        <v>0</v>
      </c>
      <c r="CC23" s="465">
        <v>0</v>
      </c>
      <c r="CD23" s="465">
        <f t="shared" si="20"/>
        <v>0</v>
      </c>
      <c r="CE23" s="488"/>
      <c r="CF23" s="465">
        <f t="shared" si="21"/>
        <v>140000000</v>
      </c>
      <c r="CG23" s="465">
        <f>139981127.38+18872.62</f>
        <v>140000000</v>
      </c>
      <c r="CH23" s="465">
        <f t="shared" si="22"/>
        <v>0</v>
      </c>
      <c r="CI23" s="488"/>
      <c r="CJ23" s="465">
        <v>20000000</v>
      </c>
      <c r="CK23" s="465">
        <f>7824182+12175818</f>
        <v>20000000</v>
      </c>
      <c r="CL23" s="465">
        <f t="shared" si="23"/>
        <v>0</v>
      </c>
      <c r="CM23" s="488"/>
      <c r="CN23" s="465">
        <v>10000000</v>
      </c>
      <c r="CO23" s="465">
        <v>0</v>
      </c>
      <c r="CP23" s="465">
        <f t="shared" si="24"/>
        <v>10000000</v>
      </c>
      <c r="CQ23" s="488"/>
      <c r="CR23" s="465">
        <v>40000000</v>
      </c>
      <c r="CS23" s="465">
        <f>22110801+13231775+4657424</f>
        <v>40000000</v>
      </c>
      <c r="CT23" s="465">
        <f t="shared" si="25"/>
        <v>0</v>
      </c>
      <c r="CU23" s="488"/>
      <c r="CV23" s="465">
        <v>150000000</v>
      </c>
      <c r="CW23" s="465">
        <f>83763167.38+2465000+58229530+5542302.62</f>
        <v>150000000</v>
      </c>
      <c r="CX23" s="465">
        <f t="shared" si="26"/>
        <v>0</v>
      </c>
      <c r="CY23" s="488"/>
      <c r="CZ23" s="465">
        <v>20000000</v>
      </c>
      <c r="DA23" s="465">
        <f>7651382+12348618</f>
        <v>20000000</v>
      </c>
      <c r="DB23" s="465">
        <f t="shared" si="27"/>
        <v>0</v>
      </c>
      <c r="DC23" s="465"/>
      <c r="DD23" s="465">
        <v>10000000</v>
      </c>
      <c r="DE23" s="465">
        <v>0</v>
      </c>
      <c r="DF23" s="465">
        <f t="shared" si="28"/>
        <v>10000000</v>
      </c>
      <c r="DG23" s="488"/>
      <c r="DH23" s="465">
        <v>50000000</v>
      </c>
      <c r="DI23" s="465">
        <f>31605984+8464036.86+9929979.14</f>
        <v>50000000</v>
      </c>
      <c r="DJ23" s="465">
        <f t="shared" si="29"/>
        <v>0</v>
      </c>
      <c r="DK23" s="488"/>
      <c r="DL23" s="465">
        <v>10000000</v>
      </c>
      <c r="DM23" s="465">
        <v>0</v>
      </c>
      <c r="DN23" s="465">
        <f t="shared" si="30"/>
        <v>10000000</v>
      </c>
      <c r="DO23" s="488"/>
      <c r="DP23" s="465">
        <v>0</v>
      </c>
      <c r="DQ23" s="465">
        <v>0</v>
      </c>
      <c r="DR23" s="465">
        <f t="shared" si="31"/>
        <v>0</v>
      </c>
      <c r="DS23" s="465"/>
      <c r="DT23" s="465">
        <v>100000000</v>
      </c>
      <c r="DU23" s="465">
        <f>596497.38+405875.46+53649731.8+39463000+5884895.36</f>
        <v>100000000</v>
      </c>
      <c r="DV23" s="465">
        <f t="shared" si="32"/>
        <v>0</v>
      </c>
      <c r="DW23" s="465"/>
      <c r="DX23" s="465">
        <v>15000000</v>
      </c>
      <c r="DY23" s="465">
        <v>4264095</v>
      </c>
      <c r="DZ23" s="465">
        <f t="shared" si="33"/>
        <v>10735905</v>
      </c>
      <c r="EA23" s="465"/>
      <c r="EB23" s="465">
        <v>10000000</v>
      </c>
      <c r="EC23" s="465">
        <v>0</v>
      </c>
      <c r="ED23" s="465">
        <f t="shared" si="34"/>
        <v>10000000</v>
      </c>
      <c r="EE23" s="465"/>
      <c r="EF23" s="465">
        <v>25000000</v>
      </c>
      <c r="EG23" s="487">
        <f>19834259.86+1813180+3352560.14-3361300-1125002</f>
        <v>20513698</v>
      </c>
      <c r="EH23" s="465">
        <f t="shared" si="35"/>
        <v>4486302</v>
      </c>
      <c r="EI23" s="465"/>
      <c r="EJ23" s="465">
        <v>10000000</v>
      </c>
      <c r="EK23" s="465">
        <v>0</v>
      </c>
      <c r="EL23" s="465">
        <f t="shared" si="36"/>
        <v>10000000</v>
      </c>
      <c r="EM23" s="488"/>
      <c r="EN23" s="465">
        <v>300000000</v>
      </c>
      <c r="EO23" s="483">
        <f>63843889.64+78089692.2+58200673.8</f>
        <v>200134255.63999999</v>
      </c>
      <c r="EP23" s="465">
        <f t="shared" si="37"/>
        <v>99865744.360000014</v>
      </c>
      <c r="EQ23" s="488"/>
      <c r="ER23" s="465">
        <v>25000000</v>
      </c>
      <c r="ES23" s="465">
        <v>0</v>
      </c>
      <c r="ET23" s="465">
        <f t="shared" si="38"/>
        <v>25000000</v>
      </c>
      <c r="EU23" s="488"/>
      <c r="EV23" s="465">
        <v>10000000</v>
      </c>
      <c r="EW23" s="465">
        <v>0</v>
      </c>
      <c r="EX23" s="465">
        <f t="shared" si="39"/>
        <v>10000000</v>
      </c>
      <c r="EY23" s="488"/>
      <c r="EZ23" s="465">
        <v>30000000</v>
      </c>
      <c r="FA23" s="484">
        <f>14198975.86-405875.46+4659660-15842387.1+25365862</f>
        <v>27976235.299999997</v>
      </c>
      <c r="FB23" s="465">
        <f t="shared" si="40"/>
        <v>2023764.700000003</v>
      </c>
      <c r="FC23" s="488"/>
      <c r="FD23" s="465">
        <v>5000000</v>
      </c>
      <c r="FE23" s="465">
        <v>0</v>
      </c>
      <c r="FF23" s="465">
        <f t="shared" si="41"/>
        <v>5000000</v>
      </c>
      <c r="FG23" s="465"/>
      <c r="FH23" s="463">
        <v>120000000</v>
      </c>
      <c r="FI23" s="463">
        <v>0</v>
      </c>
      <c r="FJ23" s="463">
        <f t="shared" si="0"/>
        <v>120000000</v>
      </c>
      <c r="FK23" s="468"/>
      <c r="FL23" s="463">
        <v>25000000</v>
      </c>
      <c r="FM23" s="468">
        <v>0</v>
      </c>
      <c r="FN23" s="468">
        <f t="shared" si="42"/>
        <v>25000000</v>
      </c>
      <c r="FO23" s="468"/>
      <c r="FP23" s="468">
        <v>5000000</v>
      </c>
      <c r="FQ23" s="468">
        <v>0</v>
      </c>
      <c r="FR23" s="468">
        <f t="shared" si="57"/>
        <v>5000000</v>
      </c>
      <c r="FS23" s="468"/>
      <c r="FT23" s="468">
        <v>30000000</v>
      </c>
      <c r="FU23" s="468">
        <v>0</v>
      </c>
      <c r="FV23" s="468">
        <f t="shared" si="58"/>
        <v>30000000</v>
      </c>
      <c r="FW23" s="468"/>
      <c r="FX23" s="468">
        <v>4150000</v>
      </c>
      <c r="FY23" s="468">
        <v>0</v>
      </c>
      <c r="FZ23" s="468">
        <v>4150000</v>
      </c>
      <c r="GA23" s="468"/>
      <c r="GB23" s="468">
        <v>160000000</v>
      </c>
      <c r="GC23" s="468">
        <v>0</v>
      </c>
      <c r="GD23" s="468">
        <f t="shared" si="45"/>
        <v>160000000</v>
      </c>
      <c r="GE23" s="468"/>
      <c r="GF23" s="468">
        <v>25000000</v>
      </c>
      <c r="GG23" s="468">
        <v>0</v>
      </c>
      <c r="GH23" s="468">
        <f t="shared" si="46"/>
        <v>25000000</v>
      </c>
      <c r="GI23" s="468"/>
      <c r="GJ23" s="468">
        <v>5000000</v>
      </c>
      <c r="GK23" s="468">
        <v>0</v>
      </c>
      <c r="GL23" s="468">
        <f t="shared" si="47"/>
        <v>5000000</v>
      </c>
      <c r="GM23" s="468"/>
      <c r="GN23" s="468">
        <v>20000000</v>
      </c>
      <c r="GO23" s="468">
        <v>0</v>
      </c>
      <c r="GP23" s="468">
        <f t="shared" si="48"/>
        <v>20000000</v>
      </c>
      <c r="GQ23" s="468"/>
      <c r="GR23" s="468">
        <v>5000000</v>
      </c>
      <c r="GS23" s="468">
        <v>0</v>
      </c>
      <c r="GT23" s="468">
        <f t="shared" si="49"/>
        <v>5000000</v>
      </c>
      <c r="GU23" s="468"/>
      <c r="GV23" s="465">
        <f t="shared" si="50"/>
        <v>1878000000</v>
      </c>
      <c r="GW23" s="465">
        <f t="shared" si="50"/>
        <v>1246738283.9399998</v>
      </c>
      <c r="GX23" s="465">
        <f t="shared" si="51"/>
        <v>631261716.06000018</v>
      </c>
      <c r="GY23" s="470"/>
      <c r="GZ23" s="464"/>
      <c r="HA23" s="471">
        <f>D23+H23+L23+X23+AN23+BH23+CB23+CF23+CV23+DP23+DT23+EN23+FH23+GB23</f>
        <v>1341750000</v>
      </c>
      <c r="HB23" s="471">
        <f>E23+I23+M23+Y23+AO23+BI23+CC23+CG23+CW23+DQ23+DU23+EO23+FI23+GC23</f>
        <v>961884255.63999999</v>
      </c>
      <c r="HC23" s="471">
        <f t="shared" si="52"/>
        <v>379865744.36000001</v>
      </c>
      <c r="HE23" s="471">
        <f>P23+AB23+AR23+
BL23+CJ23+CZ23+DX23+ER23+FL23+GF23</f>
        <v>157100000</v>
      </c>
      <c r="HF23" s="471">
        <f>Q23+AC23+AS23+
BM23+CK23+DA23+DY23+ES23+FM23+GG23</f>
        <v>71364095</v>
      </c>
      <c r="HG23" s="471">
        <f t="shared" si="53"/>
        <v>85735905</v>
      </c>
      <c r="HI23" s="471">
        <f>T23+AF23+AV23+BP23+CN23+DD23+EB23+EV23+FP23+GJ23</f>
        <v>65000000</v>
      </c>
      <c r="HJ23" s="471">
        <f>U23+AG23+AW23+BQ23+CO23+DE23+EC23+EW23+FQ23+GK23</f>
        <v>0</v>
      </c>
      <c r="HK23" s="471">
        <f t="shared" si="54"/>
        <v>65000000</v>
      </c>
      <c r="HM23" s="475">
        <f>AJ23+AZ23+BT23+CR23+DH23+EF23+EZ23+FT23+GN23</f>
        <v>270000000</v>
      </c>
      <c r="HN23" s="475">
        <f>AK23+BA23+BU23+CS23+DI23+EG23+FA23+FU23+GO23</f>
        <v>213489933.30000001</v>
      </c>
      <c r="HO23" s="475">
        <f t="shared" si="55"/>
        <v>56510066.699999988</v>
      </c>
      <c r="HP23" s="476"/>
      <c r="HR23" s="471">
        <f>BD23+BX23+DL23+EJ23+FD23+FX23+GR23</f>
        <v>44150000</v>
      </c>
      <c r="HS23" s="471">
        <f>BE23+BY23+DM23+EK23+FE23+FY23+GS23</f>
        <v>0</v>
      </c>
      <c r="HT23" s="471">
        <f t="shared" si="56"/>
        <v>44150000</v>
      </c>
    </row>
    <row r="24" spans="1:228" x14ac:dyDescent="0.25">
      <c r="A24" s="107">
        <v>19</v>
      </c>
      <c r="B24" s="107" t="s">
        <v>83</v>
      </c>
      <c r="C24" s="113" t="s">
        <v>65</v>
      </c>
      <c r="D24" s="488">
        <v>1750000</v>
      </c>
      <c r="E24" s="488">
        <v>1750000</v>
      </c>
      <c r="F24" s="465">
        <f t="shared" si="1"/>
        <v>0</v>
      </c>
      <c r="G24" s="488"/>
      <c r="H24" s="465">
        <v>50000000</v>
      </c>
      <c r="I24" s="465">
        <v>50000000</v>
      </c>
      <c r="J24" s="465">
        <f t="shared" si="2"/>
        <v>0</v>
      </c>
      <c r="K24" s="488"/>
      <c r="L24" s="465">
        <v>50000000</v>
      </c>
      <c r="M24" s="465">
        <v>50000000</v>
      </c>
      <c r="N24" s="465">
        <f t="shared" si="3"/>
        <v>0</v>
      </c>
      <c r="O24" s="488"/>
      <c r="P24" s="465">
        <v>7000000</v>
      </c>
      <c r="Q24" s="465">
        <v>7000000</v>
      </c>
      <c r="R24" s="465">
        <f t="shared" si="4"/>
        <v>0</v>
      </c>
      <c r="S24" s="488"/>
      <c r="T24" s="465">
        <v>3000000</v>
      </c>
      <c r="U24" s="465">
        <v>3000000</v>
      </c>
      <c r="V24" s="465">
        <f t="shared" si="5"/>
        <v>0</v>
      </c>
      <c r="W24" s="488"/>
      <c r="X24" s="465">
        <v>60000000</v>
      </c>
      <c r="Y24" s="465">
        <v>60000000</v>
      </c>
      <c r="Z24" s="465">
        <f t="shared" si="6"/>
        <v>0</v>
      </c>
      <c r="AA24" s="488"/>
      <c r="AB24" s="465">
        <v>10000000</v>
      </c>
      <c r="AC24" s="465">
        <f>9524860+475140</f>
        <v>10000000</v>
      </c>
      <c r="AD24" s="465">
        <f t="shared" si="7"/>
        <v>0</v>
      </c>
      <c r="AE24" s="488"/>
      <c r="AF24" s="465">
        <v>3800000</v>
      </c>
      <c r="AG24" s="465">
        <v>3800000</v>
      </c>
      <c r="AH24" s="465">
        <f t="shared" si="8"/>
        <v>0</v>
      </c>
      <c r="AI24" s="488"/>
      <c r="AJ24" s="465">
        <v>15000000</v>
      </c>
      <c r="AK24" s="465">
        <v>15000000</v>
      </c>
      <c r="AL24" s="465">
        <f t="shared" si="9"/>
        <v>0</v>
      </c>
      <c r="AN24" s="465">
        <v>80000000</v>
      </c>
      <c r="AO24" s="465">
        <v>80000000</v>
      </c>
      <c r="AP24" s="465">
        <f t="shared" si="10"/>
        <v>0</v>
      </c>
      <c r="AQ24" s="488"/>
      <c r="AR24" s="465">
        <v>10000000</v>
      </c>
      <c r="AS24" s="465">
        <f>1940135+1563360+1100400+761400</f>
        <v>5365295</v>
      </c>
      <c r="AT24" s="465">
        <f t="shared" si="11"/>
        <v>4634705</v>
      </c>
      <c r="AU24" s="488"/>
      <c r="AV24" s="465">
        <v>5000000</v>
      </c>
      <c r="AW24" s="465">
        <v>0</v>
      </c>
      <c r="AX24" s="465">
        <f t="shared" si="12"/>
        <v>5000000</v>
      </c>
      <c r="AY24" s="488"/>
      <c r="AZ24" s="465">
        <v>20000000</v>
      </c>
      <c r="BA24" s="465">
        <v>20000000</v>
      </c>
      <c r="BB24" s="465">
        <f t="shared" si="13"/>
        <v>0</v>
      </c>
      <c r="BC24" s="465"/>
      <c r="BD24" s="465">
        <v>5000000</v>
      </c>
      <c r="BE24" s="465">
        <f>0</f>
        <v>0</v>
      </c>
      <c r="BF24" s="465">
        <f t="shared" si="14"/>
        <v>5000000</v>
      </c>
      <c r="BG24" s="488"/>
      <c r="BH24" s="465">
        <v>130000000</v>
      </c>
      <c r="BI24" s="465">
        <f>19656970+4014000+5300000+39983951+1050000</f>
        <v>70004921</v>
      </c>
      <c r="BJ24" s="465">
        <f t="shared" si="15"/>
        <v>59995079</v>
      </c>
      <c r="BK24" s="488"/>
      <c r="BL24" s="465">
        <v>10000000</v>
      </c>
      <c r="BM24" s="465">
        <v>0</v>
      </c>
      <c r="BN24" s="465">
        <f t="shared" si="16"/>
        <v>10000000</v>
      </c>
      <c r="BO24" s="488"/>
      <c r="BP24" s="465">
        <v>10000000</v>
      </c>
      <c r="BQ24" s="465">
        <v>0</v>
      </c>
      <c r="BR24" s="465">
        <f t="shared" si="17"/>
        <v>10000000</v>
      </c>
      <c r="BS24" s="488"/>
      <c r="BT24" s="465">
        <v>40000000</v>
      </c>
      <c r="BU24" s="465">
        <f>10104048.98+25870850+4025101.02</f>
        <v>40000000.000000007</v>
      </c>
      <c r="BV24" s="465">
        <f t="shared" si="18"/>
        <v>0</v>
      </c>
      <c r="BW24" s="488"/>
      <c r="BX24" s="465">
        <v>5000000</v>
      </c>
      <c r="BY24" s="465">
        <f>3832281.1</f>
        <v>3832281.1</v>
      </c>
      <c r="BZ24" s="465">
        <f t="shared" si="19"/>
        <v>1167718.8999999999</v>
      </c>
      <c r="CA24" s="488"/>
      <c r="CB24" s="465">
        <v>0</v>
      </c>
      <c r="CC24" s="465">
        <v>0</v>
      </c>
      <c r="CD24" s="465">
        <f t="shared" si="20"/>
        <v>0</v>
      </c>
      <c r="CE24" s="488"/>
      <c r="CF24" s="465">
        <f t="shared" si="21"/>
        <v>140000000</v>
      </c>
      <c r="CG24" s="465">
        <f>0+60846250+25850000+2160000+2100000+6712420.72</f>
        <v>97668670.719999999</v>
      </c>
      <c r="CH24" s="465">
        <f t="shared" si="22"/>
        <v>42331329.280000001</v>
      </c>
      <c r="CI24" s="488"/>
      <c r="CJ24" s="465">
        <v>20000000</v>
      </c>
      <c r="CK24" s="465">
        <v>0</v>
      </c>
      <c r="CL24" s="465">
        <f t="shared" si="23"/>
        <v>20000000</v>
      </c>
      <c r="CM24" s="488"/>
      <c r="CN24" s="465">
        <v>10000000</v>
      </c>
      <c r="CO24" s="465">
        <v>0</v>
      </c>
      <c r="CP24" s="465">
        <f t="shared" si="24"/>
        <v>10000000</v>
      </c>
      <c r="CQ24" s="488"/>
      <c r="CR24" s="465">
        <v>40000000</v>
      </c>
      <c r="CS24" s="465">
        <f>24751293.98+14896040+352666.02</f>
        <v>40000000.000000007</v>
      </c>
      <c r="CT24" s="465">
        <f t="shared" si="25"/>
        <v>0</v>
      </c>
      <c r="CU24" s="488"/>
      <c r="CV24" s="465">
        <v>150000000</v>
      </c>
      <c r="CW24" s="465">
        <f>46089250+60943750</f>
        <v>107033000</v>
      </c>
      <c r="CX24" s="465">
        <f t="shared" si="26"/>
        <v>42967000</v>
      </c>
      <c r="CY24" s="488"/>
      <c r="CZ24" s="465">
        <v>20000000</v>
      </c>
      <c r="DA24" s="465">
        <v>0</v>
      </c>
      <c r="DB24" s="465">
        <f t="shared" si="27"/>
        <v>20000000</v>
      </c>
      <c r="DC24" s="465"/>
      <c r="DD24" s="465">
        <v>10000000</v>
      </c>
      <c r="DE24" s="465">
        <v>0</v>
      </c>
      <c r="DF24" s="465">
        <f t="shared" si="28"/>
        <v>10000000</v>
      </c>
      <c r="DG24" s="488"/>
      <c r="DH24" s="465">
        <v>50000000</v>
      </c>
      <c r="DI24" s="465">
        <f>35609181.58+14087300+303518.42</f>
        <v>50000000</v>
      </c>
      <c r="DJ24" s="465">
        <f t="shared" si="29"/>
        <v>0</v>
      </c>
      <c r="DK24" s="488"/>
      <c r="DL24" s="465">
        <v>10000000</v>
      </c>
      <c r="DM24" s="465">
        <v>0</v>
      </c>
      <c r="DN24" s="465">
        <f t="shared" si="30"/>
        <v>10000000</v>
      </c>
      <c r="DO24" s="488"/>
      <c r="DP24" s="465">
        <v>0</v>
      </c>
      <c r="DQ24" s="465">
        <v>0</v>
      </c>
      <c r="DR24" s="465">
        <f t="shared" si="31"/>
        <v>0</v>
      </c>
      <c r="DS24" s="465"/>
      <c r="DT24" s="465">
        <v>100000000</v>
      </c>
      <c r="DU24" s="465">
        <v>47642500</v>
      </c>
      <c r="DV24" s="465">
        <f t="shared" si="32"/>
        <v>52357500</v>
      </c>
      <c r="DW24" s="465"/>
      <c r="DX24" s="465">
        <v>15000000</v>
      </c>
      <c r="DY24" s="465">
        <v>0</v>
      </c>
      <c r="DZ24" s="465">
        <f t="shared" si="33"/>
        <v>15000000</v>
      </c>
      <c r="EA24" s="465"/>
      <c r="EB24" s="465">
        <v>10000000</v>
      </c>
      <c r="EC24" s="465">
        <v>0</v>
      </c>
      <c r="ED24" s="465">
        <f t="shared" si="34"/>
        <v>10000000</v>
      </c>
      <c r="EE24" s="465"/>
      <c r="EF24" s="465">
        <v>25000000</v>
      </c>
      <c r="EG24" s="465">
        <f>3434820.24+11644814+1511300+1617292+6791773.76</f>
        <v>25000000</v>
      </c>
      <c r="EH24" s="465">
        <f t="shared" si="35"/>
        <v>0</v>
      </c>
      <c r="EI24" s="465"/>
      <c r="EJ24" s="465">
        <v>10000000</v>
      </c>
      <c r="EK24" s="465">
        <v>0</v>
      </c>
      <c r="EL24" s="465">
        <f t="shared" si="36"/>
        <v>10000000</v>
      </c>
      <c r="EM24" s="488"/>
      <c r="EN24" s="465">
        <v>300000000</v>
      </c>
      <c r="EO24" s="465">
        <v>0</v>
      </c>
      <c r="EP24" s="465">
        <f t="shared" si="37"/>
        <v>300000000</v>
      </c>
      <c r="EQ24" s="488"/>
      <c r="ER24" s="465">
        <v>25000000</v>
      </c>
      <c r="ES24" s="465">
        <v>0</v>
      </c>
      <c r="ET24" s="465">
        <f t="shared" si="38"/>
        <v>25000000</v>
      </c>
      <c r="EU24" s="488"/>
      <c r="EV24" s="465">
        <v>10000000</v>
      </c>
      <c r="EW24" s="465">
        <v>0</v>
      </c>
      <c r="EX24" s="465">
        <f t="shared" si="39"/>
        <v>10000000</v>
      </c>
      <c r="EY24" s="488"/>
      <c r="EZ24" s="465">
        <v>30000000</v>
      </c>
      <c r="FA24" s="467">
        <f>15430431.24+10037125+3484065+1048378.76</f>
        <v>30000000.000000004</v>
      </c>
      <c r="FB24" s="465">
        <f t="shared" si="40"/>
        <v>0</v>
      </c>
      <c r="FC24" s="488"/>
      <c r="FD24" s="465">
        <v>5000000</v>
      </c>
      <c r="FE24" s="465">
        <v>0</v>
      </c>
      <c r="FF24" s="465">
        <f t="shared" si="41"/>
        <v>5000000</v>
      </c>
      <c r="FG24" s="465"/>
      <c r="FH24" s="463">
        <v>120000000</v>
      </c>
      <c r="FI24" s="463">
        <v>0</v>
      </c>
      <c r="FJ24" s="463">
        <f t="shared" si="0"/>
        <v>120000000</v>
      </c>
      <c r="FK24" s="468"/>
      <c r="FL24" s="463">
        <v>25000000</v>
      </c>
      <c r="FM24" s="468">
        <v>0</v>
      </c>
      <c r="FN24" s="468">
        <f t="shared" si="42"/>
        <v>25000000</v>
      </c>
      <c r="FO24" s="468"/>
      <c r="FP24" s="468">
        <v>5000000</v>
      </c>
      <c r="FQ24" s="468">
        <v>0</v>
      </c>
      <c r="FR24" s="468">
        <f t="shared" si="57"/>
        <v>5000000</v>
      </c>
      <c r="FS24" s="468"/>
      <c r="FT24" s="468">
        <v>30000000</v>
      </c>
      <c r="FU24" s="482">
        <f>10087800+4281600+13332271.24</f>
        <v>27701671.240000002</v>
      </c>
      <c r="FV24" s="468">
        <f t="shared" si="58"/>
        <v>2298328.7599999979</v>
      </c>
      <c r="FW24" s="468"/>
      <c r="FX24" s="468">
        <v>4150000</v>
      </c>
      <c r="FY24" s="468">
        <v>0</v>
      </c>
      <c r="FZ24" s="468">
        <v>4150000</v>
      </c>
      <c r="GA24" s="468"/>
      <c r="GB24" s="468">
        <v>160000000</v>
      </c>
      <c r="GC24" s="468">
        <v>0</v>
      </c>
      <c r="GD24" s="468">
        <f t="shared" si="45"/>
        <v>160000000</v>
      </c>
      <c r="GE24" s="468"/>
      <c r="GF24" s="468">
        <v>25000000</v>
      </c>
      <c r="GG24" s="468">
        <v>0</v>
      </c>
      <c r="GH24" s="468">
        <f t="shared" si="46"/>
        <v>25000000</v>
      </c>
      <c r="GI24" s="468"/>
      <c r="GJ24" s="468">
        <v>5000000</v>
      </c>
      <c r="GK24" s="468">
        <v>0</v>
      </c>
      <c r="GL24" s="468">
        <f t="shared" si="47"/>
        <v>5000000</v>
      </c>
      <c r="GM24" s="468"/>
      <c r="GN24" s="468">
        <v>20000000</v>
      </c>
      <c r="GO24" s="468">
        <v>0</v>
      </c>
      <c r="GP24" s="468">
        <f t="shared" si="48"/>
        <v>20000000</v>
      </c>
      <c r="GQ24" s="468"/>
      <c r="GR24" s="468">
        <v>5000000</v>
      </c>
      <c r="GS24" s="468">
        <v>0</v>
      </c>
      <c r="GT24" s="468">
        <f t="shared" si="49"/>
        <v>5000000</v>
      </c>
      <c r="GU24" s="468"/>
      <c r="GV24" s="465">
        <f t="shared" si="50"/>
        <v>1894700000</v>
      </c>
      <c r="GW24" s="465">
        <f t="shared" si="50"/>
        <v>844798339.06000006</v>
      </c>
      <c r="GX24" s="465">
        <f t="shared" si="51"/>
        <v>1049901660.9399999</v>
      </c>
      <c r="GY24" s="470"/>
      <c r="GZ24" s="464"/>
      <c r="HA24" s="471">
        <f>D24+H24+L24+X24+AN24+BH24+CB24+CF24+CV24+DP24+DT24+EN24+FH24+GB24</f>
        <v>1341750000</v>
      </c>
      <c r="HB24" s="471">
        <f>E24+I24+M24+Y24+AO24+BI24+CC24+CG24+CW24+DQ24+DU24+EO24+FI24+GC24</f>
        <v>564099091.72000003</v>
      </c>
      <c r="HC24" s="471">
        <f t="shared" si="52"/>
        <v>777650908.27999997</v>
      </c>
      <c r="HE24" s="471">
        <f>P24+AB24+AR24+
BL24+CJ24+CZ24+DX24+ER24+FL24+GF24</f>
        <v>167000000</v>
      </c>
      <c r="HF24" s="471">
        <f>Q24+AC24+AS24+
BM24+CK24+DA24+DY24+ES24+FM24+GG24</f>
        <v>22365295</v>
      </c>
      <c r="HG24" s="471">
        <f t="shared" si="53"/>
        <v>144634705</v>
      </c>
      <c r="HI24" s="471">
        <f>T24+AF24+AV24+BP24+CN24+DD24+EB24+EV24+FP24+GJ24</f>
        <v>71800000</v>
      </c>
      <c r="HJ24" s="471">
        <f>U24+AG24+AW24+BQ24+CO24+DE24+EC24+EW24+FQ24+GK24</f>
        <v>6800000</v>
      </c>
      <c r="HK24" s="471">
        <f t="shared" si="54"/>
        <v>65000000</v>
      </c>
      <c r="HM24" s="475">
        <f>AJ24+AZ24+BT24+CR24+DH24+EF24+EZ24+FT24+GN24</f>
        <v>270000000</v>
      </c>
      <c r="HN24" s="475">
        <f>AK24+BA24+BU24+CS24+DI24+EG24+FA24+FU24+GO24</f>
        <v>247701671.24000001</v>
      </c>
      <c r="HO24" s="475">
        <f t="shared" si="55"/>
        <v>22298328.75999999</v>
      </c>
      <c r="HP24" s="476"/>
      <c r="HR24" s="471">
        <f>BD24+BX24+DL24+EJ24+FD24+FX24+GR24</f>
        <v>44150000</v>
      </c>
      <c r="HS24" s="471">
        <f>BE24+BY24+DM24+EK24+FE24+FY24+GS24</f>
        <v>3832281.1</v>
      </c>
      <c r="HT24" s="471">
        <f t="shared" si="56"/>
        <v>40317718.899999999</v>
      </c>
    </row>
    <row r="25" spans="1:228" x14ac:dyDescent="0.25">
      <c r="A25" s="107">
        <v>20</v>
      </c>
      <c r="B25" s="107" t="s">
        <v>84</v>
      </c>
      <c r="C25" s="113" t="s">
        <v>61</v>
      </c>
      <c r="D25" s="465">
        <v>0</v>
      </c>
      <c r="E25" s="465">
        <v>0</v>
      </c>
      <c r="F25" s="465">
        <f t="shared" si="1"/>
        <v>0</v>
      </c>
      <c r="G25" s="465"/>
      <c r="H25" s="465">
        <v>50000000</v>
      </c>
      <c r="I25" s="465">
        <v>50000000</v>
      </c>
      <c r="J25" s="465">
        <f t="shared" si="2"/>
        <v>0</v>
      </c>
      <c r="K25" s="465"/>
      <c r="L25" s="465">
        <v>50000000</v>
      </c>
      <c r="M25" s="465">
        <v>50000000</v>
      </c>
      <c r="N25" s="465">
        <f t="shared" si="3"/>
        <v>0</v>
      </c>
      <c r="O25" s="465"/>
      <c r="P25" s="465">
        <v>990000</v>
      </c>
      <c r="Q25" s="465">
        <v>990000</v>
      </c>
      <c r="R25" s="465">
        <f t="shared" si="4"/>
        <v>0</v>
      </c>
      <c r="S25" s="465"/>
      <c r="T25" s="465">
        <f>3000000-3000000</f>
        <v>0</v>
      </c>
      <c r="U25" s="465">
        <v>0</v>
      </c>
      <c r="V25" s="465">
        <f t="shared" si="5"/>
        <v>0</v>
      </c>
      <c r="W25" s="465"/>
      <c r="X25" s="465">
        <v>60000000</v>
      </c>
      <c r="Y25" s="465">
        <v>60000000</v>
      </c>
      <c r="Z25" s="465">
        <f t="shared" si="6"/>
        <v>0</v>
      </c>
      <c r="AA25" s="465"/>
      <c r="AB25" s="465">
        <v>3728000</v>
      </c>
      <c r="AC25" s="465">
        <v>3728000</v>
      </c>
      <c r="AD25" s="465">
        <f t="shared" si="7"/>
        <v>0</v>
      </c>
      <c r="AE25" s="465"/>
      <c r="AF25" s="465">
        <f>5000000-5000000</f>
        <v>0</v>
      </c>
      <c r="AG25" s="465">
        <v>0</v>
      </c>
      <c r="AH25" s="465">
        <f t="shared" si="8"/>
        <v>0</v>
      </c>
      <c r="AI25" s="465"/>
      <c r="AJ25" s="465">
        <v>15000000</v>
      </c>
      <c r="AK25" s="465">
        <v>15000000</v>
      </c>
      <c r="AL25" s="465">
        <f t="shared" si="9"/>
        <v>0</v>
      </c>
      <c r="AM25" s="465"/>
      <c r="AN25" s="465">
        <v>80000000</v>
      </c>
      <c r="AO25" s="465">
        <v>80000000</v>
      </c>
      <c r="AP25" s="465">
        <f t="shared" si="10"/>
        <v>0</v>
      </c>
      <c r="AQ25" s="465"/>
      <c r="AR25" s="465">
        <v>10000000</v>
      </c>
      <c r="AS25" s="465">
        <f>1999980+5828240+2171780</f>
        <v>10000000</v>
      </c>
      <c r="AT25" s="465">
        <f t="shared" si="11"/>
        <v>0</v>
      </c>
      <c r="AU25" s="465"/>
      <c r="AV25" s="465">
        <v>5000000</v>
      </c>
      <c r="AW25" s="465">
        <f>10000000-5000000</f>
        <v>5000000</v>
      </c>
      <c r="AX25" s="465">
        <f t="shared" si="12"/>
        <v>0</v>
      </c>
      <c r="AY25" s="465"/>
      <c r="AZ25" s="465">
        <v>20000000</v>
      </c>
      <c r="BA25" s="465">
        <v>20000000</v>
      </c>
      <c r="BB25" s="465">
        <f t="shared" si="13"/>
        <v>0</v>
      </c>
      <c r="BC25" s="465"/>
      <c r="BD25" s="465">
        <v>5000000</v>
      </c>
      <c r="BE25" s="465">
        <f>4760000+240000</f>
        <v>5000000</v>
      </c>
      <c r="BF25" s="465">
        <f t="shared" si="14"/>
        <v>0</v>
      </c>
      <c r="BG25" s="465"/>
      <c r="BH25" s="465">
        <v>130000000</v>
      </c>
      <c r="BI25" s="465">
        <f>41131104.75+39440850+49428045.25</f>
        <v>130000000</v>
      </c>
      <c r="BJ25" s="465">
        <f t="shared" si="15"/>
        <v>0</v>
      </c>
      <c r="BK25" s="465"/>
      <c r="BL25" s="465">
        <v>10000000</v>
      </c>
      <c r="BM25" s="465">
        <f>1999940+1706580+731470+984000</f>
        <v>5421990</v>
      </c>
      <c r="BN25" s="465">
        <f t="shared" si="16"/>
        <v>4578010</v>
      </c>
      <c r="BO25" s="465"/>
      <c r="BP25" s="465">
        <v>10000000</v>
      </c>
      <c r="BQ25" s="465">
        <v>10000000</v>
      </c>
      <c r="BR25" s="465">
        <f t="shared" si="17"/>
        <v>0</v>
      </c>
      <c r="BS25" s="465"/>
      <c r="BT25" s="465">
        <v>40000000</v>
      </c>
      <c r="BU25" s="465">
        <f>11844637.1+25467640+2687722.9</f>
        <v>40000000</v>
      </c>
      <c r="BV25" s="465">
        <f t="shared" si="18"/>
        <v>0</v>
      </c>
      <c r="BW25" s="465"/>
      <c r="BX25" s="465">
        <v>5000000</v>
      </c>
      <c r="BY25" s="465">
        <f>4574400+425600</f>
        <v>5000000</v>
      </c>
      <c r="BZ25" s="465">
        <f t="shared" si="19"/>
        <v>0</v>
      </c>
      <c r="CA25" s="465"/>
      <c r="CB25" s="465">
        <v>0</v>
      </c>
      <c r="CC25" s="465">
        <v>0</v>
      </c>
      <c r="CD25" s="465">
        <f t="shared" si="20"/>
        <v>0</v>
      </c>
      <c r="CE25" s="465"/>
      <c r="CF25" s="465">
        <f t="shared" si="21"/>
        <v>140000000</v>
      </c>
      <c r="CG25" s="465">
        <f>92297879.75+47702120.25</f>
        <v>140000000</v>
      </c>
      <c r="CH25" s="465">
        <f t="shared" si="22"/>
        <v>0</v>
      </c>
      <c r="CI25" s="465"/>
      <c r="CJ25" s="465">
        <v>20000000</v>
      </c>
      <c r="CK25" s="465">
        <f>5905999+6265273.5+754078.8</f>
        <v>12925351.300000001</v>
      </c>
      <c r="CL25" s="465">
        <f t="shared" si="23"/>
        <v>7074648.6999999993</v>
      </c>
      <c r="CM25" s="465"/>
      <c r="CN25" s="465">
        <v>10000000</v>
      </c>
      <c r="CO25" s="465">
        <f>9750000+250000</f>
        <v>10000000</v>
      </c>
      <c r="CP25" s="465">
        <f t="shared" si="24"/>
        <v>0</v>
      </c>
      <c r="CQ25" s="465"/>
      <c r="CR25" s="465">
        <v>40000000</v>
      </c>
      <c r="CS25" s="465">
        <f>8751102.1+22941083+3982620+4325194.9</f>
        <v>40000000</v>
      </c>
      <c r="CT25" s="465">
        <f t="shared" si="25"/>
        <v>0</v>
      </c>
      <c r="CU25" s="465"/>
      <c r="CV25" s="465">
        <v>150000000</v>
      </c>
      <c r="CW25" s="478">
        <f>91926021.42+8208000+12000000-2640336+26702646.31+13803668.27</f>
        <v>150000000</v>
      </c>
      <c r="CX25" s="465">
        <f t="shared" si="26"/>
        <v>0</v>
      </c>
      <c r="CY25" s="488"/>
      <c r="CZ25" s="465">
        <v>20000000</v>
      </c>
      <c r="DA25" s="465">
        <v>0</v>
      </c>
      <c r="DB25" s="465">
        <f t="shared" si="27"/>
        <v>20000000</v>
      </c>
      <c r="DC25" s="465"/>
      <c r="DD25" s="465">
        <v>10000000</v>
      </c>
      <c r="DE25" s="465">
        <f>4750000+1215500</f>
        <v>5965500</v>
      </c>
      <c r="DF25" s="465">
        <f t="shared" si="28"/>
        <v>4034500</v>
      </c>
      <c r="DG25" s="465"/>
      <c r="DH25" s="465">
        <v>50000000</v>
      </c>
      <c r="DI25" s="465">
        <f>27471064.1+18429852+882664+2609888+606531.9</f>
        <v>50000000</v>
      </c>
      <c r="DJ25" s="465">
        <f t="shared" si="29"/>
        <v>0</v>
      </c>
      <c r="DK25" s="465"/>
      <c r="DL25" s="465">
        <v>10000000</v>
      </c>
      <c r="DM25" s="478">
        <f>2125000-2125000+1703650+4311625+1689600+2295125</f>
        <v>10000000</v>
      </c>
      <c r="DN25" s="465">
        <f t="shared" si="30"/>
        <v>0</v>
      </c>
      <c r="DO25" s="465"/>
      <c r="DP25" s="465">
        <v>0</v>
      </c>
      <c r="DQ25" s="465">
        <v>0</v>
      </c>
      <c r="DR25" s="465">
        <f t="shared" si="31"/>
        <v>0</v>
      </c>
      <c r="DS25" s="465"/>
      <c r="DT25" s="465">
        <v>100000000</v>
      </c>
      <c r="DU25" s="465">
        <f>85800000+10000000+4200000</f>
        <v>100000000</v>
      </c>
      <c r="DV25" s="465">
        <f t="shared" si="32"/>
        <v>0</v>
      </c>
      <c r="DW25" s="465"/>
      <c r="DX25" s="465">
        <v>15000000</v>
      </c>
      <c r="DY25" s="465">
        <v>0</v>
      </c>
      <c r="DZ25" s="465">
        <f t="shared" si="33"/>
        <v>15000000</v>
      </c>
      <c r="EA25" s="465"/>
      <c r="EB25" s="465">
        <v>10000000</v>
      </c>
      <c r="EC25" s="465">
        <v>0</v>
      </c>
      <c r="ED25" s="465">
        <f t="shared" si="34"/>
        <v>10000000</v>
      </c>
      <c r="EE25" s="465"/>
      <c r="EF25" s="465">
        <v>25000000</v>
      </c>
      <c r="EG25" s="465">
        <f>15196034.1+3993120+5810845.9</f>
        <v>25000000</v>
      </c>
      <c r="EH25" s="465">
        <f t="shared" si="35"/>
        <v>0</v>
      </c>
      <c r="EI25" s="465"/>
      <c r="EJ25" s="465">
        <v>10000000</v>
      </c>
      <c r="EK25" s="478">
        <f>254875</f>
        <v>254875</v>
      </c>
      <c r="EL25" s="465">
        <f t="shared" si="36"/>
        <v>9745125</v>
      </c>
      <c r="EM25" s="465"/>
      <c r="EN25" s="465">
        <v>300000000</v>
      </c>
      <c r="EO25" s="478">
        <f>33932080+42269447.25+13721000+76872458.2+1500000+16868931.53</f>
        <v>185163916.97999999</v>
      </c>
      <c r="EP25" s="465">
        <f t="shared" si="37"/>
        <v>114836083.02000001</v>
      </c>
      <c r="EQ25" s="465"/>
      <c r="ER25" s="465">
        <v>25000000</v>
      </c>
      <c r="ES25" s="465">
        <v>0</v>
      </c>
      <c r="ET25" s="465">
        <f t="shared" si="38"/>
        <v>25000000</v>
      </c>
      <c r="EU25" s="465"/>
      <c r="EV25" s="465">
        <v>10000000</v>
      </c>
      <c r="EW25" s="465">
        <v>0</v>
      </c>
      <c r="EX25" s="465">
        <f t="shared" si="39"/>
        <v>10000000</v>
      </c>
      <c r="EY25" s="465"/>
      <c r="EZ25" s="465">
        <v>30000000</v>
      </c>
      <c r="FA25" s="465">
        <f>1865754.1+2640336+1951300+4762080+264200+4685810+5728105+8102414.9</f>
        <v>30000000</v>
      </c>
      <c r="FB25" s="465">
        <f t="shared" si="40"/>
        <v>0</v>
      </c>
      <c r="FC25" s="488"/>
      <c r="FD25" s="465">
        <v>5000000</v>
      </c>
      <c r="FE25" s="465">
        <v>0</v>
      </c>
      <c r="FF25" s="465">
        <f t="shared" si="41"/>
        <v>5000000</v>
      </c>
      <c r="FG25" s="465"/>
      <c r="FH25" s="463">
        <v>120000000</v>
      </c>
      <c r="FI25" s="463">
        <v>0</v>
      </c>
      <c r="FJ25" s="463">
        <f t="shared" si="0"/>
        <v>120000000</v>
      </c>
      <c r="FK25" s="468"/>
      <c r="FL25" s="463">
        <v>25000000</v>
      </c>
      <c r="FM25" s="468">
        <v>0</v>
      </c>
      <c r="FN25" s="468">
        <f t="shared" si="42"/>
        <v>25000000</v>
      </c>
      <c r="FO25" s="468"/>
      <c r="FP25" s="468">
        <v>5000000</v>
      </c>
      <c r="FQ25" s="468">
        <v>0</v>
      </c>
      <c r="FR25" s="468">
        <f t="shared" si="57"/>
        <v>5000000</v>
      </c>
      <c r="FS25" s="468"/>
      <c r="FT25" s="468">
        <v>30000000</v>
      </c>
      <c r="FU25" s="489">
        <f>2155975.1+7755266+1461900+4850150</f>
        <v>16223291.1</v>
      </c>
      <c r="FV25" s="468">
        <f t="shared" si="58"/>
        <v>13776708.9</v>
      </c>
      <c r="FW25" s="468"/>
      <c r="FX25" s="468">
        <v>4150000</v>
      </c>
      <c r="FY25" s="468">
        <v>0</v>
      </c>
      <c r="FZ25" s="468">
        <v>4150000</v>
      </c>
      <c r="GA25" s="468"/>
      <c r="GB25" s="468">
        <v>160000000</v>
      </c>
      <c r="GC25" s="468">
        <v>0</v>
      </c>
      <c r="GD25" s="468">
        <f t="shared" si="45"/>
        <v>160000000</v>
      </c>
      <c r="GE25" s="468"/>
      <c r="GF25" s="468">
        <v>25000000</v>
      </c>
      <c r="GG25" s="468">
        <v>0</v>
      </c>
      <c r="GH25" s="468">
        <f t="shared" si="46"/>
        <v>25000000</v>
      </c>
      <c r="GI25" s="468"/>
      <c r="GJ25" s="468">
        <v>5000000</v>
      </c>
      <c r="GK25" s="468">
        <v>0</v>
      </c>
      <c r="GL25" s="468">
        <f t="shared" si="47"/>
        <v>5000000</v>
      </c>
      <c r="GM25" s="468"/>
      <c r="GN25" s="468">
        <v>20000000</v>
      </c>
      <c r="GO25" s="468">
        <v>0</v>
      </c>
      <c r="GP25" s="468">
        <f t="shared" si="48"/>
        <v>20000000</v>
      </c>
      <c r="GQ25" s="468"/>
      <c r="GR25" s="468">
        <v>5000000</v>
      </c>
      <c r="GS25" s="468">
        <v>0</v>
      </c>
      <c r="GT25" s="468">
        <f t="shared" si="49"/>
        <v>5000000</v>
      </c>
      <c r="GU25" s="468"/>
      <c r="GV25" s="465">
        <f t="shared" si="50"/>
        <v>1873868000</v>
      </c>
      <c r="GW25" s="465">
        <f t="shared" si="50"/>
        <v>1265672924.3799999</v>
      </c>
      <c r="GX25" s="465">
        <f t="shared" si="51"/>
        <v>608195075.62000012</v>
      </c>
      <c r="GY25" s="470"/>
      <c r="GZ25" s="464"/>
      <c r="HA25" s="471">
        <f>D25+H25+L25+X25+AN25+BH25+CB25+CF25+CV25+DP25+DT25+EN25+FH25+GB25</f>
        <v>1340000000</v>
      </c>
      <c r="HB25" s="471">
        <f>E25+I25+M25+Y25+AO25+BI25+CC25+CG25+CW25+DQ25+DU25+EO25+FI25+GC25</f>
        <v>945163916.98000002</v>
      </c>
      <c r="HC25" s="471">
        <f t="shared" si="52"/>
        <v>394836083.01999998</v>
      </c>
      <c r="HE25" s="471">
        <f>P25+AB25+AR25+
BL25+CJ25+CZ25+DX25+ER25+FL25+GF25</f>
        <v>154718000</v>
      </c>
      <c r="HF25" s="471">
        <f>Q25+AC25+AS25+
BM25+CK25+DA25+DY25+ES25+FM25+GG25</f>
        <v>33065341.300000001</v>
      </c>
      <c r="HG25" s="471">
        <f t="shared" si="53"/>
        <v>121652658.7</v>
      </c>
      <c r="HI25" s="471">
        <f>T25+AF25+AV25+BP25+CN25+DD25+EB25+EV25+FP25+GJ25</f>
        <v>65000000</v>
      </c>
      <c r="HJ25" s="471">
        <f>U25+AG25+AW25+BQ25+CO25+DE25+EC25+EW25+FQ25+GK25</f>
        <v>30965500</v>
      </c>
      <c r="HK25" s="471">
        <f t="shared" si="54"/>
        <v>34034500</v>
      </c>
      <c r="HM25" s="475">
        <f>AJ25+AZ25+BT25+CR25+DH25+EF25+EZ25+FT25+GN25</f>
        <v>270000000</v>
      </c>
      <c r="HN25" s="475">
        <f>AK25+BA25+BU25+CS25+DI25+EG25+FA25+FU25+GO25</f>
        <v>236223291.09999999</v>
      </c>
      <c r="HO25" s="475">
        <f t="shared" si="55"/>
        <v>33776708.900000006</v>
      </c>
      <c r="HP25" s="476"/>
      <c r="HR25" s="471">
        <f>BD25+BX25+DL25+EJ25+FD25+FX25+GR25</f>
        <v>44150000</v>
      </c>
      <c r="HS25" s="471">
        <f>BE25+BY25+DM25+EK25+FE25+FY25+GS25</f>
        <v>20254875</v>
      </c>
      <c r="HT25" s="471">
        <f t="shared" si="56"/>
        <v>23895125</v>
      </c>
    </row>
    <row r="26" spans="1:228" x14ac:dyDescent="0.25">
      <c r="A26" s="107">
        <v>21</v>
      </c>
      <c r="B26" s="107" t="s">
        <v>85</v>
      </c>
      <c r="C26" s="113" t="s">
        <v>65</v>
      </c>
      <c r="D26" s="465">
        <v>0</v>
      </c>
      <c r="E26" s="465">
        <v>0</v>
      </c>
      <c r="F26" s="465">
        <f t="shared" si="1"/>
        <v>0</v>
      </c>
      <c r="G26" s="465"/>
      <c r="H26" s="465">
        <v>50000000</v>
      </c>
      <c r="I26" s="465">
        <v>50000000</v>
      </c>
      <c r="J26" s="465">
        <f t="shared" si="2"/>
        <v>0</v>
      </c>
      <c r="K26" s="465"/>
      <c r="L26" s="465">
        <v>50000000</v>
      </c>
      <c r="M26" s="465">
        <v>50000000</v>
      </c>
      <c r="N26" s="465">
        <f t="shared" si="3"/>
        <v>0</v>
      </c>
      <c r="O26" s="465"/>
      <c r="P26" s="465">
        <v>7000000</v>
      </c>
      <c r="Q26" s="465">
        <v>7000000</v>
      </c>
      <c r="R26" s="465">
        <f t="shared" si="4"/>
        <v>0</v>
      </c>
      <c r="S26" s="465"/>
      <c r="T26" s="465">
        <f>3000000-3000000</f>
        <v>0</v>
      </c>
      <c r="U26" s="465">
        <v>0</v>
      </c>
      <c r="V26" s="465">
        <f t="shared" si="5"/>
        <v>0</v>
      </c>
      <c r="W26" s="465"/>
      <c r="X26" s="465">
        <v>60000000</v>
      </c>
      <c r="Y26" s="465">
        <v>60000000</v>
      </c>
      <c r="Z26" s="465">
        <f t="shared" si="6"/>
        <v>0</v>
      </c>
      <c r="AA26" s="465"/>
      <c r="AB26" s="465">
        <v>10000000</v>
      </c>
      <c r="AC26" s="465">
        <f>4550000+5450000</f>
        <v>10000000</v>
      </c>
      <c r="AD26" s="465">
        <f t="shared" si="7"/>
        <v>0</v>
      </c>
      <c r="AE26" s="465"/>
      <c r="AF26" s="465">
        <f>5000000-5000000</f>
        <v>0</v>
      </c>
      <c r="AG26" s="465">
        <v>0</v>
      </c>
      <c r="AH26" s="465">
        <f t="shared" si="8"/>
        <v>0</v>
      </c>
      <c r="AI26" s="465"/>
      <c r="AJ26" s="465">
        <v>15000000</v>
      </c>
      <c r="AK26" s="465">
        <v>15000000</v>
      </c>
      <c r="AL26" s="465">
        <f t="shared" si="9"/>
        <v>0</v>
      </c>
      <c r="AM26" s="465"/>
      <c r="AN26" s="465">
        <v>80000000</v>
      </c>
      <c r="AO26" s="465">
        <v>80000000</v>
      </c>
      <c r="AP26" s="465">
        <f t="shared" si="10"/>
        <v>0</v>
      </c>
      <c r="AQ26" s="465"/>
      <c r="AR26" s="465">
        <v>10000000</v>
      </c>
      <c r="AS26" s="465">
        <f>10000000</f>
        <v>10000000</v>
      </c>
      <c r="AT26" s="465">
        <f t="shared" si="11"/>
        <v>0</v>
      </c>
      <c r="AU26" s="465"/>
      <c r="AV26" s="465">
        <v>5000000</v>
      </c>
      <c r="AW26" s="465">
        <v>0</v>
      </c>
      <c r="AX26" s="465">
        <f t="shared" si="12"/>
        <v>5000000</v>
      </c>
      <c r="AY26" s="465"/>
      <c r="AZ26" s="465">
        <v>20000000</v>
      </c>
      <c r="BA26" s="465">
        <f>13645494+2998830+3355676</f>
        <v>20000000</v>
      </c>
      <c r="BB26" s="465">
        <f t="shared" si="13"/>
        <v>0</v>
      </c>
      <c r="BC26" s="465"/>
      <c r="BD26" s="465">
        <v>5000000</v>
      </c>
      <c r="BE26" s="478">
        <f>5000000-851850</f>
        <v>4148150</v>
      </c>
      <c r="BF26" s="465">
        <f t="shared" si="14"/>
        <v>851850</v>
      </c>
      <c r="BG26" s="465"/>
      <c r="BH26" s="465">
        <v>130000000</v>
      </c>
      <c r="BI26" s="465">
        <f>71253617.0000019+43891700+3744000+11110683</f>
        <v>130000000.00000191</v>
      </c>
      <c r="BJ26" s="465">
        <f t="shared" si="15"/>
        <v>-1.9073486328125E-6</v>
      </c>
      <c r="BK26" s="465"/>
      <c r="BL26" s="465">
        <v>10000000</v>
      </c>
      <c r="BM26" s="465">
        <f>450000+706080+706080+706080-706080-706080+6518220+6518220-6518220+2325700</f>
        <v>10000000</v>
      </c>
      <c r="BN26" s="465">
        <f t="shared" si="16"/>
        <v>0</v>
      </c>
      <c r="BO26" s="465"/>
      <c r="BP26" s="465">
        <v>10000000</v>
      </c>
      <c r="BQ26" s="465">
        <v>0</v>
      </c>
      <c r="BR26" s="465">
        <f t="shared" si="17"/>
        <v>10000000</v>
      </c>
      <c r="BS26" s="465"/>
      <c r="BT26" s="465">
        <v>40000000</v>
      </c>
      <c r="BU26" s="465">
        <f>37570375+2429625</f>
        <v>40000000</v>
      </c>
      <c r="BV26" s="465">
        <f t="shared" si="18"/>
        <v>0</v>
      </c>
      <c r="BW26" s="465"/>
      <c r="BX26" s="465">
        <v>5000000</v>
      </c>
      <c r="BY26" s="496">
        <f>2147650+851850-2320500+851850</f>
        <v>1530850</v>
      </c>
      <c r="BZ26" s="465">
        <f t="shared" si="19"/>
        <v>3469150</v>
      </c>
      <c r="CA26" s="465"/>
      <c r="CB26" s="465">
        <v>0</v>
      </c>
      <c r="CC26" s="465">
        <v>0</v>
      </c>
      <c r="CD26" s="465">
        <f t="shared" si="20"/>
        <v>0</v>
      </c>
      <c r="CE26" s="465"/>
      <c r="CF26" s="465">
        <f t="shared" si="21"/>
        <v>140000000</v>
      </c>
      <c r="CG26" s="465">
        <f>87597817+23447650+28954533</f>
        <v>140000000</v>
      </c>
      <c r="CH26" s="465">
        <f t="shared" si="22"/>
        <v>0</v>
      </c>
      <c r="CI26" s="465"/>
      <c r="CJ26" s="465">
        <v>20000000</v>
      </c>
      <c r="CK26" s="465">
        <f>95300</f>
        <v>95300</v>
      </c>
      <c r="CL26" s="465">
        <f t="shared" si="23"/>
        <v>19904700</v>
      </c>
      <c r="CM26" s="465"/>
      <c r="CN26" s="465">
        <v>10000000</v>
      </c>
      <c r="CO26" s="465">
        <v>0</v>
      </c>
      <c r="CP26" s="465">
        <f t="shared" si="24"/>
        <v>10000000</v>
      </c>
      <c r="CQ26" s="465"/>
      <c r="CR26" s="465">
        <v>40000000</v>
      </c>
      <c r="CS26" s="465">
        <f>29261570+10738430</f>
        <v>40000000</v>
      </c>
      <c r="CT26" s="465">
        <f t="shared" si="25"/>
        <v>0</v>
      </c>
      <c r="CU26" s="465"/>
      <c r="CV26" s="465">
        <v>150000000</v>
      </c>
      <c r="CW26" s="465">
        <f>19552313+3000000+47242536+700000+2100000-2100000+79505151</f>
        <v>150000000</v>
      </c>
      <c r="CX26" s="465">
        <f t="shared" si="26"/>
        <v>0</v>
      </c>
      <c r="CY26" s="488"/>
      <c r="CZ26" s="465">
        <v>20000000</v>
      </c>
      <c r="DA26" s="465">
        <v>0</v>
      </c>
      <c r="DB26" s="465">
        <f t="shared" si="27"/>
        <v>20000000</v>
      </c>
      <c r="DC26" s="465"/>
      <c r="DD26" s="465">
        <v>10000000</v>
      </c>
      <c r="DE26" s="465">
        <v>0</v>
      </c>
      <c r="DF26" s="465">
        <f t="shared" si="28"/>
        <v>10000000</v>
      </c>
      <c r="DG26" s="465"/>
      <c r="DH26" s="465">
        <v>50000000</v>
      </c>
      <c r="DI26" s="465">
        <f>1419070+869000+14135090+10516450-10516450+10516450</f>
        <v>26939610</v>
      </c>
      <c r="DJ26" s="465">
        <f t="shared" si="29"/>
        <v>23060390</v>
      </c>
      <c r="DK26" s="465"/>
      <c r="DL26" s="465">
        <v>10000000</v>
      </c>
      <c r="DM26" s="465">
        <v>0</v>
      </c>
      <c r="DN26" s="465">
        <f t="shared" si="30"/>
        <v>10000000</v>
      </c>
      <c r="DO26" s="465"/>
      <c r="DP26" s="465">
        <v>0</v>
      </c>
      <c r="DQ26" s="465">
        <v>0</v>
      </c>
      <c r="DR26" s="465">
        <f t="shared" si="31"/>
        <v>0</v>
      </c>
      <c r="DS26" s="465"/>
      <c r="DT26" s="465">
        <v>100000000</v>
      </c>
      <c r="DU26" s="465">
        <f>42248849+57751151</f>
        <v>100000000</v>
      </c>
      <c r="DV26" s="465">
        <f t="shared" si="32"/>
        <v>0</v>
      </c>
      <c r="DW26" s="465"/>
      <c r="DX26" s="465">
        <v>15000000</v>
      </c>
      <c r="DY26" s="465">
        <v>0</v>
      </c>
      <c r="DZ26" s="465">
        <f t="shared" si="33"/>
        <v>15000000</v>
      </c>
      <c r="EA26" s="465"/>
      <c r="EB26" s="465">
        <v>10000000</v>
      </c>
      <c r="EC26" s="465">
        <v>0</v>
      </c>
      <c r="ED26" s="465">
        <f t="shared" si="34"/>
        <v>10000000</v>
      </c>
      <c r="EE26" s="465"/>
      <c r="EF26" s="465">
        <v>25000000</v>
      </c>
      <c r="EG26" s="465">
        <v>0</v>
      </c>
      <c r="EH26" s="465">
        <f t="shared" si="35"/>
        <v>25000000</v>
      </c>
      <c r="EI26" s="465"/>
      <c r="EJ26" s="465">
        <v>10000000</v>
      </c>
      <c r="EK26" s="465">
        <v>0</v>
      </c>
      <c r="EL26" s="465">
        <f t="shared" si="36"/>
        <v>10000000</v>
      </c>
      <c r="EM26" s="465"/>
      <c r="EN26" s="465">
        <v>300000000</v>
      </c>
      <c r="EO26" s="483">
        <f>85402599+143153750-143153750</f>
        <v>85402599</v>
      </c>
      <c r="EP26" s="465">
        <f t="shared" si="37"/>
        <v>214597401</v>
      </c>
      <c r="EQ26" s="465"/>
      <c r="ER26" s="465">
        <v>25000000</v>
      </c>
      <c r="ES26" s="465">
        <v>0</v>
      </c>
      <c r="ET26" s="465">
        <f t="shared" si="38"/>
        <v>25000000</v>
      </c>
      <c r="EU26" s="465"/>
      <c r="EV26" s="465">
        <v>10000000</v>
      </c>
      <c r="EW26" s="465">
        <v>0</v>
      </c>
      <c r="EX26" s="465">
        <f t="shared" si="39"/>
        <v>10000000</v>
      </c>
      <c r="EY26" s="465"/>
      <c r="EZ26" s="465">
        <v>30000000</v>
      </c>
      <c r="FA26" s="465">
        <v>0</v>
      </c>
      <c r="FB26" s="465">
        <f t="shared" si="40"/>
        <v>30000000</v>
      </c>
      <c r="FC26" s="465"/>
      <c r="FD26" s="465">
        <v>5000000</v>
      </c>
      <c r="FE26" s="465">
        <v>0</v>
      </c>
      <c r="FF26" s="465">
        <f t="shared" si="41"/>
        <v>5000000</v>
      </c>
      <c r="FG26" s="465"/>
      <c r="FH26" s="463">
        <v>120000000</v>
      </c>
      <c r="FI26" s="463">
        <v>0</v>
      </c>
      <c r="FJ26" s="463">
        <f t="shared" si="0"/>
        <v>120000000</v>
      </c>
      <c r="FK26" s="468"/>
      <c r="FL26" s="463">
        <v>25000000</v>
      </c>
      <c r="FM26" s="468">
        <v>0</v>
      </c>
      <c r="FN26" s="468">
        <f t="shared" si="42"/>
        <v>25000000</v>
      </c>
      <c r="FO26" s="468"/>
      <c r="FP26" s="468">
        <v>5000000</v>
      </c>
      <c r="FQ26" s="468">
        <v>0</v>
      </c>
      <c r="FR26" s="468">
        <f t="shared" si="57"/>
        <v>5000000</v>
      </c>
      <c r="FS26" s="468"/>
      <c r="FT26" s="468">
        <v>30000000</v>
      </c>
      <c r="FU26" s="468">
        <v>0</v>
      </c>
      <c r="FV26" s="468">
        <f t="shared" si="58"/>
        <v>30000000</v>
      </c>
      <c r="FW26" s="468"/>
      <c r="FX26" s="468">
        <v>4150000</v>
      </c>
      <c r="FY26" s="468">
        <v>0</v>
      </c>
      <c r="FZ26" s="468">
        <v>4150000</v>
      </c>
      <c r="GA26" s="468"/>
      <c r="GB26" s="468">
        <v>160000000</v>
      </c>
      <c r="GC26" s="468">
        <v>0</v>
      </c>
      <c r="GD26" s="468">
        <f t="shared" si="45"/>
        <v>160000000</v>
      </c>
      <c r="GE26" s="468"/>
      <c r="GF26" s="468">
        <v>25000000</v>
      </c>
      <c r="GG26" s="468">
        <v>0</v>
      </c>
      <c r="GH26" s="468">
        <f t="shared" si="46"/>
        <v>25000000</v>
      </c>
      <c r="GI26" s="468"/>
      <c r="GJ26" s="468">
        <v>5000000</v>
      </c>
      <c r="GK26" s="468">
        <v>0</v>
      </c>
      <c r="GL26" s="468">
        <f t="shared" si="47"/>
        <v>5000000</v>
      </c>
      <c r="GM26" s="468"/>
      <c r="GN26" s="468">
        <v>20000000</v>
      </c>
      <c r="GO26" s="468">
        <v>0</v>
      </c>
      <c r="GP26" s="468">
        <f t="shared" si="48"/>
        <v>20000000</v>
      </c>
      <c r="GQ26" s="468"/>
      <c r="GR26" s="468">
        <v>5000000</v>
      </c>
      <c r="GS26" s="468">
        <v>0</v>
      </c>
      <c r="GT26" s="468">
        <f t="shared" si="49"/>
        <v>5000000</v>
      </c>
      <c r="GU26" s="468"/>
      <c r="GV26" s="465">
        <f t="shared" si="50"/>
        <v>1886150000</v>
      </c>
      <c r="GW26" s="465">
        <f t="shared" si="50"/>
        <v>1030116509.0000019</v>
      </c>
      <c r="GX26" s="465">
        <f t="shared" si="51"/>
        <v>856033490.99999809</v>
      </c>
      <c r="GY26" s="470"/>
      <c r="GZ26" s="464"/>
      <c r="HA26" s="471">
        <f>D26+H26+L26+X26+AN26+BH26+CB26+CF26+CV26+DP26+DT26+EN26+FH26+GB26</f>
        <v>1340000000</v>
      </c>
      <c r="HB26" s="471">
        <f>E26+I26+M26+Y26+AO26+BI26+CC26+CG26+CW26+DQ26+DU26+EO26+FI26+GC26</f>
        <v>845402599.00000191</v>
      </c>
      <c r="HC26" s="471">
        <f t="shared" si="52"/>
        <v>494597400.99999809</v>
      </c>
      <c r="HE26" s="471">
        <f>P26+AB26+AR26+
BL26+CJ26+CZ26+DX26+ER26+FL26+GF26</f>
        <v>167000000</v>
      </c>
      <c r="HF26" s="471">
        <f>Q26+AC26+AS26+
BM26+CK26+DA26+DY26+ES26+FM26+GG26</f>
        <v>37095300</v>
      </c>
      <c r="HG26" s="471">
        <f t="shared" si="53"/>
        <v>129904700</v>
      </c>
      <c r="HI26" s="471">
        <f>T26+AF26+AV26+BP26+CN26+DD26+EB26+EV26+FP26+GJ26</f>
        <v>65000000</v>
      </c>
      <c r="HJ26" s="471">
        <f>U26+AG26+AW26+BQ26+CO26+DE26+EC26+EW26+FQ26+GK26</f>
        <v>0</v>
      </c>
      <c r="HK26" s="471">
        <f t="shared" si="54"/>
        <v>65000000</v>
      </c>
      <c r="HM26" s="475">
        <f>AJ26+AZ26+BT26+CR26+DH26+EF26+EZ26+FT26+GN26</f>
        <v>270000000</v>
      </c>
      <c r="HN26" s="475">
        <f>AK26+BA26+BU26+CS26+DI26+EG26+FA26+FU26+GO26</f>
        <v>141939610</v>
      </c>
      <c r="HO26" s="475">
        <f t="shared" si="55"/>
        <v>128060390</v>
      </c>
      <c r="HP26" s="476"/>
      <c r="HR26" s="471">
        <f>BD26+BX26+DL26+EJ26+FD26+FX26+GR26</f>
        <v>44150000</v>
      </c>
      <c r="HS26" s="471">
        <f>BE26+BY26+DM26+EK26+FE26+FY26+GS26</f>
        <v>5679000</v>
      </c>
      <c r="HT26" s="471">
        <f t="shared" si="56"/>
        <v>38471000</v>
      </c>
    </row>
    <row r="27" spans="1:228" x14ac:dyDescent="0.25">
      <c r="A27" s="107">
        <v>22</v>
      </c>
      <c r="B27" s="107" t="s">
        <v>86</v>
      </c>
      <c r="C27" s="113" t="s">
        <v>76</v>
      </c>
      <c r="D27" s="465">
        <v>0</v>
      </c>
      <c r="E27" s="465">
        <v>0</v>
      </c>
      <c r="F27" s="465">
        <f t="shared" si="1"/>
        <v>0</v>
      </c>
      <c r="G27" s="465"/>
      <c r="H27" s="465">
        <v>50000000</v>
      </c>
      <c r="I27" s="465">
        <v>50000000</v>
      </c>
      <c r="J27" s="465">
        <f t="shared" si="2"/>
        <v>0</v>
      </c>
      <c r="K27" s="465"/>
      <c r="L27" s="465">
        <v>50000000</v>
      </c>
      <c r="M27" s="465">
        <v>50000000</v>
      </c>
      <c r="N27" s="465">
        <f t="shared" si="3"/>
        <v>0</v>
      </c>
      <c r="O27" s="465"/>
      <c r="P27" s="465">
        <v>7000000</v>
      </c>
      <c r="Q27" s="465">
        <v>7000000</v>
      </c>
      <c r="R27" s="465">
        <f t="shared" si="4"/>
        <v>0</v>
      </c>
      <c r="S27" s="465"/>
      <c r="T27" s="465">
        <f>3000000-3000000</f>
        <v>0</v>
      </c>
      <c r="U27" s="465">
        <v>0</v>
      </c>
      <c r="V27" s="465">
        <f t="shared" si="5"/>
        <v>0</v>
      </c>
      <c r="W27" s="465"/>
      <c r="X27" s="465">
        <v>60000000</v>
      </c>
      <c r="Y27" s="465">
        <v>60000000</v>
      </c>
      <c r="Z27" s="465">
        <f t="shared" si="6"/>
        <v>0</v>
      </c>
      <c r="AA27" s="465"/>
      <c r="AB27" s="465">
        <v>10000000</v>
      </c>
      <c r="AC27" s="465">
        <v>10000000</v>
      </c>
      <c r="AD27" s="465">
        <f t="shared" si="7"/>
        <v>0</v>
      </c>
      <c r="AE27" s="465"/>
      <c r="AF27" s="465">
        <f>5000000-5000000</f>
        <v>0</v>
      </c>
      <c r="AG27" s="465">
        <v>0</v>
      </c>
      <c r="AH27" s="465">
        <f t="shared" si="8"/>
        <v>0</v>
      </c>
      <c r="AI27" s="465"/>
      <c r="AJ27" s="465">
        <v>15000000</v>
      </c>
      <c r="AK27" s="465">
        <v>15000000</v>
      </c>
      <c r="AL27" s="465">
        <f t="shared" si="9"/>
        <v>0</v>
      </c>
      <c r="AM27" s="465"/>
      <c r="AN27" s="465">
        <v>80000000</v>
      </c>
      <c r="AO27" s="465">
        <v>80000000</v>
      </c>
      <c r="AP27" s="465">
        <f t="shared" si="10"/>
        <v>0</v>
      </c>
      <c r="AQ27" s="465"/>
      <c r="AR27" s="465">
        <v>10000000</v>
      </c>
      <c r="AS27" s="465">
        <f>5292020+3226150+1481830</f>
        <v>10000000</v>
      </c>
      <c r="AT27" s="465">
        <f t="shared" si="11"/>
        <v>0</v>
      </c>
      <c r="AU27" s="465"/>
      <c r="AV27" s="465">
        <v>5000000</v>
      </c>
      <c r="AW27" s="465">
        <v>0</v>
      </c>
      <c r="AX27" s="465">
        <f t="shared" si="12"/>
        <v>5000000</v>
      </c>
      <c r="AY27" s="465"/>
      <c r="AZ27" s="465">
        <v>20000000</v>
      </c>
      <c r="BA27" s="465">
        <v>20000000</v>
      </c>
      <c r="BB27" s="465">
        <f t="shared" si="13"/>
        <v>0</v>
      </c>
      <c r="BC27" s="465"/>
      <c r="BD27" s="465">
        <v>5000000</v>
      </c>
      <c r="BE27" s="465">
        <f>1160250+204750+1704675</f>
        <v>3069675</v>
      </c>
      <c r="BF27" s="465">
        <f t="shared" si="14"/>
        <v>1930325</v>
      </c>
      <c r="BG27" s="465"/>
      <c r="BH27" s="465">
        <v>130000000</v>
      </c>
      <c r="BI27" s="465">
        <f>5523280+51476419+31259200+41741101</f>
        <v>130000000</v>
      </c>
      <c r="BJ27" s="465">
        <f t="shared" si="15"/>
        <v>0</v>
      </c>
      <c r="BK27" s="465"/>
      <c r="BL27" s="465">
        <v>10000000</v>
      </c>
      <c r="BM27" s="465">
        <f>518170+9481830</f>
        <v>10000000</v>
      </c>
      <c r="BN27" s="465">
        <f t="shared" si="16"/>
        <v>0</v>
      </c>
      <c r="BO27" s="465"/>
      <c r="BP27" s="465">
        <v>10000000</v>
      </c>
      <c r="BQ27" s="465">
        <v>0</v>
      </c>
      <c r="BR27" s="465">
        <f t="shared" si="17"/>
        <v>10000000</v>
      </c>
      <c r="BS27" s="465"/>
      <c r="BT27" s="465">
        <v>40000000</v>
      </c>
      <c r="BU27" s="465">
        <f>25442306.29+8702839+5586669+268185.71</f>
        <v>40000000</v>
      </c>
      <c r="BV27" s="465">
        <f t="shared" si="18"/>
        <v>0</v>
      </c>
      <c r="BW27" s="465"/>
      <c r="BX27" s="465">
        <v>5000000</v>
      </c>
      <c r="BY27" s="465">
        <f>1392300</f>
        <v>1392300</v>
      </c>
      <c r="BZ27" s="465">
        <f t="shared" si="19"/>
        <v>3607700</v>
      </c>
      <c r="CA27" s="465"/>
      <c r="CB27" s="465">
        <v>0</v>
      </c>
      <c r="CC27" s="465">
        <v>0</v>
      </c>
      <c r="CD27" s="465">
        <f t="shared" si="20"/>
        <v>0</v>
      </c>
      <c r="CE27" s="465"/>
      <c r="CF27" s="465">
        <f t="shared" si="21"/>
        <v>140000000</v>
      </c>
      <c r="CG27" s="465">
        <f>137597446.34+2402553.66</f>
        <v>140000000</v>
      </c>
      <c r="CH27" s="465">
        <f t="shared" si="22"/>
        <v>0</v>
      </c>
      <c r="CI27" s="465"/>
      <c r="CJ27" s="465">
        <v>20000000</v>
      </c>
      <c r="CK27" s="465">
        <f>20000000</f>
        <v>20000000</v>
      </c>
      <c r="CL27" s="465">
        <f t="shared" si="23"/>
        <v>0</v>
      </c>
      <c r="CM27" s="465"/>
      <c r="CN27" s="465">
        <v>10000000</v>
      </c>
      <c r="CO27" s="465">
        <v>0</v>
      </c>
      <c r="CP27" s="465">
        <f t="shared" si="24"/>
        <v>10000000</v>
      </c>
      <c r="CQ27" s="465"/>
      <c r="CR27" s="465">
        <v>40000000</v>
      </c>
      <c r="CS27" s="465">
        <f>17524034.29+23918088-1442122.29</f>
        <v>40000000</v>
      </c>
      <c r="CT27" s="465">
        <f t="shared" si="25"/>
        <v>0</v>
      </c>
      <c r="CU27" s="465"/>
      <c r="CV27" s="465">
        <v>150000000</v>
      </c>
      <c r="CW27" s="465">
        <f>140174546.34-2686026+4638552+2060000+5812927.66</f>
        <v>150000000</v>
      </c>
      <c r="CX27" s="465">
        <f t="shared" si="26"/>
        <v>0</v>
      </c>
      <c r="CY27" s="465"/>
      <c r="CZ27" s="465">
        <v>20000000</v>
      </c>
      <c r="DA27" s="465">
        <v>18625566.300000001</v>
      </c>
      <c r="DB27" s="465">
        <f t="shared" si="27"/>
        <v>1374433.6999999993</v>
      </c>
      <c r="DC27" s="465"/>
      <c r="DD27" s="465">
        <v>10000000</v>
      </c>
      <c r="DE27" s="465">
        <v>0</v>
      </c>
      <c r="DF27" s="465">
        <f t="shared" si="28"/>
        <v>10000000</v>
      </c>
      <c r="DG27" s="465"/>
      <c r="DH27" s="465">
        <v>50000000</v>
      </c>
      <c r="DI27" s="465">
        <f>1442122.29+19267630+18238490+13169696-4638552+2686026-165412.29</f>
        <v>50000000</v>
      </c>
      <c r="DJ27" s="465">
        <f t="shared" si="29"/>
        <v>0</v>
      </c>
      <c r="DK27" s="465"/>
      <c r="DL27" s="465">
        <v>10000000</v>
      </c>
      <c r="DM27" s="465">
        <v>0</v>
      </c>
      <c r="DN27" s="465">
        <f t="shared" si="30"/>
        <v>10000000</v>
      </c>
      <c r="DO27" s="465"/>
      <c r="DP27" s="465">
        <v>0</v>
      </c>
      <c r="DQ27" s="465">
        <v>0</v>
      </c>
      <c r="DR27" s="465">
        <f t="shared" si="31"/>
        <v>0</v>
      </c>
      <c r="DS27" s="465"/>
      <c r="DT27" s="465">
        <v>100000000</v>
      </c>
      <c r="DU27" s="465">
        <f>30187072.34+26875125.2+42937802.46</f>
        <v>100000000</v>
      </c>
      <c r="DV27" s="465">
        <f t="shared" si="32"/>
        <v>0</v>
      </c>
      <c r="DW27" s="465"/>
      <c r="DX27" s="465">
        <v>15000000</v>
      </c>
      <c r="DY27" s="465">
        <v>13843884.83</v>
      </c>
      <c r="DZ27" s="465">
        <f t="shared" si="33"/>
        <v>1156115.17</v>
      </c>
      <c r="EA27" s="465"/>
      <c r="EB27" s="465">
        <v>10000000</v>
      </c>
      <c r="EC27" s="465">
        <v>0</v>
      </c>
      <c r="ED27" s="465">
        <f t="shared" si="34"/>
        <v>10000000</v>
      </c>
      <c r="EE27" s="465"/>
      <c r="EF27" s="465">
        <v>25000000</v>
      </c>
      <c r="EG27" s="465">
        <f>10423970+10733084+165412.29+3677533.71</f>
        <v>25000000</v>
      </c>
      <c r="EH27" s="465">
        <f t="shared" si="35"/>
        <v>0</v>
      </c>
      <c r="EI27" s="465"/>
      <c r="EJ27" s="465">
        <v>10000000</v>
      </c>
      <c r="EK27" s="465">
        <v>0</v>
      </c>
      <c r="EL27" s="465">
        <f t="shared" si="36"/>
        <v>10000000</v>
      </c>
      <c r="EM27" s="465"/>
      <c r="EN27" s="465">
        <v>300000000</v>
      </c>
      <c r="EO27" s="465">
        <f>105921384.24</f>
        <v>105921384.23999999</v>
      </c>
      <c r="EP27" s="465">
        <f t="shared" si="37"/>
        <v>194078615.75999999</v>
      </c>
      <c r="EQ27" s="465"/>
      <c r="ER27" s="465">
        <v>25000000</v>
      </c>
      <c r="ES27" s="465">
        <v>0</v>
      </c>
      <c r="ET27" s="465">
        <f t="shared" si="38"/>
        <v>25000000</v>
      </c>
      <c r="EU27" s="465"/>
      <c r="EV27" s="465">
        <v>10000000</v>
      </c>
      <c r="EW27" s="465">
        <v>0</v>
      </c>
      <c r="EX27" s="465">
        <f t="shared" si="39"/>
        <v>10000000</v>
      </c>
      <c r="EY27" s="465"/>
      <c r="EZ27" s="465">
        <v>30000000</v>
      </c>
      <c r="FA27" s="465">
        <f>3538906.29+7613480+9241757+9605856.71</f>
        <v>30000000</v>
      </c>
      <c r="FB27" s="465">
        <f t="shared" si="40"/>
        <v>0</v>
      </c>
      <c r="FC27" s="465"/>
      <c r="FD27" s="465">
        <v>5000000</v>
      </c>
      <c r="FE27" s="465">
        <v>0</v>
      </c>
      <c r="FF27" s="465">
        <f t="shared" si="41"/>
        <v>5000000</v>
      </c>
      <c r="FG27" s="465"/>
      <c r="FH27" s="463">
        <v>120000000</v>
      </c>
      <c r="FI27" s="463">
        <v>0</v>
      </c>
      <c r="FJ27" s="463">
        <f t="shared" si="0"/>
        <v>120000000</v>
      </c>
      <c r="FK27" s="468"/>
      <c r="FL27" s="463">
        <v>25000000</v>
      </c>
      <c r="FM27" s="468">
        <v>0</v>
      </c>
      <c r="FN27" s="468">
        <f t="shared" si="42"/>
        <v>25000000</v>
      </c>
      <c r="FO27" s="468"/>
      <c r="FP27" s="468">
        <v>5000000</v>
      </c>
      <c r="FQ27" s="468">
        <v>0</v>
      </c>
      <c r="FR27" s="468">
        <f t="shared" si="57"/>
        <v>5000000</v>
      </c>
      <c r="FS27" s="468"/>
      <c r="FT27" s="468">
        <v>30000000</v>
      </c>
      <c r="FU27" s="482">
        <f>2289047.29+19868275</f>
        <v>22157322.289999999</v>
      </c>
      <c r="FV27" s="468">
        <f t="shared" si="58"/>
        <v>7842677.7100000009</v>
      </c>
      <c r="FW27" s="468"/>
      <c r="FX27" s="468">
        <v>4150000</v>
      </c>
      <c r="FY27" s="468">
        <v>0</v>
      </c>
      <c r="FZ27" s="468">
        <v>4150000</v>
      </c>
      <c r="GA27" s="468"/>
      <c r="GB27" s="468">
        <v>160000000</v>
      </c>
      <c r="GC27" s="468">
        <v>0</v>
      </c>
      <c r="GD27" s="468">
        <f t="shared" si="45"/>
        <v>160000000</v>
      </c>
      <c r="GE27" s="468"/>
      <c r="GF27" s="468">
        <v>25000000</v>
      </c>
      <c r="GG27" s="468">
        <v>0</v>
      </c>
      <c r="GH27" s="468">
        <f t="shared" si="46"/>
        <v>25000000</v>
      </c>
      <c r="GI27" s="468"/>
      <c r="GJ27" s="468">
        <v>5000000</v>
      </c>
      <c r="GK27" s="468">
        <v>0</v>
      </c>
      <c r="GL27" s="468">
        <f t="shared" si="47"/>
        <v>5000000</v>
      </c>
      <c r="GM27" s="468"/>
      <c r="GN27" s="468">
        <v>20000000</v>
      </c>
      <c r="GO27" s="468">
        <v>0</v>
      </c>
      <c r="GP27" s="468">
        <f t="shared" si="48"/>
        <v>20000000</v>
      </c>
      <c r="GQ27" s="468"/>
      <c r="GR27" s="468">
        <v>5000000</v>
      </c>
      <c r="GS27" s="468">
        <v>0</v>
      </c>
      <c r="GT27" s="468">
        <f t="shared" si="49"/>
        <v>5000000</v>
      </c>
      <c r="GU27" s="468"/>
      <c r="GV27" s="465">
        <f t="shared" si="50"/>
        <v>1886150000</v>
      </c>
      <c r="GW27" s="465">
        <f t="shared" si="50"/>
        <v>1202010132.6599998</v>
      </c>
      <c r="GX27" s="465">
        <f t="shared" si="51"/>
        <v>684139867.34000015</v>
      </c>
      <c r="GY27" s="470"/>
      <c r="GZ27" s="464"/>
      <c r="HA27" s="471">
        <f>D27+H27+L27+X27+AN27+BH27+CB27+CF27+CV27+DP27+DT27+EN27+FH27+GB27</f>
        <v>1340000000</v>
      </c>
      <c r="HB27" s="471">
        <f>E27+I27+M27+Y27+AO27+BI27+CC27+CG27+CW27+DQ27+DU27+EO27+FI27+GC27</f>
        <v>865921384.24000001</v>
      </c>
      <c r="HC27" s="471">
        <f t="shared" si="52"/>
        <v>474078615.75999999</v>
      </c>
      <c r="HE27" s="471">
        <f>P27+AB27+AR27+
BL27+CJ27+CZ27+DX27+ER27+FL27+GF27</f>
        <v>167000000</v>
      </c>
      <c r="HF27" s="471">
        <f>Q27+AC27+AS27+
BM27+CK27+DA27+DY27+ES27+FM27+GG27</f>
        <v>89469451.129999995</v>
      </c>
      <c r="HG27" s="471">
        <f t="shared" si="53"/>
        <v>77530548.870000005</v>
      </c>
      <c r="HI27" s="471">
        <f>T27+AF27+AV27+BP27+CN27+DD27+EB27+EV27+FP27+GJ27</f>
        <v>65000000</v>
      </c>
      <c r="HJ27" s="471">
        <f>U27+AG27+AW27+BQ27+CO27+DE27+EC27+EW27+FQ27+GK27</f>
        <v>0</v>
      </c>
      <c r="HK27" s="471">
        <f t="shared" si="54"/>
        <v>65000000</v>
      </c>
      <c r="HM27" s="475">
        <f>AJ27+AZ27+BT27+CR27+DH27+EF27+EZ27+FT27+GN27</f>
        <v>270000000</v>
      </c>
      <c r="HN27" s="475">
        <f>AK27+BA27+BU27+CS27+DI27+EG27+FA27+FU27+GO27</f>
        <v>242157322.28999999</v>
      </c>
      <c r="HO27" s="475">
        <f t="shared" si="55"/>
        <v>27842677.710000008</v>
      </c>
      <c r="HP27" s="476"/>
      <c r="HR27" s="471">
        <f>BD27+BX27+DL27+EJ27+FD27+FX27+GR27</f>
        <v>44150000</v>
      </c>
      <c r="HS27" s="471">
        <f>BE27+BY27+DM27+EK27+FE27+FY27+GS27</f>
        <v>4461975</v>
      </c>
      <c r="HT27" s="471">
        <f t="shared" si="56"/>
        <v>39688025</v>
      </c>
    </row>
    <row r="28" spans="1:228" x14ac:dyDescent="0.25">
      <c r="A28" s="107">
        <v>23</v>
      </c>
      <c r="B28" s="107" t="s">
        <v>477</v>
      </c>
      <c r="C28" s="497" t="s">
        <v>76</v>
      </c>
      <c r="D28" s="465">
        <v>0</v>
      </c>
      <c r="E28" s="465">
        <v>0</v>
      </c>
      <c r="F28" s="465">
        <f t="shared" si="1"/>
        <v>0</v>
      </c>
      <c r="G28" s="465"/>
      <c r="H28" s="465">
        <v>50000000</v>
      </c>
      <c r="I28" s="465">
        <v>50000000</v>
      </c>
      <c r="J28" s="465">
        <f t="shared" si="2"/>
        <v>0</v>
      </c>
      <c r="K28" s="465"/>
      <c r="L28" s="465">
        <v>50000000</v>
      </c>
      <c r="M28" s="465">
        <v>50000000</v>
      </c>
      <c r="N28" s="465">
        <f t="shared" si="3"/>
        <v>0</v>
      </c>
      <c r="O28" s="465"/>
      <c r="P28" s="465">
        <v>7000000</v>
      </c>
      <c r="Q28" s="465">
        <v>7000000</v>
      </c>
      <c r="R28" s="465">
        <f t="shared" si="4"/>
        <v>0</v>
      </c>
      <c r="S28" s="465"/>
      <c r="T28" s="465">
        <v>3000000</v>
      </c>
      <c r="U28" s="465">
        <v>3000000</v>
      </c>
      <c r="V28" s="465">
        <f t="shared" si="5"/>
        <v>0</v>
      </c>
      <c r="W28" s="465"/>
      <c r="X28" s="465">
        <v>60000000</v>
      </c>
      <c r="Y28" s="465">
        <f>7500000+19233915+2000000+31266085</f>
        <v>60000000</v>
      </c>
      <c r="Z28" s="465">
        <f t="shared" si="6"/>
        <v>0</v>
      </c>
      <c r="AA28" s="465"/>
      <c r="AB28" s="465">
        <v>10000000</v>
      </c>
      <c r="AC28" s="465">
        <f>4286790+5713210</f>
        <v>10000000</v>
      </c>
      <c r="AD28" s="465">
        <f t="shared" si="7"/>
        <v>0</v>
      </c>
      <c r="AE28" s="465"/>
      <c r="AF28" s="465">
        <v>4947500</v>
      </c>
      <c r="AG28" s="465">
        <v>4947500</v>
      </c>
      <c r="AH28" s="465">
        <f t="shared" si="8"/>
        <v>0</v>
      </c>
      <c r="AI28" s="465"/>
      <c r="AJ28" s="465">
        <v>15000000</v>
      </c>
      <c r="AK28" s="465">
        <v>15000000</v>
      </c>
      <c r="AL28" s="465">
        <f t="shared" si="9"/>
        <v>0</v>
      </c>
      <c r="AM28" s="465"/>
      <c r="AN28" s="465">
        <v>80000000</v>
      </c>
      <c r="AO28" s="465">
        <f>24910000+31916360+23173640</f>
        <v>80000000</v>
      </c>
      <c r="AP28" s="465">
        <f t="shared" si="10"/>
        <v>0</v>
      </c>
      <c r="AQ28" s="465"/>
      <c r="AR28" s="465">
        <v>10000000</v>
      </c>
      <c r="AS28" s="465">
        <f>5311790+4688210</f>
        <v>10000000</v>
      </c>
      <c r="AT28" s="465">
        <f t="shared" si="11"/>
        <v>0</v>
      </c>
      <c r="AU28" s="465"/>
      <c r="AV28" s="465">
        <v>5000000</v>
      </c>
      <c r="AW28" s="465">
        <f>1402500+3597500</f>
        <v>5000000</v>
      </c>
      <c r="AX28" s="465">
        <f t="shared" si="12"/>
        <v>0</v>
      </c>
      <c r="AY28" s="465"/>
      <c r="AZ28" s="465">
        <v>20000000</v>
      </c>
      <c r="BA28" s="465">
        <v>20000000</v>
      </c>
      <c r="BB28" s="465">
        <f t="shared" si="13"/>
        <v>0</v>
      </c>
      <c r="BC28" s="465"/>
      <c r="BD28" s="465">
        <v>5000000</v>
      </c>
      <c r="BE28" s="465">
        <v>5000000</v>
      </c>
      <c r="BF28" s="465">
        <f t="shared" si="14"/>
        <v>0</v>
      </c>
      <c r="BG28" s="465"/>
      <c r="BH28" s="465">
        <v>130000000</v>
      </c>
      <c r="BI28" s="465">
        <f>3913860+64690040+34551300+9329200+17515600</f>
        <v>130000000</v>
      </c>
      <c r="BJ28" s="465">
        <f t="shared" si="15"/>
        <v>0</v>
      </c>
      <c r="BK28" s="465"/>
      <c r="BL28" s="465">
        <v>10000000</v>
      </c>
      <c r="BM28" s="465">
        <v>10000000</v>
      </c>
      <c r="BN28" s="465">
        <f t="shared" si="16"/>
        <v>0</v>
      </c>
      <c r="BO28" s="465"/>
      <c r="BP28" s="465">
        <v>10000000</v>
      </c>
      <c r="BQ28" s="465">
        <f>4188500+3570000</f>
        <v>7758500</v>
      </c>
      <c r="BR28" s="465">
        <f t="shared" si="17"/>
        <v>2241500</v>
      </c>
      <c r="BS28" s="465"/>
      <c r="BT28" s="465">
        <v>40000000</v>
      </c>
      <c r="BU28" s="465">
        <f>8248055.7+26836059+2758880+1044930+1112075.3</f>
        <v>40000000</v>
      </c>
      <c r="BV28" s="465">
        <f t="shared" si="18"/>
        <v>0</v>
      </c>
      <c r="BW28" s="465"/>
      <c r="BX28" s="465">
        <v>5000000</v>
      </c>
      <c r="BY28" s="467">
        <f>2947500+1402500+650000</f>
        <v>5000000</v>
      </c>
      <c r="BZ28" s="465">
        <f t="shared" si="19"/>
        <v>0</v>
      </c>
      <c r="CA28" s="465"/>
      <c r="CB28" s="465">
        <v>0</v>
      </c>
      <c r="CC28" s="465">
        <v>0</v>
      </c>
      <c r="CD28" s="465">
        <f t="shared" si="20"/>
        <v>0</v>
      </c>
      <c r="CE28" s="465"/>
      <c r="CF28" s="465">
        <f t="shared" si="21"/>
        <v>140000000</v>
      </c>
      <c r="CG28" s="465">
        <f>17467818+49922910</f>
        <v>67390728</v>
      </c>
      <c r="CH28" s="465">
        <f t="shared" si="22"/>
        <v>72609272</v>
      </c>
      <c r="CI28" s="465"/>
      <c r="CJ28" s="465">
        <v>20000000</v>
      </c>
      <c r="CK28" s="465">
        <f>1306790+5879500+6721428+6092282</f>
        <v>20000000</v>
      </c>
      <c r="CL28" s="465">
        <f t="shared" si="23"/>
        <v>0</v>
      </c>
      <c r="CM28" s="465"/>
      <c r="CN28" s="465">
        <v>10000000</v>
      </c>
      <c r="CO28" s="465">
        <v>0</v>
      </c>
      <c r="CP28" s="465">
        <f t="shared" si="24"/>
        <v>10000000</v>
      </c>
      <c r="CQ28" s="465"/>
      <c r="CR28" s="465">
        <v>40000000</v>
      </c>
      <c r="CS28" s="465">
        <f>29230494.7+10768910+595.3</f>
        <v>40000000</v>
      </c>
      <c r="CT28" s="465">
        <f t="shared" si="25"/>
        <v>0</v>
      </c>
      <c r="CU28" s="465"/>
      <c r="CV28" s="465">
        <v>150000000</v>
      </c>
      <c r="CW28" s="465">
        <f>4050000+52104700+2200000</f>
        <v>58354700</v>
      </c>
      <c r="CX28" s="465">
        <f t="shared" si="26"/>
        <v>91645300</v>
      </c>
      <c r="CY28" s="465"/>
      <c r="CZ28" s="465">
        <v>20000000</v>
      </c>
      <c r="DA28" s="465">
        <f>5763800+11669739.6+2566460.4</f>
        <v>20000000</v>
      </c>
      <c r="DB28" s="465">
        <f t="shared" si="27"/>
        <v>0</v>
      </c>
      <c r="DC28" s="465"/>
      <c r="DD28" s="465">
        <v>10000000</v>
      </c>
      <c r="DE28" s="465">
        <v>0</v>
      </c>
      <c r="DF28" s="465">
        <f t="shared" si="28"/>
        <v>10000000</v>
      </c>
      <c r="DG28" s="465"/>
      <c r="DH28" s="465">
        <v>50000000</v>
      </c>
      <c r="DI28" s="465">
        <f>15862234.7+14334852</f>
        <v>30197086.699999999</v>
      </c>
      <c r="DJ28" s="465">
        <f t="shared" si="29"/>
        <v>19802913.300000001</v>
      </c>
      <c r="DK28" s="465"/>
      <c r="DL28" s="465">
        <v>10000000</v>
      </c>
      <c r="DM28" s="467">
        <f>8530000</f>
        <v>8530000</v>
      </c>
      <c r="DN28" s="465">
        <f t="shared" si="30"/>
        <v>1470000</v>
      </c>
      <c r="DO28" s="465"/>
      <c r="DP28" s="465">
        <v>0</v>
      </c>
      <c r="DQ28" s="465">
        <v>0</v>
      </c>
      <c r="DR28" s="465">
        <f t="shared" si="31"/>
        <v>0</v>
      </c>
      <c r="DS28" s="465"/>
      <c r="DT28" s="465">
        <v>100000000</v>
      </c>
      <c r="DU28" s="465">
        <f>38379800+1500000+60120200</f>
        <v>100000000</v>
      </c>
      <c r="DV28" s="465">
        <f t="shared" si="32"/>
        <v>0</v>
      </c>
      <c r="DW28" s="465"/>
      <c r="DX28" s="465">
        <v>15000000</v>
      </c>
      <c r="DY28" s="465">
        <f>5985906.6+9014093.4</f>
        <v>15000000</v>
      </c>
      <c r="DZ28" s="465">
        <f t="shared" si="33"/>
        <v>0</v>
      </c>
      <c r="EA28" s="465"/>
      <c r="EB28" s="465">
        <v>10000000</v>
      </c>
      <c r="EC28" s="465">
        <v>0</v>
      </c>
      <c r="ED28" s="465">
        <f t="shared" si="34"/>
        <v>10000000</v>
      </c>
      <c r="EE28" s="465"/>
      <c r="EF28" s="465">
        <v>25000000</v>
      </c>
      <c r="EG28" s="465">
        <f>7754998+7754998-7754998</f>
        <v>7754998</v>
      </c>
      <c r="EH28" s="465">
        <f t="shared" si="35"/>
        <v>17245002</v>
      </c>
      <c r="EI28" s="465"/>
      <c r="EJ28" s="465">
        <v>10000000</v>
      </c>
      <c r="EK28" s="465">
        <v>0</v>
      </c>
      <c r="EL28" s="465">
        <f t="shared" si="36"/>
        <v>10000000</v>
      </c>
      <c r="EM28" s="465"/>
      <c r="EN28" s="465">
        <v>300000000</v>
      </c>
      <c r="EO28" s="467">
        <f>66471550+85739250+114130029.5+114130029.5-114130029.5+4500000+4500000</f>
        <v>275340829.5</v>
      </c>
      <c r="EP28" s="465">
        <f t="shared" si="37"/>
        <v>24659170.5</v>
      </c>
      <c r="EQ28" s="465"/>
      <c r="ER28" s="465">
        <v>25000000</v>
      </c>
      <c r="ES28" s="465">
        <f>1293444.6+6233575</f>
        <v>7527019.5999999996</v>
      </c>
      <c r="ET28" s="465">
        <f t="shared" si="38"/>
        <v>17472980.399999999</v>
      </c>
      <c r="EU28" s="465"/>
      <c r="EV28" s="465">
        <v>10000000</v>
      </c>
      <c r="EW28" s="465">
        <v>0</v>
      </c>
      <c r="EX28" s="465">
        <f t="shared" si="39"/>
        <v>10000000</v>
      </c>
      <c r="EY28" s="465"/>
      <c r="EZ28" s="465">
        <v>30000000</v>
      </c>
      <c r="FA28" s="465">
        <v>0</v>
      </c>
      <c r="FB28" s="465">
        <f t="shared" si="40"/>
        <v>30000000</v>
      </c>
      <c r="FC28" s="465"/>
      <c r="FD28" s="465">
        <v>5000000</v>
      </c>
      <c r="FE28" s="465">
        <v>0</v>
      </c>
      <c r="FF28" s="465">
        <f t="shared" si="41"/>
        <v>5000000</v>
      </c>
      <c r="FG28" s="465"/>
      <c r="FH28" s="463">
        <v>120000000</v>
      </c>
      <c r="FI28" s="463">
        <v>0</v>
      </c>
      <c r="FJ28" s="463">
        <f t="shared" si="0"/>
        <v>120000000</v>
      </c>
      <c r="FK28" s="468"/>
      <c r="FL28" s="463">
        <v>25000000</v>
      </c>
      <c r="FM28" s="468">
        <v>0</v>
      </c>
      <c r="FN28" s="468">
        <f t="shared" si="42"/>
        <v>25000000</v>
      </c>
      <c r="FO28" s="468"/>
      <c r="FP28" s="468">
        <v>5000000</v>
      </c>
      <c r="FQ28" s="468">
        <v>0</v>
      </c>
      <c r="FR28" s="468">
        <f t="shared" si="57"/>
        <v>5000000</v>
      </c>
      <c r="FS28" s="468"/>
      <c r="FT28" s="468">
        <v>30000000</v>
      </c>
      <c r="FU28" s="468">
        <v>0</v>
      </c>
      <c r="FV28" s="468">
        <f>FT28-FU28</f>
        <v>30000000</v>
      </c>
      <c r="FW28" s="468"/>
      <c r="FX28" s="468">
        <v>4150000</v>
      </c>
      <c r="FY28" s="468">
        <v>0</v>
      </c>
      <c r="FZ28" s="468">
        <v>4150000</v>
      </c>
      <c r="GA28" s="468"/>
      <c r="GB28" s="468">
        <v>160000000</v>
      </c>
      <c r="GC28" s="468">
        <v>0</v>
      </c>
      <c r="GD28" s="468">
        <f t="shared" si="45"/>
        <v>160000000</v>
      </c>
      <c r="GE28" s="468"/>
      <c r="GF28" s="468">
        <v>25000000</v>
      </c>
      <c r="GG28" s="468">
        <v>0</v>
      </c>
      <c r="GH28" s="468">
        <f t="shared" si="46"/>
        <v>25000000</v>
      </c>
      <c r="GI28" s="468"/>
      <c r="GJ28" s="468">
        <v>5000000</v>
      </c>
      <c r="GK28" s="468">
        <v>0</v>
      </c>
      <c r="GL28" s="468">
        <f t="shared" si="47"/>
        <v>5000000</v>
      </c>
      <c r="GM28" s="468"/>
      <c r="GN28" s="468">
        <v>20000000</v>
      </c>
      <c r="GO28" s="468">
        <v>0</v>
      </c>
      <c r="GP28" s="468">
        <f t="shared" si="48"/>
        <v>20000000</v>
      </c>
      <c r="GQ28" s="468"/>
      <c r="GR28" s="468">
        <v>5000000</v>
      </c>
      <c r="GS28" s="468">
        <v>0</v>
      </c>
      <c r="GT28" s="468">
        <f t="shared" si="49"/>
        <v>5000000</v>
      </c>
      <c r="GU28" s="468"/>
      <c r="GV28" s="465">
        <f t="shared" si="50"/>
        <v>1894097500</v>
      </c>
      <c r="GW28" s="465">
        <f t="shared" si="50"/>
        <v>1162801361.8</v>
      </c>
      <c r="GX28" s="465">
        <f t="shared" si="51"/>
        <v>731296138.20000005</v>
      </c>
      <c r="GY28" s="470"/>
      <c r="GZ28" s="464"/>
      <c r="HA28" s="471">
        <f>D28+H28+L28+X28+AN28+BH28+CB28+CF28+CV28+DP28+DT28+EN28+FH28+GB28</f>
        <v>1340000000</v>
      </c>
      <c r="HB28" s="471">
        <f>E28+I28+M28+Y28+AO28+BI28+CC28+CG28+CW28+DQ28+DU28+EO28+FI28+GC28</f>
        <v>871086257.5</v>
      </c>
      <c r="HC28" s="471">
        <f t="shared" si="52"/>
        <v>468913742.5</v>
      </c>
      <c r="HE28" s="471">
        <f>P28+AB28+AR28+
BL28+CJ28+CZ28+DX28+ER28+FL28+GF28</f>
        <v>167000000</v>
      </c>
      <c r="HF28" s="471">
        <f>Q28+AC28+AS28+
BM28+CK28+DA28+DY28+ES28+FM28+GG28</f>
        <v>99527019.599999994</v>
      </c>
      <c r="HG28" s="471">
        <f t="shared" si="53"/>
        <v>67472980.400000006</v>
      </c>
      <c r="HI28" s="471">
        <f>T28+AF28+AV28+BP28+CN28+DD28+EB28+EV28+FP28+GJ28</f>
        <v>72947500</v>
      </c>
      <c r="HJ28" s="471">
        <f>U28+AG28+AW28+BQ28+CO28+DE28+EC28+EW28+FQ28+GK28</f>
        <v>20706000</v>
      </c>
      <c r="HK28" s="471">
        <f t="shared" si="54"/>
        <v>52241500</v>
      </c>
      <c r="HM28" s="475">
        <f>AJ28+AZ28+BT28+CR28+DH28+EF28+EZ28+FT28+GN28</f>
        <v>270000000</v>
      </c>
      <c r="HN28" s="475">
        <f>AK28+BA28+BU28+CS28+DI28+EG28+FA28+FU28+GO28</f>
        <v>152952084.69999999</v>
      </c>
      <c r="HO28" s="475">
        <f t="shared" si="55"/>
        <v>117047915.30000001</v>
      </c>
      <c r="HP28" s="476"/>
      <c r="HR28" s="471">
        <f>BD28+BX28+DL28+EJ28+FD28+FX28+GR28</f>
        <v>44150000</v>
      </c>
      <c r="HS28" s="471">
        <f>BE28+BY28+DM28+EK28+FE28+FY28+GS28</f>
        <v>18530000</v>
      </c>
      <c r="HT28" s="471">
        <f t="shared" si="56"/>
        <v>25620000</v>
      </c>
    </row>
    <row r="29" spans="1:228" x14ac:dyDescent="0.25">
      <c r="A29" s="107">
        <v>24</v>
      </c>
      <c r="B29" s="107" t="s">
        <v>88</v>
      </c>
      <c r="C29" s="113" t="s">
        <v>76</v>
      </c>
      <c r="D29" s="465">
        <v>0</v>
      </c>
      <c r="E29" s="465">
        <v>0</v>
      </c>
      <c r="F29" s="465">
        <f t="shared" si="1"/>
        <v>0</v>
      </c>
      <c r="G29" s="465"/>
      <c r="H29" s="465">
        <v>50000000</v>
      </c>
      <c r="I29" s="465">
        <v>50000000</v>
      </c>
      <c r="J29" s="465">
        <f t="shared" si="2"/>
        <v>0</v>
      </c>
      <c r="K29" s="465"/>
      <c r="L29" s="465">
        <v>50000000</v>
      </c>
      <c r="M29" s="465">
        <v>50000000</v>
      </c>
      <c r="N29" s="465">
        <f t="shared" si="3"/>
        <v>0</v>
      </c>
      <c r="O29" s="465"/>
      <c r="P29" s="465">
        <f>7000000-7000000</f>
        <v>0</v>
      </c>
      <c r="Q29" s="465">
        <v>0</v>
      </c>
      <c r="R29" s="465">
        <f t="shared" si="4"/>
        <v>0</v>
      </c>
      <c r="S29" s="465"/>
      <c r="T29" s="465">
        <v>3000000</v>
      </c>
      <c r="U29" s="465">
        <v>3000000</v>
      </c>
      <c r="V29" s="465">
        <f t="shared" si="5"/>
        <v>0</v>
      </c>
      <c r="W29" s="465"/>
      <c r="X29" s="465">
        <v>60000000</v>
      </c>
      <c r="Y29" s="465">
        <v>60000000</v>
      </c>
      <c r="Z29" s="465">
        <f t="shared" si="6"/>
        <v>0</v>
      </c>
      <c r="AA29" s="465"/>
      <c r="AB29" s="465">
        <f>10000000-10000000</f>
        <v>0</v>
      </c>
      <c r="AC29" s="465">
        <v>0</v>
      </c>
      <c r="AD29" s="465">
        <f t="shared" si="7"/>
        <v>0</v>
      </c>
      <c r="AE29" s="465"/>
      <c r="AF29" s="465">
        <v>3800000</v>
      </c>
      <c r="AG29" s="465">
        <v>3800000</v>
      </c>
      <c r="AH29" s="465">
        <f t="shared" si="8"/>
        <v>0</v>
      </c>
      <c r="AI29" s="465"/>
      <c r="AJ29" s="465">
        <v>15000000</v>
      </c>
      <c r="AK29" s="465">
        <v>15000000</v>
      </c>
      <c r="AL29" s="465">
        <f t="shared" si="9"/>
        <v>0</v>
      </c>
      <c r="AM29" s="465"/>
      <c r="AN29" s="465">
        <v>80000000</v>
      </c>
      <c r="AO29" s="465">
        <f>29783046+9364100+24200100+16652754</f>
        <v>80000000</v>
      </c>
      <c r="AP29" s="465">
        <f t="shared" si="10"/>
        <v>0</v>
      </c>
      <c r="AQ29" s="465"/>
      <c r="AR29" s="465">
        <v>10000000</v>
      </c>
      <c r="AS29" s="465">
        <f>1995000+6503946+1501054</f>
        <v>10000000</v>
      </c>
      <c r="AT29" s="465">
        <f t="shared" si="11"/>
        <v>0</v>
      </c>
      <c r="AU29" s="465"/>
      <c r="AV29" s="465">
        <v>5000000</v>
      </c>
      <c r="AW29" s="465">
        <f>750000-750000</f>
        <v>0</v>
      </c>
      <c r="AX29" s="465">
        <f t="shared" si="12"/>
        <v>5000000</v>
      </c>
      <c r="AY29" s="465"/>
      <c r="AZ29" s="465">
        <v>20000000</v>
      </c>
      <c r="BA29" s="465">
        <v>20000000</v>
      </c>
      <c r="BB29" s="465">
        <f t="shared" si="13"/>
        <v>0</v>
      </c>
      <c r="BC29" s="465"/>
      <c r="BD29" s="465">
        <v>5000000</v>
      </c>
      <c r="BE29" s="485">
        <f>172500+4827500</f>
        <v>5000000</v>
      </c>
      <c r="BF29" s="465">
        <f t="shared" si="14"/>
        <v>0</v>
      </c>
      <c r="BG29" s="465"/>
      <c r="BH29" s="465">
        <v>130000000</v>
      </c>
      <c r="BI29" s="465">
        <f>7407850+9784446+29376160+27695000+42367150+13369394</f>
        <v>130000000</v>
      </c>
      <c r="BJ29" s="465">
        <f t="shared" si="15"/>
        <v>0</v>
      </c>
      <c r="BK29" s="465"/>
      <c r="BL29" s="465">
        <v>10000000</v>
      </c>
      <c r="BM29" s="465">
        <v>10000000</v>
      </c>
      <c r="BN29" s="465">
        <f t="shared" si="16"/>
        <v>0</v>
      </c>
      <c r="BO29" s="465"/>
      <c r="BP29" s="465">
        <v>10000000</v>
      </c>
      <c r="BQ29" s="465">
        <v>0</v>
      </c>
      <c r="BR29" s="465">
        <f t="shared" si="17"/>
        <v>10000000</v>
      </c>
      <c r="BS29" s="465"/>
      <c r="BT29" s="465">
        <v>40000000</v>
      </c>
      <c r="BU29" s="485">
        <f>7580938+2799964+3394720+7308775+8874550+6112160+3928893</f>
        <v>40000000</v>
      </c>
      <c r="BV29" s="465">
        <f t="shared" si="18"/>
        <v>0</v>
      </c>
      <c r="BW29" s="465"/>
      <c r="BX29" s="465">
        <v>5000000</v>
      </c>
      <c r="BY29" s="485">
        <f>977500+4022500</f>
        <v>5000000</v>
      </c>
      <c r="BZ29" s="465">
        <f t="shared" si="19"/>
        <v>0</v>
      </c>
      <c r="CA29" s="465"/>
      <c r="CB29" s="465">
        <v>0</v>
      </c>
      <c r="CC29" s="465">
        <v>0</v>
      </c>
      <c r="CD29" s="465">
        <f t="shared" si="20"/>
        <v>0</v>
      </c>
      <c r="CE29" s="465"/>
      <c r="CF29" s="465">
        <f t="shared" si="21"/>
        <v>140000000</v>
      </c>
      <c r="CG29" s="465">
        <f>27257986+38086306+11100000+14550000+18058411.5</f>
        <v>109052703.5</v>
      </c>
      <c r="CH29" s="465">
        <f t="shared" si="22"/>
        <v>30947296.5</v>
      </c>
      <c r="CI29" s="465"/>
      <c r="CJ29" s="465">
        <v>20000000</v>
      </c>
      <c r="CK29" s="465">
        <f>9418395.4</f>
        <v>9418395.4000000004</v>
      </c>
      <c r="CL29" s="465">
        <f t="shared" si="23"/>
        <v>10581604.6</v>
      </c>
      <c r="CM29" s="465"/>
      <c r="CN29" s="465">
        <v>10000000</v>
      </c>
      <c r="CO29" s="465">
        <v>0</v>
      </c>
      <c r="CP29" s="465">
        <f t="shared" si="24"/>
        <v>10000000</v>
      </c>
      <c r="CQ29" s="465"/>
      <c r="CR29" s="465">
        <v>40000000</v>
      </c>
      <c r="CS29" s="485">
        <f>17342862+15677140.5+6979997.5</f>
        <v>40000000</v>
      </c>
      <c r="CT29" s="465">
        <f t="shared" si="25"/>
        <v>0</v>
      </c>
      <c r="CU29" s="465"/>
      <c r="CV29" s="465">
        <v>150000000</v>
      </c>
      <c r="CW29" s="465">
        <f>124782500+25217500</f>
        <v>150000000</v>
      </c>
      <c r="CX29" s="465">
        <f t="shared" si="26"/>
        <v>0</v>
      </c>
      <c r="CY29" s="465"/>
      <c r="CZ29" s="465">
        <v>20000000</v>
      </c>
      <c r="DA29" s="465">
        <v>0</v>
      </c>
      <c r="DB29" s="465">
        <f t="shared" si="27"/>
        <v>20000000</v>
      </c>
      <c r="DC29" s="465"/>
      <c r="DD29" s="465">
        <v>10000000</v>
      </c>
      <c r="DE29" s="465">
        <v>0</v>
      </c>
      <c r="DF29" s="465">
        <f t="shared" si="28"/>
        <v>10000000</v>
      </c>
      <c r="DG29" s="465"/>
      <c r="DH29" s="465">
        <v>50000000</v>
      </c>
      <c r="DI29" s="465">
        <f>19579548+30420452</f>
        <v>50000000</v>
      </c>
      <c r="DJ29" s="465">
        <f t="shared" si="29"/>
        <v>0</v>
      </c>
      <c r="DK29" s="465"/>
      <c r="DL29" s="465">
        <v>10000000</v>
      </c>
      <c r="DM29" s="485">
        <f>201650</f>
        <v>201650</v>
      </c>
      <c r="DN29" s="465">
        <f t="shared" si="30"/>
        <v>9798350</v>
      </c>
      <c r="DO29" s="465"/>
      <c r="DP29" s="465">
        <v>0</v>
      </c>
      <c r="DQ29" s="465">
        <v>0</v>
      </c>
      <c r="DR29" s="465">
        <f t="shared" si="31"/>
        <v>0</v>
      </c>
      <c r="DS29" s="465"/>
      <c r="DT29" s="465">
        <v>100000000</v>
      </c>
      <c r="DU29" s="465">
        <f>33757500+54932500</f>
        <v>88690000</v>
      </c>
      <c r="DV29" s="465">
        <f t="shared" si="32"/>
        <v>11310000</v>
      </c>
      <c r="DW29" s="465"/>
      <c r="DX29" s="465">
        <v>15000000</v>
      </c>
      <c r="DY29" s="465">
        <v>0</v>
      </c>
      <c r="DZ29" s="465">
        <f t="shared" si="33"/>
        <v>15000000</v>
      </c>
      <c r="EA29" s="465"/>
      <c r="EB29" s="465">
        <v>10000000</v>
      </c>
      <c r="EC29" s="465">
        <v>0</v>
      </c>
      <c r="ED29" s="465">
        <f t="shared" si="34"/>
        <v>10000000</v>
      </c>
      <c r="EE29" s="465"/>
      <c r="EF29" s="465">
        <v>25000000</v>
      </c>
      <c r="EG29" s="465">
        <f>2781530+17799193+4419277</f>
        <v>25000000</v>
      </c>
      <c r="EH29" s="465">
        <f t="shared" si="35"/>
        <v>0</v>
      </c>
      <c r="EI29" s="465"/>
      <c r="EJ29" s="465">
        <v>10000000</v>
      </c>
      <c r="EK29" s="465">
        <v>0</v>
      </c>
      <c r="EL29" s="465">
        <f t="shared" si="36"/>
        <v>10000000</v>
      </c>
      <c r="EM29" s="465"/>
      <c r="EN29" s="465">
        <v>300000000</v>
      </c>
      <c r="EO29" s="465">
        <v>67996803.599999994</v>
      </c>
      <c r="EP29" s="465">
        <f t="shared" si="37"/>
        <v>232003196.40000001</v>
      </c>
      <c r="EQ29" s="465"/>
      <c r="ER29" s="465">
        <v>25000000</v>
      </c>
      <c r="ES29" s="465">
        <v>0</v>
      </c>
      <c r="ET29" s="465">
        <f t="shared" si="38"/>
        <v>25000000</v>
      </c>
      <c r="EU29" s="465"/>
      <c r="EV29" s="465">
        <v>10000000</v>
      </c>
      <c r="EW29" s="465">
        <v>0</v>
      </c>
      <c r="EX29" s="465">
        <f t="shared" si="39"/>
        <v>10000000</v>
      </c>
      <c r="EY29" s="465"/>
      <c r="EZ29" s="465">
        <v>30000000</v>
      </c>
      <c r="FA29" s="478">
        <f>2631708+1271800+3098814.5+14508325</f>
        <v>21510647.5</v>
      </c>
      <c r="FB29" s="465">
        <f t="shared" si="40"/>
        <v>8489352.5</v>
      </c>
      <c r="FC29" s="465"/>
      <c r="FD29" s="465">
        <v>5000000</v>
      </c>
      <c r="FE29" s="465">
        <v>0</v>
      </c>
      <c r="FF29" s="465">
        <f t="shared" si="41"/>
        <v>5000000</v>
      </c>
      <c r="FG29" s="465"/>
      <c r="FH29" s="463">
        <v>120000000</v>
      </c>
      <c r="FI29" s="463">
        <v>0</v>
      </c>
      <c r="FJ29" s="463">
        <f t="shared" si="0"/>
        <v>120000000</v>
      </c>
      <c r="FK29" s="468"/>
      <c r="FL29" s="463">
        <v>25000000</v>
      </c>
      <c r="FM29" s="468">
        <v>0</v>
      </c>
      <c r="FN29" s="468">
        <f t="shared" si="42"/>
        <v>25000000</v>
      </c>
      <c r="FO29" s="468"/>
      <c r="FP29" s="468">
        <v>5000000</v>
      </c>
      <c r="FQ29" s="468">
        <v>0</v>
      </c>
      <c r="FR29" s="468">
        <f t="shared" si="57"/>
        <v>5000000</v>
      </c>
      <c r="FS29" s="468"/>
      <c r="FT29" s="468">
        <v>30000000</v>
      </c>
      <c r="FU29" s="468">
        <v>0</v>
      </c>
      <c r="FV29" s="468">
        <f t="shared" ref="FV29" si="59">FT29-FU29</f>
        <v>30000000</v>
      </c>
      <c r="FW29" s="468"/>
      <c r="FX29" s="468">
        <v>4150000</v>
      </c>
      <c r="FY29" s="468">
        <v>0</v>
      </c>
      <c r="FZ29" s="468">
        <v>4150000</v>
      </c>
      <c r="GA29" s="468"/>
      <c r="GB29" s="468">
        <v>160000000</v>
      </c>
      <c r="GC29" s="468">
        <v>0</v>
      </c>
      <c r="GD29" s="468">
        <f t="shared" si="45"/>
        <v>160000000</v>
      </c>
      <c r="GE29" s="468"/>
      <c r="GF29" s="468">
        <v>25000000</v>
      </c>
      <c r="GG29" s="468">
        <v>0</v>
      </c>
      <c r="GH29" s="468">
        <f t="shared" si="46"/>
        <v>25000000</v>
      </c>
      <c r="GI29" s="468"/>
      <c r="GJ29" s="468">
        <v>5000000</v>
      </c>
      <c r="GK29" s="468">
        <v>0</v>
      </c>
      <c r="GL29" s="468">
        <f t="shared" si="47"/>
        <v>5000000</v>
      </c>
      <c r="GM29" s="468"/>
      <c r="GN29" s="468">
        <v>20000000</v>
      </c>
      <c r="GO29" s="468">
        <v>0</v>
      </c>
      <c r="GP29" s="468">
        <f t="shared" si="48"/>
        <v>20000000</v>
      </c>
      <c r="GQ29" s="468"/>
      <c r="GR29" s="468">
        <v>5000000</v>
      </c>
      <c r="GS29" s="468">
        <v>0</v>
      </c>
      <c r="GT29" s="468">
        <f t="shared" si="49"/>
        <v>5000000</v>
      </c>
      <c r="GU29" s="468"/>
      <c r="GV29" s="465">
        <f t="shared" si="50"/>
        <v>1875950000</v>
      </c>
      <c r="GW29" s="465">
        <f t="shared" si="50"/>
        <v>1043670200</v>
      </c>
      <c r="GX29" s="465">
        <f t="shared" si="51"/>
        <v>832279800</v>
      </c>
      <c r="GY29" s="470"/>
      <c r="GZ29" s="464"/>
      <c r="HA29" s="471">
        <f>D29+H29+L29+X29+AN29+BH29+CB29+CF29+CV29+DP29+DT29+EN29+FH29+GB29</f>
        <v>1340000000</v>
      </c>
      <c r="HB29" s="471">
        <f>E29+I29+M29+Y29+AO29+BI29+CC29+CG29+CW29+DQ29+DU29+EO29+FI29+GC29</f>
        <v>785739507.10000002</v>
      </c>
      <c r="HC29" s="471">
        <f t="shared" si="52"/>
        <v>554260492.89999998</v>
      </c>
      <c r="HE29" s="471">
        <f>P29+AB29+AR29+
BL29+CJ29+CZ29+DX29+ER29+FL29+GF29</f>
        <v>150000000</v>
      </c>
      <c r="HF29" s="471">
        <f>Q29+AC29+AS29+
BM29+CK29+DA29+DY29+ES29+FM29+GG29</f>
        <v>29418395.399999999</v>
      </c>
      <c r="HG29" s="471">
        <f t="shared" si="53"/>
        <v>120581604.59999999</v>
      </c>
      <c r="HI29" s="471">
        <f>T29+AF29+AV29+BP29+CN29+DD29+EB29+EV29+FP29+GJ29</f>
        <v>71800000</v>
      </c>
      <c r="HJ29" s="471">
        <f>U29+AG29+AW29+BQ29+CO29+DE29+EC29+EW29+FQ29+GK29</f>
        <v>6800000</v>
      </c>
      <c r="HK29" s="471">
        <f t="shared" si="54"/>
        <v>65000000</v>
      </c>
      <c r="HM29" s="475">
        <f>AJ29+AZ29+BT29+CR29+DH29+EF29+EZ29+FT29+GN29</f>
        <v>270000000</v>
      </c>
      <c r="HN29" s="475">
        <f>AK29+BA29+BU29+CS29+DI29+EG29+FA29+FU29+GO29</f>
        <v>211510647.5</v>
      </c>
      <c r="HO29" s="475">
        <f t="shared" si="55"/>
        <v>58489352.5</v>
      </c>
      <c r="HP29" s="476"/>
      <c r="HR29" s="471">
        <f>BD29+BX29+DL29+EJ29+FD29+FX29+GR29</f>
        <v>44150000</v>
      </c>
      <c r="HS29" s="471">
        <f>BE29+BY29+DM29+EK29+FE29+FY29+GS29</f>
        <v>10201650</v>
      </c>
      <c r="HT29" s="471">
        <f t="shared" si="56"/>
        <v>33948350</v>
      </c>
    </row>
    <row r="30" spans="1:228" x14ac:dyDescent="0.25">
      <c r="A30" s="107">
        <v>25</v>
      </c>
      <c r="B30" s="107" t="s">
        <v>89</v>
      </c>
      <c r="C30" s="113" t="s">
        <v>63</v>
      </c>
      <c r="D30" s="488">
        <v>1750000</v>
      </c>
      <c r="E30" s="488">
        <v>1750000</v>
      </c>
      <c r="F30" s="465">
        <f t="shared" si="1"/>
        <v>0</v>
      </c>
      <c r="G30" s="488"/>
      <c r="H30" s="465">
        <v>50000000</v>
      </c>
      <c r="I30" s="465">
        <v>50000000</v>
      </c>
      <c r="J30" s="465">
        <f t="shared" si="2"/>
        <v>0</v>
      </c>
      <c r="K30" s="488"/>
      <c r="L30" s="465">
        <v>50000000</v>
      </c>
      <c r="M30" s="465">
        <v>50000000</v>
      </c>
      <c r="N30" s="465">
        <f t="shared" si="3"/>
        <v>0</v>
      </c>
      <c r="O30" s="488"/>
      <c r="P30" s="465">
        <v>7000000</v>
      </c>
      <c r="Q30" s="465">
        <v>7000000</v>
      </c>
      <c r="R30" s="465">
        <f t="shared" si="4"/>
        <v>0</v>
      </c>
      <c r="S30" s="488"/>
      <c r="T30" s="465">
        <v>3000000</v>
      </c>
      <c r="U30" s="465">
        <f>3000000</f>
        <v>3000000</v>
      </c>
      <c r="V30" s="465">
        <f t="shared" si="5"/>
        <v>0</v>
      </c>
      <c r="W30" s="488"/>
      <c r="X30" s="465">
        <v>60000000</v>
      </c>
      <c r="Y30" s="465">
        <v>60000000</v>
      </c>
      <c r="Z30" s="465">
        <f t="shared" si="6"/>
        <v>0</v>
      </c>
      <c r="AA30" s="488"/>
      <c r="AB30" s="465">
        <v>10000000</v>
      </c>
      <c r="AC30" s="465">
        <v>10000000</v>
      </c>
      <c r="AD30" s="465">
        <f t="shared" si="7"/>
        <v>0</v>
      </c>
      <c r="AE30" s="488"/>
      <c r="AF30" s="465">
        <v>3810200</v>
      </c>
      <c r="AG30" s="465">
        <f>2550000+1260200</f>
        <v>3810200</v>
      </c>
      <c r="AH30" s="465">
        <f t="shared" si="8"/>
        <v>0</v>
      </c>
      <c r="AI30" s="488"/>
      <c r="AJ30" s="465">
        <v>15000000</v>
      </c>
      <c r="AK30" s="465">
        <v>15000000</v>
      </c>
      <c r="AL30" s="465">
        <f t="shared" si="9"/>
        <v>0</v>
      </c>
      <c r="AM30" s="465"/>
      <c r="AN30" s="465">
        <v>80000000</v>
      </c>
      <c r="AO30" s="465">
        <v>80000000</v>
      </c>
      <c r="AP30" s="465">
        <f t="shared" si="10"/>
        <v>0</v>
      </c>
      <c r="AQ30" s="488"/>
      <c r="AR30" s="465">
        <v>10000000</v>
      </c>
      <c r="AS30" s="465">
        <f>7809880+2190120</f>
        <v>10000000</v>
      </c>
      <c r="AT30" s="465">
        <f t="shared" si="11"/>
        <v>0</v>
      </c>
      <c r="AU30" s="488"/>
      <c r="AV30" s="465">
        <v>5000000</v>
      </c>
      <c r="AW30" s="465">
        <v>0</v>
      </c>
      <c r="AX30" s="465">
        <f t="shared" si="12"/>
        <v>5000000</v>
      </c>
      <c r="AY30" s="488"/>
      <c r="AZ30" s="465">
        <v>20000000</v>
      </c>
      <c r="BA30" s="465">
        <f>9250838+10749162</f>
        <v>20000000</v>
      </c>
      <c r="BB30" s="465">
        <f t="shared" si="13"/>
        <v>0</v>
      </c>
      <c r="BC30" s="488"/>
      <c r="BD30" s="465">
        <v>5000000</v>
      </c>
      <c r="BE30" s="465">
        <f>570750+2337500+412500</f>
        <v>3320750</v>
      </c>
      <c r="BF30" s="465">
        <f t="shared" si="14"/>
        <v>1679250</v>
      </c>
      <c r="BG30" s="488"/>
      <c r="BH30" s="465">
        <v>130000000</v>
      </c>
      <c r="BI30" s="465">
        <f>628490+125152220+4219290</f>
        <v>130000000</v>
      </c>
      <c r="BJ30" s="465">
        <f t="shared" si="15"/>
        <v>0</v>
      </c>
      <c r="BK30" s="488"/>
      <c r="BL30" s="465">
        <v>10000000</v>
      </c>
      <c r="BM30" s="465">
        <f>1626240+7231144.32+1142615.68</f>
        <v>10000000</v>
      </c>
      <c r="BN30" s="465">
        <f t="shared" si="16"/>
        <v>0</v>
      </c>
      <c r="BO30" s="488"/>
      <c r="BP30" s="465">
        <v>10000000</v>
      </c>
      <c r="BQ30" s="465">
        <v>0</v>
      </c>
      <c r="BR30" s="465">
        <f t="shared" si="17"/>
        <v>10000000</v>
      </c>
      <c r="BS30" s="488"/>
      <c r="BT30" s="465">
        <v>40000000</v>
      </c>
      <c r="BU30" s="465">
        <f>22285962+5513241+12200797</f>
        <v>40000000</v>
      </c>
      <c r="BV30" s="465">
        <f t="shared" si="18"/>
        <v>0</v>
      </c>
      <c r="BW30" s="488"/>
      <c r="BX30" s="465">
        <v>5000000</v>
      </c>
      <c r="BY30" s="465">
        <v>3234250</v>
      </c>
      <c r="BZ30" s="465">
        <f t="shared" si="19"/>
        <v>1765750</v>
      </c>
      <c r="CA30" s="488"/>
      <c r="CB30" s="465">
        <v>34000000</v>
      </c>
      <c r="CC30" s="465">
        <f>34000000</f>
        <v>34000000</v>
      </c>
      <c r="CD30" s="465">
        <f t="shared" si="20"/>
        <v>0</v>
      </c>
      <c r="CE30" s="488"/>
      <c r="CF30" s="465">
        <f t="shared" si="21"/>
        <v>140000000</v>
      </c>
      <c r="CG30" s="465">
        <f>117685090+15627350+6687560</f>
        <v>140000000</v>
      </c>
      <c r="CH30" s="465">
        <f t="shared" si="22"/>
        <v>0</v>
      </c>
      <c r="CI30" s="488"/>
      <c r="CJ30" s="465">
        <v>20000000</v>
      </c>
      <c r="CK30" s="465">
        <f>12722568.32</f>
        <v>12722568.32</v>
      </c>
      <c r="CL30" s="465">
        <f t="shared" si="23"/>
        <v>7277431.6799999997</v>
      </c>
      <c r="CM30" s="488"/>
      <c r="CN30" s="465">
        <v>10000000</v>
      </c>
      <c r="CO30" s="465">
        <v>0</v>
      </c>
      <c r="CP30" s="465">
        <f t="shared" si="24"/>
        <v>10000000</v>
      </c>
      <c r="CQ30" s="488"/>
      <c r="CR30" s="465">
        <v>40000000</v>
      </c>
      <c r="CS30" s="465">
        <f>14231534+24898230+870236</f>
        <v>40000000</v>
      </c>
      <c r="CT30" s="465">
        <f t="shared" si="25"/>
        <v>0</v>
      </c>
      <c r="CU30" s="488"/>
      <c r="CV30" s="465">
        <v>0</v>
      </c>
      <c r="CW30" s="465">
        <v>0</v>
      </c>
      <c r="CX30" s="465">
        <f t="shared" si="26"/>
        <v>0</v>
      </c>
      <c r="CY30" s="488"/>
      <c r="CZ30" s="465">
        <v>0</v>
      </c>
      <c r="DA30" s="465">
        <v>0</v>
      </c>
      <c r="DB30" s="465">
        <f t="shared" si="27"/>
        <v>0</v>
      </c>
      <c r="DC30" s="465"/>
      <c r="DD30" s="465">
        <v>0</v>
      </c>
      <c r="DE30" s="465">
        <v>0</v>
      </c>
      <c r="DF30" s="465">
        <f t="shared" si="28"/>
        <v>0</v>
      </c>
      <c r="DG30" s="488"/>
      <c r="DH30" s="465">
        <v>0</v>
      </c>
      <c r="DI30" s="465">
        <v>0</v>
      </c>
      <c r="DJ30" s="465">
        <f t="shared" si="29"/>
        <v>0</v>
      </c>
      <c r="DK30" s="488"/>
      <c r="DL30" s="465">
        <v>0</v>
      </c>
      <c r="DM30" s="465">
        <v>0</v>
      </c>
      <c r="DN30" s="465">
        <f t="shared" si="30"/>
        <v>0</v>
      </c>
      <c r="DO30" s="488"/>
      <c r="DP30" s="465">
        <v>0</v>
      </c>
      <c r="DQ30" s="465">
        <v>0</v>
      </c>
      <c r="DR30" s="465">
        <f t="shared" si="31"/>
        <v>0</v>
      </c>
      <c r="DS30" s="465"/>
      <c r="DT30" s="465">
        <v>0</v>
      </c>
      <c r="DU30" s="465">
        <v>0</v>
      </c>
      <c r="DV30" s="465">
        <f t="shared" si="32"/>
        <v>0</v>
      </c>
      <c r="DW30" s="465"/>
      <c r="DX30" s="465">
        <v>0</v>
      </c>
      <c r="DY30" s="465">
        <v>0</v>
      </c>
      <c r="DZ30" s="465">
        <f t="shared" si="33"/>
        <v>0</v>
      </c>
      <c r="EA30" s="465"/>
      <c r="EB30" s="465">
        <v>0</v>
      </c>
      <c r="EC30" s="465">
        <v>0</v>
      </c>
      <c r="ED30" s="465">
        <f t="shared" si="34"/>
        <v>0</v>
      </c>
      <c r="EE30" s="465"/>
      <c r="EF30" s="465">
        <v>0</v>
      </c>
      <c r="EG30" s="465">
        <v>0</v>
      </c>
      <c r="EH30" s="465">
        <f t="shared" si="35"/>
        <v>0</v>
      </c>
      <c r="EI30" s="465"/>
      <c r="EJ30" s="465">
        <v>0</v>
      </c>
      <c r="EK30" s="465">
        <v>0</v>
      </c>
      <c r="EL30" s="465">
        <f t="shared" si="36"/>
        <v>0</v>
      </c>
      <c r="EM30" s="488"/>
      <c r="EN30" s="465">
        <v>300000000</v>
      </c>
      <c r="EO30" s="465">
        <f>128312440+4500000+44104894.4+26700000+21428448.45+21600000</f>
        <v>246645782.84999999</v>
      </c>
      <c r="EP30" s="465">
        <f t="shared" si="37"/>
        <v>53354217.150000006</v>
      </c>
      <c r="EQ30" s="488"/>
      <c r="ER30" s="465">
        <v>25000000</v>
      </c>
      <c r="ES30" s="465">
        <v>0</v>
      </c>
      <c r="ET30" s="465">
        <f t="shared" si="38"/>
        <v>25000000</v>
      </c>
      <c r="EU30" s="488"/>
      <c r="EV30" s="465">
        <v>10000000</v>
      </c>
      <c r="EW30" s="465">
        <v>0</v>
      </c>
      <c r="EX30" s="465">
        <f t="shared" si="39"/>
        <v>10000000</v>
      </c>
      <c r="EY30" s="488"/>
      <c r="EZ30" s="465">
        <v>30000000</v>
      </c>
      <c r="FA30" s="484">
        <f>3391839+15169375+2303512+1366275+7768999</f>
        <v>30000000</v>
      </c>
      <c r="FB30" s="465">
        <f t="shared" si="40"/>
        <v>0</v>
      </c>
      <c r="FC30" s="488"/>
      <c r="FD30" s="465">
        <v>5000000</v>
      </c>
      <c r="FE30" s="465">
        <v>0</v>
      </c>
      <c r="FF30" s="465">
        <f t="shared" si="41"/>
        <v>5000000</v>
      </c>
      <c r="FG30" s="465"/>
      <c r="FH30" s="463">
        <v>0</v>
      </c>
      <c r="FI30" s="463">
        <v>0</v>
      </c>
      <c r="FJ30" s="463">
        <f t="shared" si="0"/>
        <v>0</v>
      </c>
      <c r="FK30" s="468"/>
      <c r="FL30" s="468"/>
      <c r="FM30" s="468">
        <v>0</v>
      </c>
      <c r="FN30" s="468"/>
      <c r="FO30" s="468"/>
      <c r="FP30" s="468"/>
      <c r="FQ30" s="468"/>
      <c r="FR30" s="468"/>
      <c r="FS30" s="468"/>
      <c r="FT30" s="468"/>
      <c r="FU30" s="468"/>
      <c r="FV30" s="468"/>
      <c r="FW30" s="468"/>
      <c r="FX30" s="468"/>
      <c r="FY30" s="468"/>
      <c r="FZ30" s="468"/>
      <c r="GA30" s="468"/>
      <c r="GB30" s="468">
        <v>160000000</v>
      </c>
      <c r="GC30" s="468">
        <v>0</v>
      </c>
      <c r="GD30" s="468">
        <f t="shared" si="45"/>
        <v>160000000</v>
      </c>
      <c r="GE30" s="468"/>
      <c r="GF30" s="468">
        <v>25000000</v>
      </c>
      <c r="GG30" s="468">
        <v>0</v>
      </c>
      <c r="GH30" s="468">
        <f t="shared" si="46"/>
        <v>25000000</v>
      </c>
      <c r="GI30" s="468"/>
      <c r="GJ30" s="468">
        <v>5000000</v>
      </c>
      <c r="GK30" s="468">
        <v>0</v>
      </c>
      <c r="GL30" s="468">
        <f t="shared" si="47"/>
        <v>5000000</v>
      </c>
      <c r="GM30" s="468"/>
      <c r="GN30" s="468">
        <v>20000000</v>
      </c>
      <c r="GO30" s="469">
        <f>4646786</f>
        <v>4646786</v>
      </c>
      <c r="GP30" s="468">
        <f t="shared" si="48"/>
        <v>15353214</v>
      </c>
      <c r="GQ30" s="468"/>
      <c r="GR30" s="468">
        <v>5000000</v>
      </c>
      <c r="GS30" s="468">
        <v>0</v>
      </c>
      <c r="GT30" s="468">
        <f t="shared" si="49"/>
        <v>5000000</v>
      </c>
      <c r="GU30" s="468"/>
      <c r="GV30" s="465">
        <f t="shared" si="50"/>
        <v>1344560200</v>
      </c>
      <c r="GW30" s="465">
        <f t="shared" si="50"/>
        <v>1005130337.1700001</v>
      </c>
      <c r="GX30" s="465">
        <f t="shared" si="51"/>
        <v>339429862.82999992</v>
      </c>
      <c r="GY30" s="470"/>
      <c r="GZ30" s="464"/>
      <c r="HA30" s="471">
        <f>D30+H30+L30+X30+AN30+BH30+CB30+CF30+CV30+DP30+DT30+EN30+FH30+GB30</f>
        <v>1005750000</v>
      </c>
      <c r="HB30" s="471">
        <f>E30+I30+M30+Y30+AO30+BI30+CC30+CG30+CW30+DQ30+DU30+EO30+FI30+GC30</f>
        <v>792395782.85000002</v>
      </c>
      <c r="HC30" s="471">
        <f t="shared" si="52"/>
        <v>213354217.14999998</v>
      </c>
      <c r="HE30" s="471">
        <f>P30+AB30+AR30+
BL30+CJ30+CZ30+DX30+ER30+FL30+GF30</f>
        <v>107000000</v>
      </c>
      <c r="HF30" s="471">
        <f>Q30+AC30+AS30+
BM30+CK30+DA30+DY30+ES30+FM30+GG30</f>
        <v>49722568.32</v>
      </c>
      <c r="HG30" s="471">
        <f t="shared" si="53"/>
        <v>57277431.68</v>
      </c>
      <c r="HI30" s="471">
        <f>T30+AF30+AV30+BP30+CN30+DD30+EB30+EV30+FP30+GJ30</f>
        <v>46810200</v>
      </c>
      <c r="HJ30" s="471">
        <f>U30+AG30+AW30+BQ30+CO30+DE30+EC30+EW30+FQ30+GK30</f>
        <v>6810200</v>
      </c>
      <c r="HK30" s="471">
        <f t="shared" si="54"/>
        <v>40000000</v>
      </c>
      <c r="HM30" s="475">
        <f>AJ30+AZ30+BT30+CR30+DH30+EF30+EZ30+FT30+GN30</f>
        <v>165000000</v>
      </c>
      <c r="HN30" s="475">
        <f>AK30+BA30+BU30+CS30+DI30+EG30+FA30+FU30+GO30</f>
        <v>149646786</v>
      </c>
      <c r="HO30" s="475">
        <f t="shared" si="55"/>
        <v>15353214</v>
      </c>
      <c r="HP30" s="476"/>
      <c r="HR30" s="471">
        <f>BD30+BX30+DL30+EJ30+FD30+FX30+GR30</f>
        <v>20000000</v>
      </c>
      <c r="HS30" s="471">
        <f>BE30+BY30+DM30+EK30+FE30+FY30+GS30</f>
        <v>6555000</v>
      </c>
      <c r="HT30" s="471">
        <f t="shared" si="56"/>
        <v>13445000</v>
      </c>
    </row>
    <row r="31" spans="1:228" x14ac:dyDescent="0.25">
      <c r="A31" s="107">
        <v>26</v>
      </c>
      <c r="B31" s="107" t="s">
        <v>90</v>
      </c>
      <c r="C31" s="113" t="s">
        <v>61</v>
      </c>
      <c r="D31" s="488">
        <v>1750000</v>
      </c>
      <c r="E31" s="488">
        <v>1750000</v>
      </c>
      <c r="F31" s="465">
        <f t="shared" si="1"/>
        <v>0</v>
      </c>
      <c r="G31" s="488"/>
      <c r="H31" s="465">
        <v>50000000</v>
      </c>
      <c r="I31" s="465">
        <v>50000000</v>
      </c>
      <c r="J31" s="465">
        <f t="shared" si="2"/>
        <v>0</v>
      </c>
      <c r="K31" s="488"/>
      <c r="L31" s="465">
        <v>50000000</v>
      </c>
      <c r="M31" s="465">
        <v>50000000</v>
      </c>
      <c r="N31" s="465">
        <f t="shared" si="3"/>
        <v>0</v>
      </c>
      <c r="O31" s="488"/>
      <c r="P31" s="465">
        <v>7000000</v>
      </c>
      <c r="Q31" s="465">
        <v>7000000</v>
      </c>
      <c r="R31" s="465">
        <f t="shared" si="4"/>
        <v>0</v>
      </c>
      <c r="S31" s="488"/>
      <c r="T31" s="465">
        <f>3000000-3000000</f>
        <v>0</v>
      </c>
      <c r="U31" s="465">
        <v>0</v>
      </c>
      <c r="V31" s="465">
        <f t="shared" si="5"/>
        <v>0</v>
      </c>
      <c r="W31" s="488"/>
      <c r="X31" s="465">
        <v>60000000</v>
      </c>
      <c r="Y31" s="465">
        <v>60000000</v>
      </c>
      <c r="Z31" s="465">
        <f t="shared" si="6"/>
        <v>0</v>
      </c>
      <c r="AA31" s="488"/>
      <c r="AB31" s="465">
        <v>10000000</v>
      </c>
      <c r="AC31" s="465">
        <v>10000000</v>
      </c>
      <c r="AD31" s="465">
        <f t="shared" si="7"/>
        <v>0</v>
      </c>
      <c r="AE31" s="488"/>
      <c r="AF31" s="465">
        <f>5000000-5000000</f>
        <v>0</v>
      </c>
      <c r="AG31" s="465">
        <v>0</v>
      </c>
      <c r="AH31" s="465">
        <f t="shared" si="8"/>
        <v>0</v>
      </c>
      <c r="AI31" s="488"/>
      <c r="AJ31" s="465">
        <v>15000000</v>
      </c>
      <c r="AK31" s="465">
        <v>15000000</v>
      </c>
      <c r="AL31" s="465">
        <f t="shared" si="9"/>
        <v>0</v>
      </c>
      <c r="AM31" s="465"/>
      <c r="AN31" s="465">
        <v>80000000</v>
      </c>
      <c r="AO31" s="465">
        <f>77445132+2554868</f>
        <v>80000000</v>
      </c>
      <c r="AP31" s="465">
        <f t="shared" si="10"/>
        <v>0</v>
      </c>
      <c r="AQ31" s="488"/>
      <c r="AR31" s="465">
        <v>10000000</v>
      </c>
      <c r="AS31" s="465">
        <f>2814850+7185150</f>
        <v>10000000</v>
      </c>
      <c r="AT31" s="465">
        <f t="shared" si="11"/>
        <v>0</v>
      </c>
      <c r="AU31" s="488"/>
      <c r="AV31" s="465">
        <v>5000000</v>
      </c>
      <c r="AW31" s="465">
        <v>0</v>
      </c>
      <c r="AX31" s="465">
        <f t="shared" si="12"/>
        <v>5000000</v>
      </c>
      <c r="AY31" s="488"/>
      <c r="AZ31" s="465">
        <v>20000000</v>
      </c>
      <c r="BA31" s="465">
        <v>20000000</v>
      </c>
      <c r="BB31" s="465">
        <f t="shared" si="13"/>
        <v>0</v>
      </c>
      <c r="BC31" s="488"/>
      <c r="BD31" s="465">
        <v>5000000</v>
      </c>
      <c r="BE31" s="465">
        <v>1207000</v>
      </c>
      <c r="BF31" s="465">
        <f t="shared" si="14"/>
        <v>3793000</v>
      </c>
      <c r="BG31" s="488"/>
      <c r="BH31" s="465">
        <v>130000000</v>
      </c>
      <c r="BI31" s="465">
        <f>95765632+4200000+2800000+1750000+450000+25034368</f>
        <v>130000000</v>
      </c>
      <c r="BJ31" s="465">
        <f t="shared" si="15"/>
        <v>0</v>
      </c>
      <c r="BK31" s="488"/>
      <c r="BL31" s="465">
        <v>10000000</v>
      </c>
      <c r="BM31" s="496">
        <f>1547450+8452550</f>
        <v>10000000</v>
      </c>
      <c r="BN31" s="465">
        <f t="shared" si="16"/>
        <v>0</v>
      </c>
      <c r="BO31" s="488"/>
      <c r="BP31" s="465">
        <v>10000000</v>
      </c>
      <c r="BQ31" s="465">
        <v>0</v>
      </c>
      <c r="BR31" s="465">
        <f t="shared" si="17"/>
        <v>10000000</v>
      </c>
      <c r="BS31" s="488"/>
      <c r="BT31" s="465">
        <v>40000000</v>
      </c>
      <c r="BU31" s="465">
        <f>8093902+20100465+8789821+1386605+1498280+130927</f>
        <v>40000000</v>
      </c>
      <c r="BV31" s="465">
        <f t="shared" si="18"/>
        <v>0</v>
      </c>
      <c r="BW31" s="488"/>
      <c r="BX31" s="465">
        <v>5000000</v>
      </c>
      <c r="BY31" s="465">
        <v>0</v>
      </c>
      <c r="BZ31" s="465">
        <f t="shared" si="19"/>
        <v>5000000</v>
      </c>
      <c r="CA31" s="488"/>
      <c r="CB31" s="465">
        <v>0</v>
      </c>
      <c r="CC31" s="465">
        <v>0</v>
      </c>
      <c r="CD31" s="465">
        <f t="shared" si="20"/>
        <v>0</v>
      </c>
      <c r="CE31" s="488"/>
      <c r="CF31" s="465">
        <f t="shared" si="21"/>
        <v>140000000</v>
      </c>
      <c r="CG31" s="483">
        <f>5366745+43420672+3850000+73734390+9690000+3938193-5366745+5366745</f>
        <v>140000000</v>
      </c>
      <c r="CH31" s="465">
        <f t="shared" si="22"/>
        <v>0</v>
      </c>
      <c r="CI31" s="488"/>
      <c r="CJ31" s="465">
        <v>20000000</v>
      </c>
      <c r="CK31" s="465">
        <f>18727800+1272200</f>
        <v>20000000</v>
      </c>
      <c r="CL31" s="465">
        <f t="shared" si="23"/>
        <v>0</v>
      </c>
      <c r="CM31" s="488"/>
      <c r="CN31" s="465">
        <v>10000000</v>
      </c>
      <c r="CO31" s="465">
        <v>0</v>
      </c>
      <c r="CP31" s="465">
        <f t="shared" si="24"/>
        <v>10000000</v>
      </c>
      <c r="CQ31" s="488"/>
      <c r="CR31" s="465">
        <v>40000000</v>
      </c>
      <c r="CS31" s="465">
        <f>24016668+7354495+2667000+48605931-42644094</f>
        <v>40000000</v>
      </c>
      <c r="CT31" s="465">
        <f t="shared" si="25"/>
        <v>0</v>
      </c>
      <c r="CU31" s="488"/>
      <c r="CV31" s="465">
        <v>150000000</v>
      </c>
      <c r="CW31" s="465">
        <f>6852607+54100000+8580000+74247778.6+6219614.4</f>
        <v>150000000</v>
      </c>
      <c r="CX31" s="465">
        <f t="shared" si="26"/>
        <v>0</v>
      </c>
      <c r="CY31" s="488"/>
      <c r="CZ31" s="465">
        <v>20000000</v>
      </c>
      <c r="DA31" s="496">
        <f>140570.5</f>
        <v>140570.5</v>
      </c>
      <c r="DB31" s="465">
        <f t="shared" si="27"/>
        <v>19859429.5</v>
      </c>
      <c r="DC31" s="465"/>
      <c r="DD31" s="465">
        <v>10000000</v>
      </c>
      <c r="DE31" s="465">
        <v>0</v>
      </c>
      <c r="DF31" s="465">
        <f t="shared" si="28"/>
        <v>10000000</v>
      </c>
      <c r="DG31" s="488"/>
      <c r="DH31" s="465">
        <v>50000000</v>
      </c>
      <c r="DI31" s="465">
        <f>42644094+7355906</f>
        <v>50000000</v>
      </c>
      <c r="DJ31" s="465">
        <f t="shared" si="29"/>
        <v>0</v>
      </c>
      <c r="DK31" s="488"/>
      <c r="DL31" s="465">
        <v>10000000</v>
      </c>
      <c r="DM31" s="465">
        <v>0</v>
      </c>
      <c r="DN31" s="465">
        <f t="shared" si="30"/>
        <v>10000000</v>
      </c>
      <c r="DO31" s="488"/>
      <c r="DP31" s="465">
        <v>0</v>
      </c>
      <c r="DQ31" s="465">
        <v>0</v>
      </c>
      <c r="DR31" s="465">
        <f t="shared" si="31"/>
        <v>0</v>
      </c>
      <c r="DS31" s="465"/>
      <c r="DT31" s="465">
        <v>100000000</v>
      </c>
      <c r="DU31" s="465">
        <f>98122385.6+1877614.4</f>
        <v>100000000</v>
      </c>
      <c r="DV31" s="465">
        <f t="shared" si="32"/>
        <v>0</v>
      </c>
      <c r="DW31" s="465"/>
      <c r="DX31" s="465">
        <v>15000000</v>
      </c>
      <c r="DY31" s="465">
        <f>7423089.4</f>
        <v>7423089.4000000004</v>
      </c>
      <c r="DZ31" s="465">
        <f t="shared" si="33"/>
        <v>7576910.5999999996</v>
      </c>
      <c r="EA31" s="465"/>
      <c r="EB31" s="465">
        <v>10000000</v>
      </c>
      <c r="EC31" s="465">
        <v>0</v>
      </c>
      <c r="ED31" s="465">
        <f t="shared" si="34"/>
        <v>10000000</v>
      </c>
      <c r="EE31" s="465"/>
      <c r="EF31" s="465">
        <v>25000000</v>
      </c>
      <c r="EG31" s="465">
        <f>8347134+6629940+589950+589950-589950+3833840+3833840-3833840+5366745+232391</f>
        <v>25000000</v>
      </c>
      <c r="EH31" s="465">
        <f t="shared" si="35"/>
        <v>0</v>
      </c>
      <c r="EI31" s="465"/>
      <c r="EJ31" s="465">
        <v>10000000</v>
      </c>
      <c r="EK31" s="465">
        <v>0</v>
      </c>
      <c r="EL31" s="465">
        <f t="shared" si="36"/>
        <v>10000000</v>
      </c>
      <c r="EM31" s="488"/>
      <c r="EN31" s="465">
        <v>300000000</v>
      </c>
      <c r="EO31" s="483">
        <f>103045312+20400000+83658602.45+4500000+9043255</f>
        <v>220647169.44999999</v>
      </c>
      <c r="EP31" s="465">
        <f t="shared" si="37"/>
        <v>79352830.550000012</v>
      </c>
      <c r="EQ31" s="488"/>
      <c r="ER31" s="465">
        <v>25000000</v>
      </c>
      <c r="ES31" s="465">
        <v>0</v>
      </c>
      <c r="ET31" s="465">
        <f t="shared" si="38"/>
        <v>25000000</v>
      </c>
      <c r="EU31" s="488"/>
      <c r="EV31" s="465">
        <v>10000000</v>
      </c>
      <c r="EW31" s="465">
        <v>0</v>
      </c>
      <c r="EX31" s="465">
        <f t="shared" si="39"/>
        <v>10000000</v>
      </c>
      <c r="EY31" s="488"/>
      <c r="EZ31" s="465">
        <v>30000000</v>
      </c>
      <c r="FA31" s="465">
        <f>209209+188600+5709800+2028375+11178190+10685826</f>
        <v>30000000</v>
      </c>
      <c r="FB31" s="465">
        <f t="shared" si="40"/>
        <v>0</v>
      </c>
      <c r="FC31" s="488"/>
      <c r="FD31" s="465">
        <v>5000000</v>
      </c>
      <c r="FE31" s="465">
        <v>0</v>
      </c>
      <c r="FF31" s="465">
        <f t="shared" si="41"/>
        <v>5000000</v>
      </c>
      <c r="FG31" s="465"/>
      <c r="FH31" s="463">
        <v>120000000</v>
      </c>
      <c r="FI31" s="463">
        <v>0</v>
      </c>
      <c r="FJ31" s="463">
        <f t="shared" si="0"/>
        <v>120000000</v>
      </c>
      <c r="FK31" s="468"/>
      <c r="FL31" s="468">
        <v>25000000</v>
      </c>
      <c r="FM31" s="468">
        <v>0</v>
      </c>
      <c r="FN31" s="468">
        <f>FL31-FM31</f>
        <v>25000000</v>
      </c>
      <c r="FO31" s="468"/>
      <c r="FP31" s="468">
        <v>5000000</v>
      </c>
      <c r="FQ31" s="468">
        <v>0</v>
      </c>
      <c r="FR31" s="468">
        <f>FP31-FQ31</f>
        <v>5000000</v>
      </c>
      <c r="FS31" s="468"/>
      <c r="FT31" s="468">
        <v>30000000</v>
      </c>
      <c r="FU31" s="490">
        <f>3218394+4720025</f>
        <v>7938419</v>
      </c>
      <c r="FV31" s="468">
        <f>FT31-FU31</f>
        <v>22061581</v>
      </c>
      <c r="FW31" s="468"/>
      <c r="FX31" s="468">
        <v>4150000</v>
      </c>
      <c r="FY31" s="468">
        <v>0</v>
      </c>
      <c r="FZ31" s="468">
        <v>4150000</v>
      </c>
      <c r="GA31" s="468"/>
      <c r="GB31" s="468">
        <v>160000000</v>
      </c>
      <c r="GC31" s="468">
        <v>0</v>
      </c>
      <c r="GD31" s="468">
        <f t="shared" si="45"/>
        <v>160000000</v>
      </c>
      <c r="GE31" s="468"/>
      <c r="GF31" s="468">
        <v>25000000</v>
      </c>
      <c r="GG31" s="468">
        <v>0</v>
      </c>
      <c r="GH31" s="468">
        <f t="shared" si="46"/>
        <v>25000000</v>
      </c>
      <c r="GI31" s="468"/>
      <c r="GJ31" s="468">
        <v>5000000</v>
      </c>
      <c r="GK31" s="468">
        <v>0</v>
      </c>
      <c r="GL31" s="468">
        <f t="shared" si="47"/>
        <v>5000000</v>
      </c>
      <c r="GM31" s="468"/>
      <c r="GN31" s="468">
        <v>20000000</v>
      </c>
      <c r="GO31" s="468">
        <v>0</v>
      </c>
      <c r="GP31" s="468">
        <f t="shared" si="48"/>
        <v>20000000</v>
      </c>
      <c r="GQ31" s="468"/>
      <c r="GR31" s="468">
        <v>5000000</v>
      </c>
      <c r="GS31" s="468">
        <v>0</v>
      </c>
      <c r="GT31" s="468">
        <f t="shared" si="49"/>
        <v>5000000</v>
      </c>
      <c r="GU31" s="468"/>
      <c r="GV31" s="465">
        <f t="shared" si="50"/>
        <v>1887900000</v>
      </c>
      <c r="GW31" s="465">
        <f t="shared" si="50"/>
        <v>1276106248.3499999</v>
      </c>
      <c r="GX31" s="465">
        <f t="shared" si="51"/>
        <v>611793751.6500001</v>
      </c>
      <c r="GY31" s="470"/>
      <c r="GZ31" s="464"/>
      <c r="HA31" s="471">
        <f>D31+H31+L31+X31+AN31+BH31+CB31+CF31+CV31+DP31+DT31+EN31+FH31+GB31</f>
        <v>1341750000</v>
      </c>
      <c r="HB31" s="471">
        <f>E31+I31+M31+Y31+AO31+BI31+CC31+CG31+CW31+DQ31+DU31+EO31+FI31+GC31</f>
        <v>982397169.45000005</v>
      </c>
      <c r="HC31" s="471">
        <f t="shared" si="52"/>
        <v>359352830.54999995</v>
      </c>
      <c r="HE31" s="471">
        <f>P31+AB31+AR31+
BL31+CJ31+CZ31+DX31+ER31+FL31+GF31</f>
        <v>167000000</v>
      </c>
      <c r="HF31" s="471">
        <f>Q31+AC31+AS31+
BM31+CK31+DA31+DY31+ES31+FM31+GG31</f>
        <v>64563659.899999999</v>
      </c>
      <c r="HG31" s="471">
        <f t="shared" si="53"/>
        <v>102436340.09999999</v>
      </c>
      <c r="HI31" s="471">
        <f>T31+AF31+AV31+BP31+CN31+DD31+EB31+EV31+FP31+GJ31</f>
        <v>65000000</v>
      </c>
      <c r="HJ31" s="471">
        <f>U31+AG31+AW31+BQ31+CO31+DE31+EC31+EW31+FQ31+GK31</f>
        <v>0</v>
      </c>
      <c r="HK31" s="471">
        <f t="shared" si="54"/>
        <v>65000000</v>
      </c>
      <c r="HM31" s="475">
        <f>AJ31+AZ31+BT31+CR31+DH31+EF31+EZ31+FT31+GN31</f>
        <v>270000000</v>
      </c>
      <c r="HN31" s="475">
        <f>AK31+BA31+BU31+CS31+DI31+EG31+FA31+FU31+GO31</f>
        <v>227938419</v>
      </c>
      <c r="HO31" s="475">
        <f t="shared" si="55"/>
        <v>42061581</v>
      </c>
      <c r="HP31" s="476"/>
      <c r="HR31" s="471">
        <f>BD31+BX31+DL31+EJ31+FD31+FX31+GR31</f>
        <v>44150000</v>
      </c>
      <c r="HS31" s="471">
        <f>BE31+BY31+DM31+EK31+FE31+FY31+GS31</f>
        <v>1207000</v>
      </c>
      <c r="HT31" s="471">
        <f t="shared" si="56"/>
        <v>42943000</v>
      </c>
    </row>
    <row r="32" spans="1:228" x14ac:dyDescent="0.25">
      <c r="A32" s="107">
        <v>27</v>
      </c>
      <c r="B32" s="107" t="s">
        <v>91</v>
      </c>
      <c r="C32" s="113" t="s">
        <v>69</v>
      </c>
      <c r="D32" s="465">
        <v>0</v>
      </c>
      <c r="E32" s="465">
        <v>0</v>
      </c>
      <c r="F32" s="465">
        <f t="shared" si="1"/>
        <v>0</v>
      </c>
      <c r="G32" s="465"/>
      <c r="H32" s="465">
        <f>50000000-50000000</f>
        <v>0</v>
      </c>
      <c r="I32" s="465">
        <v>0</v>
      </c>
      <c r="J32" s="465">
        <f t="shared" si="2"/>
        <v>0</v>
      </c>
      <c r="K32" s="465"/>
      <c r="L32" s="465">
        <f>50000000-50000000</f>
        <v>0</v>
      </c>
      <c r="M32" s="465">
        <v>0</v>
      </c>
      <c r="N32" s="465">
        <f t="shared" si="3"/>
        <v>0</v>
      </c>
      <c r="O32" s="465"/>
      <c r="P32" s="465">
        <v>2000000</v>
      </c>
      <c r="Q32" s="465">
        <f>2000000</f>
        <v>2000000</v>
      </c>
      <c r="R32" s="465">
        <f t="shared" si="4"/>
        <v>0</v>
      </c>
      <c r="S32" s="465"/>
      <c r="T32" s="465">
        <v>3000000</v>
      </c>
      <c r="U32" s="465">
        <v>3000000</v>
      </c>
      <c r="V32" s="465">
        <f t="shared" si="5"/>
        <v>0</v>
      </c>
      <c r="W32" s="465"/>
      <c r="X32" s="465">
        <v>60000000</v>
      </c>
      <c r="Y32" s="465">
        <v>60000000</v>
      </c>
      <c r="Z32" s="465">
        <f t="shared" si="6"/>
        <v>0</v>
      </c>
      <c r="AA32" s="465"/>
      <c r="AB32" s="465">
        <f>10000000-10000000</f>
        <v>0</v>
      </c>
      <c r="AC32" s="465">
        <v>0</v>
      </c>
      <c r="AD32" s="465">
        <f t="shared" si="7"/>
        <v>0</v>
      </c>
      <c r="AE32" s="465"/>
      <c r="AF32" s="465">
        <v>3800000</v>
      </c>
      <c r="AG32" s="465">
        <v>3800000</v>
      </c>
      <c r="AH32" s="465">
        <f t="shared" si="8"/>
        <v>0</v>
      </c>
      <c r="AI32" s="465"/>
      <c r="AJ32" s="465">
        <v>15000000</v>
      </c>
      <c r="AK32" s="465">
        <v>15000000</v>
      </c>
      <c r="AL32" s="465">
        <f t="shared" si="9"/>
        <v>0</v>
      </c>
      <c r="AM32" s="465"/>
      <c r="AN32" s="465">
        <v>80000000</v>
      </c>
      <c r="AO32" s="465">
        <f>21666325+28064795.74+30268879.26</f>
        <v>80000000</v>
      </c>
      <c r="AP32" s="465">
        <f t="shared" si="10"/>
        <v>0</v>
      </c>
      <c r="AQ32" s="465"/>
      <c r="AR32" s="465">
        <v>10000000</v>
      </c>
      <c r="AS32" s="465">
        <v>10000000</v>
      </c>
      <c r="AT32" s="465">
        <f t="shared" si="11"/>
        <v>0</v>
      </c>
      <c r="AU32" s="465"/>
      <c r="AV32" s="465">
        <v>5000000</v>
      </c>
      <c r="AW32" s="465">
        <f>10000000-5000000</f>
        <v>5000000</v>
      </c>
      <c r="AX32" s="465">
        <f t="shared" si="12"/>
        <v>0</v>
      </c>
      <c r="AY32" s="465"/>
      <c r="AZ32" s="465">
        <v>20000000</v>
      </c>
      <c r="BA32" s="465">
        <v>20000000</v>
      </c>
      <c r="BB32" s="465">
        <f t="shared" si="13"/>
        <v>0</v>
      </c>
      <c r="BC32" s="465"/>
      <c r="BD32" s="465">
        <v>5000000</v>
      </c>
      <c r="BE32" s="465">
        <v>5000000</v>
      </c>
      <c r="BF32" s="465">
        <f t="shared" si="14"/>
        <v>0</v>
      </c>
      <c r="BG32" s="465"/>
      <c r="BH32" s="465">
        <v>130000000</v>
      </c>
      <c r="BI32" s="465">
        <f>55977322.74+54196000+19826677.26</f>
        <v>130000000.00000001</v>
      </c>
      <c r="BJ32" s="465">
        <f t="shared" si="15"/>
        <v>0</v>
      </c>
      <c r="BK32" s="465"/>
      <c r="BL32" s="465">
        <v>10000000</v>
      </c>
      <c r="BM32" s="465">
        <v>10000000</v>
      </c>
      <c r="BN32" s="465">
        <f t="shared" si="16"/>
        <v>0</v>
      </c>
      <c r="BO32" s="465"/>
      <c r="BP32" s="465">
        <v>10000000</v>
      </c>
      <c r="BQ32" s="465">
        <v>10000000</v>
      </c>
      <c r="BR32" s="465">
        <f t="shared" si="17"/>
        <v>0</v>
      </c>
      <c r="BS32" s="465"/>
      <c r="BT32" s="465">
        <v>40000000</v>
      </c>
      <c r="BU32" s="465">
        <f>9516368+30483632</f>
        <v>40000000</v>
      </c>
      <c r="BV32" s="465">
        <f t="shared" si="18"/>
        <v>0</v>
      </c>
      <c r="BW32" s="465"/>
      <c r="BX32" s="465">
        <v>5000000</v>
      </c>
      <c r="BY32" s="465">
        <v>5000000</v>
      </c>
      <c r="BZ32" s="465">
        <f t="shared" si="19"/>
        <v>0</v>
      </c>
      <c r="CA32" s="465"/>
      <c r="CB32" s="465">
        <v>0</v>
      </c>
      <c r="CC32" s="465">
        <v>0</v>
      </c>
      <c r="CD32" s="465">
        <f t="shared" si="20"/>
        <v>0</v>
      </c>
      <c r="CE32" s="465"/>
      <c r="CF32" s="465">
        <f t="shared" si="21"/>
        <v>140000000</v>
      </c>
      <c r="CG32" s="465">
        <f>61182047.74+9000300+24000000+45817652.26</f>
        <v>140000000</v>
      </c>
      <c r="CH32" s="465">
        <f t="shared" si="22"/>
        <v>0</v>
      </c>
      <c r="CI32" s="465"/>
      <c r="CJ32" s="465">
        <v>20000000</v>
      </c>
      <c r="CK32" s="465">
        <f>8979930+11020070</f>
        <v>20000000</v>
      </c>
      <c r="CL32" s="465">
        <f t="shared" si="23"/>
        <v>0</v>
      </c>
      <c r="CM32" s="465"/>
      <c r="CN32" s="465">
        <v>10000000</v>
      </c>
      <c r="CO32" s="465">
        <f>1427514+5000000</f>
        <v>6427514</v>
      </c>
      <c r="CP32" s="465">
        <f t="shared" si="24"/>
        <v>3572486</v>
      </c>
      <c r="CQ32" s="465"/>
      <c r="CR32" s="465">
        <v>40000000</v>
      </c>
      <c r="CS32" s="465">
        <f>7075925+2668592+6052838+15644710+8557935</f>
        <v>40000000</v>
      </c>
      <c r="CT32" s="465">
        <f t="shared" si="25"/>
        <v>0</v>
      </c>
      <c r="CU32" s="465"/>
      <c r="CV32" s="465">
        <v>150000000</v>
      </c>
      <c r="CW32" s="483">
        <f>111341191.74+22366600+13500000-28064795.74+3600000+19718785.55+7538218.45</f>
        <v>150000000</v>
      </c>
      <c r="CX32" s="465">
        <f t="shared" si="26"/>
        <v>0</v>
      </c>
      <c r="CY32" s="465"/>
      <c r="CZ32" s="465">
        <v>20000000</v>
      </c>
      <c r="DA32" s="465">
        <v>20000000</v>
      </c>
      <c r="DB32" s="465">
        <f t="shared" si="27"/>
        <v>0</v>
      </c>
      <c r="DC32" s="465"/>
      <c r="DD32" s="465">
        <v>10000000</v>
      </c>
      <c r="DE32" s="465">
        <v>0</v>
      </c>
      <c r="DF32" s="465">
        <f t="shared" si="28"/>
        <v>10000000</v>
      </c>
      <c r="DG32" s="465"/>
      <c r="DH32" s="465">
        <v>50000000</v>
      </c>
      <c r="DI32" s="465">
        <f>12907248+28064795.74+9027956.26</f>
        <v>49999999.999999993</v>
      </c>
      <c r="DJ32" s="465">
        <f t="shared" si="29"/>
        <v>0</v>
      </c>
      <c r="DK32" s="465"/>
      <c r="DL32" s="465">
        <v>10000000</v>
      </c>
      <c r="DM32" s="465">
        <f>1186000</f>
        <v>1186000</v>
      </c>
      <c r="DN32" s="465">
        <f t="shared" si="30"/>
        <v>8814000</v>
      </c>
      <c r="DO32" s="465"/>
      <c r="DP32" s="465">
        <v>0</v>
      </c>
      <c r="DQ32" s="465">
        <v>0</v>
      </c>
      <c r="DR32" s="465">
        <f t="shared" si="31"/>
        <v>0</v>
      </c>
      <c r="DS32" s="465"/>
      <c r="DT32" s="465">
        <v>100000000</v>
      </c>
      <c r="DU32" s="483">
        <f>8100000+8100000+24404545-4500000+63895455</f>
        <v>100000000</v>
      </c>
      <c r="DV32" s="465">
        <f t="shared" si="32"/>
        <v>0</v>
      </c>
      <c r="DW32" s="465"/>
      <c r="DX32" s="465">
        <v>15000000</v>
      </c>
      <c r="DY32" s="465">
        <f>12349380+654000+1996620</f>
        <v>15000000</v>
      </c>
      <c r="DZ32" s="465">
        <f t="shared" si="33"/>
        <v>0</v>
      </c>
      <c r="EA32" s="465"/>
      <c r="EB32" s="465">
        <v>10000000</v>
      </c>
      <c r="EC32" s="465">
        <v>0</v>
      </c>
      <c r="ED32" s="465">
        <f t="shared" si="34"/>
        <v>10000000</v>
      </c>
      <c r="EE32" s="465"/>
      <c r="EF32" s="465">
        <v>25000000</v>
      </c>
      <c r="EG32" s="478">
        <f>20199058.74+2812240+1988701.26</f>
        <v>25000000</v>
      </c>
      <c r="EH32" s="465">
        <f t="shared" si="35"/>
        <v>0</v>
      </c>
      <c r="EI32" s="465"/>
      <c r="EJ32" s="465">
        <v>10000000</v>
      </c>
      <c r="EK32" s="465">
        <v>0</v>
      </c>
      <c r="EL32" s="465">
        <f t="shared" si="36"/>
        <v>10000000</v>
      </c>
      <c r="EM32" s="465"/>
      <c r="EN32" s="465">
        <v>300000000</v>
      </c>
      <c r="EO32" s="483">
        <f>27271326.55</f>
        <v>27271326.550000001</v>
      </c>
      <c r="EP32" s="465">
        <f t="shared" si="37"/>
        <v>272728673.44999999</v>
      </c>
      <c r="EQ32" s="465"/>
      <c r="ER32" s="465">
        <v>25000000</v>
      </c>
      <c r="ES32" s="465">
        <f>6517155.74</f>
        <v>6517155.7400000002</v>
      </c>
      <c r="ET32" s="465">
        <f t="shared" si="38"/>
        <v>18482844.259999998</v>
      </c>
      <c r="EU32" s="465"/>
      <c r="EV32" s="465">
        <v>10000000</v>
      </c>
      <c r="EW32" s="465">
        <v>0</v>
      </c>
      <c r="EX32" s="465">
        <f t="shared" si="39"/>
        <v>10000000</v>
      </c>
      <c r="EY32" s="465"/>
      <c r="EZ32" s="465">
        <v>30000000</v>
      </c>
      <c r="FA32" s="478">
        <f>8351250+14677068+6971682</f>
        <v>30000000</v>
      </c>
      <c r="FB32" s="465">
        <f t="shared" si="40"/>
        <v>0</v>
      </c>
      <c r="FC32" s="465"/>
      <c r="FD32" s="465">
        <v>5000000</v>
      </c>
      <c r="FE32" s="465">
        <v>0</v>
      </c>
      <c r="FF32" s="465">
        <f t="shared" si="41"/>
        <v>5000000</v>
      </c>
      <c r="FG32" s="465"/>
      <c r="FH32" s="463">
        <v>120000000</v>
      </c>
      <c r="FI32" s="463">
        <v>0</v>
      </c>
      <c r="FJ32" s="463">
        <f t="shared" si="0"/>
        <v>120000000</v>
      </c>
      <c r="FK32" s="468"/>
      <c r="FL32" s="468">
        <v>25000000</v>
      </c>
      <c r="FM32" s="468">
        <v>0</v>
      </c>
      <c r="FN32" s="468">
        <f t="shared" ref="FN32:FN36" si="60">FL32-FM32</f>
        <v>25000000</v>
      </c>
      <c r="FO32" s="468"/>
      <c r="FP32" s="468">
        <v>5000000</v>
      </c>
      <c r="FQ32" s="468">
        <v>0</v>
      </c>
      <c r="FR32" s="468">
        <f t="shared" ref="FR32:FR33" si="61">FP32-FQ32</f>
        <v>5000000</v>
      </c>
      <c r="FS32" s="468"/>
      <c r="FT32" s="468">
        <v>30000000</v>
      </c>
      <c r="FU32" s="490">
        <f>8150471.74</f>
        <v>8150471.7400000002</v>
      </c>
      <c r="FV32" s="468">
        <f t="shared" ref="FV32:FV33" si="62">FT32-FU32</f>
        <v>21849528.259999998</v>
      </c>
      <c r="FW32" s="468"/>
      <c r="FX32" s="468">
        <v>4150000</v>
      </c>
      <c r="FY32" s="468">
        <v>0</v>
      </c>
      <c r="FZ32" s="468">
        <v>4150000</v>
      </c>
      <c r="GA32" s="468"/>
      <c r="GB32" s="468">
        <v>160000000</v>
      </c>
      <c r="GC32" s="468">
        <v>0</v>
      </c>
      <c r="GD32" s="468">
        <f t="shared" si="45"/>
        <v>160000000</v>
      </c>
      <c r="GE32" s="468"/>
      <c r="GF32" s="468">
        <v>25000000</v>
      </c>
      <c r="GG32" s="468">
        <v>0</v>
      </c>
      <c r="GH32" s="468">
        <f t="shared" si="46"/>
        <v>25000000</v>
      </c>
      <c r="GI32" s="468"/>
      <c r="GJ32" s="468">
        <v>5000000</v>
      </c>
      <c r="GK32" s="468">
        <v>0</v>
      </c>
      <c r="GL32" s="468">
        <f t="shared" si="47"/>
        <v>5000000</v>
      </c>
      <c r="GM32" s="468"/>
      <c r="GN32" s="468">
        <v>20000000</v>
      </c>
      <c r="GO32" s="468">
        <v>0</v>
      </c>
      <c r="GP32" s="468">
        <f t="shared" si="48"/>
        <v>20000000</v>
      </c>
      <c r="GQ32" s="468"/>
      <c r="GR32" s="468">
        <v>5000000</v>
      </c>
      <c r="GS32" s="468">
        <v>0</v>
      </c>
      <c r="GT32" s="468">
        <f t="shared" si="49"/>
        <v>5000000</v>
      </c>
      <c r="GU32" s="468"/>
      <c r="GV32" s="465">
        <f t="shared" si="50"/>
        <v>1777950000</v>
      </c>
      <c r="GW32" s="465">
        <f t="shared" si="50"/>
        <v>1038352468.03</v>
      </c>
      <c r="GX32" s="465">
        <f t="shared" si="51"/>
        <v>739597531.97000003</v>
      </c>
      <c r="GY32" s="470"/>
      <c r="GZ32" s="464"/>
      <c r="HA32" s="471">
        <f>D32+H32+L32+X32+AN32+BH32+CB32+CF32+CV32+DP32+DT32+EN32+FH32+GB32</f>
        <v>1240000000</v>
      </c>
      <c r="HB32" s="471">
        <f>E32+I32+M32+Y32+AO32+BI32+CC32+CG32+CW32+DQ32+DU32+EO32+FI32+GC32</f>
        <v>687271326.54999995</v>
      </c>
      <c r="HC32" s="471">
        <f t="shared" si="52"/>
        <v>552728673.45000005</v>
      </c>
      <c r="HE32" s="471">
        <f>P32+AB32+AR32+
BL32+CJ32+CZ32+DX32+ER32+FL32+GF32</f>
        <v>152000000</v>
      </c>
      <c r="HF32" s="471">
        <f>Q32+AC32+AS32+
BM32+CK32+DA32+DY32+ES32+FM32+GG32</f>
        <v>83517155.739999995</v>
      </c>
      <c r="HG32" s="471">
        <f t="shared" si="53"/>
        <v>68482844.260000005</v>
      </c>
      <c r="HI32" s="471">
        <f>T32+AF32+AV32+BP32+CN32+DD32+EB32+EV32+FP32+GJ32</f>
        <v>71800000</v>
      </c>
      <c r="HJ32" s="471">
        <f>U32+AG32+AW32+BQ32+CO32+DE32+EC32+EW32+FQ32+GK32</f>
        <v>28227514</v>
      </c>
      <c r="HK32" s="471">
        <f t="shared" si="54"/>
        <v>43572486</v>
      </c>
      <c r="HM32" s="475">
        <f>AJ32+AZ32+BT32+CR32+DH32+EF32+EZ32+FT32+GN32</f>
        <v>270000000</v>
      </c>
      <c r="HN32" s="475">
        <f>AK32+BA32+BU32+CS32+DI32+EG32+FA32+FU32+GO32</f>
        <v>228150471.74000001</v>
      </c>
      <c r="HO32" s="475">
        <f t="shared" si="55"/>
        <v>41849528.25999999</v>
      </c>
      <c r="HP32" s="476"/>
      <c r="HR32" s="471">
        <f>BD32+BX32+DL32+EJ32+FD32+FX32+GR32</f>
        <v>44150000</v>
      </c>
      <c r="HS32" s="471">
        <f>BE32+BY32+DM32+EK32+FE32+FY32+GS32</f>
        <v>11186000</v>
      </c>
      <c r="HT32" s="471">
        <f t="shared" si="56"/>
        <v>32964000</v>
      </c>
    </row>
    <row r="33" spans="1:228" x14ac:dyDescent="0.25">
      <c r="A33" s="107">
        <v>28</v>
      </c>
      <c r="B33" s="107" t="s">
        <v>92</v>
      </c>
      <c r="C33" s="113" t="s">
        <v>76</v>
      </c>
      <c r="D33" s="488">
        <v>1750000</v>
      </c>
      <c r="E33" s="488">
        <v>1750000</v>
      </c>
      <c r="F33" s="465">
        <f t="shared" si="1"/>
        <v>0</v>
      </c>
      <c r="G33" s="488"/>
      <c r="H33" s="465">
        <v>50000000</v>
      </c>
      <c r="I33" s="465">
        <v>50000000</v>
      </c>
      <c r="J33" s="465">
        <f t="shared" si="2"/>
        <v>0</v>
      </c>
      <c r="K33" s="488"/>
      <c r="L33" s="465">
        <v>50000000</v>
      </c>
      <c r="M33" s="465">
        <v>50000000</v>
      </c>
      <c r="N33" s="465">
        <f t="shared" si="3"/>
        <v>0</v>
      </c>
      <c r="O33" s="488"/>
      <c r="P33" s="465">
        <v>7000000</v>
      </c>
      <c r="Q33" s="465">
        <v>7000000</v>
      </c>
      <c r="R33" s="465">
        <f t="shared" si="4"/>
        <v>0</v>
      </c>
      <c r="S33" s="488"/>
      <c r="T33" s="465">
        <v>0</v>
      </c>
      <c r="U33" s="465">
        <v>0</v>
      </c>
      <c r="V33" s="465">
        <f t="shared" si="5"/>
        <v>0</v>
      </c>
      <c r="W33" s="488"/>
      <c r="X33" s="465">
        <v>60000000</v>
      </c>
      <c r="Y33" s="465">
        <v>60000000</v>
      </c>
      <c r="Z33" s="465">
        <f t="shared" si="6"/>
        <v>0</v>
      </c>
      <c r="AA33" s="488"/>
      <c r="AB33" s="465">
        <v>10000000</v>
      </c>
      <c r="AC33" s="465">
        <v>10000000</v>
      </c>
      <c r="AD33" s="465">
        <f t="shared" si="7"/>
        <v>0</v>
      </c>
      <c r="AE33" s="488"/>
      <c r="AF33" s="465">
        <v>5000000</v>
      </c>
      <c r="AG33" s="465">
        <f>3281000+1719000</f>
        <v>5000000</v>
      </c>
      <c r="AH33" s="465">
        <f t="shared" si="8"/>
        <v>0</v>
      </c>
      <c r="AI33" s="488"/>
      <c r="AJ33" s="465">
        <v>15000000</v>
      </c>
      <c r="AK33" s="465">
        <v>15000000</v>
      </c>
      <c r="AL33" s="465">
        <f t="shared" si="9"/>
        <v>0</v>
      </c>
      <c r="AM33" s="465"/>
      <c r="AN33" s="465">
        <v>80000000</v>
      </c>
      <c r="AO33" s="465">
        <v>80000000</v>
      </c>
      <c r="AP33" s="465">
        <f t="shared" si="10"/>
        <v>0</v>
      </c>
      <c r="AQ33" s="488"/>
      <c r="AR33" s="465">
        <v>10000000</v>
      </c>
      <c r="AS33" s="465">
        <v>10000000</v>
      </c>
      <c r="AT33" s="465">
        <f t="shared" si="11"/>
        <v>0</v>
      </c>
      <c r="AU33" s="488"/>
      <c r="AV33" s="465">
        <v>5000000</v>
      </c>
      <c r="AW33" s="465">
        <f>5000000</f>
        <v>5000000</v>
      </c>
      <c r="AX33" s="465">
        <f t="shared" si="12"/>
        <v>0</v>
      </c>
      <c r="AY33" s="488"/>
      <c r="AZ33" s="465">
        <v>20000000</v>
      </c>
      <c r="BA33" s="465">
        <v>20000000</v>
      </c>
      <c r="BB33" s="465">
        <f t="shared" si="13"/>
        <v>0</v>
      </c>
      <c r="BC33" s="488"/>
      <c r="BD33" s="465">
        <v>5000000</v>
      </c>
      <c r="BE33" s="465">
        <v>2215865</v>
      </c>
      <c r="BF33" s="465">
        <f t="shared" si="14"/>
        <v>2784135</v>
      </c>
      <c r="BG33" s="488"/>
      <c r="BH33" s="465">
        <v>130000000</v>
      </c>
      <c r="BI33" s="465">
        <f>61675848.25+58059370+10264781.75</f>
        <v>130000000</v>
      </c>
      <c r="BJ33" s="465">
        <f t="shared" si="15"/>
        <v>0</v>
      </c>
      <c r="BK33" s="488"/>
      <c r="BL33" s="465">
        <v>10000000</v>
      </c>
      <c r="BM33" s="465">
        <f>4662591.2+3983828.15+1825620-3740000+3267960.65</f>
        <v>10000000</v>
      </c>
      <c r="BN33" s="465">
        <f t="shared" si="16"/>
        <v>0</v>
      </c>
      <c r="BO33" s="488"/>
      <c r="BP33" s="465">
        <v>10000000</v>
      </c>
      <c r="BQ33" s="465">
        <f>2820000+3740000-1719000+1380000</f>
        <v>6221000</v>
      </c>
      <c r="BR33" s="465">
        <f t="shared" si="17"/>
        <v>3779000</v>
      </c>
      <c r="BS33" s="488"/>
      <c r="BT33" s="465">
        <v>40000000</v>
      </c>
      <c r="BU33" s="465">
        <f>20100963.35+16208274+1845954+1844808.65</f>
        <v>40000000</v>
      </c>
      <c r="BV33" s="465">
        <f t="shared" si="18"/>
        <v>0</v>
      </c>
      <c r="BW33" s="488"/>
      <c r="BX33" s="465">
        <v>5000000</v>
      </c>
      <c r="BY33" s="465">
        <v>0</v>
      </c>
      <c r="BZ33" s="465">
        <f t="shared" si="19"/>
        <v>5000000</v>
      </c>
      <c r="CA33" s="488"/>
      <c r="CB33" s="465">
        <v>0</v>
      </c>
      <c r="CC33" s="465">
        <v>0</v>
      </c>
      <c r="CD33" s="465">
        <f t="shared" si="20"/>
        <v>0</v>
      </c>
      <c r="CE33" s="488"/>
      <c r="CF33" s="465">
        <f t="shared" si="21"/>
        <v>140000000</v>
      </c>
      <c r="CG33" s="465">
        <f>38256978.25+56470185.3+3000000+32677242+9595594.45</f>
        <v>140000000</v>
      </c>
      <c r="CH33" s="465">
        <f t="shared" si="22"/>
        <v>0</v>
      </c>
      <c r="CI33" s="488"/>
      <c r="CJ33" s="465">
        <v>20000000</v>
      </c>
      <c r="CK33" s="465">
        <f>9950822.35+3994812+6054365.65</f>
        <v>20000000</v>
      </c>
      <c r="CL33" s="465">
        <f t="shared" si="23"/>
        <v>0</v>
      </c>
      <c r="CM33" s="488"/>
      <c r="CN33" s="465">
        <v>10000000</v>
      </c>
      <c r="CO33" s="465">
        <v>0</v>
      </c>
      <c r="CP33" s="465">
        <f t="shared" si="24"/>
        <v>10000000</v>
      </c>
      <c r="CQ33" s="488"/>
      <c r="CR33" s="465">
        <v>40000000</v>
      </c>
      <c r="CS33" s="465">
        <f>34931966.35+4974130+93903.65</f>
        <v>40000000</v>
      </c>
      <c r="CT33" s="465">
        <f t="shared" si="25"/>
        <v>0</v>
      </c>
      <c r="CU33" s="488"/>
      <c r="CV33" s="465">
        <v>150000000</v>
      </c>
      <c r="CW33" s="465">
        <f>83764205.55+9027000+14194470+17058350-17058350+4510200-4510200+17058350+4510200+19500000+1945774.45</f>
        <v>150000000</v>
      </c>
      <c r="CX33" s="465">
        <f t="shared" si="26"/>
        <v>0</v>
      </c>
      <c r="CY33" s="488"/>
      <c r="CZ33" s="465">
        <v>20000000</v>
      </c>
      <c r="DA33" s="465">
        <f>5295002.75+9909150+4795847.25</f>
        <v>20000000</v>
      </c>
      <c r="DB33" s="465">
        <f t="shared" si="27"/>
        <v>0</v>
      </c>
      <c r="DC33" s="465"/>
      <c r="DD33" s="465">
        <v>10000000</v>
      </c>
      <c r="DE33" s="465">
        <v>0</v>
      </c>
      <c r="DF33" s="465">
        <f t="shared" si="28"/>
        <v>10000000</v>
      </c>
      <c r="DG33" s="488"/>
      <c r="DH33" s="465">
        <v>50000000</v>
      </c>
      <c r="DI33" s="465">
        <f>17184581.35+6833400+9345760+12796055</f>
        <v>46159796.350000001</v>
      </c>
      <c r="DJ33" s="465">
        <f t="shared" si="29"/>
        <v>3840203.6499999985</v>
      </c>
      <c r="DK33" s="465"/>
      <c r="DL33" s="465">
        <v>10000000</v>
      </c>
      <c r="DM33" s="465">
        <v>0</v>
      </c>
      <c r="DN33" s="465">
        <f t="shared" si="30"/>
        <v>10000000</v>
      </c>
      <c r="DO33" s="488"/>
      <c r="DP33" s="465">
        <v>0</v>
      </c>
      <c r="DQ33" s="465">
        <v>0</v>
      </c>
      <c r="DR33" s="465">
        <f t="shared" si="31"/>
        <v>0</v>
      </c>
      <c r="DS33" s="465"/>
      <c r="DT33" s="465">
        <v>100000000</v>
      </c>
      <c r="DU33" s="465">
        <f>12600000+19636000+67764000</f>
        <v>100000000</v>
      </c>
      <c r="DV33" s="465">
        <f t="shared" si="32"/>
        <v>0</v>
      </c>
      <c r="DW33" s="465"/>
      <c r="DX33" s="465">
        <v>15000000</v>
      </c>
      <c r="DY33" s="465">
        <f>2478552.75+508560+1128000+10884887.25</f>
        <v>15000000</v>
      </c>
      <c r="DZ33" s="465">
        <f t="shared" si="33"/>
        <v>0</v>
      </c>
      <c r="EA33" s="465"/>
      <c r="EB33" s="465">
        <v>10000000</v>
      </c>
      <c r="EC33" s="465">
        <v>0</v>
      </c>
      <c r="ED33" s="465">
        <f t="shared" si="34"/>
        <v>10000000</v>
      </c>
      <c r="EE33" s="465"/>
      <c r="EF33" s="465">
        <v>25000000</v>
      </c>
      <c r="EG33" s="465">
        <f>13273500+5192045+6534455</f>
        <v>25000000</v>
      </c>
      <c r="EH33" s="465">
        <f t="shared" si="35"/>
        <v>0</v>
      </c>
      <c r="EI33" s="465"/>
      <c r="EJ33" s="465">
        <v>10000000</v>
      </c>
      <c r="EK33" s="465">
        <v>0</v>
      </c>
      <c r="EL33" s="465">
        <f t="shared" si="36"/>
        <v>10000000</v>
      </c>
      <c r="EM33" s="488"/>
      <c r="EN33" s="465">
        <v>300000000</v>
      </c>
      <c r="EO33" s="465">
        <f>4875200+45514514.5+1654225.55+22607431+116170842.15+8100000+62750880</f>
        <v>261673093.19999999</v>
      </c>
      <c r="EP33" s="465">
        <f t="shared" si="37"/>
        <v>38326906.800000012</v>
      </c>
      <c r="EQ33" s="465"/>
      <c r="ER33" s="465">
        <v>25000000</v>
      </c>
      <c r="ES33" s="465">
        <f>3581982.75</f>
        <v>3581982.75</v>
      </c>
      <c r="ET33" s="465">
        <f t="shared" si="38"/>
        <v>21418017.25</v>
      </c>
      <c r="EU33" s="488"/>
      <c r="EV33" s="465">
        <v>10000000</v>
      </c>
      <c r="EW33" s="465">
        <v>0</v>
      </c>
      <c r="EX33" s="465">
        <f t="shared" si="39"/>
        <v>10000000</v>
      </c>
      <c r="EY33" s="488"/>
      <c r="EZ33" s="465">
        <v>30000000</v>
      </c>
      <c r="FA33" s="465">
        <f>3553780+10237790+356835+5860020+9991575</f>
        <v>30000000</v>
      </c>
      <c r="FB33" s="465">
        <f t="shared" si="40"/>
        <v>0</v>
      </c>
      <c r="FC33" s="488"/>
      <c r="FD33" s="465">
        <v>5000000</v>
      </c>
      <c r="FE33" s="465">
        <v>0</v>
      </c>
      <c r="FF33" s="465">
        <f t="shared" si="41"/>
        <v>5000000</v>
      </c>
      <c r="FG33" s="465"/>
      <c r="FH33" s="463">
        <v>120000000</v>
      </c>
      <c r="FI33" s="463">
        <v>0</v>
      </c>
      <c r="FJ33" s="463">
        <f t="shared" si="0"/>
        <v>120000000</v>
      </c>
      <c r="FK33" s="468"/>
      <c r="FL33" s="468">
        <v>25000000</v>
      </c>
      <c r="FM33" s="468">
        <v>0</v>
      </c>
      <c r="FN33" s="468">
        <f t="shared" si="60"/>
        <v>25000000</v>
      </c>
      <c r="FO33" s="468"/>
      <c r="FP33" s="468">
        <v>5000000</v>
      </c>
      <c r="FQ33" s="468">
        <v>0</v>
      </c>
      <c r="FR33" s="468">
        <f t="shared" si="61"/>
        <v>5000000</v>
      </c>
      <c r="FS33" s="468"/>
      <c r="FT33" s="468">
        <v>30000000</v>
      </c>
      <c r="FU33" s="489">
        <f>8033060+107264.45+21859675.55</f>
        <v>30000000</v>
      </c>
      <c r="FV33" s="468">
        <f t="shared" si="62"/>
        <v>0</v>
      </c>
      <c r="FW33" s="468"/>
      <c r="FX33" s="468">
        <v>4150000</v>
      </c>
      <c r="FY33" s="468">
        <v>0</v>
      </c>
      <c r="FZ33" s="468">
        <v>4150000</v>
      </c>
      <c r="GA33" s="468"/>
      <c r="GB33" s="468">
        <v>160000000</v>
      </c>
      <c r="GC33" s="468">
        <v>0</v>
      </c>
      <c r="GD33" s="468">
        <f t="shared" si="45"/>
        <v>160000000</v>
      </c>
      <c r="GE33" s="468"/>
      <c r="GF33" s="468">
        <v>25000000</v>
      </c>
      <c r="GG33" s="468">
        <v>0</v>
      </c>
      <c r="GH33" s="468">
        <f t="shared" si="46"/>
        <v>25000000</v>
      </c>
      <c r="GI33" s="468"/>
      <c r="GJ33" s="468">
        <v>5000000</v>
      </c>
      <c r="GK33" s="468">
        <v>0</v>
      </c>
      <c r="GL33" s="468">
        <f t="shared" si="47"/>
        <v>5000000</v>
      </c>
      <c r="GM33" s="468"/>
      <c r="GN33" s="468">
        <v>20000000</v>
      </c>
      <c r="GO33" s="489">
        <f>18714287.45</f>
        <v>18714287.449999999</v>
      </c>
      <c r="GP33" s="468">
        <f t="shared" si="48"/>
        <v>1285712.5500000007</v>
      </c>
      <c r="GQ33" s="468"/>
      <c r="GR33" s="468">
        <v>5000000</v>
      </c>
      <c r="GS33" s="468">
        <v>0</v>
      </c>
      <c r="GT33" s="468">
        <f t="shared" si="49"/>
        <v>5000000</v>
      </c>
      <c r="GU33" s="468"/>
      <c r="GV33" s="465">
        <f t="shared" si="50"/>
        <v>1892900000</v>
      </c>
      <c r="GW33" s="465">
        <f t="shared" si="50"/>
        <v>1402316024.75</v>
      </c>
      <c r="GX33" s="465">
        <f t="shared" si="51"/>
        <v>490583975.25</v>
      </c>
      <c r="GY33" s="470"/>
      <c r="GZ33" s="464"/>
      <c r="HA33" s="471">
        <f>D33+H33+L33+X33+AN33+BH33+CB33+CF33+CV33+DP33+DT33+EN33+FH33+GB33</f>
        <v>1341750000</v>
      </c>
      <c r="HB33" s="471">
        <f>E33+I33+M33+Y33+AO33+BI33+CC33+CG33+CW33+DQ33+DU33+EO33+FI33+GC33</f>
        <v>1023423093.2</v>
      </c>
      <c r="HC33" s="471">
        <f t="shared" si="52"/>
        <v>318326906.79999995</v>
      </c>
      <c r="HE33" s="471">
        <f>P33+AB33+AR33+
BL33+CJ33+CZ33+DX33+ER33+FL33+GF33</f>
        <v>167000000</v>
      </c>
      <c r="HF33" s="471">
        <f>Q33+AC33+AS33+
BM33+CK33+DA33+DY33+ES33+FM33+GG33</f>
        <v>95581982.75</v>
      </c>
      <c r="HG33" s="471">
        <f t="shared" si="53"/>
        <v>71418017.25</v>
      </c>
      <c r="HI33" s="471">
        <f>T33+AF33+AV33+BP33+CN33+DD33+EB33+EV33+FP33+GJ33</f>
        <v>70000000</v>
      </c>
      <c r="HJ33" s="471">
        <f>U33+AG33+AW33+BQ33+CO33+DE33+EC33+EW33+FQ33+GK33</f>
        <v>16221000</v>
      </c>
      <c r="HK33" s="471">
        <f t="shared" si="54"/>
        <v>53779000</v>
      </c>
      <c r="HM33" s="475">
        <f>AJ33+AZ33+BT33+CR33+DH33+EF33+EZ33+FT33+GN33</f>
        <v>270000000</v>
      </c>
      <c r="HN33" s="475">
        <f>AK33+BA33+BU33+CS33+DI33+EG33+FA33+FU33+GO33</f>
        <v>264874083.79999998</v>
      </c>
      <c r="HO33" s="475">
        <f t="shared" si="55"/>
        <v>5125916.2000000179</v>
      </c>
      <c r="HP33" s="476"/>
      <c r="HR33" s="471">
        <f>BD33+BX33+DL33+EJ33+FD33+FX33+GR33</f>
        <v>44150000</v>
      </c>
      <c r="HS33" s="471">
        <f>BE33+BY33+DM33+EK33+FE33+FY33+GS33</f>
        <v>2215865</v>
      </c>
      <c r="HT33" s="471">
        <f t="shared" si="56"/>
        <v>41934135</v>
      </c>
    </row>
    <row r="34" spans="1:228" x14ac:dyDescent="0.25">
      <c r="A34" s="107">
        <v>29</v>
      </c>
      <c r="B34" s="107" t="s">
        <v>93</v>
      </c>
      <c r="C34" s="113" t="s">
        <v>69</v>
      </c>
      <c r="D34" s="465">
        <v>0</v>
      </c>
      <c r="E34" s="465">
        <v>0</v>
      </c>
      <c r="F34" s="465">
        <f t="shared" si="1"/>
        <v>0</v>
      </c>
      <c r="G34" s="465"/>
      <c r="H34" s="465">
        <v>50000000</v>
      </c>
      <c r="I34" s="465">
        <v>50000000</v>
      </c>
      <c r="J34" s="465">
        <f t="shared" si="2"/>
        <v>0</v>
      </c>
      <c r="K34" s="465"/>
      <c r="L34" s="465">
        <v>50000000</v>
      </c>
      <c r="M34" s="465">
        <v>50000000</v>
      </c>
      <c r="N34" s="465">
        <f t="shared" si="3"/>
        <v>0</v>
      </c>
      <c r="O34" s="465"/>
      <c r="P34" s="465">
        <v>1275000</v>
      </c>
      <c r="Q34" s="465">
        <v>1275000</v>
      </c>
      <c r="R34" s="465">
        <f t="shared" si="4"/>
        <v>0</v>
      </c>
      <c r="S34" s="465"/>
      <c r="T34" s="465">
        <f>3000000-3000000</f>
        <v>0</v>
      </c>
      <c r="U34" s="465">
        <v>0</v>
      </c>
      <c r="V34" s="465">
        <f t="shared" si="5"/>
        <v>0</v>
      </c>
      <c r="W34" s="465"/>
      <c r="X34" s="465">
        <v>60000000</v>
      </c>
      <c r="Y34" s="465">
        <v>60000000</v>
      </c>
      <c r="Z34" s="465">
        <f t="shared" si="6"/>
        <v>0</v>
      </c>
      <c r="AA34" s="465"/>
      <c r="AB34" s="465">
        <f>10000000-10000000</f>
        <v>0</v>
      </c>
      <c r="AC34" s="465">
        <v>0</v>
      </c>
      <c r="AD34" s="465">
        <f t="shared" si="7"/>
        <v>0</v>
      </c>
      <c r="AE34" s="465"/>
      <c r="AF34" s="465">
        <f>5000000-5000000</f>
        <v>0</v>
      </c>
      <c r="AG34" s="465">
        <v>0</v>
      </c>
      <c r="AH34" s="465">
        <f t="shared" si="8"/>
        <v>0</v>
      </c>
      <c r="AI34" s="465"/>
      <c r="AJ34" s="465">
        <v>15000000</v>
      </c>
      <c r="AK34" s="465">
        <v>15000000</v>
      </c>
      <c r="AL34" s="465">
        <f t="shared" si="9"/>
        <v>0</v>
      </c>
      <c r="AM34" s="465"/>
      <c r="AN34" s="465">
        <v>80000000</v>
      </c>
      <c r="AO34" s="465">
        <v>80000000</v>
      </c>
      <c r="AP34" s="465">
        <f t="shared" si="10"/>
        <v>0</v>
      </c>
      <c r="AQ34" s="465"/>
      <c r="AR34" s="465">
        <v>10000000</v>
      </c>
      <c r="AS34" s="465">
        <v>10000000</v>
      </c>
      <c r="AT34" s="465">
        <f t="shared" si="11"/>
        <v>0</v>
      </c>
      <c r="AU34" s="465"/>
      <c r="AV34" s="465">
        <v>5000000</v>
      </c>
      <c r="AW34" s="496">
        <v>1764300</v>
      </c>
      <c r="AX34" s="465">
        <f t="shared" si="12"/>
        <v>3235700</v>
      </c>
      <c r="AY34" s="465"/>
      <c r="AZ34" s="465">
        <v>20000000</v>
      </c>
      <c r="BA34" s="465">
        <v>20000000</v>
      </c>
      <c r="BB34" s="465">
        <f t="shared" si="13"/>
        <v>0</v>
      </c>
      <c r="BC34" s="465"/>
      <c r="BD34" s="465">
        <v>5000000</v>
      </c>
      <c r="BE34" s="478">
        <v>5000000</v>
      </c>
      <c r="BF34" s="465">
        <f t="shared" si="14"/>
        <v>0</v>
      </c>
      <c r="BG34" s="465"/>
      <c r="BH34" s="465">
        <v>130000000</v>
      </c>
      <c r="BI34" s="498">
        <f>26541121+83638000+19820879</f>
        <v>130000000</v>
      </c>
      <c r="BJ34" s="465">
        <f t="shared" si="15"/>
        <v>0</v>
      </c>
      <c r="BK34" s="465"/>
      <c r="BL34" s="465">
        <v>10000000</v>
      </c>
      <c r="BM34" s="465">
        <v>7076540</v>
      </c>
      <c r="BN34" s="465">
        <f t="shared" si="16"/>
        <v>2923460</v>
      </c>
      <c r="BO34" s="465"/>
      <c r="BP34" s="465">
        <v>10000000</v>
      </c>
      <c r="BQ34" s="465">
        <v>9997700</v>
      </c>
      <c r="BR34" s="465">
        <f t="shared" si="17"/>
        <v>2300</v>
      </c>
      <c r="BS34" s="465"/>
      <c r="BT34" s="465">
        <v>40000000</v>
      </c>
      <c r="BU34" s="465">
        <f>11866856+18630606.82+8582742.4+919794.78</f>
        <v>40000000</v>
      </c>
      <c r="BV34" s="465">
        <f t="shared" si="18"/>
        <v>0</v>
      </c>
      <c r="BW34" s="465"/>
      <c r="BX34" s="465">
        <v>5000000</v>
      </c>
      <c r="BY34" s="478">
        <f>4214425</f>
        <v>4214425</v>
      </c>
      <c r="BZ34" s="465">
        <f t="shared" si="19"/>
        <v>785575</v>
      </c>
      <c r="CA34" s="465"/>
      <c r="CB34" s="465">
        <v>0</v>
      </c>
      <c r="CC34" s="465">
        <v>0</v>
      </c>
      <c r="CD34" s="465">
        <f t="shared" si="20"/>
        <v>0</v>
      </c>
      <c r="CE34" s="465"/>
      <c r="CF34" s="465">
        <v>0</v>
      </c>
      <c r="CG34" s="465">
        <v>0</v>
      </c>
      <c r="CH34" s="465">
        <f t="shared" si="22"/>
        <v>0</v>
      </c>
      <c r="CI34" s="465"/>
      <c r="CJ34" s="465">
        <v>0</v>
      </c>
      <c r="CK34" s="465">
        <v>0</v>
      </c>
      <c r="CL34" s="465">
        <f t="shared" si="23"/>
        <v>0</v>
      </c>
      <c r="CM34" s="465"/>
      <c r="CN34" s="465">
        <v>0</v>
      </c>
      <c r="CO34" s="465">
        <v>0</v>
      </c>
      <c r="CP34" s="465">
        <f t="shared" si="24"/>
        <v>0</v>
      </c>
      <c r="CQ34" s="465"/>
      <c r="CR34" s="465">
        <v>0</v>
      </c>
      <c r="CS34" s="465">
        <v>0</v>
      </c>
      <c r="CT34" s="465">
        <f t="shared" si="25"/>
        <v>0</v>
      </c>
      <c r="CU34" s="465"/>
      <c r="CV34" s="465">
        <v>150000000</v>
      </c>
      <c r="CW34" s="465">
        <f>97313740+15157400+4000000+9000000+4896000+19632860</f>
        <v>150000000</v>
      </c>
      <c r="CX34" s="465">
        <f t="shared" si="26"/>
        <v>0</v>
      </c>
      <c r="CY34" s="465"/>
      <c r="CZ34" s="465">
        <v>20000000</v>
      </c>
      <c r="DA34" s="465">
        <v>0</v>
      </c>
      <c r="DB34" s="465">
        <f t="shared" si="27"/>
        <v>20000000</v>
      </c>
      <c r="DC34" s="465"/>
      <c r="DD34" s="465">
        <v>10000000</v>
      </c>
      <c r="DE34" s="465">
        <v>0</v>
      </c>
      <c r="DF34" s="465">
        <f t="shared" si="28"/>
        <v>10000000</v>
      </c>
      <c r="DG34" s="465"/>
      <c r="DH34" s="465">
        <v>50000000</v>
      </c>
      <c r="DI34" s="465">
        <f>6249660+5107440+12664238+3245466+19260602.08+1576285+1583075</f>
        <v>49686766.079999998</v>
      </c>
      <c r="DJ34" s="465">
        <f t="shared" si="29"/>
        <v>313233.92000000179</v>
      </c>
      <c r="DK34" s="465"/>
      <c r="DL34" s="465">
        <v>10000000</v>
      </c>
      <c r="DM34" s="465">
        <v>0</v>
      </c>
      <c r="DN34" s="465">
        <f t="shared" si="30"/>
        <v>10000000</v>
      </c>
      <c r="DO34" s="465"/>
      <c r="DP34" s="465">
        <v>0</v>
      </c>
      <c r="DQ34" s="465">
        <v>0</v>
      </c>
      <c r="DR34" s="465">
        <f t="shared" si="31"/>
        <v>0</v>
      </c>
      <c r="DS34" s="465"/>
      <c r="DT34" s="465">
        <v>0</v>
      </c>
      <c r="DU34" s="465">
        <v>0</v>
      </c>
      <c r="DV34" s="465">
        <f t="shared" si="32"/>
        <v>0</v>
      </c>
      <c r="DW34" s="465"/>
      <c r="DX34" s="465">
        <v>0</v>
      </c>
      <c r="DY34" s="465">
        <v>0</v>
      </c>
      <c r="DZ34" s="465">
        <f t="shared" si="33"/>
        <v>0</v>
      </c>
      <c r="EA34" s="465"/>
      <c r="EB34" s="465">
        <v>0</v>
      </c>
      <c r="EC34" s="465">
        <v>0</v>
      </c>
      <c r="ED34" s="465">
        <f t="shared" si="34"/>
        <v>0</v>
      </c>
      <c r="EE34" s="465"/>
      <c r="EF34" s="465">
        <v>0</v>
      </c>
      <c r="EG34" s="465">
        <v>0</v>
      </c>
      <c r="EH34" s="465">
        <f t="shared" si="35"/>
        <v>0</v>
      </c>
      <c r="EI34" s="465"/>
      <c r="EJ34" s="465">
        <v>0</v>
      </c>
      <c r="EK34" s="465">
        <v>0</v>
      </c>
      <c r="EL34" s="465">
        <f t="shared" si="36"/>
        <v>0</v>
      </c>
      <c r="EM34" s="465"/>
      <c r="EN34" s="465">
        <v>300000000</v>
      </c>
      <c r="EO34" s="465">
        <f>2876690+76185500+33926750+17189675</f>
        <v>130178615</v>
      </c>
      <c r="EP34" s="465">
        <f t="shared" si="37"/>
        <v>169821385</v>
      </c>
      <c r="EQ34" s="465"/>
      <c r="ER34" s="465">
        <v>25000000</v>
      </c>
      <c r="ES34" s="465">
        <v>0</v>
      </c>
      <c r="ET34" s="465">
        <f t="shared" si="38"/>
        <v>25000000</v>
      </c>
      <c r="EU34" s="465"/>
      <c r="EV34" s="465">
        <v>10000000</v>
      </c>
      <c r="EW34" s="465">
        <v>0</v>
      </c>
      <c r="EX34" s="465">
        <f t="shared" si="39"/>
        <v>10000000</v>
      </c>
      <c r="EY34" s="465"/>
      <c r="EZ34" s="465">
        <v>30000000</v>
      </c>
      <c r="FA34" s="483">
        <f>1915955+3104100+3683010+2498350+6131410</f>
        <v>17332825</v>
      </c>
      <c r="FB34" s="465">
        <f t="shared" si="40"/>
        <v>12667175</v>
      </c>
      <c r="FC34" s="465"/>
      <c r="FD34" s="465">
        <v>5000000</v>
      </c>
      <c r="FE34" s="465">
        <v>0</v>
      </c>
      <c r="FF34" s="465">
        <f t="shared" si="41"/>
        <v>5000000</v>
      </c>
      <c r="FG34" s="465"/>
      <c r="FH34" s="468"/>
      <c r="FI34" s="463">
        <v>0</v>
      </c>
      <c r="FJ34" s="463">
        <f t="shared" si="0"/>
        <v>0</v>
      </c>
      <c r="FK34" s="468"/>
      <c r="FL34" s="468"/>
      <c r="FM34" s="468">
        <v>0</v>
      </c>
      <c r="FN34" s="468">
        <f t="shared" si="60"/>
        <v>0</v>
      </c>
      <c r="FO34" s="468"/>
      <c r="FP34" s="468"/>
      <c r="FQ34" s="468"/>
      <c r="FR34" s="468"/>
      <c r="FS34" s="468"/>
      <c r="FT34" s="468"/>
      <c r="FU34" s="468"/>
      <c r="FV34" s="468"/>
      <c r="FW34" s="468"/>
      <c r="FX34" s="468"/>
      <c r="FY34" s="468"/>
      <c r="FZ34" s="468"/>
      <c r="GA34" s="468"/>
      <c r="GB34" s="468">
        <v>160000000</v>
      </c>
      <c r="GC34" s="468">
        <v>0</v>
      </c>
      <c r="GD34" s="468">
        <f t="shared" si="45"/>
        <v>160000000</v>
      </c>
      <c r="GE34" s="468"/>
      <c r="GF34" s="468">
        <v>25000000</v>
      </c>
      <c r="GG34" s="468">
        <v>0</v>
      </c>
      <c r="GH34" s="468">
        <f t="shared" si="46"/>
        <v>25000000</v>
      </c>
      <c r="GI34" s="468"/>
      <c r="GJ34" s="468">
        <v>5000000</v>
      </c>
      <c r="GK34" s="468">
        <v>0</v>
      </c>
      <c r="GL34" s="468">
        <f t="shared" si="47"/>
        <v>5000000</v>
      </c>
      <c r="GM34" s="468"/>
      <c r="GN34" s="468">
        <v>20000000</v>
      </c>
      <c r="GO34" s="468">
        <v>0</v>
      </c>
      <c r="GP34" s="468">
        <f t="shared" si="48"/>
        <v>20000000</v>
      </c>
      <c r="GQ34" s="468"/>
      <c r="GR34" s="468">
        <v>5000000</v>
      </c>
      <c r="GS34" s="468">
        <v>0</v>
      </c>
      <c r="GT34" s="468">
        <f t="shared" si="49"/>
        <v>5000000</v>
      </c>
      <c r="GU34" s="468"/>
      <c r="GV34" s="465">
        <f t="shared" si="50"/>
        <v>1316275000</v>
      </c>
      <c r="GW34" s="465">
        <f t="shared" si="50"/>
        <v>831526171.08000004</v>
      </c>
      <c r="GX34" s="465">
        <f t="shared" si="51"/>
        <v>484748828.91999996</v>
      </c>
      <c r="GY34" s="470"/>
      <c r="GZ34" s="464"/>
      <c r="HA34" s="471">
        <f>D34+H34+L34+X34+AN34+BH34+CB34+CF34+CV34+DP34+DT34+EN34+FH34+GB34</f>
        <v>980000000</v>
      </c>
      <c r="HB34" s="471">
        <f>E34+I34+M34+Y34+AO34+BI34+CC34+CG34+CW34+DQ34+DU34+EO34+FI34+GC34</f>
        <v>650178615</v>
      </c>
      <c r="HC34" s="471">
        <f t="shared" si="52"/>
        <v>329821385</v>
      </c>
      <c r="HE34" s="471">
        <f>P34+AB34+AR34+
BL34+CJ34+CZ34+DX34+ER34+FL34+GF34</f>
        <v>91275000</v>
      </c>
      <c r="HF34" s="471">
        <f>Q34+AC34+AS34+
BM34+CK34+DA34+DY34+ES34+FM34+GG34</f>
        <v>18351540</v>
      </c>
      <c r="HG34" s="471">
        <f t="shared" si="53"/>
        <v>72923460</v>
      </c>
      <c r="HI34" s="471">
        <f>T34+AF34+AV34+BP34+CN34+DD34+EB34+EV34+FP34+GJ34</f>
        <v>40000000</v>
      </c>
      <c r="HJ34" s="471">
        <f>U34+AG34+AW34+BQ34+CO34+DE34+EC34+EW34+FQ34+GK34</f>
        <v>11762000</v>
      </c>
      <c r="HK34" s="471">
        <f t="shared" si="54"/>
        <v>28238000</v>
      </c>
      <c r="HM34" s="475">
        <f>AJ34+AZ34+BT34+CR34+DH34+EF34+EZ34+FT34+GN34</f>
        <v>175000000</v>
      </c>
      <c r="HN34" s="475">
        <f>AK34+BA34+BU34+CS34+DI34+EG34+FA34+FU34+GO34</f>
        <v>142019591.07999998</v>
      </c>
      <c r="HO34" s="475">
        <f t="shared" si="55"/>
        <v>32980408.920000017</v>
      </c>
      <c r="HP34" s="476"/>
      <c r="HR34" s="471">
        <f>BD34+BX34+DL34+EJ34+FD34+FX34+GR34</f>
        <v>30000000</v>
      </c>
      <c r="HS34" s="471">
        <f>BE34+BY34+DM34+EK34+FE34+FY34+GS34</f>
        <v>9214425</v>
      </c>
      <c r="HT34" s="471">
        <f t="shared" si="56"/>
        <v>20785575</v>
      </c>
    </row>
    <row r="35" spans="1:228" x14ac:dyDescent="0.25">
      <c r="A35" s="107">
        <v>30</v>
      </c>
      <c r="B35" s="107" t="s">
        <v>478</v>
      </c>
      <c r="C35" s="113" t="s">
        <v>69</v>
      </c>
      <c r="D35" s="488">
        <v>1750000</v>
      </c>
      <c r="E35" s="488">
        <v>1750000</v>
      </c>
      <c r="F35" s="465">
        <f t="shared" si="1"/>
        <v>0</v>
      </c>
      <c r="G35" s="488"/>
      <c r="H35" s="498">
        <v>50000000</v>
      </c>
      <c r="I35" s="465">
        <v>50000000</v>
      </c>
      <c r="J35" s="465">
        <f t="shared" si="2"/>
        <v>0</v>
      </c>
      <c r="K35" s="488"/>
      <c r="L35" s="498">
        <v>50000000</v>
      </c>
      <c r="M35" s="465">
        <v>50000000</v>
      </c>
      <c r="N35" s="465">
        <f t="shared" si="3"/>
        <v>0</v>
      </c>
      <c r="O35" s="488"/>
      <c r="P35" s="498">
        <v>7000000</v>
      </c>
      <c r="Q35" s="465">
        <f>4700000+2300000</f>
        <v>7000000</v>
      </c>
      <c r="R35" s="465">
        <f t="shared" si="4"/>
        <v>0</v>
      </c>
      <c r="S35" s="488"/>
      <c r="T35" s="465">
        <f>3000000-3000000</f>
        <v>0</v>
      </c>
      <c r="U35" s="465">
        <v>0</v>
      </c>
      <c r="V35" s="465">
        <f t="shared" si="5"/>
        <v>0</v>
      </c>
      <c r="W35" s="488"/>
      <c r="X35" s="498">
        <v>60000000</v>
      </c>
      <c r="Y35" s="465">
        <v>60000000</v>
      </c>
      <c r="Z35" s="465">
        <f t="shared" si="6"/>
        <v>0</v>
      </c>
      <c r="AA35" s="488"/>
      <c r="AB35" s="498">
        <v>10000000</v>
      </c>
      <c r="AC35" s="465">
        <f>3200000+6800000</f>
        <v>10000000</v>
      </c>
      <c r="AD35" s="465">
        <f t="shared" si="7"/>
        <v>0</v>
      </c>
      <c r="AE35" s="488"/>
      <c r="AF35" s="465">
        <f>5000000-5000000</f>
        <v>0</v>
      </c>
      <c r="AG35" s="465">
        <v>0</v>
      </c>
      <c r="AH35" s="465">
        <f t="shared" si="8"/>
        <v>0</v>
      </c>
      <c r="AI35" s="488"/>
      <c r="AJ35" s="498">
        <v>15000000</v>
      </c>
      <c r="AK35" s="465">
        <v>15000000</v>
      </c>
      <c r="AL35" s="465">
        <f t="shared" si="9"/>
        <v>0</v>
      </c>
      <c r="AM35" s="498"/>
      <c r="AN35" s="465">
        <v>80000000</v>
      </c>
      <c r="AO35" s="465">
        <v>80000000</v>
      </c>
      <c r="AP35" s="465">
        <f t="shared" si="10"/>
        <v>0</v>
      </c>
      <c r="AQ35" s="488"/>
      <c r="AR35" s="498">
        <v>10000000</v>
      </c>
      <c r="AS35" s="465">
        <f>2800000+7200000</f>
        <v>10000000</v>
      </c>
      <c r="AT35" s="465">
        <f t="shared" si="11"/>
        <v>0</v>
      </c>
      <c r="AU35" s="488"/>
      <c r="AV35" s="498">
        <v>5000000</v>
      </c>
      <c r="AW35" s="465">
        <v>0</v>
      </c>
      <c r="AX35" s="465">
        <f t="shared" si="12"/>
        <v>5000000</v>
      </c>
      <c r="AY35" s="488"/>
      <c r="AZ35" s="498">
        <v>20000000</v>
      </c>
      <c r="BA35" s="465">
        <f>8497515+9495771.7+2006713.3</f>
        <v>20000000</v>
      </c>
      <c r="BB35" s="465">
        <f t="shared" si="13"/>
        <v>0</v>
      </c>
      <c r="BC35" s="488"/>
      <c r="BD35" s="465">
        <v>5000000</v>
      </c>
      <c r="BE35" s="465">
        <f>3264000+450000+576000</f>
        <v>4290000</v>
      </c>
      <c r="BF35" s="465">
        <f t="shared" si="14"/>
        <v>710000</v>
      </c>
      <c r="BG35" s="488"/>
      <c r="BH35" s="465">
        <v>130000000</v>
      </c>
      <c r="BI35" s="465">
        <f>128636220+1363780</f>
        <v>130000000</v>
      </c>
      <c r="BJ35" s="465">
        <f t="shared" si="15"/>
        <v>0</v>
      </c>
      <c r="BK35" s="488"/>
      <c r="BL35" s="465">
        <v>10000000</v>
      </c>
      <c r="BM35" s="465">
        <f>4118145</f>
        <v>4118145</v>
      </c>
      <c r="BN35" s="465">
        <f t="shared" si="16"/>
        <v>5881855</v>
      </c>
      <c r="BO35" s="488"/>
      <c r="BP35" s="465">
        <v>10000000</v>
      </c>
      <c r="BQ35" s="465">
        <v>0</v>
      </c>
      <c r="BR35" s="465">
        <f t="shared" si="17"/>
        <v>10000000</v>
      </c>
      <c r="BS35" s="488"/>
      <c r="BT35" s="465">
        <v>40000000</v>
      </c>
      <c r="BU35" s="465">
        <f>37284184.2+2715815.8</f>
        <v>40000000</v>
      </c>
      <c r="BV35" s="465">
        <f t="shared" si="18"/>
        <v>0</v>
      </c>
      <c r="BW35" s="465"/>
      <c r="BX35" s="465">
        <v>5000000</v>
      </c>
      <c r="BY35" s="465">
        <v>0</v>
      </c>
      <c r="BZ35" s="465">
        <f t="shared" si="19"/>
        <v>5000000</v>
      </c>
      <c r="CA35" s="488"/>
      <c r="CB35" s="465">
        <v>0</v>
      </c>
      <c r="CC35" s="465">
        <v>0</v>
      </c>
      <c r="CD35" s="465">
        <f t="shared" si="20"/>
        <v>0</v>
      </c>
      <c r="CE35" s="488"/>
      <c r="CF35" s="465">
        <f t="shared" si="21"/>
        <v>140000000</v>
      </c>
      <c r="CG35" s="465">
        <f>139671124+328876</f>
        <v>140000000</v>
      </c>
      <c r="CH35" s="465">
        <f t="shared" si="22"/>
        <v>0</v>
      </c>
      <c r="CI35" s="488"/>
      <c r="CJ35" s="465">
        <v>20000000</v>
      </c>
      <c r="CK35" s="465">
        <v>20000000</v>
      </c>
      <c r="CL35" s="465">
        <f t="shared" si="23"/>
        <v>0</v>
      </c>
      <c r="CM35" s="488"/>
      <c r="CN35" s="465">
        <v>10000000</v>
      </c>
      <c r="CO35" s="465">
        <v>0</v>
      </c>
      <c r="CP35" s="465">
        <f t="shared" si="24"/>
        <v>10000000</v>
      </c>
      <c r="CQ35" s="488"/>
      <c r="CR35" s="465">
        <v>40000000</v>
      </c>
      <c r="CS35" s="465">
        <f>69899.2+5437330+17686960+15049025+1756785.8</f>
        <v>40000000</v>
      </c>
      <c r="CT35" s="465">
        <f t="shared" si="25"/>
        <v>0</v>
      </c>
      <c r="CU35" s="488"/>
      <c r="CV35" s="465">
        <v>150000000</v>
      </c>
      <c r="CW35" s="465">
        <f>18340049+127579135+4080816</f>
        <v>150000000</v>
      </c>
      <c r="CX35" s="465">
        <f t="shared" si="26"/>
        <v>0</v>
      </c>
      <c r="CY35" s="488"/>
      <c r="CZ35" s="465">
        <v>20000000</v>
      </c>
      <c r="DA35" s="465">
        <f>19357500+642500</f>
        <v>20000000</v>
      </c>
      <c r="DB35" s="465">
        <f t="shared" si="27"/>
        <v>0</v>
      </c>
      <c r="DC35" s="465"/>
      <c r="DD35" s="465">
        <v>10000000</v>
      </c>
      <c r="DE35" s="465">
        <v>0</v>
      </c>
      <c r="DF35" s="465">
        <f t="shared" si="28"/>
        <v>10000000</v>
      </c>
      <c r="DG35" s="488"/>
      <c r="DH35" s="465">
        <v>50000000</v>
      </c>
      <c r="DI35" s="465">
        <f>24201971.2+5145190+10263890+5802902+4586046.8</f>
        <v>50000000</v>
      </c>
      <c r="DJ35" s="465">
        <f t="shared" si="29"/>
        <v>0</v>
      </c>
      <c r="DK35" s="488"/>
      <c r="DL35" s="465">
        <v>10000000</v>
      </c>
      <c r="DM35" s="465">
        <f>3177300+2834750+2285854+291750+1410346</f>
        <v>10000000</v>
      </c>
      <c r="DN35" s="465">
        <f t="shared" si="30"/>
        <v>0</v>
      </c>
      <c r="DO35" s="488"/>
      <c r="DP35" s="465">
        <v>0</v>
      </c>
      <c r="DQ35" s="465">
        <v>0</v>
      </c>
      <c r="DR35" s="465">
        <f t="shared" si="31"/>
        <v>0</v>
      </c>
      <c r="DS35" s="465"/>
      <c r="DT35" s="465">
        <v>100000000</v>
      </c>
      <c r="DU35" s="465">
        <f>40288349+39671696+933800+19106155</f>
        <v>100000000</v>
      </c>
      <c r="DV35" s="465">
        <f t="shared" si="32"/>
        <v>0</v>
      </c>
      <c r="DW35" s="465"/>
      <c r="DX35" s="465">
        <v>15000000</v>
      </c>
      <c r="DY35" s="465">
        <f>10278358.12+4721641.88</f>
        <v>15000000</v>
      </c>
      <c r="DZ35" s="465">
        <f t="shared" si="33"/>
        <v>0</v>
      </c>
      <c r="EA35" s="465"/>
      <c r="EB35" s="465">
        <v>10000000</v>
      </c>
      <c r="EC35" s="465">
        <v>0</v>
      </c>
      <c r="ED35" s="465">
        <f t="shared" si="34"/>
        <v>10000000</v>
      </c>
      <c r="EE35" s="465"/>
      <c r="EF35" s="465">
        <v>25000000</v>
      </c>
      <c r="EG35" s="465">
        <f>2250679.2+3393130+12998420+6357770.8</f>
        <v>25000000</v>
      </c>
      <c r="EH35" s="465">
        <f t="shared" si="35"/>
        <v>0</v>
      </c>
      <c r="EI35" s="465"/>
      <c r="EJ35" s="465">
        <v>10000000</v>
      </c>
      <c r="EK35" s="465">
        <f>3902154</f>
        <v>3902154</v>
      </c>
      <c r="EL35" s="465">
        <f t="shared" si="36"/>
        <v>6097846</v>
      </c>
      <c r="EM35" s="488"/>
      <c r="EN35" s="465">
        <v>300000000</v>
      </c>
      <c r="EO35" s="485">
        <f>59085229+17258660+61621714.4+19904180+40887414.5</f>
        <v>198757197.90000001</v>
      </c>
      <c r="EP35" s="465">
        <f t="shared" si="37"/>
        <v>101242802.09999999</v>
      </c>
      <c r="EQ35" s="465"/>
      <c r="ER35" s="465">
        <v>25000000</v>
      </c>
      <c r="ES35" s="465">
        <f>10229723.59</f>
        <v>10229723.59</v>
      </c>
      <c r="ET35" s="465">
        <f t="shared" si="38"/>
        <v>14770276.41</v>
      </c>
      <c r="EU35" s="488"/>
      <c r="EV35" s="465">
        <v>10000000</v>
      </c>
      <c r="EW35" s="465">
        <v>0</v>
      </c>
      <c r="EX35" s="465">
        <f t="shared" si="39"/>
        <v>10000000</v>
      </c>
      <c r="EY35" s="488"/>
      <c r="EZ35" s="465">
        <v>30000000</v>
      </c>
      <c r="FA35" s="484">
        <f>3500609.2+2988835+18069849.8+4165945+1274761</f>
        <v>30000000</v>
      </c>
      <c r="FB35" s="465">
        <f t="shared" si="40"/>
        <v>0</v>
      </c>
      <c r="FC35" s="488"/>
      <c r="FD35" s="465">
        <v>5000000</v>
      </c>
      <c r="FE35" s="465">
        <v>0</v>
      </c>
      <c r="FF35" s="465">
        <f t="shared" si="41"/>
        <v>5000000</v>
      </c>
      <c r="FG35" s="465"/>
      <c r="FH35" s="468">
        <v>120000000</v>
      </c>
      <c r="FI35" s="463">
        <v>0</v>
      </c>
      <c r="FJ35" s="463">
        <f t="shared" si="0"/>
        <v>120000000</v>
      </c>
      <c r="FK35" s="468"/>
      <c r="FL35" s="468">
        <v>25000000</v>
      </c>
      <c r="FM35" s="468">
        <v>0</v>
      </c>
      <c r="FN35" s="468">
        <f t="shared" si="60"/>
        <v>25000000</v>
      </c>
      <c r="FO35" s="468"/>
      <c r="FP35" s="468">
        <v>5000000</v>
      </c>
      <c r="FQ35" s="468">
        <v>0</v>
      </c>
      <c r="FR35" s="468">
        <f>FP35-FQ35</f>
        <v>5000000</v>
      </c>
      <c r="FS35" s="468"/>
      <c r="FT35" s="468">
        <v>30000000</v>
      </c>
      <c r="FU35" s="469">
        <f>12564560+8422474</f>
        <v>20987034</v>
      </c>
      <c r="FV35" s="468">
        <f>FT35-FU35</f>
        <v>9012966</v>
      </c>
      <c r="FW35" s="468"/>
      <c r="FX35" s="468">
        <v>4150000</v>
      </c>
      <c r="FY35" s="468">
        <v>0</v>
      </c>
      <c r="FZ35" s="468">
        <v>4150000</v>
      </c>
      <c r="GA35" s="468"/>
      <c r="GB35" s="468">
        <v>160000000</v>
      </c>
      <c r="GC35" s="468">
        <v>0</v>
      </c>
      <c r="GD35" s="468">
        <f t="shared" si="45"/>
        <v>160000000</v>
      </c>
      <c r="GE35" s="468"/>
      <c r="GF35" s="468">
        <v>25000000</v>
      </c>
      <c r="GG35" s="468">
        <v>0</v>
      </c>
      <c r="GH35" s="468">
        <f t="shared" si="46"/>
        <v>25000000</v>
      </c>
      <c r="GI35" s="468"/>
      <c r="GJ35" s="468">
        <v>5000000</v>
      </c>
      <c r="GK35" s="468">
        <v>0</v>
      </c>
      <c r="GL35" s="468">
        <f t="shared" si="47"/>
        <v>5000000</v>
      </c>
      <c r="GM35" s="468"/>
      <c r="GN35" s="468">
        <v>20000000</v>
      </c>
      <c r="GO35" s="468">
        <v>0</v>
      </c>
      <c r="GP35" s="468">
        <f t="shared" si="48"/>
        <v>20000000</v>
      </c>
      <c r="GQ35" s="468"/>
      <c r="GR35" s="468">
        <v>5000000</v>
      </c>
      <c r="GS35" s="468">
        <v>0</v>
      </c>
      <c r="GT35" s="468">
        <f t="shared" si="49"/>
        <v>5000000</v>
      </c>
      <c r="GU35" s="468"/>
      <c r="GV35" s="465">
        <f t="shared" si="50"/>
        <v>1887900000</v>
      </c>
      <c r="GW35" s="465">
        <f t="shared" si="50"/>
        <v>1316034254.49</v>
      </c>
      <c r="GX35" s="465">
        <f t="shared" si="51"/>
        <v>571865745.50999999</v>
      </c>
      <c r="GY35" s="470"/>
      <c r="GZ35" s="464"/>
      <c r="HA35" s="471">
        <f>D35+H35+L35+X35+AN35+BH35+CB35+CF35+CV35+DP35+DT35+EN35+FH35+GB35</f>
        <v>1341750000</v>
      </c>
      <c r="HB35" s="471">
        <f>E35+I35+M35+Y35+AO35+BI35+CC35+CG35+CW35+DQ35+DU35+EO35+FI35+GC35</f>
        <v>960507197.89999998</v>
      </c>
      <c r="HC35" s="471">
        <f t="shared" si="52"/>
        <v>381242802.10000002</v>
      </c>
      <c r="HE35" s="471">
        <f>P35+AB35+AR35+
BL35+CJ35+CZ35+DX35+ER35+FL35+GF35</f>
        <v>167000000</v>
      </c>
      <c r="HF35" s="471">
        <f>Q35+AC35+AS35+
BM35+CK35+DA35+DY35+ES35+FM35+GG35</f>
        <v>96347868.590000004</v>
      </c>
      <c r="HG35" s="471">
        <f t="shared" si="53"/>
        <v>70652131.409999996</v>
      </c>
      <c r="HI35" s="471">
        <f>T35+AF35+AV35+BP35+CN35+DD35+EB35+EV35+FP35+GJ35</f>
        <v>65000000</v>
      </c>
      <c r="HJ35" s="471">
        <f>U35+AG35+AW35+BQ35+CO35+DE35+EC35+EW35+FQ35+GK35</f>
        <v>0</v>
      </c>
      <c r="HK35" s="471">
        <f t="shared" si="54"/>
        <v>65000000</v>
      </c>
      <c r="HM35" s="475">
        <f>AJ35+AZ35+BT35+CR35+DH35+EF35+EZ35+FT35+GN35</f>
        <v>270000000</v>
      </c>
      <c r="HN35" s="475">
        <f>AK35+BA35+BU35+CS35+DI35+EG35+FA35+FU35+GO35</f>
        <v>240987034</v>
      </c>
      <c r="HO35" s="475">
        <f t="shared" si="55"/>
        <v>29012966</v>
      </c>
      <c r="HP35" s="476"/>
      <c r="HR35" s="471">
        <f>BD35+BX35+DL35+EJ35+FD35+FX35+GR35</f>
        <v>44150000</v>
      </c>
      <c r="HS35" s="471">
        <f>BE35+BY35+DM35+EK35+FE35+FY35+GS35</f>
        <v>18192154</v>
      </c>
      <c r="HT35" s="471">
        <f t="shared" si="56"/>
        <v>25957846</v>
      </c>
    </row>
    <row r="36" spans="1:228" x14ac:dyDescent="0.25">
      <c r="A36" s="107">
        <v>31</v>
      </c>
      <c r="B36" s="107" t="s">
        <v>95</v>
      </c>
      <c r="C36" s="499" t="s">
        <v>65</v>
      </c>
      <c r="D36" s="465">
        <v>0</v>
      </c>
      <c r="E36" s="465">
        <v>0</v>
      </c>
      <c r="F36" s="465">
        <f t="shared" si="1"/>
        <v>0</v>
      </c>
      <c r="G36" s="465"/>
      <c r="H36" s="465">
        <v>50000000</v>
      </c>
      <c r="I36" s="465">
        <v>50000000</v>
      </c>
      <c r="J36" s="465">
        <f t="shared" si="2"/>
        <v>0</v>
      </c>
      <c r="K36" s="465"/>
      <c r="L36" s="465">
        <v>50000000</v>
      </c>
      <c r="M36" s="465">
        <f>21263192.5+9000000+19736807.5</f>
        <v>50000000</v>
      </c>
      <c r="N36" s="465">
        <f t="shared" si="3"/>
        <v>0</v>
      </c>
      <c r="O36" s="465"/>
      <c r="P36" s="465">
        <v>7000000</v>
      </c>
      <c r="Q36" s="465">
        <v>7000000</v>
      </c>
      <c r="R36" s="465">
        <f t="shared" si="4"/>
        <v>0</v>
      </c>
      <c r="S36" s="465"/>
      <c r="T36" s="465">
        <f>3000000-3000000</f>
        <v>0</v>
      </c>
      <c r="U36" s="465">
        <v>0</v>
      </c>
      <c r="V36" s="465">
        <f t="shared" si="5"/>
        <v>0</v>
      </c>
      <c r="W36" s="465"/>
      <c r="X36" s="465">
        <v>60000000</v>
      </c>
      <c r="Y36" s="465">
        <f>5202000+54798000</f>
        <v>60000000</v>
      </c>
      <c r="Z36" s="465">
        <f t="shared" si="6"/>
        <v>0</v>
      </c>
      <c r="AA36" s="465"/>
      <c r="AB36" s="465">
        <v>10000000</v>
      </c>
      <c r="AC36" s="465">
        <v>10000000</v>
      </c>
      <c r="AD36" s="465">
        <f t="shared" si="7"/>
        <v>0</v>
      </c>
      <c r="AE36" s="465"/>
      <c r="AF36" s="465">
        <f>5000000-5000000</f>
        <v>0</v>
      </c>
      <c r="AG36" s="465">
        <v>0</v>
      </c>
      <c r="AH36" s="465">
        <f t="shared" si="8"/>
        <v>0</v>
      </c>
      <c r="AI36" s="465"/>
      <c r="AJ36" s="465">
        <v>13572184</v>
      </c>
      <c r="AK36" s="465">
        <f>713300+4984144+797960+3173200+1386480+2517100</f>
        <v>13572184</v>
      </c>
      <c r="AL36" s="465">
        <f t="shared" si="9"/>
        <v>0</v>
      </c>
      <c r="AM36" s="465"/>
      <c r="AN36" s="465">
        <v>80000000</v>
      </c>
      <c r="AO36" s="465">
        <f>54559450+9076250+16364300</f>
        <v>80000000</v>
      </c>
      <c r="AP36" s="465">
        <f t="shared" si="10"/>
        <v>0</v>
      </c>
      <c r="AQ36" s="465"/>
      <c r="AR36" s="465">
        <v>10000000</v>
      </c>
      <c r="AS36" s="465">
        <f>9588250+411750</f>
        <v>10000000</v>
      </c>
      <c r="AT36" s="465">
        <f t="shared" si="11"/>
        <v>0</v>
      </c>
      <c r="AU36" s="465"/>
      <c r="AV36" s="465">
        <v>5000000</v>
      </c>
      <c r="AW36" s="465">
        <f>10000000-5000000</f>
        <v>5000000</v>
      </c>
      <c r="AX36" s="465">
        <f t="shared" si="12"/>
        <v>0</v>
      </c>
      <c r="AY36" s="465"/>
      <c r="AZ36" s="465">
        <v>20000000</v>
      </c>
      <c r="BA36" s="465">
        <f>2207490+2089280+9534195+1796355+2980805+1391875</f>
        <v>20000000</v>
      </c>
      <c r="BB36" s="465">
        <f t="shared" si="13"/>
        <v>0</v>
      </c>
      <c r="BC36" s="465"/>
      <c r="BD36" s="465">
        <v>5000000</v>
      </c>
      <c r="BE36" s="465">
        <f>1202750+212250+3585000</f>
        <v>5000000</v>
      </c>
      <c r="BF36" s="465">
        <f t="shared" si="14"/>
        <v>0</v>
      </c>
      <c r="BG36" s="465"/>
      <c r="BH36" s="465">
        <v>130000000</v>
      </c>
      <c r="BI36" s="465">
        <f>31105075+44617300+4263192.5+33486000+16528432.5</f>
        <v>130000000</v>
      </c>
      <c r="BJ36" s="465">
        <f t="shared" si="15"/>
        <v>0</v>
      </c>
      <c r="BK36" s="488"/>
      <c r="BL36" s="465">
        <v>10000000</v>
      </c>
      <c r="BM36" s="465">
        <f>1862000+1588250+6549750</f>
        <v>10000000</v>
      </c>
      <c r="BN36" s="465">
        <f t="shared" si="16"/>
        <v>0</v>
      </c>
      <c r="BO36" s="465"/>
      <c r="BP36" s="465">
        <v>10000000</v>
      </c>
      <c r="BQ36" s="465">
        <v>10000000</v>
      </c>
      <c r="BR36" s="465">
        <f t="shared" si="17"/>
        <v>0</v>
      </c>
      <c r="BS36" s="465"/>
      <c r="BT36" s="465">
        <v>40000000</v>
      </c>
      <c r="BU36" s="485">
        <f>2622445+1015120+5513300+1810555+1662863+7481820+3371955+1915955</f>
        <v>25394013</v>
      </c>
      <c r="BV36" s="465">
        <f t="shared" si="18"/>
        <v>14605987</v>
      </c>
      <c r="BW36" s="465"/>
      <c r="BX36" s="465">
        <v>5000000</v>
      </c>
      <c r="BY36" s="467">
        <f>1515000+900000</f>
        <v>2415000</v>
      </c>
      <c r="BZ36" s="465">
        <f t="shared" si="19"/>
        <v>2585000</v>
      </c>
      <c r="CA36" s="465"/>
      <c r="CB36" s="465">
        <v>0</v>
      </c>
      <c r="CC36" s="465">
        <v>0</v>
      </c>
      <c r="CD36" s="465">
        <f t="shared" si="20"/>
        <v>0</v>
      </c>
      <c r="CE36" s="465"/>
      <c r="CF36" s="465">
        <v>0</v>
      </c>
      <c r="CG36" s="465">
        <v>0</v>
      </c>
      <c r="CH36" s="465">
        <f t="shared" si="22"/>
        <v>0</v>
      </c>
      <c r="CI36" s="465"/>
      <c r="CJ36" s="465">
        <v>0</v>
      </c>
      <c r="CK36" s="465">
        <v>0</v>
      </c>
      <c r="CL36" s="465">
        <f t="shared" si="23"/>
        <v>0</v>
      </c>
      <c r="CM36" s="465"/>
      <c r="CN36" s="465">
        <v>0</v>
      </c>
      <c r="CO36" s="465">
        <v>0</v>
      </c>
      <c r="CP36" s="465">
        <f t="shared" si="24"/>
        <v>0</v>
      </c>
      <c r="CQ36" s="465"/>
      <c r="CR36" s="465">
        <v>0</v>
      </c>
      <c r="CS36" s="465">
        <v>0</v>
      </c>
      <c r="CT36" s="465">
        <f t="shared" si="25"/>
        <v>0</v>
      </c>
      <c r="CU36" s="465"/>
      <c r="CV36" s="465">
        <v>150000000</v>
      </c>
      <c r="CW36" s="465">
        <f>1043840+31575000+26133000+39993960+59590200+59590200-59590200-59590200+59590200+7471567.5-15807567.5</f>
        <v>150000000</v>
      </c>
      <c r="CX36" s="465">
        <f t="shared" si="26"/>
        <v>0</v>
      </c>
      <c r="CY36" s="465"/>
      <c r="CZ36" s="465">
        <v>20000000</v>
      </c>
      <c r="DA36" s="465">
        <f>13970320-13970320+1995000+1995000-1995000+13970320+1960000+915000+1159680</f>
        <v>20000000</v>
      </c>
      <c r="DB36" s="465">
        <f t="shared" si="27"/>
        <v>0</v>
      </c>
      <c r="DC36" s="465"/>
      <c r="DD36" s="465">
        <v>10000000</v>
      </c>
      <c r="DE36" s="465">
        <f>85500+5000000+3544500+1215000</f>
        <v>9845000</v>
      </c>
      <c r="DF36" s="465">
        <f t="shared" si="28"/>
        <v>155000</v>
      </c>
      <c r="DG36" s="465"/>
      <c r="DH36" s="465">
        <v>50000000</v>
      </c>
      <c r="DI36" s="484">
        <f>3239519+8332328+4001304+2255725+5314931+5314931-5314931-5314931+5314931+5572232+5572232-5572232+19360147+1923814</f>
        <v>50000000</v>
      </c>
      <c r="DJ36" s="465">
        <f t="shared" si="29"/>
        <v>0</v>
      </c>
      <c r="DK36" s="465"/>
      <c r="DL36" s="465">
        <v>10000000</v>
      </c>
      <c r="DM36" s="465">
        <v>0</v>
      </c>
      <c r="DN36" s="465">
        <f t="shared" si="30"/>
        <v>10000000</v>
      </c>
      <c r="DO36" s="465"/>
      <c r="DP36" s="465">
        <v>0</v>
      </c>
      <c r="DQ36" s="465">
        <v>0</v>
      </c>
      <c r="DR36" s="465">
        <f t="shared" si="31"/>
        <v>0</v>
      </c>
      <c r="DS36" s="465"/>
      <c r="DT36" s="465">
        <v>0</v>
      </c>
      <c r="DU36" s="465">
        <v>0</v>
      </c>
      <c r="DV36" s="465">
        <f t="shared" si="32"/>
        <v>0</v>
      </c>
      <c r="DW36" s="465"/>
      <c r="DX36" s="465">
        <v>0</v>
      </c>
      <c r="DY36" s="465">
        <v>0</v>
      </c>
      <c r="DZ36" s="465">
        <f t="shared" si="33"/>
        <v>0</v>
      </c>
      <c r="EA36" s="465"/>
      <c r="EB36" s="465">
        <v>0</v>
      </c>
      <c r="EC36" s="465">
        <v>0</v>
      </c>
      <c r="ED36" s="465">
        <f t="shared" si="34"/>
        <v>0</v>
      </c>
      <c r="EE36" s="465"/>
      <c r="EF36" s="465">
        <v>0</v>
      </c>
      <c r="EG36" s="465">
        <v>0</v>
      </c>
      <c r="EH36" s="465">
        <f t="shared" si="35"/>
        <v>0</v>
      </c>
      <c r="EI36" s="465"/>
      <c r="EJ36" s="465">
        <v>0</v>
      </c>
      <c r="EK36" s="465">
        <v>0</v>
      </c>
      <c r="EL36" s="465">
        <f t="shared" si="36"/>
        <v>0</v>
      </c>
      <c r="EM36" s="465"/>
      <c r="EN36" s="465">
        <v>300000000</v>
      </c>
      <c r="EO36" s="465">
        <f>45600000-45600000+15807567.5+45600000+106556750</f>
        <v>167964317.5</v>
      </c>
      <c r="EP36" s="465">
        <f t="shared" si="37"/>
        <v>132035682.5</v>
      </c>
      <c r="EQ36" s="465"/>
      <c r="ER36" s="465">
        <v>25000000</v>
      </c>
      <c r="ES36" s="496">
        <f>1762014+1681425</f>
        <v>3443439</v>
      </c>
      <c r="ET36" s="465">
        <f t="shared" si="38"/>
        <v>21556561</v>
      </c>
      <c r="EU36" s="465"/>
      <c r="EV36" s="465">
        <v>10000000</v>
      </c>
      <c r="EW36" s="465">
        <v>6885000</v>
      </c>
      <c r="EX36" s="465">
        <f t="shared" si="39"/>
        <v>3115000</v>
      </c>
      <c r="EY36" s="465"/>
      <c r="EZ36" s="465">
        <v>30000000</v>
      </c>
      <c r="FA36" s="484">
        <f>2485140+4562567+5892236</f>
        <v>12939943</v>
      </c>
      <c r="FB36" s="465">
        <f t="shared" si="40"/>
        <v>17060057</v>
      </c>
      <c r="FC36" s="465"/>
      <c r="FD36" s="465">
        <v>5000000</v>
      </c>
      <c r="FE36" s="465">
        <v>0</v>
      </c>
      <c r="FF36" s="465">
        <f t="shared" si="41"/>
        <v>5000000</v>
      </c>
      <c r="FG36" s="465"/>
      <c r="FH36" s="468"/>
      <c r="FI36" s="463">
        <v>0</v>
      </c>
      <c r="FJ36" s="463">
        <f t="shared" si="0"/>
        <v>0</v>
      </c>
      <c r="FK36" s="468"/>
      <c r="FL36" s="468"/>
      <c r="FM36" s="468">
        <v>0</v>
      </c>
      <c r="FN36" s="468">
        <f t="shared" si="60"/>
        <v>0</v>
      </c>
      <c r="FO36" s="468"/>
      <c r="FP36" s="468"/>
      <c r="FQ36" s="468"/>
      <c r="FR36" s="468"/>
      <c r="FS36" s="468"/>
      <c r="FT36" s="468"/>
      <c r="FU36" s="468"/>
      <c r="FV36" s="468"/>
      <c r="FW36" s="468"/>
      <c r="FX36" s="468"/>
      <c r="FY36" s="468"/>
      <c r="FZ36" s="468"/>
      <c r="GA36" s="468"/>
      <c r="GB36" s="468">
        <v>160000000</v>
      </c>
      <c r="GC36" s="468">
        <v>0</v>
      </c>
      <c r="GD36" s="468">
        <f t="shared" si="45"/>
        <v>160000000</v>
      </c>
      <c r="GE36" s="468"/>
      <c r="GF36" s="468">
        <v>25000000</v>
      </c>
      <c r="GG36" s="468">
        <v>0</v>
      </c>
      <c r="GH36" s="468">
        <f t="shared" si="46"/>
        <v>25000000</v>
      </c>
      <c r="GI36" s="468"/>
      <c r="GJ36" s="468">
        <v>5000000</v>
      </c>
      <c r="GK36" s="468">
        <v>0</v>
      </c>
      <c r="GL36" s="468">
        <f t="shared" si="47"/>
        <v>5000000</v>
      </c>
      <c r="GM36" s="468"/>
      <c r="GN36" s="468">
        <v>20000000</v>
      </c>
      <c r="GO36" s="468">
        <v>0</v>
      </c>
      <c r="GP36" s="468">
        <f t="shared" si="48"/>
        <v>20000000</v>
      </c>
      <c r="GQ36" s="468"/>
      <c r="GR36" s="468">
        <v>5000000</v>
      </c>
      <c r="GS36" s="468">
        <v>0</v>
      </c>
      <c r="GT36" s="468">
        <f t="shared" si="49"/>
        <v>5000000</v>
      </c>
      <c r="GU36" s="468"/>
      <c r="GV36" s="465">
        <f t="shared" si="50"/>
        <v>1330572184</v>
      </c>
      <c r="GW36" s="465">
        <f t="shared" si="50"/>
        <v>909458896.5</v>
      </c>
      <c r="GX36" s="465">
        <f t="shared" si="51"/>
        <v>421113287.5</v>
      </c>
      <c r="GY36" s="470"/>
      <c r="GZ36" s="464"/>
      <c r="HA36" s="471">
        <f>D36+H36+L36+X36+AN36+BH36+CB36+CF36+CV36+DP36+DT36+EN36+FH36+GB36</f>
        <v>980000000</v>
      </c>
      <c r="HB36" s="471">
        <f>E36+I36+M36+Y36+AO36+BI36+CC36+CG36+CW36+DQ36+DU36+EO36+FI36+GC36</f>
        <v>687964317.5</v>
      </c>
      <c r="HC36" s="471">
        <f t="shared" si="52"/>
        <v>292035682.5</v>
      </c>
      <c r="HE36" s="471">
        <f>P36+AB36+AR36+
BL36+CJ36+CZ36+DX36+ER36+FL36+GF36</f>
        <v>107000000</v>
      </c>
      <c r="HF36" s="471">
        <f>Q36+AC36+AS36+
BM36+CK36+DA36+DY36+ES36+FM36+GG36</f>
        <v>60443439</v>
      </c>
      <c r="HG36" s="471">
        <f t="shared" si="53"/>
        <v>46556561</v>
      </c>
      <c r="HI36" s="471">
        <f>T36+AF36+AV36+BP36+CN36+DD36+EB36+EV36+FP36+GJ36</f>
        <v>40000000</v>
      </c>
      <c r="HJ36" s="471">
        <f>U36+AG36+AW36+BQ36+CO36+DE36+EC36+EW36+FQ36+GK36</f>
        <v>31730000</v>
      </c>
      <c r="HK36" s="471">
        <f t="shared" si="54"/>
        <v>8270000</v>
      </c>
      <c r="HM36" s="475">
        <f>AJ36+AZ36+BT36+CR36+DH36+EF36+EZ36+FT36+GN36</f>
        <v>173572184</v>
      </c>
      <c r="HN36" s="475">
        <f>AK36+BA36+BU36+CS36+DI36+EG36+FA36+FU36+GO36</f>
        <v>121906140</v>
      </c>
      <c r="HO36" s="475">
        <f t="shared" si="55"/>
        <v>51666044</v>
      </c>
      <c r="HP36" s="476"/>
      <c r="HR36" s="471">
        <f>BD36+BX36+DL36+EJ36+FD36+FX36+GR36</f>
        <v>30000000</v>
      </c>
      <c r="HS36" s="471">
        <f>BE36+BY36+DM36+EK36+FE36+FY36+GS36</f>
        <v>7415000</v>
      </c>
      <c r="HT36" s="471">
        <f t="shared" si="56"/>
        <v>22585000</v>
      </c>
    </row>
    <row r="37" spans="1:228" x14ac:dyDescent="0.25">
      <c r="A37" s="107">
        <v>32</v>
      </c>
      <c r="B37" s="107" t="s">
        <v>96</v>
      </c>
      <c r="C37" s="113" t="s">
        <v>65</v>
      </c>
      <c r="D37" s="465">
        <v>0</v>
      </c>
      <c r="E37" s="465">
        <v>0</v>
      </c>
      <c r="F37" s="465">
        <f t="shared" si="1"/>
        <v>0</v>
      </c>
      <c r="G37" s="465"/>
      <c r="H37" s="465">
        <v>50000000</v>
      </c>
      <c r="I37" s="465">
        <f>28250000+21750000</f>
        <v>50000000</v>
      </c>
      <c r="J37" s="465">
        <f t="shared" si="2"/>
        <v>0</v>
      </c>
      <c r="K37" s="465"/>
      <c r="L37" s="465">
        <v>50000000</v>
      </c>
      <c r="M37" s="465">
        <f>45630800+4369200</f>
        <v>50000000</v>
      </c>
      <c r="N37" s="465">
        <f t="shared" si="3"/>
        <v>0</v>
      </c>
      <c r="O37" s="465"/>
      <c r="P37" s="465">
        <v>7000000</v>
      </c>
      <c r="Q37" s="465">
        <v>7000000</v>
      </c>
      <c r="R37" s="465">
        <f t="shared" si="4"/>
        <v>0</v>
      </c>
      <c r="S37" s="465"/>
      <c r="T37" s="465">
        <v>142000</v>
      </c>
      <c r="U37" s="465">
        <f>142000</f>
        <v>142000</v>
      </c>
      <c r="V37" s="465">
        <f t="shared" si="5"/>
        <v>0</v>
      </c>
      <c r="W37" s="465"/>
      <c r="X37" s="465">
        <v>60000000</v>
      </c>
      <c r="Y37" s="465">
        <f>60000000</f>
        <v>60000000</v>
      </c>
      <c r="Z37" s="465">
        <f t="shared" si="6"/>
        <v>0</v>
      </c>
      <c r="AA37" s="465"/>
      <c r="AB37" s="465">
        <v>4972960</v>
      </c>
      <c r="AC37" s="465">
        <f>2255000+2717960</f>
        <v>4972960</v>
      </c>
      <c r="AD37" s="465">
        <f t="shared" si="7"/>
        <v>0</v>
      </c>
      <c r="AE37" s="465"/>
      <c r="AF37" s="465">
        <f>5000000-5000000</f>
        <v>0</v>
      </c>
      <c r="AG37" s="465">
        <v>0</v>
      </c>
      <c r="AH37" s="465">
        <f t="shared" si="8"/>
        <v>0</v>
      </c>
      <c r="AI37" s="465"/>
      <c r="AJ37" s="465">
        <v>15000000</v>
      </c>
      <c r="AK37" s="465">
        <v>15000000</v>
      </c>
      <c r="AL37" s="465">
        <f t="shared" si="9"/>
        <v>0</v>
      </c>
      <c r="AM37" s="465"/>
      <c r="AN37" s="465">
        <v>80000000</v>
      </c>
      <c r="AO37" s="465">
        <f>79398600+601400</f>
        <v>80000000</v>
      </c>
      <c r="AP37" s="465">
        <f t="shared" si="10"/>
        <v>0</v>
      </c>
      <c r="AQ37" s="465"/>
      <c r="AR37" s="465">
        <v>10000000</v>
      </c>
      <c r="AS37" s="465">
        <v>10000000</v>
      </c>
      <c r="AT37" s="465">
        <f t="shared" si="11"/>
        <v>0</v>
      </c>
      <c r="AU37" s="465"/>
      <c r="AV37" s="465">
        <v>5000000</v>
      </c>
      <c r="AW37" s="465">
        <v>0</v>
      </c>
      <c r="AX37" s="465">
        <f t="shared" si="12"/>
        <v>5000000</v>
      </c>
      <c r="AY37" s="465"/>
      <c r="AZ37" s="465">
        <v>20000000</v>
      </c>
      <c r="BA37" s="465">
        <v>20000000</v>
      </c>
      <c r="BB37" s="465">
        <f t="shared" si="13"/>
        <v>0</v>
      </c>
      <c r="BC37" s="465"/>
      <c r="BD37" s="465">
        <v>5000000</v>
      </c>
      <c r="BE37" s="478">
        <f>671550+3400000</f>
        <v>4071550</v>
      </c>
      <c r="BF37" s="465">
        <f t="shared" si="14"/>
        <v>928450</v>
      </c>
      <c r="BG37" s="465"/>
      <c r="BH37" s="465">
        <v>130000000</v>
      </c>
      <c r="BI37" s="465">
        <f>126690715+133359550-133359550+3309285</f>
        <v>130000000</v>
      </c>
      <c r="BJ37" s="465">
        <f t="shared" si="15"/>
        <v>0</v>
      </c>
      <c r="BK37" s="465"/>
      <c r="BL37" s="465">
        <v>10000000</v>
      </c>
      <c r="BM37" s="465">
        <f>4192660+5807340</f>
        <v>10000000</v>
      </c>
      <c r="BN37" s="465">
        <f t="shared" si="16"/>
        <v>0</v>
      </c>
      <c r="BO37" s="465"/>
      <c r="BP37" s="465">
        <v>10000000</v>
      </c>
      <c r="BQ37" s="465">
        <v>0</v>
      </c>
      <c r="BR37" s="465">
        <f t="shared" si="17"/>
        <v>10000000</v>
      </c>
      <c r="BS37" s="465"/>
      <c r="BT37" s="465">
        <v>40000000</v>
      </c>
      <c r="BU37" s="465">
        <f>2366047.2+9520715+17501403.62+2695270+4877585+1276650+1762329.18</f>
        <v>40000000</v>
      </c>
      <c r="BV37" s="465">
        <f t="shared" si="18"/>
        <v>0</v>
      </c>
      <c r="BW37" s="465"/>
      <c r="BX37" s="465">
        <v>5000000</v>
      </c>
      <c r="BY37" s="465">
        <v>3805450</v>
      </c>
      <c r="BZ37" s="465">
        <f t="shared" si="19"/>
        <v>1194550</v>
      </c>
      <c r="CA37" s="465"/>
      <c r="CB37" s="465">
        <v>0</v>
      </c>
      <c r="CC37" s="465">
        <v>0</v>
      </c>
      <c r="CD37" s="465">
        <f t="shared" si="20"/>
        <v>0</v>
      </c>
      <c r="CE37" s="465"/>
      <c r="CF37" s="465">
        <f t="shared" si="21"/>
        <v>140000000</v>
      </c>
      <c r="CG37" s="465">
        <f>21724200+88221500+9735750+18244000+2074550</f>
        <v>140000000</v>
      </c>
      <c r="CH37" s="465">
        <f t="shared" si="22"/>
        <v>0</v>
      </c>
      <c r="CI37" s="465"/>
      <c r="CJ37" s="465">
        <v>20000000</v>
      </c>
      <c r="CK37" s="465">
        <v>20000000</v>
      </c>
      <c r="CL37" s="465">
        <f t="shared" si="23"/>
        <v>0</v>
      </c>
      <c r="CM37" s="465"/>
      <c r="CN37" s="465">
        <v>10000000</v>
      </c>
      <c r="CO37" s="465">
        <v>0</v>
      </c>
      <c r="CP37" s="465">
        <f t="shared" si="24"/>
        <v>10000000</v>
      </c>
      <c r="CQ37" s="465"/>
      <c r="CR37" s="465">
        <v>40000000</v>
      </c>
      <c r="CS37" s="465">
        <f>3014995.82+4060365+14298660+4439895+12565855+1620229.18</f>
        <v>40000000</v>
      </c>
      <c r="CT37" s="465">
        <f t="shared" si="25"/>
        <v>0</v>
      </c>
      <c r="CU37" s="465"/>
      <c r="CV37" s="465">
        <v>150000000</v>
      </c>
      <c r="CW37" s="465">
        <v>150000000</v>
      </c>
      <c r="CX37" s="465">
        <f t="shared" si="26"/>
        <v>0</v>
      </c>
      <c r="CY37" s="465"/>
      <c r="CZ37" s="465">
        <v>20000000</v>
      </c>
      <c r="DA37" s="465">
        <v>20000000</v>
      </c>
      <c r="DB37" s="465">
        <f t="shared" si="27"/>
        <v>0</v>
      </c>
      <c r="DC37" s="465"/>
      <c r="DD37" s="465">
        <v>10000000</v>
      </c>
      <c r="DE37" s="465">
        <v>0</v>
      </c>
      <c r="DF37" s="465">
        <f t="shared" si="28"/>
        <v>10000000</v>
      </c>
      <c r="DG37" s="465"/>
      <c r="DH37" s="465">
        <v>50000000</v>
      </c>
      <c r="DI37" s="467">
        <f>10445070.82+5394278+8344298+524800+7573038+12674100+208600+4835815.18</f>
        <v>50000000</v>
      </c>
      <c r="DJ37" s="465">
        <f t="shared" si="29"/>
        <v>0</v>
      </c>
      <c r="DK37" s="465"/>
      <c r="DL37" s="465">
        <v>10000000</v>
      </c>
      <c r="DM37" s="465">
        <v>0</v>
      </c>
      <c r="DN37" s="465">
        <f t="shared" si="30"/>
        <v>10000000</v>
      </c>
      <c r="DO37" s="465"/>
      <c r="DP37" s="465">
        <v>0</v>
      </c>
      <c r="DQ37" s="465">
        <v>0</v>
      </c>
      <c r="DR37" s="465">
        <f t="shared" si="31"/>
        <v>0</v>
      </c>
      <c r="DS37" s="465"/>
      <c r="DT37" s="465">
        <v>100000000</v>
      </c>
      <c r="DU37" s="465">
        <f>73350939.82+19504885+7144175.18</f>
        <v>100000000</v>
      </c>
      <c r="DV37" s="465">
        <f t="shared" si="32"/>
        <v>0</v>
      </c>
      <c r="DW37" s="465"/>
      <c r="DX37" s="465">
        <v>15000000</v>
      </c>
      <c r="DY37" s="465">
        <f>13655116+1344884</f>
        <v>15000000</v>
      </c>
      <c r="DZ37" s="465">
        <f t="shared" si="33"/>
        <v>0</v>
      </c>
      <c r="EA37" s="465"/>
      <c r="EB37" s="465">
        <v>10000000</v>
      </c>
      <c r="EC37" s="465">
        <v>0</v>
      </c>
      <c r="ED37" s="465">
        <f t="shared" si="34"/>
        <v>10000000</v>
      </c>
      <c r="EE37" s="465"/>
      <c r="EF37" s="465">
        <v>25000000</v>
      </c>
      <c r="EG37" s="467">
        <f>12009152+8155800+193000+4642048</f>
        <v>25000000</v>
      </c>
      <c r="EH37" s="465">
        <f t="shared" si="35"/>
        <v>0</v>
      </c>
      <c r="EI37" s="465"/>
      <c r="EJ37" s="465">
        <v>10000000</v>
      </c>
      <c r="EK37" s="465">
        <v>0</v>
      </c>
      <c r="EL37" s="465">
        <f t="shared" si="36"/>
        <v>10000000</v>
      </c>
      <c r="EM37" s="465"/>
      <c r="EN37" s="465">
        <v>300000000</v>
      </c>
      <c r="EO37" s="484">
        <f>60495824.82+27000000+8100000+94423750+21020771.1+4500000+71523334</f>
        <v>287063679.91999996</v>
      </c>
      <c r="EP37" s="465">
        <f t="shared" si="37"/>
        <v>12936320.080000043</v>
      </c>
      <c r="EQ37" s="465"/>
      <c r="ER37" s="465">
        <v>25000000</v>
      </c>
      <c r="ES37" s="496">
        <f>13075690+2070232</f>
        <v>15145922</v>
      </c>
      <c r="ET37" s="465">
        <f t="shared" si="38"/>
        <v>9854078</v>
      </c>
      <c r="EU37" s="465"/>
      <c r="EV37" s="465">
        <v>10000000</v>
      </c>
      <c r="EW37" s="465">
        <v>0</v>
      </c>
      <c r="EX37" s="465">
        <f t="shared" si="39"/>
        <v>10000000</v>
      </c>
      <c r="EY37" s="465"/>
      <c r="EZ37" s="465">
        <v>30000000</v>
      </c>
      <c r="FA37" s="478">
        <f>5830785+4698218.82+2482910+6522775</f>
        <v>19534688.82</v>
      </c>
      <c r="FB37" s="465">
        <f t="shared" si="40"/>
        <v>10465311.18</v>
      </c>
      <c r="FC37" s="465"/>
      <c r="FD37" s="465">
        <v>5000000</v>
      </c>
      <c r="FE37" s="465">
        <v>0</v>
      </c>
      <c r="FF37" s="465">
        <f t="shared" si="41"/>
        <v>5000000</v>
      </c>
      <c r="FG37" s="465"/>
      <c r="FH37" s="468">
        <v>120000000</v>
      </c>
      <c r="FI37" s="463">
        <v>0</v>
      </c>
      <c r="FJ37" s="463">
        <f t="shared" si="0"/>
        <v>120000000</v>
      </c>
      <c r="FK37" s="468"/>
      <c r="FL37" s="468">
        <v>25000000</v>
      </c>
      <c r="FM37" s="468">
        <v>0</v>
      </c>
      <c r="FN37" s="468">
        <f>FL37-FM37</f>
        <v>25000000</v>
      </c>
      <c r="FO37" s="468"/>
      <c r="FP37" s="468">
        <v>5000000</v>
      </c>
      <c r="FQ37" s="468">
        <v>0</v>
      </c>
      <c r="FR37" s="468">
        <f>FP37-FQ37</f>
        <v>5000000</v>
      </c>
      <c r="FS37" s="468"/>
      <c r="FT37" s="468">
        <v>30000000</v>
      </c>
      <c r="FU37" s="468">
        <v>0</v>
      </c>
      <c r="FV37" s="468">
        <f>FT37-FU37</f>
        <v>30000000</v>
      </c>
      <c r="FW37" s="468"/>
      <c r="FX37" s="468">
        <v>4150000</v>
      </c>
      <c r="FY37" s="468">
        <v>0</v>
      </c>
      <c r="FZ37" s="468">
        <v>4150000</v>
      </c>
      <c r="GA37" s="468"/>
      <c r="GB37" s="468">
        <v>160000000</v>
      </c>
      <c r="GC37" s="468">
        <v>0</v>
      </c>
      <c r="GD37" s="468">
        <f t="shared" si="45"/>
        <v>160000000</v>
      </c>
      <c r="GE37" s="468"/>
      <c r="GF37" s="468">
        <v>25000000</v>
      </c>
      <c r="GG37" s="468">
        <v>0</v>
      </c>
      <c r="GH37" s="468">
        <f t="shared" si="46"/>
        <v>25000000</v>
      </c>
      <c r="GI37" s="468"/>
      <c r="GJ37" s="468">
        <v>5000000</v>
      </c>
      <c r="GK37" s="468">
        <v>0</v>
      </c>
      <c r="GL37" s="468">
        <f t="shared" si="47"/>
        <v>5000000</v>
      </c>
      <c r="GM37" s="468"/>
      <c r="GN37" s="468">
        <v>20000000</v>
      </c>
      <c r="GO37" s="468">
        <v>0</v>
      </c>
      <c r="GP37" s="468">
        <f t="shared" si="48"/>
        <v>20000000</v>
      </c>
      <c r="GQ37" s="468"/>
      <c r="GR37" s="468">
        <v>5000000</v>
      </c>
      <c r="GS37" s="468">
        <v>0</v>
      </c>
      <c r="GT37" s="468">
        <f t="shared" si="49"/>
        <v>5000000</v>
      </c>
      <c r="GU37" s="468"/>
      <c r="GV37" s="465">
        <f t="shared" si="50"/>
        <v>1881264960</v>
      </c>
      <c r="GW37" s="465">
        <f t="shared" si="50"/>
        <v>1366736250.74</v>
      </c>
      <c r="GX37" s="465">
        <f t="shared" si="51"/>
        <v>514528709.25999999</v>
      </c>
      <c r="GY37" s="470"/>
      <c r="GZ37" s="464"/>
      <c r="HA37" s="471">
        <f>D37+H37+L37+X37+AN37+BH37+CB37+CF37+CV37+DP37+DT37+EN37+FH37+GB37</f>
        <v>1340000000</v>
      </c>
      <c r="HB37" s="471">
        <f>E37+I37+M37+Y37+AO37+BI37+CC37+CG37+CW37+DQ37+DU37+EO37+FI37+GC37</f>
        <v>1047063679.92</v>
      </c>
      <c r="HC37" s="471">
        <f t="shared" si="52"/>
        <v>292936320.08000004</v>
      </c>
      <c r="HE37" s="471">
        <f>P37+AB37+AR37+
BL37+CJ37+CZ37+DX37+ER37+FL37+GF37</f>
        <v>161972960</v>
      </c>
      <c r="HF37" s="471">
        <f>Q37+AC37+AS37+
BM37+CK37+DA37+DY37+ES37+FM37+GG37</f>
        <v>102118882</v>
      </c>
      <c r="HG37" s="471">
        <f t="shared" si="53"/>
        <v>59854078</v>
      </c>
      <c r="HI37" s="471">
        <f>T37+AF37+AV37+BP37+CN37+DD37+EB37+EV37+FP37+GJ37</f>
        <v>65142000</v>
      </c>
      <c r="HJ37" s="471">
        <f>U37+AG37+AW37+BQ37+CO37+DE37+EC37+EW37+FQ37+GK37</f>
        <v>142000</v>
      </c>
      <c r="HK37" s="471">
        <f t="shared" si="54"/>
        <v>65000000</v>
      </c>
      <c r="HM37" s="475">
        <f>AJ37+AZ37+BT37+CR37+DH37+EF37+EZ37+FT37+GN37</f>
        <v>270000000</v>
      </c>
      <c r="HN37" s="475">
        <f>AK37+BA37+BU37+CS37+DI37+EG37+FA37+FU37+GO37</f>
        <v>209534688.81999999</v>
      </c>
      <c r="HO37" s="475">
        <f t="shared" si="55"/>
        <v>60465311.180000007</v>
      </c>
      <c r="HP37" s="476"/>
      <c r="HR37" s="471">
        <f>BD37+BX37+DL37+EJ37+FD37+FX37+GR37</f>
        <v>44150000</v>
      </c>
      <c r="HS37" s="471">
        <f>BE37+BY37+DM37+EK37+FE37+FY37+GS37</f>
        <v>7877000</v>
      </c>
      <c r="HT37" s="471">
        <f t="shared" si="56"/>
        <v>36273000</v>
      </c>
    </row>
    <row r="38" spans="1:228" x14ac:dyDescent="0.25">
      <c r="A38" s="107">
        <v>33</v>
      </c>
      <c r="B38" s="107" t="s">
        <v>97</v>
      </c>
      <c r="C38" s="113" t="s">
        <v>65</v>
      </c>
      <c r="D38" s="488">
        <v>1750000</v>
      </c>
      <c r="E38" s="488">
        <v>1750000</v>
      </c>
      <c r="F38" s="465">
        <f t="shared" si="1"/>
        <v>0</v>
      </c>
      <c r="G38" s="488"/>
      <c r="H38" s="465">
        <v>50000000</v>
      </c>
      <c r="I38" s="465">
        <v>50000000</v>
      </c>
      <c r="J38" s="465">
        <f t="shared" si="2"/>
        <v>0</v>
      </c>
      <c r="K38" s="488"/>
      <c r="L38" s="465">
        <v>50000000</v>
      </c>
      <c r="M38" s="465">
        <v>50000000</v>
      </c>
      <c r="N38" s="465">
        <f t="shared" si="3"/>
        <v>0</v>
      </c>
      <c r="O38" s="488"/>
      <c r="P38" s="465">
        <v>7000000</v>
      </c>
      <c r="Q38" s="465">
        <v>7000000</v>
      </c>
      <c r="R38" s="465">
        <f t="shared" si="4"/>
        <v>0</v>
      </c>
      <c r="S38" s="488"/>
      <c r="T38" s="465">
        <v>2550000</v>
      </c>
      <c r="U38" s="465">
        <v>2550000</v>
      </c>
      <c r="V38" s="465">
        <f t="shared" si="5"/>
        <v>0</v>
      </c>
      <c r="W38" s="488"/>
      <c r="X38" s="465">
        <v>60000000</v>
      </c>
      <c r="Y38" s="465">
        <v>60000000</v>
      </c>
      <c r="Z38" s="465">
        <f t="shared" si="6"/>
        <v>0</v>
      </c>
      <c r="AA38" s="488"/>
      <c r="AB38" s="465">
        <v>10000000</v>
      </c>
      <c r="AC38" s="465">
        <v>10000000</v>
      </c>
      <c r="AD38" s="465">
        <f t="shared" si="7"/>
        <v>0</v>
      </c>
      <c r="AE38" s="488"/>
      <c r="AF38" s="465">
        <f>5000000-5000000</f>
        <v>0</v>
      </c>
      <c r="AG38" s="465">
        <v>0</v>
      </c>
      <c r="AH38" s="465">
        <f t="shared" si="8"/>
        <v>0</v>
      </c>
      <c r="AI38" s="488"/>
      <c r="AJ38" s="465">
        <v>15000000</v>
      </c>
      <c r="AK38" s="465">
        <v>15000000</v>
      </c>
      <c r="AL38" s="465">
        <f t="shared" si="9"/>
        <v>0</v>
      </c>
      <c r="AM38" s="465"/>
      <c r="AN38" s="465">
        <v>80000000</v>
      </c>
      <c r="AO38" s="465">
        <v>80000000</v>
      </c>
      <c r="AP38" s="465">
        <f t="shared" si="10"/>
        <v>0</v>
      </c>
      <c r="AQ38" s="488"/>
      <c r="AR38" s="465">
        <v>10000000</v>
      </c>
      <c r="AS38" s="465">
        <f>9081051+918949</f>
        <v>10000000</v>
      </c>
      <c r="AT38" s="465">
        <f t="shared" si="11"/>
        <v>0</v>
      </c>
      <c r="AU38" s="488"/>
      <c r="AV38" s="465">
        <v>5000000</v>
      </c>
      <c r="AW38" s="465">
        <v>0</v>
      </c>
      <c r="AX38" s="465">
        <f t="shared" si="12"/>
        <v>5000000</v>
      </c>
      <c r="AY38" s="488"/>
      <c r="AZ38" s="465">
        <v>20000000</v>
      </c>
      <c r="BA38" s="465">
        <v>20000000</v>
      </c>
      <c r="BB38" s="465">
        <f t="shared" si="13"/>
        <v>0</v>
      </c>
      <c r="BC38" s="488"/>
      <c r="BD38" s="465">
        <v>5000000</v>
      </c>
      <c r="BE38" s="465">
        <f>0</f>
        <v>0</v>
      </c>
      <c r="BF38" s="465">
        <f t="shared" si="14"/>
        <v>5000000</v>
      </c>
      <c r="BG38" s="488"/>
      <c r="BH38" s="465">
        <v>130000000</v>
      </c>
      <c r="BI38" s="465">
        <f>19547125+55964175+54488700</f>
        <v>130000000</v>
      </c>
      <c r="BJ38" s="465">
        <f t="shared" si="15"/>
        <v>0</v>
      </c>
      <c r="BK38" s="488"/>
      <c r="BL38" s="465">
        <v>10000000</v>
      </c>
      <c r="BM38" s="465">
        <f>10000000</f>
        <v>10000000</v>
      </c>
      <c r="BN38" s="465">
        <f t="shared" si="16"/>
        <v>0</v>
      </c>
      <c r="BO38" s="488"/>
      <c r="BP38" s="465">
        <v>10000000</v>
      </c>
      <c r="BQ38" s="465">
        <v>0</v>
      </c>
      <c r="BR38" s="465">
        <f t="shared" si="17"/>
        <v>10000000</v>
      </c>
      <c r="BS38" s="488"/>
      <c r="BT38" s="465">
        <v>40000000</v>
      </c>
      <c r="BU38" s="465">
        <f>4286649+8101720+14412000+8857351+4342280</f>
        <v>40000000</v>
      </c>
      <c r="BV38" s="465">
        <f t="shared" si="18"/>
        <v>0</v>
      </c>
      <c r="BW38" s="465"/>
      <c r="BX38" s="465">
        <v>5000000</v>
      </c>
      <c r="BY38" s="465">
        <v>0</v>
      </c>
      <c r="BZ38" s="465">
        <f t="shared" si="19"/>
        <v>5000000</v>
      </c>
      <c r="CA38" s="488"/>
      <c r="CB38" s="465">
        <v>0</v>
      </c>
      <c r="CC38" s="465">
        <v>0</v>
      </c>
      <c r="CD38" s="465">
        <f t="shared" si="20"/>
        <v>0</v>
      </c>
      <c r="CE38" s="488"/>
      <c r="CF38" s="465">
        <f t="shared" si="21"/>
        <v>140000000</v>
      </c>
      <c r="CG38" s="465">
        <f>40383155+7225500+19246950+88641650-15497255</f>
        <v>140000000</v>
      </c>
      <c r="CH38" s="465">
        <f t="shared" si="22"/>
        <v>0</v>
      </c>
      <c r="CI38" s="465"/>
      <c r="CJ38" s="465">
        <v>20000000</v>
      </c>
      <c r="CK38" s="465">
        <f>8988371+11011629</f>
        <v>20000000</v>
      </c>
      <c r="CL38" s="465">
        <f t="shared" si="23"/>
        <v>0</v>
      </c>
      <c r="CM38" s="488"/>
      <c r="CN38" s="465">
        <v>10000000</v>
      </c>
      <c r="CO38" s="465">
        <v>0</v>
      </c>
      <c r="CP38" s="465">
        <f t="shared" si="24"/>
        <v>10000000</v>
      </c>
      <c r="CQ38" s="488"/>
      <c r="CR38" s="465">
        <v>40000000</v>
      </c>
      <c r="CS38" s="465">
        <f>5566095+31842950+1926120+664835</f>
        <v>40000000</v>
      </c>
      <c r="CT38" s="465">
        <f t="shared" si="25"/>
        <v>0</v>
      </c>
      <c r="CU38" s="488"/>
      <c r="CV38" s="465">
        <v>150000000</v>
      </c>
      <c r="CW38" s="465">
        <f>15497255+134502745</f>
        <v>150000000</v>
      </c>
      <c r="CX38" s="465">
        <f t="shared" si="26"/>
        <v>0</v>
      </c>
      <c r="CY38" s="488"/>
      <c r="CZ38" s="465">
        <v>20000000</v>
      </c>
      <c r="DA38" s="465">
        <f>12872278+7127722</f>
        <v>20000000</v>
      </c>
      <c r="DB38" s="465">
        <f t="shared" si="27"/>
        <v>0</v>
      </c>
      <c r="DC38" s="465"/>
      <c r="DD38" s="465">
        <v>10000000</v>
      </c>
      <c r="DE38" s="465">
        <v>0</v>
      </c>
      <c r="DF38" s="465">
        <f t="shared" si="28"/>
        <v>10000000</v>
      </c>
      <c r="DG38" s="488"/>
      <c r="DH38" s="465">
        <v>50000000</v>
      </c>
      <c r="DI38" s="484">
        <f>20896635+14670675+1056800+9642024+2319800+1414066</f>
        <v>50000000</v>
      </c>
      <c r="DJ38" s="465">
        <f t="shared" si="29"/>
        <v>0</v>
      </c>
      <c r="DK38" s="465"/>
      <c r="DL38" s="465">
        <v>10000000</v>
      </c>
      <c r="DM38" s="465">
        <v>0</v>
      </c>
      <c r="DN38" s="465">
        <f t="shared" si="30"/>
        <v>10000000</v>
      </c>
      <c r="DO38" s="488"/>
      <c r="DP38" s="465">
        <v>0</v>
      </c>
      <c r="DQ38" s="465">
        <v>0</v>
      </c>
      <c r="DR38" s="465">
        <f t="shared" si="31"/>
        <v>0</v>
      </c>
      <c r="DS38" s="465"/>
      <c r="DT38" s="465">
        <v>100000000</v>
      </c>
      <c r="DU38" s="465">
        <f>19865535+29327500+4050000+46756965</f>
        <v>100000000</v>
      </c>
      <c r="DV38" s="465">
        <f t="shared" si="32"/>
        <v>0</v>
      </c>
      <c r="DW38" s="465"/>
      <c r="DX38" s="465">
        <v>15000000</v>
      </c>
      <c r="DY38" s="487">
        <f>572863.1+489600+1908600+551980</f>
        <v>3523043.1</v>
      </c>
      <c r="DZ38" s="465">
        <f t="shared" si="33"/>
        <v>11476956.9</v>
      </c>
      <c r="EA38" s="465"/>
      <c r="EB38" s="465">
        <v>10000000</v>
      </c>
      <c r="EC38" s="465">
        <v>0</v>
      </c>
      <c r="ED38" s="465">
        <f t="shared" si="34"/>
        <v>10000000</v>
      </c>
      <c r="EE38" s="465"/>
      <c r="EF38" s="465">
        <v>25000000</v>
      </c>
      <c r="EG38" s="465">
        <f>13523552+9951850+1524598</f>
        <v>25000000</v>
      </c>
      <c r="EH38" s="465">
        <f t="shared" si="35"/>
        <v>0</v>
      </c>
      <c r="EI38" s="465"/>
      <c r="EJ38" s="465">
        <v>10000000</v>
      </c>
      <c r="EK38" s="465">
        <v>0</v>
      </c>
      <c r="EL38" s="465">
        <f t="shared" si="36"/>
        <v>10000000</v>
      </c>
      <c r="EM38" s="488"/>
      <c r="EN38" s="465">
        <v>300000000</v>
      </c>
      <c r="EO38" s="484">
        <f>55399535+69755175+8100000+5700000+4500000+101740250+28877935+25927105</f>
        <v>300000000</v>
      </c>
      <c r="EP38" s="465">
        <f t="shared" si="37"/>
        <v>0</v>
      </c>
      <c r="EQ38" s="488"/>
      <c r="ER38" s="465">
        <v>25000000</v>
      </c>
      <c r="ES38" s="465">
        <v>0</v>
      </c>
      <c r="ET38" s="465">
        <f t="shared" si="38"/>
        <v>25000000</v>
      </c>
      <c r="EU38" s="488"/>
      <c r="EV38" s="465">
        <v>10000000</v>
      </c>
      <c r="EW38" s="465">
        <v>0</v>
      </c>
      <c r="EX38" s="465">
        <f t="shared" si="39"/>
        <v>10000000</v>
      </c>
      <c r="EY38" s="488"/>
      <c r="EZ38" s="465">
        <v>30000000</v>
      </c>
      <c r="FA38" s="484">
        <f>2315402+10644095+4662047+3756570+8621886</f>
        <v>30000000</v>
      </c>
      <c r="FB38" s="465">
        <f t="shared" si="40"/>
        <v>0</v>
      </c>
      <c r="FC38" s="488"/>
      <c r="FD38" s="465">
        <v>5000000</v>
      </c>
      <c r="FE38" s="465">
        <v>0</v>
      </c>
      <c r="FF38" s="465">
        <f t="shared" si="41"/>
        <v>5000000</v>
      </c>
      <c r="FG38" s="465"/>
      <c r="FH38" s="468">
        <v>120000000</v>
      </c>
      <c r="FI38" s="500">
        <f>43832895</f>
        <v>43832895</v>
      </c>
      <c r="FJ38" s="463">
        <f t="shared" si="0"/>
        <v>76167105</v>
      </c>
      <c r="FK38" s="468"/>
      <c r="FL38" s="468">
        <v>25000000</v>
      </c>
      <c r="FM38" s="468">
        <v>0</v>
      </c>
      <c r="FN38" s="468">
        <f t="shared" ref="FN38:FN60" si="63">FL38-FM38</f>
        <v>25000000</v>
      </c>
      <c r="FO38" s="468"/>
      <c r="FP38" s="468">
        <v>5000000</v>
      </c>
      <c r="FQ38" s="468">
        <v>0</v>
      </c>
      <c r="FR38" s="468">
        <f t="shared" ref="FR38:FR46" si="64">FP38-FQ38</f>
        <v>5000000</v>
      </c>
      <c r="FS38" s="468"/>
      <c r="FT38" s="468">
        <v>30000000</v>
      </c>
      <c r="FU38" s="469">
        <f>7187438</f>
        <v>7187438</v>
      </c>
      <c r="FV38" s="468">
        <f t="shared" ref="FV38:FV46" si="65">FT38-FU38</f>
        <v>22812562</v>
      </c>
      <c r="FW38" s="468"/>
      <c r="FX38" s="468">
        <v>4150000</v>
      </c>
      <c r="FY38" s="468">
        <v>0</v>
      </c>
      <c r="FZ38" s="468">
        <v>4150000</v>
      </c>
      <c r="GA38" s="468"/>
      <c r="GB38" s="468">
        <v>160000000</v>
      </c>
      <c r="GC38" s="468">
        <v>0</v>
      </c>
      <c r="GD38" s="468">
        <f t="shared" si="45"/>
        <v>160000000</v>
      </c>
      <c r="GE38" s="468"/>
      <c r="GF38" s="468">
        <v>25000000</v>
      </c>
      <c r="GG38" s="468">
        <v>0</v>
      </c>
      <c r="GH38" s="468">
        <f t="shared" si="46"/>
        <v>25000000</v>
      </c>
      <c r="GI38" s="468"/>
      <c r="GJ38" s="468">
        <v>5000000</v>
      </c>
      <c r="GK38" s="468">
        <v>0</v>
      </c>
      <c r="GL38" s="468">
        <f t="shared" si="47"/>
        <v>5000000</v>
      </c>
      <c r="GM38" s="468"/>
      <c r="GN38" s="468">
        <v>20000000</v>
      </c>
      <c r="GO38" s="468">
        <v>0</v>
      </c>
      <c r="GP38" s="468">
        <f t="shared" si="48"/>
        <v>20000000</v>
      </c>
      <c r="GQ38" s="468"/>
      <c r="GR38" s="468">
        <v>5000000</v>
      </c>
      <c r="GS38" s="468">
        <v>0</v>
      </c>
      <c r="GT38" s="468">
        <f t="shared" si="49"/>
        <v>5000000</v>
      </c>
      <c r="GU38" s="468"/>
      <c r="GV38" s="465">
        <f t="shared" si="50"/>
        <v>1890450000</v>
      </c>
      <c r="GW38" s="465">
        <f t="shared" si="50"/>
        <v>1415843376.0999999</v>
      </c>
      <c r="GX38" s="465">
        <f t="shared" si="51"/>
        <v>474606623.9000001</v>
      </c>
      <c r="GY38" s="470"/>
      <c r="GZ38" s="464"/>
      <c r="HA38" s="471">
        <f>D38+H38+L38+X38+AN38+BH38+CB38+CF38+CV38+DP38+DT38+EN38+FH38+GB38</f>
        <v>1341750000</v>
      </c>
      <c r="HB38" s="471">
        <f>E38+I38+M38+Y38+AO38+BI38+CC38+CG38+CW38+DQ38+DU38+EO38+FI38+GC38</f>
        <v>1105582895</v>
      </c>
      <c r="HC38" s="471">
        <f t="shared" si="52"/>
        <v>236167105</v>
      </c>
      <c r="HE38" s="471">
        <f>P38+AB38+AR38+
BL38+CJ38+CZ38+DX38+ER38+FL38+GF38</f>
        <v>167000000</v>
      </c>
      <c r="HF38" s="471">
        <f>Q38+AC38+AS38+
BM38+CK38+DA38+DY38+ES38+FM38+GG38</f>
        <v>80523043.099999994</v>
      </c>
      <c r="HG38" s="471">
        <f t="shared" si="53"/>
        <v>86476956.900000006</v>
      </c>
      <c r="HI38" s="471">
        <f>T38+AF38+AV38+BP38+CN38+DD38+EB38+EV38+FP38+GJ38</f>
        <v>67550000</v>
      </c>
      <c r="HJ38" s="471">
        <f>U38+AG38+AW38+BQ38+CO38+DE38+EC38+EW38+FQ38+GK38</f>
        <v>2550000</v>
      </c>
      <c r="HK38" s="471">
        <f t="shared" si="54"/>
        <v>65000000</v>
      </c>
      <c r="HM38" s="475">
        <f>AJ38+AZ38+BT38+CR38+DH38+EF38+EZ38+FT38+GN38</f>
        <v>270000000</v>
      </c>
      <c r="HN38" s="475">
        <f>AK38+BA38+BU38+CS38+DI38+EG38+FA38+FU38+GO38</f>
        <v>227187438</v>
      </c>
      <c r="HO38" s="475">
        <f t="shared" si="55"/>
        <v>42812562</v>
      </c>
      <c r="HP38" s="476"/>
      <c r="HR38" s="471">
        <f>BD38+BX38+DL38+EJ38+FD38+FX38+GR38</f>
        <v>44150000</v>
      </c>
      <c r="HS38" s="471">
        <f>BE38+BY38+DM38+EK38+FE38+FY38+GS38</f>
        <v>0</v>
      </c>
      <c r="HT38" s="471">
        <f t="shared" si="56"/>
        <v>44150000</v>
      </c>
    </row>
    <row r="39" spans="1:228" x14ac:dyDescent="0.25">
      <c r="A39" s="107">
        <v>34</v>
      </c>
      <c r="B39" s="107" t="s">
        <v>98</v>
      </c>
      <c r="C39" s="113" t="s">
        <v>69</v>
      </c>
      <c r="D39" s="465">
        <v>0</v>
      </c>
      <c r="E39" s="465">
        <v>0</v>
      </c>
      <c r="F39" s="465">
        <f t="shared" si="1"/>
        <v>0</v>
      </c>
      <c r="G39" s="465"/>
      <c r="H39" s="465">
        <v>50000000</v>
      </c>
      <c r="I39" s="465">
        <v>50000000</v>
      </c>
      <c r="J39" s="465">
        <f t="shared" si="2"/>
        <v>0</v>
      </c>
      <c r="K39" s="465"/>
      <c r="L39" s="465">
        <v>50000000</v>
      </c>
      <c r="M39" s="465">
        <v>50000000</v>
      </c>
      <c r="N39" s="465">
        <f t="shared" si="3"/>
        <v>0</v>
      </c>
      <c r="O39" s="465"/>
      <c r="P39" s="465">
        <v>7000000</v>
      </c>
      <c r="Q39" s="465">
        <v>7000000</v>
      </c>
      <c r="R39" s="465">
        <f t="shared" si="4"/>
        <v>0</v>
      </c>
      <c r="S39" s="465"/>
      <c r="T39" s="465">
        <f>3000000-3000000</f>
        <v>0</v>
      </c>
      <c r="U39" s="465">
        <v>0</v>
      </c>
      <c r="V39" s="465">
        <f t="shared" si="5"/>
        <v>0</v>
      </c>
      <c r="W39" s="465"/>
      <c r="X39" s="465">
        <v>60000000</v>
      </c>
      <c r="Y39" s="465">
        <v>60000000</v>
      </c>
      <c r="Z39" s="465">
        <f t="shared" si="6"/>
        <v>0</v>
      </c>
      <c r="AA39" s="465"/>
      <c r="AB39" s="465">
        <v>10000000</v>
      </c>
      <c r="AC39" s="465">
        <v>10000000</v>
      </c>
      <c r="AD39" s="465">
        <f t="shared" si="7"/>
        <v>0</v>
      </c>
      <c r="AE39" s="465"/>
      <c r="AF39" s="465">
        <v>4250000</v>
      </c>
      <c r="AG39" s="465">
        <v>4250000</v>
      </c>
      <c r="AH39" s="465">
        <f t="shared" si="8"/>
        <v>0</v>
      </c>
      <c r="AI39" s="465"/>
      <c r="AJ39" s="465">
        <v>15000000</v>
      </c>
      <c r="AK39" s="465">
        <v>15000000</v>
      </c>
      <c r="AL39" s="465">
        <f t="shared" si="9"/>
        <v>0</v>
      </c>
      <c r="AM39" s="465"/>
      <c r="AN39" s="465">
        <v>80000000</v>
      </c>
      <c r="AO39" s="465">
        <v>80000000</v>
      </c>
      <c r="AP39" s="465">
        <f t="shared" si="10"/>
        <v>0</v>
      </c>
      <c r="AQ39" s="465"/>
      <c r="AR39" s="465">
        <v>10000000</v>
      </c>
      <c r="AS39" s="465">
        <v>10000000</v>
      </c>
      <c r="AT39" s="465">
        <f t="shared" si="11"/>
        <v>0</v>
      </c>
      <c r="AU39" s="465"/>
      <c r="AV39" s="465">
        <v>5000000</v>
      </c>
      <c r="AW39" s="465">
        <v>4547500</v>
      </c>
      <c r="AX39" s="465">
        <f t="shared" si="12"/>
        <v>452500</v>
      </c>
      <c r="AY39" s="465"/>
      <c r="AZ39" s="465">
        <v>20000000</v>
      </c>
      <c r="BA39" s="465">
        <v>20000000</v>
      </c>
      <c r="BB39" s="465">
        <f t="shared" si="13"/>
        <v>0</v>
      </c>
      <c r="BC39" s="465"/>
      <c r="BD39" s="465">
        <v>5000000</v>
      </c>
      <c r="BE39" s="465">
        <f>0</f>
        <v>0</v>
      </c>
      <c r="BF39" s="465">
        <f t="shared" si="14"/>
        <v>5000000</v>
      </c>
      <c r="BG39" s="465"/>
      <c r="BH39" s="465">
        <v>130000000</v>
      </c>
      <c r="BI39" s="465">
        <f>4296883+70173500+10985400+5743068+31000500+7800649</f>
        <v>130000000</v>
      </c>
      <c r="BJ39" s="465">
        <f t="shared" si="15"/>
        <v>0</v>
      </c>
      <c r="BK39" s="465"/>
      <c r="BL39" s="465">
        <v>10000000</v>
      </c>
      <c r="BM39" s="465">
        <f>10000000</f>
        <v>10000000</v>
      </c>
      <c r="BN39" s="465">
        <f t="shared" si="16"/>
        <v>0</v>
      </c>
      <c r="BO39" s="465"/>
      <c r="BP39" s="465">
        <v>10000000</v>
      </c>
      <c r="BQ39" s="465">
        <v>0</v>
      </c>
      <c r="BR39" s="465">
        <f t="shared" si="17"/>
        <v>10000000</v>
      </c>
      <c r="BS39" s="465"/>
      <c r="BT39" s="465">
        <v>40000000</v>
      </c>
      <c r="BU39" s="465">
        <f>7538372+11093500+2393744+6434460+10046532+2493392</f>
        <v>40000000</v>
      </c>
      <c r="BV39" s="465">
        <f t="shared" si="18"/>
        <v>0</v>
      </c>
      <c r="BW39" s="465"/>
      <c r="BX39" s="465">
        <v>5000000</v>
      </c>
      <c r="BY39" s="465">
        <v>0</v>
      </c>
      <c r="BZ39" s="465">
        <f t="shared" si="19"/>
        <v>5000000</v>
      </c>
      <c r="CA39" s="465"/>
      <c r="CB39" s="465">
        <v>0</v>
      </c>
      <c r="CC39" s="465">
        <v>0</v>
      </c>
      <c r="CD39" s="465">
        <f t="shared" si="20"/>
        <v>0</v>
      </c>
      <c r="CE39" s="465"/>
      <c r="CF39" s="465">
        <f t="shared" si="21"/>
        <v>140000000</v>
      </c>
      <c r="CG39" s="465">
        <f>5791751+7267000+24766000+17167815-17167815+4050000+7531840+73425594+17167815</f>
        <v>140000000</v>
      </c>
      <c r="CH39" s="465">
        <f t="shared" si="22"/>
        <v>0</v>
      </c>
      <c r="CI39" s="465"/>
      <c r="CJ39" s="465">
        <v>20000000</v>
      </c>
      <c r="CK39" s="465">
        <f>1999250+13666078</f>
        <v>15665328</v>
      </c>
      <c r="CL39" s="465">
        <f t="shared" si="23"/>
        <v>4334672</v>
      </c>
      <c r="CM39" s="465"/>
      <c r="CN39" s="465">
        <v>10000000</v>
      </c>
      <c r="CO39" s="465">
        <v>0</v>
      </c>
      <c r="CP39" s="465">
        <f t="shared" si="24"/>
        <v>10000000</v>
      </c>
      <c r="CQ39" s="465"/>
      <c r="CR39" s="465">
        <v>40000000</v>
      </c>
      <c r="CS39" s="465">
        <f>15226908+16750050+6817960+1205082</f>
        <v>40000000</v>
      </c>
      <c r="CT39" s="465">
        <f t="shared" si="25"/>
        <v>0</v>
      </c>
      <c r="CU39" s="465"/>
      <c r="CV39" s="465">
        <v>150000000</v>
      </c>
      <c r="CW39" s="465">
        <f>1080006+17678700+5427600+1050000+12668000+66380965</f>
        <v>104285271</v>
      </c>
      <c r="CX39" s="465">
        <f t="shared" si="26"/>
        <v>45714729</v>
      </c>
      <c r="CY39" s="465"/>
      <c r="CZ39" s="465">
        <v>20000000</v>
      </c>
      <c r="DA39" s="465">
        <f>11916750+7914436+168814</f>
        <v>20000000</v>
      </c>
      <c r="DB39" s="465">
        <f t="shared" si="27"/>
        <v>0</v>
      </c>
      <c r="DC39" s="465"/>
      <c r="DD39" s="465">
        <v>10000000</v>
      </c>
      <c r="DE39" s="465">
        <v>0</v>
      </c>
      <c r="DF39" s="465">
        <f t="shared" si="28"/>
        <v>10000000</v>
      </c>
      <c r="DG39" s="465"/>
      <c r="DH39" s="465">
        <v>50000000</v>
      </c>
      <c r="DI39" s="465">
        <f>27533168+17750913+1903600+2812319</f>
        <v>50000000</v>
      </c>
      <c r="DJ39" s="465">
        <f t="shared" si="29"/>
        <v>0</v>
      </c>
      <c r="DK39" s="465"/>
      <c r="DL39" s="465">
        <v>10000000</v>
      </c>
      <c r="DM39" s="465">
        <v>0</v>
      </c>
      <c r="DN39" s="465">
        <f t="shared" si="30"/>
        <v>10000000</v>
      </c>
      <c r="DO39" s="465"/>
      <c r="DP39" s="465">
        <v>0</v>
      </c>
      <c r="DQ39" s="465">
        <v>0</v>
      </c>
      <c r="DR39" s="465">
        <f t="shared" si="31"/>
        <v>0</v>
      </c>
      <c r="DS39" s="465"/>
      <c r="DT39" s="465">
        <v>100000000</v>
      </c>
      <c r="DU39" s="465">
        <f>20526840+4500000+21685660+16861540+4500000</f>
        <v>68074040</v>
      </c>
      <c r="DV39" s="465">
        <f t="shared" si="32"/>
        <v>31925960</v>
      </c>
      <c r="DW39" s="465"/>
      <c r="DX39" s="465">
        <v>15000000</v>
      </c>
      <c r="DY39" s="465">
        <f>5812926+4017810+5169264</f>
        <v>15000000</v>
      </c>
      <c r="DZ39" s="465">
        <f t="shared" si="33"/>
        <v>0</v>
      </c>
      <c r="EA39" s="465"/>
      <c r="EB39" s="465">
        <v>10000000</v>
      </c>
      <c r="EC39" s="465">
        <v>0</v>
      </c>
      <c r="ED39" s="465">
        <f t="shared" si="34"/>
        <v>10000000</v>
      </c>
      <c r="EE39" s="465"/>
      <c r="EF39" s="465">
        <v>25000000</v>
      </c>
      <c r="EG39" s="465">
        <f>158000+17167815+2657200+243600+432000+1833400+2507985</f>
        <v>25000000</v>
      </c>
      <c r="EH39" s="465">
        <f t="shared" si="35"/>
        <v>0</v>
      </c>
      <c r="EI39" s="465"/>
      <c r="EJ39" s="465">
        <v>10000000</v>
      </c>
      <c r="EK39" s="465">
        <v>0</v>
      </c>
      <c r="EL39" s="465">
        <f t="shared" si="36"/>
        <v>10000000</v>
      </c>
      <c r="EM39" s="465"/>
      <c r="EN39" s="465">
        <v>300000000</v>
      </c>
      <c r="EO39" s="465">
        <v>0</v>
      </c>
      <c r="EP39" s="465">
        <f t="shared" si="37"/>
        <v>300000000</v>
      </c>
      <c r="EQ39" s="465"/>
      <c r="ER39" s="465">
        <v>25000000</v>
      </c>
      <c r="ES39" s="465">
        <f>4718676+9201105</f>
        <v>13919781</v>
      </c>
      <c r="ET39" s="465">
        <f t="shared" si="38"/>
        <v>11080219</v>
      </c>
      <c r="EU39" s="465"/>
      <c r="EV39" s="465">
        <v>10000000</v>
      </c>
      <c r="EW39" s="465">
        <v>0</v>
      </c>
      <c r="EX39" s="465">
        <f t="shared" si="39"/>
        <v>10000000</v>
      </c>
      <c r="EY39" s="465"/>
      <c r="EZ39" s="465">
        <v>30000000</v>
      </c>
      <c r="FA39" s="484">
        <f>3985325+1588846+20071835</f>
        <v>25646006</v>
      </c>
      <c r="FB39" s="465">
        <f t="shared" si="40"/>
        <v>4353994</v>
      </c>
      <c r="FC39" s="465"/>
      <c r="FD39" s="465">
        <v>5000000</v>
      </c>
      <c r="FE39" s="465">
        <v>0</v>
      </c>
      <c r="FF39" s="465">
        <f t="shared" si="41"/>
        <v>5000000</v>
      </c>
      <c r="FG39" s="465"/>
      <c r="FH39" s="468">
        <v>120000000</v>
      </c>
      <c r="FI39" s="463">
        <v>0</v>
      </c>
      <c r="FJ39" s="463">
        <f t="shared" si="0"/>
        <v>120000000</v>
      </c>
      <c r="FK39" s="468"/>
      <c r="FL39" s="468">
        <v>25000000</v>
      </c>
      <c r="FM39" s="468">
        <v>0</v>
      </c>
      <c r="FN39" s="468">
        <f t="shared" si="63"/>
        <v>25000000</v>
      </c>
      <c r="FO39" s="468"/>
      <c r="FP39" s="468">
        <v>5000000</v>
      </c>
      <c r="FQ39" s="468">
        <v>0</v>
      </c>
      <c r="FR39" s="468">
        <f t="shared" si="64"/>
        <v>5000000</v>
      </c>
      <c r="FS39" s="468"/>
      <c r="FT39" s="468">
        <v>30000000</v>
      </c>
      <c r="FU39" s="468">
        <v>0</v>
      </c>
      <c r="FV39" s="468">
        <f t="shared" si="65"/>
        <v>30000000</v>
      </c>
      <c r="FW39" s="468"/>
      <c r="FX39" s="468">
        <v>4150000</v>
      </c>
      <c r="FY39" s="468">
        <v>0</v>
      </c>
      <c r="FZ39" s="468">
        <v>4150000</v>
      </c>
      <c r="GA39" s="468"/>
      <c r="GB39" s="468">
        <v>160000000</v>
      </c>
      <c r="GC39" s="468">
        <v>0</v>
      </c>
      <c r="GD39" s="468">
        <f t="shared" si="45"/>
        <v>160000000</v>
      </c>
      <c r="GE39" s="468"/>
      <c r="GF39" s="468">
        <v>25000000</v>
      </c>
      <c r="GG39" s="468">
        <v>0</v>
      </c>
      <c r="GH39" s="468">
        <f t="shared" si="46"/>
        <v>25000000</v>
      </c>
      <c r="GI39" s="468"/>
      <c r="GJ39" s="468">
        <v>5000000</v>
      </c>
      <c r="GK39" s="468">
        <v>0</v>
      </c>
      <c r="GL39" s="468">
        <f t="shared" si="47"/>
        <v>5000000</v>
      </c>
      <c r="GM39" s="468"/>
      <c r="GN39" s="468">
        <v>20000000</v>
      </c>
      <c r="GO39" s="468">
        <v>0</v>
      </c>
      <c r="GP39" s="468">
        <f t="shared" si="48"/>
        <v>20000000</v>
      </c>
      <c r="GQ39" s="468"/>
      <c r="GR39" s="468">
        <v>5000000</v>
      </c>
      <c r="GS39" s="468">
        <v>0</v>
      </c>
      <c r="GT39" s="468">
        <f t="shared" si="49"/>
        <v>5000000</v>
      </c>
      <c r="GU39" s="468"/>
      <c r="GV39" s="465">
        <f t="shared" si="50"/>
        <v>1890400000</v>
      </c>
      <c r="GW39" s="465">
        <f t="shared" si="50"/>
        <v>1008387926</v>
      </c>
      <c r="GX39" s="465">
        <f t="shared" si="51"/>
        <v>882012074</v>
      </c>
      <c r="GY39" s="470"/>
      <c r="GZ39" s="464"/>
      <c r="HA39" s="471">
        <f>D39+H39+L39+X39+AN39+BH39+CB39+CF39+CV39+DP39+DT39+EN39+FH39+GB39</f>
        <v>1340000000</v>
      </c>
      <c r="HB39" s="471">
        <f>E39+I39+M39+Y39+AO39+BI39+CC39+CG39+CW39+DQ39+DU39+EO39+FI39+GC39</f>
        <v>682359311</v>
      </c>
      <c r="HC39" s="471">
        <f t="shared" si="52"/>
        <v>657640689</v>
      </c>
      <c r="HE39" s="471">
        <f>P39+AB39+AR39+
BL39+CJ39+CZ39+DX39+ER39+FL39+GF39</f>
        <v>167000000</v>
      </c>
      <c r="HF39" s="471">
        <f>Q39+AC39+AS39+
BM39+CK39+DA39+DY39+ES39+FM39+GG39</f>
        <v>101585109</v>
      </c>
      <c r="HG39" s="471">
        <f t="shared" si="53"/>
        <v>65414891</v>
      </c>
      <c r="HI39" s="471">
        <f>T39+AF39+AV39+BP39+CN39+DD39+EB39+EV39+FP39+GJ39</f>
        <v>69250000</v>
      </c>
      <c r="HJ39" s="471">
        <f>U39+AG39+AW39+BQ39+CO39+DE39+EC39+EW39+FQ39+GK39</f>
        <v>8797500</v>
      </c>
      <c r="HK39" s="471">
        <f t="shared" si="54"/>
        <v>60452500</v>
      </c>
      <c r="HM39" s="475">
        <f>AJ39+AZ39+BT39+CR39+DH39+EF39+EZ39+FT39+GN39</f>
        <v>270000000</v>
      </c>
      <c r="HN39" s="475">
        <f>AK39+BA39+BU39+CS39+DI39+EG39+FA39+FU39+GO39</f>
        <v>215646006</v>
      </c>
      <c r="HO39" s="475">
        <f t="shared" si="55"/>
        <v>54353994</v>
      </c>
      <c r="HP39" s="476"/>
      <c r="HR39" s="471">
        <f>BD39+BX39+DL39+EJ39+FD39+FX39+GR39</f>
        <v>44150000</v>
      </c>
      <c r="HS39" s="471">
        <f>BE39+BY39+DM39+EK39+FE39+FY39+GS39</f>
        <v>0</v>
      </c>
      <c r="HT39" s="471">
        <f t="shared" si="56"/>
        <v>44150000</v>
      </c>
    </row>
    <row r="40" spans="1:228" x14ac:dyDescent="0.25">
      <c r="A40" s="107">
        <v>35</v>
      </c>
      <c r="B40" s="501" t="s">
        <v>99</v>
      </c>
      <c r="C40" s="113" t="s">
        <v>61</v>
      </c>
      <c r="D40" s="465">
        <v>0</v>
      </c>
      <c r="E40" s="465">
        <v>0</v>
      </c>
      <c r="F40" s="465">
        <f t="shared" si="1"/>
        <v>0</v>
      </c>
      <c r="G40" s="465"/>
      <c r="H40" s="465">
        <v>50000000</v>
      </c>
      <c r="I40" s="465">
        <f>46000000+4000000</f>
        <v>50000000</v>
      </c>
      <c r="J40" s="465">
        <f t="shared" si="2"/>
        <v>0</v>
      </c>
      <c r="K40" s="465"/>
      <c r="L40" s="465">
        <v>50000000</v>
      </c>
      <c r="M40" s="465">
        <f>41444040.3+8555959.7</f>
        <v>50000000</v>
      </c>
      <c r="N40" s="465">
        <f t="shared" si="3"/>
        <v>0</v>
      </c>
      <c r="O40" s="465"/>
      <c r="P40" s="465">
        <v>7000000</v>
      </c>
      <c r="Q40" s="465">
        <f>7000000</f>
        <v>7000000</v>
      </c>
      <c r="R40" s="465">
        <f t="shared" si="4"/>
        <v>0</v>
      </c>
      <c r="S40" s="465"/>
      <c r="T40" s="465">
        <v>3000000</v>
      </c>
      <c r="U40" s="465">
        <v>3000000</v>
      </c>
      <c r="V40" s="465">
        <f t="shared" si="5"/>
        <v>0</v>
      </c>
      <c r="W40" s="465"/>
      <c r="X40" s="465">
        <v>60000000</v>
      </c>
      <c r="Y40" s="465">
        <f>60000000</f>
        <v>60000000</v>
      </c>
      <c r="Z40" s="465">
        <f t="shared" si="6"/>
        <v>0</v>
      </c>
      <c r="AA40" s="465"/>
      <c r="AB40" s="465">
        <v>10000000</v>
      </c>
      <c r="AC40" s="465">
        <f>10000000</f>
        <v>10000000</v>
      </c>
      <c r="AD40" s="465">
        <f t="shared" si="7"/>
        <v>0</v>
      </c>
      <c r="AE40" s="465"/>
      <c r="AF40" s="465">
        <v>5000000</v>
      </c>
      <c r="AG40" s="465">
        <f>3800000+1200000</f>
        <v>5000000</v>
      </c>
      <c r="AH40" s="465">
        <f t="shared" si="8"/>
        <v>0</v>
      </c>
      <c r="AI40" s="465"/>
      <c r="AJ40" s="465">
        <v>15000000</v>
      </c>
      <c r="AK40" s="465">
        <f>588900+5105064+2633043.9+1668169.35+1838945.27+3165877.48</f>
        <v>15000000</v>
      </c>
      <c r="AL40" s="465">
        <f t="shared" si="9"/>
        <v>0</v>
      </c>
      <c r="AM40" s="465"/>
      <c r="AN40" s="465">
        <v>80000000</v>
      </c>
      <c r="AO40" s="465">
        <f>57495400+20000000+2504600</f>
        <v>80000000</v>
      </c>
      <c r="AP40" s="465">
        <f t="shared" si="10"/>
        <v>0</v>
      </c>
      <c r="AQ40" s="465"/>
      <c r="AR40" s="465">
        <v>10000000</v>
      </c>
      <c r="AS40" s="465">
        <f>10000000</f>
        <v>10000000</v>
      </c>
      <c r="AT40" s="465">
        <f t="shared" si="11"/>
        <v>0</v>
      </c>
      <c r="AU40" s="465"/>
      <c r="AV40" s="465">
        <v>5000000</v>
      </c>
      <c r="AW40" s="465">
        <f>3050000+6950000-5000000</f>
        <v>5000000</v>
      </c>
      <c r="AX40" s="465">
        <f t="shared" si="12"/>
        <v>0</v>
      </c>
      <c r="AY40" s="465"/>
      <c r="AZ40" s="465">
        <v>20000000</v>
      </c>
      <c r="BA40" s="465">
        <f>8115117.52+3299800+8585082.48</f>
        <v>20000000</v>
      </c>
      <c r="BB40" s="465">
        <f t="shared" si="13"/>
        <v>0</v>
      </c>
      <c r="BC40" s="465"/>
      <c r="BD40" s="465">
        <v>5000000</v>
      </c>
      <c r="BE40" s="492">
        <f>5000000</f>
        <v>5000000</v>
      </c>
      <c r="BF40" s="465">
        <f t="shared" si="14"/>
        <v>0</v>
      </c>
      <c r="BG40" s="465"/>
      <c r="BH40" s="465">
        <v>130000000</v>
      </c>
      <c r="BI40" s="465">
        <f>8929000+59306600+9364100+52400300</f>
        <v>130000000</v>
      </c>
      <c r="BJ40" s="465">
        <f t="shared" si="15"/>
        <v>0</v>
      </c>
      <c r="BK40" s="465"/>
      <c r="BL40" s="465">
        <v>10000000</v>
      </c>
      <c r="BM40" s="465">
        <f>10000000</f>
        <v>10000000</v>
      </c>
      <c r="BN40" s="465">
        <f t="shared" si="16"/>
        <v>0</v>
      </c>
      <c r="BO40" s="465"/>
      <c r="BP40" s="465">
        <v>10000000</v>
      </c>
      <c r="BQ40" s="465">
        <f>1550000+8450000</f>
        <v>10000000</v>
      </c>
      <c r="BR40" s="465">
        <f t="shared" si="17"/>
        <v>0</v>
      </c>
      <c r="BS40" s="465"/>
      <c r="BT40" s="465">
        <v>40000000</v>
      </c>
      <c r="BU40" s="465">
        <f>108313.52+10603109.35+7563945+9185960+12538672.13</f>
        <v>40000000</v>
      </c>
      <c r="BV40" s="465">
        <f t="shared" si="18"/>
        <v>0</v>
      </c>
      <c r="BW40" s="465"/>
      <c r="BX40" s="465">
        <v>5000000</v>
      </c>
      <c r="BY40" s="483">
        <f>3500000+1500000</f>
        <v>5000000</v>
      </c>
      <c r="BZ40" s="465">
        <f t="shared" si="19"/>
        <v>0</v>
      </c>
      <c r="CA40" s="465"/>
      <c r="CB40" s="465"/>
      <c r="CC40" s="465">
        <v>0</v>
      </c>
      <c r="CD40" s="465">
        <f t="shared" si="20"/>
        <v>0</v>
      </c>
      <c r="CE40" s="465"/>
      <c r="CF40" s="465">
        <f t="shared" si="21"/>
        <v>140000000</v>
      </c>
      <c r="CG40" s="465">
        <f>91472109+8261985+40247305.3+18600.699999988</f>
        <v>140000000</v>
      </c>
      <c r="CH40" s="465">
        <f t="shared" si="22"/>
        <v>0</v>
      </c>
      <c r="CI40" s="465"/>
      <c r="CJ40" s="465">
        <v>20000000</v>
      </c>
      <c r="CK40" s="465">
        <f>4546961.1+14881280+4260000+4767000-4260000-4767000+571758.9</f>
        <v>20000000</v>
      </c>
      <c r="CL40" s="465">
        <f t="shared" si="23"/>
        <v>0</v>
      </c>
      <c r="CM40" s="465"/>
      <c r="CN40" s="465">
        <v>10000000</v>
      </c>
      <c r="CO40" s="465">
        <f>8550000+1450000</f>
        <v>10000000</v>
      </c>
      <c r="CP40" s="465">
        <f t="shared" si="24"/>
        <v>0</v>
      </c>
      <c r="CQ40" s="465"/>
      <c r="CR40" s="465">
        <v>40000000</v>
      </c>
      <c r="CS40" s="465">
        <f>23174480+16825520</f>
        <v>40000000</v>
      </c>
      <c r="CT40" s="465">
        <f t="shared" si="25"/>
        <v>0</v>
      </c>
      <c r="CU40" s="465"/>
      <c r="CV40" s="465">
        <v>150000000</v>
      </c>
      <c r="CW40" s="465">
        <f>3581399.30000001+4500000+136267116-136267116-4500000+4500000+136267116+5651484.7</f>
        <v>150000000</v>
      </c>
      <c r="CX40" s="465">
        <f t="shared" si="26"/>
        <v>0</v>
      </c>
      <c r="CY40" s="465"/>
      <c r="CZ40" s="465">
        <v>20000000</v>
      </c>
      <c r="DA40" s="465">
        <f>18514694.1+1485305.9</f>
        <v>20000000</v>
      </c>
      <c r="DB40" s="465">
        <f t="shared" si="27"/>
        <v>0</v>
      </c>
      <c r="DC40" s="465"/>
      <c r="DD40" s="465">
        <v>10000000</v>
      </c>
      <c r="DE40" s="465">
        <f>2000000+5000000</f>
        <v>7000000</v>
      </c>
      <c r="DF40" s="465">
        <f t="shared" si="28"/>
        <v>3000000</v>
      </c>
      <c r="DG40" s="465"/>
      <c r="DH40" s="465">
        <v>50000000</v>
      </c>
      <c r="DI40" s="465">
        <f>37378836+21033225-21033225+8494552.87+3729665+396946.13</f>
        <v>50000000</v>
      </c>
      <c r="DJ40" s="465">
        <f t="shared" si="29"/>
        <v>0</v>
      </c>
      <c r="DK40" s="465"/>
      <c r="DL40" s="465">
        <v>10000000</v>
      </c>
      <c r="DM40" s="483">
        <f>2154200</f>
        <v>2154200</v>
      </c>
      <c r="DN40" s="465">
        <f t="shared" si="30"/>
        <v>7845800</v>
      </c>
      <c r="DO40" s="465"/>
      <c r="DP40" s="465">
        <v>0</v>
      </c>
      <c r="DQ40" s="465">
        <v>0</v>
      </c>
      <c r="DR40" s="465">
        <f t="shared" si="31"/>
        <v>0</v>
      </c>
      <c r="DS40" s="465"/>
      <c r="DT40" s="465">
        <v>100000000</v>
      </c>
      <c r="DU40" s="487">
        <f>4348515.3+4500000+12600000+13500000+55355918+9000000+695566.7</f>
        <v>100000000</v>
      </c>
      <c r="DV40" s="465">
        <f t="shared" si="32"/>
        <v>0</v>
      </c>
      <c r="DW40" s="465"/>
      <c r="DX40" s="465">
        <v>15000000</v>
      </c>
      <c r="DY40" s="465">
        <f>6622225.33+5194228.2+3183546.47</f>
        <v>15000000.000000002</v>
      </c>
      <c r="DZ40" s="465">
        <f t="shared" si="33"/>
        <v>0</v>
      </c>
      <c r="EA40" s="465"/>
      <c r="EB40" s="465">
        <v>10000000</v>
      </c>
      <c r="EC40" s="465">
        <v>0</v>
      </c>
      <c r="ED40" s="465">
        <f t="shared" si="34"/>
        <v>10000000</v>
      </c>
      <c r="EE40" s="465"/>
      <c r="EF40" s="465">
        <v>25000000</v>
      </c>
      <c r="EG40" s="484">
        <f>2054193.87+7379500+5377766+1275815-183009+3178635+5917099.13</f>
        <v>25000000</v>
      </c>
      <c r="EH40" s="465">
        <f t="shared" si="35"/>
        <v>0</v>
      </c>
      <c r="EI40" s="465"/>
      <c r="EJ40" s="465">
        <v>10000000</v>
      </c>
      <c r="EK40" s="465">
        <v>0</v>
      </c>
      <c r="EL40" s="465">
        <f t="shared" si="36"/>
        <v>10000000</v>
      </c>
      <c r="EM40" s="465"/>
      <c r="EN40" s="465">
        <v>300000000</v>
      </c>
      <c r="EO40" s="485">
        <f>36092154.45+101064000.18</f>
        <v>137156154.63</v>
      </c>
      <c r="EP40" s="465">
        <f t="shared" si="37"/>
        <v>162843845.37</v>
      </c>
      <c r="EQ40" s="465"/>
      <c r="ER40" s="465">
        <v>25000000</v>
      </c>
      <c r="ES40" s="465">
        <f>10784592.88</f>
        <v>10784592.880000001</v>
      </c>
      <c r="ET40" s="465">
        <f t="shared" si="38"/>
        <v>14215407.119999999</v>
      </c>
      <c r="EU40" s="465"/>
      <c r="EV40" s="465">
        <v>10000000</v>
      </c>
      <c r="EW40" s="465">
        <v>0</v>
      </c>
      <c r="EX40" s="465">
        <f t="shared" si="39"/>
        <v>10000000</v>
      </c>
      <c r="EY40" s="465"/>
      <c r="EZ40" s="465">
        <v>30000000</v>
      </c>
      <c r="FA40" s="484">
        <f>10954883+10818550+4905315.87</f>
        <v>26678748.870000001</v>
      </c>
      <c r="FB40" s="465">
        <f t="shared" si="40"/>
        <v>3321251.129999999</v>
      </c>
      <c r="FC40" s="465"/>
      <c r="FD40" s="465">
        <v>5000000</v>
      </c>
      <c r="FE40" s="465">
        <v>0</v>
      </c>
      <c r="FF40" s="465">
        <f t="shared" si="41"/>
        <v>5000000</v>
      </c>
      <c r="FG40" s="465"/>
      <c r="FH40" s="468">
        <v>120000000</v>
      </c>
      <c r="FI40" s="463">
        <v>0</v>
      </c>
      <c r="FJ40" s="463">
        <f t="shared" si="0"/>
        <v>120000000</v>
      </c>
      <c r="FK40" s="468"/>
      <c r="FL40" s="468">
        <v>25000000</v>
      </c>
      <c r="FM40" s="468">
        <v>0</v>
      </c>
      <c r="FN40" s="468">
        <f t="shared" si="63"/>
        <v>25000000</v>
      </c>
      <c r="FO40" s="468"/>
      <c r="FP40" s="468">
        <v>5000000</v>
      </c>
      <c r="FQ40" s="468">
        <v>0</v>
      </c>
      <c r="FR40" s="468">
        <f t="shared" si="64"/>
        <v>5000000</v>
      </c>
      <c r="FS40" s="468"/>
      <c r="FT40" s="468">
        <v>30000000</v>
      </c>
      <c r="FU40" s="468">
        <v>0</v>
      </c>
      <c r="FV40" s="468">
        <f t="shared" si="65"/>
        <v>30000000</v>
      </c>
      <c r="FW40" s="468"/>
      <c r="FX40" s="468">
        <v>4150000</v>
      </c>
      <c r="FY40" s="468">
        <v>0</v>
      </c>
      <c r="FZ40" s="468">
        <v>4150000</v>
      </c>
      <c r="GA40" s="468"/>
      <c r="GB40" s="468">
        <v>160000000</v>
      </c>
      <c r="GC40" s="468">
        <v>0</v>
      </c>
      <c r="GD40" s="468">
        <f t="shared" si="45"/>
        <v>160000000</v>
      </c>
      <c r="GE40" s="468"/>
      <c r="GF40" s="468">
        <v>25000000</v>
      </c>
      <c r="GG40" s="468">
        <v>0</v>
      </c>
      <c r="GH40" s="468">
        <f t="shared" si="46"/>
        <v>25000000</v>
      </c>
      <c r="GI40" s="468"/>
      <c r="GJ40" s="468">
        <v>5000000</v>
      </c>
      <c r="GK40" s="468">
        <v>0</v>
      </c>
      <c r="GL40" s="468">
        <f t="shared" si="47"/>
        <v>5000000</v>
      </c>
      <c r="GM40" s="468"/>
      <c r="GN40" s="468">
        <v>20000000</v>
      </c>
      <c r="GO40" s="468">
        <v>0</v>
      </c>
      <c r="GP40" s="468">
        <f t="shared" si="48"/>
        <v>20000000</v>
      </c>
      <c r="GQ40" s="468"/>
      <c r="GR40" s="468">
        <v>5000000</v>
      </c>
      <c r="GS40" s="468">
        <v>0</v>
      </c>
      <c r="GT40" s="468">
        <f t="shared" si="49"/>
        <v>5000000</v>
      </c>
      <c r="GU40" s="468"/>
      <c r="GV40" s="465">
        <f t="shared" si="50"/>
        <v>1894150000</v>
      </c>
      <c r="GW40" s="465">
        <f t="shared" si="50"/>
        <v>1268773696.3800001</v>
      </c>
      <c r="GX40" s="465">
        <f t="shared" si="51"/>
        <v>625376303.61999989</v>
      </c>
      <c r="GY40" s="470"/>
      <c r="GZ40" s="464"/>
      <c r="HA40" s="471">
        <f>D40+H40+L40+X40+AN40+BH40+CB40+CF40+CV40+DP40+DT40+EN40+FH40+GB40</f>
        <v>1340000000</v>
      </c>
      <c r="HB40" s="471">
        <f>E40+I40+M40+Y40+AO40+BI40+CC40+CG40+CW40+DQ40+DU40+EO40+FI40+GC40</f>
        <v>897156154.63</v>
      </c>
      <c r="HC40" s="471">
        <f t="shared" si="52"/>
        <v>442843845.37</v>
      </c>
      <c r="HE40" s="471">
        <f>P40+AB40+AR40+
BL40+CJ40+CZ40+DX40+ER40+FL40+GF40</f>
        <v>167000000</v>
      </c>
      <c r="HF40" s="471">
        <f>Q40+AC40+AS40+
BM40+CK40+DA40+DY40+ES40+FM40+GG40</f>
        <v>102784592.88</v>
      </c>
      <c r="HG40" s="471">
        <f t="shared" si="53"/>
        <v>64215407.120000005</v>
      </c>
      <c r="HI40" s="471">
        <f>T40+AF40+AV40+BP40+CN40+DD40+EB40+EV40+FP40+GJ40</f>
        <v>73000000</v>
      </c>
      <c r="HJ40" s="471">
        <f>U40+AG40+AW40+BQ40+CO40+DE40+EC40+EW40+FQ40+GK40</f>
        <v>40000000</v>
      </c>
      <c r="HK40" s="471">
        <f t="shared" si="54"/>
        <v>33000000</v>
      </c>
      <c r="HM40" s="475">
        <f>AJ40+AZ40+BT40+CR40+DH40+EF40+EZ40+FT40+GN40</f>
        <v>270000000</v>
      </c>
      <c r="HN40" s="475">
        <f>AK40+BA40+BU40+CS40+DI40+EG40+FA40+FU40+GO40</f>
        <v>216678748.87</v>
      </c>
      <c r="HO40" s="475">
        <f t="shared" si="55"/>
        <v>53321251.129999995</v>
      </c>
      <c r="HP40" s="476"/>
      <c r="HR40" s="471">
        <f>BD40+BX40+DL40+EJ40+FD40+FX40+GR40</f>
        <v>44150000</v>
      </c>
      <c r="HS40" s="471">
        <f>BE40+BY40+DM40+EK40+FE40+FY40+GS40</f>
        <v>12154200</v>
      </c>
      <c r="HT40" s="471">
        <f t="shared" si="56"/>
        <v>31995800</v>
      </c>
    </row>
    <row r="41" spans="1:228" x14ac:dyDescent="0.25">
      <c r="A41" s="107">
        <v>36</v>
      </c>
      <c r="B41" s="107" t="s">
        <v>100</v>
      </c>
      <c r="C41" s="113" t="s">
        <v>76</v>
      </c>
      <c r="D41" s="465">
        <v>0</v>
      </c>
      <c r="E41" s="465">
        <v>0</v>
      </c>
      <c r="F41" s="465">
        <f t="shared" si="1"/>
        <v>0</v>
      </c>
      <c r="G41" s="465"/>
      <c r="H41" s="465">
        <v>50000000</v>
      </c>
      <c r="I41" s="465">
        <v>50000000</v>
      </c>
      <c r="J41" s="465">
        <f t="shared" si="2"/>
        <v>0</v>
      </c>
      <c r="K41" s="465"/>
      <c r="L41" s="465">
        <v>50000000</v>
      </c>
      <c r="M41" s="465">
        <v>50000000</v>
      </c>
      <c r="N41" s="465">
        <f t="shared" si="3"/>
        <v>0</v>
      </c>
      <c r="O41" s="465"/>
      <c r="P41" s="465">
        <v>7000000</v>
      </c>
      <c r="Q41" s="465">
        <v>7000000</v>
      </c>
      <c r="R41" s="465">
        <f t="shared" si="4"/>
        <v>0</v>
      </c>
      <c r="S41" s="465"/>
      <c r="T41" s="465">
        <f>3000000-3000000</f>
        <v>0</v>
      </c>
      <c r="U41" s="465">
        <v>0</v>
      </c>
      <c r="V41" s="465">
        <f t="shared" si="5"/>
        <v>0</v>
      </c>
      <c r="W41" s="465"/>
      <c r="X41" s="465">
        <v>60000000</v>
      </c>
      <c r="Y41" s="465">
        <v>60000000</v>
      </c>
      <c r="Z41" s="465">
        <f t="shared" si="6"/>
        <v>0</v>
      </c>
      <c r="AA41" s="465"/>
      <c r="AB41" s="465">
        <v>10000000</v>
      </c>
      <c r="AC41" s="465">
        <v>10000000</v>
      </c>
      <c r="AD41" s="465">
        <f t="shared" si="7"/>
        <v>0</v>
      </c>
      <c r="AE41" s="465"/>
      <c r="AF41" s="465">
        <f>5000000-5000000</f>
        <v>0</v>
      </c>
      <c r="AG41" s="465">
        <v>0</v>
      </c>
      <c r="AH41" s="465">
        <f t="shared" si="8"/>
        <v>0</v>
      </c>
      <c r="AI41" s="465"/>
      <c r="AJ41" s="465">
        <v>15000000</v>
      </c>
      <c r="AK41" s="465">
        <v>15000000</v>
      </c>
      <c r="AL41" s="465">
        <f t="shared" si="9"/>
        <v>0</v>
      </c>
      <c r="AM41" s="465"/>
      <c r="AN41" s="465">
        <v>80000000</v>
      </c>
      <c r="AO41" s="465">
        <f>7650000+2461127.7+28024250+41864622.3</f>
        <v>80000000</v>
      </c>
      <c r="AP41" s="465">
        <f t="shared" si="10"/>
        <v>0</v>
      </c>
      <c r="AQ41" s="465"/>
      <c r="AR41" s="465">
        <v>10000000</v>
      </c>
      <c r="AS41" s="465">
        <v>9480000</v>
      </c>
      <c r="AT41" s="465">
        <f t="shared" si="11"/>
        <v>520000</v>
      </c>
      <c r="AU41" s="465"/>
      <c r="AV41" s="465">
        <v>5000000</v>
      </c>
      <c r="AW41" s="465">
        <v>0</v>
      </c>
      <c r="AX41" s="465">
        <f t="shared" si="12"/>
        <v>5000000</v>
      </c>
      <c r="AY41" s="465"/>
      <c r="AZ41" s="465">
        <v>20000000</v>
      </c>
      <c r="BA41" s="465">
        <f>13277425+1547333.45+1966665+3208576.55</f>
        <v>20000000</v>
      </c>
      <c r="BB41" s="465">
        <f t="shared" si="13"/>
        <v>0</v>
      </c>
      <c r="BC41" s="465"/>
      <c r="BD41" s="465">
        <v>5000000</v>
      </c>
      <c r="BE41" s="465">
        <v>5000000</v>
      </c>
      <c r="BF41" s="465">
        <f t="shared" si="14"/>
        <v>0</v>
      </c>
      <c r="BG41" s="465"/>
      <c r="BH41" s="465">
        <v>130000000</v>
      </c>
      <c r="BI41" s="483">
        <f>43235187.7+8871000+62115350+2100000+5402000</f>
        <v>121723537.7</v>
      </c>
      <c r="BJ41" s="465">
        <f t="shared" si="15"/>
        <v>8276462.299999997</v>
      </c>
      <c r="BK41" s="465"/>
      <c r="BL41" s="465">
        <v>10000000</v>
      </c>
      <c r="BM41" s="465">
        <v>0</v>
      </c>
      <c r="BN41" s="465">
        <f t="shared" si="16"/>
        <v>10000000</v>
      </c>
      <c r="BO41" s="465"/>
      <c r="BP41" s="465">
        <v>10000000</v>
      </c>
      <c r="BQ41" s="465">
        <v>10000000</v>
      </c>
      <c r="BR41" s="465">
        <f t="shared" si="17"/>
        <v>0</v>
      </c>
      <c r="BS41" s="465"/>
      <c r="BT41" s="465">
        <v>40000000</v>
      </c>
      <c r="BU41" s="465">
        <f>480633.45+6996355+4464971+12952350+5769210+6914280+2422200.55</f>
        <v>40000000</v>
      </c>
      <c r="BV41" s="465">
        <f t="shared" si="18"/>
        <v>0</v>
      </c>
      <c r="BW41" s="465"/>
      <c r="BX41" s="465">
        <v>5000000</v>
      </c>
      <c r="BY41" s="465">
        <f>3202500</f>
        <v>3202500</v>
      </c>
      <c r="BZ41" s="465">
        <f t="shared" si="19"/>
        <v>1797500</v>
      </c>
      <c r="CA41" s="465"/>
      <c r="CB41" s="465">
        <v>0</v>
      </c>
      <c r="CC41" s="465">
        <v>0</v>
      </c>
      <c r="CD41" s="465">
        <f t="shared" si="20"/>
        <v>0</v>
      </c>
      <c r="CE41" s="465"/>
      <c r="CF41" s="465">
        <f t="shared" si="21"/>
        <v>140000000</v>
      </c>
      <c r="CG41" s="465">
        <f>6050000+58153750+63517665+12278585</f>
        <v>140000000</v>
      </c>
      <c r="CH41" s="465">
        <f t="shared" si="22"/>
        <v>0</v>
      </c>
      <c r="CI41" s="465"/>
      <c r="CJ41" s="465">
        <v>20000000</v>
      </c>
      <c r="CK41" s="465">
        <f>20000000</f>
        <v>20000000</v>
      </c>
      <c r="CL41" s="465">
        <f t="shared" si="23"/>
        <v>0</v>
      </c>
      <c r="CM41" s="465"/>
      <c r="CN41" s="465">
        <v>10000000</v>
      </c>
      <c r="CO41" s="465">
        <v>7492575</v>
      </c>
      <c r="CP41" s="465">
        <f t="shared" si="24"/>
        <v>2507425</v>
      </c>
      <c r="CQ41" s="465"/>
      <c r="CR41" s="465">
        <v>40000000</v>
      </c>
      <c r="CS41" s="465">
        <f>3312350+27446227+9241423</f>
        <v>40000000</v>
      </c>
      <c r="CT41" s="465">
        <f t="shared" si="25"/>
        <v>0</v>
      </c>
      <c r="CU41" s="465"/>
      <c r="CV41" s="465">
        <v>150000000</v>
      </c>
      <c r="CW41" s="465">
        <f>3171415+50322000+72937500+4406400+17347700+1814985</f>
        <v>150000000</v>
      </c>
      <c r="CX41" s="465">
        <f t="shared" si="26"/>
        <v>0</v>
      </c>
      <c r="CY41" s="465"/>
      <c r="CZ41" s="465">
        <v>20000000</v>
      </c>
      <c r="DA41" s="465">
        <f>9300000+10700000</f>
        <v>20000000</v>
      </c>
      <c r="DB41" s="465">
        <f t="shared" si="27"/>
        <v>0</v>
      </c>
      <c r="DC41" s="465"/>
      <c r="DD41" s="465">
        <v>10000000</v>
      </c>
      <c r="DE41" s="465">
        <v>0</v>
      </c>
      <c r="DF41" s="465">
        <f t="shared" si="28"/>
        <v>10000000</v>
      </c>
      <c r="DG41" s="465"/>
      <c r="DH41" s="465">
        <v>50000000</v>
      </c>
      <c r="DI41" s="485">
        <f>16999258.45+11315220+12217404+1840914+1959700+5667503.55</f>
        <v>50000000</v>
      </c>
      <c r="DJ41" s="465">
        <f t="shared" si="29"/>
        <v>0</v>
      </c>
      <c r="DK41" s="465"/>
      <c r="DL41" s="465">
        <v>10000000</v>
      </c>
      <c r="DM41" s="465">
        <v>0</v>
      </c>
      <c r="DN41" s="465">
        <f t="shared" si="30"/>
        <v>10000000</v>
      </c>
      <c r="DO41" s="465"/>
      <c r="DP41" s="465">
        <v>0</v>
      </c>
      <c r="DQ41" s="465">
        <v>0</v>
      </c>
      <c r="DR41" s="465">
        <f t="shared" si="31"/>
        <v>0</v>
      </c>
      <c r="DS41" s="465"/>
      <c r="DT41" s="465">
        <v>100000000</v>
      </c>
      <c r="DU41" s="465">
        <f>11342800+1952469+17809400+15471600+6000000+47423731</f>
        <v>100000000</v>
      </c>
      <c r="DV41" s="465">
        <f t="shared" si="32"/>
        <v>0</v>
      </c>
      <c r="DW41" s="465"/>
      <c r="DX41" s="465">
        <v>15000000</v>
      </c>
      <c r="DY41" s="465">
        <v>5300000</v>
      </c>
      <c r="DZ41" s="465">
        <f t="shared" si="33"/>
        <v>9700000</v>
      </c>
      <c r="EA41" s="465"/>
      <c r="EB41" s="465">
        <v>10000000</v>
      </c>
      <c r="EC41" s="465">
        <v>0</v>
      </c>
      <c r="ED41" s="465">
        <f t="shared" si="34"/>
        <v>10000000</v>
      </c>
      <c r="EE41" s="465"/>
      <c r="EF41" s="465">
        <v>25000000</v>
      </c>
      <c r="EG41" s="485">
        <f>4103470+6795200+7504755+6596575</f>
        <v>25000000</v>
      </c>
      <c r="EH41" s="465">
        <f t="shared" si="35"/>
        <v>0</v>
      </c>
      <c r="EI41" s="465"/>
      <c r="EJ41" s="465">
        <v>10000000</v>
      </c>
      <c r="EK41" s="465">
        <v>0</v>
      </c>
      <c r="EL41" s="465">
        <f t="shared" si="36"/>
        <v>10000000</v>
      </c>
      <c r="EM41" s="465"/>
      <c r="EN41" s="465">
        <v>300000000</v>
      </c>
      <c r="EO41" s="467">
        <f>93502775.3+30970074.8+9000000+32218750+84823018.45+16979000-17590494.4-8795352.2+38033000</f>
        <v>279140771.95000005</v>
      </c>
      <c r="EP41" s="465">
        <f t="shared" si="37"/>
        <v>20859228.049999952</v>
      </c>
      <c r="EQ41" s="465"/>
      <c r="ER41" s="465">
        <v>25000000</v>
      </c>
      <c r="ES41" s="465">
        <v>0</v>
      </c>
      <c r="ET41" s="465">
        <f t="shared" si="38"/>
        <v>25000000</v>
      </c>
      <c r="EU41" s="465"/>
      <c r="EV41" s="465">
        <v>10000000</v>
      </c>
      <c r="EW41" s="465">
        <v>0</v>
      </c>
      <c r="EX41" s="465">
        <f t="shared" si="39"/>
        <v>10000000</v>
      </c>
      <c r="EY41" s="465"/>
      <c r="EZ41" s="465">
        <v>30000000</v>
      </c>
      <c r="FA41" s="485">
        <f>10444825+8050140.65</f>
        <v>18494965.649999999</v>
      </c>
      <c r="FB41" s="465">
        <f t="shared" si="40"/>
        <v>11505034.350000001</v>
      </c>
      <c r="FC41" s="465"/>
      <c r="FD41" s="465">
        <v>5000000</v>
      </c>
      <c r="FE41" s="465">
        <v>0</v>
      </c>
      <c r="FF41" s="465">
        <f t="shared" si="41"/>
        <v>5000000</v>
      </c>
      <c r="FG41" s="465"/>
      <c r="FH41" s="468">
        <v>120000000</v>
      </c>
      <c r="FI41" s="463">
        <v>0</v>
      </c>
      <c r="FJ41" s="463">
        <f t="shared" si="0"/>
        <v>120000000</v>
      </c>
      <c r="FK41" s="468"/>
      <c r="FL41" s="468">
        <v>25000000</v>
      </c>
      <c r="FM41" s="468">
        <v>0</v>
      </c>
      <c r="FN41" s="468">
        <f t="shared" si="63"/>
        <v>25000000</v>
      </c>
      <c r="FO41" s="468"/>
      <c r="FP41" s="468">
        <v>5000000</v>
      </c>
      <c r="FQ41" s="468">
        <v>0</v>
      </c>
      <c r="FR41" s="468">
        <f t="shared" si="64"/>
        <v>5000000</v>
      </c>
      <c r="FS41" s="468"/>
      <c r="FT41" s="468">
        <v>30000000</v>
      </c>
      <c r="FU41" s="468">
        <v>0</v>
      </c>
      <c r="FV41" s="468">
        <f t="shared" si="65"/>
        <v>30000000</v>
      </c>
      <c r="FW41" s="468"/>
      <c r="FX41" s="468">
        <v>4150000</v>
      </c>
      <c r="FY41" s="468">
        <v>0</v>
      </c>
      <c r="FZ41" s="468">
        <v>4150000</v>
      </c>
      <c r="GA41" s="468"/>
      <c r="GB41" s="468">
        <v>160000000</v>
      </c>
      <c r="GC41" s="468">
        <v>0</v>
      </c>
      <c r="GD41" s="468">
        <f t="shared" si="45"/>
        <v>160000000</v>
      </c>
      <c r="GE41" s="468"/>
      <c r="GF41" s="468">
        <v>25000000</v>
      </c>
      <c r="GG41" s="468">
        <v>0</v>
      </c>
      <c r="GH41" s="468">
        <f t="shared" si="46"/>
        <v>25000000</v>
      </c>
      <c r="GI41" s="468"/>
      <c r="GJ41" s="468">
        <v>5000000</v>
      </c>
      <c r="GK41" s="468">
        <v>0</v>
      </c>
      <c r="GL41" s="468">
        <f t="shared" si="47"/>
        <v>5000000</v>
      </c>
      <c r="GM41" s="468"/>
      <c r="GN41" s="468">
        <v>20000000</v>
      </c>
      <c r="GO41" s="468">
        <v>0</v>
      </c>
      <c r="GP41" s="468">
        <f t="shared" si="48"/>
        <v>20000000</v>
      </c>
      <c r="GQ41" s="468"/>
      <c r="GR41" s="468">
        <v>5000000</v>
      </c>
      <c r="GS41" s="468">
        <v>0</v>
      </c>
      <c r="GT41" s="468">
        <f t="shared" si="49"/>
        <v>5000000</v>
      </c>
      <c r="GU41" s="468"/>
      <c r="GV41" s="465">
        <f t="shared" si="50"/>
        <v>1886150000</v>
      </c>
      <c r="GW41" s="465">
        <f t="shared" si="50"/>
        <v>1336834350.3000002</v>
      </c>
      <c r="GX41" s="465">
        <f t="shared" si="51"/>
        <v>549315649.69999981</v>
      </c>
      <c r="GY41" s="470"/>
      <c r="GZ41" s="464"/>
      <c r="HA41" s="471">
        <f>D41+H41+L41+X41+AN41+BH41+CB41+CF41+CV41+DP41+DT41+EN41+FH41+GB41</f>
        <v>1340000000</v>
      </c>
      <c r="HB41" s="471">
        <f>E41+I41+M41+Y41+AO41+BI41+CC41+CG41+CW41+DQ41+DU41+EO41+FI41+GC41</f>
        <v>1030864309.6500001</v>
      </c>
      <c r="HC41" s="471">
        <f t="shared" si="52"/>
        <v>309135690.3499999</v>
      </c>
      <c r="HE41" s="471">
        <f>P41+AB41+AR41+
BL41+CJ41+CZ41+DX41+ER41+FL41+GF41</f>
        <v>167000000</v>
      </c>
      <c r="HF41" s="471">
        <f>Q41+AC41+AS41+
BM41+CK41+DA41+DY41+ES41+FM41+GG41</f>
        <v>71780000</v>
      </c>
      <c r="HG41" s="471">
        <f t="shared" si="53"/>
        <v>95220000</v>
      </c>
      <c r="HI41" s="471">
        <f>T41+AF41+AV41+BP41+CN41+DD41+EB41+EV41+FP41+GJ41</f>
        <v>65000000</v>
      </c>
      <c r="HJ41" s="471">
        <f>U41+AG41+AW41+BQ41+CO41+DE41+EC41+EW41+FQ41+GK41</f>
        <v>17492575</v>
      </c>
      <c r="HK41" s="471">
        <f t="shared" si="54"/>
        <v>47507425</v>
      </c>
      <c r="HM41" s="475">
        <f>AJ41+AZ41+BT41+CR41+DH41+EF41+EZ41+FT41+GN41</f>
        <v>270000000</v>
      </c>
      <c r="HN41" s="475">
        <f>AK41+BA41+BU41+CS41+DI41+EG41+FA41+FU41+GO41</f>
        <v>208494965.65000001</v>
      </c>
      <c r="HO41" s="475">
        <f t="shared" si="55"/>
        <v>61505034.349999994</v>
      </c>
      <c r="HP41" s="476"/>
      <c r="HR41" s="471">
        <f>BD41+BX41+DL41+EJ41+FD41+FX41+GR41</f>
        <v>44150000</v>
      </c>
      <c r="HS41" s="471">
        <f>BE41+BY41+DM41+EK41+FE41+FY41+GS41</f>
        <v>8202500</v>
      </c>
      <c r="HT41" s="471">
        <f t="shared" si="56"/>
        <v>35947500</v>
      </c>
    </row>
    <row r="42" spans="1:228" x14ac:dyDescent="0.25">
      <c r="A42" s="107">
        <v>37</v>
      </c>
      <c r="B42" s="107" t="s">
        <v>101</v>
      </c>
      <c r="C42" s="113" t="s">
        <v>74</v>
      </c>
      <c r="D42" s="465">
        <v>0</v>
      </c>
      <c r="E42" s="465">
        <v>0</v>
      </c>
      <c r="F42" s="465">
        <f t="shared" si="1"/>
        <v>0</v>
      </c>
      <c r="G42" s="465"/>
      <c r="H42" s="465">
        <v>50000000</v>
      </c>
      <c r="I42" s="465">
        <v>50000000</v>
      </c>
      <c r="J42" s="465">
        <f t="shared" si="2"/>
        <v>0</v>
      </c>
      <c r="K42" s="465"/>
      <c r="L42" s="465">
        <v>50000000</v>
      </c>
      <c r="M42" s="465">
        <v>50000000</v>
      </c>
      <c r="N42" s="465">
        <f t="shared" si="3"/>
        <v>0</v>
      </c>
      <c r="O42" s="465"/>
      <c r="P42" s="465">
        <v>7000000</v>
      </c>
      <c r="Q42" s="465">
        <v>7000000</v>
      </c>
      <c r="R42" s="465">
        <f t="shared" si="4"/>
        <v>0</v>
      </c>
      <c r="S42" s="465"/>
      <c r="T42" s="465">
        <v>3000000</v>
      </c>
      <c r="U42" s="465">
        <v>3000000</v>
      </c>
      <c r="V42" s="465">
        <f t="shared" si="5"/>
        <v>0</v>
      </c>
      <c r="W42" s="465"/>
      <c r="X42" s="465">
        <v>60000000</v>
      </c>
      <c r="Y42" s="465">
        <f>30377075+22375100+7247825</f>
        <v>60000000</v>
      </c>
      <c r="Z42" s="465">
        <f t="shared" si="6"/>
        <v>0</v>
      </c>
      <c r="AA42" s="465"/>
      <c r="AB42" s="465">
        <v>10000000</v>
      </c>
      <c r="AC42" s="465">
        <v>10000000</v>
      </c>
      <c r="AD42" s="465">
        <f t="shared" si="7"/>
        <v>0</v>
      </c>
      <c r="AE42" s="465"/>
      <c r="AF42" s="465">
        <v>3800000</v>
      </c>
      <c r="AG42" s="465">
        <v>3800000</v>
      </c>
      <c r="AH42" s="465">
        <f t="shared" si="8"/>
        <v>0</v>
      </c>
      <c r="AI42" s="465"/>
      <c r="AJ42" s="465">
        <v>15000000</v>
      </c>
      <c r="AK42" s="465">
        <v>15000000</v>
      </c>
      <c r="AL42" s="465">
        <f t="shared" si="9"/>
        <v>0</v>
      </c>
      <c r="AM42" s="465"/>
      <c r="AN42" s="465">
        <v>80000000</v>
      </c>
      <c r="AO42" s="465">
        <f>39031393.2+13458225+2000000+9445975+16064406.8</f>
        <v>80000000</v>
      </c>
      <c r="AP42" s="465">
        <f t="shared" si="10"/>
        <v>0</v>
      </c>
      <c r="AQ42" s="465"/>
      <c r="AR42" s="465">
        <v>10000000</v>
      </c>
      <c r="AS42" s="465">
        <f>5965000+4035000</f>
        <v>10000000</v>
      </c>
      <c r="AT42" s="465">
        <f t="shared" si="11"/>
        <v>0</v>
      </c>
      <c r="AU42" s="465"/>
      <c r="AV42" s="465">
        <v>5000000</v>
      </c>
      <c r="AW42" s="465">
        <v>0</v>
      </c>
      <c r="AX42" s="465">
        <f t="shared" si="12"/>
        <v>5000000</v>
      </c>
      <c r="AY42" s="465"/>
      <c r="AZ42" s="465">
        <v>20000000</v>
      </c>
      <c r="BA42" s="465">
        <f>1056642.13+910720+4646170+3009290+1987450+2539060+3698124+2152543.87</f>
        <v>20000000</v>
      </c>
      <c r="BB42" s="465">
        <f t="shared" si="13"/>
        <v>0</v>
      </c>
      <c r="BC42" s="465"/>
      <c r="BD42" s="465">
        <v>5000000</v>
      </c>
      <c r="BE42" s="465">
        <v>809021.5</v>
      </c>
      <c r="BF42" s="465">
        <f t="shared" si="14"/>
        <v>4190978.5</v>
      </c>
      <c r="BG42" s="465"/>
      <c r="BH42" s="465">
        <v>130000000</v>
      </c>
      <c r="BI42" s="465">
        <f>47455560+9962025+5400000+28385000+22538893.2+16258521.8</f>
        <v>130000000</v>
      </c>
      <c r="BJ42" s="465">
        <f t="shared" si="15"/>
        <v>0</v>
      </c>
      <c r="BK42" s="465"/>
      <c r="BL42" s="465">
        <v>10000000</v>
      </c>
      <c r="BM42" s="465">
        <v>10000000</v>
      </c>
      <c r="BN42" s="465">
        <f t="shared" si="16"/>
        <v>0</v>
      </c>
      <c r="BO42" s="465"/>
      <c r="BP42" s="465">
        <v>10000000</v>
      </c>
      <c r="BQ42" s="465">
        <v>0</v>
      </c>
      <c r="BR42" s="465">
        <f t="shared" si="17"/>
        <v>10000000</v>
      </c>
      <c r="BS42" s="465"/>
      <c r="BT42" s="465">
        <v>40000000</v>
      </c>
      <c r="BU42" s="465">
        <f>5160315+10344860+6006830+4244320+5521260+8722415</f>
        <v>40000000</v>
      </c>
      <c r="BV42" s="465">
        <f t="shared" si="18"/>
        <v>0</v>
      </c>
      <c r="BW42" s="465"/>
      <c r="BX42" s="465">
        <v>5000000</v>
      </c>
      <c r="BY42" s="465">
        <v>0</v>
      </c>
      <c r="BZ42" s="465">
        <f t="shared" si="19"/>
        <v>5000000</v>
      </c>
      <c r="CA42" s="465"/>
      <c r="CB42" s="465">
        <v>0</v>
      </c>
      <c r="CC42" s="465">
        <v>0</v>
      </c>
      <c r="CD42" s="465">
        <f t="shared" si="20"/>
        <v>0</v>
      </c>
      <c r="CE42" s="465"/>
      <c r="CF42" s="465">
        <f t="shared" si="21"/>
        <v>140000000</v>
      </c>
      <c r="CG42" s="465">
        <f>38990800+59993940+22344778.2+18670481.8</f>
        <v>140000000</v>
      </c>
      <c r="CH42" s="465">
        <f t="shared" si="22"/>
        <v>0</v>
      </c>
      <c r="CI42" s="465"/>
      <c r="CJ42" s="465">
        <v>20000000</v>
      </c>
      <c r="CK42" s="465">
        <f>8174298.1+11825701.9</f>
        <v>20000000</v>
      </c>
      <c r="CL42" s="465">
        <f t="shared" si="23"/>
        <v>0</v>
      </c>
      <c r="CM42" s="465"/>
      <c r="CN42" s="465">
        <v>10000000</v>
      </c>
      <c r="CO42" s="465">
        <v>0</v>
      </c>
      <c r="CP42" s="465">
        <f t="shared" si="24"/>
        <v>10000000</v>
      </c>
      <c r="CQ42" s="465"/>
      <c r="CR42" s="465">
        <v>40000000</v>
      </c>
      <c r="CS42" s="465">
        <f>866487+5893752.13+6969856+5286264+5589686+1173624+1528325</f>
        <v>27307994.129999999</v>
      </c>
      <c r="CT42" s="465">
        <f t="shared" si="25"/>
        <v>12692005.870000001</v>
      </c>
      <c r="CU42" s="465"/>
      <c r="CV42" s="465">
        <v>150000000</v>
      </c>
      <c r="CW42" s="465">
        <f>3266618.2+146733381.8</f>
        <v>150000000</v>
      </c>
      <c r="CX42" s="465">
        <f t="shared" si="26"/>
        <v>0</v>
      </c>
      <c r="CY42" s="465"/>
      <c r="CZ42" s="465">
        <v>20000000</v>
      </c>
      <c r="DA42" s="465">
        <f>17908461.98+2091538.02</f>
        <v>20000000</v>
      </c>
      <c r="DB42" s="465">
        <f t="shared" si="27"/>
        <v>0</v>
      </c>
      <c r="DC42" s="465"/>
      <c r="DD42" s="465">
        <v>10000000</v>
      </c>
      <c r="DE42" s="465">
        <v>0</v>
      </c>
      <c r="DF42" s="465">
        <f t="shared" si="28"/>
        <v>10000000</v>
      </c>
      <c r="DG42" s="465"/>
      <c r="DH42" s="465">
        <v>50000000</v>
      </c>
      <c r="DI42" s="465">
        <f>33769163.88-33769163.88</f>
        <v>0</v>
      </c>
      <c r="DJ42" s="465">
        <f t="shared" si="29"/>
        <v>50000000</v>
      </c>
      <c r="DK42" s="465"/>
      <c r="DL42" s="465">
        <v>10000000</v>
      </c>
      <c r="DM42" s="465">
        <v>0</v>
      </c>
      <c r="DN42" s="465">
        <f t="shared" si="30"/>
        <v>10000000</v>
      </c>
      <c r="DO42" s="465"/>
      <c r="DP42" s="465">
        <v>0</v>
      </c>
      <c r="DQ42" s="465">
        <v>0</v>
      </c>
      <c r="DR42" s="465">
        <f t="shared" si="31"/>
        <v>0</v>
      </c>
      <c r="DS42" s="465"/>
      <c r="DT42" s="465">
        <v>100000000</v>
      </c>
      <c r="DU42" s="465">
        <f>5084726.2+83450700+850000+10614573.8</f>
        <v>100000000</v>
      </c>
      <c r="DV42" s="465">
        <f t="shared" si="32"/>
        <v>0</v>
      </c>
      <c r="DW42" s="465"/>
      <c r="DX42" s="465">
        <v>15000000</v>
      </c>
      <c r="DY42" s="465">
        <v>15000000</v>
      </c>
      <c r="DZ42" s="465">
        <f t="shared" si="33"/>
        <v>0</v>
      </c>
      <c r="EA42" s="465"/>
      <c r="EB42" s="465">
        <v>10000000</v>
      </c>
      <c r="EC42" s="465">
        <v>0</v>
      </c>
      <c r="ED42" s="465">
        <f t="shared" si="34"/>
        <v>10000000</v>
      </c>
      <c r="EE42" s="465"/>
      <c r="EF42" s="465">
        <v>25000000</v>
      </c>
      <c r="EG42" s="465">
        <v>0</v>
      </c>
      <c r="EH42" s="465">
        <f t="shared" si="35"/>
        <v>25000000</v>
      </c>
      <c r="EI42" s="465"/>
      <c r="EJ42" s="465">
        <v>10000000</v>
      </c>
      <c r="EK42" s="465">
        <v>0</v>
      </c>
      <c r="EL42" s="465">
        <f t="shared" si="36"/>
        <v>10000000</v>
      </c>
      <c r="EM42" s="465"/>
      <c r="EN42" s="465">
        <v>300000000</v>
      </c>
      <c r="EO42" s="487">
        <f>18185426.2+23400000+3600000+42300000+19454500+2185560</f>
        <v>109125486.2</v>
      </c>
      <c r="EP42" s="465">
        <f t="shared" si="37"/>
        <v>190874513.80000001</v>
      </c>
      <c r="EQ42" s="465"/>
      <c r="ER42" s="465">
        <v>25000000</v>
      </c>
      <c r="ES42" s="465">
        <f>12543136.38</f>
        <v>12543136.380000001</v>
      </c>
      <c r="ET42" s="465">
        <f t="shared" si="38"/>
        <v>12456863.619999999</v>
      </c>
      <c r="EU42" s="465"/>
      <c r="EV42" s="465">
        <v>10000000</v>
      </c>
      <c r="EW42" s="465">
        <v>0</v>
      </c>
      <c r="EX42" s="465">
        <f t="shared" si="39"/>
        <v>10000000</v>
      </c>
      <c r="EY42" s="465"/>
      <c r="EZ42" s="465">
        <v>30000000</v>
      </c>
      <c r="FA42" s="465">
        <v>0</v>
      </c>
      <c r="FB42" s="465">
        <f t="shared" si="40"/>
        <v>30000000</v>
      </c>
      <c r="FC42" s="465"/>
      <c r="FD42" s="465">
        <v>5000000</v>
      </c>
      <c r="FE42" s="465">
        <v>0</v>
      </c>
      <c r="FF42" s="465">
        <f t="shared" si="41"/>
        <v>5000000</v>
      </c>
      <c r="FG42" s="465"/>
      <c r="FH42" s="468">
        <v>120000000</v>
      </c>
      <c r="FI42" s="463">
        <v>0</v>
      </c>
      <c r="FJ42" s="463">
        <f t="shared" si="0"/>
        <v>120000000</v>
      </c>
      <c r="FK42" s="468"/>
      <c r="FL42" s="468">
        <v>25000000</v>
      </c>
      <c r="FM42" s="468">
        <v>0</v>
      </c>
      <c r="FN42" s="468">
        <f t="shared" si="63"/>
        <v>25000000</v>
      </c>
      <c r="FO42" s="468"/>
      <c r="FP42" s="468">
        <v>5000000</v>
      </c>
      <c r="FQ42" s="468">
        <v>0</v>
      </c>
      <c r="FR42" s="468">
        <f t="shared" si="64"/>
        <v>5000000</v>
      </c>
      <c r="FS42" s="468"/>
      <c r="FT42" s="468">
        <v>30000000</v>
      </c>
      <c r="FU42" s="468">
        <v>0</v>
      </c>
      <c r="FV42" s="468">
        <f t="shared" si="65"/>
        <v>30000000</v>
      </c>
      <c r="FW42" s="468"/>
      <c r="FX42" s="468">
        <v>4150000</v>
      </c>
      <c r="FY42" s="468">
        <v>0</v>
      </c>
      <c r="FZ42" s="468">
        <v>4150000</v>
      </c>
      <c r="GA42" s="468"/>
      <c r="GB42" s="468">
        <v>160000000</v>
      </c>
      <c r="GC42" s="468">
        <v>0</v>
      </c>
      <c r="GD42" s="468">
        <f t="shared" si="45"/>
        <v>160000000</v>
      </c>
      <c r="GE42" s="468"/>
      <c r="GF42" s="468">
        <v>25000000</v>
      </c>
      <c r="GG42" s="468">
        <v>0</v>
      </c>
      <c r="GH42" s="468">
        <f t="shared" si="46"/>
        <v>25000000</v>
      </c>
      <c r="GI42" s="468"/>
      <c r="GJ42" s="468">
        <v>5000000</v>
      </c>
      <c r="GK42" s="468">
        <v>0</v>
      </c>
      <c r="GL42" s="468">
        <f t="shared" si="47"/>
        <v>5000000</v>
      </c>
      <c r="GM42" s="468"/>
      <c r="GN42" s="468">
        <v>20000000</v>
      </c>
      <c r="GO42" s="468">
        <v>0</v>
      </c>
      <c r="GP42" s="468">
        <f t="shared" si="48"/>
        <v>20000000</v>
      </c>
      <c r="GQ42" s="468"/>
      <c r="GR42" s="468">
        <v>5000000</v>
      </c>
      <c r="GS42" s="468">
        <v>0</v>
      </c>
      <c r="GT42" s="468">
        <f t="shared" si="49"/>
        <v>5000000</v>
      </c>
      <c r="GU42" s="468"/>
      <c r="GV42" s="465">
        <f t="shared" si="50"/>
        <v>1892950000</v>
      </c>
      <c r="GW42" s="465">
        <f t="shared" si="50"/>
        <v>1083585638.21</v>
      </c>
      <c r="GX42" s="465">
        <f t="shared" si="51"/>
        <v>809364361.78999996</v>
      </c>
      <c r="GY42" s="470"/>
      <c r="GZ42" s="464"/>
      <c r="HA42" s="471">
        <f>D42+H42+L42+X42+AN42+BH42+CB42+CF42+CV42+DP42+DT42+EN42+FH42+GB42</f>
        <v>1340000000</v>
      </c>
      <c r="HB42" s="471">
        <f>E42+I42+M42+Y42+AO42+BI42+CC42+CG42+CW42+DQ42+DU42+EO42+FI42+GC42</f>
        <v>869125486.20000005</v>
      </c>
      <c r="HC42" s="471">
        <f t="shared" si="52"/>
        <v>470874513.79999995</v>
      </c>
      <c r="HE42" s="471">
        <f>P42+AB42+AR42+
BL42+CJ42+CZ42+DX42+ER42+FL42+GF42</f>
        <v>167000000</v>
      </c>
      <c r="HF42" s="471">
        <f>Q42+AC42+AS42+
BM42+CK42+DA42+DY42+ES42+FM42+GG42</f>
        <v>104543136.38</v>
      </c>
      <c r="HG42" s="471">
        <f t="shared" si="53"/>
        <v>62456863.620000005</v>
      </c>
      <c r="HI42" s="471">
        <f>T42+AF42+AV42+BP42+CN42+DD42+EB42+EV42+FP42+GJ42</f>
        <v>71800000</v>
      </c>
      <c r="HJ42" s="471">
        <f>U42+AG42+AW42+BQ42+CO42+DE42+EC42+EW42+FQ42+GK42</f>
        <v>6800000</v>
      </c>
      <c r="HK42" s="471">
        <f t="shared" si="54"/>
        <v>65000000</v>
      </c>
      <c r="HM42" s="475">
        <f>AJ42+AZ42+BT42+CR42+DH42+EF42+EZ42+FT42+GN42</f>
        <v>270000000</v>
      </c>
      <c r="HN42" s="475">
        <f>AK42+BA42+BU42+CS42+DI42+EG42+FA42+FU42+GO42</f>
        <v>102307994.13</v>
      </c>
      <c r="HO42" s="475">
        <f t="shared" si="55"/>
        <v>167692005.87</v>
      </c>
      <c r="HP42" s="476"/>
      <c r="HR42" s="471">
        <f>BD42+BX42+DL42+EJ42+FD42+FX42+GR42</f>
        <v>44150000</v>
      </c>
      <c r="HS42" s="471">
        <f>BE42+BY42+DM42+EK42+FE42+FY42+GS42</f>
        <v>809021.5</v>
      </c>
      <c r="HT42" s="471">
        <f t="shared" si="56"/>
        <v>43340978.5</v>
      </c>
    </row>
    <row r="43" spans="1:228" x14ac:dyDescent="0.25">
      <c r="A43" s="107">
        <v>38</v>
      </c>
      <c r="B43" s="502" t="s">
        <v>102</v>
      </c>
      <c r="C43" s="499" t="s">
        <v>69</v>
      </c>
      <c r="D43" s="465">
        <v>0</v>
      </c>
      <c r="E43" s="465">
        <v>0</v>
      </c>
      <c r="F43" s="465">
        <f t="shared" si="1"/>
        <v>0</v>
      </c>
      <c r="G43" s="465"/>
      <c r="H43" s="465">
        <v>50000000</v>
      </c>
      <c r="I43" s="465">
        <v>50000000</v>
      </c>
      <c r="J43" s="465">
        <f t="shared" si="2"/>
        <v>0</v>
      </c>
      <c r="K43" s="465"/>
      <c r="L43" s="465">
        <v>50000000</v>
      </c>
      <c r="M43" s="465">
        <v>50000000</v>
      </c>
      <c r="N43" s="465">
        <f t="shared" si="3"/>
        <v>0</v>
      </c>
      <c r="O43" s="465"/>
      <c r="P43" s="465">
        <v>7000000</v>
      </c>
      <c r="Q43" s="465">
        <f>5672000+1328000</f>
        <v>7000000</v>
      </c>
      <c r="R43" s="465">
        <f t="shared" si="4"/>
        <v>0</v>
      </c>
      <c r="S43" s="465"/>
      <c r="T43" s="465">
        <v>3000000</v>
      </c>
      <c r="U43" s="465">
        <f>2618000+382000</f>
        <v>3000000</v>
      </c>
      <c r="V43" s="465">
        <f t="shared" si="5"/>
        <v>0</v>
      </c>
      <c r="W43" s="465"/>
      <c r="X43" s="465">
        <v>60000000</v>
      </c>
      <c r="Y43" s="465">
        <f>29792200+17867750+12340050</f>
        <v>60000000</v>
      </c>
      <c r="Z43" s="465">
        <f t="shared" si="6"/>
        <v>0</v>
      </c>
      <c r="AA43" s="465"/>
      <c r="AB43" s="465">
        <v>10000000</v>
      </c>
      <c r="AC43" s="465">
        <f>612000+7680000+1708000</f>
        <v>10000000</v>
      </c>
      <c r="AD43" s="465">
        <f t="shared" si="7"/>
        <v>0</v>
      </c>
      <c r="AE43" s="465"/>
      <c r="AF43" s="465">
        <v>5000000</v>
      </c>
      <c r="AG43" s="465">
        <f>2725225+946000+1328775</f>
        <v>5000000</v>
      </c>
      <c r="AH43" s="465">
        <f t="shared" si="8"/>
        <v>0</v>
      </c>
      <c r="AI43" s="465"/>
      <c r="AJ43" s="465">
        <v>15000000</v>
      </c>
      <c r="AK43" s="465">
        <v>15000000</v>
      </c>
      <c r="AL43" s="465">
        <f t="shared" si="9"/>
        <v>0</v>
      </c>
      <c r="AM43" s="465"/>
      <c r="AN43" s="465">
        <v>80000000</v>
      </c>
      <c r="AO43" s="465">
        <f>15044000+28775900+8708800+27471300</f>
        <v>80000000</v>
      </c>
      <c r="AP43" s="465">
        <f t="shared" si="10"/>
        <v>0</v>
      </c>
      <c r="AQ43" s="465"/>
      <c r="AR43" s="465">
        <v>10000000</v>
      </c>
      <c r="AS43" s="465">
        <f>5673350+4326650</f>
        <v>10000000</v>
      </c>
      <c r="AT43" s="465">
        <f t="shared" si="11"/>
        <v>0</v>
      </c>
      <c r="AU43" s="465"/>
      <c r="AV43" s="465">
        <v>5000000</v>
      </c>
      <c r="AW43" s="465">
        <f>4671268.75+4053225-3724493.75</f>
        <v>5000000</v>
      </c>
      <c r="AX43" s="465">
        <f t="shared" si="12"/>
        <v>0</v>
      </c>
      <c r="AY43" s="465"/>
      <c r="AZ43" s="465">
        <v>20000000</v>
      </c>
      <c r="BA43" s="465">
        <f>1708640.38+12184993+3749086.8+2357279.82</f>
        <v>20000000</v>
      </c>
      <c r="BB43" s="465">
        <f t="shared" si="13"/>
        <v>0</v>
      </c>
      <c r="BC43" s="465"/>
      <c r="BD43" s="465">
        <v>5000000</v>
      </c>
      <c r="BE43" s="485">
        <f>518500+91500+4390000</f>
        <v>5000000</v>
      </c>
      <c r="BF43" s="465">
        <f t="shared" si="14"/>
        <v>0</v>
      </c>
      <c r="BG43" s="465"/>
      <c r="BH43" s="465">
        <v>130000000</v>
      </c>
      <c r="BI43" s="465">
        <f>24088300+381385+11936400+500+8898000+8249155+30642619+17921560+27882081</f>
        <v>130000000</v>
      </c>
      <c r="BJ43" s="465">
        <f t="shared" si="15"/>
        <v>0</v>
      </c>
      <c r="BK43" s="465"/>
      <c r="BL43" s="465">
        <v>10000000</v>
      </c>
      <c r="BM43" s="465">
        <f>1973350+3410375+4616275</f>
        <v>10000000</v>
      </c>
      <c r="BN43" s="465">
        <f t="shared" si="16"/>
        <v>0</v>
      </c>
      <c r="BO43" s="465"/>
      <c r="BP43" s="465">
        <v>10000000</v>
      </c>
      <c r="BQ43" s="465">
        <f>3724493.75</f>
        <v>3724493.75</v>
      </c>
      <c r="BR43" s="465">
        <f t="shared" si="17"/>
        <v>6275506.25</v>
      </c>
      <c r="BS43" s="465"/>
      <c r="BT43" s="465">
        <v>40000000</v>
      </c>
      <c r="BU43" s="465">
        <f>11075460.18+14088660+7946397+6889482.82</f>
        <v>40000000</v>
      </c>
      <c r="BV43" s="465">
        <f t="shared" si="18"/>
        <v>0</v>
      </c>
      <c r="BW43" s="465"/>
      <c r="BX43" s="465">
        <v>5000000</v>
      </c>
      <c r="BY43" s="485">
        <f>765000+1399015+381885+2454100</f>
        <v>5000000</v>
      </c>
      <c r="BZ43" s="465">
        <f t="shared" si="19"/>
        <v>0</v>
      </c>
      <c r="CA43" s="465"/>
      <c r="CB43" s="465">
        <v>0</v>
      </c>
      <c r="CC43" s="465">
        <v>0</v>
      </c>
      <c r="CD43" s="465">
        <f t="shared" si="20"/>
        <v>0</v>
      </c>
      <c r="CE43" s="465"/>
      <c r="CF43" s="465">
        <f t="shared" si="21"/>
        <v>140000000</v>
      </c>
      <c r="CG43" s="465">
        <f>47313319+28751900+11688400-381885+1500000+21257605+24783500</f>
        <v>134912839</v>
      </c>
      <c r="CH43" s="465">
        <f t="shared" si="22"/>
        <v>5087161</v>
      </c>
      <c r="CI43" s="465"/>
      <c r="CJ43" s="465">
        <v>20000000</v>
      </c>
      <c r="CK43" s="465">
        <f>9997725+10002275</f>
        <v>20000000</v>
      </c>
      <c r="CL43" s="465">
        <f t="shared" si="23"/>
        <v>0</v>
      </c>
      <c r="CM43" s="465"/>
      <c r="CN43" s="465">
        <v>10000000</v>
      </c>
      <c r="CO43" s="465">
        <v>1774106.25</v>
      </c>
      <c r="CP43" s="465">
        <f t="shared" si="24"/>
        <v>8225893.75</v>
      </c>
      <c r="CQ43" s="465"/>
      <c r="CR43" s="465">
        <v>40000000</v>
      </c>
      <c r="CS43" s="465">
        <f>7730442.18+18337465+10273570+2906640+751882.82</f>
        <v>40000000</v>
      </c>
      <c r="CT43" s="465">
        <f t="shared" si="25"/>
        <v>0</v>
      </c>
      <c r="CU43" s="465"/>
      <c r="CV43" s="465">
        <v>150000000</v>
      </c>
      <c r="CW43" s="465"/>
      <c r="CX43" s="465">
        <f t="shared" si="26"/>
        <v>150000000</v>
      </c>
      <c r="CY43" s="465"/>
      <c r="CZ43" s="465">
        <v>20000000</v>
      </c>
      <c r="DA43" s="465">
        <f>1725925+5105300+11303500+5800000-3934725</f>
        <v>20000000</v>
      </c>
      <c r="DB43" s="465">
        <f t="shared" si="27"/>
        <v>0</v>
      </c>
      <c r="DC43" s="465"/>
      <c r="DD43" s="465">
        <v>10000000</v>
      </c>
      <c r="DE43" s="465">
        <v>715275</v>
      </c>
      <c r="DF43" s="465">
        <f t="shared" si="28"/>
        <v>9284725</v>
      </c>
      <c r="DG43" s="465"/>
      <c r="DH43" s="465">
        <v>50000000</v>
      </c>
      <c r="DI43" s="465">
        <f>2022217.18+20308305+19174992+4459234+4035251.82</f>
        <v>50000000</v>
      </c>
      <c r="DJ43" s="465">
        <f t="shared" si="29"/>
        <v>0</v>
      </c>
      <c r="DK43" s="465"/>
      <c r="DL43" s="465">
        <v>10000000</v>
      </c>
      <c r="DM43" s="485">
        <f>8030900</f>
        <v>8030900</v>
      </c>
      <c r="DN43" s="465">
        <f t="shared" si="30"/>
        <v>1969100</v>
      </c>
      <c r="DO43" s="465"/>
      <c r="DP43" s="465">
        <v>0</v>
      </c>
      <c r="DQ43" s="465">
        <v>0</v>
      </c>
      <c r="DR43" s="465">
        <f t="shared" si="31"/>
        <v>0</v>
      </c>
      <c r="DS43" s="465"/>
      <c r="DT43" s="465">
        <v>100000000</v>
      </c>
      <c r="DU43" s="465">
        <v>0</v>
      </c>
      <c r="DV43" s="465">
        <f t="shared" si="32"/>
        <v>100000000</v>
      </c>
      <c r="DW43" s="465"/>
      <c r="DX43" s="465">
        <v>15000000</v>
      </c>
      <c r="DY43" s="465">
        <f>15736822-736822</f>
        <v>15000000</v>
      </c>
      <c r="DZ43" s="465">
        <f t="shared" si="33"/>
        <v>0</v>
      </c>
      <c r="EA43" s="465"/>
      <c r="EB43" s="465">
        <v>10000000</v>
      </c>
      <c r="EC43" s="465">
        <v>0</v>
      </c>
      <c r="ED43" s="465">
        <f t="shared" si="34"/>
        <v>10000000</v>
      </c>
      <c r="EE43" s="465"/>
      <c r="EF43" s="465">
        <v>25000000</v>
      </c>
      <c r="EG43" s="465">
        <f>2475630.18+7268372+1500000-1500000+3072371+1870695+5065026+5247905.82</f>
        <v>25000000</v>
      </c>
      <c r="EH43" s="465">
        <f t="shared" si="35"/>
        <v>0</v>
      </c>
      <c r="EI43" s="465"/>
      <c r="EJ43" s="465">
        <v>10000000</v>
      </c>
      <c r="EK43" s="465">
        <v>0</v>
      </c>
      <c r="EL43" s="465">
        <f t="shared" si="36"/>
        <v>10000000</v>
      </c>
      <c r="EM43" s="465"/>
      <c r="EN43" s="465">
        <v>300000000</v>
      </c>
      <c r="EO43" s="465">
        <v>0</v>
      </c>
      <c r="EP43" s="465">
        <f t="shared" si="37"/>
        <v>300000000</v>
      </c>
      <c r="EQ43" s="465"/>
      <c r="ER43" s="465">
        <v>25000000</v>
      </c>
      <c r="ES43" s="487">
        <f>736822+10786677+3934725+9147060+394716</f>
        <v>25000000</v>
      </c>
      <c r="ET43" s="465">
        <f t="shared" si="38"/>
        <v>0</v>
      </c>
      <c r="EU43" s="465"/>
      <c r="EV43" s="465">
        <v>10000000</v>
      </c>
      <c r="EW43" s="465">
        <v>0</v>
      </c>
      <c r="EX43" s="465">
        <f t="shared" si="39"/>
        <v>10000000</v>
      </c>
      <c r="EY43" s="465"/>
      <c r="EZ43" s="465">
        <v>30000000</v>
      </c>
      <c r="FA43" s="484">
        <f>4412329.18+21925480</f>
        <v>26337809.18</v>
      </c>
      <c r="FB43" s="465">
        <f t="shared" si="40"/>
        <v>3662190.8200000003</v>
      </c>
      <c r="FC43" s="465"/>
      <c r="FD43" s="465">
        <v>5000000</v>
      </c>
      <c r="FE43" s="465">
        <v>0</v>
      </c>
      <c r="FF43" s="465">
        <f t="shared" si="41"/>
        <v>5000000</v>
      </c>
      <c r="FG43" s="465"/>
      <c r="FH43" s="468">
        <v>120000000</v>
      </c>
      <c r="FI43" s="463">
        <v>0</v>
      </c>
      <c r="FJ43" s="463">
        <f t="shared" si="0"/>
        <v>120000000</v>
      </c>
      <c r="FK43" s="468"/>
      <c r="FL43" s="468">
        <v>25000000</v>
      </c>
      <c r="FM43" s="490">
        <f>5495484+560000</f>
        <v>6055484</v>
      </c>
      <c r="FN43" s="468">
        <f t="shared" si="63"/>
        <v>18944516</v>
      </c>
      <c r="FO43" s="468"/>
      <c r="FP43" s="468">
        <v>5000000</v>
      </c>
      <c r="FQ43" s="468">
        <v>0</v>
      </c>
      <c r="FR43" s="468">
        <f t="shared" si="64"/>
        <v>5000000</v>
      </c>
      <c r="FS43" s="468"/>
      <c r="FT43" s="468">
        <v>30000000</v>
      </c>
      <c r="FU43" s="468">
        <v>0</v>
      </c>
      <c r="FV43" s="468">
        <f t="shared" si="65"/>
        <v>30000000</v>
      </c>
      <c r="FW43" s="468"/>
      <c r="FX43" s="468">
        <v>4150000</v>
      </c>
      <c r="FY43" s="468">
        <v>0</v>
      </c>
      <c r="FZ43" s="468">
        <v>4150000</v>
      </c>
      <c r="GA43" s="468"/>
      <c r="GB43" s="468">
        <v>160000000</v>
      </c>
      <c r="GC43" s="468">
        <v>0</v>
      </c>
      <c r="GD43" s="468">
        <f t="shared" si="45"/>
        <v>160000000</v>
      </c>
      <c r="GE43" s="468"/>
      <c r="GF43" s="468">
        <v>25000000</v>
      </c>
      <c r="GG43" s="468">
        <v>0</v>
      </c>
      <c r="GH43" s="468">
        <f t="shared" si="46"/>
        <v>25000000</v>
      </c>
      <c r="GI43" s="468"/>
      <c r="GJ43" s="468">
        <v>5000000</v>
      </c>
      <c r="GK43" s="468">
        <v>0</v>
      </c>
      <c r="GL43" s="468">
        <f t="shared" si="47"/>
        <v>5000000</v>
      </c>
      <c r="GM43" s="468"/>
      <c r="GN43" s="468">
        <v>20000000</v>
      </c>
      <c r="GO43" s="468">
        <v>0</v>
      </c>
      <c r="GP43" s="468">
        <f t="shared" si="48"/>
        <v>20000000</v>
      </c>
      <c r="GQ43" s="468"/>
      <c r="GR43" s="468">
        <v>5000000</v>
      </c>
      <c r="GS43" s="468">
        <v>0</v>
      </c>
      <c r="GT43" s="468">
        <f t="shared" si="49"/>
        <v>5000000</v>
      </c>
      <c r="GU43" s="468"/>
      <c r="GV43" s="465">
        <f t="shared" si="50"/>
        <v>1894150000</v>
      </c>
      <c r="GW43" s="465">
        <f t="shared" si="50"/>
        <v>881550907.17999995</v>
      </c>
      <c r="GX43" s="465">
        <f t="shared" si="51"/>
        <v>1012599092.8200001</v>
      </c>
      <c r="GY43" s="470"/>
      <c r="GZ43" s="464"/>
      <c r="HA43" s="471">
        <f>D43+H43+L43+X43+AN43+BH43+CB43+CF43+CV43+DP43+DT43+EN43+FH43+GB43</f>
        <v>1340000000</v>
      </c>
      <c r="HB43" s="471">
        <f>E43+I43+M43+Y43+AO43+BI43+CC43+CG43+CW43+DQ43+DU43+EO43+FI43+GC43</f>
        <v>504912839</v>
      </c>
      <c r="HC43" s="471">
        <f t="shared" si="52"/>
        <v>835087161</v>
      </c>
      <c r="HE43" s="471">
        <f>P43+AB43+AR43+
BL43+CJ43+CZ43+DX43+ER43+FL43+GF43</f>
        <v>167000000</v>
      </c>
      <c r="HF43" s="471">
        <f>Q43+AC43+AS43+
BM43+CK43+DA43+DY43+ES43+FM43+GG43</f>
        <v>123055484</v>
      </c>
      <c r="HG43" s="471">
        <f t="shared" si="53"/>
        <v>43944516</v>
      </c>
      <c r="HI43" s="471">
        <f>T43+AF43+AV43+BP43+CN43+DD43+EB43+EV43+FP43+GJ43</f>
        <v>73000000</v>
      </c>
      <c r="HJ43" s="471">
        <f>U43+AG43+AW43+BQ43+CO43+DE43+EC43+EW43+FQ43+GK43</f>
        <v>19213875</v>
      </c>
      <c r="HK43" s="471">
        <f t="shared" si="54"/>
        <v>53786125</v>
      </c>
      <c r="HM43" s="475">
        <f>AJ43+AZ43+BT43+CR43+DH43+EF43+EZ43+FT43+GN43</f>
        <v>270000000</v>
      </c>
      <c r="HN43" s="475">
        <f>AK43+BA43+BU43+CS43+DI43+EG43+FA43+FU43+GO43</f>
        <v>216337809.18000001</v>
      </c>
      <c r="HO43" s="475">
        <f t="shared" si="55"/>
        <v>53662190.819999993</v>
      </c>
      <c r="HP43" s="476"/>
      <c r="HR43" s="471">
        <f>BD43+BX43+DL43+EJ43+FD43+FX43+GR43</f>
        <v>44150000</v>
      </c>
      <c r="HS43" s="471">
        <f>BE43+BY43+DM43+EK43+FE43+FY43+GS43</f>
        <v>18030900</v>
      </c>
      <c r="HT43" s="471">
        <f t="shared" si="56"/>
        <v>26119100</v>
      </c>
    </row>
    <row r="44" spans="1:228" x14ac:dyDescent="0.25">
      <c r="A44" s="107">
        <v>39</v>
      </c>
      <c r="B44" s="107" t="s">
        <v>103</v>
      </c>
      <c r="C44" s="113" t="s">
        <v>69</v>
      </c>
      <c r="D44" s="488">
        <v>1750000</v>
      </c>
      <c r="E44" s="488">
        <v>1750000</v>
      </c>
      <c r="F44" s="465">
        <f t="shared" si="1"/>
        <v>0</v>
      </c>
      <c r="G44" s="488"/>
      <c r="H44" s="465">
        <v>50000000</v>
      </c>
      <c r="I44" s="465">
        <v>50000000</v>
      </c>
      <c r="J44" s="465">
        <f t="shared" si="2"/>
        <v>0</v>
      </c>
      <c r="K44" s="488"/>
      <c r="L44" s="465">
        <v>50000000</v>
      </c>
      <c r="M44" s="465">
        <v>50000000</v>
      </c>
      <c r="N44" s="465">
        <f t="shared" si="3"/>
        <v>0</v>
      </c>
      <c r="O44" s="488"/>
      <c r="P44" s="465">
        <v>7000000</v>
      </c>
      <c r="Q44" s="465">
        <v>7000000</v>
      </c>
      <c r="R44" s="465">
        <f t="shared" si="4"/>
        <v>0</v>
      </c>
      <c r="S44" s="488"/>
      <c r="T44" s="465">
        <v>3000000</v>
      </c>
      <c r="U44" s="465">
        <v>3000000</v>
      </c>
      <c r="V44" s="465">
        <f t="shared" si="5"/>
        <v>0</v>
      </c>
      <c r="W44" s="488"/>
      <c r="X44" s="465">
        <v>60000000</v>
      </c>
      <c r="Y44" s="465">
        <v>60000000</v>
      </c>
      <c r="Z44" s="465">
        <f t="shared" si="6"/>
        <v>0</v>
      </c>
      <c r="AA44" s="488"/>
      <c r="AB44" s="465">
        <v>10000000</v>
      </c>
      <c r="AC44" s="465">
        <v>10000000</v>
      </c>
      <c r="AD44" s="465">
        <f t="shared" si="7"/>
        <v>0</v>
      </c>
      <c r="AE44" s="488"/>
      <c r="AF44" s="465">
        <v>4035162</v>
      </c>
      <c r="AG44" s="465">
        <f>3800000+115162+120000</f>
        <v>4035162</v>
      </c>
      <c r="AH44" s="465">
        <f t="shared" si="8"/>
        <v>0</v>
      </c>
      <c r="AI44" s="488"/>
      <c r="AJ44" s="465">
        <v>15000000</v>
      </c>
      <c r="AK44" s="465">
        <v>15000000</v>
      </c>
      <c r="AL44" s="465">
        <f t="shared" si="9"/>
        <v>0</v>
      </c>
      <c r="AM44" s="465"/>
      <c r="AN44" s="465">
        <v>80000000</v>
      </c>
      <c r="AO44" s="465">
        <v>80000000</v>
      </c>
      <c r="AP44" s="465">
        <f t="shared" si="10"/>
        <v>0</v>
      </c>
      <c r="AQ44" s="488"/>
      <c r="AR44" s="465">
        <v>10000000</v>
      </c>
      <c r="AS44" s="465">
        <v>10000000</v>
      </c>
      <c r="AT44" s="465">
        <f t="shared" si="11"/>
        <v>0</v>
      </c>
      <c r="AU44" s="488"/>
      <c r="AV44" s="465">
        <v>5000000</v>
      </c>
      <c r="AW44" s="485">
        <v>5000000</v>
      </c>
      <c r="AX44" s="465">
        <f t="shared" si="12"/>
        <v>0</v>
      </c>
      <c r="AY44" s="488"/>
      <c r="AZ44" s="465">
        <v>20000000</v>
      </c>
      <c r="BA44" s="465">
        <f>4889995+778080+3000000+11331925</f>
        <v>20000000</v>
      </c>
      <c r="BB44" s="465">
        <f t="shared" si="13"/>
        <v>0</v>
      </c>
      <c r="BC44" s="465"/>
      <c r="BD44" s="465">
        <v>5000000</v>
      </c>
      <c r="BE44" s="465">
        <f>112500+143250+1853000+1150475+530025</f>
        <v>3789250</v>
      </c>
      <c r="BF44" s="465">
        <f t="shared" si="14"/>
        <v>1210750</v>
      </c>
      <c r="BG44" s="488"/>
      <c r="BH44" s="465">
        <v>130000000</v>
      </c>
      <c r="BI44" s="465">
        <f>5245560.2+25886325+83128750+4169000+11570364.8</f>
        <v>130000000</v>
      </c>
      <c r="BJ44" s="465">
        <f t="shared" si="15"/>
        <v>0</v>
      </c>
      <c r="BK44" s="465"/>
      <c r="BL44" s="465">
        <v>10000000</v>
      </c>
      <c r="BM44" s="465">
        <v>9960000</v>
      </c>
      <c r="BN44" s="465">
        <f t="shared" si="16"/>
        <v>40000</v>
      </c>
      <c r="BO44" s="488"/>
      <c r="BP44" s="465">
        <v>10000000</v>
      </c>
      <c r="BQ44" s="485">
        <v>10000000</v>
      </c>
      <c r="BR44" s="465">
        <f t="shared" si="17"/>
        <v>0</v>
      </c>
      <c r="BS44" s="488"/>
      <c r="BT44" s="465">
        <v>40000000</v>
      </c>
      <c r="BU44" s="465">
        <f>38578939.68+21025237-19604176.68</f>
        <v>40000000</v>
      </c>
      <c r="BV44" s="465">
        <f t="shared" si="18"/>
        <v>0</v>
      </c>
      <c r="BW44" s="488"/>
      <c r="BX44" s="465">
        <v>5000000</v>
      </c>
      <c r="BY44" s="483">
        <f>652588+680000+1449250+1576750</f>
        <v>4358588</v>
      </c>
      <c r="BZ44" s="465">
        <f t="shared" si="19"/>
        <v>641412</v>
      </c>
      <c r="CA44" s="488"/>
      <c r="CB44" s="465">
        <v>0</v>
      </c>
      <c r="CC44" s="465">
        <v>0</v>
      </c>
      <c r="CD44" s="465">
        <f t="shared" si="20"/>
        <v>0</v>
      </c>
      <c r="CE44" s="488"/>
      <c r="CF44" s="465">
        <f t="shared" si="21"/>
        <v>140000000</v>
      </c>
      <c r="CG44" s="465">
        <f>66429920.2+1931000+71639079.8</f>
        <v>140000000</v>
      </c>
      <c r="CH44" s="465">
        <f t="shared" si="22"/>
        <v>0</v>
      </c>
      <c r="CI44" s="488"/>
      <c r="CJ44" s="465">
        <v>20000000</v>
      </c>
      <c r="CK44" s="465">
        <v>19145202</v>
      </c>
      <c r="CL44" s="465">
        <f t="shared" si="23"/>
        <v>854798</v>
      </c>
      <c r="CM44" s="465"/>
      <c r="CN44" s="465">
        <v>10000000</v>
      </c>
      <c r="CO44" s="485">
        <f>6250000</f>
        <v>6250000</v>
      </c>
      <c r="CP44" s="465">
        <f t="shared" si="24"/>
        <v>3750000</v>
      </c>
      <c r="CQ44" s="488"/>
      <c r="CR44" s="465">
        <v>40000000</v>
      </c>
      <c r="CS44" s="465">
        <f>38081405+1918595</f>
        <v>40000000</v>
      </c>
      <c r="CT44" s="465">
        <f t="shared" si="25"/>
        <v>0</v>
      </c>
      <c r="CU44" s="465"/>
      <c r="CV44" s="465">
        <v>150000000</v>
      </c>
      <c r="CW44" s="465">
        <f>75797821.7+2563098.5+13811200+51600000</f>
        <v>143772120.19999999</v>
      </c>
      <c r="CX44" s="465">
        <f t="shared" si="26"/>
        <v>6227879.8000000119</v>
      </c>
      <c r="CY44" s="488"/>
      <c r="CZ44" s="465">
        <v>20000000</v>
      </c>
      <c r="DA44" s="465">
        <v>16390618</v>
      </c>
      <c r="DB44" s="465">
        <f t="shared" si="27"/>
        <v>3609382</v>
      </c>
      <c r="DC44" s="465"/>
      <c r="DD44" s="465">
        <v>10000000</v>
      </c>
      <c r="DE44" s="465">
        <v>0</v>
      </c>
      <c r="DF44" s="465">
        <f t="shared" si="28"/>
        <v>10000000</v>
      </c>
      <c r="DG44" s="488"/>
      <c r="DH44" s="465">
        <v>50000000</v>
      </c>
      <c r="DI44" s="465">
        <f>19604176.68+34368401-3972577.68</f>
        <v>50000000</v>
      </c>
      <c r="DJ44" s="465">
        <f t="shared" si="29"/>
        <v>0</v>
      </c>
      <c r="DK44" s="488"/>
      <c r="DL44" s="465">
        <v>10000000</v>
      </c>
      <c r="DM44" s="465">
        <v>0</v>
      </c>
      <c r="DN44" s="465">
        <f t="shared" si="30"/>
        <v>10000000</v>
      </c>
      <c r="DO44" s="488"/>
      <c r="DP44" s="465">
        <v>0</v>
      </c>
      <c r="DQ44" s="465">
        <v>0</v>
      </c>
      <c r="DR44" s="465">
        <f t="shared" si="31"/>
        <v>0</v>
      </c>
      <c r="DS44" s="465"/>
      <c r="DT44" s="465">
        <v>100000000</v>
      </c>
      <c r="DU44" s="484">
        <f>4251701.5+79699170+12549654</f>
        <v>96500525.5</v>
      </c>
      <c r="DV44" s="465">
        <f t="shared" si="32"/>
        <v>3499474.5</v>
      </c>
      <c r="DW44" s="465"/>
      <c r="DX44" s="465">
        <v>15000000</v>
      </c>
      <c r="DY44" s="465">
        <v>15000000</v>
      </c>
      <c r="DZ44" s="465">
        <f t="shared" si="33"/>
        <v>0</v>
      </c>
      <c r="EA44" s="465"/>
      <c r="EB44" s="465">
        <v>10000000</v>
      </c>
      <c r="EC44" s="465">
        <v>0</v>
      </c>
      <c r="ED44" s="465">
        <f t="shared" si="34"/>
        <v>10000000</v>
      </c>
      <c r="EE44" s="465"/>
      <c r="EF44" s="465">
        <v>25000000</v>
      </c>
      <c r="EG44" s="465">
        <f>3972577.68+21027422.32</f>
        <v>25000000</v>
      </c>
      <c r="EH44" s="465">
        <f t="shared" si="35"/>
        <v>0</v>
      </c>
      <c r="EI44" s="465"/>
      <c r="EJ44" s="465">
        <v>10000000</v>
      </c>
      <c r="EK44" s="465">
        <v>0</v>
      </c>
      <c r="EL44" s="465">
        <f t="shared" si="36"/>
        <v>10000000</v>
      </c>
      <c r="EM44" s="488"/>
      <c r="EN44" s="465">
        <v>300000000</v>
      </c>
      <c r="EO44" s="465">
        <v>0</v>
      </c>
      <c r="EP44" s="465">
        <f t="shared" si="37"/>
        <v>300000000</v>
      </c>
      <c r="EQ44" s="488"/>
      <c r="ER44" s="465">
        <v>25000000</v>
      </c>
      <c r="ES44" s="465">
        <f>2168964.2</f>
        <v>2168964.2000000002</v>
      </c>
      <c r="ET44" s="465">
        <f t="shared" si="38"/>
        <v>22831035.800000001</v>
      </c>
      <c r="EU44" s="488"/>
      <c r="EV44" s="465">
        <v>10000000</v>
      </c>
      <c r="EW44" s="465">
        <v>0</v>
      </c>
      <c r="EX44" s="465">
        <f t="shared" si="39"/>
        <v>10000000</v>
      </c>
      <c r="EY44" s="488"/>
      <c r="EZ44" s="465">
        <v>30000000</v>
      </c>
      <c r="FA44" s="484">
        <f>4933497.68+3697105+5246456+6298312+9824629.32</f>
        <v>30000000</v>
      </c>
      <c r="FB44" s="465">
        <f t="shared" si="40"/>
        <v>0</v>
      </c>
      <c r="FC44" s="488"/>
      <c r="FD44" s="465">
        <v>5000000</v>
      </c>
      <c r="FE44" s="465">
        <v>0</v>
      </c>
      <c r="FF44" s="465">
        <f t="shared" si="41"/>
        <v>5000000</v>
      </c>
      <c r="FG44" s="465"/>
      <c r="FH44" s="468">
        <v>120000000</v>
      </c>
      <c r="FI44" s="463">
        <v>0</v>
      </c>
      <c r="FJ44" s="463">
        <f t="shared" si="0"/>
        <v>120000000</v>
      </c>
      <c r="FK44" s="468"/>
      <c r="FL44" s="468">
        <v>25000000</v>
      </c>
      <c r="FM44" s="468">
        <v>0</v>
      </c>
      <c r="FN44" s="468">
        <f t="shared" si="63"/>
        <v>25000000</v>
      </c>
      <c r="FO44" s="468"/>
      <c r="FP44" s="468">
        <v>5000000</v>
      </c>
      <c r="FQ44" s="468">
        <v>0</v>
      </c>
      <c r="FR44" s="468">
        <f t="shared" si="64"/>
        <v>5000000</v>
      </c>
      <c r="FS44" s="468"/>
      <c r="FT44" s="468">
        <v>30000000</v>
      </c>
      <c r="FU44" s="469">
        <f>13397075.68</f>
        <v>13397075.68</v>
      </c>
      <c r="FV44" s="468">
        <f t="shared" si="65"/>
        <v>16602924.32</v>
      </c>
      <c r="FW44" s="468"/>
      <c r="FX44" s="468">
        <v>4150000</v>
      </c>
      <c r="FY44" s="468">
        <v>0</v>
      </c>
      <c r="FZ44" s="468">
        <v>4150000</v>
      </c>
      <c r="GA44" s="468"/>
      <c r="GB44" s="468">
        <v>160000000</v>
      </c>
      <c r="GC44" s="468">
        <v>0</v>
      </c>
      <c r="GD44" s="468">
        <f t="shared" si="45"/>
        <v>160000000</v>
      </c>
      <c r="GE44" s="468"/>
      <c r="GF44" s="468">
        <v>25000000</v>
      </c>
      <c r="GG44" s="468">
        <v>0</v>
      </c>
      <c r="GH44" s="468">
        <f t="shared" si="46"/>
        <v>25000000</v>
      </c>
      <c r="GI44" s="468"/>
      <c r="GJ44" s="468">
        <v>5000000</v>
      </c>
      <c r="GK44" s="468">
        <v>0</v>
      </c>
      <c r="GL44" s="468">
        <f t="shared" si="47"/>
        <v>5000000</v>
      </c>
      <c r="GM44" s="468"/>
      <c r="GN44" s="468">
        <v>20000000</v>
      </c>
      <c r="GO44" s="468">
        <v>0</v>
      </c>
      <c r="GP44" s="468">
        <f t="shared" si="48"/>
        <v>20000000</v>
      </c>
      <c r="GQ44" s="468"/>
      <c r="GR44" s="468">
        <v>5000000</v>
      </c>
      <c r="GS44" s="468">
        <v>0</v>
      </c>
      <c r="GT44" s="468">
        <f t="shared" si="49"/>
        <v>5000000</v>
      </c>
      <c r="GU44" s="468"/>
      <c r="GV44" s="465">
        <f t="shared" si="50"/>
        <v>1894935162</v>
      </c>
      <c r="GW44" s="465">
        <f t="shared" si="50"/>
        <v>1111517505.5800002</v>
      </c>
      <c r="GX44" s="465">
        <f t="shared" si="51"/>
        <v>783417656.41999984</v>
      </c>
      <c r="GY44" s="470"/>
      <c r="GZ44" s="464"/>
      <c r="HA44" s="471">
        <f>D44+H44+L44+X44+AN44+BH44+CB44+CF44+CV44+DP44+DT44+EN44+FH44+GB44</f>
        <v>1341750000</v>
      </c>
      <c r="HB44" s="471">
        <f>E44+I44+M44+Y44+AO44+BI44+CC44+CG44+CW44+DQ44+DU44+EO44+FI44+GC44</f>
        <v>752022645.70000005</v>
      </c>
      <c r="HC44" s="471">
        <f t="shared" si="52"/>
        <v>589727354.29999995</v>
      </c>
      <c r="HE44" s="471">
        <f>P44+AB44+AR44+
BL44+CJ44+CZ44+DX44+ER44+FL44+GF44</f>
        <v>167000000</v>
      </c>
      <c r="HF44" s="471">
        <f>Q44+AC44+AS44+
BM44+CK44+DA44+DY44+ES44+FM44+GG44</f>
        <v>89664784.200000003</v>
      </c>
      <c r="HG44" s="471">
        <f t="shared" si="53"/>
        <v>77335215.799999997</v>
      </c>
      <c r="HI44" s="471">
        <f>T44+AF44+AV44+BP44+CN44+DD44+EB44+EV44+FP44+GJ44</f>
        <v>72035162</v>
      </c>
      <c r="HJ44" s="471">
        <f>U44+AG44+AW44+BQ44+CO44+DE44+EC44+EW44+FQ44+GK44</f>
        <v>28285162</v>
      </c>
      <c r="HK44" s="471">
        <f t="shared" si="54"/>
        <v>43750000</v>
      </c>
      <c r="HM44" s="475">
        <f>AJ44+AZ44+BT44+CR44+DH44+EF44+EZ44+FT44+GN44</f>
        <v>270000000</v>
      </c>
      <c r="HN44" s="475">
        <f>AK44+BA44+BU44+CS44+DI44+EG44+FA44+FU44+GO44</f>
        <v>233397075.68000001</v>
      </c>
      <c r="HO44" s="475">
        <f t="shared" si="55"/>
        <v>36602924.319999993</v>
      </c>
      <c r="HP44" s="476"/>
      <c r="HR44" s="471">
        <f>BD44+BX44+DL44+EJ44+FD44+FX44+GR44</f>
        <v>44150000</v>
      </c>
      <c r="HS44" s="471">
        <f>BE44+BY44+DM44+EK44+FE44+FY44+GS44</f>
        <v>8147838</v>
      </c>
      <c r="HT44" s="471">
        <f t="shared" si="56"/>
        <v>36002162</v>
      </c>
    </row>
    <row r="45" spans="1:228" x14ac:dyDescent="0.25">
      <c r="A45" s="107">
        <v>40</v>
      </c>
      <c r="B45" s="107" t="s">
        <v>104</v>
      </c>
      <c r="C45" s="113" t="s">
        <v>61</v>
      </c>
      <c r="D45" s="465">
        <v>0</v>
      </c>
      <c r="E45" s="465">
        <v>0</v>
      </c>
      <c r="F45" s="465">
        <f t="shared" si="1"/>
        <v>0</v>
      </c>
      <c r="G45" s="465"/>
      <c r="H45" s="465">
        <v>50000000</v>
      </c>
      <c r="I45" s="465">
        <f>45897260+2200000+1902740</f>
        <v>50000000</v>
      </c>
      <c r="J45" s="465">
        <f t="shared" si="2"/>
        <v>0</v>
      </c>
      <c r="K45" s="465"/>
      <c r="L45" s="465">
        <v>50000000</v>
      </c>
      <c r="M45" s="465">
        <f>8947260+32679129.6+3300000+5073610.4</f>
        <v>50000000</v>
      </c>
      <c r="N45" s="465">
        <f t="shared" si="3"/>
        <v>0</v>
      </c>
      <c r="O45" s="465"/>
      <c r="P45" s="465">
        <f>7000000-7000000</f>
        <v>0</v>
      </c>
      <c r="Q45" s="465">
        <v>0</v>
      </c>
      <c r="R45" s="465">
        <f t="shared" si="4"/>
        <v>0</v>
      </c>
      <c r="S45" s="465"/>
      <c r="T45" s="465">
        <v>3000000</v>
      </c>
      <c r="U45" s="465">
        <v>3000000</v>
      </c>
      <c r="V45" s="465">
        <f t="shared" si="5"/>
        <v>0</v>
      </c>
      <c r="W45" s="465"/>
      <c r="X45" s="465">
        <v>60000000</v>
      </c>
      <c r="Y45" s="465">
        <f>6826389.6+3000000+49550000+623610.4</f>
        <v>60000000</v>
      </c>
      <c r="Z45" s="465">
        <f t="shared" si="6"/>
        <v>0</v>
      </c>
      <c r="AA45" s="465"/>
      <c r="AB45" s="465">
        <f>10000000-10000000</f>
        <v>0</v>
      </c>
      <c r="AC45" s="465">
        <v>0</v>
      </c>
      <c r="AD45" s="465">
        <f t="shared" si="7"/>
        <v>0</v>
      </c>
      <c r="AE45" s="465"/>
      <c r="AF45" s="465">
        <v>3800000</v>
      </c>
      <c r="AG45" s="465">
        <v>3800000</v>
      </c>
      <c r="AH45" s="465">
        <f t="shared" si="8"/>
        <v>0</v>
      </c>
      <c r="AI45" s="465"/>
      <c r="AJ45" s="465">
        <v>15000000</v>
      </c>
      <c r="AK45" s="465">
        <v>15000000</v>
      </c>
      <c r="AL45" s="465">
        <f t="shared" si="9"/>
        <v>0</v>
      </c>
      <c r="AM45" s="465"/>
      <c r="AN45" s="465">
        <v>80000000</v>
      </c>
      <c r="AO45" s="465">
        <f>72291279.6+17362800+5200000+2595920-17449999.6</f>
        <v>80000000</v>
      </c>
      <c r="AP45" s="465">
        <f t="shared" si="10"/>
        <v>0</v>
      </c>
      <c r="AQ45" s="465"/>
      <c r="AR45" s="465">
        <v>10000000</v>
      </c>
      <c r="AS45" s="465">
        <f>10000000</f>
        <v>10000000</v>
      </c>
      <c r="AT45" s="465">
        <f t="shared" si="11"/>
        <v>0</v>
      </c>
      <c r="AU45" s="465"/>
      <c r="AV45" s="465">
        <v>5000000</v>
      </c>
      <c r="AW45" s="465">
        <v>0</v>
      </c>
      <c r="AX45" s="465">
        <f t="shared" si="12"/>
        <v>5000000</v>
      </c>
      <c r="AY45" s="465"/>
      <c r="AZ45" s="465">
        <v>20000000</v>
      </c>
      <c r="BA45" s="465">
        <v>20000000</v>
      </c>
      <c r="BB45" s="465">
        <f t="shared" si="13"/>
        <v>0</v>
      </c>
      <c r="BC45" s="465"/>
      <c r="BD45" s="465">
        <v>5000000</v>
      </c>
      <c r="BE45" s="465">
        <f>0</f>
        <v>0</v>
      </c>
      <c r="BF45" s="465">
        <f t="shared" si="14"/>
        <v>5000000</v>
      </c>
      <c r="BG45" s="465"/>
      <c r="BH45" s="465">
        <v>130000000</v>
      </c>
      <c r="BI45" s="465">
        <f>27871580+101092090+1036330</f>
        <v>130000000</v>
      </c>
      <c r="BJ45" s="465">
        <f t="shared" si="15"/>
        <v>0</v>
      </c>
      <c r="BK45" s="465"/>
      <c r="BL45" s="465">
        <v>10000000</v>
      </c>
      <c r="BM45" s="465">
        <f>10000000</f>
        <v>10000000</v>
      </c>
      <c r="BN45" s="465">
        <f t="shared" si="16"/>
        <v>0</v>
      </c>
      <c r="BO45" s="465"/>
      <c r="BP45" s="465">
        <v>10000000</v>
      </c>
      <c r="BQ45" s="465">
        <v>0</v>
      </c>
      <c r="BR45" s="465">
        <f t="shared" si="17"/>
        <v>10000000</v>
      </c>
      <c r="BS45" s="465"/>
      <c r="BT45" s="465">
        <v>40000000</v>
      </c>
      <c r="BU45" s="465">
        <f>19568234.02+4398330+13665484+1794018+573933.98</f>
        <v>39999999.999999993</v>
      </c>
      <c r="BV45" s="465">
        <f t="shared" si="18"/>
        <v>0</v>
      </c>
      <c r="BW45" s="465"/>
      <c r="BX45" s="465">
        <v>5000000</v>
      </c>
      <c r="BY45" s="465">
        <v>0</v>
      </c>
      <c r="BZ45" s="465">
        <f t="shared" si="19"/>
        <v>5000000</v>
      </c>
      <c r="CA45" s="465"/>
      <c r="CB45" s="465">
        <v>0</v>
      </c>
      <c r="CC45" s="465">
        <v>0</v>
      </c>
      <c r="CD45" s="465">
        <f t="shared" si="20"/>
        <v>0</v>
      </c>
      <c r="CE45" s="488"/>
      <c r="CF45" s="465">
        <f t="shared" si="21"/>
        <v>140000000</v>
      </c>
      <c r="CG45" s="465">
        <f>95031001+24902910+17449999.6+2616089.4</f>
        <v>140000000</v>
      </c>
      <c r="CH45" s="465">
        <f t="shared" si="22"/>
        <v>0</v>
      </c>
      <c r="CI45" s="465"/>
      <c r="CJ45" s="465">
        <v>20000000</v>
      </c>
      <c r="CK45" s="465">
        <f>11363437.8-4760000</f>
        <v>6603437.8000000007</v>
      </c>
      <c r="CL45" s="465">
        <f t="shared" si="23"/>
        <v>13396562.199999999</v>
      </c>
      <c r="CM45" s="465"/>
      <c r="CN45" s="465">
        <v>10000000</v>
      </c>
      <c r="CO45" s="465">
        <v>0</v>
      </c>
      <c r="CP45" s="465">
        <f t="shared" si="24"/>
        <v>10000000</v>
      </c>
      <c r="CQ45" s="465"/>
      <c r="CR45" s="465">
        <v>40000000</v>
      </c>
      <c r="CS45" s="465">
        <f>17118887.02+20623139.28+2257973.7</f>
        <v>40000000</v>
      </c>
      <c r="CT45" s="465">
        <f t="shared" si="25"/>
        <v>0</v>
      </c>
      <c r="CU45" s="465"/>
      <c r="CV45" s="465">
        <v>150000000</v>
      </c>
      <c r="CW45" s="465">
        <f>81386090.6+66272172+1858000+483737.4</f>
        <v>150000000</v>
      </c>
      <c r="CX45" s="465">
        <f t="shared" si="26"/>
        <v>0</v>
      </c>
      <c r="CY45" s="465"/>
      <c r="CZ45" s="465">
        <v>20000000</v>
      </c>
      <c r="DA45" s="465">
        <v>0</v>
      </c>
      <c r="DB45" s="465">
        <f t="shared" si="27"/>
        <v>20000000</v>
      </c>
      <c r="DC45" s="465"/>
      <c r="DD45" s="465">
        <v>10000000</v>
      </c>
      <c r="DE45" s="465">
        <v>0</v>
      </c>
      <c r="DF45" s="465">
        <f t="shared" si="28"/>
        <v>10000000</v>
      </c>
      <c r="DG45" s="465"/>
      <c r="DH45" s="465">
        <v>50000000</v>
      </c>
      <c r="DI45" s="465">
        <f>12930067.3+1858000+37043560-1858000+26372.7</f>
        <v>50000000</v>
      </c>
      <c r="DJ45" s="465">
        <f t="shared" si="29"/>
        <v>0</v>
      </c>
      <c r="DK45" s="465"/>
      <c r="DL45" s="465">
        <v>10000000</v>
      </c>
      <c r="DM45" s="465">
        <v>0</v>
      </c>
      <c r="DN45" s="465">
        <f t="shared" si="30"/>
        <v>10000000</v>
      </c>
      <c r="DO45" s="465"/>
      <c r="DP45" s="465">
        <v>0</v>
      </c>
      <c r="DQ45" s="465">
        <v>0</v>
      </c>
      <c r="DR45" s="465">
        <f t="shared" si="31"/>
        <v>0</v>
      </c>
      <c r="DS45" s="465"/>
      <c r="DT45" s="465">
        <v>100000000</v>
      </c>
      <c r="DU45" s="465">
        <f>16016262.6+17700000+66283737.4</f>
        <v>100000000</v>
      </c>
      <c r="DV45" s="465">
        <f t="shared" si="32"/>
        <v>0</v>
      </c>
      <c r="DW45" s="465"/>
      <c r="DX45" s="465">
        <v>15000000</v>
      </c>
      <c r="DY45" s="465">
        <v>0</v>
      </c>
      <c r="DZ45" s="465">
        <f t="shared" si="33"/>
        <v>15000000</v>
      </c>
      <c r="EA45" s="465"/>
      <c r="EB45" s="465">
        <v>10000000</v>
      </c>
      <c r="EC45" s="465">
        <v>0</v>
      </c>
      <c r="ED45" s="465">
        <f t="shared" si="34"/>
        <v>10000000</v>
      </c>
      <c r="EE45" s="465"/>
      <c r="EF45" s="465">
        <v>25000000</v>
      </c>
      <c r="EG45" s="487">
        <f>2299963.3+941565+2011925+2284090+11002575+6459881.7</f>
        <v>25000000</v>
      </c>
      <c r="EH45" s="465">
        <f t="shared" si="35"/>
        <v>0</v>
      </c>
      <c r="EI45" s="465"/>
      <c r="EJ45" s="465">
        <v>10000000</v>
      </c>
      <c r="EK45" s="465">
        <v>0</v>
      </c>
      <c r="EL45" s="465">
        <f t="shared" si="36"/>
        <v>10000000</v>
      </c>
      <c r="EM45" s="465"/>
      <c r="EN45" s="465">
        <v>300000000</v>
      </c>
      <c r="EO45" s="465">
        <f>199999065.6+81507762.6+18493171.8</f>
        <v>300000000</v>
      </c>
      <c r="EP45" s="465">
        <f t="shared" si="37"/>
        <v>0</v>
      </c>
      <c r="EQ45" s="465"/>
      <c r="ER45" s="465">
        <v>25000000</v>
      </c>
      <c r="ES45" s="465">
        <v>0</v>
      </c>
      <c r="ET45" s="465">
        <f t="shared" si="38"/>
        <v>25000000</v>
      </c>
      <c r="EU45" s="465"/>
      <c r="EV45" s="465">
        <v>10000000</v>
      </c>
      <c r="EW45" s="465">
        <v>0</v>
      </c>
      <c r="EX45" s="465">
        <f>EV45-EW45</f>
        <v>10000000</v>
      </c>
      <c r="EY45" s="465"/>
      <c r="EZ45" s="465">
        <v>30000000</v>
      </c>
      <c r="FA45" s="478">
        <f>21738565+5040968.3+3220466.7</f>
        <v>30000000</v>
      </c>
      <c r="FB45" s="465">
        <f t="shared" si="40"/>
        <v>0</v>
      </c>
      <c r="FC45" s="465"/>
      <c r="FD45" s="465">
        <v>5000000</v>
      </c>
      <c r="FE45" s="465">
        <v>0</v>
      </c>
      <c r="FF45" s="465">
        <f t="shared" si="41"/>
        <v>5000000</v>
      </c>
      <c r="FG45" s="465"/>
      <c r="FH45" s="468">
        <v>120000000</v>
      </c>
      <c r="FI45" s="463">
        <f>20051924.7+30956078.2</f>
        <v>51008002.899999999</v>
      </c>
      <c r="FJ45" s="463">
        <f t="shared" si="0"/>
        <v>68991997.099999994</v>
      </c>
      <c r="FK45" s="468"/>
      <c r="FL45" s="468">
        <v>25000000</v>
      </c>
      <c r="FM45" s="468">
        <v>0</v>
      </c>
      <c r="FN45" s="468">
        <f t="shared" si="63"/>
        <v>25000000</v>
      </c>
      <c r="FO45" s="468"/>
      <c r="FP45" s="468">
        <v>5000000</v>
      </c>
      <c r="FQ45" s="468">
        <v>0</v>
      </c>
      <c r="FR45" s="468">
        <f t="shared" si="64"/>
        <v>5000000</v>
      </c>
      <c r="FS45" s="468"/>
      <c r="FT45" s="468">
        <v>30000000</v>
      </c>
      <c r="FU45" s="490">
        <f>6880283.3</f>
        <v>6880283.2999999998</v>
      </c>
      <c r="FV45" s="468">
        <f t="shared" si="65"/>
        <v>23119716.699999999</v>
      </c>
      <c r="FW45" s="468"/>
      <c r="FX45" s="468">
        <v>4150000</v>
      </c>
      <c r="FY45" s="468">
        <v>0</v>
      </c>
      <c r="FZ45" s="468">
        <v>4150000</v>
      </c>
      <c r="GA45" s="468"/>
      <c r="GB45" s="468">
        <v>160000000</v>
      </c>
      <c r="GC45" s="468">
        <v>0</v>
      </c>
      <c r="GD45" s="468">
        <f t="shared" si="45"/>
        <v>160000000</v>
      </c>
      <c r="GE45" s="468"/>
      <c r="GF45" s="468">
        <v>25000000</v>
      </c>
      <c r="GG45" s="468">
        <v>0</v>
      </c>
      <c r="GH45" s="468">
        <f t="shared" si="46"/>
        <v>25000000</v>
      </c>
      <c r="GI45" s="468"/>
      <c r="GJ45" s="468">
        <v>5000000</v>
      </c>
      <c r="GK45" s="468">
        <v>0</v>
      </c>
      <c r="GL45" s="468">
        <f t="shared" si="47"/>
        <v>5000000</v>
      </c>
      <c r="GM45" s="468"/>
      <c r="GN45" s="468">
        <v>20000000</v>
      </c>
      <c r="GO45" s="468">
        <v>0</v>
      </c>
      <c r="GP45" s="468">
        <f t="shared" si="48"/>
        <v>20000000</v>
      </c>
      <c r="GQ45" s="468"/>
      <c r="GR45" s="468">
        <v>5000000</v>
      </c>
      <c r="GS45" s="468">
        <v>0</v>
      </c>
      <c r="GT45" s="468">
        <f t="shared" si="49"/>
        <v>5000000</v>
      </c>
      <c r="GU45" s="468"/>
      <c r="GV45" s="465">
        <f t="shared" si="50"/>
        <v>1875950000</v>
      </c>
      <c r="GW45" s="465">
        <f t="shared" si="50"/>
        <v>1371291724</v>
      </c>
      <c r="GX45" s="465">
        <f t="shared" si="51"/>
        <v>504658276</v>
      </c>
      <c r="GY45" s="470"/>
      <c r="GZ45" s="464"/>
      <c r="HA45" s="471">
        <f>D45+H45+L45+X45+AN45+BH45+CB45+CF45+CV45+DP45+DT45+EN45+FH45+GB45</f>
        <v>1340000000</v>
      </c>
      <c r="HB45" s="471">
        <f>E45+I45+M45+Y45+AO45+BI45+CC45+CG45+CW45+DQ45+DU45+EO45+FI45+GC45</f>
        <v>1111008002.9000001</v>
      </c>
      <c r="HC45" s="471">
        <f t="shared" si="52"/>
        <v>228991997.0999999</v>
      </c>
      <c r="HE45" s="471">
        <f>P45+AB45+AR45+
BL45+CJ45+CZ45+DX45+ER45+FL45+GF45</f>
        <v>150000000</v>
      </c>
      <c r="HF45" s="471">
        <f>Q45+AC45+AS45+
BM45+CK45+DA45+DY45+ES45+FM45+GG45</f>
        <v>26603437.800000001</v>
      </c>
      <c r="HG45" s="471">
        <f t="shared" si="53"/>
        <v>123396562.2</v>
      </c>
      <c r="HI45" s="471">
        <f>T45+AF45+AV45+BP45+CN45+DD45+EB45+EV45+FP45+GJ45</f>
        <v>71800000</v>
      </c>
      <c r="HJ45" s="471">
        <f>U45+AG45+AW45+BQ45+CO45+DE45+EC45+EW45+FQ45+GK45</f>
        <v>6800000</v>
      </c>
      <c r="HK45" s="471">
        <f t="shared" si="54"/>
        <v>65000000</v>
      </c>
      <c r="HM45" s="475">
        <f>AJ45+AZ45+BT45+CR45+DH45+EF45+EZ45+FT45+GN45</f>
        <v>270000000</v>
      </c>
      <c r="HN45" s="475">
        <f>AK45+BA45+BU45+CS45+DI45+EG45+FA45+FU45+GO45</f>
        <v>226880283.30000001</v>
      </c>
      <c r="HO45" s="475">
        <f t="shared" si="55"/>
        <v>43119716.699999988</v>
      </c>
      <c r="HP45" s="476"/>
      <c r="HR45" s="471">
        <f>BD45+BX45+DL45+EJ45+FD45+FX45+GR45</f>
        <v>44150000</v>
      </c>
      <c r="HS45" s="471">
        <f>BE45+BY45+DM45+EK45+FE45+FY45+GS45</f>
        <v>0</v>
      </c>
      <c r="HT45" s="471">
        <f t="shared" si="56"/>
        <v>44150000</v>
      </c>
    </row>
    <row r="46" spans="1:228" x14ac:dyDescent="0.25">
      <c r="A46" s="107">
        <v>41</v>
      </c>
      <c r="B46" s="107" t="s">
        <v>105</v>
      </c>
      <c r="C46" s="113" t="s">
        <v>76</v>
      </c>
      <c r="D46" s="488">
        <v>1750000</v>
      </c>
      <c r="E46" s="488">
        <v>1750000</v>
      </c>
      <c r="F46" s="465">
        <f t="shared" si="1"/>
        <v>0</v>
      </c>
      <c r="G46" s="488"/>
      <c r="H46" s="465">
        <v>50000000</v>
      </c>
      <c r="I46" s="465">
        <v>50000000</v>
      </c>
      <c r="J46" s="465">
        <f t="shared" si="2"/>
        <v>0</v>
      </c>
      <c r="K46" s="488"/>
      <c r="L46" s="465">
        <v>50000000</v>
      </c>
      <c r="M46" s="465">
        <v>50000000</v>
      </c>
      <c r="N46" s="465">
        <f t="shared" si="3"/>
        <v>0</v>
      </c>
      <c r="O46" s="488"/>
      <c r="P46" s="465">
        <v>7000000</v>
      </c>
      <c r="Q46" s="465">
        <v>7000000</v>
      </c>
      <c r="R46" s="465">
        <f t="shared" si="4"/>
        <v>0</v>
      </c>
      <c r="S46" s="488"/>
      <c r="T46" s="465">
        <v>3000000</v>
      </c>
      <c r="U46" s="465">
        <v>3000000</v>
      </c>
      <c r="V46" s="465">
        <f t="shared" si="5"/>
        <v>0</v>
      </c>
      <c r="W46" s="488"/>
      <c r="X46" s="465">
        <v>60000000</v>
      </c>
      <c r="Y46" s="465">
        <v>60000000</v>
      </c>
      <c r="Z46" s="465">
        <f t="shared" si="6"/>
        <v>0</v>
      </c>
      <c r="AA46" s="488"/>
      <c r="AB46" s="465">
        <v>10000000</v>
      </c>
      <c r="AC46" s="465">
        <v>10000000</v>
      </c>
      <c r="AD46" s="465">
        <f t="shared" si="7"/>
        <v>0</v>
      </c>
      <c r="AE46" s="488"/>
      <c r="AF46" s="465">
        <v>3800000</v>
      </c>
      <c r="AG46" s="465">
        <v>3800000</v>
      </c>
      <c r="AH46" s="465">
        <f t="shared" si="8"/>
        <v>0</v>
      </c>
      <c r="AI46" s="488"/>
      <c r="AJ46" s="465">
        <v>15000000</v>
      </c>
      <c r="AK46" s="465">
        <v>15000000</v>
      </c>
      <c r="AL46" s="465">
        <f t="shared" si="9"/>
        <v>0</v>
      </c>
      <c r="AM46" s="465"/>
      <c r="AN46" s="465">
        <v>80000000</v>
      </c>
      <c r="AO46" s="465">
        <f>8562360.28+43706279+12733736+14997624.72</f>
        <v>80000000</v>
      </c>
      <c r="AP46" s="465">
        <f t="shared" si="10"/>
        <v>0</v>
      </c>
      <c r="AQ46" s="465"/>
      <c r="AR46" s="465">
        <v>10000000</v>
      </c>
      <c r="AS46" s="465">
        <v>10000000</v>
      </c>
      <c r="AT46" s="465">
        <f t="shared" si="11"/>
        <v>0</v>
      </c>
      <c r="AU46" s="488"/>
      <c r="AV46" s="465">
        <v>5000000</v>
      </c>
      <c r="AW46" s="465">
        <v>0</v>
      </c>
      <c r="AX46" s="465">
        <f t="shared" si="12"/>
        <v>5000000</v>
      </c>
      <c r="AY46" s="488"/>
      <c r="AZ46" s="465">
        <v>20000000</v>
      </c>
      <c r="BA46" s="465">
        <v>20000000</v>
      </c>
      <c r="BB46" s="465">
        <f t="shared" si="13"/>
        <v>0</v>
      </c>
      <c r="BC46" s="488"/>
      <c r="BD46" s="465">
        <v>5000000</v>
      </c>
      <c r="BE46" s="465">
        <f>1598000+240000+282000</f>
        <v>2120000</v>
      </c>
      <c r="BF46" s="465">
        <f t="shared" si="14"/>
        <v>2880000</v>
      </c>
      <c r="BG46" s="488"/>
      <c r="BH46" s="465">
        <v>130000000</v>
      </c>
      <c r="BI46" s="465">
        <f>24489125.28+97284650+8226224.72</f>
        <v>130000000</v>
      </c>
      <c r="BJ46" s="465">
        <f t="shared" si="15"/>
        <v>0</v>
      </c>
      <c r="BK46" s="488"/>
      <c r="BL46" s="465">
        <v>10000000</v>
      </c>
      <c r="BM46" s="465">
        <f>539895+9123860</f>
        <v>9663755</v>
      </c>
      <c r="BN46" s="465">
        <f t="shared" si="16"/>
        <v>336245</v>
      </c>
      <c r="BO46" s="488"/>
      <c r="BP46" s="465">
        <v>10000000</v>
      </c>
      <c r="BQ46" s="465">
        <v>0</v>
      </c>
      <c r="BR46" s="465">
        <f t="shared" si="17"/>
        <v>10000000</v>
      </c>
      <c r="BS46" s="488"/>
      <c r="BT46" s="465">
        <v>40000000</v>
      </c>
      <c r="BU46" s="465">
        <f>31368486.91+8429732+201781.09</f>
        <v>40000000</v>
      </c>
      <c r="BV46" s="465">
        <f t="shared" si="18"/>
        <v>0</v>
      </c>
      <c r="BW46" s="488"/>
      <c r="BX46" s="465">
        <v>5000000</v>
      </c>
      <c r="BY46" s="465">
        <f>1360000+2118200</f>
        <v>3478200</v>
      </c>
      <c r="BZ46" s="465">
        <f t="shared" si="19"/>
        <v>1521800</v>
      </c>
      <c r="CA46" s="488"/>
      <c r="CB46" s="465">
        <v>0</v>
      </c>
      <c r="CC46" s="465">
        <v>0</v>
      </c>
      <c r="CD46" s="465">
        <f t="shared" si="20"/>
        <v>0</v>
      </c>
      <c r="CE46" s="488"/>
      <c r="CF46" s="465">
        <f t="shared" si="21"/>
        <v>140000000</v>
      </c>
      <c r="CG46" s="465">
        <f>37602775.28+102165315+231909.72</f>
        <v>140000000</v>
      </c>
      <c r="CH46" s="465">
        <f t="shared" si="22"/>
        <v>0</v>
      </c>
      <c r="CI46" s="488"/>
      <c r="CJ46" s="465">
        <v>20000000</v>
      </c>
      <c r="CK46" s="465">
        <v>20000000</v>
      </c>
      <c r="CL46" s="465">
        <f t="shared" si="23"/>
        <v>0</v>
      </c>
      <c r="CM46" s="488"/>
      <c r="CN46" s="465">
        <v>10000000</v>
      </c>
      <c r="CO46" s="465">
        <v>0</v>
      </c>
      <c r="CP46" s="465">
        <f t="shared" si="24"/>
        <v>10000000</v>
      </c>
      <c r="CQ46" s="488"/>
      <c r="CR46" s="465">
        <v>40000000</v>
      </c>
      <c r="CS46" s="465">
        <f>7556993.91+27560720+4882286.09</f>
        <v>40000000</v>
      </c>
      <c r="CT46" s="465">
        <f t="shared" si="25"/>
        <v>0</v>
      </c>
      <c r="CU46" s="465"/>
      <c r="CV46" s="465">
        <v>150000000</v>
      </c>
      <c r="CW46" s="465">
        <f>127726068.28+91800-91800+91800+22182131.72</f>
        <v>150000000</v>
      </c>
      <c r="CX46" s="465">
        <f t="shared" si="26"/>
        <v>0</v>
      </c>
      <c r="CY46" s="488"/>
      <c r="CZ46" s="465">
        <v>20000000</v>
      </c>
      <c r="DA46" s="465">
        <f>4142433.45+5157553.32</f>
        <v>9299986.7699999996</v>
      </c>
      <c r="DB46" s="465">
        <f t="shared" si="27"/>
        <v>10700013.23</v>
      </c>
      <c r="DC46" s="465"/>
      <c r="DD46" s="465">
        <v>10000000</v>
      </c>
      <c r="DE46" s="465">
        <v>0</v>
      </c>
      <c r="DF46" s="465">
        <f t="shared" si="28"/>
        <v>10000000</v>
      </c>
      <c r="DG46" s="488"/>
      <c r="DH46" s="465">
        <v>50000000</v>
      </c>
      <c r="DI46" s="465">
        <f>29759966.91+20240033.09</f>
        <v>50000000</v>
      </c>
      <c r="DJ46" s="465">
        <f t="shared" si="29"/>
        <v>0</v>
      </c>
      <c r="DK46" s="488"/>
      <c r="DL46" s="465">
        <v>10000000</v>
      </c>
      <c r="DM46" s="465">
        <v>0</v>
      </c>
      <c r="DN46" s="465">
        <f t="shared" si="30"/>
        <v>10000000</v>
      </c>
      <c r="DO46" s="488"/>
      <c r="DP46" s="465">
        <v>0</v>
      </c>
      <c r="DQ46" s="465">
        <v>0</v>
      </c>
      <c r="DR46" s="465">
        <f t="shared" si="31"/>
        <v>0</v>
      </c>
      <c r="DS46" s="465"/>
      <c r="DT46" s="465">
        <v>100000000</v>
      </c>
      <c r="DU46" s="465">
        <f>65815668.28+13500000+6762500+13921831.72</f>
        <v>100000000</v>
      </c>
      <c r="DV46" s="465">
        <f t="shared" si="32"/>
        <v>0</v>
      </c>
      <c r="DW46" s="465"/>
      <c r="DX46" s="465">
        <v>15000000</v>
      </c>
      <c r="DY46" s="465">
        <v>0</v>
      </c>
      <c r="DZ46" s="465">
        <f t="shared" si="33"/>
        <v>15000000</v>
      </c>
      <c r="EA46" s="465"/>
      <c r="EB46" s="465">
        <v>10000000</v>
      </c>
      <c r="EC46" s="465">
        <v>0</v>
      </c>
      <c r="ED46" s="465">
        <f t="shared" si="34"/>
        <v>10000000</v>
      </c>
      <c r="EE46" s="465"/>
      <c r="EF46" s="465">
        <v>25000000</v>
      </c>
      <c r="EG46" s="483">
        <f>2253246.91+1904169+1482375+4478350+1897875</f>
        <v>12016015.91</v>
      </c>
      <c r="EH46" s="465">
        <f t="shared" si="35"/>
        <v>12983984.09</v>
      </c>
      <c r="EI46" s="465"/>
      <c r="EJ46" s="465">
        <v>10000000</v>
      </c>
      <c r="EK46" s="465">
        <v>0</v>
      </c>
      <c r="EL46" s="465">
        <f t="shared" si="36"/>
        <v>10000000</v>
      </c>
      <c r="EM46" s="488"/>
      <c r="EN46" s="465">
        <v>300000000</v>
      </c>
      <c r="EO46" s="483">
        <f>43553168.28+62095807.5+13500000+83582000+8100000+8100000</f>
        <v>218930975.78</v>
      </c>
      <c r="EP46" s="465">
        <f t="shared" si="37"/>
        <v>81069024.219999999</v>
      </c>
      <c r="EQ46" s="488"/>
      <c r="ER46" s="465">
        <v>25000000</v>
      </c>
      <c r="ES46" s="465">
        <v>0</v>
      </c>
      <c r="ET46" s="465">
        <f t="shared" si="38"/>
        <v>25000000</v>
      </c>
      <c r="EU46" s="488"/>
      <c r="EV46" s="465">
        <v>10000000</v>
      </c>
      <c r="EW46" s="465">
        <v>0</v>
      </c>
      <c r="EX46" s="465">
        <f t="shared" si="39"/>
        <v>10000000</v>
      </c>
      <c r="EY46" s="488"/>
      <c r="EZ46" s="465">
        <v>30000000</v>
      </c>
      <c r="FA46" s="465">
        <v>0</v>
      </c>
      <c r="FB46" s="465">
        <f t="shared" si="40"/>
        <v>30000000</v>
      </c>
      <c r="FC46" s="488"/>
      <c r="FD46" s="465">
        <v>5000000</v>
      </c>
      <c r="FE46" s="465">
        <v>0</v>
      </c>
      <c r="FF46" s="465">
        <f t="shared" si="41"/>
        <v>5000000</v>
      </c>
      <c r="FG46" s="465"/>
      <c r="FH46" s="468">
        <v>120000000</v>
      </c>
      <c r="FI46" s="463">
        <v>0</v>
      </c>
      <c r="FJ46" s="463">
        <f t="shared" si="0"/>
        <v>120000000</v>
      </c>
      <c r="FK46" s="468"/>
      <c r="FL46" s="468">
        <v>25000000</v>
      </c>
      <c r="FM46" s="468">
        <v>0</v>
      </c>
      <c r="FN46" s="468">
        <f t="shared" si="63"/>
        <v>25000000</v>
      </c>
      <c r="FO46" s="468"/>
      <c r="FP46" s="468">
        <v>5000000</v>
      </c>
      <c r="FQ46" s="468">
        <v>0</v>
      </c>
      <c r="FR46" s="468">
        <f t="shared" si="64"/>
        <v>5000000</v>
      </c>
      <c r="FS46" s="468"/>
      <c r="FT46" s="468">
        <v>30000000</v>
      </c>
      <c r="FU46" s="468">
        <v>0</v>
      </c>
      <c r="FV46" s="468">
        <f t="shared" si="65"/>
        <v>30000000</v>
      </c>
      <c r="FW46" s="468"/>
      <c r="FX46" s="468">
        <v>4150000</v>
      </c>
      <c r="FY46" s="468">
        <v>0</v>
      </c>
      <c r="FZ46" s="468">
        <v>4150000</v>
      </c>
      <c r="GA46" s="468"/>
      <c r="GB46" s="468">
        <v>160000000</v>
      </c>
      <c r="GC46" s="468">
        <v>0</v>
      </c>
      <c r="GD46" s="468">
        <f t="shared" si="45"/>
        <v>160000000</v>
      </c>
      <c r="GE46" s="468"/>
      <c r="GF46" s="468">
        <v>25000000</v>
      </c>
      <c r="GG46" s="468">
        <v>0</v>
      </c>
      <c r="GH46" s="468">
        <f t="shared" si="46"/>
        <v>25000000</v>
      </c>
      <c r="GI46" s="468"/>
      <c r="GJ46" s="468">
        <v>5000000</v>
      </c>
      <c r="GK46" s="468">
        <v>0</v>
      </c>
      <c r="GL46" s="468">
        <f t="shared" si="47"/>
        <v>5000000</v>
      </c>
      <c r="GM46" s="468"/>
      <c r="GN46" s="468">
        <v>20000000</v>
      </c>
      <c r="GO46" s="468">
        <v>0</v>
      </c>
      <c r="GP46" s="468">
        <f t="shared" si="48"/>
        <v>20000000</v>
      </c>
      <c r="GQ46" s="468"/>
      <c r="GR46" s="468">
        <v>5000000</v>
      </c>
      <c r="GS46" s="468">
        <v>0</v>
      </c>
      <c r="GT46" s="468">
        <f t="shared" si="49"/>
        <v>5000000</v>
      </c>
      <c r="GU46" s="468"/>
      <c r="GV46" s="465">
        <f t="shared" si="50"/>
        <v>1894700000</v>
      </c>
      <c r="GW46" s="465">
        <f t="shared" si="50"/>
        <v>1236058933.46</v>
      </c>
      <c r="GX46" s="465">
        <f t="shared" si="51"/>
        <v>658641066.53999996</v>
      </c>
      <c r="GY46" s="470"/>
      <c r="GZ46" s="464"/>
      <c r="HA46" s="471">
        <f>D46+H46+L46+X46+AN46+BH46+CB46+CF46+CV46+DP46+DT46+EN46+FH46+GB46</f>
        <v>1341750000</v>
      </c>
      <c r="HB46" s="471">
        <f>E46+I46+M46+Y46+AO46+BI46+CC46+CG46+CW46+DQ46+DU46+EO46+FI46+GC46</f>
        <v>980680975.77999997</v>
      </c>
      <c r="HC46" s="471">
        <f t="shared" si="52"/>
        <v>361069024.22000003</v>
      </c>
      <c r="HE46" s="471">
        <f>P46+AB46+AR46+
BL46+CJ46+CZ46+DX46+ER46+FL46+GF46</f>
        <v>167000000</v>
      </c>
      <c r="HF46" s="471">
        <f>Q46+AC46+AS46+
BM46+CK46+DA46+DY46+ES46+FM46+GG46</f>
        <v>65963741.769999996</v>
      </c>
      <c r="HG46" s="471">
        <f t="shared" si="53"/>
        <v>101036258.23</v>
      </c>
      <c r="HI46" s="471">
        <f>T46+AF46+AV46+BP46+CN46+DD46+EB46+EV46+FP46+GJ46</f>
        <v>71800000</v>
      </c>
      <c r="HJ46" s="471">
        <f>U46+AG46+AW46+BQ46+CO46+DE46+EC46+EW46+FQ46+GK46</f>
        <v>6800000</v>
      </c>
      <c r="HK46" s="471">
        <f t="shared" si="54"/>
        <v>65000000</v>
      </c>
      <c r="HM46" s="475">
        <f>AJ46+AZ46+BT46+CR46+DH46+EF46+EZ46+FT46+GN46</f>
        <v>270000000</v>
      </c>
      <c r="HN46" s="475">
        <f>AK46+BA46+BU46+CS46+DI46+EG46+FA46+FU46+GO46</f>
        <v>177016015.91</v>
      </c>
      <c r="HO46" s="475">
        <f t="shared" si="55"/>
        <v>92983984.090000004</v>
      </c>
      <c r="HP46" s="476"/>
      <c r="HR46" s="471">
        <f>BD46+BX46+DL46+EJ46+FD46+FX46+GR46</f>
        <v>44150000</v>
      </c>
      <c r="HS46" s="471">
        <f>BE46+BY46+DM46+EK46+FE46+FY46+GS46</f>
        <v>5598200</v>
      </c>
      <c r="HT46" s="471">
        <f t="shared" si="56"/>
        <v>38551800</v>
      </c>
    </row>
    <row r="47" spans="1:228" x14ac:dyDescent="0.25">
      <c r="A47" s="107">
        <v>42</v>
      </c>
      <c r="B47" s="107" t="s">
        <v>106</v>
      </c>
      <c r="C47" s="113" t="s">
        <v>74</v>
      </c>
      <c r="D47" s="465">
        <v>0</v>
      </c>
      <c r="E47" s="465">
        <v>0</v>
      </c>
      <c r="F47" s="465">
        <f t="shared" si="1"/>
        <v>0</v>
      </c>
      <c r="G47" s="465"/>
      <c r="H47" s="465">
        <v>35165203.5</v>
      </c>
      <c r="I47" s="465">
        <f>35165203.5</f>
        <v>35165203.5</v>
      </c>
      <c r="J47" s="465">
        <f t="shared" si="2"/>
        <v>0</v>
      </c>
      <c r="K47" s="465"/>
      <c r="L47" s="465">
        <v>40313782.75</v>
      </c>
      <c r="M47" s="465">
        <f>35413782.75+4900000</f>
        <v>40313782.75</v>
      </c>
      <c r="N47" s="465">
        <f t="shared" si="3"/>
        <v>0</v>
      </c>
      <c r="O47" s="465"/>
      <c r="P47" s="465">
        <v>7000000</v>
      </c>
      <c r="Q47" s="477">
        <f>4861500+2138500</f>
        <v>7000000</v>
      </c>
      <c r="R47" s="465">
        <f t="shared" si="4"/>
        <v>0</v>
      </c>
      <c r="S47" s="465"/>
      <c r="T47" s="465">
        <v>3000000</v>
      </c>
      <c r="U47" s="465">
        <v>3000000</v>
      </c>
      <c r="V47" s="465">
        <f t="shared" si="5"/>
        <v>0</v>
      </c>
      <c r="W47" s="465"/>
      <c r="X47" s="465">
        <v>25122008</v>
      </c>
      <c r="Y47" s="465">
        <v>25122008</v>
      </c>
      <c r="Z47" s="465">
        <f t="shared" si="6"/>
        <v>0</v>
      </c>
      <c r="AA47" s="465"/>
      <c r="AB47" s="465">
        <v>5739665</v>
      </c>
      <c r="AC47" s="465">
        <f>5739665</f>
        <v>5739665</v>
      </c>
      <c r="AD47" s="465">
        <f t="shared" si="7"/>
        <v>0</v>
      </c>
      <c r="AE47" s="465"/>
      <c r="AF47" s="465">
        <v>5000000</v>
      </c>
      <c r="AG47" s="465">
        <f>3887070+1112930</f>
        <v>5000000</v>
      </c>
      <c r="AH47" s="465">
        <f t="shared" si="8"/>
        <v>0</v>
      </c>
      <c r="AI47" s="465"/>
      <c r="AJ47" s="465">
        <v>15000000</v>
      </c>
      <c r="AK47" s="465">
        <v>15000000</v>
      </c>
      <c r="AL47" s="465">
        <f t="shared" si="9"/>
        <v>0</v>
      </c>
      <c r="AN47" s="465">
        <v>80000000</v>
      </c>
      <c r="AO47" s="465">
        <f>19118429+12020000+48861571</f>
        <v>80000000</v>
      </c>
      <c r="AP47" s="465">
        <f t="shared" si="10"/>
        <v>0</v>
      </c>
      <c r="AQ47" s="465"/>
      <c r="AR47" s="465">
        <v>10000000</v>
      </c>
      <c r="AS47" s="485">
        <v>4549857</v>
      </c>
      <c r="AT47" s="465">
        <f t="shared" si="11"/>
        <v>5450143</v>
      </c>
      <c r="AU47" s="465"/>
      <c r="AV47" s="465">
        <v>5000000</v>
      </c>
      <c r="AW47" s="465">
        <f>10000000-5000000</f>
        <v>5000000</v>
      </c>
      <c r="AX47" s="465">
        <f t="shared" si="12"/>
        <v>0</v>
      </c>
      <c r="AY47" s="465"/>
      <c r="AZ47" s="465">
        <v>20000000</v>
      </c>
      <c r="BA47" s="465">
        <v>20000000</v>
      </c>
      <c r="BB47" s="465">
        <f t="shared" si="13"/>
        <v>0</v>
      </c>
      <c r="BC47" s="465"/>
      <c r="BD47" s="465">
        <v>5000000</v>
      </c>
      <c r="BE47" s="465">
        <f>0</f>
        <v>0</v>
      </c>
      <c r="BF47" s="465">
        <f t="shared" si="14"/>
        <v>5000000</v>
      </c>
      <c r="BG47" s="465"/>
      <c r="BH47" s="465">
        <v>130000000</v>
      </c>
      <c r="BI47" s="465">
        <f>85781385.82+44218614.18</f>
        <v>130000000</v>
      </c>
      <c r="BJ47" s="465">
        <f t="shared" si="15"/>
        <v>0</v>
      </c>
      <c r="BK47" s="465"/>
      <c r="BL47" s="465">
        <v>10000000</v>
      </c>
      <c r="BM47" s="465">
        <v>0</v>
      </c>
      <c r="BN47" s="465">
        <f t="shared" si="16"/>
        <v>10000000</v>
      </c>
      <c r="BO47" s="465"/>
      <c r="BP47" s="465">
        <v>10000000</v>
      </c>
      <c r="BQ47" s="465">
        <f>231255+5000000+4768745</f>
        <v>10000000</v>
      </c>
      <c r="BR47" s="465">
        <f t="shared" si="17"/>
        <v>0</v>
      </c>
      <c r="BS47" s="465"/>
      <c r="BT47" s="465">
        <v>40000000</v>
      </c>
      <c r="BU47" s="465">
        <f>1506012.55+5944940+8228676+5664980+1086536+17568855.45</f>
        <v>40000000</v>
      </c>
      <c r="BV47" s="465">
        <f t="shared" si="18"/>
        <v>0</v>
      </c>
      <c r="BW47" s="465"/>
      <c r="BX47" s="465">
        <v>5000000</v>
      </c>
      <c r="BY47" s="465">
        <v>0</v>
      </c>
      <c r="BZ47" s="465">
        <f t="shared" si="19"/>
        <v>5000000</v>
      </c>
      <c r="CA47" s="465"/>
      <c r="CB47" s="465">
        <v>0</v>
      </c>
      <c r="CC47" s="465">
        <v>0</v>
      </c>
      <c r="CD47" s="465">
        <f t="shared" si="20"/>
        <v>0</v>
      </c>
      <c r="CE47" s="465"/>
      <c r="CF47" s="465">
        <f t="shared" si="21"/>
        <v>140000000</v>
      </c>
      <c r="CG47" s="465">
        <f>69656735.82+3392340.94+34087400+32863523.24</f>
        <v>140000000</v>
      </c>
      <c r="CH47" s="465">
        <f t="shared" si="22"/>
        <v>0</v>
      </c>
      <c r="CI47" s="465"/>
      <c r="CJ47" s="465">
        <v>20000000</v>
      </c>
      <c r="CK47" s="465">
        <v>0</v>
      </c>
      <c r="CL47" s="465">
        <f t="shared" si="23"/>
        <v>20000000</v>
      </c>
      <c r="CM47" s="465"/>
      <c r="CN47" s="465">
        <v>10000000</v>
      </c>
      <c r="CO47" s="465">
        <f>6196255+2001915</f>
        <v>8198170</v>
      </c>
      <c r="CP47" s="465">
        <f t="shared" si="24"/>
        <v>1801830</v>
      </c>
      <c r="CQ47" s="465"/>
      <c r="CR47" s="465">
        <v>40000000</v>
      </c>
      <c r="CS47" s="465">
        <f>598789.55+7205935+16421590+10438100</f>
        <v>34664414.549999997</v>
      </c>
      <c r="CT47" s="465">
        <f t="shared" si="25"/>
        <v>5335585.450000003</v>
      </c>
      <c r="CU47" s="465"/>
      <c r="CV47" s="465">
        <v>150000000</v>
      </c>
      <c r="CW47" s="465">
        <f>91826476.76+29089619+6706260+13500000+8877644.24</f>
        <v>150000000</v>
      </c>
      <c r="CX47" s="465">
        <f t="shared" si="26"/>
        <v>0</v>
      </c>
      <c r="CY47" s="465"/>
      <c r="CZ47" s="465">
        <v>20000000</v>
      </c>
      <c r="DA47" s="465">
        <v>0</v>
      </c>
      <c r="DB47" s="465">
        <f t="shared" si="27"/>
        <v>20000000</v>
      </c>
      <c r="DC47" s="465"/>
      <c r="DD47" s="465">
        <v>10000000</v>
      </c>
      <c r="DE47" s="465">
        <v>0</v>
      </c>
      <c r="DF47" s="465">
        <f t="shared" si="28"/>
        <v>10000000</v>
      </c>
      <c r="DG47" s="465"/>
      <c r="DH47" s="465">
        <v>50000000</v>
      </c>
      <c r="DI47" s="484">
        <f>1447402+6322444+2705050+25443000</f>
        <v>35917896</v>
      </c>
      <c r="DJ47" s="465">
        <f t="shared" si="29"/>
        <v>14082104</v>
      </c>
      <c r="DK47" s="465"/>
      <c r="DL47" s="465">
        <v>10000000</v>
      </c>
      <c r="DM47" s="465">
        <v>0</v>
      </c>
      <c r="DN47" s="465">
        <f t="shared" si="30"/>
        <v>10000000</v>
      </c>
      <c r="DO47" s="465"/>
      <c r="DP47" s="465">
        <v>0</v>
      </c>
      <c r="DQ47" s="465">
        <v>0</v>
      </c>
      <c r="DR47" s="465">
        <f t="shared" si="31"/>
        <v>0</v>
      </c>
      <c r="DS47" s="465"/>
      <c r="DT47" s="465">
        <v>100000000</v>
      </c>
      <c r="DU47" s="467">
        <f>90212500.76+9787499.24</f>
        <v>100000000</v>
      </c>
      <c r="DV47" s="465">
        <f t="shared" si="32"/>
        <v>0</v>
      </c>
      <c r="DW47" s="465"/>
      <c r="DX47" s="465">
        <v>15000000</v>
      </c>
      <c r="DY47" s="465">
        <v>0</v>
      </c>
      <c r="DZ47" s="465">
        <f t="shared" si="33"/>
        <v>15000000</v>
      </c>
      <c r="EA47" s="465"/>
      <c r="EB47" s="465">
        <v>10000000</v>
      </c>
      <c r="EC47" s="465">
        <v>0</v>
      </c>
      <c r="ED47" s="465">
        <f t="shared" si="34"/>
        <v>10000000</v>
      </c>
      <c r="EE47" s="465"/>
      <c r="EF47" s="465">
        <v>25000000</v>
      </c>
      <c r="EG47" s="487">
        <f>248100+7249437</f>
        <v>7497537</v>
      </c>
      <c r="EH47" s="465">
        <f t="shared" si="35"/>
        <v>17502463</v>
      </c>
      <c r="EI47" s="465"/>
      <c r="EJ47" s="465">
        <v>10000000</v>
      </c>
      <c r="EK47" s="465">
        <v>0</v>
      </c>
      <c r="EL47" s="465">
        <f t="shared" si="36"/>
        <v>10000000</v>
      </c>
      <c r="EM47" s="465"/>
      <c r="EN47" s="465">
        <v>300000000</v>
      </c>
      <c r="EO47" s="467">
        <f>125328529.47</f>
        <v>125328529.47</v>
      </c>
      <c r="EP47" s="465">
        <f t="shared" si="37"/>
        <v>174671470.53</v>
      </c>
      <c r="EQ47" s="488"/>
      <c r="ER47" s="465">
        <v>25000000</v>
      </c>
      <c r="ES47" s="465">
        <v>0</v>
      </c>
      <c r="ET47" s="465">
        <f t="shared" si="38"/>
        <v>25000000</v>
      </c>
      <c r="EU47" s="465"/>
      <c r="EV47" s="465">
        <v>10000000</v>
      </c>
      <c r="EW47" s="465">
        <v>0</v>
      </c>
      <c r="EX47" s="465">
        <f t="shared" si="39"/>
        <v>10000000</v>
      </c>
      <c r="EY47" s="465"/>
      <c r="EZ47" s="465">
        <v>30000000</v>
      </c>
      <c r="FA47" s="465">
        <v>0</v>
      </c>
      <c r="FB47" s="465">
        <f t="shared" si="40"/>
        <v>30000000</v>
      </c>
      <c r="FC47" s="465"/>
      <c r="FD47" s="465">
        <v>5000000</v>
      </c>
      <c r="FE47" s="465">
        <v>0</v>
      </c>
      <c r="FF47" s="465">
        <f t="shared" si="41"/>
        <v>5000000</v>
      </c>
      <c r="FG47" s="465"/>
      <c r="FH47" s="468">
        <v>120000000</v>
      </c>
      <c r="FI47" s="463">
        <v>0</v>
      </c>
      <c r="FJ47" s="463">
        <f t="shared" si="0"/>
        <v>120000000</v>
      </c>
      <c r="FK47" s="468"/>
      <c r="FL47" s="468">
        <v>25000000</v>
      </c>
      <c r="FM47" s="468">
        <v>0</v>
      </c>
      <c r="FN47" s="468">
        <f t="shared" si="63"/>
        <v>25000000</v>
      </c>
      <c r="FO47" s="468"/>
      <c r="FP47" s="468">
        <v>5000000</v>
      </c>
      <c r="FQ47" s="468">
        <v>0</v>
      </c>
      <c r="FR47" s="468">
        <f>FP47-FQ47</f>
        <v>5000000</v>
      </c>
      <c r="FS47" s="468"/>
      <c r="FT47" s="468">
        <v>30000000</v>
      </c>
      <c r="FU47" s="468">
        <v>0</v>
      </c>
      <c r="FV47" s="468">
        <f>FT47-FU47</f>
        <v>30000000</v>
      </c>
      <c r="FW47" s="468"/>
      <c r="FX47" s="468">
        <v>4150000</v>
      </c>
      <c r="FY47" s="468">
        <v>0</v>
      </c>
      <c r="FZ47" s="468">
        <v>4150000</v>
      </c>
      <c r="GA47" s="468"/>
      <c r="GB47" s="468">
        <v>160000000</v>
      </c>
      <c r="GC47" s="468">
        <v>0</v>
      </c>
      <c r="GD47" s="468">
        <f t="shared" si="45"/>
        <v>160000000</v>
      </c>
      <c r="GE47" s="468"/>
      <c r="GF47" s="468">
        <v>25000000</v>
      </c>
      <c r="GG47" s="468">
        <v>0</v>
      </c>
      <c r="GH47" s="468">
        <f t="shared" si="46"/>
        <v>25000000</v>
      </c>
      <c r="GI47" s="468"/>
      <c r="GJ47" s="468">
        <v>5000000</v>
      </c>
      <c r="GK47" s="468">
        <v>0</v>
      </c>
      <c r="GL47" s="468">
        <f t="shared" si="47"/>
        <v>5000000</v>
      </c>
      <c r="GM47" s="468"/>
      <c r="GN47" s="468">
        <v>20000000</v>
      </c>
      <c r="GO47" s="468">
        <v>0</v>
      </c>
      <c r="GP47" s="468">
        <f t="shared" si="48"/>
        <v>20000000</v>
      </c>
      <c r="GQ47" s="468"/>
      <c r="GR47" s="468">
        <v>5000000</v>
      </c>
      <c r="GS47" s="468">
        <v>0</v>
      </c>
      <c r="GT47" s="468">
        <f t="shared" si="49"/>
        <v>5000000</v>
      </c>
      <c r="GU47" s="468"/>
      <c r="GV47" s="465">
        <f t="shared" si="50"/>
        <v>1830490659.25</v>
      </c>
      <c r="GW47" s="465">
        <f t="shared" si="50"/>
        <v>1027497063.27</v>
      </c>
      <c r="GX47" s="465">
        <f t="shared" si="51"/>
        <v>802993595.98000002</v>
      </c>
      <c r="GY47" s="470"/>
      <c r="GZ47" s="464"/>
      <c r="HA47" s="471">
        <f>D47+H47+L47+X47+AN47+BH47+CB47+CF47+CV47+DP47+DT47+EN47+FH47+GB47</f>
        <v>1280600994.25</v>
      </c>
      <c r="HB47" s="471">
        <f>E47+I47+M47+Y47+AO47+BI47+CC47+CG47+CW47+DQ47+DU47+EO47+FI47+GC47</f>
        <v>825929523.72000003</v>
      </c>
      <c r="HC47" s="471">
        <f t="shared" si="52"/>
        <v>454671470.52999997</v>
      </c>
      <c r="HE47" s="471">
        <f>P47+AB47+AR47+
BL47+CJ47+CZ47+DX47+ER47+FL47+GF47</f>
        <v>162739665</v>
      </c>
      <c r="HF47" s="471">
        <f>Q47+AC47+AS47+
BM47+CK47+DA47+DY47+ES47+FM47+GG47</f>
        <v>17289522</v>
      </c>
      <c r="HG47" s="471">
        <f t="shared" si="53"/>
        <v>145450143</v>
      </c>
      <c r="HI47" s="471">
        <f>T47+AF47+AV47+BP47+CN47+DD47+EB47+EV47+FP47+GJ47</f>
        <v>73000000</v>
      </c>
      <c r="HJ47" s="471">
        <f>U47+AG47+AW47+BQ47+CO47+DE47+EC47+EW47+FQ47+GK47</f>
        <v>31198170</v>
      </c>
      <c r="HK47" s="471">
        <f t="shared" si="54"/>
        <v>41801830</v>
      </c>
      <c r="HM47" s="475">
        <f>AJ47+AZ47+BT47+CR47+DH47+EF47+EZ47+FT47+GN47</f>
        <v>270000000</v>
      </c>
      <c r="HN47" s="475">
        <f>AK47+BA47+BU47+CS47+DI47+EG47+FA47+FU47+GO47</f>
        <v>153079847.55000001</v>
      </c>
      <c r="HO47" s="475">
        <f t="shared" si="55"/>
        <v>116920152.44999999</v>
      </c>
      <c r="HP47" s="476"/>
      <c r="HR47" s="471">
        <f>BD47+BX47+DL47+EJ47+FD47+FX47+GR47</f>
        <v>44150000</v>
      </c>
      <c r="HS47" s="471">
        <f>BE47+BY47+DM47+EK47+FE47+FY47+GS47</f>
        <v>0</v>
      </c>
      <c r="HT47" s="471">
        <f t="shared" si="56"/>
        <v>44150000</v>
      </c>
    </row>
    <row r="48" spans="1:228" x14ac:dyDescent="0.25">
      <c r="A48" s="107">
        <v>43</v>
      </c>
      <c r="B48" s="107" t="s">
        <v>107</v>
      </c>
      <c r="C48" s="113" t="s">
        <v>61</v>
      </c>
      <c r="D48" s="488">
        <v>1750000</v>
      </c>
      <c r="E48" s="488">
        <v>1750000</v>
      </c>
      <c r="F48" s="465">
        <f t="shared" si="1"/>
        <v>0</v>
      </c>
      <c r="G48" s="488"/>
      <c r="H48" s="465">
        <v>50000000</v>
      </c>
      <c r="I48" s="465">
        <v>50000000</v>
      </c>
      <c r="J48" s="465">
        <f t="shared" si="2"/>
        <v>0</v>
      </c>
      <c r="K48" s="488"/>
      <c r="L48" s="465">
        <v>50000000</v>
      </c>
      <c r="M48" s="465">
        <v>50000000</v>
      </c>
      <c r="N48" s="465">
        <f t="shared" si="3"/>
        <v>0</v>
      </c>
      <c r="O48" s="488"/>
      <c r="P48" s="465">
        <v>7000000</v>
      </c>
      <c r="Q48" s="465">
        <v>7000000</v>
      </c>
      <c r="R48" s="465">
        <f t="shared" si="4"/>
        <v>0</v>
      </c>
      <c r="S48" s="488"/>
      <c r="T48" s="465">
        <v>3000000</v>
      </c>
      <c r="U48" s="465">
        <v>3000000</v>
      </c>
      <c r="V48" s="465">
        <f t="shared" si="5"/>
        <v>0</v>
      </c>
      <c r="W48" s="488"/>
      <c r="X48" s="465">
        <v>60000000</v>
      </c>
      <c r="Y48" s="465">
        <v>60000000</v>
      </c>
      <c r="Z48" s="465">
        <f t="shared" si="6"/>
        <v>0</v>
      </c>
      <c r="AA48" s="488"/>
      <c r="AB48" s="465">
        <v>10000000</v>
      </c>
      <c r="AC48" s="465">
        <v>10000000</v>
      </c>
      <c r="AD48" s="465">
        <f t="shared" si="7"/>
        <v>0</v>
      </c>
      <c r="AE48" s="488"/>
      <c r="AF48" s="465">
        <v>5000000</v>
      </c>
      <c r="AG48" s="465">
        <f>3800000+1200000</f>
        <v>5000000</v>
      </c>
      <c r="AH48" s="465">
        <f t="shared" si="8"/>
        <v>0</v>
      </c>
      <c r="AI48" s="488"/>
      <c r="AJ48" s="465">
        <v>15000000</v>
      </c>
      <c r="AK48" s="465">
        <v>15000000</v>
      </c>
      <c r="AL48" s="465">
        <f t="shared" si="9"/>
        <v>0</v>
      </c>
      <c r="AM48" s="465"/>
      <c r="AN48" s="465">
        <v>80000000</v>
      </c>
      <c r="AO48" s="465">
        <v>80000000</v>
      </c>
      <c r="AP48" s="465">
        <f t="shared" si="10"/>
        <v>0</v>
      </c>
      <c r="AQ48" s="488"/>
      <c r="AR48" s="465">
        <v>10000000</v>
      </c>
      <c r="AS48" s="465">
        <v>10000000</v>
      </c>
      <c r="AT48" s="465">
        <f t="shared" si="11"/>
        <v>0</v>
      </c>
      <c r="AU48" s="488"/>
      <c r="AV48" s="465">
        <v>5000000</v>
      </c>
      <c r="AW48" s="465">
        <f>8500000+1500000-5000000</f>
        <v>5000000</v>
      </c>
      <c r="AX48" s="465">
        <f t="shared" si="12"/>
        <v>0</v>
      </c>
      <c r="AY48" s="488"/>
      <c r="AZ48" s="465">
        <v>20000000</v>
      </c>
      <c r="BA48" s="465">
        <v>20000000</v>
      </c>
      <c r="BB48" s="465">
        <f t="shared" si="13"/>
        <v>0</v>
      </c>
      <c r="BC48" s="488"/>
      <c r="BD48" s="465">
        <v>5000000</v>
      </c>
      <c r="BE48" s="465">
        <f>4233000+747000+20000</f>
        <v>5000000</v>
      </c>
      <c r="BF48" s="465">
        <f t="shared" si="14"/>
        <v>0</v>
      </c>
      <c r="BG48" s="488"/>
      <c r="BH48" s="465">
        <v>130000000</v>
      </c>
      <c r="BI48" s="478">
        <f>75715154.9999995+450000+53834345+500</f>
        <v>129999999.99999949</v>
      </c>
      <c r="BJ48" s="465">
        <f t="shared" si="15"/>
        <v>5.0663948059082031E-7</v>
      </c>
      <c r="BK48" s="488"/>
      <c r="BL48" s="465">
        <v>10000000</v>
      </c>
      <c r="BM48" s="465">
        <v>10000000</v>
      </c>
      <c r="BN48" s="465">
        <f t="shared" si="16"/>
        <v>0</v>
      </c>
      <c r="BO48" s="488"/>
      <c r="BP48" s="465">
        <v>10000000</v>
      </c>
      <c r="BQ48" s="465">
        <f>5800000+4200000</f>
        <v>10000000</v>
      </c>
      <c r="BR48" s="465">
        <f t="shared" si="17"/>
        <v>0</v>
      </c>
      <c r="BS48" s="488"/>
      <c r="BT48" s="465">
        <v>40000000</v>
      </c>
      <c r="BU48" s="465">
        <f>13071888+16963340+7246440+2438680+279652</f>
        <v>40000000</v>
      </c>
      <c r="BV48" s="465">
        <f t="shared" si="18"/>
        <v>0</v>
      </c>
      <c r="BW48" s="488"/>
      <c r="BX48" s="465">
        <v>5000000</v>
      </c>
      <c r="BY48" s="465">
        <v>5000000</v>
      </c>
      <c r="BZ48" s="465">
        <f t="shared" si="19"/>
        <v>0</v>
      </c>
      <c r="CA48" s="488"/>
      <c r="CB48" s="465">
        <v>0</v>
      </c>
      <c r="CC48" s="465">
        <v>0</v>
      </c>
      <c r="CD48" s="465">
        <f t="shared" si="20"/>
        <v>0</v>
      </c>
      <c r="CE48" s="488"/>
      <c r="CF48" s="465">
        <f t="shared" si="21"/>
        <v>140000000</v>
      </c>
      <c r="CG48" s="465">
        <f>80244965+54100200+5654835</f>
        <v>140000000</v>
      </c>
      <c r="CH48" s="465">
        <f t="shared" si="22"/>
        <v>0</v>
      </c>
      <c r="CI48" s="488"/>
      <c r="CJ48" s="465">
        <v>20000000</v>
      </c>
      <c r="CK48" s="465">
        <v>20000000</v>
      </c>
      <c r="CL48" s="465">
        <f t="shared" si="23"/>
        <v>0</v>
      </c>
      <c r="CM48" s="488"/>
      <c r="CN48" s="465">
        <v>10000000</v>
      </c>
      <c r="CO48" s="465">
        <v>800000</v>
      </c>
      <c r="CP48" s="465">
        <f t="shared" si="24"/>
        <v>9200000</v>
      </c>
      <c r="CQ48" s="488"/>
      <c r="CR48" s="465">
        <v>40000000</v>
      </c>
      <c r="CS48" s="465">
        <f>10721803+19052452+10225745</f>
        <v>40000000</v>
      </c>
      <c r="CT48" s="465">
        <f t="shared" si="25"/>
        <v>0</v>
      </c>
      <c r="CU48" s="465"/>
      <c r="CV48" s="465">
        <v>150000000</v>
      </c>
      <c r="CW48" s="465">
        <f>58458415+68870082+232266+24685460-232266-22007000+13550000+3304800+3138243</f>
        <v>150000000</v>
      </c>
      <c r="CX48" s="465">
        <f t="shared" si="26"/>
        <v>0</v>
      </c>
      <c r="CY48" s="488"/>
      <c r="CZ48" s="465">
        <v>20000000</v>
      </c>
      <c r="DA48" s="465">
        <f>19826700+173300</f>
        <v>20000000</v>
      </c>
      <c r="DB48" s="465">
        <f t="shared" si="27"/>
        <v>0</v>
      </c>
      <c r="DC48" s="465"/>
      <c r="DD48" s="465">
        <v>10000000</v>
      </c>
      <c r="DE48" s="465">
        <v>0</v>
      </c>
      <c r="DF48" s="465">
        <f t="shared" si="28"/>
        <v>10000000</v>
      </c>
      <c r="DG48" s="488"/>
      <c r="DH48" s="465">
        <v>50000000</v>
      </c>
      <c r="DI48" s="491">
        <f>49156205+49156205-49156205+232266+422718+188811</f>
        <v>50000000</v>
      </c>
      <c r="DJ48" s="465">
        <f t="shared" si="29"/>
        <v>0</v>
      </c>
      <c r="DK48" s="488"/>
      <c r="DL48" s="465">
        <v>10000000</v>
      </c>
      <c r="DM48" s="465">
        <f>7713510+2247090+39400</f>
        <v>10000000</v>
      </c>
      <c r="DN48" s="465">
        <f t="shared" si="30"/>
        <v>0</v>
      </c>
      <c r="DO48" s="488"/>
      <c r="DP48" s="465">
        <v>0</v>
      </c>
      <c r="DQ48" s="465">
        <v>0</v>
      </c>
      <c r="DR48" s="465">
        <f t="shared" si="31"/>
        <v>0</v>
      </c>
      <c r="DS48" s="465"/>
      <c r="DT48" s="465">
        <v>100000000</v>
      </c>
      <c r="DU48" s="465">
        <f>17861757+82138243</f>
        <v>100000000</v>
      </c>
      <c r="DV48" s="465">
        <f t="shared" si="32"/>
        <v>0</v>
      </c>
      <c r="DW48" s="465"/>
      <c r="DX48" s="465">
        <v>15000000</v>
      </c>
      <c r="DY48" s="478">
        <f>6702512.5+906000</f>
        <v>7608512.5</v>
      </c>
      <c r="DZ48" s="465">
        <f t="shared" si="33"/>
        <v>7391487.5</v>
      </c>
      <c r="EA48" s="465"/>
      <c r="EB48" s="465">
        <v>10000000</v>
      </c>
      <c r="EC48" s="465">
        <v>0</v>
      </c>
      <c r="ED48" s="465">
        <f t="shared" si="34"/>
        <v>10000000</v>
      </c>
      <c r="EE48" s="465"/>
      <c r="EF48" s="465">
        <v>25000000</v>
      </c>
      <c r="EG48" s="478">
        <f>11370287+3131955+1377300+6123908+2996550</f>
        <v>25000000</v>
      </c>
      <c r="EH48" s="465">
        <f t="shared" si="35"/>
        <v>0</v>
      </c>
      <c r="EI48" s="465"/>
      <c r="EJ48" s="465">
        <v>10000000</v>
      </c>
      <c r="EK48" s="465">
        <f>3488100</f>
        <v>3488100</v>
      </c>
      <c r="EL48" s="465">
        <f t="shared" si="36"/>
        <v>6511900</v>
      </c>
      <c r="EM48" s="488"/>
      <c r="EN48" s="465">
        <v>300000000</v>
      </c>
      <c r="EO48" s="478">
        <f>10987058.5+74450250+69231250-10000000-4418500-10000000-10000000+54425500+5699500</f>
        <v>180375058.5</v>
      </c>
      <c r="EP48" s="465">
        <f t="shared" si="37"/>
        <v>119624941.5</v>
      </c>
      <c r="EQ48" s="488"/>
      <c r="ER48" s="465">
        <v>25000000</v>
      </c>
      <c r="ES48" s="465">
        <v>0</v>
      </c>
      <c r="ET48" s="465">
        <f t="shared" si="38"/>
        <v>25000000</v>
      </c>
      <c r="EU48" s="488"/>
      <c r="EV48" s="465">
        <v>10000000</v>
      </c>
      <c r="EW48" s="465">
        <v>0</v>
      </c>
      <c r="EX48" s="465">
        <f t="shared" si="39"/>
        <v>10000000</v>
      </c>
      <c r="EY48" s="488"/>
      <c r="EZ48" s="465">
        <v>30000000</v>
      </c>
      <c r="FA48" s="478">
        <f>8976370+4723715.7+12462600+3837314.3</f>
        <v>30000000</v>
      </c>
      <c r="FB48" s="465">
        <f t="shared" si="40"/>
        <v>0</v>
      </c>
      <c r="FC48" s="488"/>
      <c r="FD48" s="465">
        <v>5000000</v>
      </c>
      <c r="FE48" s="465">
        <v>0</v>
      </c>
      <c r="FF48" s="465">
        <f t="shared" si="41"/>
        <v>5000000</v>
      </c>
      <c r="FG48" s="465"/>
      <c r="FH48" s="468">
        <v>120000000</v>
      </c>
      <c r="FI48" s="463">
        <v>0</v>
      </c>
      <c r="FJ48" s="463">
        <f t="shared" si="0"/>
        <v>120000000</v>
      </c>
      <c r="FK48" s="468"/>
      <c r="FL48" s="468">
        <v>25000000</v>
      </c>
      <c r="FM48" s="468">
        <v>0</v>
      </c>
      <c r="FN48" s="468">
        <f t="shared" si="63"/>
        <v>25000000</v>
      </c>
      <c r="FO48" s="468"/>
      <c r="FP48" s="468">
        <v>5000000</v>
      </c>
      <c r="FQ48" s="468">
        <v>0</v>
      </c>
      <c r="FR48" s="468">
        <f t="shared" ref="FR48:FR56" si="66">FP48-FQ48</f>
        <v>5000000</v>
      </c>
      <c r="FS48" s="468"/>
      <c r="FT48" s="468">
        <v>30000000</v>
      </c>
      <c r="FU48" s="490">
        <f>26263915.7</f>
        <v>26263915.699999999</v>
      </c>
      <c r="FV48" s="468">
        <f t="shared" ref="FV48:FV54" si="67">FT48-FU48</f>
        <v>3736084.3000000007</v>
      </c>
      <c r="FW48" s="468"/>
      <c r="FX48" s="468">
        <v>4150000</v>
      </c>
      <c r="FY48" s="468">
        <v>0</v>
      </c>
      <c r="FZ48" s="468">
        <v>4150000</v>
      </c>
      <c r="GA48" s="468"/>
      <c r="GB48" s="468">
        <v>160000000</v>
      </c>
      <c r="GC48" s="468">
        <v>0</v>
      </c>
      <c r="GD48" s="468">
        <f t="shared" si="45"/>
        <v>160000000</v>
      </c>
      <c r="GE48" s="468"/>
      <c r="GF48" s="468">
        <v>25000000</v>
      </c>
      <c r="GG48" s="468">
        <v>0</v>
      </c>
      <c r="GH48" s="468">
        <f t="shared" si="46"/>
        <v>25000000</v>
      </c>
      <c r="GI48" s="468"/>
      <c r="GJ48" s="468">
        <v>5000000</v>
      </c>
      <c r="GK48" s="468">
        <v>0</v>
      </c>
      <c r="GL48" s="468">
        <f t="shared" si="47"/>
        <v>5000000</v>
      </c>
      <c r="GM48" s="468"/>
      <c r="GN48" s="468">
        <v>20000000</v>
      </c>
      <c r="GO48" s="468">
        <v>0</v>
      </c>
      <c r="GP48" s="468">
        <f t="shared" si="48"/>
        <v>20000000</v>
      </c>
      <c r="GQ48" s="468"/>
      <c r="GR48" s="468">
        <v>5000000</v>
      </c>
      <c r="GS48" s="468">
        <v>0</v>
      </c>
      <c r="GT48" s="468">
        <f t="shared" si="49"/>
        <v>5000000</v>
      </c>
      <c r="GU48" s="468"/>
      <c r="GV48" s="465">
        <f t="shared" si="50"/>
        <v>1895900000</v>
      </c>
      <c r="GW48" s="465">
        <f t="shared" si="50"/>
        <v>1320285586.6999996</v>
      </c>
      <c r="GX48" s="465">
        <f t="shared" si="51"/>
        <v>575614413.30000043</v>
      </c>
      <c r="GY48" s="470"/>
      <c r="GZ48" s="464"/>
      <c r="HA48" s="471">
        <f>D48+H48+L48+X48+AN48+BH48+CB48+CF48+CV48+DP48+DT48+EN48+FH48+GB48</f>
        <v>1341750000</v>
      </c>
      <c r="HB48" s="471">
        <f>E48+I48+M48+Y48+AO48+BI48+CC48+CG48+CW48+DQ48+DU48+EO48+FI48+GC48</f>
        <v>942125058.49999952</v>
      </c>
      <c r="HC48" s="471">
        <f t="shared" si="52"/>
        <v>399624941.50000048</v>
      </c>
      <c r="HE48" s="471">
        <f>P48+AB48+AR48+
BL48+CJ48+CZ48+DX48+ER48+FL48+GF48</f>
        <v>167000000</v>
      </c>
      <c r="HF48" s="471">
        <f>Q48+AC48+AS48+
BM48+CK48+DA48+DY48+ES48+FM48+GG48</f>
        <v>84608512.5</v>
      </c>
      <c r="HG48" s="471">
        <f t="shared" si="53"/>
        <v>82391487.5</v>
      </c>
      <c r="HI48" s="471">
        <f>T48+AF48+AV48+BP48+CN48+DD48+EB48+EV48+FP48+GJ48</f>
        <v>73000000</v>
      </c>
      <c r="HJ48" s="471">
        <f>U48+AG48+AW48+BQ48+CO48+DE48+EC48+EW48+FQ48+GK48</f>
        <v>23800000</v>
      </c>
      <c r="HK48" s="471">
        <f t="shared" si="54"/>
        <v>49200000</v>
      </c>
      <c r="HM48" s="475">
        <f>AJ48+AZ48+BT48+CR48+DH48+EF48+EZ48+FT48+GN48</f>
        <v>270000000</v>
      </c>
      <c r="HN48" s="475">
        <f>AK48+BA48+BU48+CS48+DI48+EG48+FA48+FU48+GO48</f>
        <v>246263915.69999999</v>
      </c>
      <c r="HO48" s="475">
        <f t="shared" si="55"/>
        <v>23736084.300000012</v>
      </c>
      <c r="HP48" s="476"/>
      <c r="HR48" s="471">
        <f>BD48+BX48+DL48+EJ48+FD48+FX48+GR48</f>
        <v>44150000</v>
      </c>
      <c r="HS48" s="471">
        <f>BE48+BY48+DM48+EK48+FE48+FY48+GS48</f>
        <v>23488100</v>
      </c>
      <c r="HT48" s="471">
        <f t="shared" si="56"/>
        <v>20661900</v>
      </c>
    </row>
    <row r="49" spans="1:228" x14ac:dyDescent="0.25">
      <c r="A49" s="107">
        <v>44</v>
      </c>
      <c r="B49" s="107" t="s">
        <v>108</v>
      </c>
      <c r="C49" s="113" t="s">
        <v>63</v>
      </c>
      <c r="D49" s="465">
        <v>0</v>
      </c>
      <c r="E49" s="465">
        <v>0</v>
      </c>
      <c r="F49" s="465">
        <f t="shared" si="1"/>
        <v>0</v>
      </c>
      <c r="G49" s="465"/>
      <c r="H49" s="465">
        <v>50000000</v>
      </c>
      <c r="I49" s="465">
        <v>50000000</v>
      </c>
      <c r="J49" s="465">
        <f t="shared" si="2"/>
        <v>0</v>
      </c>
      <c r="K49" s="465"/>
      <c r="L49" s="465">
        <v>50000000</v>
      </c>
      <c r="M49" s="465">
        <v>50000000</v>
      </c>
      <c r="N49" s="465">
        <f t="shared" si="3"/>
        <v>0</v>
      </c>
      <c r="O49" s="465"/>
      <c r="P49" s="465">
        <f>7000000-7000000</f>
        <v>0</v>
      </c>
      <c r="Q49" s="465">
        <v>0</v>
      </c>
      <c r="R49" s="465">
        <f t="shared" si="4"/>
        <v>0</v>
      </c>
      <c r="S49" s="465"/>
      <c r="T49" s="465">
        <f>3000000-3000000</f>
        <v>0</v>
      </c>
      <c r="U49" s="465">
        <v>0</v>
      </c>
      <c r="V49" s="465">
        <f t="shared" si="5"/>
        <v>0</v>
      </c>
      <c r="W49" s="465"/>
      <c r="X49" s="465">
        <v>60000000</v>
      </c>
      <c r="Y49" s="465">
        <v>60000000</v>
      </c>
      <c r="Z49" s="465">
        <f t="shared" si="6"/>
        <v>0</v>
      </c>
      <c r="AA49" s="465"/>
      <c r="AB49" s="465">
        <f>10000000-10000000</f>
        <v>0</v>
      </c>
      <c r="AC49" s="465">
        <v>0</v>
      </c>
      <c r="AD49" s="465">
        <f t="shared" si="7"/>
        <v>0</v>
      </c>
      <c r="AE49" s="465"/>
      <c r="AF49" s="465">
        <f>5000000-5000000</f>
        <v>0</v>
      </c>
      <c r="AG49" s="465">
        <v>0</v>
      </c>
      <c r="AH49" s="465">
        <f t="shared" si="8"/>
        <v>0</v>
      </c>
      <c r="AI49" s="465"/>
      <c r="AJ49" s="465">
        <v>15000000</v>
      </c>
      <c r="AK49" s="465">
        <f>6829589+7665741-200.11+504870.11</f>
        <v>15000000</v>
      </c>
      <c r="AL49" s="465">
        <f t="shared" si="9"/>
        <v>0</v>
      </c>
      <c r="AM49" s="465"/>
      <c r="AN49" s="465">
        <v>80000000</v>
      </c>
      <c r="AO49" s="465">
        <f>26692903+53307097</f>
        <v>80000000</v>
      </c>
      <c r="AP49" s="465">
        <f t="shared" si="10"/>
        <v>0</v>
      </c>
      <c r="AQ49" s="465"/>
      <c r="AR49" s="465">
        <v>10000000</v>
      </c>
      <c r="AS49" s="465">
        <f>7935745.5+2064254.5</f>
        <v>10000000</v>
      </c>
      <c r="AT49" s="465">
        <f t="shared" si="11"/>
        <v>0</v>
      </c>
      <c r="AU49" s="465"/>
      <c r="AV49" s="465">
        <v>5000000</v>
      </c>
      <c r="AW49" s="465">
        <v>0</v>
      </c>
      <c r="AX49" s="465">
        <f t="shared" si="12"/>
        <v>5000000</v>
      </c>
      <c r="AY49" s="465"/>
      <c r="AZ49" s="465">
        <v>20000000</v>
      </c>
      <c r="BA49" s="465">
        <f>1699919+6500756+1290340+3842080+649118+2978927+3038860</f>
        <v>20000000</v>
      </c>
      <c r="BB49" s="465">
        <f t="shared" si="13"/>
        <v>0</v>
      </c>
      <c r="BC49" s="465"/>
      <c r="BD49" s="465">
        <v>5000000</v>
      </c>
      <c r="BE49" s="465">
        <v>5000000</v>
      </c>
      <c r="BF49" s="465">
        <f t="shared" si="14"/>
        <v>0</v>
      </c>
      <c r="BG49" s="465"/>
      <c r="BH49" s="465">
        <v>130000000</v>
      </c>
      <c r="BI49" s="465">
        <f>200.11+25834050+55028400+66680455.4-17543105.51</f>
        <v>129999999.99999999</v>
      </c>
      <c r="BJ49" s="465">
        <f t="shared" si="15"/>
        <v>0</v>
      </c>
      <c r="BK49" s="465"/>
      <c r="BL49" s="465">
        <v>10000000</v>
      </c>
      <c r="BM49" s="465">
        <v>10000000</v>
      </c>
      <c r="BN49" s="465">
        <f t="shared" si="16"/>
        <v>0</v>
      </c>
      <c r="BO49" s="465"/>
      <c r="BP49" s="465">
        <v>10000000</v>
      </c>
      <c r="BQ49" s="465">
        <v>0</v>
      </c>
      <c r="BR49" s="465">
        <f t="shared" si="17"/>
        <v>10000000</v>
      </c>
      <c r="BS49" s="465"/>
      <c r="BT49" s="465">
        <v>40000000</v>
      </c>
      <c r="BU49" s="465">
        <f>3420427+5181704+11546609.33+6371736.16+9147182+200.11+2750584.89+1581556.51</f>
        <v>39999999.999999993</v>
      </c>
      <c r="BV49" s="465">
        <f t="shared" si="18"/>
        <v>0</v>
      </c>
      <c r="BW49" s="465"/>
      <c r="BX49" s="465">
        <v>5000000</v>
      </c>
      <c r="BY49" s="465">
        <v>5000000</v>
      </c>
      <c r="BZ49" s="465">
        <f t="shared" si="19"/>
        <v>0</v>
      </c>
      <c r="CA49" s="465"/>
      <c r="CB49" s="465">
        <v>0</v>
      </c>
      <c r="CC49" s="465">
        <v>0</v>
      </c>
      <c r="CD49" s="465">
        <f t="shared" si="20"/>
        <v>0</v>
      </c>
      <c r="CE49" s="465"/>
      <c r="CF49" s="465">
        <f t="shared" si="21"/>
        <v>140000000</v>
      </c>
      <c r="CG49" s="465">
        <f>101811445+17543105.51+20645449.49</f>
        <v>140000000</v>
      </c>
      <c r="CH49" s="465">
        <f t="shared" si="22"/>
        <v>0</v>
      </c>
      <c r="CI49" s="488"/>
      <c r="CJ49" s="465">
        <v>20000000</v>
      </c>
      <c r="CK49" s="465">
        <f>15138626.8</f>
        <v>15138626.800000001</v>
      </c>
      <c r="CL49" s="465">
        <f t="shared" si="23"/>
        <v>4861373.1999999993</v>
      </c>
      <c r="CM49" s="465"/>
      <c r="CN49" s="465">
        <v>10000000</v>
      </c>
      <c r="CO49" s="465">
        <v>0</v>
      </c>
      <c r="CP49" s="465">
        <f t="shared" si="24"/>
        <v>10000000</v>
      </c>
      <c r="CQ49" s="465"/>
      <c r="CR49" s="465">
        <v>40000000</v>
      </c>
      <c r="CS49" s="465">
        <f>14172778.49+3575455-3575455+24945295+881926.51</f>
        <v>40000000</v>
      </c>
      <c r="CT49" s="465">
        <f t="shared" si="25"/>
        <v>0</v>
      </c>
      <c r="CU49" s="465"/>
      <c r="CV49" s="465">
        <v>150000000</v>
      </c>
      <c r="CW49" s="465">
        <f>35484400.51+114515599.49</f>
        <v>150000000</v>
      </c>
      <c r="CX49" s="465">
        <f t="shared" si="26"/>
        <v>0</v>
      </c>
      <c r="CY49" s="465"/>
      <c r="CZ49" s="465">
        <v>20000000</v>
      </c>
      <c r="DA49" s="465">
        <v>0</v>
      </c>
      <c r="DB49" s="465">
        <f t="shared" si="27"/>
        <v>20000000</v>
      </c>
      <c r="DC49" s="465"/>
      <c r="DD49" s="465">
        <v>10000000</v>
      </c>
      <c r="DE49" s="465">
        <v>0</v>
      </c>
      <c r="DF49" s="465">
        <f t="shared" si="28"/>
        <v>10000000</v>
      </c>
      <c r="DG49" s="465"/>
      <c r="DH49" s="465">
        <v>50000000</v>
      </c>
      <c r="DI49" s="465">
        <f>32092010.49+9112116+6279904+2515969.51</f>
        <v>49999999.999999993</v>
      </c>
      <c r="DJ49" s="465">
        <f t="shared" si="29"/>
        <v>0</v>
      </c>
      <c r="DK49" s="465"/>
      <c r="DL49" s="465">
        <v>10000000</v>
      </c>
      <c r="DM49" s="465">
        <f>6776695.65</f>
        <v>6776695.6500000004</v>
      </c>
      <c r="DN49" s="465">
        <f t="shared" si="30"/>
        <v>3223304.3499999996</v>
      </c>
      <c r="DO49" s="465"/>
      <c r="DP49" s="465">
        <f>15000000</f>
        <v>15000000</v>
      </c>
      <c r="DQ49" s="465">
        <f>15000000</f>
        <v>15000000</v>
      </c>
      <c r="DR49" s="465">
        <f t="shared" si="31"/>
        <v>0</v>
      </c>
      <c r="DS49" s="465"/>
      <c r="DT49" s="465">
        <v>100000000</v>
      </c>
      <c r="DU49" s="465">
        <f>93659224+13432250.51-7091474.51</f>
        <v>100000000</v>
      </c>
      <c r="DV49" s="465">
        <f t="shared" si="32"/>
        <v>0</v>
      </c>
      <c r="DW49" s="465"/>
      <c r="DX49" s="465">
        <v>15000000</v>
      </c>
      <c r="DY49" s="465">
        <v>0</v>
      </c>
      <c r="DZ49" s="465">
        <f t="shared" si="33"/>
        <v>15000000</v>
      </c>
      <c r="EA49" s="465"/>
      <c r="EB49" s="465">
        <v>10000000</v>
      </c>
      <c r="EC49" s="465">
        <v>0</v>
      </c>
      <c r="ED49" s="465">
        <f t="shared" si="34"/>
        <v>10000000</v>
      </c>
      <c r="EE49" s="465"/>
      <c r="EF49" s="465">
        <v>25000000</v>
      </c>
      <c r="EG49" s="465">
        <f>8001334.49+2355526+12547840+2095299.51</f>
        <v>25000000.000000004</v>
      </c>
      <c r="EH49" s="465">
        <f t="shared" si="35"/>
        <v>0</v>
      </c>
      <c r="EI49" s="465"/>
      <c r="EJ49" s="465">
        <v>10000000</v>
      </c>
      <c r="EK49" s="465">
        <v>0</v>
      </c>
      <c r="EL49" s="465">
        <f t="shared" si="36"/>
        <v>10000000</v>
      </c>
      <c r="EM49" s="465"/>
      <c r="EN49" s="465">
        <v>300000000</v>
      </c>
      <c r="EO49" s="465">
        <f>7091474.51+36900000+151372780.95+60200677.9+33600000+10835066.64</f>
        <v>300000000</v>
      </c>
      <c r="EP49" s="465">
        <f t="shared" si="37"/>
        <v>0</v>
      </c>
      <c r="EQ49" s="488"/>
      <c r="ER49" s="465">
        <v>25000000</v>
      </c>
      <c r="ES49" s="465">
        <v>0</v>
      </c>
      <c r="ET49" s="465">
        <f t="shared" si="38"/>
        <v>25000000</v>
      </c>
      <c r="EU49" s="465"/>
      <c r="EV49" s="465">
        <v>10000000</v>
      </c>
      <c r="EW49" s="465">
        <v>0</v>
      </c>
      <c r="EX49" s="465">
        <f t="shared" si="39"/>
        <v>10000000</v>
      </c>
      <c r="EY49" s="465"/>
      <c r="EZ49" s="465">
        <v>30000000</v>
      </c>
      <c r="FA49" s="465">
        <f>19526040.49+188600+5083270+5202089.51</f>
        <v>30000000</v>
      </c>
      <c r="FB49" s="465">
        <f t="shared" si="40"/>
        <v>0</v>
      </c>
      <c r="FC49" s="465"/>
      <c r="FD49" s="465">
        <v>5000000</v>
      </c>
      <c r="FE49" s="465">
        <v>0</v>
      </c>
      <c r="FF49" s="465">
        <f t="shared" si="41"/>
        <v>5000000</v>
      </c>
      <c r="FG49" s="465"/>
      <c r="FH49" s="468">
        <v>120000000</v>
      </c>
      <c r="FI49" s="463">
        <f>75770893.61+28800000</f>
        <v>104570893.61</v>
      </c>
      <c r="FJ49" s="463">
        <f t="shared" si="0"/>
        <v>15429106.390000001</v>
      </c>
      <c r="FK49" s="468"/>
      <c r="FL49" s="468">
        <v>25000000</v>
      </c>
      <c r="FM49" s="468">
        <v>0</v>
      </c>
      <c r="FN49" s="468">
        <f t="shared" si="63"/>
        <v>25000000</v>
      </c>
      <c r="FO49" s="468"/>
      <c r="FP49" s="468">
        <v>5000000</v>
      </c>
      <c r="FQ49" s="468">
        <v>0</v>
      </c>
      <c r="FR49" s="468">
        <f t="shared" si="66"/>
        <v>5000000</v>
      </c>
      <c r="FS49" s="468"/>
      <c r="FT49" s="468">
        <v>30000000</v>
      </c>
      <c r="FU49" s="469">
        <f>106336.09+6780168.35+6421980</f>
        <v>13308484.439999999</v>
      </c>
      <c r="FV49" s="468">
        <f t="shared" si="67"/>
        <v>16691515.560000001</v>
      </c>
      <c r="FW49" s="468"/>
      <c r="FX49" s="468">
        <v>4150000</v>
      </c>
      <c r="FY49" s="468">
        <v>0</v>
      </c>
      <c r="FZ49" s="468">
        <v>4150000</v>
      </c>
      <c r="GA49" s="468"/>
      <c r="GB49" s="468">
        <v>160000000</v>
      </c>
      <c r="GC49" s="468">
        <v>0</v>
      </c>
      <c r="GD49" s="468">
        <f t="shared" si="45"/>
        <v>160000000</v>
      </c>
      <c r="GE49" s="468"/>
      <c r="GF49" s="468">
        <v>25000000</v>
      </c>
      <c r="GG49" s="468">
        <v>0</v>
      </c>
      <c r="GH49" s="468">
        <f t="shared" si="46"/>
        <v>25000000</v>
      </c>
      <c r="GI49" s="468"/>
      <c r="GJ49" s="468">
        <v>5000000</v>
      </c>
      <c r="GK49" s="468">
        <v>0</v>
      </c>
      <c r="GL49" s="468">
        <f t="shared" si="47"/>
        <v>5000000</v>
      </c>
      <c r="GM49" s="468"/>
      <c r="GN49" s="468">
        <v>20000000</v>
      </c>
      <c r="GO49" s="468">
        <v>0</v>
      </c>
      <c r="GP49" s="468">
        <f t="shared" si="48"/>
        <v>20000000</v>
      </c>
      <c r="GQ49" s="468"/>
      <c r="GR49" s="468">
        <v>5000000</v>
      </c>
      <c r="GS49" s="468">
        <v>0</v>
      </c>
      <c r="GT49" s="468">
        <f t="shared" si="49"/>
        <v>5000000</v>
      </c>
      <c r="GU49" s="468"/>
      <c r="GV49" s="465">
        <f t="shared" si="50"/>
        <v>1884150000</v>
      </c>
      <c r="GW49" s="465">
        <f t="shared" si="50"/>
        <v>1464794700.4999998</v>
      </c>
      <c r="GX49" s="465">
        <f t="shared" si="51"/>
        <v>419355299.50000024</v>
      </c>
      <c r="GY49" s="472"/>
      <c r="GZ49" s="464"/>
      <c r="HA49" s="471">
        <f>D49+H49+L49+X49+AN49+BH49+CB49+CF49+CV49+DP49+DT49+EN49+FH49+GB49</f>
        <v>1355000000</v>
      </c>
      <c r="HB49" s="471">
        <f>E49+I49+M49+Y49+AO49+BI49+CC49+CG49+CW49+DQ49+DU49+EO49+FI49+GC49</f>
        <v>1179570893.6099999</v>
      </c>
      <c r="HC49" s="471">
        <f t="shared" si="52"/>
        <v>175429106.3900001</v>
      </c>
      <c r="HE49" s="471">
        <f>P49+AB49+AR49+
BL49+CJ49+CZ49+DX49+ER49+FL49+GF49</f>
        <v>150000000</v>
      </c>
      <c r="HF49" s="471">
        <f>Q49+AC49+AS49+
BM49+CK49+DA49+DY49+ES49+FM49+GG49</f>
        <v>35138626.799999997</v>
      </c>
      <c r="HG49" s="471">
        <f t="shared" si="53"/>
        <v>114861373.2</v>
      </c>
      <c r="HI49" s="471">
        <f>T49+AF49+AV49+BP49+CN49+DD49+EB49+EV49+FP49+GJ49</f>
        <v>65000000</v>
      </c>
      <c r="HJ49" s="471">
        <f>U49+AG49+AW49+BQ49+CO49+DE49+EC49+EW49+FQ49+GK49</f>
        <v>0</v>
      </c>
      <c r="HK49" s="471">
        <f t="shared" si="54"/>
        <v>65000000</v>
      </c>
      <c r="HM49" s="475">
        <f>AJ49+AZ49+BT49+CR49+DH49+EF49+EZ49+FT49+GN49</f>
        <v>270000000</v>
      </c>
      <c r="HN49" s="475">
        <f>AK49+BA49+BU49+CS49+DI49+EG49+FA49+FU49+GO49</f>
        <v>233308484.44</v>
      </c>
      <c r="HO49" s="475">
        <f t="shared" si="55"/>
        <v>36691515.560000002</v>
      </c>
      <c r="HP49" s="476"/>
      <c r="HR49" s="471">
        <f>BD49+BX49+DL49+EJ49+FD49+FX49+GR49</f>
        <v>44150000</v>
      </c>
      <c r="HS49" s="471">
        <f>BE49+BY49+DM49+EK49+FE49+FY49+GS49</f>
        <v>16776695.65</v>
      </c>
      <c r="HT49" s="471">
        <f t="shared" si="56"/>
        <v>27373304.350000001</v>
      </c>
    </row>
    <row r="50" spans="1:228" x14ac:dyDescent="0.25">
      <c r="A50" s="107">
        <v>45</v>
      </c>
      <c r="B50" s="107" t="s">
        <v>479</v>
      </c>
      <c r="C50" s="285" t="s">
        <v>76</v>
      </c>
      <c r="D50" s="488">
        <v>1250000</v>
      </c>
      <c r="E50" s="488">
        <v>1250000</v>
      </c>
      <c r="F50" s="465">
        <f t="shared" si="1"/>
        <v>0</v>
      </c>
      <c r="G50" s="488"/>
      <c r="H50" s="465">
        <v>50000000</v>
      </c>
      <c r="I50" s="465">
        <v>50000000</v>
      </c>
      <c r="J50" s="465">
        <f t="shared" si="2"/>
        <v>0</v>
      </c>
      <c r="K50" s="488"/>
      <c r="L50" s="465">
        <v>50000000</v>
      </c>
      <c r="M50" s="465">
        <v>50000000</v>
      </c>
      <c r="N50" s="465">
        <f t="shared" si="3"/>
        <v>0</v>
      </c>
      <c r="O50" s="488"/>
      <c r="P50" s="465">
        <v>7000000</v>
      </c>
      <c r="Q50" s="503">
        <f>6000000+1000000</f>
        <v>7000000</v>
      </c>
      <c r="R50" s="465">
        <f t="shared" si="4"/>
        <v>0</v>
      </c>
      <c r="S50" s="488"/>
      <c r="T50" s="465">
        <f>3000000-3000000</f>
        <v>0</v>
      </c>
      <c r="U50" s="465">
        <v>0</v>
      </c>
      <c r="V50" s="465">
        <f t="shared" si="5"/>
        <v>0</v>
      </c>
      <c r="W50" s="488"/>
      <c r="X50" s="465">
        <v>60000000</v>
      </c>
      <c r="Y50" s="465">
        <v>60000000</v>
      </c>
      <c r="Z50" s="465">
        <f t="shared" si="6"/>
        <v>0</v>
      </c>
      <c r="AA50" s="488"/>
      <c r="AB50" s="465">
        <v>10000000</v>
      </c>
      <c r="AC50" s="465">
        <f>6940000+2060000+1000000</f>
        <v>10000000</v>
      </c>
      <c r="AD50" s="465">
        <f t="shared" si="7"/>
        <v>0</v>
      </c>
      <c r="AE50" s="488"/>
      <c r="AF50" s="465">
        <f>5000000-5000000</f>
        <v>0</v>
      </c>
      <c r="AG50" s="465">
        <v>0</v>
      </c>
      <c r="AH50" s="465">
        <f t="shared" si="8"/>
        <v>0</v>
      </c>
      <c r="AI50" s="488"/>
      <c r="AJ50" s="465">
        <v>15000000</v>
      </c>
      <c r="AK50" s="465">
        <v>15000000</v>
      </c>
      <c r="AL50" s="465">
        <f t="shared" si="9"/>
        <v>0</v>
      </c>
      <c r="AM50" s="465"/>
      <c r="AN50" s="465">
        <v>80000000</v>
      </c>
      <c r="AO50" s="465">
        <f>3853861.9+27717250+2550000+1500000+8246800+4081000+32022375+28713.1</f>
        <v>80000000</v>
      </c>
      <c r="AP50" s="465">
        <f t="shared" si="10"/>
        <v>0</v>
      </c>
      <c r="AQ50" s="488"/>
      <c r="AR50" s="465">
        <v>10000000</v>
      </c>
      <c r="AS50" s="465">
        <f>10000000</f>
        <v>10000000</v>
      </c>
      <c r="AT50" s="465">
        <f t="shared" si="11"/>
        <v>0</v>
      </c>
      <c r="AU50" s="488"/>
      <c r="AV50" s="465">
        <v>5000000</v>
      </c>
      <c r="AW50" s="465">
        <f>7497000-2497000</f>
        <v>5000000</v>
      </c>
      <c r="AX50" s="465">
        <f t="shared" si="12"/>
        <v>0</v>
      </c>
      <c r="AY50" s="488"/>
      <c r="AZ50" s="465">
        <v>20000000</v>
      </c>
      <c r="BA50" s="465">
        <f>11658380+4996236+3345384</f>
        <v>20000000</v>
      </c>
      <c r="BB50" s="465">
        <f t="shared" si="13"/>
        <v>0</v>
      </c>
      <c r="BC50" s="488"/>
      <c r="BD50" s="465">
        <v>5000000</v>
      </c>
      <c r="BE50" s="465">
        <v>5000000</v>
      </c>
      <c r="BF50" s="465">
        <f t="shared" si="14"/>
        <v>0</v>
      </c>
      <c r="BG50" s="488"/>
      <c r="BH50" s="465">
        <v>130000000</v>
      </c>
      <c r="BI50" s="465">
        <f>0+38465286.9+53026200+26550000+11958513.1</f>
        <v>130000000</v>
      </c>
      <c r="BJ50" s="465">
        <f t="shared" si="15"/>
        <v>0</v>
      </c>
      <c r="BK50" s="488"/>
      <c r="BL50" s="465">
        <v>10000000</v>
      </c>
      <c r="BM50" s="465">
        <f>9000000+1000000</f>
        <v>10000000</v>
      </c>
      <c r="BN50" s="465">
        <f t="shared" si="16"/>
        <v>0</v>
      </c>
      <c r="BO50" s="488"/>
      <c r="BP50" s="465">
        <v>10000000</v>
      </c>
      <c r="BQ50" s="465">
        <f>2497000</f>
        <v>2497000</v>
      </c>
      <c r="BR50" s="465">
        <f t="shared" si="17"/>
        <v>7503000</v>
      </c>
      <c r="BS50" s="488"/>
      <c r="BT50" s="465">
        <v>40000000</v>
      </c>
      <c r="BU50" s="465">
        <f>22908646+14188400+2096320+806634</f>
        <v>40000000</v>
      </c>
      <c r="BV50" s="465">
        <f t="shared" si="18"/>
        <v>0</v>
      </c>
      <c r="BW50" s="488"/>
      <c r="BX50" s="465">
        <v>5000000</v>
      </c>
      <c r="BY50" s="465">
        <f>2650000+2350000</f>
        <v>5000000</v>
      </c>
      <c r="BZ50" s="465">
        <f t="shared" si="19"/>
        <v>0</v>
      </c>
      <c r="CA50" s="488"/>
      <c r="CB50" s="465">
        <v>0</v>
      </c>
      <c r="CC50" s="465">
        <v>0</v>
      </c>
      <c r="CD50" s="465">
        <f t="shared" si="20"/>
        <v>0</v>
      </c>
      <c r="CE50" s="488"/>
      <c r="CF50" s="465">
        <f t="shared" si="21"/>
        <v>140000000</v>
      </c>
      <c r="CG50" s="467">
        <f>18041486.9+3600000+53665000+64693513.1</f>
        <v>140000000</v>
      </c>
      <c r="CH50" s="465">
        <f t="shared" si="22"/>
        <v>0</v>
      </c>
      <c r="CI50" s="488"/>
      <c r="CJ50" s="465">
        <v>20000000</v>
      </c>
      <c r="CK50" s="465">
        <f>10940000+9060000</f>
        <v>20000000</v>
      </c>
      <c r="CL50" s="465">
        <f t="shared" si="23"/>
        <v>0</v>
      </c>
      <c r="CM50" s="488"/>
      <c r="CN50" s="465">
        <v>10000000</v>
      </c>
      <c r="CO50" s="465">
        <v>0</v>
      </c>
      <c r="CP50" s="465">
        <f t="shared" si="24"/>
        <v>10000000</v>
      </c>
      <c r="CQ50" s="488"/>
      <c r="CR50" s="465">
        <v>40000000</v>
      </c>
      <c r="CS50" s="465">
        <f>20275501+19009880+714619</f>
        <v>40000000</v>
      </c>
      <c r="CT50" s="465">
        <f t="shared" si="25"/>
        <v>0</v>
      </c>
      <c r="CU50" s="488"/>
      <c r="CV50" s="465">
        <v>150000000</v>
      </c>
      <c r="CW50" s="467">
        <f>12419383.9</f>
        <v>12419383.9</v>
      </c>
      <c r="CX50" s="465">
        <f t="shared" si="26"/>
        <v>137580616.09999999</v>
      </c>
      <c r="CY50" s="488"/>
      <c r="CZ50" s="465">
        <v>20000000</v>
      </c>
      <c r="DA50" s="465">
        <f>16656560+3330000+13440</f>
        <v>20000000</v>
      </c>
      <c r="DB50" s="465">
        <f t="shared" si="27"/>
        <v>0</v>
      </c>
      <c r="DC50" s="465"/>
      <c r="DD50" s="465">
        <v>10000000</v>
      </c>
      <c r="DE50" s="465">
        <v>0</v>
      </c>
      <c r="DF50" s="465">
        <f t="shared" si="28"/>
        <v>10000000</v>
      </c>
      <c r="DG50" s="488"/>
      <c r="DH50" s="465">
        <v>50000000</v>
      </c>
      <c r="DI50" s="465">
        <f>3620950+32306900+4223200+9719899+129051</f>
        <v>50000000</v>
      </c>
      <c r="DJ50" s="465">
        <f t="shared" si="29"/>
        <v>0</v>
      </c>
      <c r="DK50" s="488"/>
      <c r="DL50" s="465">
        <v>10000000</v>
      </c>
      <c r="DM50" s="465">
        <f>3600000+1350000+5050000</f>
        <v>10000000</v>
      </c>
      <c r="DN50" s="465">
        <f t="shared" si="30"/>
        <v>0</v>
      </c>
      <c r="DO50" s="488"/>
      <c r="DP50" s="465">
        <v>0</v>
      </c>
      <c r="DQ50" s="465">
        <v>0</v>
      </c>
      <c r="DR50" s="465">
        <f t="shared" si="31"/>
        <v>0</v>
      </c>
      <c r="DS50" s="465"/>
      <c r="DT50" s="465">
        <v>100000000</v>
      </c>
      <c r="DU50" s="465">
        <v>0</v>
      </c>
      <c r="DV50" s="465">
        <f t="shared" si="32"/>
        <v>100000000</v>
      </c>
      <c r="DW50" s="465"/>
      <c r="DX50" s="465">
        <v>15000000</v>
      </c>
      <c r="DY50" s="465">
        <f>14986560+13440</f>
        <v>15000000</v>
      </c>
      <c r="DZ50" s="465">
        <f t="shared" si="33"/>
        <v>0</v>
      </c>
      <c r="EA50" s="465"/>
      <c r="EB50" s="465">
        <v>10000000</v>
      </c>
      <c r="EC50" s="465">
        <v>0</v>
      </c>
      <c r="ED50" s="465">
        <f t="shared" si="34"/>
        <v>10000000</v>
      </c>
      <c r="EE50" s="465"/>
      <c r="EF50" s="465">
        <v>25000000</v>
      </c>
      <c r="EG50" s="465">
        <f>16752141+16881192-16881192+1236572+7011287</f>
        <v>25000000</v>
      </c>
      <c r="EH50" s="465">
        <f t="shared" si="35"/>
        <v>0</v>
      </c>
      <c r="EI50" s="465"/>
      <c r="EJ50" s="465">
        <v>10000000</v>
      </c>
      <c r="EK50" s="465">
        <f>2160759.95</f>
        <v>2160759.9500000002</v>
      </c>
      <c r="EL50" s="465">
        <f t="shared" si="36"/>
        <v>7839240.0499999998</v>
      </c>
      <c r="EM50" s="488"/>
      <c r="EN50" s="465">
        <v>300000000</v>
      </c>
      <c r="EO50" s="465">
        <f>54981250+18275363.85</f>
        <v>73256613.849999994</v>
      </c>
      <c r="EP50" s="465">
        <f t="shared" si="37"/>
        <v>226743386.15000001</v>
      </c>
      <c r="EQ50" s="488"/>
      <c r="ER50" s="465">
        <v>25000000</v>
      </c>
      <c r="ES50" s="478">
        <f>6263760+6447154.8+8924610</f>
        <v>21635524.800000001</v>
      </c>
      <c r="ET50" s="465">
        <f t="shared" si="38"/>
        <v>3364475.1999999993</v>
      </c>
      <c r="EU50" s="488"/>
      <c r="EV50" s="465">
        <v>10000000</v>
      </c>
      <c r="EW50" s="465">
        <v>0</v>
      </c>
      <c r="EX50" s="465">
        <f t="shared" si="39"/>
        <v>10000000</v>
      </c>
      <c r="EY50" s="488"/>
      <c r="EZ50" s="465">
        <v>30000000</v>
      </c>
      <c r="FA50" s="478">
        <f>2233753+10039080+14860825</f>
        <v>27133658</v>
      </c>
      <c r="FB50" s="465">
        <f t="shared" si="40"/>
        <v>2866342</v>
      </c>
      <c r="FC50" s="488"/>
      <c r="FD50" s="465">
        <v>5000000</v>
      </c>
      <c r="FE50" s="465">
        <v>0</v>
      </c>
      <c r="FF50" s="465">
        <f t="shared" si="41"/>
        <v>5000000</v>
      </c>
      <c r="FG50" s="465"/>
      <c r="FH50" s="468">
        <v>120000000</v>
      </c>
      <c r="FI50" s="463">
        <v>0</v>
      </c>
      <c r="FJ50" s="463">
        <f t="shared" si="0"/>
        <v>120000000</v>
      </c>
      <c r="FK50" s="468"/>
      <c r="FL50" s="468">
        <v>25000000</v>
      </c>
      <c r="FM50" s="468">
        <v>0</v>
      </c>
      <c r="FN50" s="468">
        <f t="shared" si="63"/>
        <v>25000000</v>
      </c>
      <c r="FO50" s="468"/>
      <c r="FP50" s="468">
        <v>5000000</v>
      </c>
      <c r="FQ50" s="468">
        <v>0</v>
      </c>
      <c r="FR50" s="468">
        <f t="shared" si="66"/>
        <v>5000000</v>
      </c>
      <c r="FS50" s="468"/>
      <c r="FT50" s="468">
        <v>30000000</v>
      </c>
      <c r="FU50" s="468">
        <v>0</v>
      </c>
      <c r="FV50" s="468">
        <f t="shared" si="67"/>
        <v>30000000</v>
      </c>
      <c r="FW50" s="468"/>
      <c r="FX50" s="468">
        <v>4150000</v>
      </c>
      <c r="FY50" s="468">
        <v>0</v>
      </c>
      <c r="FZ50" s="468">
        <v>4150000</v>
      </c>
      <c r="GA50" s="468"/>
      <c r="GB50" s="468">
        <v>160000000</v>
      </c>
      <c r="GC50" s="468">
        <v>0</v>
      </c>
      <c r="GD50" s="468">
        <f t="shared" si="45"/>
        <v>160000000</v>
      </c>
      <c r="GE50" s="468"/>
      <c r="GF50" s="468">
        <v>25000000</v>
      </c>
      <c r="GG50" s="468">
        <v>0</v>
      </c>
      <c r="GH50" s="468">
        <f t="shared" si="46"/>
        <v>25000000</v>
      </c>
      <c r="GI50" s="468"/>
      <c r="GJ50" s="468">
        <v>5000000</v>
      </c>
      <c r="GK50" s="468">
        <v>0</v>
      </c>
      <c r="GL50" s="468">
        <f t="shared" si="47"/>
        <v>5000000</v>
      </c>
      <c r="GM50" s="468"/>
      <c r="GN50" s="468">
        <v>20000000</v>
      </c>
      <c r="GO50" s="468">
        <v>0</v>
      </c>
      <c r="GP50" s="468">
        <f t="shared" si="48"/>
        <v>20000000</v>
      </c>
      <c r="GQ50" s="468"/>
      <c r="GR50" s="468">
        <v>5000000</v>
      </c>
      <c r="GS50" s="468">
        <v>0</v>
      </c>
      <c r="GT50" s="468">
        <f t="shared" si="49"/>
        <v>5000000</v>
      </c>
      <c r="GU50" s="468"/>
      <c r="GV50" s="465">
        <f t="shared" si="50"/>
        <v>1887400000</v>
      </c>
      <c r="GW50" s="465">
        <f t="shared" si="50"/>
        <v>957352940.5</v>
      </c>
      <c r="GX50" s="465">
        <f t="shared" si="51"/>
        <v>930047059.5</v>
      </c>
      <c r="GY50" s="470"/>
      <c r="GZ50" s="464"/>
      <c r="HA50" s="471">
        <f>D50+H50+L50+X50+AN50+BH50+CB50+CF50+CV50+DP50+DT50+EN50+FH50+GB50</f>
        <v>1341250000</v>
      </c>
      <c r="HB50" s="471">
        <f>E50+I50+M50+Y50+AO50+BI50+CC50+CG50+CW50+DQ50+DU50+EO50+FI50+GC50</f>
        <v>596925997.75</v>
      </c>
      <c r="HC50" s="471">
        <f t="shared" si="52"/>
        <v>744324002.25</v>
      </c>
      <c r="HE50" s="471">
        <f>P50+AB50+AR50+
BL50+CJ50+CZ50+DX50+ER50+FL50+GF50</f>
        <v>167000000</v>
      </c>
      <c r="HF50" s="471">
        <f>Q50+AC50+AS50+
BM50+CK50+DA50+DY50+ES50+FM50+GG50</f>
        <v>113635524.8</v>
      </c>
      <c r="HG50" s="471">
        <f t="shared" si="53"/>
        <v>53364475.200000003</v>
      </c>
      <c r="HI50" s="471">
        <f>T50+AF50+AV50+BP50+CN50+DD50+EB50+EV50+FP50+GJ50</f>
        <v>65000000</v>
      </c>
      <c r="HJ50" s="471">
        <f>U50+AG50+AW50+BQ50+CO50+DE50+EC50+EW50+FQ50+GK50</f>
        <v>7497000</v>
      </c>
      <c r="HK50" s="471">
        <f t="shared" si="54"/>
        <v>57503000</v>
      </c>
      <c r="HM50" s="475">
        <f>AJ50+AZ50+BT50+CR50+DH50+EF50+EZ50+FT50+GN50</f>
        <v>270000000</v>
      </c>
      <c r="HN50" s="475">
        <f>AK50+BA50+BU50+CS50+DI50+EG50+FA50+FU50+GO50</f>
        <v>217133658</v>
      </c>
      <c r="HO50" s="475">
        <f t="shared" si="55"/>
        <v>52866342</v>
      </c>
      <c r="HP50" s="476"/>
      <c r="HR50" s="471">
        <f>BD50+BX50+DL50+EJ50+FD50+FX50+GR50</f>
        <v>44150000</v>
      </c>
      <c r="HS50" s="471">
        <f>BE50+BY50+DM50+EK50+FE50+FY50+GS50</f>
        <v>22160759.949999999</v>
      </c>
      <c r="HT50" s="471">
        <f t="shared" si="56"/>
        <v>21989240.050000001</v>
      </c>
    </row>
    <row r="51" spans="1:228" x14ac:dyDescent="0.25">
      <c r="A51" s="107">
        <v>46</v>
      </c>
      <c r="B51" s="107" t="s">
        <v>110</v>
      </c>
      <c r="C51" s="113" t="s">
        <v>74</v>
      </c>
      <c r="D51" s="465">
        <v>0</v>
      </c>
      <c r="E51" s="465">
        <v>0</v>
      </c>
      <c r="F51" s="465">
        <f t="shared" si="1"/>
        <v>0</v>
      </c>
      <c r="G51" s="465"/>
      <c r="H51" s="465">
        <v>50000000</v>
      </c>
      <c r="I51" s="465">
        <v>50000000</v>
      </c>
      <c r="J51" s="465">
        <f t="shared" si="2"/>
        <v>0</v>
      </c>
      <c r="K51" s="465"/>
      <c r="L51" s="465">
        <v>50000000</v>
      </c>
      <c r="M51" s="465">
        <v>50000000</v>
      </c>
      <c r="N51" s="465">
        <f t="shared" si="3"/>
        <v>0</v>
      </c>
      <c r="O51" s="465"/>
      <c r="P51" s="465">
        <v>4000000</v>
      </c>
      <c r="Q51" s="465">
        <v>4000000</v>
      </c>
      <c r="R51" s="465">
        <f t="shared" si="4"/>
        <v>0</v>
      </c>
      <c r="S51" s="465"/>
      <c r="T51" s="465">
        <f>3000000-3000000</f>
        <v>0</v>
      </c>
      <c r="U51" s="465">
        <v>0</v>
      </c>
      <c r="V51" s="465">
        <f t="shared" si="5"/>
        <v>0</v>
      </c>
      <c r="W51" s="465"/>
      <c r="X51" s="465">
        <v>60000000</v>
      </c>
      <c r="Y51" s="465">
        <v>60000000</v>
      </c>
      <c r="Z51" s="465">
        <f t="shared" si="6"/>
        <v>0</v>
      </c>
      <c r="AA51" s="465"/>
      <c r="AB51" s="465">
        <f>10000000-10000000</f>
        <v>0</v>
      </c>
      <c r="AC51" s="465">
        <v>0</v>
      </c>
      <c r="AD51" s="465">
        <f t="shared" si="7"/>
        <v>0</v>
      </c>
      <c r="AE51" s="465"/>
      <c r="AF51" s="465">
        <f>5000000-5000000</f>
        <v>0</v>
      </c>
      <c r="AG51" s="465">
        <v>0</v>
      </c>
      <c r="AH51" s="465">
        <f t="shared" si="8"/>
        <v>0</v>
      </c>
      <c r="AI51" s="465"/>
      <c r="AJ51" s="465">
        <v>15000000</v>
      </c>
      <c r="AK51" s="465">
        <f>4218940+4896000+5223080+661980</f>
        <v>15000000</v>
      </c>
      <c r="AL51" s="465">
        <f t="shared" si="9"/>
        <v>0</v>
      </c>
      <c r="AM51" s="465"/>
      <c r="AN51" s="465">
        <v>80000000</v>
      </c>
      <c r="AO51" s="465">
        <v>80000000</v>
      </c>
      <c r="AP51" s="465">
        <f t="shared" si="10"/>
        <v>0</v>
      </c>
      <c r="AQ51" s="465"/>
      <c r="AR51" s="465">
        <v>10000000</v>
      </c>
      <c r="AS51" s="465">
        <v>10000000</v>
      </c>
      <c r="AT51" s="465">
        <f t="shared" si="11"/>
        <v>0</v>
      </c>
      <c r="AU51" s="465"/>
      <c r="AV51" s="465">
        <v>5000000</v>
      </c>
      <c r="AW51" s="465">
        <v>0</v>
      </c>
      <c r="AX51" s="465">
        <f t="shared" si="12"/>
        <v>5000000</v>
      </c>
      <c r="AY51" s="465"/>
      <c r="AZ51" s="465">
        <v>20000000</v>
      </c>
      <c r="BA51" s="465">
        <f>4343700+3553440+5088170+4215475+2321995+477220</f>
        <v>20000000</v>
      </c>
      <c r="BB51" s="465">
        <f t="shared" si="13"/>
        <v>0</v>
      </c>
      <c r="BC51" s="465"/>
      <c r="BD51" s="465">
        <v>5000000</v>
      </c>
      <c r="BE51" s="465">
        <v>5000000</v>
      </c>
      <c r="BF51" s="465">
        <f t="shared" si="14"/>
        <v>0</v>
      </c>
      <c r="BG51" s="465"/>
      <c r="BH51" s="465">
        <v>130000000</v>
      </c>
      <c r="BI51" s="465">
        <f>29736901.5+69185350+7977500+6600000+16500248.5</f>
        <v>130000000</v>
      </c>
      <c r="BJ51" s="465">
        <f t="shared" si="15"/>
        <v>0</v>
      </c>
      <c r="BK51" s="465"/>
      <c r="BL51" s="465">
        <v>10000000</v>
      </c>
      <c r="BM51" s="465">
        <f>1776700+3513086.94</f>
        <v>5289786.9399999995</v>
      </c>
      <c r="BN51" s="465">
        <f t="shared" si="16"/>
        <v>4710213.0600000005</v>
      </c>
      <c r="BO51" s="465"/>
      <c r="BP51" s="465">
        <v>10000000</v>
      </c>
      <c r="BQ51" s="465">
        <v>0</v>
      </c>
      <c r="BR51" s="465">
        <f t="shared" si="17"/>
        <v>10000000</v>
      </c>
      <c r="BS51" s="465"/>
      <c r="BT51" s="465">
        <v>40000000</v>
      </c>
      <c r="BU51" s="478">
        <f>2727795+7420730+7858345+8148597+13844533</f>
        <v>40000000</v>
      </c>
      <c r="BV51" s="465">
        <f t="shared" si="18"/>
        <v>0</v>
      </c>
      <c r="BW51" s="465"/>
      <c r="BX51" s="465">
        <v>5000000</v>
      </c>
      <c r="BY51" s="465">
        <f>1290000+1110000</f>
        <v>2400000</v>
      </c>
      <c r="BZ51" s="465">
        <f t="shared" si="19"/>
        <v>2600000</v>
      </c>
      <c r="CA51" s="465"/>
      <c r="CB51" s="465">
        <v>0</v>
      </c>
      <c r="CC51" s="465">
        <v>0</v>
      </c>
      <c r="CD51" s="465">
        <f t="shared" si="20"/>
        <v>0</v>
      </c>
      <c r="CE51" s="465"/>
      <c r="CF51" s="465">
        <f t="shared" si="21"/>
        <v>140000000</v>
      </c>
      <c r="CG51" s="465">
        <f>119598043.5+20401956.5</f>
        <v>140000000</v>
      </c>
      <c r="CH51" s="465">
        <f t="shared" si="22"/>
        <v>0</v>
      </c>
      <c r="CI51" s="488"/>
      <c r="CJ51" s="465">
        <v>20000000</v>
      </c>
      <c r="CK51" s="465">
        <v>0</v>
      </c>
      <c r="CL51" s="465">
        <f t="shared" si="23"/>
        <v>20000000</v>
      </c>
      <c r="CM51" s="465"/>
      <c r="CN51" s="465">
        <v>10000000</v>
      </c>
      <c r="CO51" s="465">
        <v>0</v>
      </c>
      <c r="CP51" s="465">
        <f t="shared" si="24"/>
        <v>10000000</v>
      </c>
      <c r="CQ51" s="465"/>
      <c r="CR51" s="465">
        <v>40000000</v>
      </c>
      <c r="CS51" s="478">
        <f>11705380+3307335+24305760+681525</f>
        <v>40000000</v>
      </c>
      <c r="CT51" s="465">
        <f t="shared" si="25"/>
        <v>0</v>
      </c>
      <c r="CU51" s="465"/>
      <c r="CV51" s="465">
        <v>150000000</v>
      </c>
      <c r="CW51" s="465">
        <f>112760783.5+14986060+22253156.5</f>
        <v>150000000</v>
      </c>
      <c r="CX51" s="465">
        <f t="shared" si="26"/>
        <v>0</v>
      </c>
      <c r="CY51" s="465"/>
      <c r="CZ51" s="465">
        <v>20000000</v>
      </c>
      <c r="DA51" s="465">
        <v>5368000</v>
      </c>
      <c r="DB51" s="465">
        <f t="shared" si="27"/>
        <v>14632000</v>
      </c>
      <c r="DC51" s="465"/>
      <c r="DD51" s="465">
        <v>10000000</v>
      </c>
      <c r="DE51" s="465">
        <v>0</v>
      </c>
      <c r="DF51" s="465">
        <f t="shared" si="28"/>
        <v>10000000</v>
      </c>
      <c r="DG51" s="465"/>
      <c r="DH51" s="465">
        <v>50000000</v>
      </c>
      <c r="DI51" s="478">
        <f>10776840+15518540+18230678+3940102</f>
        <v>48466160</v>
      </c>
      <c r="DJ51" s="465">
        <f t="shared" si="29"/>
        <v>1533840</v>
      </c>
      <c r="DK51" s="465"/>
      <c r="DL51" s="465">
        <v>10000000</v>
      </c>
      <c r="DM51" s="465">
        <v>0</v>
      </c>
      <c r="DN51" s="465">
        <f t="shared" si="30"/>
        <v>10000000</v>
      </c>
      <c r="DO51" s="465"/>
      <c r="DP51" s="465">
        <v>0</v>
      </c>
      <c r="DQ51" s="465">
        <v>0</v>
      </c>
      <c r="DR51" s="465">
        <f t="shared" si="31"/>
        <v>0</v>
      </c>
      <c r="DS51" s="465"/>
      <c r="DT51" s="465">
        <v>100000000</v>
      </c>
      <c r="DU51" s="465">
        <f>83700000+16300000</f>
        <v>100000000</v>
      </c>
      <c r="DV51" s="465">
        <f t="shared" si="32"/>
        <v>0</v>
      </c>
      <c r="DW51" s="465"/>
      <c r="DX51" s="465">
        <v>15000000</v>
      </c>
      <c r="DY51" s="465">
        <v>0</v>
      </c>
      <c r="DZ51" s="465">
        <f t="shared" si="33"/>
        <v>15000000</v>
      </c>
      <c r="EA51" s="465"/>
      <c r="EB51" s="465">
        <v>10000000</v>
      </c>
      <c r="EC51" s="465">
        <v>0</v>
      </c>
      <c r="ED51" s="465">
        <f t="shared" si="34"/>
        <v>10000000</v>
      </c>
      <c r="EE51" s="465"/>
      <c r="EF51" s="465">
        <v>25000000</v>
      </c>
      <c r="EG51" s="465">
        <f>3746680+4267510+4972960</f>
        <v>12987150</v>
      </c>
      <c r="EH51" s="465">
        <f t="shared" si="35"/>
        <v>12012850</v>
      </c>
      <c r="EI51" s="465"/>
      <c r="EJ51" s="465">
        <v>10000000</v>
      </c>
      <c r="EK51" s="465">
        <v>0</v>
      </c>
      <c r="EL51" s="465">
        <f t="shared" si="36"/>
        <v>10000000</v>
      </c>
      <c r="EM51" s="465"/>
      <c r="EN51" s="465">
        <v>300000000</v>
      </c>
      <c r="EO51" s="465">
        <f>169729741.7+125400000-20601517.6</f>
        <v>274528224.09999996</v>
      </c>
      <c r="EP51" s="465">
        <f t="shared" si="37"/>
        <v>25471775.900000036</v>
      </c>
      <c r="EQ51" s="465"/>
      <c r="ER51" s="465">
        <v>25000000</v>
      </c>
      <c r="ES51" s="465">
        <v>0</v>
      </c>
      <c r="ET51" s="465">
        <f t="shared" si="38"/>
        <v>25000000</v>
      </c>
      <c r="EU51" s="465"/>
      <c r="EV51" s="465">
        <v>10000000</v>
      </c>
      <c r="EW51" s="465">
        <v>0</v>
      </c>
      <c r="EX51" s="465">
        <f t="shared" si="39"/>
        <v>10000000</v>
      </c>
      <c r="EY51" s="465"/>
      <c r="EZ51" s="465">
        <v>30000000</v>
      </c>
      <c r="FA51" s="465">
        <v>7911540</v>
      </c>
      <c r="FB51" s="465">
        <f t="shared" si="40"/>
        <v>22088460</v>
      </c>
      <c r="FC51" s="465"/>
      <c r="FD51" s="465">
        <v>5000000</v>
      </c>
      <c r="FE51" s="465">
        <v>0</v>
      </c>
      <c r="FF51" s="465">
        <f t="shared" si="41"/>
        <v>5000000</v>
      </c>
      <c r="FG51" s="465"/>
      <c r="FH51" s="468">
        <v>120000000</v>
      </c>
      <c r="FI51" s="463">
        <v>78039738</v>
      </c>
      <c r="FJ51" s="463">
        <f t="shared" si="0"/>
        <v>41960262</v>
      </c>
      <c r="FK51" s="468"/>
      <c r="FL51" s="468">
        <v>25000000</v>
      </c>
      <c r="FM51" s="468">
        <v>0</v>
      </c>
      <c r="FN51" s="468">
        <f t="shared" si="63"/>
        <v>25000000</v>
      </c>
      <c r="FO51" s="468"/>
      <c r="FP51" s="468">
        <v>5000000</v>
      </c>
      <c r="FQ51" s="468">
        <v>0</v>
      </c>
      <c r="FR51" s="468">
        <f t="shared" si="66"/>
        <v>5000000</v>
      </c>
      <c r="FS51" s="468"/>
      <c r="FT51" s="468">
        <v>30000000</v>
      </c>
      <c r="FU51" s="468">
        <v>0</v>
      </c>
      <c r="FV51" s="468">
        <f t="shared" si="67"/>
        <v>30000000</v>
      </c>
      <c r="FW51" s="468"/>
      <c r="FX51" s="468">
        <v>4150000</v>
      </c>
      <c r="FY51" s="468">
        <v>0</v>
      </c>
      <c r="FZ51" s="468">
        <v>4150000</v>
      </c>
      <c r="GA51" s="468"/>
      <c r="GB51" s="468">
        <v>160000000</v>
      </c>
      <c r="GC51" s="468">
        <v>0</v>
      </c>
      <c r="GD51" s="468">
        <f t="shared" si="45"/>
        <v>160000000</v>
      </c>
      <c r="GE51" s="468"/>
      <c r="GF51" s="468">
        <v>25000000</v>
      </c>
      <c r="GG51" s="468">
        <v>0</v>
      </c>
      <c r="GH51" s="468">
        <f t="shared" si="46"/>
        <v>25000000</v>
      </c>
      <c r="GI51" s="468"/>
      <c r="GJ51" s="468">
        <v>5000000</v>
      </c>
      <c r="GK51" s="468">
        <v>0</v>
      </c>
      <c r="GL51" s="468">
        <f t="shared" si="47"/>
        <v>5000000</v>
      </c>
      <c r="GM51" s="468"/>
      <c r="GN51" s="468">
        <v>20000000</v>
      </c>
      <c r="GO51" s="468">
        <v>0</v>
      </c>
      <c r="GP51" s="468">
        <f t="shared" si="48"/>
        <v>20000000</v>
      </c>
      <c r="GQ51" s="468"/>
      <c r="GR51" s="468">
        <v>5000000</v>
      </c>
      <c r="GS51" s="468">
        <v>0</v>
      </c>
      <c r="GT51" s="468">
        <f t="shared" si="49"/>
        <v>5000000</v>
      </c>
      <c r="GU51" s="468"/>
      <c r="GV51" s="465">
        <f t="shared" si="50"/>
        <v>1873150000</v>
      </c>
      <c r="GW51" s="465">
        <f t="shared" si="50"/>
        <v>1328990599.04</v>
      </c>
      <c r="GX51" s="465">
        <f t="shared" si="51"/>
        <v>544159400.96000004</v>
      </c>
      <c r="GY51" s="470"/>
      <c r="GZ51" s="464"/>
      <c r="HA51" s="471">
        <f>D51+H51+L51+X51+AN51+BH51+CB51+CF51+CV51+DP51+DT51+EN51+FH51+GB51</f>
        <v>1340000000</v>
      </c>
      <c r="HB51" s="471">
        <f>E51+I51+M51+Y51+AO51+BI51+CC51+CG51+CW51+DQ51+DU51+EO51+FI51+GC51</f>
        <v>1112567962.0999999</v>
      </c>
      <c r="HC51" s="471">
        <f t="shared" si="52"/>
        <v>227432037.9000001</v>
      </c>
      <c r="HE51" s="471">
        <f>P51+AB51+AR51+
BL51+CJ51+CZ51+DX51+ER51+FL51+GF51</f>
        <v>154000000</v>
      </c>
      <c r="HF51" s="471">
        <f>Q51+AC51+AS51+
BM51+CK51+DA51+DY51+ES51+FM51+GG51</f>
        <v>24657786.939999998</v>
      </c>
      <c r="HG51" s="471">
        <f t="shared" si="53"/>
        <v>129342213.06</v>
      </c>
      <c r="HI51" s="471">
        <f>T51+AF51+AV51+BP51+CN51+DD51+EB51+EV51+FP51+GJ51</f>
        <v>65000000</v>
      </c>
      <c r="HJ51" s="471">
        <f>U51+AG51+AW51+BQ51+CO51+DE51+EC51+EW51+FQ51+GK51</f>
        <v>0</v>
      </c>
      <c r="HK51" s="471">
        <f t="shared" si="54"/>
        <v>65000000</v>
      </c>
      <c r="HM51" s="475">
        <f>AJ51+AZ51+BT51+CR51+DH51+EF51+EZ51+FT51+GN51</f>
        <v>270000000</v>
      </c>
      <c r="HN51" s="475">
        <f>AK51+BA51+BU51+CS51+DI51+EG51+FA51+FU51+GO51</f>
        <v>184364850</v>
      </c>
      <c r="HO51" s="475">
        <f t="shared" si="55"/>
        <v>85635150</v>
      </c>
      <c r="HP51" s="476"/>
      <c r="HR51" s="471">
        <f>BD51+BX51+DL51+EJ51+FD51+FX51+GR51</f>
        <v>44150000</v>
      </c>
      <c r="HS51" s="471">
        <f>BE51+BY51+DM51+EK51+FE51+FY51+GS51</f>
        <v>7400000</v>
      </c>
      <c r="HT51" s="471">
        <f t="shared" si="56"/>
        <v>36750000</v>
      </c>
    </row>
    <row r="52" spans="1:228" x14ac:dyDescent="0.25">
      <c r="A52" s="107">
        <v>47</v>
      </c>
      <c r="B52" s="107" t="s">
        <v>111</v>
      </c>
      <c r="C52" s="113" t="s">
        <v>61</v>
      </c>
      <c r="D52" s="465">
        <v>0</v>
      </c>
      <c r="E52" s="465">
        <v>0</v>
      </c>
      <c r="F52" s="465">
        <f t="shared" si="1"/>
        <v>0</v>
      </c>
      <c r="G52" s="465"/>
      <c r="H52" s="465">
        <v>50000000</v>
      </c>
      <c r="I52" s="465">
        <v>50000000</v>
      </c>
      <c r="J52" s="465">
        <f t="shared" si="2"/>
        <v>0</v>
      </c>
      <c r="K52" s="465"/>
      <c r="L52" s="465">
        <v>50000000</v>
      </c>
      <c r="M52" s="465">
        <v>50000000</v>
      </c>
      <c r="N52" s="465">
        <f t="shared" si="3"/>
        <v>0</v>
      </c>
      <c r="O52" s="465"/>
      <c r="P52" s="465">
        <v>7000000</v>
      </c>
      <c r="Q52" s="465">
        <f>7000000</f>
        <v>7000000</v>
      </c>
      <c r="R52" s="465">
        <f t="shared" si="4"/>
        <v>0</v>
      </c>
      <c r="S52" s="465"/>
      <c r="T52" s="465">
        <v>3000000</v>
      </c>
      <c r="U52" s="465">
        <f>3000000</f>
        <v>3000000</v>
      </c>
      <c r="V52" s="465">
        <f t="shared" si="5"/>
        <v>0</v>
      </c>
      <c r="W52" s="465"/>
      <c r="X52" s="465">
        <v>60000000</v>
      </c>
      <c r="Y52" s="465">
        <v>60000000</v>
      </c>
      <c r="Z52" s="465">
        <f t="shared" si="6"/>
        <v>0</v>
      </c>
      <c r="AA52" s="465"/>
      <c r="AB52" s="465">
        <v>6991400</v>
      </c>
      <c r="AC52" s="465">
        <f>6991400</f>
        <v>6991400</v>
      </c>
      <c r="AD52" s="465">
        <f t="shared" si="7"/>
        <v>0</v>
      </c>
      <c r="AE52" s="465"/>
      <c r="AF52" s="465">
        <v>4460000</v>
      </c>
      <c r="AG52" s="465">
        <f>3341000+1119000</f>
        <v>4460000</v>
      </c>
      <c r="AH52" s="465">
        <f t="shared" si="8"/>
        <v>0</v>
      </c>
      <c r="AI52" s="465"/>
      <c r="AJ52" s="465">
        <v>15000000</v>
      </c>
      <c r="AK52" s="465">
        <v>15000000</v>
      </c>
      <c r="AL52" s="465">
        <f t="shared" si="9"/>
        <v>0</v>
      </c>
      <c r="AM52" s="465"/>
      <c r="AN52" s="465">
        <v>80000000</v>
      </c>
      <c r="AO52" s="465">
        <f>10265598+25400825+7552500+17886315</f>
        <v>61105238</v>
      </c>
      <c r="AP52" s="465">
        <f t="shared" si="10"/>
        <v>18894762</v>
      </c>
      <c r="AQ52" s="465"/>
      <c r="AR52" s="465">
        <v>10000000</v>
      </c>
      <c r="AS52" s="465">
        <v>0</v>
      </c>
      <c r="AT52" s="465">
        <f t="shared" si="11"/>
        <v>10000000</v>
      </c>
      <c r="AU52" s="465"/>
      <c r="AV52" s="465">
        <v>5000000</v>
      </c>
      <c r="AW52" s="465">
        <v>0</v>
      </c>
      <c r="AX52" s="465">
        <f t="shared" si="12"/>
        <v>5000000</v>
      </c>
      <c r="AY52" s="465"/>
      <c r="AZ52" s="465">
        <v>20000000</v>
      </c>
      <c r="BA52" s="465">
        <v>20000000</v>
      </c>
      <c r="BB52" s="465">
        <f t="shared" si="13"/>
        <v>0</v>
      </c>
      <c r="BC52" s="465"/>
      <c r="BD52" s="465">
        <v>5000000</v>
      </c>
      <c r="BE52" s="465">
        <f>480000+4520000</f>
        <v>5000000</v>
      </c>
      <c r="BF52" s="465">
        <f t="shared" si="14"/>
        <v>0</v>
      </c>
      <c r="BG52" s="465"/>
      <c r="BH52" s="465">
        <v>130000000</v>
      </c>
      <c r="BI52" s="465">
        <f>60049175+69950825</f>
        <v>130000000</v>
      </c>
      <c r="BJ52" s="465">
        <f t="shared" si="15"/>
        <v>0</v>
      </c>
      <c r="BK52" s="465"/>
      <c r="BL52" s="465">
        <v>10000000</v>
      </c>
      <c r="BM52" s="465">
        <f>10000000</f>
        <v>10000000</v>
      </c>
      <c r="BN52" s="465">
        <f t="shared" si="16"/>
        <v>0</v>
      </c>
      <c r="BO52" s="465"/>
      <c r="BP52" s="465">
        <v>10000000</v>
      </c>
      <c r="BQ52" s="465">
        <v>68925</v>
      </c>
      <c r="BR52" s="465">
        <f t="shared" si="17"/>
        <v>9931075</v>
      </c>
      <c r="BS52" s="465"/>
      <c r="BT52" s="465">
        <v>40000000</v>
      </c>
      <c r="BU52" s="465">
        <f>5895687.25+12003600+21541780+558932.75</f>
        <v>40000000</v>
      </c>
      <c r="BV52" s="465">
        <f t="shared" si="18"/>
        <v>0</v>
      </c>
      <c r="BW52" s="465"/>
      <c r="BX52" s="465">
        <v>5000000</v>
      </c>
      <c r="BY52" s="465">
        <f>2720000+2280000</f>
        <v>5000000</v>
      </c>
      <c r="BZ52" s="465">
        <f t="shared" si="19"/>
        <v>0</v>
      </c>
      <c r="CA52" s="465"/>
      <c r="CB52" s="465">
        <v>0</v>
      </c>
      <c r="CC52" s="465">
        <v>0</v>
      </c>
      <c r="CD52" s="465">
        <f t="shared" si="20"/>
        <v>0</v>
      </c>
      <c r="CE52" s="465"/>
      <c r="CF52" s="465">
        <f t="shared" si="21"/>
        <v>140000000</v>
      </c>
      <c r="CG52" s="465">
        <f>124998956+15001044</f>
        <v>140000000</v>
      </c>
      <c r="CH52" s="465">
        <f t="shared" si="22"/>
        <v>0</v>
      </c>
      <c r="CI52" s="465"/>
      <c r="CJ52" s="465">
        <v>20000000</v>
      </c>
      <c r="CK52" s="465">
        <f>17997000+1000000</f>
        <v>18997000</v>
      </c>
      <c r="CL52" s="465">
        <f t="shared" si="23"/>
        <v>1003000</v>
      </c>
      <c r="CM52" s="465"/>
      <c r="CN52" s="465">
        <v>10000000</v>
      </c>
      <c r="CO52" s="465">
        <v>10000000</v>
      </c>
      <c r="CP52" s="465">
        <f t="shared" si="24"/>
        <v>0</v>
      </c>
      <c r="CQ52" s="465"/>
      <c r="CR52" s="465">
        <v>40000000</v>
      </c>
      <c r="CS52" s="465">
        <f>19214797.25+11757105+9028097.75</f>
        <v>40000000</v>
      </c>
      <c r="CT52" s="465">
        <f t="shared" si="25"/>
        <v>0</v>
      </c>
      <c r="CU52" s="465"/>
      <c r="CV52" s="465">
        <v>150000000</v>
      </c>
      <c r="CW52" s="465">
        <f>6676831+46984800+67450000+22380890+6507479</f>
        <v>150000000</v>
      </c>
      <c r="CX52" s="465">
        <f t="shared" si="26"/>
        <v>0</v>
      </c>
      <c r="CY52" s="465"/>
      <c r="CZ52" s="465">
        <v>20000000</v>
      </c>
      <c r="DA52" s="465">
        <v>20000000</v>
      </c>
      <c r="DB52" s="465">
        <f t="shared" si="27"/>
        <v>0</v>
      </c>
      <c r="DC52" s="465"/>
      <c r="DD52" s="465">
        <v>10000000</v>
      </c>
      <c r="DE52" s="465">
        <v>10000000</v>
      </c>
      <c r="DF52" s="465">
        <f t="shared" si="28"/>
        <v>0</v>
      </c>
      <c r="DG52" s="465"/>
      <c r="DH52" s="465">
        <v>50000000</v>
      </c>
      <c r="DI52" s="465">
        <f>15558642.25+27991585+4578720+1871052.75</f>
        <v>50000000</v>
      </c>
      <c r="DJ52" s="465">
        <f t="shared" si="29"/>
        <v>0</v>
      </c>
      <c r="DK52" s="465"/>
      <c r="DL52" s="465">
        <v>10000000</v>
      </c>
      <c r="DM52" s="478">
        <f>4131255+1929045+3939700</f>
        <v>10000000</v>
      </c>
      <c r="DN52" s="465">
        <f t="shared" si="30"/>
        <v>0</v>
      </c>
      <c r="DO52" s="465"/>
      <c r="DP52" s="465">
        <v>0</v>
      </c>
      <c r="DQ52" s="465">
        <v>0</v>
      </c>
      <c r="DR52" s="465">
        <f t="shared" si="31"/>
        <v>0</v>
      </c>
      <c r="DS52" s="465"/>
      <c r="DT52" s="465">
        <v>100000000</v>
      </c>
      <c r="DU52" s="465">
        <f>41100000+4500000+54400000</f>
        <v>100000000</v>
      </c>
      <c r="DV52" s="465">
        <f t="shared" si="32"/>
        <v>0</v>
      </c>
      <c r="DW52" s="465"/>
      <c r="DX52" s="465">
        <v>15000000</v>
      </c>
      <c r="DY52" s="465">
        <v>15000000</v>
      </c>
      <c r="DZ52" s="465">
        <f t="shared" si="33"/>
        <v>0</v>
      </c>
      <c r="EA52" s="465"/>
      <c r="EB52" s="465">
        <v>10000000</v>
      </c>
      <c r="EC52" s="465">
        <v>0</v>
      </c>
      <c r="ED52" s="465">
        <f t="shared" si="34"/>
        <v>10000000</v>
      </c>
      <c r="EE52" s="465"/>
      <c r="EF52" s="465">
        <v>25000000</v>
      </c>
      <c r="EG52" s="465">
        <f>3607802.25+2776500+9770511.75+4890450</f>
        <v>21045264</v>
      </c>
      <c r="EH52" s="465">
        <f t="shared" si="35"/>
        <v>3954736</v>
      </c>
      <c r="EI52" s="465"/>
      <c r="EJ52" s="465">
        <v>10000000</v>
      </c>
      <c r="EK52" s="478">
        <f>925700</f>
        <v>925700</v>
      </c>
      <c r="EL52" s="465">
        <f t="shared" si="36"/>
        <v>9074300</v>
      </c>
      <c r="EM52" s="465"/>
      <c r="EN52" s="465">
        <v>300000000</v>
      </c>
      <c r="EO52" s="483">
        <f>92997813.65+115038460.7+10592521-11673400+17491200.19</f>
        <v>224446595.54000002</v>
      </c>
      <c r="EP52" s="465">
        <f t="shared" si="37"/>
        <v>75553404.459999979</v>
      </c>
      <c r="EQ52" s="465"/>
      <c r="ER52" s="465">
        <v>25000000</v>
      </c>
      <c r="ES52" s="485">
        <f>18867999.6+6132000.4</f>
        <v>25000000</v>
      </c>
      <c r="ET52" s="465">
        <f t="shared" si="38"/>
        <v>0</v>
      </c>
      <c r="EU52" s="465"/>
      <c r="EV52" s="465">
        <v>10000000</v>
      </c>
      <c r="EW52" s="465">
        <v>0</v>
      </c>
      <c r="EX52" s="465">
        <f t="shared" si="39"/>
        <v>10000000</v>
      </c>
      <c r="EY52" s="465"/>
      <c r="EZ52" s="465">
        <v>30000000</v>
      </c>
      <c r="FA52" s="465">
        <f>4095245+6606700</f>
        <v>10701945</v>
      </c>
      <c r="FB52" s="465">
        <f t="shared" si="40"/>
        <v>19298055</v>
      </c>
      <c r="FC52" s="465"/>
      <c r="FD52" s="465">
        <v>5000000</v>
      </c>
      <c r="FE52" s="465">
        <v>0</v>
      </c>
      <c r="FF52" s="465">
        <f t="shared" si="41"/>
        <v>5000000</v>
      </c>
      <c r="FG52" s="465"/>
      <c r="FH52" s="468">
        <v>120000000</v>
      </c>
      <c r="FI52" s="463">
        <v>0</v>
      </c>
      <c r="FJ52" s="463">
        <f t="shared" si="0"/>
        <v>120000000</v>
      </c>
      <c r="FK52" s="468"/>
      <c r="FL52" s="468">
        <v>25000000</v>
      </c>
      <c r="FM52" s="504">
        <f>2491433</f>
        <v>2491433</v>
      </c>
      <c r="FN52" s="468">
        <f t="shared" si="63"/>
        <v>22508567</v>
      </c>
      <c r="FO52" s="468"/>
      <c r="FP52" s="468">
        <v>5000000</v>
      </c>
      <c r="FQ52" s="468">
        <v>0</v>
      </c>
      <c r="FR52" s="468">
        <f t="shared" si="66"/>
        <v>5000000</v>
      </c>
      <c r="FS52" s="468"/>
      <c r="FT52" s="468">
        <v>30000000</v>
      </c>
      <c r="FU52" s="468">
        <v>0</v>
      </c>
      <c r="FV52" s="468">
        <f t="shared" si="67"/>
        <v>30000000</v>
      </c>
      <c r="FW52" s="468"/>
      <c r="FX52" s="468">
        <v>4150000</v>
      </c>
      <c r="FY52" s="468">
        <v>0</v>
      </c>
      <c r="FZ52" s="468">
        <v>4150000</v>
      </c>
      <c r="GA52" s="468"/>
      <c r="GB52" s="468">
        <v>160000000</v>
      </c>
      <c r="GC52" s="468">
        <v>0</v>
      </c>
      <c r="GD52" s="468">
        <f t="shared" si="45"/>
        <v>160000000</v>
      </c>
      <c r="GE52" s="468"/>
      <c r="GF52" s="468">
        <v>25000000</v>
      </c>
      <c r="GG52" s="468">
        <v>0</v>
      </c>
      <c r="GH52" s="468">
        <f t="shared" si="46"/>
        <v>25000000</v>
      </c>
      <c r="GI52" s="468"/>
      <c r="GJ52" s="468">
        <v>5000000</v>
      </c>
      <c r="GK52" s="468">
        <v>0</v>
      </c>
      <c r="GL52" s="468">
        <f t="shared" si="47"/>
        <v>5000000</v>
      </c>
      <c r="GM52" s="468"/>
      <c r="GN52" s="468">
        <v>20000000</v>
      </c>
      <c r="GO52" s="468">
        <v>0</v>
      </c>
      <c r="GP52" s="468">
        <f t="shared" si="48"/>
        <v>20000000</v>
      </c>
      <c r="GQ52" s="468"/>
      <c r="GR52" s="468">
        <v>5000000</v>
      </c>
      <c r="GS52" s="468">
        <v>0</v>
      </c>
      <c r="GT52" s="468">
        <f t="shared" si="49"/>
        <v>5000000</v>
      </c>
      <c r="GU52" s="468"/>
      <c r="GV52" s="465">
        <f t="shared" si="50"/>
        <v>1890601400</v>
      </c>
      <c r="GW52" s="465">
        <f t="shared" si="50"/>
        <v>1316233500.54</v>
      </c>
      <c r="GX52" s="465">
        <f t="shared" si="51"/>
        <v>574367899.46000004</v>
      </c>
      <c r="GY52" s="470"/>
      <c r="GZ52" s="464"/>
      <c r="HA52" s="471">
        <f>D52+H52+L52+X52+AN52+BH52+CB52+CF52+CV52+DP52+DT52+EN52+FH52+GB52</f>
        <v>1340000000</v>
      </c>
      <c r="HB52" s="471">
        <f>E52+I52+M52+Y52+AO52+BI52+CC52+CG52+CW52+DQ52+DU52+EO52+FI52+GC52</f>
        <v>965551833.53999996</v>
      </c>
      <c r="HC52" s="471">
        <f t="shared" si="52"/>
        <v>374448166.46000004</v>
      </c>
      <c r="HE52" s="471">
        <f>P52+AB52+AR52+
BL52+CJ52+CZ52+DX52+ER52+FL52+GF52</f>
        <v>163991400</v>
      </c>
      <c r="HF52" s="471">
        <f>Q52+AC52+AS52+
BM52+CK52+DA52+DY52+ES52+FM52+GG52</f>
        <v>105479833</v>
      </c>
      <c r="HG52" s="471">
        <f t="shared" si="53"/>
        <v>58511567</v>
      </c>
      <c r="HI52" s="471">
        <f>T52+AF52+AV52+BP52+CN52+DD52+EB52+EV52+FP52+GJ52</f>
        <v>72460000</v>
      </c>
      <c r="HJ52" s="471">
        <f>U52+AG52+AW52+BQ52+CO52+DE52+EC52+EW52+FQ52+GK52</f>
        <v>27528925</v>
      </c>
      <c r="HK52" s="471">
        <f t="shared" si="54"/>
        <v>44931075</v>
      </c>
      <c r="HM52" s="475">
        <f>AJ52+AZ52+BT52+CR52+DH52+EF52+EZ52+FT52+GN52</f>
        <v>270000000</v>
      </c>
      <c r="HN52" s="475">
        <f>AK52+BA52+BU52+CS52+DI52+EG52+FA52+FU52+GO52</f>
        <v>196747209</v>
      </c>
      <c r="HO52" s="475">
        <f t="shared" si="55"/>
        <v>73252791</v>
      </c>
      <c r="HP52" s="476"/>
      <c r="HR52" s="471">
        <f>BD52+BX52+DL52+EJ52+FD52+FX52+GR52</f>
        <v>44150000</v>
      </c>
      <c r="HS52" s="471">
        <f>BE52+BY52+DM52+EK52+FE52+FY52+GS52</f>
        <v>20925700</v>
      </c>
      <c r="HT52" s="471">
        <f t="shared" si="56"/>
        <v>23224300</v>
      </c>
    </row>
    <row r="53" spans="1:228" x14ac:dyDescent="0.25">
      <c r="A53" s="107">
        <v>48</v>
      </c>
      <c r="B53" s="107" t="s">
        <v>112</v>
      </c>
      <c r="C53" s="113" t="s">
        <v>65</v>
      </c>
      <c r="D53" s="465">
        <v>0</v>
      </c>
      <c r="E53" s="465">
        <v>0</v>
      </c>
      <c r="F53" s="465">
        <f t="shared" si="1"/>
        <v>0</v>
      </c>
      <c r="G53" s="465"/>
      <c r="H53" s="465">
        <v>0</v>
      </c>
      <c r="I53" s="465">
        <v>0</v>
      </c>
      <c r="J53" s="465">
        <f t="shared" si="2"/>
        <v>0</v>
      </c>
      <c r="K53" s="465"/>
      <c r="L53" s="465">
        <v>0</v>
      </c>
      <c r="M53" s="465">
        <v>0</v>
      </c>
      <c r="N53" s="465">
        <f t="shared" si="3"/>
        <v>0</v>
      </c>
      <c r="O53" s="465"/>
      <c r="P53" s="465">
        <v>0</v>
      </c>
      <c r="Q53" s="465">
        <v>0</v>
      </c>
      <c r="R53" s="465">
        <f t="shared" si="4"/>
        <v>0</v>
      </c>
      <c r="S53" s="465"/>
      <c r="T53" s="465">
        <v>0</v>
      </c>
      <c r="U53" s="465">
        <v>0</v>
      </c>
      <c r="V53" s="465">
        <f t="shared" si="5"/>
        <v>0</v>
      </c>
      <c r="W53" s="465"/>
      <c r="X53" s="465">
        <v>0</v>
      </c>
      <c r="Y53" s="465">
        <f>0</f>
        <v>0</v>
      </c>
      <c r="Z53" s="465">
        <f t="shared" si="6"/>
        <v>0</v>
      </c>
      <c r="AA53" s="465"/>
      <c r="AB53" s="465">
        <v>0</v>
      </c>
      <c r="AC53" s="465">
        <v>0</v>
      </c>
      <c r="AD53" s="465">
        <f t="shared" si="7"/>
        <v>0</v>
      </c>
      <c r="AE53" s="465"/>
      <c r="AF53" s="465">
        <v>0</v>
      </c>
      <c r="AG53" s="465">
        <v>0</v>
      </c>
      <c r="AH53" s="465">
        <f t="shared" si="8"/>
        <v>0</v>
      </c>
      <c r="AI53" s="465"/>
      <c r="AJ53" s="465">
        <v>0</v>
      </c>
      <c r="AK53" s="465">
        <v>0</v>
      </c>
      <c r="AL53" s="465">
        <f t="shared" si="9"/>
        <v>0</v>
      </c>
      <c r="AM53" s="465"/>
      <c r="AN53" s="465">
        <v>80000000</v>
      </c>
      <c r="AO53" s="465">
        <f>74393800+5606200</f>
        <v>80000000</v>
      </c>
      <c r="AP53" s="465">
        <f t="shared" si="10"/>
        <v>0</v>
      </c>
      <c r="AQ53" s="465"/>
      <c r="AR53" s="465">
        <v>10000000</v>
      </c>
      <c r="AS53" s="465">
        <f>1225000+8720000</f>
        <v>9945000</v>
      </c>
      <c r="AT53" s="465">
        <f t="shared" si="11"/>
        <v>55000</v>
      </c>
      <c r="AU53" s="465"/>
      <c r="AV53" s="465">
        <v>5000000</v>
      </c>
      <c r="AW53" s="465">
        <v>0</v>
      </c>
      <c r="AX53" s="465">
        <f t="shared" si="12"/>
        <v>5000000</v>
      </c>
      <c r="AY53" s="465"/>
      <c r="AZ53" s="465">
        <v>20000000</v>
      </c>
      <c r="BA53" s="465">
        <f>10888869+3870550+5240581</f>
        <v>20000000</v>
      </c>
      <c r="BB53" s="465">
        <f t="shared" si="13"/>
        <v>0</v>
      </c>
      <c r="BC53" s="465"/>
      <c r="BD53" s="465">
        <v>5000000</v>
      </c>
      <c r="BE53" s="465">
        <f>0</f>
        <v>0</v>
      </c>
      <c r="BF53" s="465">
        <f t="shared" si="14"/>
        <v>5000000</v>
      </c>
      <c r="BG53" s="465"/>
      <c r="BH53" s="465">
        <v>130000000</v>
      </c>
      <c r="BI53" s="465">
        <f>127753350+1050000+1196650</f>
        <v>130000000</v>
      </c>
      <c r="BJ53" s="465">
        <f t="shared" si="15"/>
        <v>0</v>
      </c>
      <c r="BK53" s="465"/>
      <c r="BL53" s="465">
        <v>10000000</v>
      </c>
      <c r="BM53" s="465">
        <v>10000000</v>
      </c>
      <c r="BN53" s="465">
        <f t="shared" si="16"/>
        <v>0</v>
      </c>
      <c r="BO53" s="465"/>
      <c r="BP53" s="465">
        <v>10000000</v>
      </c>
      <c r="BQ53" s="465">
        <v>0</v>
      </c>
      <c r="BR53" s="465">
        <f t="shared" si="17"/>
        <v>10000000</v>
      </c>
      <c r="BS53" s="465"/>
      <c r="BT53" s="465">
        <v>40000000</v>
      </c>
      <c r="BU53" s="485">
        <f>11802025+5223210+13063030+4790073+1095000+4026662</f>
        <v>40000000</v>
      </c>
      <c r="BV53" s="465">
        <f t="shared" si="18"/>
        <v>0</v>
      </c>
      <c r="BW53" s="465"/>
      <c r="BX53" s="465">
        <v>5000000</v>
      </c>
      <c r="BY53" s="465">
        <v>0</v>
      </c>
      <c r="BZ53" s="465">
        <f t="shared" si="19"/>
        <v>5000000</v>
      </c>
      <c r="CA53" s="465"/>
      <c r="CB53" s="465">
        <v>0</v>
      </c>
      <c r="CC53" s="465">
        <v>0</v>
      </c>
      <c r="CD53" s="465">
        <f t="shared" si="20"/>
        <v>0</v>
      </c>
      <c r="CE53" s="465"/>
      <c r="CF53" s="465">
        <f t="shared" si="21"/>
        <v>140000000</v>
      </c>
      <c r="CG53" s="465">
        <f>18932675+121056000+11325</f>
        <v>140000000</v>
      </c>
      <c r="CH53" s="465">
        <f t="shared" si="22"/>
        <v>0</v>
      </c>
      <c r="CI53" s="465"/>
      <c r="CJ53" s="465">
        <v>20000000</v>
      </c>
      <c r="CK53" s="465">
        <f>4000000+3288000+6253897.35</f>
        <v>13541897.35</v>
      </c>
      <c r="CL53" s="465">
        <f t="shared" si="23"/>
        <v>6458102.6500000004</v>
      </c>
      <c r="CM53" s="465"/>
      <c r="CN53" s="465">
        <v>10000000</v>
      </c>
      <c r="CO53" s="465">
        <v>0</v>
      </c>
      <c r="CP53" s="465">
        <f t="shared" si="24"/>
        <v>10000000</v>
      </c>
      <c r="CQ53" s="465"/>
      <c r="CR53" s="465">
        <v>40000000</v>
      </c>
      <c r="CS53" s="485">
        <f>15000000+9411298+4724744+340930+357200+10165828</f>
        <v>40000000</v>
      </c>
      <c r="CT53" s="465">
        <f t="shared" si="25"/>
        <v>0</v>
      </c>
      <c r="CU53" s="465"/>
      <c r="CV53" s="465">
        <v>150000000</v>
      </c>
      <c r="CW53" s="465">
        <f>6756675+99624500+1400000+11140000+11656400+1119000+15050000-1400000+4653425</f>
        <v>150000000</v>
      </c>
      <c r="CX53" s="465">
        <f t="shared" si="26"/>
        <v>0</v>
      </c>
      <c r="CY53" s="465"/>
      <c r="CZ53" s="465">
        <v>20000000</v>
      </c>
      <c r="DA53" s="465">
        <v>0</v>
      </c>
      <c r="DB53" s="465">
        <f t="shared" si="27"/>
        <v>20000000</v>
      </c>
      <c r="DC53" s="465"/>
      <c r="DD53" s="465">
        <v>10000000</v>
      </c>
      <c r="DE53" s="465">
        <v>0</v>
      </c>
      <c r="DF53" s="465">
        <f t="shared" si="28"/>
        <v>10000000</v>
      </c>
      <c r="DG53" s="465"/>
      <c r="DH53" s="465">
        <v>50000000</v>
      </c>
      <c r="DI53" s="485">
        <f>6373948+1103162+428190+1076200+23202684+1522820</f>
        <v>33707004</v>
      </c>
      <c r="DJ53" s="465">
        <f t="shared" si="29"/>
        <v>16292996</v>
      </c>
      <c r="DK53" s="465"/>
      <c r="DL53" s="465">
        <v>10000000</v>
      </c>
      <c r="DM53" s="465">
        <v>0</v>
      </c>
      <c r="DN53" s="465">
        <f t="shared" si="30"/>
        <v>10000000</v>
      </c>
      <c r="DO53" s="465"/>
      <c r="DP53" s="465">
        <v>0</v>
      </c>
      <c r="DQ53" s="465">
        <v>0</v>
      </c>
      <c r="DR53" s="465">
        <f t="shared" si="31"/>
        <v>0</v>
      </c>
      <c r="DS53" s="465"/>
      <c r="DT53" s="465">
        <v>100000000</v>
      </c>
      <c r="DU53" s="465">
        <f>5659625+700000+82502500+3600000+7537875</f>
        <v>100000000</v>
      </c>
      <c r="DV53" s="465">
        <f t="shared" si="32"/>
        <v>0</v>
      </c>
      <c r="DW53" s="465"/>
      <c r="DX53" s="465">
        <v>15000000</v>
      </c>
      <c r="DY53" s="465">
        <v>0</v>
      </c>
      <c r="DZ53" s="465">
        <f t="shared" si="33"/>
        <v>15000000</v>
      </c>
      <c r="EA53" s="465"/>
      <c r="EB53" s="465">
        <v>10000000</v>
      </c>
      <c r="EC53" s="465">
        <v>0</v>
      </c>
      <c r="ED53" s="465">
        <f t="shared" si="34"/>
        <v>10000000</v>
      </c>
      <c r="EE53" s="465"/>
      <c r="EF53" s="465">
        <v>25000000</v>
      </c>
      <c r="EG53" s="484">
        <f>5136800+14238326+3449010.5+2175863.5</f>
        <v>25000000</v>
      </c>
      <c r="EH53" s="465">
        <f t="shared" si="35"/>
        <v>0</v>
      </c>
      <c r="EI53" s="465"/>
      <c r="EJ53" s="465">
        <v>10000000</v>
      </c>
      <c r="EK53" s="465">
        <v>0</v>
      </c>
      <c r="EL53" s="465">
        <f t="shared" si="36"/>
        <v>10000000</v>
      </c>
      <c r="EM53" s="465"/>
      <c r="EN53" s="465">
        <v>300000000</v>
      </c>
      <c r="EO53" s="485">
        <f>54041338.75+63947500+111541250+13500000+10602409.45+8100000</f>
        <v>261732498.19999999</v>
      </c>
      <c r="EP53" s="465">
        <f t="shared" si="37"/>
        <v>38267501.800000012</v>
      </c>
      <c r="EQ53" s="465"/>
      <c r="ER53" s="465">
        <v>25000000</v>
      </c>
      <c r="ES53" s="465">
        <v>0</v>
      </c>
      <c r="ET53" s="465">
        <f t="shared" si="38"/>
        <v>25000000</v>
      </c>
      <c r="EU53" s="465"/>
      <c r="EV53" s="465">
        <v>10000000</v>
      </c>
      <c r="EW53" s="465">
        <v>0</v>
      </c>
      <c r="EX53" s="465">
        <f t="shared" si="39"/>
        <v>10000000</v>
      </c>
      <c r="EY53" s="465"/>
      <c r="EZ53" s="465">
        <v>30000000</v>
      </c>
      <c r="FA53" s="484">
        <f>14309381.5</f>
        <v>14309381.5</v>
      </c>
      <c r="FB53" s="465">
        <f t="shared" si="40"/>
        <v>15690618.5</v>
      </c>
      <c r="FC53" s="465"/>
      <c r="FD53" s="465">
        <v>5000000</v>
      </c>
      <c r="FE53" s="465">
        <v>0</v>
      </c>
      <c r="FF53" s="465">
        <f t="shared" si="41"/>
        <v>5000000</v>
      </c>
      <c r="FG53" s="465"/>
      <c r="FH53" s="468">
        <v>120000000</v>
      </c>
      <c r="FI53" s="463">
        <v>0</v>
      </c>
      <c r="FJ53" s="463">
        <f t="shared" si="0"/>
        <v>120000000</v>
      </c>
      <c r="FK53" s="468"/>
      <c r="FL53" s="468">
        <v>25000000</v>
      </c>
      <c r="FM53" s="468">
        <v>0</v>
      </c>
      <c r="FN53" s="468">
        <f t="shared" si="63"/>
        <v>25000000</v>
      </c>
      <c r="FO53" s="468"/>
      <c r="FP53" s="468">
        <v>5000000</v>
      </c>
      <c r="FQ53" s="468">
        <v>0</v>
      </c>
      <c r="FR53" s="468">
        <f t="shared" si="66"/>
        <v>5000000</v>
      </c>
      <c r="FS53" s="468"/>
      <c r="FT53" s="468">
        <v>30000000</v>
      </c>
      <c r="FU53" s="468">
        <v>0</v>
      </c>
      <c r="FV53" s="468">
        <f t="shared" si="67"/>
        <v>30000000</v>
      </c>
      <c r="FW53" s="468"/>
      <c r="FX53" s="468">
        <v>4150000</v>
      </c>
      <c r="FY53" s="468">
        <v>0</v>
      </c>
      <c r="FZ53" s="468">
        <v>4150000</v>
      </c>
      <c r="GA53" s="468"/>
      <c r="GB53" s="468">
        <v>160000000</v>
      </c>
      <c r="GC53" s="468">
        <v>0</v>
      </c>
      <c r="GD53" s="468">
        <f t="shared" si="45"/>
        <v>160000000</v>
      </c>
      <c r="GE53" s="468"/>
      <c r="GF53" s="468">
        <v>25000000</v>
      </c>
      <c r="GG53" s="468">
        <v>0</v>
      </c>
      <c r="GH53" s="468">
        <f t="shared" si="46"/>
        <v>25000000</v>
      </c>
      <c r="GI53" s="468"/>
      <c r="GJ53" s="468">
        <v>5000000</v>
      </c>
      <c r="GK53" s="468">
        <v>0</v>
      </c>
      <c r="GL53" s="468">
        <f t="shared" si="47"/>
        <v>5000000</v>
      </c>
      <c r="GM53" s="468"/>
      <c r="GN53" s="468">
        <v>20000000</v>
      </c>
      <c r="GO53" s="468">
        <v>0</v>
      </c>
      <c r="GP53" s="468">
        <f t="shared" si="48"/>
        <v>20000000</v>
      </c>
      <c r="GQ53" s="468"/>
      <c r="GR53" s="468">
        <v>5000000</v>
      </c>
      <c r="GS53" s="468">
        <v>0</v>
      </c>
      <c r="GT53" s="468">
        <f t="shared" si="49"/>
        <v>5000000</v>
      </c>
      <c r="GU53" s="468"/>
      <c r="GV53" s="465">
        <f t="shared" si="50"/>
        <v>1694150000</v>
      </c>
      <c r="GW53" s="465">
        <f t="shared" si="50"/>
        <v>1068235781.05</v>
      </c>
      <c r="GX53" s="465">
        <f t="shared" si="51"/>
        <v>625914218.95000005</v>
      </c>
      <c r="GY53" s="470"/>
      <c r="GZ53" s="464"/>
      <c r="HA53" s="471">
        <f>D53+H53+L53+X53+AN53+BH53+CB53+CF53+CV53+DP53+DT53+EN53+FH53+GB53</f>
        <v>1180000000</v>
      </c>
      <c r="HB53" s="471">
        <f>E53+I53+M53+Y53+AO53+BI53+CC53+CG53+CW53+DQ53+DU53+EO53+FI53+GC53</f>
        <v>861732498.20000005</v>
      </c>
      <c r="HC53" s="471">
        <f t="shared" si="52"/>
        <v>318267501.79999995</v>
      </c>
      <c r="HE53" s="471">
        <f>P53+AB53+AR53+
BL53+CJ53+CZ53+DX53+ER53+FL53+GF53</f>
        <v>150000000</v>
      </c>
      <c r="HF53" s="471">
        <f>Q53+AC53+AS53+
BM53+CK53+DA53+DY53+ES53+FM53+GG53</f>
        <v>33486897.350000001</v>
      </c>
      <c r="HG53" s="471">
        <f t="shared" si="53"/>
        <v>116513102.65000001</v>
      </c>
      <c r="HI53" s="471">
        <f>T53+AF53+AV53+BP53+CN53+DD53+EB53+EV53+FP53+GJ53</f>
        <v>65000000</v>
      </c>
      <c r="HJ53" s="471">
        <f>U53+AG53+AW53+BQ53+CO53+DE53+EC53+EW53+FQ53+GK53</f>
        <v>0</v>
      </c>
      <c r="HK53" s="471">
        <f t="shared" si="54"/>
        <v>65000000</v>
      </c>
      <c r="HM53" s="475">
        <f>AJ53+AZ53+BT53+CR53+DH53+EF53+EZ53+FT53+GN53</f>
        <v>255000000</v>
      </c>
      <c r="HN53" s="475">
        <f>AK53+BA53+BU53+CS53+DI53+EG53+FA53+FU53+GO53</f>
        <v>173016385.5</v>
      </c>
      <c r="HO53" s="475">
        <f t="shared" si="55"/>
        <v>81983614.5</v>
      </c>
      <c r="HP53" s="476"/>
      <c r="HR53" s="471">
        <f>BD53+BX53+DL53+EJ53+FD53+FX53+GR53</f>
        <v>44150000</v>
      </c>
      <c r="HS53" s="471">
        <f>BE53+BY53+DM53+EK53+FE53+FY53+GS53</f>
        <v>0</v>
      </c>
      <c r="HT53" s="471">
        <f t="shared" si="56"/>
        <v>44150000</v>
      </c>
    </row>
    <row r="54" spans="1:228" x14ac:dyDescent="0.25">
      <c r="A54" s="107">
        <v>49</v>
      </c>
      <c r="B54" s="107" t="s">
        <v>113</v>
      </c>
      <c r="C54" s="113" t="s">
        <v>65</v>
      </c>
      <c r="D54" s="465">
        <v>0</v>
      </c>
      <c r="E54" s="465">
        <v>0</v>
      </c>
      <c r="F54" s="465">
        <f t="shared" si="1"/>
        <v>0</v>
      </c>
      <c r="G54" s="465"/>
      <c r="H54" s="465">
        <v>50000000</v>
      </c>
      <c r="I54" s="465">
        <v>50000000</v>
      </c>
      <c r="J54" s="465">
        <f t="shared" si="2"/>
        <v>0</v>
      </c>
      <c r="K54" s="465"/>
      <c r="L54" s="465">
        <v>50000000</v>
      </c>
      <c r="M54" s="465">
        <v>50000000</v>
      </c>
      <c r="N54" s="465">
        <f t="shared" si="3"/>
        <v>0</v>
      </c>
      <c r="O54" s="465"/>
      <c r="P54" s="465">
        <f>7000000-7000000</f>
        <v>0</v>
      </c>
      <c r="Q54" s="465">
        <v>0</v>
      </c>
      <c r="R54" s="465">
        <f t="shared" si="4"/>
        <v>0</v>
      </c>
      <c r="S54" s="465"/>
      <c r="T54" s="465">
        <f>3000000-3000000</f>
        <v>0</v>
      </c>
      <c r="U54" s="465">
        <v>0</v>
      </c>
      <c r="V54" s="465">
        <f t="shared" si="5"/>
        <v>0</v>
      </c>
      <c r="W54" s="465"/>
      <c r="X54" s="465">
        <v>60000000</v>
      </c>
      <c r="Y54" s="465">
        <v>60000000</v>
      </c>
      <c r="Z54" s="465">
        <f t="shared" si="6"/>
        <v>0</v>
      </c>
      <c r="AA54" s="465"/>
      <c r="AB54" s="465">
        <v>1509900</v>
      </c>
      <c r="AC54" s="465">
        <v>1509900</v>
      </c>
      <c r="AD54" s="465">
        <f t="shared" si="7"/>
        <v>0</v>
      </c>
      <c r="AE54" s="465"/>
      <c r="AF54" s="465">
        <f>5000000-5000000</f>
        <v>0</v>
      </c>
      <c r="AG54" s="465">
        <v>0</v>
      </c>
      <c r="AH54" s="465">
        <f t="shared" si="8"/>
        <v>0</v>
      </c>
      <c r="AI54" s="465"/>
      <c r="AJ54" s="465">
        <v>15000000</v>
      </c>
      <c r="AK54" s="465">
        <v>15000000</v>
      </c>
      <c r="AL54" s="465">
        <f t="shared" si="9"/>
        <v>0</v>
      </c>
      <c r="AM54" s="465"/>
      <c r="AN54" s="465">
        <v>80000000</v>
      </c>
      <c r="AO54" s="465">
        <v>80000000</v>
      </c>
      <c r="AP54" s="465">
        <f t="shared" si="10"/>
        <v>0</v>
      </c>
      <c r="AQ54" s="465"/>
      <c r="AR54" s="465">
        <v>10000000</v>
      </c>
      <c r="AS54" s="465">
        <v>0</v>
      </c>
      <c r="AT54" s="465">
        <f t="shared" si="11"/>
        <v>10000000</v>
      </c>
      <c r="AU54" s="465"/>
      <c r="AV54" s="465">
        <v>5000000</v>
      </c>
      <c r="AW54" s="465">
        <v>0</v>
      </c>
      <c r="AX54" s="465">
        <f t="shared" si="12"/>
        <v>5000000</v>
      </c>
      <c r="AY54" s="465"/>
      <c r="AZ54" s="465">
        <v>20000000</v>
      </c>
      <c r="BA54" s="465">
        <v>20000000</v>
      </c>
      <c r="BB54" s="465">
        <f t="shared" si="13"/>
        <v>0</v>
      </c>
      <c r="BC54" s="465"/>
      <c r="BD54" s="465">
        <v>5000000</v>
      </c>
      <c r="BE54" s="465">
        <f>0</f>
        <v>0</v>
      </c>
      <c r="BF54" s="465">
        <f t="shared" si="14"/>
        <v>5000000</v>
      </c>
      <c r="BG54" s="465"/>
      <c r="BH54" s="465">
        <v>130000000</v>
      </c>
      <c r="BI54" s="465">
        <f>16056350+67856100+41863900+4223650-4223650+4223650</f>
        <v>130000000</v>
      </c>
      <c r="BJ54" s="465">
        <f t="shared" si="15"/>
        <v>0</v>
      </c>
      <c r="BK54" s="465"/>
      <c r="BL54" s="465">
        <v>10000000</v>
      </c>
      <c r="BM54" s="465">
        <v>0</v>
      </c>
      <c r="BN54" s="465">
        <f t="shared" si="16"/>
        <v>10000000</v>
      </c>
      <c r="BO54" s="465"/>
      <c r="BP54" s="465">
        <v>10000000</v>
      </c>
      <c r="BQ54" s="465">
        <v>0</v>
      </c>
      <c r="BR54" s="465">
        <f t="shared" si="17"/>
        <v>10000000</v>
      </c>
      <c r="BS54" s="465"/>
      <c r="BT54" s="465">
        <v>40000000</v>
      </c>
      <c r="BU54" s="465">
        <f>20007806+843440+8030000+10401690+717064</f>
        <v>40000000</v>
      </c>
      <c r="BV54" s="465">
        <f t="shared" si="18"/>
        <v>0</v>
      </c>
      <c r="BW54" s="465"/>
      <c r="BX54" s="465">
        <v>5000000</v>
      </c>
      <c r="BY54" s="465">
        <v>0</v>
      </c>
      <c r="BZ54" s="465">
        <f t="shared" si="19"/>
        <v>5000000</v>
      </c>
      <c r="CA54" s="465"/>
      <c r="CB54" s="465">
        <v>0</v>
      </c>
      <c r="CC54" s="465">
        <v>0</v>
      </c>
      <c r="CD54" s="465">
        <f t="shared" si="20"/>
        <v>0</v>
      </c>
      <c r="CE54" s="465"/>
      <c r="CF54" s="465">
        <f t="shared" si="21"/>
        <v>140000000</v>
      </c>
      <c r="CG54" s="465">
        <f>87042950+52957050-87042950+87042950</f>
        <v>140000000</v>
      </c>
      <c r="CH54" s="465">
        <f t="shared" si="22"/>
        <v>0</v>
      </c>
      <c r="CI54" s="465"/>
      <c r="CJ54" s="465">
        <v>20000000</v>
      </c>
      <c r="CK54" s="465">
        <v>0</v>
      </c>
      <c r="CL54" s="465">
        <f t="shared" si="23"/>
        <v>20000000</v>
      </c>
      <c r="CM54" s="465"/>
      <c r="CN54" s="465">
        <v>10000000</v>
      </c>
      <c r="CO54" s="465">
        <v>0</v>
      </c>
      <c r="CP54" s="465">
        <f t="shared" si="24"/>
        <v>10000000</v>
      </c>
      <c r="CQ54" s="465"/>
      <c r="CR54" s="465">
        <v>40000000</v>
      </c>
      <c r="CS54" s="465">
        <f>19985531+22107210+1656885-3749626</f>
        <v>40000000</v>
      </c>
      <c r="CT54" s="465">
        <f t="shared" si="25"/>
        <v>0</v>
      </c>
      <c r="CU54" s="465"/>
      <c r="CV54" s="465">
        <v>150000000</v>
      </c>
      <c r="CW54" s="465">
        <f>85473736+63045665+1480599</f>
        <v>150000000</v>
      </c>
      <c r="CX54" s="465">
        <f t="shared" si="26"/>
        <v>0</v>
      </c>
      <c r="CY54" s="465"/>
      <c r="CZ54" s="465">
        <v>20000000</v>
      </c>
      <c r="DA54" s="465">
        <v>0</v>
      </c>
      <c r="DB54" s="465">
        <f t="shared" si="27"/>
        <v>20000000</v>
      </c>
      <c r="DC54" s="465"/>
      <c r="DD54" s="465">
        <v>10000000</v>
      </c>
      <c r="DE54" s="465">
        <v>0</v>
      </c>
      <c r="DF54" s="465">
        <f t="shared" si="28"/>
        <v>10000000</v>
      </c>
      <c r="DG54" s="465"/>
      <c r="DH54" s="465">
        <v>50000000</v>
      </c>
      <c r="DI54" s="465">
        <f>3749626+5390593+24846372+5872336+10141073</f>
        <v>50000000</v>
      </c>
      <c r="DJ54" s="465">
        <f t="shared" si="29"/>
        <v>0</v>
      </c>
      <c r="DK54" s="465"/>
      <c r="DL54" s="465">
        <v>10000000</v>
      </c>
      <c r="DM54" s="465">
        <v>0</v>
      </c>
      <c r="DN54" s="465">
        <f t="shared" si="30"/>
        <v>10000000</v>
      </c>
      <c r="DO54" s="465"/>
      <c r="DP54" s="465">
        <v>0</v>
      </c>
      <c r="DQ54" s="465">
        <v>0</v>
      </c>
      <c r="DR54" s="465">
        <f t="shared" si="31"/>
        <v>0</v>
      </c>
      <c r="DS54" s="465"/>
      <c r="DT54" s="465">
        <v>100000000</v>
      </c>
      <c r="DU54" s="483">
        <f>28519401+71480599</f>
        <v>100000000</v>
      </c>
      <c r="DV54" s="465">
        <f t="shared" si="32"/>
        <v>0</v>
      </c>
      <c r="DW54" s="465"/>
      <c r="DX54" s="465">
        <v>15000000</v>
      </c>
      <c r="DY54" s="465">
        <v>0</v>
      </c>
      <c r="DZ54" s="465">
        <f t="shared" si="33"/>
        <v>15000000</v>
      </c>
      <c r="EA54" s="465"/>
      <c r="EB54" s="465">
        <v>10000000</v>
      </c>
      <c r="EC54" s="465">
        <v>0</v>
      </c>
      <c r="ED54" s="465">
        <f t="shared" si="34"/>
        <v>10000000</v>
      </c>
      <c r="EE54" s="465"/>
      <c r="EF54" s="465">
        <v>25000000</v>
      </c>
      <c r="EG54" s="483">
        <f>1384862+4306880+4392585+3730825+476000</f>
        <v>14291152</v>
      </c>
      <c r="EH54" s="465">
        <f t="shared" si="35"/>
        <v>10708848</v>
      </c>
      <c r="EI54" s="465"/>
      <c r="EJ54" s="465">
        <v>10000000</v>
      </c>
      <c r="EK54" s="465">
        <v>0</v>
      </c>
      <c r="EL54" s="465">
        <f t="shared" si="36"/>
        <v>10000000</v>
      </c>
      <c r="EM54" s="465"/>
      <c r="EN54" s="465">
        <v>300000000</v>
      </c>
      <c r="EO54" s="483">
        <f>113981907.7</f>
        <v>113981907.7</v>
      </c>
      <c r="EP54" s="465">
        <f t="shared" si="37"/>
        <v>186018092.30000001</v>
      </c>
      <c r="EQ54" s="465"/>
      <c r="ER54" s="465">
        <v>25000000</v>
      </c>
      <c r="ES54" s="465">
        <v>0</v>
      </c>
      <c r="ET54" s="465">
        <f t="shared" si="38"/>
        <v>25000000</v>
      </c>
      <c r="EU54" s="465"/>
      <c r="EV54" s="465">
        <v>10000000</v>
      </c>
      <c r="EW54" s="465">
        <v>0</v>
      </c>
      <c r="EX54" s="465">
        <f t="shared" si="39"/>
        <v>10000000</v>
      </c>
      <c r="EY54" s="465"/>
      <c r="EZ54" s="465">
        <v>30000000</v>
      </c>
      <c r="FA54" s="487">
        <f>3655800+4907800</f>
        <v>8563600</v>
      </c>
      <c r="FB54" s="465">
        <f t="shared" si="40"/>
        <v>21436400</v>
      </c>
      <c r="FC54" s="465"/>
      <c r="FD54" s="465">
        <v>5000000</v>
      </c>
      <c r="FE54" s="465">
        <v>0</v>
      </c>
      <c r="FF54" s="465">
        <f t="shared" si="41"/>
        <v>5000000</v>
      </c>
      <c r="FG54" s="465"/>
      <c r="FH54" s="468">
        <v>120000000</v>
      </c>
      <c r="FI54" s="463">
        <v>0</v>
      </c>
      <c r="FJ54" s="463">
        <f t="shared" si="0"/>
        <v>120000000</v>
      </c>
      <c r="FK54" s="468"/>
      <c r="FL54" s="468">
        <v>25000000</v>
      </c>
      <c r="FM54" s="468">
        <v>0</v>
      </c>
      <c r="FN54" s="468">
        <f t="shared" si="63"/>
        <v>25000000</v>
      </c>
      <c r="FO54" s="468"/>
      <c r="FP54" s="468">
        <v>5000000</v>
      </c>
      <c r="FQ54" s="468">
        <v>0</v>
      </c>
      <c r="FR54" s="468">
        <f t="shared" si="66"/>
        <v>5000000</v>
      </c>
      <c r="FS54" s="468"/>
      <c r="FT54" s="468">
        <v>30000000</v>
      </c>
      <c r="FU54" s="468">
        <v>0</v>
      </c>
      <c r="FV54" s="468">
        <f t="shared" si="67"/>
        <v>30000000</v>
      </c>
      <c r="FW54" s="468"/>
      <c r="FX54" s="468">
        <v>4150000</v>
      </c>
      <c r="FY54" s="468">
        <v>0</v>
      </c>
      <c r="FZ54" s="468">
        <v>4150000</v>
      </c>
      <c r="GA54" s="468"/>
      <c r="GB54" s="468">
        <v>160000000</v>
      </c>
      <c r="GC54" s="468">
        <v>0</v>
      </c>
      <c r="GD54" s="468">
        <f t="shared" si="45"/>
        <v>160000000</v>
      </c>
      <c r="GE54" s="468"/>
      <c r="GF54" s="468">
        <v>25000000</v>
      </c>
      <c r="GG54" s="468">
        <v>0</v>
      </c>
      <c r="GH54" s="468">
        <f t="shared" si="46"/>
        <v>25000000</v>
      </c>
      <c r="GI54" s="468"/>
      <c r="GJ54" s="468">
        <v>5000000</v>
      </c>
      <c r="GK54" s="468">
        <v>0</v>
      </c>
      <c r="GL54" s="468">
        <f t="shared" si="47"/>
        <v>5000000</v>
      </c>
      <c r="GM54" s="468"/>
      <c r="GN54" s="468">
        <v>20000000</v>
      </c>
      <c r="GO54" s="468">
        <v>0</v>
      </c>
      <c r="GP54" s="468">
        <f>GN54-GO54</f>
        <v>20000000</v>
      </c>
      <c r="GQ54" s="468"/>
      <c r="GR54" s="468">
        <v>5000000</v>
      </c>
      <c r="GS54" s="468">
        <v>0</v>
      </c>
      <c r="GT54" s="468">
        <f t="shared" si="49"/>
        <v>5000000</v>
      </c>
      <c r="GU54" s="468"/>
      <c r="GV54" s="465">
        <f t="shared" si="50"/>
        <v>1870659900</v>
      </c>
      <c r="GW54" s="465">
        <f t="shared" si="50"/>
        <v>1063346559.7</v>
      </c>
      <c r="GX54" s="465">
        <f t="shared" si="51"/>
        <v>807313340.29999995</v>
      </c>
      <c r="GY54" s="470"/>
      <c r="GZ54" s="464"/>
      <c r="HA54" s="471">
        <f>D54+H54+L54+X54+AN54+BH54+CB54+CF54+CV54+DP54+DT54+EN54+FH54+GB54</f>
        <v>1340000000</v>
      </c>
      <c r="HB54" s="471">
        <f>E54+I54+M54+Y54+AO54+BI54+CC54+CG54+CW54+DQ54+DU54+EO54+FI54+GC54</f>
        <v>873981907.70000005</v>
      </c>
      <c r="HC54" s="471">
        <f t="shared" si="52"/>
        <v>466018092.29999995</v>
      </c>
      <c r="HE54" s="471">
        <f>P54+AB54+AR54+
BL54+CJ54+CZ54+DX54+ER54+FL54+GF54</f>
        <v>151509900</v>
      </c>
      <c r="HF54" s="471">
        <f>Q54+AC54+AS54+
BM54+CK54+DA54+DY54+ES54+FM54+GG54</f>
        <v>1509900</v>
      </c>
      <c r="HG54" s="471">
        <f t="shared" si="53"/>
        <v>150000000</v>
      </c>
      <c r="HI54" s="471">
        <f>T54+AF54+AV54+BP54+CN54+DD54+EB54+EV54+FP54+GJ54</f>
        <v>65000000</v>
      </c>
      <c r="HJ54" s="471">
        <f>U54+AG54+AW54+BQ54+CO54+DE54+EC54+EW54+FQ54+GK54</f>
        <v>0</v>
      </c>
      <c r="HK54" s="471">
        <f t="shared" si="54"/>
        <v>65000000</v>
      </c>
      <c r="HM54" s="475">
        <f>AJ54+AZ54+BT54+CR54+DH54+EF54+EZ54+FT54+GN54</f>
        <v>270000000</v>
      </c>
      <c r="HN54" s="475">
        <f>AK54+BA54+BU54+CS54+DI54+EG54+FA54+FU54+GO54</f>
        <v>187854752</v>
      </c>
      <c r="HO54" s="475">
        <f t="shared" si="55"/>
        <v>82145248</v>
      </c>
      <c r="HP54" s="476"/>
      <c r="HR54" s="471">
        <f>BD54+BX54+DL54+EJ54+FD54+FX54+GR54</f>
        <v>44150000</v>
      </c>
      <c r="HS54" s="471">
        <f>BE54+BY54+DM54+EK54+FE54+FY54+GS54</f>
        <v>0</v>
      </c>
      <c r="HT54" s="471">
        <f t="shared" si="56"/>
        <v>44150000</v>
      </c>
    </row>
    <row r="55" spans="1:228" x14ac:dyDescent="0.25">
      <c r="A55" s="107">
        <v>50</v>
      </c>
      <c r="B55" s="107" t="s">
        <v>114</v>
      </c>
      <c r="C55" s="113"/>
      <c r="D55" s="465">
        <v>0</v>
      </c>
      <c r="E55" s="465">
        <v>0</v>
      </c>
      <c r="F55" s="465">
        <f t="shared" si="1"/>
        <v>0</v>
      </c>
      <c r="G55" s="465"/>
      <c r="H55" s="465">
        <v>45416939</v>
      </c>
      <c r="I55" s="465">
        <f>30791875+14625064</f>
        <v>45416939</v>
      </c>
      <c r="J55" s="465">
        <f t="shared" si="2"/>
        <v>0</v>
      </c>
      <c r="K55" s="465"/>
      <c r="L55" s="465">
        <v>50000000</v>
      </c>
      <c r="M55" s="465">
        <v>50000000</v>
      </c>
      <c r="N55" s="465">
        <f t="shared" si="3"/>
        <v>0</v>
      </c>
      <c r="O55" s="465"/>
      <c r="P55" s="465">
        <f>7000000-7000000</f>
        <v>0</v>
      </c>
      <c r="Q55" s="465">
        <v>0</v>
      </c>
      <c r="R55" s="465">
        <f t="shared" si="4"/>
        <v>0</v>
      </c>
      <c r="S55" s="465"/>
      <c r="T55" s="465">
        <f>3000000-3000000</f>
        <v>0</v>
      </c>
      <c r="U55" s="465">
        <v>0</v>
      </c>
      <c r="V55" s="465">
        <f t="shared" si="5"/>
        <v>0</v>
      </c>
      <c r="W55" s="465"/>
      <c r="X55" s="465">
        <v>0</v>
      </c>
      <c r="Y55" s="465">
        <v>0</v>
      </c>
      <c r="Z55" s="465">
        <f t="shared" si="6"/>
        <v>0</v>
      </c>
      <c r="AA55" s="465"/>
      <c r="AB55" s="465">
        <v>0</v>
      </c>
      <c r="AC55" s="465">
        <v>0</v>
      </c>
      <c r="AD55" s="465">
        <f t="shared" si="7"/>
        <v>0</v>
      </c>
      <c r="AE55" s="465"/>
      <c r="AF55" s="465">
        <v>0</v>
      </c>
      <c r="AG55" s="465">
        <v>0</v>
      </c>
      <c r="AH55" s="465">
        <f t="shared" si="8"/>
        <v>0</v>
      </c>
      <c r="AI55" s="465"/>
      <c r="AJ55" s="465">
        <v>0</v>
      </c>
      <c r="AK55" s="465">
        <v>0</v>
      </c>
      <c r="AL55" s="465">
        <f t="shared" si="9"/>
        <v>0</v>
      </c>
      <c r="AN55" s="465">
        <v>0</v>
      </c>
      <c r="AO55" s="505">
        <v>0</v>
      </c>
      <c r="AP55" s="465">
        <f t="shared" si="10"/>
        <v>0</v>
      </c>
      <c r="AQ55" s="465"/>
      <c r="AR55" s="465">
        <v>0</v>
      </c>
      <c r="AS55" s="491">
        <v>0</v>
      </c>
      <c r="AT55" s="465">
        <f t="shared" si="11"/>
        <v>0</v>
      </c>
      <c r="AU55" s="465"/>
      <c r="AV55" s="465">
        <v>0</v>
      </c>
      <c r="AW55" s="505">
        <v>0</v>
      </c>
      <c r="AX55" s="465">
        <f t="shared" si="12"/>
        <v>0</v>
      </c>
      <c r="AY55" s="465"/>
      <c r="AZ55" s="465">
        <v>0</v>
      </c>
      <c r="BA55" s="505">
        <v>0</v>
      </c>
      <c r="BB55" s="465">
        <f t="shared" si="13"/>
        <v>0</v>
      </c>
      <c r="BC55" s="465"/>
      <c r="BD55" s="465">
        <f>0</f>
        <v>0</v>
      </c>
      <c r="BE55" s="465">
        <f>0</f>
        <v>0</v>
      </c>
      <c r="BF55" s="465">
        <f t="shared" si="14"/>
        <v>0</v>
      </c>
      <c r="BG55" s="465"/>
      <c r="BH55" s="465">
        <v>0</v>
      </c>
      <c r="BI55" s="465">
        <v>0</v>
      </c>
      <c r="BJ55" s="465">
        <f t="shared" si="15"/>
        <v>0</v>
      </c>
      <c r="BK55" s="465"/>
      <c r="BL55" s="465">
        <v>0</v>
      </c>
      <c r="BM55" s="465">
        <v>0</v>
      </c>
      <c r="BN55" s="465">
        <f t="shared" si="16"/>
        <v>0</v>
      </c>
      <c r="BO55" s="465"/>
      <c r="BP55" s="465">
        <v>0</v>
      </c>
      <c r="BQ55" s="465">
        <v>0</v>
      </c>
      <c r="BR55" s="465">
        <f t="shared" si="17"/>
        <v>0</v>
      </c>
      <c r="BS55" s="465"/>
      <c r="BT55" s="465">
        <v>0</v>
      </c>
      <c r="BU55" s="465">
        <v>0</v>
      </c>
      <c r="BV55" s="465">
        <f t="shared" si="18"/>
        <v>0</v>
      </c>
      <c r="BW55" s="465"/>
      <c r="BX55" s="465">
        <v>0</v>
      </c>
      <c r="BY55" s="465">
        <v>0</v>
      </c>
      <c r="BZ55" s="465">
        <f t="shared" si="19"/>
        <v>0</v>
      </c>
      <c r="CA55" s="465"/>
      <c r="CB55" s="465">
        <v>0</v>
      </c>
      <c r="CC55" s="465">
        <v>0</v>
      </c>
      <c r="CD55" s="465">
        <f t="shared" si="20"/>
        <v>0</v>
      </c>
      <c r="CE55" s="465"/>
      <c r="CF55" s="465">
        <f t="shared" si="21"/>
        <v>140000000</v>
      </c>
      <c r="CG55" s="461">
        <f>10650000+1050000+48032050+22650000+13254000+26223040+3600000+12750000-48032050+49822960</f>
        <v>140000000</v>
      </c>
      <c r="CH55" s="465">
        <f t="shared" si="22"/>
        <v>0</v>
      </c>
      <c r="CI55" s="465"/>
      <c r="CJ55" s="465">
        <v>20000000</v>
      </c>
      <c r="CK55" s="465">
        <v>17572650</v>
      </c>
      <c r="CL55" s="465">
        <f t="shared" si="23"/>
        <v>2427350</v>
      </c>
      <c r="CM55" s="465"/>
      <c r="CN55" s="465">
        <v>10000000</v>
      </c>
      <c r="CO55" s="465">
        <v>0</v>
      </c>
      <c r="CP55" s="465">
        <f t="shared" si="24"/>
        <v>10000000</v>
      </c>
      <c r="CQ55" s="465"/>
      <c r="CR55" s="465">
        <v>40000000</v>
      </c>
      <c r="CS55" s="465">
        <f>16500000+23499918</f>
        <v>39999918</v>
      </c>
      <c r="CT55" s="465">
        <f t="shared" si="25"/>
        <v>82</v>
      </c>
      <c r="CU55" s="465"/>
      <c r="CV55" s="465">
        <v>0</v>
      </c>
      <c r="CW55" s="465">
        <v>0</v>
      </c>
      <c r="CX55" s="465">
        <f t="shared" si="26"/>
        <v>0</v>
      </c>
      <c r="CY55" s="488"/>
      <c r="CZ55" s="465">
        <v>0</v>
      </c>
      <c r="DA55" s="465">
        <v>0</v>
      </c>
      <c r="DB55" s="465">
        <f t="shared" si="27"/>
        <v>0</v>
      </c>
      <c r="DC55" s="465"/>
      <c r="DD55" s="465">
        <v>0</v>
      </c>
      <c r="DE55" s="465">
        <v>0</v>
      </c>
      <c r="DF55" s="465">
        <f t="shared" si="28"/>
        <v>0</v>
      </c>
      <c r="DG55" s="488"/>
      <c r="DH55" s="465">
        <v>0</v>
      </c>
      <c r="DI55" s="465">
        <v>0</v>
      </c>
      <c r="DJ55" s="465">
        <f t="shared" si="29"/>
        <v>0</v>
      </c>
      <c r="DK55" s="465"/>
      <c r="DL55" s="465">
        <v>0</v>
      </c>
      <c r="DM55" s="465">
        <v>0</v>
      </c>
      <c r="DN55" s="465">
        <f t="shared" si="30"/>
        <v>0</v>
      </c>
      <c r="DO55" s="465"/>
      <c r="DP55" s="465">
        <v>0</v>
      </c>
      <c r="DQ55" s="465">
        <v>0</v>
      </c>
      <c r="DR55" s="465">
        <f t="shared" si="31"/>
        <v>0</v>
      </c>
      <c r="DS55" s="465"/>
      <c r="DT55" s="465">
        <v>100000000</v>
      </c>
      <c r="DU55" s="467">
        <f>62468050+17100000+2699040+17732910</f>
        <v>100000000</v>
      </c>
      <c r="DV55" s="465">
        <f t="shared" si="32"/>
        <v>0</v>
      </c>
      <c r="DW55" s="465"/>
      <c r="DX55" s="465">
        <v>15000000</v>
      </c>
      <c r="DY55" s="465">
        <v>0</v>
      </c>
      <c r="DZ55" s="465">
        <f t="shared" si="33"/>
        <v>15000000</v>
      </c>
      <c r="EA55" s="465"/>
      <c r="EB55" s="465">
        <v>10000000</v>
      </c>
      <c r="EC55" s="465">
        <v>0</v>
      </c>
      <c r="ED55" s="465">
        <f t="shared" si="34"/>
        <v>10000000</v>
      </c>
      <c r="EE55" s="465"/>
      <c r="EF55" s="465">
        <v>25000000</v>
      </c>
      <c r="EG55" s="467">
        <f>5830380+14066675</f>
        <v>19897055</v>
      </c>
      <c r="EH55" s="465">
        <f t="shared" si="35"/>
        <v>5102945</v>
      </c>
      <c r="EI55" s="465"/>
      <c r="EJ55" s="465">
        <v>10000000</v>
      </c>
      <c r="EK55" s="465">
        <v>0</v>
      </c>
      <c r="EL55" s="465">
        <f t="shared" si="36"/>
        <v>10000000</v>
      </c>
      <c r="EM55" s="465"/>
      <c r="EN55" s="465"/>
      <c r="EO55" s="465">
        <v>0</v>
      </c>
      <c r="EP55" s="465">
        <f t="shared" si="37"/>
        <v>0</v>
      </c>
      <c r="EQ55" s="465"/>
      <c r="ER55" s="465"/>
      <c r="ES55" s="465">
        <v>0</v>
      </c>
      <c r="ET55" s="465">
        <f t="shared" si="38"/>
        <v>0</v>
      </c>
      <c r="EU55" s="465"/>
      <c r="EV55" s="465"/>
      <c r="EW55" s="465">
        <v>0</v>
      </c>
      <c r="EX55" s="465">
        <f>EV55-EW55</f>
        <v>0</v>
      </c>
      <c r="EY55" s="465"/>
      <c r="EZ55" s="465"/>
      <c r="FA55" s="465">
        <v>0</v>
      </c>
      <c r="FB55" s="465">
        <f t="shared" si="40"/>
        <v>0</v>
      </c>
      <c r="FC55" s="465"/>
      <c r="FD55" s="465"/>
      <c r="FE55" s="465">
        <v>0</v>
      </c>
      <c r="FF55" s="465">
        <f t="shared" si="41"/>
        <v>0</v>
      </c>
      <c r="FG55" s="465"/>
      <c r="FH55" s="468">
        <v>120000000</v>
      </c>
      <c r="FI55" s="506">
        <f>5967090</f>
        <v>5967090</v>
      </c>
      <c r="FJ55" s="463">
        <f t="shared" si="0"/>
        <v>114032910</v>
      </c>
      <c r="FK55" s="468"/>
      <c r="FL55" s="468">
        <v>25000000</v>
      </c>
      <c r="FM55" s="468">
        <v>0</v>
      </c>
      <c r="FN55" s="468">
        <f t="shared" si="63"/>
        <v>25000000</v>
      </c>
      <c r="FO55" s="468"/>
      <c r="FP55" s="468">
        <v>5000000</v>
      </c>
      <c r="FQ55" s="468">
        <v>0</v>
      </c>
      <c r="FR55" s="468">
        <f t="shared" si="66"/>
        <v>5000000</v>
      </c>
      <c r="FS55" s="468"/>
      <c r="FT55" s="468">
        <v>30000000</v>
      </c>
      <c r="FU55" s="468">
        <v>0</v>
      </c>
      <c r="FV55" s="468">
        <f>FT55-FU55</f>
        <v>30000000</v>
      </c>
      <c r="FW55" s="468"/>
      <c r="FX55" s="468">
        <v>4150000</v>
      </c>
      <c r="FY55" s="468">
        <v>0</v>
      </c>
      <c r="FZ55" s="468">
        <v>4150000</v>
      </c>
      <c r="GA55" s="468"/>
      <c r="GB55" s="507"/>
      <c r="GC55" s="507"/>
      <c r="GD55" s="507"/>
      <c r="GE55" s="507"/>
      <c r="GF55" s="507"/>
      <c r="GG55" s="507"/>
      <c r="GH55" s="507"/>
      <c r="GI55" s="507"/>
      <c r="GJ55" s="507"/>
      <c r="GK55" s="507"/>
      <c r="GL55" s="507"/>
      <c r="GM55" s="507"/>
      <c r="GN55" s="507"/>
      <c r="GO55" s="507"/>
      <c r="GP55" s="507"/>
      <c r="GQ55" s="507"/>
      <c r="GR55" s="507"/>
      <c r="GS55" s="507"/>
      <c r="GT55" s="507"/>
      <c r="GU55" s="468"/>
      <c r="GV55" s="465">
        <f t="shared" si="50"/>
        <v>649566939</v>
      </c>
      <c r="GW55" s="465">
        <f t="shared" si="50"/>
        <v>418853652</v>
      </c>
      <c r="GX55" s="465">
        <f t="shared" si="51"/>
        <v>230713287</v>
      </c>
      <c r="GY55" s="470"/>
      <c r="GZ55" s="464"/>
      <c r="HA55" s="471">
        <f>D55+H55+L55+X55+AN55+BH55+CB55+CF55+CV55+DP55+DT55+EN55+FH55+GB55</f>
        <v>455416939</v>
      </c>
      <c r="HB55" s="471">
        <f>E55+I55+M55+Y55+AO55+BI55+CC55+CG55+CW55+DQ55+DU55+EO55+FI55+GC55</f>
        <v>341384029</v>
      </c>
      <c r="HC55" s="471">
        <f t="shared" si="52"/>
        <v>114032910</v>
      </c>
      <c r="HE55" s="471">
        <f>P55+AB55+AR55+
BL55+CJ55+CZ55+DX55+ER55+FL55+GF55</f>
        <v>60000000</v>
      </c>
      <c r="HF55" s="471">
        <f>Q55+AC55+AS55+
BM55+CK55+DA55+DY55+ES55+FM55+GG55</f>
        <v>17572650</v>
      </c>
      <c r="HG55" s="471">
        <f t="shared" si="53"/>
        <v>42427350</v>
      </c>
      <c r="HI55" s="471">
        <f>T55+AF55+AV55+BP55+CN55+DD55+EB55+EV55+FP55+GJ55</f>
        <v>25000000</v>
      </c>
      <c r="HJ55" s="471">
        <f>U55+AG55+AW55+BQ55+CO55+DE55+EC55+EW55+FQ55+GK55</f>
        <v>0</v>
      </c>
      <c r="HK55" s="471">
        <f t="shared" si="54"/>
        <v>25000000</v>
      </c>
      <c r="HM55" s="475">
        <f>AJ55+AZ55+BT55+CR55+DH55+EF55+EZ55+FT55+GN55</f>
        <v>95000000</v>
      </c>
      <c r="HN55" s="475">
        <f>AK55+BA55+BU55+CS55+DI55+EG55+FA55+FU55+GO55</f>
        <v>59896973</v>
      </c>
      <c r="HO55" s="475">
        <f t="shared" si="55"/>
        <v>35103027</v>
      </c>
      <c r="HP55" s="476"/>
      <c r="HR55" s="471">
        <f>BD55+BX55+DL55+EJ55+FD55+FX55+GR55</f>
        <v>14150000</v>
      </c>
      <c r="HS55" s="471">
        <f>BE55+BY55+DM55+EK55+FE55+FY55+GS55</f>
        <v>0</v>
      </c>
      <c r="HT55" s="471">
        <f t="shared" si="56"/>
        <v>14150000</v>
      </c>
    </row>
    <row r="56" spans="1:228" x14ac:dyDescent="0.25">
      <c r="A56" s="107">
        <v>51</v>
      </c>
      <c r="B56" s="126" t="s">
        <v>115</v>
      </c>
      <c r="C56" s="495" t="s">
        <v>74</v>
      </c>
      <c r="D56" s="465">
        <v>0</v>
      </c>
      <c r="E56" s="465">
        <v>0</v>
      </c>
      <c r="F56" s="465">
        <f t="shared" si="1"/>
        <v>0</v>
      </c>
      <c r="G56" s="465"/>
      <c r="H56" s="465">
        <v>50000000</v>
      </c>
      <c r="I56" s="465">
        <v>50000000</v>
      </c>
      <c r="J56" s="465">
        <f t="shared" si="2"/>
        <v>0</v>
      </c>
      <c r="K56" s="465"/>
      <c r="L56" s="465">
        <v>50000000</v>
      </c>
      <c r="M56" s="465">
        <v>50000000</v>
      </c>
      <c r="N56" s="465">
        <f t="shared" si="3"/>
        <v>0</v>
      </c>
      <c r="O56" s="465"/>
      <c r="P56" s="465">
        <f>7000000-7000000</f>
        <v>0</v>
      </c>
      <c r="Q56" s="465">
        <v>0</v>
      </c>
      <c r="R56" s="465">
        <f t="shared" si="4"/>
        <v>0</v>
      </c>
      <c r="S56" s="465"/>
      <c r="T56" s="465">
        <v>1700000</v>
      </c>
      <c r="U56" s="465">
        <v>1700000</v>
      </c>
      <c r="V56" s="465">
        <f t="shared" si="5"/>
        <v>0</v>
      </c>
      <c r="W56" s="465"/>
      <c r="X56" s="465">
        <v>60000000</v>
      </c>
      <c r="Y56" s="465">
        <v>60000000</v>
      </c>
      <c r="Z56" s="465">
        <f t="shared" si="6"/>
        <v>0</v>
      </c>
      <c r="AA56" s="465"/>
      <c r="AB56" s="465">
        <f>10000000-10000000</f>
        <v>0</v>
      </c>
      <c r="AC56" s="465">
        <v>0</v>
      </c>
      <c r="AD56" s="465">
        <f t="shared" si="7"/>
        <v>0</v>
      </c>
      <c r="AE56" s="465"/>
      <c r="AF56" s="465">
        <f>5000000-5000000</f>
        <v>0</v>
      </c>
      <c r="AG56" s="465">
        <v>0</v>
      </c>
      <c r="AH56" s="465">
        <f t="shared" si="8"/>
        <v>0</v>
      </c>
      <c r="AI56" s="465"/>
      <c r="AJ56" s="465">
        <v>15000000</v>
      </c>
      <c r="AK56" s="465">
        <v>15000000</v>
      </c>
      <c r="AL56" s="465">
        <f t="shared" si="9"/>
        <v>0</v>
      </c>
      <c r="AM56" s="465"/>
      <c r="AN56" s="465">
        <v>80000000</v>
      </c>
      <c r="AO56" s="465">
        <v>80000000</v>
      </c>
      <c r="AP56" s="465">
        <f t="shared" si="10"/>
        <v>0</v>
      </c>
      <c r="AQ56" s="465"/>
      <c r="AR56" s="465">
        <v>10000000</v>
      </c>
      <c r="AS56" s="465">
        <v>0</v>
      </c>
      <c r="AT56" s="465">
        <f t="shared" si="11"/>
        <v>10000000</v>
      </c>
      <c r="AU56" s="465"/>
      <c r="AV56" s="465">
        <v>5000000</v>
      </c>
      <c r="AW56" s="465">
        <f>1860395</f>
        <v>1860395</v>
      </c>
      <c r="AX56" s="465">
        <f t="shared" si="12"/>
        <v>3139605</v>
      </c>
      <c r="AY56" s="465"/>
      <c r="AZ56" s="465">
        <v>20000000</v>
      </c>
      <c r="BA56" s="465">
        <v>20000000</v>
      </c>
      <c r="BB56" s="465">
        <f t="shared" si="13"/>
        <v>0</v>
      </c>
      <c r="BC56" s="465"/>
      <c r="BD56" s="465">
        <v>5000000</v>
      </c>
      <c r="BE56" s="465">
        <f>0</f>
        <v>0</v>
      </c>
      <c r="BF56" s="465">
        <f t="shared" si="14"/>
        <v>5000000</v>
      </c>
      <c r="BG56" s="465"/>
      <c r="BH56" s="465">
        <v>130000000</v>
      </c>
      <c r="BI56" s="465">
        <f>19236730+28569150+45335454+8686500+56176075-28003909</f>
        <v>130000000</v>
      </c>
      <c r="BJ56" s="465">
        <f t="shared" si="15"/>
        <v>0</v>
      </c>
      <c r="BK56" s="465"/>
      <c r="BL56" s="465">
        <v>10000000</v>
      </c>
      <c r="BM56" s="465">
        <v>0</v>
      </c>
      <c r="BN56" s="465">
        <f t="shared" si="16"/>
        <v>10000000</v>
      </c>
      <c r="BO56" s="465"/>
      <c r="BP56" s="465">
        <v>10000000</v>
      </c>
      <c r="BQ56" s="465">
        <v>0</v>
      </c>
      <c r="BR56" s="465">
        <f t="shared" si="17"/>
        <v>10000000</v>
      </c>
      <c r="BS56" s="465"/>
      <c r="BT56" s="465">
        <v>40000000</v>
      </c>
      <c r="BU56" s="465">
        <f>11288428.03+1240920+18798060+8765320-92728.03</f>
        <v>40000000</v>
      </c>
      <c r="BV56" s="465">
        <f t="shared" si="18"/>
        <v>0</v>
      </c>
      <c r="BW56" s="465"/>
      <c r="BX56" s="465">
        <v>5000000</v>
      </c>
      <c r="BY56" s="465">
        <v>0</v>
      </c>
      <c r="BZ56" s="465">
        <f t="shared" si="19"/>
        <v>5000000</v>
      </c>
      <c r="CA56" s="465"/>
      <c r="CB56" s="465">
        <v>0</v>
      </c>
      <c r="CC56" s="465">
        <v>0</v>
      </c>
      <c r="CD56" s="465">
        <f t="shared" si="20"/>
        <v>0</v>
      </c>
      <c r="CE56" s="465"/>
      <c r="CF56" s="465">
        <f t="shared" si="21"/>
        <v>140000000</v>
      </c>
      <c r="CG56" s="465">
        <f>136698205+3500000-198205</f>
        <v>140000000</v>
      </c>
      <c r="CH56" s="465">
        <f t="shared" si="22"/>
        <v>0</v>
      </c>
      <c r="CI56" s="465"/>
      <c r="CJ56" s="465">
        <v>20000000</v>
      </c>
      <c r="CK56" s="465">
        <v>0</v>
      </c>
      <c r="CL56" s="465">
        <f t="shared" si="23"/>
        <v>20000000</v>
      </c>
      <c r="CM56" s="465"/>
      <c r="CN56" s="465">
        <v>10000000</v>
      </c>
      <c r="CO56" s="465">
        <v>0</v>
      </c>
      <c r="CP56" s="465">
        <f t="shared" si="24"/>
        <v>10000000</v>
      </c>
      <c r="CQ56" s="465"/>
      <c r="CR56" s="465">
        <v>40000000</v>
      </c>
      <c r="CS56" s="465">
        <f>17800115+14327000+92728.03+22372000-14591843.03</f>
        <v>40000000</v>
      </c>
      <c r="CT56" s="465">
        <f t="shared" si="25"/>
        <v>0</v>
      </c>
      <c r="CU56" s="465"/>
      <c r="CV56" s="465">
        <v>150000000</v>
      </c>
      <c r="CW56" s="465">
        <f>28003909+198205+100128200+44613600-22943914</f>
        <v>150000000</v>
      </c>
      <c r="CX56" s="465">
        <f t="shared" si="26"/>
        <v>0</v>
      </c>
      <c r="CY56" s="465"/>
      <c r="CZ56" s="465">
        <v>20000000</v>
      </c>
      <c r="DA56" s="465">
        <v>0</v>
      </c>
      <c r="DB56" s="465">
        <f t="shared" si="27"/>
        <v>20000000</v>
      </c>
      <c r="DC56" s="465"/>
      <c r="DD56" s="465">
        <v>10000000</v>
      </c>
      <c r="DE56" s="465">
        <v>0</v>
      </c>
      <c r="DF56" s="465">
        <f t="shared" si="28"/>
        <v>10000000</v>
      </c>
      <c r="DG56" s="465"/>
      <c r="DH56" s="465">
        <v>50000000</v>
      </c>
      <c r="DI56" s="465">
        <f>14591843.03+26394212+4310148+4703796.97</f>
        <v>50000000</v>
      </c>
      <c r="DJ56" s="465">
        <f t="shared" si="29"/>
        <v>0</v>
      </c>
      <c r="DK56" s="465"/>
      <c r="DL56" s="465">
        <v>10000000</v>
      </c>
      <c r="DM56" s="465">
        <v>0</v>
      </c>
      <c r="DN56" s="465">
        <f t="shared" si="30"/>
        <v>10000000</v>
      </c>
      <c r="DO56" s="465"/>
      <c r="DP56" s="465">
        <v>0</v>
      </c>
      <c r="DQ56" s="465">
        <v>0</v>
      </c>
      <c r="DR56" s="465">
        <f t="shared" si="31"/>
        <v>0</v>
      </c>
      <c r="DS56" s="465"/>
      <c r="DT56" s="465">
        <v>100000000</v>
      </c>
      <c r="DU56" s="465">
        <f>103089870-3089870</f>
        <v>100000000</v>
      </c>
      <c r="DV56" s="465">
        <f t="shared" si="32"/>
        <v>0</v>
      </c>
      <c r="DW56" s="465"/>
      <c r="DX56" s="465">
        <v>15000000</v>
      </c>
      <c r="DY56" s="465">
        <v>0</v>
      </c>
      <c r="DZ56" s="465">
        <f t="shared" si="33"/>
        <v>15000000</v>
      </c>
      <c r="EA56" s="465"/>
      <c r="EB56" s="465">
        <v>10000000</v>
      </c>
      <c r="EC56" s="465">
        <v>0</v>
      </c>
      <c r="ED56" s="465">
        <f t="shared" si="34"/>
        <v>10000000</v>
      </c>
      <c r="EE56" s="465"/>
      <c r="EF56" s="465">
        <v>25000000</v>
      </c>
      <c r="EG56" s="483">
        <f>24859003.03+140996.97</f>
        <v>25000000</v>
      </c>
      <c r="EH56" s="465">
        <f t="shared" si="35"/>
        <v>0</v>
      </c>
      <c r="EI56" s="465"/>
      <c r="EJ56" s="465">
        <v>10000000</v>
      </c>
      <c r="EK56" s="465">
        <v>0</v>
      </c>
      <c r="EL56" s="465">
        <f t="shared" si="36"/>
        <v>10000000</v>
      </c>
      <c r="EM56" s="465"/>
      <c r="EN56" s="465">
        <v>300000000</v>
      </c>
      <c r="EO56" s="483">
        <f>26033784+58229380+43271480+10240469.65+15600000+1500000+40544992.5+98909981.25+5669912.6</f>
        <v>300000000</v>
      </c>
      <c r="EP56" s="465">
        <f t="shared" si="37"/>
        <v>0</v>
      </c>
      <c r="EQ56" s="465"/>
      <c r="ER56" s="465">
        <v>25000000</v>
      </c>
      <c r="ES56" s="465">
        <v>0</v>
      </c>
      <c r="ET56" s="465">
        <f t="shared" si="38"/>
        <v>25000000</v>
      </c>
      <c r="EU56" s="465"/>
      <c r="EV56" s="465">
        <v>10000000</v>
      </c>
      <c r="EW56" s="465">
        <v>0</v>
      </c>
      <c r="EX56" s="465">
        <f t="shared" si="39"/>
        <v>10000000</v>
      </c>
      <c r="EY56" s="465"/>
      <c r="EZ56" s="465">
        <v>30000000</v>
      </c>
      <c r="FA56" s="483">
        <f>1162400+3712003.03</f>
        <v>4874403.0299999993</v>
      </c>
      <c r="FB56" s="465">
        <f t="shared" si="40"/>
        <v>25125596.969999999</v>
      </c>
      <c r="FC56" s="465"/>
      <c r="FD56" s="465">
        <v>5000000</v>
      </c>
      <c r="FE56" s="465">
        <v>0</v>
      </c>
      <c r="FF56" s="465">
        <f t="shared" si="41"/>
        <v>5000000</v>
      </c>
      <c r="FG56" s="465"/>
      <c r="FH56" s="468">
        <v>120000000</v>
      </c>
      <c r="FI56" s="481">
        <f>13530087.4</f>
        <v>13530087.4</v>
      </c>
      <c r="FJ56" s="463">
        <f t="shared" si="0"/>
        <v>106469912.59999999</v>
      </c>
      <c r="FK56" s="468"/>
      <c r="FL56" s="468">
        <v>25000000</v>
      </c>
      <c r="FM56" s="468">
        <v>0</v>
      </c>
      <c r="FN56" s="468">
        <f t="shared" si="63"/>
        <v>25000000</v>
      </c>
      <c r="FO56" s="468"/>
      <c r="FP56" s="468">
        <v>5000000</v>
      </c>
      <c r="FQ56" s="468">
        <v>0</v>
      </c>
      <c r="FR56" s="468">
        <f t="shared" si="66"/>
        <v>5000000</v>
      </c>
      <c r="FS56" s="468"/>
      <c r="FT56" s="468">
        <v>30000000</v>
      </c>
      <c r="FU56" s="468">
        <v>0</v>
      </c>
      <c r="FV56" s="468">
        <f t="shared" ref="FV56:FV60" si="68">FT56-FU56</f>
        <v>30000000</v>
      </c>
      <c r="FW56" s="468"/>
      <c r="FX56" s="468">
        <v>4150000</v>
      </c>
      <c r="FY56" s="468">
        <v>0</v>
      </c>
      <c r="FZ56" s="468">
        <v>4150000</v>
      </c>
      <c r="GA56" s="468"/>
      <c r="GB56" s="468">
        <v>160000000</v>
      </c>
      <c r="GC56" s="468">
        <v>0</v>
      </c>
      <c r="GD56" s="468">
        <f>GB56-GC56</f>
        <v>160000000</v>
      </c>
      <c r="GE56" s="468"/>
      <c r="GF56" s="468">
        <v>25000000</v>
      </c>
      <c r="GG56" s="468">
        <v>0</v>
      </c>
      <c r="GH56" s="468">
        <f t="shared" ref="GH56:GH59" si="69">GF56-GG56</f>
        <v>25000000</v>
      </c>
      <c r="GI56" s="468"/>
      <c r="GJ56" s="468">
        <v>5000000</v>
      </c>
      <c r="GK56" s="468">
        <v>0</v>
      </c>
      <c r="GL56" s="468">
        <f>GJ56-GK56</f>
        <v>5000000</v>
      </c>
      <c r="GM56" s="468"/>
      <c r="GN56" s="468">
        <v>20000000</v>
      </c>
      <c r="GO56" s="468">
        <v>0</v>
      </c>
      <c r="GP56" s="468">
        <f>GN56-GO56</f>
        <v>20000000</v>
      </c>
      <c r="GQ56" s="468"/>
      <c r="GR56" s="468">
        <v>5000000</v>
      </c>
      <c r="GS56" s="468">
        <v>0</v>
      </c>
      <c r="GT56" s="468">
        <f t="shared" ref="GT56:GT60" si="70">GR56-GS56</f>
        <v>5000000</v>
      </c>
      <c r="GU56" s="468"/>
      <c r="GV56" s="465">
        <f t="shared" si="50"/>
        <v>1870850000</v>
      </c>
      <c r="GW56" s="465">
        <f t="shared" si="50"/>
        <v>1271964885.4300001</v>
      </c>
      <c r="GX56" s="465">
        <f t="shared" si="51"/>
        <v>598885114.56999993</v>
      </c>
      <c r="GY56" s="470"/>
      <c r="GZ56" s="464"/>
      <c r="HA56" s="471">
        <f>D56+H56+L56+X56+AN56+BH56+CB56+CF56+CV56+DP56+DT56+EN56+FH56+GB56</f>
        <v>1340000000</v>
      </c>
      <c r="HB56" s="471">
        <f>E56+I56+M56+Y56+AO56+BI56+CC56+CG56+CW56+DQ56+DU56+EO56+FI56+GC56</f>
        <v>1073530087.4</v>
      </c>
      <c r="HC56" s="471">
        <f t="shared" si="52"/>
        <v>266469912.60000002</v>
      </c>
      <c r="HE56" s="471">
        <f>P56+AB56+AR56+
BL56+CJ56+CZ56+DX56+ER56+FL56+GF56</f>
        <v>150000000</v>
      </c>
      <c r="HF56" s="471">
        <f>Q56+AC56+AS56+
BM56+CK56+DA56+DY56+ES56+FM56+GG56</f>
        <v>0</v>
      </c>
      <c r="HG56" s="471">
        <f t="shared" si="53"/>
        <v>150000000</v>
      </c>
      <c r="HI56" s="471">
        <f>T56+AF56+AV56+BP56+CN56+DD56+EB56+EV56+FP56+GJ56</f>
        <v>66700000</v>
      </c>
      <c r="HJ56" s="471">
        <f>U56+AG56+AW56+BQ56+CO56+DE56+EC56+EW56+FQ56+GK56</f>
        <v>3560395</v>
      </c>
      <c r="HK56" s="471">
        <f t="shared" si="54"/>
        <v>63139605</v>
      </c>
      <c r="HM56" s="475">
        <f>AJ56+AZ56+BT56+CR56+DH56+EF56+EZ56+FT56+GN56</f>
        <v>270000000</v>
      </c>
      <c r="HN56" s="475">
        <f>AK56+BA56+BU56+CS56+DI56+EG56+FA56+FU56+GO56</f>
        <v>194874403.03</v>
      </c>
      <c r="HO56" s="475">
        <f t="shared" si="55"/>
        <v>75125596.969999999</v>
      </c>
      <c r="HP56" s="476"/>
      <c r="HR56" s="471">
        <f>BD56+BX56+DL56+EJ56+FD56+FX56+GR56</f>
        <v>44150000</v>
      </c>
      <c r="HS56" s="471">
        <f>BE56+BY56+DM56+EK56+FE56+FY56+GS56</f>
        <v>0</v>
      </c>
      <c r="HT56" s="471">
        <f t="shared" si="56"/>
        <v>44150000</v>
      </c>
    </row>
    <row r="57" spans="1:228" x14ac:dyDescent="0.25">
      <c r="A57" s="107">
        <v>52</v>
      </c>
      <c r="B57" s="107" t="s">
        <v>116</v>
      </c>
      <c r="C57" s="508" t="s">
        <v>63</v>
      </c>
      <c r="D57" s="465">
        <v>0</v>
      </c>
      <c r="E57" s="465">
        <v>0</v>
      </c>
      <c r="F57" s="465">
        <f t="shared" si="1"/>
        <v>0</v>
      </c>
      <c r="G57" s="465"/>
      <c r="H57" s="465">
        <v>50000000</v>
      </c>
      <c r="I57" s="465">
        <f>36579796.21+4444298.4+7441261.98+1534643.41</f>
        <v>50000000</v>
      </c>
      <c r="J57" s="465">
        <f t="shared" si="2"/>
        <v>0</v>
      </c>
      <c r="K57" s="465"/>
      <c r="L57" s="465">
        <v>50000000</v>
      </c>
      <c r="M57" s="465">
        <f>42690323.07+7309676.93</f>
        <v>50000000</v>
      </c>
      <c r="N57" s="465">
        <f t="shared" si="3"/>
        <v>0</v>
      </c>
      <c r="O57" s="465"/>
      <c r="P57" s="465">
        <v>7000000</v>
      </c>
      <c r="Q57" s="465">
        <f>1050000+4797170.31+1152829.69</f>
        <v>7000000</v>
      </c>
      <c r="R57" s="465">
        <f t="shared" si="4"/>
        <v>0</v>
      </c>
      <c r="S57" s="465"/>
      <c r="T57" s="465">
        <v>1638800</v>
      </c>
      <c r="U57" s="465">
        <f>1638800</f>
        <v>1638800</v>
      </c>
      <c r="V57" s="465">
        <f t="shared" si="5"/>
        <v>0</v>
      </c>
      <c r="W57" s="465"/>
      <c r="X57" s="465">
        <v>60000000</v>
      </c>
      <c r="Y57" s="465">
        <f>20448127.56+30400991.38+12514555+2525956.83-5889630.77</f>
        <v>60000000</v>
      </c>
      <c r="Z57" s="465">
        <f t="shared" si="6"/>
        <v>0</v>
      </c>
      <c r="AA57" s="465"/>
      <c r="AB57" s="465">
        <f>3768510.31+4000000</f>
        <v>7768510.3100000005</v>
      </c>
      <c r="AC57" s="465">
        <f>2007110.31+865000+896400+4000000</f>
        <v>7768510.3100000005</v>
      </c>
      <c r="AD57" s="465">
        <f t="shared" si="7"/>
        <v>0</v>
      </c>
      <c r="AE57" s="465"/>
      <c r="AF57" s="465">
        <f>5000000-5000000</f>
        <v>0</v>
      </c>
      <c r="AG57" s="465">
        <v>0</v>
      </c>
      <c r="AH57" s="465">
        <f t="shared" si="8"/>
        <v>0</v>
      </c>
      <c r="AI57" s="465"/>
      <c r="AJ57" s="465">
        <v>15000000</v>
      </c>
      <c r="AK57" s="465">
        <v>15000000</v>
      </c>
      <c r="AL57" s="465">
        <f t="shared" si="9"/>
        <v>0</v>
      </c>
      <c r="AM57" s="465"/>
      <c r="AN57" s="465">
        <v>80000000</v>
      </c>
      <c r="AO57" s="465">
        <f>59891780.62+15526000+4582219.38</f>
        <v>80000000</v>
      </c>
      <c r="AP57" s="465">
        <f t="shared" si="10"/>
        <v>0</v>
      </c>
      <c r="AQ57" s="465"/>
      <c r="AR57" s="465">
        <v>10000000</v>
      </c>
      <c r="AS57" s="465">
        <f>4000000-4000000+2914608</f>
        <v>2914608</v>
      </c>
      <c r="AT57" s="465">
        <f t="shared" si="11"/>
        <v>7085392</v>
      </c>
      <c r="AU57" s="465"/>
      <c r="AV57" s="465">
        <v>5000000</v>
      </c>
      <c r="AW57" s="465">
        <f>2914608-2914608</f>
        <v>0</v>
      </c>
      <c r="AX57" s="465">
        <f t="shared" si="12"/>
        <v>5000000</v>
      </c>
      <c r="AY57" s="465"/>
      <c r="AZ57" s="465">
        <v>20000000</v>
      </c>
      <c r="BA57" s="465">
        <v>20000000</v>
      </c>
      <c r="BB57" s="465">
        <f t="shared" si="13"/>
        <v>0</v>
      </c>
      <c r="BC57" s="465"/>
      <c r="BD57" s="465">
        <v>5000000</v>
      </c>
      <c r="BE57" s="465">
        <f>1700000+168000+765000+952000</f>
        <v>3585000</v>
      </c>
      <c r="BF57" s="465">
        <f t="shared" si="14"/>
        <v>1415000</v>
      </c>
      <c r="BG57" s="465"/>
      <c r="BH57" s="465">
        <v>130000000</v>
      </c>
      <c r="BI57" s="465">
        <f>42286660.62+50823700+18905250+17984389.38</f>
        <v>130000000</v>
      </c>
      <c r="BJ57" s="465">
        <f t="shared" si="15"/>
        <v>0</v>
      </c>
      <c r="BK57" s="465"/>
      <c r="BL57" s="465">
        <v>10000000</v>
      </c>
      <c r="BM57" s="465">
        <v>0</v>
      </c>
      <c r="BN57" s="465">
        <f t="shared" si="16"/>
        <v>10000000</v>
      </c>
      <c r="BO57" s="465"/>
      <c r="BP57" s="465">
        <v>10000000</v>
      </c>
      <c r="BQ57" s="465">
        <v>0</v>
      </c>
      <c r="BR57" s="465">
        <f t="shared" si="17"/>
        <v>10000000</v>
      </c>
      <c r="BS57" s="465"/>
      <c r="BT57" s="465">
        <v>40000000</v>
      </c>
      <c r="BU57" s="465">
        <f>3362344.21+26371904+10234100+31651.79</f>
        <v>40000000</v>
      </c>
      <c r="BV57" s="465">
        <f t="shared" si="18"/>
        <v>0</v>
      </c>
      <c r="BW57" s="465"/>
      <c r="BX57" s="465">
        <v>5000000</v>
      </c>
      <c r="BY57" s="465">
        <f>1955000+135000</f>
        <v>2090000</v>
      </c>
      <c r="BZ57" s="465">
        <f t="shared" si="19"/>
        <v>2910000</v>
      </c>
      <c r="CA57" s="465"/>
      <c r="CB57" s="465">
        <v>0</v>
      </c>
      <c r="CC57" s="465">
        <v>0</v>
      </c>
      <c r="CD57" s="465">
        <f t="shared" si="20"/>
        <v>0</v>
      </c>
      <c r="CE57" s="465"/>
      <c r="CF57" s="465">
        <f t="shared" si="21"/>
        <v>140000000</v>
      </c>
      <c r="CG57" s="465">
        <f>16771985.62+5889630.77+50527950+66810433.61</f>
        <v>140000000</v>
      </c>
      <c r="CH57" s="465">
        <f t="shared" si="22"/>
        <v>0</v>
      </c>
      <c r="CI57" s="465"/>
      <c r="CJ57" s="465">
        <v>20000000</v>
      </c>
      <c r="CK57" s="465">
        <f>13443275-13443275+13443275-13443275+20000000</f>
        <v>20000000</v>
      </c>
      <c r="CL57" s="465">
        <f t="shared" si="23"/>
        <v>0</v>
      </c>
      <c r="CM57" s="465"/>
      <c r="CN57" s="465">
        <v>10000000</v>
      </c>
      <c r="CO57" s="465">
        <v>0</v>
      </c>
      <c r="CP57" s="465">
        <f t="shared" si="24"/>
        <v>10000000</v>
      </c>
      <c r="CQ57" s="465"/>
      <c r="CR57" s="465">
        <v>40000000</v>
      </c>
      <c r="CS57" s="465">
        <f>7332673.21+13509270+7712505+4110400+7335151.79</f>
        <v>40000000</v>
      </c>
      <c r="CT57" s="465">
        <f t="shared" si="25"/>
        <v>0</v>
      </c>
      <c r="CU57" s="465"/>
      <c r="CV57" s="465">
        <v>150000000</v>
      </c>
      <c r="CW57" s="465">
        <f>42748466.39+100857840+6393693.61</f>
        <v>150000000</v>
      </c>
      <c r="CX57" s="465">
        <f t="shared" si="26"/>
        <v>0</v>
      </c>
      <c r="CY57" s="465"/>
      <c r="CZ57" s="465">
        <v>20000000</v>
      </c>
      <c r="DA57" s="465">
        <f>13443275+13443275-13443275+4309332+2247393</f>
        <v>20000000</v>
      </c>
      <c r="DB57" s="465">
        <f t="shared" si="27"/>
        <v>0</v>
      </c>
      <c r="DC57" s="465"/>
      <c r="DD57" s="465">
        <v>10000000</v>
      </c>
      <c r="DE57" s="465">
        <v>0</v>
      </c>
      <c r="DF57" s="465">
        <f t="shared" si="28"/>
        <v>10000000</v>
      </c>
      <c r="DG57" s="465"/>
      <c r="DH57" s="465">
        <v>50000000</v>
      </c>
      <c r="DI57" s="465">
        <f>994508.21+25096010+3652850+10668828+8219784+774830+593189.79-593189.79+593189.79</f>
        <v>50000000</v>
      </c>
      <c r="DJ57" s="465">
        <f t="shared" si="29"/>
        <v>0</v>
      </c>
      <c r="DK57" s="465"/>
      <c r="DL57" s="465">
        <v>10000000</v>
      </c>
      <c r="DM57" s="465">
        <v>0</v>
      </c>
      <c r="DN57" s="465">
        <f t="shared" si="30"/>
        <v>10000000</v>
      </c>
      <c r="DO57" s="465"/>
      <c r="DP57" s="465">
        <v>0</v>
      </c>
      <c r="DQ57" s="465">
        <v>0</v>
      </c>
      <c r="DR57" s="465">
        <f t="shared" si="31"/>
        <v>0</v>
      </c>
      <c r="DS57" s="465"/>
      <c r="DT57" s="465">
        <v>100000000</v>
      </c>
      <c r="DU57" s="465">
        <f>67544644.39+27500000+4955355.61</f>
        <v>100000000</v>
      </c>
      <c r="DV57" s="465">
        <f t="shared" si="32"/>
        <v>0</v>
      </c>
      <c r="DW57" s="465"/>
      <c r="DX57" s="465">
        <v>15000000</v>
      </c>
      <c r="DY57" s="465">
        <f>5671989+9328011</f>
        <v>15000000</v>
      </c>
      <c r="DZ57" s="465">
        <f t="shared" si="33"/>
        <v>0</v>
      </c>
      <c r="EA57" s="465"/>
      <c r="EB57" s="465">
        <v>10000000</v>
      </c>
      <c r="EC57" s="465">
        <v>0</v>
      </c>
      <c r="ED57" s="465">
        <f t="shared" si="34"/>
        <v>10000000</v>
      </c>
      <c r="EE57" s="465"/>
      <c r="EF57" s="465">
        <v>25000000</v>
      </c>
      <c r="EG57" s="465">
        <f>3449008.21-3449008.21+3449008.21+10104247+11446744.79</f>
        <v>25000000</v>
      </c>
      <c r="EH57" s="465">
        <f t="shared" si="35"/>
        <v>0</v>
      </c>
      <c r="EI57" s="465"/>
      <c r="EJ57" s="465">
        <v>10000000</v>
      </c>
      <c r="EK57" s="465">
        <v>0</v>
      </c>
      <c r="EL57" s="465">
        <f t="shared" si="36"/>
        <v>10000000</v>
      </c>
      <c r="EM57" s="465"/>
      <c r="EN57" s="465">
        <v>300000000</v>
      </c>
      <c r="EO57" s="465">
        <f>134822339.74+9000000+8100000+63891037.05</f>
        <v>215813376.79000002</v>
      </c>
      <c r="EP57" s="465">
        <f t="shared" si="37"/>
        <v>84186623.209999979</v>
      </c>
      <c r="EQ57" s="465"/>
      <c r="ER57" s="465">
        <v>25000000</v>
      </c>
      <c r="ES57" s="485">
        <f>9816876.49+4794911.47+1718280+2665702.2</f>
        <v>18995770.16</v>
      </c>
      <c r="ET57" s="465">
        <f t="shared" si="38"/>
        <v>6004229.8399999999</v>
      </c>
      <c r="EU57" s="465"/>
      <c r="EV57" s="465">
        <v>10000000</v>
      </c>
      <c r="EW57" s="465">
        <v>0</v>
      </c>
      <c r="EX57" s="465">
        <f t="shared" si="39"/>
        <v>10000000</v>
      </c>
      <c r="EY57" s="465"/>
      <c r="EZ57" s="465">
        <v>30000000</v>
      </c>
      <c r="FA57" s="484">
        <f>6094320.21+2037605.85+4341950</f>
        <v>12473876.060000001</v>
      </c>
      <c r="FB57" s="465">
        <f t="shared" si="40"/>
        <v>17526123.939999998</v>
      </c>
      <c r="FC57" s="465"/>
      <c r="FD57" s="465">
        <v>5000000</v>
      </c>
      <c r="FE57" s="465">
        <v>0</v>
      </c>
      <c r="FF57" s="465">
        <f t="shared" si="41"/>
        <v>5000000</v>
      </c>
      <c r="FG57" s="465"/>
      <c r="FH57" s="468">
        <v>120000000</v>
      </c>
      <c r="FI57" s="463">
        <v>0</v>
      </c>
      <c r="FJ57" s="463">
        <f t="shared" si="0"/>
        <v>120000000</v>
      </c>
      <c r="FK57" s="468"/>
      <c r="FL57" s="468">
        <v>25000000</v>
      </c>
      <c r="FM57" s="468">
        <v>0</v>
      </c>
      <c r="FN57" s="468">
        <f t="shared" si="63"/>
        <v>25000000</v>
      </c>
      <c r="FO57" s="468"/>
      <c r="FP57" s="468">
        <v>5000000</v>
      </c>
      <c r="FQ57" s="468">
        <v>0</v>
      </c>
      <c r="FR57" s="468">
        <f>FP57-FQ57</f>
        <v>5000000</v>
      </c>
      <c r="FS57" s="468"/>
      <c r="FT57" s="468">
        <v>30000000</v>
      </c>
      <c r="FU57" s="468">
        <v>0</v>
      </c>
      <c r="FV57" s="468">
        <f t="shared" si="68"/>
        <v>30000000</v>
      </c>
      <c r="FW57" s="468"/>
      <c r="FX57" s="468">
        <v>4150000</v>
      </c>
      <c r="FY57" s="468">
        <v>0</v>
      </c>
      <c r="FZ57" s="468">
        <v>4150000</v>
      </c>
      <c r="GA57" s="468"/>
      <c r="GB57" s="468">
        <v>160000000</v>
      </c>
      <c r="GC57" s="468">
        <v>0</v>
      </c>
      <c r="GD57" s="468">
        <f t="shared" ref="GD57:GD60" si="71">GB57-GC57</f>
        <v>160000000</v>
      </c>
      <c r="GE57" s="468"/>
      <c r="GF57" s="468">
        <v>25000000</v>
      </c>
      <c r="GG57" s="468">
        <v>0</v>
      </c>
      <c r="GH57" s="468">
        <f t="shared" si="69"/>
        <v>25000000</v>
      </c>
      <c r="GI57" s="468"/>
      <c r="GJ57" s="468">
        <v>5000000</v>
      </c>
      <c r="GK57" s="468">
        <v>0</v>
      </c>
      <c r="GL57" s="468">
        <f t="shared" ref="GL57:GL60" si="72">GJ57-GK57</f>
        <v>5000000</v>
      </c>
      <c r="GM57" s="468"/>
      <c r="GN57" s="468">
        <v>20000000</v>
      </c>
      <c r="GO57" s="468">
        <v>0</v>
      </c>
      <c r="GP57" s="468">
        <f t="shared" ref="GP57:GP60" si="73">GN57-GO57</f>
        <v>20000000</v>
      </c>
      <c r="GQ57" s="468"/>
      <c r="GR57" s="468">
        <v>5000000</v>
      </c>
      <c r="GS57" s="468">
        <v>0</v>
      </c>
      <c r="GT57" s="468">
        <f t="shared" si="70"/>
        <v>5000000</v>
      </c>
      <c r="GU57" s="468"/>
      <c r="GV57" s="465">
        <f t="shared" si="50"/>
        <v>1885557310.3099999</v>
      </c>
      <c r="GW57" s="465">
        <f t="shared" si="50"/>
        <v>1277279941.3199999</v>
      </c>
      <c r="GX57" s="465">
        <f t="shared" si="51"/>
        <v>608277368.99000001</v>
      </c>
      <c r="GY57" s="470"/>
      <c r="GZ57" s="464"/>
      <c r="HA57" s="471">
        <f>D57+H57+L57+X57+AN57+BH57+CB57+CF57+CV57+DP57+DT57+EN57+FH57+GB57</f>
        <v>1340000000</v>
      </c>
      <c r="HB57" s="471">
        <f>E57+I57+M57+Y57+AO57+BI57+CC57+CG57+CW57+DQ57+DU57+EO57+FI57+GC57</f>
        <v>975813376.78999996</v>
      </c>
      <c r="HC57" s="471">
        <f t="shared" si="52"/>
        <v>364186623.21000004</v>
      </c>
      <c r="HE57" s="471">
        <f>P57+AB57+AR57+
BL57+CJ57+CZ57+DX57+ER57+FL57+GF57</f>
        <v>164768510.31</v>
      </c>
      <c r="HF57" s="471">
        <f>Q57+AC57+AS57+
BM57+CK57+DA57+DY57+ES57+FM57+GG57</f>
        <v>91678888.469999999</v>
      </c>
      <c r="HG57" s="471">
        <f t="shared" si="53"/>
        <v>73089621.840000004</v>
      </c>
      <c r="HI57" s="471">
        <f>T57+AF57+AV57+BP57+CN57+DD57+EB57+EV57+FP57+GJ57</f>
        <v>66638800</v>
      </c>
      <c r="HJ57" s="471">
        <f>U57+AG57+AW57+BQ57+CO57+DE57+EC57+EW57+FQ57+GK57</f>
        <v>1638800</v>
      </c>
      <c r="HK57" s="471">
        <f t="shared" si="54"/>
        <v>65000000</v>
      </c>
      <c r="HM57" s="475">
        <f>AJ57+AZ57+BT57+CR57+DH57+EF57+EZ57+FT57+GN57</f>
        <v>270000000</v>
      </c>
      <c r="HN57" s="475">
        <f>AK57+BA57+BU57+CS57+DI57+EG57+FA57+FU57+GO57</f>
        <v>202473876.06</v>
      </c>
      <c r="HO57" s="475">
        <f t="shared" si="55"/>
        <v>67526123.939999998</v>
      </c>
      <c r="HP57" s="476"/>
      <c r="HR57" s="471">
        <f>BD57+BX57+DL57+EJ57+FD57+FX57+GR57</f>
        <v>44150000</v>
      </c>
      <c r="HS57" s="471">
        <f>BE57+BY57+DM57+EK57+FE57+FY57+GS57</f>
        <v>5675000</v>
      </c>
      <c r="HT57" s="471">
        <f t="shared" si="56"/>
        <v>38475000</v>
      </c>
    </row>
    <row r="58" spans="1:228" x14ac:dyDescent="0.25">
      <c r="A58" s="107">
        <v>53</v>
      </c>
      <c r="B58" s="107" t="s">
        <v>480</v>
      </c>
      <c r="C58" s="113" t="s">
        <v>65</v>
      </c>
      <c r="D58" s="465">
        <v>0</v>
      </c>
      <c r="E58" s="465">
        <v>0</v>
      </c>
      <c r="F58" s="465">
        <f t="shared" si="1"/>
        <v>0</v>
      </c>
      <c r="G58" s="465"/>
      <c r="H58" s="465">
        <v>50000000</v>
      </c>
      <c r="I58" s="465">
        <v>50000000</v>
      </c>
      <c r="J58" s="465">
        <f t="shared" si="2"/>
        <v>0</v>
      </c>
      <c r="K58" s="465"/>
      <c r="L58" s="465">
        <v>50000000</v>
      </c>
      <c r="M58" s="465">
        <v>50000000</v>
      </c>
      <c r="N58" s="465">
        <f t="shared" si="3"/>
        <v>0</v>
      </c>
      <c r="O58" s="465"/>
      <c r="P58" s="465">
        <v>7000000</v>
      </c>
      <c r="Q58" s="465">
        <f>2000000+2000000+2000000+1000000</f>
        <v>7000000</v>
      </c>
      <c r="R58" s="465">
        <f t="shared" si="4"/>
        <v>0</v>
      </c>
      <c r="S58" s="465"/>
      <c r="T58" s="465">
        <f>3000000-3000000</f>
        <v>0</v>
      </c>
      <c r="U58" s="465">
        <v>0</v>
      </c>
      <c r="V58" s="465">
        <f t="shared" si="5"/>
        <v>0</v>
      </c>
      <c r="W58" s="465"/>
      <c r="X58" s="465">
        <v>60000000</v>
      </c>
      <c r="Y58" s="465">
        <v>60000000</v>
      </c>
      <c r="Z58" s="465">
        <f t="shared" si="6"/>
        <v>0</v>
      </c>
      <c r="AA58" s="465"/>
      <c r="AB58" s="465">
        <v>3000000</v>
      </c>
      <c r="AC58" s="465">
        <f>3000000</f>
        <v>3000000</v>
      </c>
      <c r="AD58" s="465">
        <f t="shared" si="7"/>
        <v>0</v>
      </c>
      <c r="AE58" s="465"/>
      <c r="AF58" s="465">
        <f>5000000-5000000</f>
        <v>0</v>
      </c>
      <c r="AG58" s="465">
        <v>0</v>
      </c>
      <c r="AH58" s="465">
        <f t="shared" si="8"/>
        <v>0</v>
      </c>
      <c r="AI58" s="465"/>
      <c r="AJ58" s="465">
        <v>15000000</v>
      </c>
      <c r="AK58" s="465">
        <f>4527540+2060185+8412275</f>
        <v>15000000</v>
      </c>
      <c r="AL58" s="465">
        <f t="shared" si="9"/>
        <v>0</v>
      </c>
      <c r="AM58" s="465"/>
      <c r="AN58" s="465">
        <v>80000000</v>
      </c>
      <c r="AO58" s="465">
        <f>45401771+26966500+9132000+8071115-9571386</f>
        <v>80000000</v>
      </c>
      <c r="AP58" s="465">
        <f t="shared" si="10"/>
        <v>0</v>
      </c>
      <c r="AQ58" s="465"/>
      <c r="AR58" s="465">
        <v>10000000</v>
      </c>
      <c r="AS58" s="465">
        <v>2000000</v>
      </c>
      <c r="AT58" s="465">
        <f t="shared" si="11"/>
        <v>8000000</v>
      </c>
      <c r="AU58" s="465"/>
      <c r="AV58" s="465">
        <v>5000000</v>
      </c>
      <c r="AW58" s="465">
        <f>5000000</f>
        <v>5000000</v>
      </c>
      <c r="AX58" s="465">
        <f t="shared" si="12"/>
        <v>0</v>
      </c>
      <c r="AY58" s="465"/>
      <c r="AZ58" s="465">
        <v>20000000</v>
      </c>
      <c r="BA58" s="461">
        <f>1698320+18301680</f>
        <v>20000000</v>
      </c>
      <c r="BB58" s="465">
        <f t="shared" si="13"/>
        <v>0</v>
      </c>
      <c r="BC58" s="465"/>
      <c r="BD58" s="465">
        <v>5000000</v>
      </c>
      <c r="BE58" s="467">
        <f>1785000+2125000+1090000</f>
        <v>5000000</v>
      </c>
      <c r="BF58" s="465">
        <f t="shared" si="14"/>
        <v>0</v>
      </c>
      <c r="BG58" s="465"/>
      <c r="BH58" s="465">
        <v>130000000</v>
      </c>
      <c r="BI58" s="478">
        <f>9571386+7911000+4559400+17106400-18475298.25+57729750</f>
        <v>78402637.75</v>
      </c>
      <c r="BJ58" s="465">
        <f t="shared" si="15"/>
        <v>51597362.25</v>
      </c>
      <c r="BK58" s="465"/>
      <c r="BL58" s="465">
        <v>10000000</v>
      </c>
      <c r="BM58" s="465">
        <v>10000000</v>
      </c>
      <c r="BN58" s="465">
        <f t="shared" si="16"/>
        <v>0</v>
      </c>
      <c r="BO58" s="465"/>
      <c r="BP58" s="465">
        <v>10000000</v>
      </c>
      <c r="BQ58" s="465">
        <v>10000000</v>
      </c>
      <c r="BR58" s="465">
        <f t="shared" si="17"/>
        <v>0</v>
      </c>
      <c r="BS58" s="465"/>
      <c r="BT58" s="465">
        <v>40000000</v>
      </c>
      <c r="BU58" s="465">
        <f>9451005+28893496+1655499</f>
        <v>40000000</v>
      </c>
      <c r="BV58" s="465">
        <f t="shared" si="18"/>
        <v>0</v>
      </c>
      <c r="BW58" s="465"/>
      <c r="BX58" s="465">
        <v>5000000</v>
      </c>
      <c r="BY58" s="485">
        <f>1205000</f>
        <v>1205000</v>
      </c>
      <c r="BZ58" s="465">
        <f t="shared" si="19"/>
        <v>3795000</v>
      </c>
      <c r="CA58" s="465"/>
      <c r="CB58" s="465">
        <v>0</v>
      </c>
      <c r="CC58" s="465">
        <v>0</v>
      </c>
      <c r="CD58" s="465">
        <f t="shared" si="20"/>
        <v>0</v>
      </c>
      <c r="CE58" s="465"/>
      <c r="CF58" s="465">
        <f t="shared" si="21"/>
        <v>140000000</v>
      </c>
      <c r="CG58" s="465">
        <f>108600000+16717000+14683000</f>
        <v>140000000</v>
      </c>
      <c r="CH58" s="465">
        <f t="shared" si="22"/>
        <v>0</v>
      </c>
      <c r="CI58" s="465"/>
      <c r="CJ58" s="465">
        <v>20000000</v>
      </c>
      <c r="CK58" s="465">
        <v>20000000</v>
      </c>
      <c r="CL58" s="465">
        <f t="shared" si="23"/>
        <v>0</v>
      </c>
      <c r="CM58" s="465"/>
      <c r="CN58" s="465">
        <v>10000000</v>
      </c>
      <c r="CO58" s="465">
        <f>7440000</f>
        <v>7440000</v>
      </c>
      <c r="CP58" s="465">
        <f t="shared" si="24"/>
        <v>2560000</v>
      </c>
      <c r="CQ58" s="465"/>
      <c r="CR58" s="465">
        <v>40000000</v>
      </c>
      <c r="CS58" s="465">
        <f>40000000</f>
        <v>40000000</v>
      </c>
      <c r="CT58" s="465">
        <f t="shared" si="25"/>
        <v>0</v>
      </c>
      <c r="CU58" s="465"/>
      <c r="CV58" s="465">
        <v>150000000</v>
      </c>
      <c r="CW58" s="465">
        <f>26293785+110142500+13563715</f>
        <v>150000000</v>
      </c>
      <c r="CX58" s="465">
        <f t="shared" si="26"/>
        <v>0</v>
      </c>
      <c r="CY58" s="465"/>
      <c r="CZ58" s="465">
        <v>20000000</v>
      </c>
      <c r="DA58" s="465">
        <f>13978500+5319119+702381</f>
        <v>20000000</v>
      </c>
      <c r="DB58" s="465">
        <f t="shared" si="27"/>
        <v>0</v>
      </c>
      <c r="DC58" s="465"/>
      <c r="DD58" s="465">
        <v>10000000</v>
      </c>
      <c r="DE58" s="465">
        <v>0</v>
      </c>
      <c r="DF58" s="465">
        <f t="shared" si="28"/>
        <v>10000000</v>
      </c>
      <c r="DG58" s="465"/>
      <c r="DH58" s="465">
        <v>50000000</v>
      </c>
      <c r="DI58" s="483">
        <f>11054077.5+12667330+2985051+22030485+1263056.5</f>
        <v>50000000</v>
      </c>
      <c r="DJ58" s="465">
        <f t="shared" si="29"/>
        <v>0</v>
      </c>
      <c r="DK58" s="465"/>
      <c r="DL58" s="465">
        <v>10000000</v>
      </c>
      <c r="DM58" s="465">
        <v>0</v>
      </c>
      <c r="DN58" s="465">
        <f t="shared" si="30"/>
        <v>10000000</v>
      </c>
      <c r="DO58" s="465"/>
      <c r="DP58" s="465">
        <v>0</v>
      </c>
      <c r="DQ58" s="465">
        <v>0</v>
      </c>
      <c r="DR58" s="465">
        <f t="shared" si="31"/>
        <v>0</v>
      </c>
      <c r="DS58" s="465"/>
      <c r="DT58" s="465">
        <v>100000000</v>
      </c>
      <c r="DU58" s="465">
        <f>90000000+10000000</f>
        <v>100000000</v>
      </c>
      <c r="DV58" s="465">
        <f t="shared" si="32"/>
        <v>0</v>
      </c>
      <c r="DW58" s="465"/>
      <c r="DX58" s="465">
        <v>15000000</v>
      </c>
      <c r="DY58" s="465">
        <f>6235329+1161682.8</f>
        <v>7397011.7999999998</v>
      </c>
      <c r="DZ58" s="465">
        <f t="shared" si="33"/>
        <v>7602988.2000000002</v>
      </c>
      <c r="EA58" s="465"/>
      <c r="EB58" s="465">
        <v>10000000</v>
      </c>
      <c r="EC58" s="465">
        <v>0</v>
      </c>
      <c r="ED58" s="465">
        <f t="shared" si="34"/>
        <v>10000000</v>
      </c>
      <c r="EE58" s="465"/>
      <c r="EF58" s="465">
        <v>25000000</v>
      </c>
      <c r="EG58" s="485">
        <f>22020570+2659025+320405</f>
        <v>25000000</v>
      </c>
      <c r="EH58" s="465">
        <f t="shared" si="35"/>
        <v>0</v>
      </c>
      <c r="EI58" s="465"/>
      <c r="EJ58" s="465">
        <v>10000000</v>
      </c>
      <c r="EK58" s="465">
        <v>0</v>
      </c>
      <c r="EL58" s="465">
        <f t="shared" si="36"/>
        <v>10000000</v>
      </c>
      <c r="EM58" s="465"/>
      <c r="EN58" s="465">
        <v>300000000</v>
      </c>
      <c r="EO58" s="487">
        <f>32443285+125138750</f>
        <v>157582035</v>
      </c>
      <c r="EP58" s="465">
        <f t="shared" si="37"/>
        <v>142417965</v>
      </c>
      <c r="EQ58" s="465"/>
      <c r="ER58" s="465">
        <v>25000000</v>
      </c>
      <c r="ES58" s="465">
        <v>0</v>
      </c>
      <c r="ET58" s="465">
        <f t="shared" si="38"/>
        <v>25000000</v>
      </c>
      <c r="EU58" s="465"/>
      <c r="EV58" s="465">
        <v>10000000</v>
      </c>
      <c r="EW58" s="465">
        <v>0</v>
      </c>
      <c r="EX58" s="465">
        <f t="shared" si="39"/>
        <v>10000000</v>
      </c>
      <c r="EY58" s="465"/>
      <c r="EZ58" s="465">
        <v>30000000</v>
      </c>
      <c r="FA58" s="483">
        <f>2946170+5666433.5</f>
        <v>8612603.5</v>
      </c>
      <c r="FB58" s="465">
        <f t="shared" si="40"/>
        <v>21387396.5</v>
      </c>
      <c r="FC58" s="465"/>
      <c r="FD58" s="465">
        <v>5000000</v>
      </c>
      <c r="FE58" s="465">
        <v>0</v>
      </c>
      <c r="FF58" s="465">
        <f t="shared" si="41"/>
        <v>5000000</v>
      </c>
      <c r="FG58" s="465"/>
      <c r="FH58" s="468">
        <v>120000000</v>
      </c>
      <c r="FI58" s="463">
        <v>0</v>
      </c>
      <c r="FJ58" s="463">
        <f t="shared" si="0"/>
        <v>120000000</v>
      </c>
      <c r="FK58" s="468"/>
      <c r="FL58" s="468">
        <v>25000000</v>
      </c>
      <c r="FM58" s="468">
        <v>0</v>
      </c>
      <c r="FN58" s="468">
        <f t="shared" si="63"/>
        <v>25000000</v>
      </c>
      <c r="FO58" s="468"/>
      <c r="FP58" s="468">
        <v>5000000</v>
      </c>
      <c r="FQ58" s="468">
        <v>0</v>
      </c>
      <c r="FR58" s="468">
        <f t="shared" ref="FR58:FR60" si="74">FP58-FQ58</f>
        <v>5000000</v>
      </c>
      <c r="FS58" s="468"/>
      <c r="FT58" s="468">
        <v>30000000</v>
      </c>
      <c r="FU58" s="468">
        <v>0</v>
      </c>
      <c r="FV58" s="468">
        <f t="shared" si="68"/>
        <v>30000000</v>
      </c>
      <c r="FW58" s="468"/>
      <c r="FX58" s="468">
        <v>4150000</v>
      </c>
      <c r="FY58" s="468">
        <v>0</v>
      </c>
      <c r="FZ58" s="468">
        <v>4150000</v>
      </c>
      <c r="GA58" s="468"/>
      <c r="GB58" s="468">
        <v>160000000</v>
      </c>
      <c r="GC58" s="468">
        <v>0</v>
      </c>
      <c r="GD58" s="468">
        <f t="shared" si="71"/>
        <v>160000000</v>
      </c>
      <c r="GE58" s="468"/>
      <c r="GF58" s="468">
        <v>25000000</v>
      </c>
      <c r="GG58" s="468">
        <v>0</v>
      </c>
      <c r="GH58" s="468">
        <f t="shared" si="69"/>
        <v>25000000</v>
      </c>
      <c r="GI58" s="468"/>
      <c r="GJ58" s="468">
        <v>5000000</v>
      </c>
      <c r="GK58" s="468">
        <v>0</v>
      </c>
      <c r="GL58" s="468">
        <f t="shared" si="72"/>
        <v>5000000</v>
      </c>
      <c r="GM58" s="468"/>
      <c r="GN58" s="468">
        <v>20000000</v>
      </c>
      <c r="GO58" s="468">
        <v>0</v>
      </c>
      <c r="GP58" s="468">
        <f t="shared" si="73"/>
        <v>20000000</v>
      </c>
      <c r="GQ58" s="468"/>
      <c r="GR58" s="468">
        <v>5000000</v>
      </c>
      <c r="GS58" s="468">
        <v>0</v>
      </c>
      <c r="GT58" s="468">
        <f t="shared" si="70"/>
        <v>5000000</v>
      </c>
      <c r="GU58" s="468"/>
      <c r="GV58" s="465">
        <f t="shared" si="50"/>
        <v>1879150000</v>
      </c>
      <c r="GW58" s="465">
        <f t="shared" si="50"/>
        <v>1162639288.05</v>
      </c>
      <c r="GX58" s="465">
        <f t="shared" si="51"/>
        <v>716510711.95000005</v>
      </c>
      <c r="GY58" s="470"/>
      <c r="GZ58" s="464"/>
      <c r="HA58" s="471">
        <f>D58+H58+L58+X58+AN58+BH58+CB58+CF58+CV58+DP58+DT58+EN58+FH58+GB58</f>
        <v>1340000000</v>
      </c>
      <c r="HB58" s="471">
        <f>E58+I58+M58+Y58+AO58+BI58+CC58+CG58+CW58+DQ58+DU58+EO58+FI58+GC58</f>
        <v>865984672.75</v>
      </c>
      <c r="HC58" s="471">
        <f t="shared" si="52"/>
        <v>474015327.25</v>
      </c>
      <c r="HE58" s="471">
        <f>P58+AB58+AR58+
BL58+CJ58+CZ58+DX58+ER58+FL58+GF58</f>
        <v>160000000</v>
      </c>
      <c r="HF58" s="471">
        <f>Q58+AC58+AS58+
BM58+CK58+DA58+DY58+ES58+FM58+GG58</f>
        <v>69397011.799999997</v>
      </c>
      <c r="HG58" s="471">
        <f t="shared" si="53"/>
        <v>90602988.200000003</v>
      </c>
      <c r="HI58" s="471">
        <f>T58+AF58+AV58+BP58+CN58+DD58+EB58+EV58+FP58+GJ58</f>
        <v>65000000</v>
      </c>
      <c r="HJ58" s="471">
        <f>U58+AG58+AW58+BQ58+CO58+DE58+EC58+EW58+FQ58+GK58</f>
        <v>22440000</v>
      </c>
      <c r="HK58" s="471">
        <f t="shared" si="54"/>
        <v>42560000</v>
      </c>
      <c r="HM58" s="475">
        <f>AJ58+AZ58+BT58+CR58+DH58+EF58+EZ58+FT58+GN58</f>
        <v>270000000</v>
      </c>
      <c r="HN58" s="475">
        <f>AK58+BA58+BU58+CS58+DI58+EG58+FA58+FU58+GO58</f>
        <v>198612603.5</v>
      </c>
      <c r="HO58" s="475">
        <f t="shared" si="55"/>
        <v>71387396.5</v>
      </c>
      <c r="HP58" s="476"/>
      <c r="HR58" s="471">
        <f>BD58+BX58+DL58+EJ58+FD58+FX58+GR58</f>
        <v>44150000</v>
      </c>
      <c r="HS58" s="471">
        <f>BE58+BY58+DM58+EK58+FE58+FY58+GS58</f>
        <v>6205000</v>
      </c>
      <c r="HT58" s="471">
        <f t="shared" si="56"/>
        <v>37945000</v>
      </c>
    </row>
    <row r="59" spans="1:228" x14ac:dyDescent="0.25">
      <c r="A59" s="107">
        <v>54</v>
      </c>
      <c r="B59" s="107" t="s">
        <v>481</v>
      </c>
      <c r="C59" s="509" t="s">
        <v>69</v>
      </c>
      <c r="D59" s="465">
        <v>0</v>
      </c>
      <c r="E59" s="465">
        <v>0</v>
      </c>
      <c r="F59" s="465">
        <f t="shared" si="1"/>
        <v>0</v>
      </c>
      <c r="G59" s="465"/>
      <c r="H59" s="465">
        <v>50000000</v>
      </c>
      <c r="I59" s="465">
        <v>50000000</v>
      </c>
      <c r="J59" s="465">
        <f t="shared" si="2"/>
        <v>0</v>
      </c>
      <c r="K59" s="465"/>
      <c r="L59" s="465">
        <v>50000000</v>
      </c>
      <c r="M59" s="465">
        <v>50000000</v>
      </c>
      <c r="N59" s="465">
        <f t="shared" si="3"/>
        <v>0</v>
      </c>
      <c r="O59" s="465"/>
      <c r="P59" s="465">
        <v>7000000</v>
      </c>
      <c r="Q59" s="465">
        <v>7000000</v>
      </c>
      <c r="R59" s="465">
        <f t="shared" si="4"/>
        <v>0</v>
      </c>
      <c r="S59" s="465"/>
      <c r="T59" s="465">
        <v>3000000</v>
      </c>
      <c r="U59" s="465">
        <v>3000000</v>
      </c>
      <c r="V59" s="465">
        <f t="shared" si="5"/>
        <v>0</v>
      </c>
      <c r="W59" s="465"/>
      <c r="X59" s="465">
        <v>53312721</v>
      </c>
      <c r="Y59" s="465">
        <f>60000000-19212779+12525500</f>
        <v>53312721</v>
      </c>
      <c r="Z59" s="465">
        <f t="shared" si="6"/>
        <v>0</v>
      </c>
      <c r="AA59" s="465"/>
      <c r="AB59" s="465">
        <v>10000000</v>
      </c>
      <c r="AC59" s="465">
        <f>9163680+836320</f>
        <v>10000000</v>
      </c>
      <c r="AD59" s="465">
        <f t="shared" si="7"/>
        <v>0</v>
      </c>
      <c r="AE59" s="465"/>
      <c r="AF59" s="465">
        <v>3800000</v>
      </c>
      <c r="AG59" s="465">
        <v>3800000</v>
      </c>
      <c r="AH59" s="465">
        <f t="shared" si="8"/>
        <v>0</v>
      </c>
      <c r="AI59" s="465"/>
      <c r="AJ59" s="465">
        <v>15000000</v>
      </c>
      <c r="AK59" s="465">
        <v>15000000</v>
      </c>
      <c r="AL59" s="465">
        <f t="shared" si="9"/>
        <v>0</v>
      </c>
      <c r="AM59" s="465"/>
      <c r="AN59" s="465">
        <v>80000000</v>
      </c>
      <c r="AO59" s="465">
        <f>80000000</f>
        <v>80000000</v>
      </c>
      <c r="AP59" s="465">
        <f t="shared" si="10"/>
        <v>0</v>
      </c>
      <c r="AQ59" s="465"/>
      <c r="AR59" s="465">
        <v>10000000</v>
      </c>
      <c r="AS59" s="465">
        <f>10000000</f>
        <v>10000000</v>
      </c>
      <c r="AT59" s="465">
        <f t="shared" si="11"/>
        <v>0</v>
      </c>
      <c r="AU59" s="465"/>
      <c r="AV59" s="465">
        <v>5000000</v>
      </c>
      <c r="AW59" s="465">
        <f>10000000-5000000</f>
        <v>5000000</v>
      </c>
      <c r="AX59" s="465">
        <f t="shared" si="12"/>
        <v>0</v>
      </c>
      <c r="AY59" s="465"/>
      <c r="AZ59" s="465">
        <v>20000000</v>
      </c>
      <c r="BA59" s="465">
        <v>20000000</v>
      </c>
      <c r="BB59" s="465">
        <f t="shared" si="13"/>
        <v>0</v>
      </c>
      <c r="BC59" s="465"/>
      <c r="BD59" s="465">
        <v>5000000</v>
      </c>
      <c r="BE59" s="465">
        <f>0</f>
        <v>0</v>
      </c>
      <c r="BF59" s="465">
        <f t="shared" si="14"/>
        <v>5000000</v>
      </c>
      <c r="BG59" s="465"/>
      <c r="BH59" s="465">
        <v>130000000</v>
      </c>
      <c r="BI59" s="465">
        <f>27995525+90746350+11258125</f>
        <v>130000000</v>
      </c>
      <c r="BJ59" s="465">
        <f t="shared" si="15"/>
        <v>0</v>
      </c>
      <c r="BK59" s="465"/>
      <c r="BL59" s="465">
        <v>10000000</v>
      </c>
      <c r="BM59" s="465">
        <f>10000000</f>
        <v>10000000</v>
      </c>
      <c r="BN59" s="465">
        <f t="shared" si="16"/>
        <v>0</v>
      </c>
      <c r="BO59" s="465"/>
      <c r="BP59" s="465">
        <v>10000000</v>
      </c>
      <c r="BQ59" s="465">
        <v>10000000</v>
      </c>
      <c r="BR59" s="465">
        <f t="shared" si="17"/>
        <v>0</v>
      </c>
      <c r="BS59" s="465"/>
      <c r="BT59" s="465">
        <v>40000000</v>
      </c>
      <c r="BU59" s="465">
        <f>25818432.89+13539126.25+642440.86</f>
        <v>40000000</v>
      </c>
      <c r="BV59" s="465">
        <f t="shared" si="18"/>
        <v>0</v>
      </c>
      <c r="BW59" s="465"/>
      <c r="BX59" s="465">
        <v>5000000</v>
      </c>
      <c r="BY59" s="465">
        <v>0</v>
      </c>
      <c r="BZ59" s="465">
        <f t="shared" si="19"/>
        <v>5000000</v>
      </c>
      <c r="CA59" s="465"/>
      <c r="CB59" s="465">
        <v>0</v>
      </c>
      <c r="CC59" s="465">
        <v>0</v>
      </c>
      <c r="CD59" s="465">
        <f t="shared" si="20"/>
        <v>0</v>
      </c>
      <c r="CE59" s="465"/>
      <c r="CF59" s="465">
        <f t="shared" si="21"/>
        <v>140000000</v>
      </c>
      <c r="CG59" s="465">
        <f>117827535+12269500+9902965</f>
        <v>140000000</v>
      </c>
      <c r="CH59" s="465">
        <f t="shared" si="22"/>
        <v>0</v>
      </c>
      <c r="CI59" s="465"/>
      <c r="CJ59" s="465">
        <v>20000000</v>
      </c>
      <c r="CK59" s="465">
        <f>17678680+2321320</f>
        <v>20000000</v>
      </c>
      <c r="CL59" s="465">
        <f t="shared" si="23"/>
        <v>0</v>
      </c>
      <c r="CM59" s="465"/>
      <c r="CN59" s="465">
        <v>10000000</v>
      </c>
      <c r="CO59" s="465">
        <f>9750000+250000</f>
        <v>10000000</v>
      </c>
      <c r="CP59" s="465">
        <f t="shared" si="24"/>
        <v>0</v>
      </c>
      <c r="CQ59" s="465"/>
      <c r="CR59" s="465">
        <v>40000000</v>
      </c>
      <c r="CS59" s="465">
        <f>30312125.14+9687874.86</f>
        <v>40000000</v>
      </c>
      <c r="CT59" s="465">
        <f t="shared" si="25"/>
        <v>0</v>
      </c>
      <c r="CU59" s="465"/>
      <c r="CV59" s="465">
        <v>150000000</v>
      </c>
      <c r="CW59" s="465">
        <f>122076235+10400000-1050000</f>
        <v>131426235</v>
      </c>
      <c r="CX59" s="465">
        <f t="shared" si="26"/>
        <v>18573765</v>
      </c>
      <c r="CY59" s="465"/>
      <c r="CZ59" s="465">
        <v>20000000</v>
      </c>
      <c r="DA59" s="465">
        <f>19989354+10646</f>
        <v>20000000</v>
      </c>
      <c r="DB59" s="465">
        <f t="shared" si="27"/>
        <v>0</v>
      </c>
      <c r="DC59" s="465"/>
      <c r="DD59" s="465">
        <v>10000000</v>
      </c>
      <c r="DE59" s="465">
        <f>4750000</f>
        <v>4750000</v>
      </c>
      <c r="DF59" s="465">
        <f t="shared" si="28"/>
        <v>5250000</v>
      </c>
      <c r="DG59" s="465"/>
      <c r="DH59" s="465">
        <v>50000000</v>
      </c>
      <c r="DI59" s="465">
        <f>2849585.14+47038849+111565.86</f>
        <v>50000000</v>
      </c>
      <c r="DJ59" s="465">
        <f t="shared" si="29"/>
        <v>0</v>
      </c>
      <c r="DK59" s="465"/>
      <c r="DL59" s="465">
        <v>10000000</v>
      </c>
      <c r="DM59" s="465">
        <v>0</v>
      </c>
      <c r="DN59" s="465">
        <f t="shared" si="30"/>
        <v>10000000</v>
      </c>
      <c r="DO59" s="465"/>
      <c r="DP59" s="465">
        <v>0</v>
      </c>
      <c r="DQ59" s="465">
        <v>0</v>
      </c>
      <c r="DR59" s="465">
        <f t="shared" si="31"/>
        <v>0</v>
      </c>
      <c r="DS59" s="465"/>
      <c r="DT59" s="465">
        <v>100000000</v>
      </c>
      <c r="DU59" s="465">
        <v>25939400</v>
      </c>
      <c r="DV59" s="465">
        <f t="shared" si="32"/>
        <v>74060600</v>
      </c>
      <c r="DW59" s="465"/>
      <c r="DX59" s="465">
        <v>15000000</v>
      </c>
      <c r="DY59" s="465">
        <f>6968610+8031390</f>
        <v>15000000</v>
      </c>
      <c r="DZ59" s="465">
        <f t="shared" si="33"/>
        <v>0</v>
      </c>
      <c r="EA59" s="465"/>
      <c r="EB59" s="465">
        <v>10000000</v>
      </c>
      <c r="EC59" s="465">
        <v>0</v>
      </c>
      <c r="ED59" s="465">
        <f t="shared" si="34"/>
        <v>10000000</v>
      </c>
      <c r="EE59" s="465"/>
      <c r="EF59" s="465">
        <v>25000000</v>
      </c>
      <c r="EG59" s="484">
        <f>18162535.14+4101400+2736064.86</f>
        <v>25000000</v>
      </c>
      <c r="EH59" s="465">
        <f t="shared" si="35"/>
        <v>0</v>
      </c>
      <c r="EI59" s="465"/>
      <c r="EJ59" s="465">
        <v>10000000</v>
      </c>
      <c r="EK59" s="465">
        <v>0</v>
      </c>
      <c r="EL59" s="465">
        <f t="shared" si="36"/>
        <v>10000000</v>
      </c>
      <c r="EM59" s="465"/>
      <c r="EN59" s="465">
        <v>300000000</v>
      </c>
      <c r="EO59" s="465">
        <v>0</v>
      </c>
      <c r="EP59" s="465">
        <f t="shared" si="37"/>
        <v>300000000</v>
      </c>
      <c r="EQ59" s="465"/>
      <c r="ER59" s="465">
        <v>25000000</v>
      </c>
      <c r="ES59" s="496">
        <f>1105142.8+2520000</f>
        <v>3625142.8</v>
      </c>
      <c r="ET59" s="465">
        <f t="shared" si="38"/>
        <v>21374857.199999999</v>
      </c>
      <c r="EU59" s="465"/>
      <c r="EV59" s="465">
        <v>10000000</v>
      </c>
      <c r="EW59" s="465">
        <v>0</v>
      </c>
      <c r="EX59" s="465">
        <f t="shared" si="39"/>
        <v>10000000</v>
      </c>
      <c r="EY59" s="465"/>
      <c r="EZ59" s="465">
        <v>30000000</v>
      </c>
      <c r="FA59" s="484">
        <f>11122895+9670138.14</f>
        <v>20793033.140000001</v>
      </c>
      <c r="FB59" s="465">
        <f t="shared" si="40"/>
        <v>9206966.8599999994</v>
      </c>
      <c r="FC59" s="465"/>
      <c r="FD59" s="465">
        <v>5000000</v>
      </c>
      <c r="FE59" s="465">
        <v>0</v>
      </c>
      <c r="FF59" s="465">
        <f t="shared" si="41"/>
        <v>5000000</v>
      </c>
      <c r="FG59" s="465"/>
      <c r="FH59" s="468">
        <v>120000000</v>
      </c>
      <c r="FI59" s="463">
        <v>0</v>
      </c>
      <c r="FJ59" s="463">
        <f t="shared" si="0"/>
        <v>120000000</v>
      </c>
      <c r="FK59" s="468"/>
      <c r="FL59" s="468">
        <v>25000000</v>
      </c>
      <c r="FM59" s="468">
        <v>0</v>
      </c>
      <c r="FN59" s="468">
        <f t="shared" si="63"/>
        <v>25000000</v>
      </c>
      <c r="FO59" s="468"/>
      <c r="FP59" s="468">
        <v>5000000</v>
      </c>
      <c r="FQ59" s="468">
        <v>0</v>
      </c>
      <c r="FR59" s="468">
        <f t="shared" si="74"/>
        <v>5000000</v>
      </c>
      <c r="FS59" s="468"/>
      <c r="FT59" s="468">
        <v>30000000</v>
      </c>
      <c r="FU59" s="468">
        <v>0</v>
      </c>
      <c r="FV59" s="468">
        <f t="shared" si="68"/>
        <v>30000000</v>
      </c>
      <c r="FW59" s="468"/>
      <c r="FX59" s="468">
        <v>4150000</v>
      </c>
      <c r="FY59" s="468">
        <v>0</v>
      </c>
      <c r="FZ59" s="468">
        <v>4150000</v>
      </c>
      <c r="GA59" s="468"/>
      <c r="GB59" s="468">
        <v>160000000</v>
      </c>
      <c r="GC59" s="468">
        <v>0</v>
      </c>
      <c r="GD59" s="468">
        <f t="shared" si="71"/>
        <v>160000000</v>
      </c>
      <c r="GE59" s="468"/>
      <c r="GF59" s="468">
        <v>25000000</v>
      </c>
      <c r="GG59" s="468">
        <v>0</v>
      </c>
      <c r="GH59" s="468">
        <f t="shared" si="69"/>
        <v>25000000</v>
      </c>
      <c r="GI59" s="468"/>
      <c r="GJ59" s="468">
        <v>5000000</v>
      </c>
      <c r="GK59" s="468">
        <v>0</v>
      </c>
      <c r="GL59" s="468">
        <f t="shared" si="72"/>
        <v>5000000</v>
      </c>
      <c r="GM59" s="468"/>
      <c r="GN59" s="468">
        <v>20000000</v>
      </c>
      <c r="GO59" s="468">
        <v>0</v>
      </c>
      <c r="GP59" s="468">
        <f t="shared" si="73"/>
        <v>20000000</v>
      </c>
      <c r="GQ59" s="468"/>
      <c r="GR59" s="468">
        <v>5000000</v>
      </c>
      <c r="GS59" s="468">
        <v>0</v>
      </c>
      <c r="GT59" s="468">
        <f t="shared" si="70"/>
        <v>5000000</v>
      </c>
      <c r="GU59" s="468"/>
      <c r="GV59" s="465">
        <f t="shared" si="50"/>
        <v>1886262721</v>
      </c>
      <c r="GW59" s="465">
        <f t="shared" si="50"/>
        <v>1003646531.9399999</v>
      </c>
      <c r="GX59" s="465">
        <f t="shared" si="51"/>
        <v>882616189.06000006</v>
      </c>
      <c r="GY59" s="470"/>
      <c r="GZ59" s="464"/>
      <c r="HA59" s="471">
        <f>D59+H59+L59+X59+AN59+BH59+CB59+CF59+CV59+DP59+DT59+EN59+FH59+GB59</f>
        <v>1333312721</v>
      </c>
      <c r="HB59" s="471">
        <f>E59+I59+M59+Y59+AO59+BI59+CC59+CG59+CW59+DQ59+DU59+EO59+FI59+GC59</f>
        <v>660678356</v>
      </c>
      <c r="HC59" s="471">
        <f t="shared" si="52"/>
        <v>672634365</v>
      </c>
      <c r="HE59" s="471">
        <f>P59+AB59+AR59+
BL59+CJ59+CZ59+DX59+ER59+FL59+GF59</f>
        <v>167000000</v>
      </c>
      <c r="HF59" s="471">
        <f>Q59+AC59+AS59+
BM59+CK59+DA59+DY59+ES59+FM59+GG59</f>
        <v>95625142.799999997</v>
      </c>
      <c r="HG59" s="471">
        <f t="shared" si="53"/>
        <v>71374857.200000003</v>
      </c>
      <c r="HI59" s="471">
        <f>T59+AF59+AV59+BP59+CN59+DD59+EB59+EV59+FP59+GJ59</f>
        <v>71800000</v>
      </c>
      <c r="HJ59" s="471">
        <f>U59+AG59+AW59+BQ59+CO59+DE59+EC59+EW59+FQ59+GK59</f>
        <v>36550000</v>
      </c>
      <c r="HK59" s="471">
        <f t="shared" si="54"/>
        <v>35250000</v>
      </c>
      <c r="HM59" s="475">
        <f>AJ59+AZ59+BT59+CR59+DH59+EF59+EZ59+FT59+GN59</f>
        <v>270000000</v>
      </c>
      <c r="HN59" s="475">
        <f>AK59+BA59+BU59+CS59+DI59+EG59+FA59+FU59+GO59</f>
        <v>210793033.13999999</v>
      </c>
      <c r="HO59" s="475">
        <f t="shared" si="55"/>
        <v>59206966.860000014</v>
      </c>
      <c r="HP59" s="476"/>
      <c r="HR59" s="471">
        <f>BD59+BX59+DL59+EJ59+FD59+FX59+GR59</f>
        <v>44150000</v>
      </c>
      <c r="HS59" s="471">
        <f>BE59+BY59+DM59+EK59+FE59+FY59+GS59</f>
        <v>0</v>
      </c>
      <c r="HT59" s="471">
        <f t="shared" si="56"/>
        <v>44150000</v>
      </c>
    </row>
    <row r="60" spans="1:228" x14ac:dyDescent="0.25">
      <c r="A60" s="107">
        <v>55</v>
      </c>
      <c r="B60" s="107" t="s">
        <v>119</v>
      </c>
      <c r="C60" s="113" t="s">
        <v>63</v>
      </c>
      <c r="D60" s="465">
        <v>0</v>
      </c>
      <c r="E60" s="465">
        <v>0</v>
      </c>
      <c r="F60" s="465">
        <f t="shared" si="1"/>
        <v>0</v>
      </c>
      <c r="G60" s="465"/>
      <c r="H60" s="465">
        <v>50000000</v>
      </c>
      <c r="I60" s="465">
        <v>50000000</v>
      </c>
      <c r="J60" s="465">
        <f t="shared" si="2"/>
        <v>0</v>
      </c>
      <c r="K60" s="465"/>
      <c r="L60" s="465">
        <v>50000000</v>
      </c>
      <c r="M60" s="465">
        <v>50000000</v>
      </c>
      <c r="N60" s="465">
        <f t="shared" si="3"/>
        <v>0</v>
      </c>
      <c r="O60" s="465"/>
      <c r="P60" s="465">
        <v>7000000</v>
      </c>
      <c r="Q60" s="465">
        <v>7000000</v>
      </c>
      <c r="R60" s="465">
        <f t="shared" si="4"/>
        <v>0</v>
      </c>
      <c r="S60" s="465"/>
      <c r="T60" s="465">
        <v>3000000</v>
      </c>
      <c r="U60" s="465">
        <f>3000000</f>
        <v>3000000</v>
      </c>
      <c r="V60" s="465">
        <f t="shared" si="5"/>
        <v>0</v>
      </c>
      <c r="W60" s="465"/>
      <c r="X60" s="465">
        <v>60000000</v>
      </c>
      <c r="Y60" s="465">
        <v>60000000</v>
      </c>
      <c r="Z60" s="465">
        <f t="shared" si="6"/>
        <v>0</v>
      </c>
      <c r="AA60" s="465"/>
      <c r="AB60" s="465">
        <v>10000000</v>
      </c>
      <c r="AC60" s="465">
        <f>5701762+4298238</f>
        <v>10000000</v>
      </c>
      <c r="AD60" s="465">
        <f t="shared" si="7"/>
        <v>0</v>
      </c>
      <c r="AE60" s="465"/>
      <c r="AF60" s="465">
        <v>2394950</v>
      </c>
      <c r="AG60" s="465">
        <f>2394950</f>
        <v>2394950</v>
      </c>
      <c r="AH60" s="465">
        <f t="shared" si="8"/>
        <v>0</v>
      </c>
      <c r="AI60" s="465"/>
      <c r="AJ60" s="465">
        <v>15000000</v>
      </c>
      <c r="AK60" s="465">
        <v>15000000</v>
      </c>
      <c r="AL60" s="465">
        <f t="shared" si="9"/>
        <v>0</v>
      </c>
      <c r="AM60" s="465"/>
      <c r="AN60" s="465">
        <v>80000000</v>
      </c>
      <c r="AO60" s="465">
        <v>80000000</v>
      </c>
      <c r="AP60" s="465">
        <f t="shared" si="10"/>
        <v>0</v>
      </c>
      <c r="AQ60" s="465"/>
      <c r="AR60" s="465">
        <v>10000000</v>
      </c>
      <c r="AS60" s="465">
        <f>10000000</f>
        <v>10000000</v>
      </c>
      <c r="AT60" s="465">
        <f t="shared" si="11"/>
        <v>0</v>
      </c>
      <c r="AU60" s="465"/>
      <c r="AV60" s="465">
        <v>5000000</v>
      </c>
      <c r="AW60" s="465">
        <v>0</v>
      </c>
      <c r="AX60" s="465">
        <f t="shared" si="12"/>
        <v>5000000</v>
      </c>
      <c r="AY60" s="465"/>
      <c r="AZ60" s="465">
        <v>20000000</v>
      </c>
      <c r="BA60" s="465">
        <v>20000000</v>
      </c>
      <c r="BB60" s="465">
        <f t="shared" si="13"/>
        <v>0</v>
      </c>
      <c r="BC60" s="465"/>
      <c r="BD60" s="465">
        <v>5000000</v>
      </c>
      <c r="BE60" s="487">
        <f>2465000+1347250+1187750</f>
        <v>5000000</v>
      </c>
      <c r="BF60" s="465">
        <f t="shared" si="14"/>
        <v>0</v>
      </c>
      <c r="BG60" s="465"/>
      <c r="BH60" s="465">
        <v>130000000</v>
      </c>
      <c r="BI60" s="465">
        <f>51789120.75+478500+43769430.93+41872865+10000000-17909916.68</f>
        <v>130000000</v>
      </c>
      <c r="BJ60" s="465">
        <f t="shared" si="15"/>
        <v>0</v>
      </c>
      <c r="BK60" s="465"/>
      <c r="BL60" s="465">
        <v>10000000</v>
      </c>
      <c r="BM60" s="465">
        <f>6488517+3511483</f>
        <v>10000000</v>
      </c>
      <c r="BN60" s="465">
        <f t="shared" si="16"/>
        <v>0</v>
      </c>
      <c r="BO60" s="465"/>
      <c r="BP60" s="465">
        <v>10000000</v>
      </c>
      <c r="BQ60" s="465">
        <v>0</v>
      </c>
      <c r="BR60" s="465">
        <f t="shared" si="17"/>
        <v>10000000</v>
      </c>
      <c r="BS60" s="465"/>
      <c r="BT60" s="465">
        <v>40000000</v>
      </c>
      <c r="BU60" s="465">
        <f>2188231+18525050+6574850+12551235+160634</f>
        <v>40000000</v>
      </c>
      <c r="BV60" s="465">
        <f t="shared" si="18"/>
        <v>0</v>
      </c>
      <c r="BW60" s="465"/>
      <c r="BX60" s="465">
        <v>5000000</v>
      </c>
      <c r="BY60" s="487">
        <f>2633172.5+464677.5+1340250+561900</f>
        <v>5000000</v>
      </c>
      <c r="BZ60" s="465">
        <f t="shared" si="19"/>
        <v>0</v>
      </c>
      <c r="CA60" s="465"/>
      <c r="CB60" s="465">
        <v>0</v>
      </c>
      <c r="CC60" s="465">
        <v>0</v>
      </c>
      <c r="CD60" s="465">
        <f t="shared" si="20"/>
        <v>0</v>
      </c>
      <c r="CE60" s="465"/>
      <c r="CF60" s="465">
        <f t="shared" si="21"/>
        <v>140000000</v>
      </c>
      <c r="CG60" s="465">
        <f>45794600+53369709+17909916.68+77090760-54164985.68</f>
        <v>140000000</v>
      </c>
      <c r="CH60" s="465">
        <f t="shared" si="22"/>
        <v>0</v>
      </c>
      <c r="CI60" s="465"/>
      <c r="CJ60" s="465">
        <v>20000000</v>
      </c>
      <c r="CK60" s="465">
        <f>13404985+6595015</f>
        <v>20000000</v>
      </c>
      <c r="CL60" s="465">
        <f t="shared" si="23"/>
        <v>0</v>
      </c>
      <c r="CM60" s="465"/>
      <c r="CN60" s="465">
        <v>10000000</v>
      </c>
      <c r="CO60" s="465">
        <v>0</v>
      </c>
      <c r="CP60" s="465">
        <f t="shared" si="24"/>
        <v>10000000</v>
      </c>
      <c r="CQ60" s="465"/>
      <c r="CR60" s="465">
        <v>40000000</v>
      </c>
      <c r="CS60" s="465">
        <f>36925767+3074233</f>
        <v>40000000</v>
      </c>
      <c r="CT60" s="465">
        <f t="shared" si="25"/>
        <v>0</v>
      </c>
      <c r="CU60" s="465"/>
      <c r="CV60" s="465">
        <v>150000000</v>
      </c>
      <c r="CW60" s="465">
        <f>54164985.68+28296640+61017862+26279600-26279600+6520512.32</f>
        <v>150000000</v>
      </c>
      <c r="CX60" s="465">
        <f t="shared" si="26"/>
        <v>0</v>
      </c>
      <c r="CY60" s="465"/>
      <c r="CZ60" s="465">
        <v>20000000</v>
      </c>
      <c r="DA60" s="465">
        <f>5410897.48+7384010+4000000+3205092.52</f>
        <v>20000000</v>
      </c>
      <c r="DB60" s="465">
        <f t="shared" si="27"/>
        <v>0</v>
      </c>
      <c r="DC60" s="465"/>
      <c r="DD60" s="465">
        <v>10000000</v>
      </c>
      <c r="DE60" s="465">
        <v>0</v>
      </c>
      <c r="DF60" s="465">
        <f t="shared" si="28"/>
        <v>10000000</v>
      </c>
      <c r="DG60" s="465"/>
      <c r="DH60" s="465">
        <v>50000000</v>
      </c>
      <c r="DI60" s="465">
        <f>642252+34070610+11808935+3478223-20</f>
        <v>50000000</v>
      </c>
      <c r="DJ60" s="465">
        <f t="shared" si="29"/>
        <v>0</v>
      </c>
      <c r="DK60" s="465"/>
      <c r="DL60" s="465">
        <v>10000000</v>
      </c>
      <c r="DM60" s="487">
        <f>3872500-90000+995850</f>
        <v>4778350</v>
      </c>
      <c r="DN60" s="465">
        <f t="shared" si="30"/>
        <v>5221650</v>
      </c>
      <c r="DO60" s="465"/>
      <c r="DP60" s="465">
        <v>0</v>
      </c>
      <c r="DQ60" s="465">
        <v>0</v>
      </c>
      <c r="DR60" s="465">
        <f t="shared" si="31"/>
        <v>0</v>
      </c>
      <c r="DS60" s="465"/>
      <c r="DT60" s="465">
        <v>100000000</v>
      </c>
      <c r="DU60" s="465">
        <f>4410587.68+26279600+23307000+24500000+9000000+10000000+2502812.32</f>
        <v>100000000</v>
      </c>
      <c r="DV60" s="465">
        <f t="shared" si="32"/>
        <v>0</v>
      </c>
      <c r="DW60" s="465"/>
      <c r="DX60" s="465">
        <v>15000000</v>
      </c>
      <c r="DY60" s="465">
        <f>11651200+2722443.48+626356.52</f>
        <v>15000000</v>
      </c>
      <c r="DZ60" s="465">
        <f t="shared" si="33"/>
        <v>0</v>
      </c>
      <c r="EA60" s="465"/>
      <c r="EB60" s="465">
        <v>10000000</v>
      </c>
      <c r="EC60" s="465">
        <v>0</v>
      </c>
      <c r="ED60" s="465">
        <f t="shared" si="34"/>
        <v>10000000</v>
      </c>
      <c r="EE60" s="465"/>
      <c r="EF60" s="465">
        <v>25000000</v>
      </c>
      <c r="EG60" s="465">
        <f>16482494+1708200+6809306</f>
        <v>25000000</v>
      </c>
      <c r="EH60" s="465">
        <f t="shared" si="35"/>
        <v>0</v>
      </c>
      <c r="EI60" s="465"/>
      <c r="EJ60" s="465">
        <v>10000000</v>
      </c>
      <c r="EK60" s="465">
        <v>0</v>
      </c>
      <c r="EL60" s="465">
        <f t="shared" si="36"/>
        <v>10000000</v>
      </c>
      <c r="EM60" s="465"/>
      <c r="EN60" s="465">
        <v>300000000</v>
      </c>
      <c r="EO60" s="478">
        <f>25997187.68+28487500+14369798.25+4105500+51428072.4+28323850+84562629.55+36084432.15+19931686.4</f>
        <v>293290656.42999995</v>
      </c>
      <c r="EP60" s="465">
        <f t="shared" si="37"/>
        <v>6709343.5700000525</v>
      </c>
      <c r="EQ60" s="465"/>
      <c r="ER60" s="465">
        <v>25000000</v>
      </c>
      <c r="ES60" s="465">
        <f>11224557.88+1356210+4101516+1723235.46</f>
        <v>18405519.34</v>
      </c>
      <c r="ET60" s="465">
        <f t="shared" si="38"/>
        <v>6594480.6600000001</v>
      </c>
      <c r="EU60" s="465"/>
      <c r="EV60" s="465">
        <v>10000000</v>
      </c>
      <c r="EW60" s="465">
        <v>0</v>
      </c>
      <c r="EX60" s="465">
        <f t="shared" si="39"/>
        <v>10000000</v>
      </c>
      <c r="EY60" s="465"/>
      <c r="EZ60" s="465">
        <v>30000000</v>
      </c>
      <c r="FA60" s="465">
        <f>6808794+1840600+5191700+11183750+4975156</f>
        <v>30000000</v>
      </c>
      <c r="FB60" s="465">
        <f t="shared" si="40"/>
        <v>0</v>
      </c>
      <c r="FC60" s="465"/>
      <c r="FD60" s="465">
        <v>5000000</v>
      </c>
      <c r="FE60" s="465">
        <v>0</v>
      </c>
      <c r="FF60" s="465">
        <f t="shared" si="41"/>
        <v>5000000</v>
      </c>
      <c r="FG60" s="465"/>
      <c r="FH60" s="468">
        <v>120000000</v>
      </c>
      <c r="FI60" s="463">
        <v>0</v>
      </c>
      <c r="FJ60" s="463">
        <f t="shared" si="0"/>
        <v>120000000</v>
      </c>
      <c r="FK60" s="468"/>
      <c r="FL60" s="468">
        <v>25000000</v>
      </c>
      <c r="FM60" s="468">
        <v>0</v>
      </c>
      <c r="FN60" s="468">
        <f t="shared" si="63"/>
        <v>25000000</v>
      </c>
      <c r="FO60" s="468"/>
      <c r="FP60" s="468">
        <v>5000000</v>
      </c>
      <c r="FQ60" s="468">
        <v>0</v>
      </c>
      <c r="FR60" s="468">
        <f t="shared" si="74"/>
        <v>5000000</v>
      </c>
      <c r="FS60" s="468"/>
      <c r="FT60" s="468">
        <v>30000000</v>
      </c>
      <c r="FU60" s="469">
        <f>9031685+20+12744803+8223492</f>
        <v>30000000</v>
      </c>
      <c r="FV60" s="468">
        <f t="shared" si="68"/>
        <v>0</v>
      </c>
      <c r="FW60" s="468"/>
      <c r="FX60" s="468">
        <v>4150000</v>
      </c>
      <c r="FY60" s="468">
        <v>0</v>
      </c>
      <c r="FZ60" s="468">
        <v>4150000</v>
      </c>
      <c r="GA60" s="468"/>
      <c r="GB60" s="468">
        <v>160000000</v>
      </c>
      <c r="GC60" s="468">
        <v>0</v>
      </c>
      <c r="GD60" s="468">
        <f t="shared" si="71"/>
        <v>160000000</v>
      </c>
      <c r="GE60" s="468"/>
      <c r="GF60" s="468">
        <v>25000000</v>
      </c>
      <c r="GG60" s="468">
        <v>0</v>
      </c>
      <c r="GH60" s="468">
        <f>GF60-GG60</f>
        <v>25000000</v>
      </c>
      <c r="GI60" s="468"/>
      <c r="GJ60" s="468">
        <v>5000000</v>
      </c>
      <c r="GK60" s="468">
        <v>0</v>
      </c>
      <c r="GL60" s="468">
        <f t="shared" si="72"/>
        <v>5000000</v>
      </c>
      <c r="GM60" s="468"/>
      <c r="GN60" s="468">
        <v>20000000</v>
      </c>
      <c r="GO60" s="469">
        <f>17801848</f>
        <v>17801848</v>
      </c>
      <c r="GP60" s="468">
        <f t="shared" si="73"/>
        <v>2198152</v>
      </c>
      <c r="GQ60" s="468"/>
      <c r="GR60" s="468">
        <v>5000000</v>
      </c>
      <c r="GS60" s="468">
        <v>0</v>
      </c>
      <c r="GT60" s="468">
        <f t="shared" si="70"/>
        <v>5000000</v>
      </c>
      <c r="GU60" s="468"/>
      <c r="GV60" s="465">
        <f t="shared" si="50"/>
        <v>1891544950</v>
      </c>
      <c r="GW60" s="465">
        <f t="shared" si="50"/>
        <v>1451671323.7699997</v>
      </c>
      <c r="GX60" s="465">
        <f t="shared" si="51"/>
        <v>439873626.23000026</v>
      </c>
      <c r="GY60" s="470"/>
      <c r="GZ60" s="464"/>
      <c r="HA60" s="471">
        <f>D60+H60+L60+X60+AN60+BH60+CB60+CF60+CV60+DP60+DT60+EN60+FH60+GB60</f>
        <v>1340000000</v>
      </c>
      <c r="HB60" s="471">
        <f>E60+I60+M60+Y60+AO60+BI60+CC60+CG60+CW60+DQ60+DU60+EO60+FI60+GC60</f>
        <v>1053290656.4299999</v>
      </c>
      <c r="HC60" s="471">
        <f t="shared" si="52"/>
        <v>286709343.57000005</v>
      </c>
      <c r="HE60" s="471">
        <f>P60+AB60+AR60+
BL60+CJ60+CZ60+DX60+ER60+FL60+GF60</f>
        <v>167000000</v>
      </c>
      <c r="HF60" s="471">
        <f>Q60+AC60+AS60+
BM60+CK60+DA60+DY60+ES60+FM60+GG60</f>
        <v>110405519.34</v>
      </c>
      <c r="HG60" s="471">
        <f t="shared" si="53"/>
        <v>56594480.659999996</v>
      </c>
      <c r="HI60" s="471">
        <f>T60+AF60+AV60+BP60+CN60+DD60+EB60+EV60+FP60+GJ60</f>
        <v>70394950</v>
      </c>
      <c r="HJ60" s="471">
        <f>U60+AG60+AW60+BQ60+CO60+DE60+EC60+EW60+FQ60+GK60</f>
        <v>5394950</v>
      </c>
      <c r="HK60" s="471">
        <f t="shared" si="54"/>
        <v>65000000</v>
      </c>
      <c r="HM60" s="475">
        <f>AJ60+AZ60+BT60+CR60+DH60+EF60+EZ60+FT60+GN60</f>
        <v>270000000</v>
      </c>
      <c r="HN60" s="475">
        <f>AK60+BA60+BU60+CS60+DI60+EG60+FA60+FU60+GO60</f>
        <v>267801848</v>
      </c>
      <c r="HO60" s="475">
        <f t="shared" si="55"/>
        <v>2198152</v>
      </c>
      <c r="HP60" s="476"/>
      <c r="HR60" s="471">
        <f>BD60+BX60+DL60+EJ60+FD60+FX60+GR60</f>
        <v>44150000</v>
      </c>
      <c r="HS60" s="471">
        <f>BE60+BY60+DM60+EK60+FE60+FY60+GS60</f>
        <v>14778350</v>
      </c>
      <c r="HT60" s="471">
        <f t="shared" si="56"/>
        <v>29371650</v>
      </c>
    </row>
    <row r="61" spans="1:228" x14ac:dyDescent="0.25">
      <c r="A61" s="107" t="s">
        <v>120</v>
      </c>
      <c r="B61" s="510" t="s">
        <v>121</v>
      </c>
      <c r="C61" s="285"/>
      <c r="D61" s="465">
        <v>0</v>
      </c>
      <c r="E61" s="465">
        <v>0</v>
      </c>
      <c r="F61" s="465">
        <f t="shared" si="1"/>
        <v>0</v>
      </c>
      <c r="G61" s="465"/>
      <c r="H61" s="461">
        <v>0</v>
      </c>
      <c r="I61" s="498">
        <v>0</v>
      </c>
      <c r="J61" s="465">
        <f t="shared" si="2"/>
        <v>0</v>
      </c>
      <c r="K61" s="465"/>
      <c r="L61" s="498">
        <v>0</v>
      </c>
      <c r="M61" s="498">
        <v>0</v>
      </c>
      <c r="N61" s="465">
        <f t="shared" si="3"/>
        <v>0</v>
      </c>
      <c r="O61" s="465"/>
      <c r="P61" s="498">
        <v>0</v>
      </c>
      <c r="Q61" s="498">
        <v>0</v>
      </c>
      <c r="R61" s="465">
        <f t="shared" si="4"/>
        <v>0</v>
      </c>
      <c r="S61" s="465"/>
      <c r="T61" s="498">
        <v>0</v>
      </c>
      <c r="U61" s="498">
        <v>0</v>
      </c>
      <c r="V61" s="465">
        <f t="shared" si="5"/>
        <v>0</v>
      </c>
      <c r="W61" s="465"/>
      <c r="X61" s="465">
        <v>0</v>
      </c>
      <c r="Y61" s="465">
        <v>0</v>
      </c>
      <c r="Z61" s="465">
        <f t="shared" si="6"/>
        <v>0</v>
      </c>
      <c r="AA61" s="465"/>
      <c r="AB61" s="465">
        <v>0</v>
      </c>
      <c r="AC61" s="465">
        <v>0</v>
      </c>
      <c r="AD61" s="465">
        <f t="shared" si="7"/>
        <v>0</v>
      </c>
      <c r="AE61" s="465"/>
      <c r="AF61" s="465">
        <v>0</v>
      </c>
      <c r="AG61" s="465">
        <v>0</v>
      </c>
      <c r="AH61" s="465">
        <f t="shared" si="8"/>
        <v>0</v>
      </c>
      <c r="AI61" s="465"/>
      <c r="AJ61" s="465"/>
      <c r="AK61" s="465"/>
      <c r="AL61" s="465">
        <f t="shared" si="9"/>
        <v>0</v>
      </c>
      <c r="AM61" s="498"/>
      <c r="AN61" s="465">
        <v>0</v>
      </c>
      <c r="AO61" s="465">
        <v>0</v>
      </c>
      <c r="AP61" s="465">
        <f t="shared" si="10"/>
        <v>0</v>
      </c>
      <c r="AQ61" s="465"/>
      <c r="AR61" s="465">
        <v>0</v>
      </c>
      <c r="AS61" s="465">
        <v>0</v>
      </c>
      <c r="AT61" s="465">
        <f t="shared" si="11"/>
        <v>0</v>
      </c>
      <c r="AU61" s="465"/>
      <c r="AV61" s="465">
        <v>0</v>
      </c>
      <c r="AW61" s="465">
        <v>0</v>
      </c>
      <c r="AX61" s="465">
        <f t="shared" si="12"/>
        <v>0</v>
      </c>
      <c r="AY61" s="465"/>
      <c r="AZ61" s="465">
        <v>0</v>
      </c>
      <c r="BA61" s="465">
        <v>0</v>
      </c>
      <c r="BB61" s="465">
        <f t="shared" si="13"/>
        <v>0</v>
      </c>
      <c r="BC61" s="465"/>
      <c r="BD61" s="465">
        <v>0</v>
      </c>
      <c r="BE61" s="465">
        <v>0</v>
      </c>
      <c r="BF61" s="465">
        <f t="shared" si="14"/>
        <v>0</v>
      </c>
      <c r="BG61" s="465"/>
      <c r="BH61" s="465">
        <v>0</v>
      </c>
      <c r="BI61" s="465">
        <v>0</v>
      </c>
      <c r="BJ61" s="465">
        <f t="shared" si="15"/>
        <v>0</v>
      </c>
      <c r="BK61" s="465"/>
      <c r="BL61" s="465">
        <v>0</v>
      </c>
      <c r="BM61" s="465">
        <v>0</v>
      </c>
      <c r="BN61" s="465">
        <f t="shared" si="16"/>
        <v>0</v>
      </c>
      <c r="BO61" s="465"/>
      <c r="BP61" s="465">
        <v>0</v>
      </c>
      <c r="BQ61" s="465">
        <v>0</v>
      </c>
      <c r="BR61" s="465">
        <f t="shared" si="17"/>
        <v>0</v>
      </c>
      <c r="BS61" s="465"/>
      <c r="BT61" s="465">
        <v>0</v>
      </c>
      <c r="BU61" s="465">
        <v>0</v>
      </c>
      <c r="BV61" s="465">
        <f t="shared" si="18"/>
        <v>0</v>
      </c>
      <c r="BW61" s="465"/>
      <c r="BX61" s="465">
        <v>0</v>
      </c>
      <c r="BY61" s="465">
        <v>0</v>
      </c>
      <c r="BZ61" s="465">
        <f t="shared" si="19"/>
        <v>0</v>
      </c>
      <c r="CA61" s="465"/>
      <c r="CB61" s="465">
        <v>0</v>
      </c>
      <c r="CC61" s="465">
        <v>0</v>
      </c>
      <c r="CD61" s="465">
        <f t="shared" si="20"/>
        <v>0</v>
      </c>
      <c r="CE61" s="465"/>
      <c r="CF61" s="465">
        <v>0</v>
      </c>
      <c r="CG61" s="465">
        <v>0</v>
      </c>
      <c r="CH61" s="465">
        <f t="shared" si="22"/>
        <v>0</v>
      </c>
      <c r="CI61" s="465"/>
      <c r="CJ61" s="465">
        <v>0</v>
      </c>
      <c r="CK61" s="465">
        <v>0</v>
      </c>
      <c r="CL61" s="465">
        <f t="shared" si="23"/>
        <v>0</v>
      </c>
      <c r="CM61" s="465"/>
      <c r="CN61" s="465">
        <v>0</v>
      </c>
      <c r="CO61" s="465">
        <v>0</v>
      </c>
      <c r="CP61" s="465">
        <f t="shared" si="24"/>
        <v>0</v>
      </c>
      <c r="CQ61" s="465"/>
      <c r="CR61" s="465">
        <v>0</v>
      </c>
      <c r="CS61" s="465">
        <v>0</v>
      </c>
      <c r="CT61" s="465">
        <f t="shared" si="25"/>
        <v>0</v>
      </c>
      <c r="CU61" s="465"/>
      <c r="CV61" s="465">
        <v>0</v>
      </c>
      <c r="CW61" s="465">
        <v>0</v>
      </c>
      <c r="CX61" s="465">
        <f t="shared" si="26"/>
        <v>0</v>
      </c>
      <c r="CY61" s="465"/>
      <c r="CZ61" s="465">
        <v>0</v>
      </c>
      <c r="DA61" s="465">
        <v>0</v>
      </c>
      <c r="DB61" s="465">
        <f t="shared" si="27"/>
        <v>0</v>
      </c>
      <c r="DC61" s="465"/>
      <c r="DD61" s="465">
        <v>0</v>
      </c>
      <c r="DE61" s="465">
        <v>0</v>
      </c>
      <c r="DF61" s="465">
        <f t="shared" si="28"/>
        <v>0</v>
      </c>
      <c r="DG61" s="465">
        <v>0</v>
      </c>
      <c r="DH61" s="465">
        <v>0</v>
      </c>
      <c r="DI61" s="465">
        <v>0</v>
      </c>
      <c r="DJ61" s="465">
        <f t="shared" si="29"/>
        <v>0</v>
      </c>
      <c r="DK61" s="465"/>
      <c r="DL61" s="465">
        <v>0</v>
      </c>
      <c r="DM61" s="465">
        <v>0</v>
      </c>
      <c r="DN61" s="465">
        <f t="shared" si="30"/>
        <v>0</v>
      </c>
      <c r="DO61" s="465"/>
      <c r="DP61" s="465">
        <v>0</v>
      </c>
      <c r="DQ61" s="465">
        <v>0</v>
      </c>
      <c r="DR61" s="465">
        <f t="shared" si="31"/>
        <v>0</v>
      </c>
      <c r="DS61" s="465"/>
      <c r="DT61" s="465">
        <v>0</v>
      </c>
      <c r="DU61" s="465">
        <v>0</v>
      </c>
      <c r="DV61" s="465">
        <f t="shared" si="32"/>
        <v>0</v>
      </c>
      <c r="DW61" s="465"/>
      <c r="DX61" s="465">
        <v>0</v>
      </c>
      <c r="DY61" s="465">
        <v>0</v>
      </c>
      <c r="DZ61" s="465">
        <f t="shared" si="33"/>
        <v>0</v>
      </c>
      <c r="EA61" s="465"/>
      <c r="EB61" s="465">
        <v>0</v>
      </c>
      <c r="EC61" s="465">
        <v>0</v>
      </c>
      <c r="ED61" s="465">
        <f t="shared" si="34"/>
        <v>0</v>
      </c>
      <c r="EE61" s="465"/>
      <c r="EF61" s="465">
        <v>0</v>
      </c>
      <c r="EG61" s="465">
        <v>0</v>
      </c>
      <c r="EH61" s="465">
        <f t="shared" si="35"/>
        <v>0</v>
      </c>
      <c r="EI61" s="465"/>
      <c r="EJ61" s="465">
        <v>0</v>
      </c>
      <c r="EK61" s="465">
        <v>0</v>
      </c>
      <c r="EL61" s="465">
        <f t="shared" si="36"/>
        <v>0</v>
      </c>
      <c r="EM61" s="465"/>
      <c r="EN61" s="465"/>
      <c r="EO61" s="465">
        <v>0</v>
      </c>
      <c r="EP61" s="465">
        <f t="shared" si="37"/>
        <v>0</v>
      </c>
      <c r="EQ61" s="465"/>
      <c r="ER61" s="465"/>
      <c r="ES61" s="465">
        <v>0</v>
      </c>
      <c r="ET61" s="465">
        <f t="shared" si="38"/>
        <v>0</v>
      </c>
      <c r="EU61" s="465"/>
      <c r="EV61" s="465"/>
      <c r="EW61" s="465">
        <v>0</v>
      </c>
      <c r="EX61" s="465">
        <f t="shared" si="39"/>
        <v>0</v>
      </c>
      <c r="EY61" s="465"/>
      <c r="EZ61" s="465"/>
      <c r="FA61" s="465">
        <v>0</v>
      </c>
      <c r="FB61" s="465">
        <f t="shared" si="40"/>
        <v>0</v>
      </c>
      <c r="FC61" s="465"/>
      <c r="FD61" s="465"/>
      <c r="FE61" s="465">
        <v>0</v>
      </c>
      <c r="FF61" s="465">
        <f t="shared" si="41"/>
        <v>0</v>
      </c>
      <c r="FG61" s="465"/>
      <c r="FH61" s="468"/>
      <c r="FI61" s="463">
        <v>0</v>
      </c>
      <c r="FJ61" s="463">
        <f t="shared" si="0"/>
        <v>0</v>
      </c>
      <c r="FK61" s="468"/>
      <c r="FL61" s="468"/>
      <c r="FM61" s="468">
        <v>0</v>
      </c>
      <c r="FN61" s="468"/>
      <c r="FO61" s="468"/>
      <c r="FP61" s="468"/>
      <c r="FQ61" s="468"/>
      <c r="FR61" s="468"/>
      <c r="FS61" s="468"/>
      <c r="FT61" s="468"/>
      <c r="FU61" s="468"/>
      <c r="FV61" s="468"/>
      <c r="FW61" s="468"/>
      <c r="FX61" s="468"/>
      <c r="FY61" s="468"/>
      <c r="FZ61" s="468"/>
      <c r="GA61" s="468"/>
      <c r="GB61" s="507"/>
      <c r="GC61" s="507"/>
      <c r="GD61" s="507"/>
      <c r="GE61" s="507"/>
      <c r="GF61" s="507"/>
      <c r="GG61" s="507"/>
      <c r="GH61" s="507"/>
      <c r="GI61" s="507"/>
      <c r="GJ61" s="507"/>
      <c r="GK61" s="507"/>
      <c r="GL61" s="507"/>
      <c r="GM61" s="507"/>
      <c r="GN61" s="507"/>
      <c r="GO61" s="507"/>
      <c r="GP61" s="507"/>
      <c r="GQ61" s="507"/>
      <c r="GR61" s="507"/>
      <c r="GS61" s="507"/>
      <c r="GT61" s="507"/>
      <c r="GU61" s="468"/>
      <c r="GV61" s="465">
        <f t="shared" si="50"/>
        <v>0</v>
      </c>
      <c r="GW61" s="465">
        <f t="shared" si="50"/>
        <v>0</v>
      </c>
      <c r="GX61" s="465">
        <f t="shared" si="51"/>
        <v>0</v>
      </c>
      <c r="GY61" s="470"/>
      <c r="GZ61" s="511" t="s">
        <v>482</v>
      </c>
      <c r="HA61" s="471">
        <f>D61+H61+L61+X61+AN61+BH61+CB61+CF61+CV61+DP61+DT61+EN61+FH61+GB61</f>
        <v>0</v>
      </c>
      <c r="HB61" s="471">
        <f>E61+I61+M61+Y61+AO61+BI61+CC61+CG61+CW61+DQ61+DU61+EO61+FI61+GC61</f>
        <v>0</v>
      </c>
      <c r="HC61" s="471">
        <f t="shared" si="52"/>
        <v>0</v>
      </c>
      <c r="HD61" s="473"/>
      <c r="HE61" s="471">
        <f>P61+AB61+AR61+
BL61+CJ61+CZ61+DX61+ER61+FL61+GF61</f>
        <v>0</v>
      </c>
      <c r="HF61" s="471">
        <f>Q61+AC61+AS61+
BM61+CK61+DA61+DY61+ES61+FM61+GG61</f>
        <v>0</v>
      </c>
      <c r="HG61" s="471">
        <f t="shared" si="53"/>
        <v>0</v>
      </c>
      <c r="HI61" s="471">
        <f>T61+AF61+AV61+BP61+CN61+DD61+EB61+EV61+FP61+GJ61</f>
        <v>0</v>
      </c>
      <c r="HJ61" s="471">
        <f>U61+AG61+AW61+BQ61+CO61+DE61+EC61+EW61+FQ61+GK61</f>
        <v>0</v>
      </c>
      <c r="HK61" s="471">
        <f t="shared" si="54"/>
        <v>0</v>
      </c>
      <c r="HM61" s="475">
        <f>AJ61+AZ61+BT61+CR61+DH61+EF61+EZ61+FT61+GN61</f>
        <v>0</v>
      </c>
      <c r="HN61" s="475">
        <f>AK61+BA61+BU61+CS61+DI61+EG61+FA61+FU61+GO61</f>
        <v>0</v>
      </c>
      <c r="HO61" s="475">
        <f t="shared" si="55"/>
        <v>0</v>
      </c>
      <c r="HP61" s="476"/>
      <c r="HR61" s="471">
        <f>BD61+BX61+DL61+EJ61+FD61+FX61+GR61</f>
        <v>0</v>
      </c>
      <c r="HS61" s="471">
        <f>BE61+BY61+DM61+EK61+FE61+FY61+GS61</f>
        <v>0</v>
      </c>
      <c r="HT61" s="471">
        <f t="shared" si="56"/>
        <v>0</v>
      </c>
    </row>
    <row r="62" spans="1:228" x14ac:dyDescent="0.25">
      <c r="A62" s="107">
        <v>56</v>
      </c>
      <c r="B62" s="107" t="s">
        <v>483</v>
      </c>
      <c r="C62" s="285" t="s">
        <v>61</v>
      </c>
      <c r="D62" s="465">
        <v>0</v>
      </c>
      <c r="E62" s="465">
        <v>0</v>
      </c>
      <c r="F62" s="465">
        <f t="shared" si="1"/>
        <v>0</v>
      </c>
      <c r="G62" s="465"/>
      <c r="H62" s="465">
        <v>0</v>
      </c>
      <c r="I62" s="465">
        <v>0</v>
      </c>
      <c r="J62" s="465">
        <f t="shared" si="2"/>
        <v>0</v>
      </c>
      <c r="K62" s="465"/>
      <c r="L62" s="465">
        <v>0</v>
      </c>
      <c r="M62" s="465">
        <v>0</v>
      </c>
      <c r="N62" s="465">
        <f t="shared" si="3"/>
        <v>0</v>
      </c>
      <c r="O62" s="465"/>
      <c r="P62" s="465">
        <f>7000000-7000000</f>
        <v>0</v>
      </c>
      <c r="Q62" s="465">
        <f>7000000-7000000</f>
        <v>0</v>
      </c>
      <c r="R62" s="465">
        <f t="shared" si="4"/>
        <v>0</v>
      </c>
      <c r="S62" s="465"/>
      <c r="T62" s="465">
        <v>0</v>
      </c>
      <c r="U62" s="465">
        <v>0</v>
      </c>
      <c r="V62" s="465">
        <f t="shared" si="5"/>
        <v>0</v>
      </c>
      <c r="W62" s="465"/>
      <c r="X62" s="465">
        <v>60000000</v>
      </c>
      <c r="Y62" s="465">
        <v>60000000</v>
      </c>
      <c r="Z62" s="465">
        <f t="shared" si="6"/>
        <v>0</v>
      </c>
      <c r="AA62" s="465"/>
      <c r="AB62" s="465">
        <v>10000000</v>
      </c>
      <c r="AC62" s="465">
        <f>6486000+3514000</f>
        <v>10000000</v>
      </c>
      <c r="AD62" s="465">
        <f t="shared" si="7"/>
        <v>0</v>
      </c>
      <c r="AE62" s="465"/>
      <c r="AF62" s="465">
        <v>2125000</v>
      </c>
      <c r="AG62" s="465">
        <v>2125000</v>
      </c>
      <c r="AH62" s="465">
        <f t="shared" si="8"/>
        <v>0</v>
      </c>
      <c r="AI62" s="465"/>
      <c r="AJ62" s="465">
        <v>15000000</v>
      </c>
      <c r="AK62" s="465">
        <v>15000000</v>
      </c>
      <c r="AL62" s="465">
        <f t="shared" si="9"/>
        <v>0</v>
      </c>
      <c r="AM62" s="465"/>
      <c r="AN62" s="465">
        <v>80000000</v>
      </c>
      <c r="AO62" s="465">
        <f>21536000+896000+19400000+38168000</f>
        <v>80000000</v>
      </c>
      <c r="AP62" s="465">
        <f t="shared" si="10"/>
        <v>0</v>
      </c>
      <c r="AQ62" s="465"/>
      <c r="AR62" s="465">
        <v>10000000</v>
      </c>
      <c r="AS62" s="465">
        <v>10000000</v>
      </c>
      <c r="AT62" s="465">
        <f t="shared" si="11"/>
        <v>0</v>
      </c>
      <c r="AU62" s="465"/>
      <c r="AV62" s="465">
        <v>5000000</v>
      </c>
      <c r="AW62" s="465">
        <v>375000</v>
      </c>
      <c r="AX62" s="465">
        <f t="shared" si="12"/>
        <v>4625000</v>
      </c>
      <c r="AY62" s="465"/>
      <c r="AZ62" s="465">
        <v>20000000</v>
      </c>
      <c r="BA62" s="465">
        <v>20000000</v>
      </c>
      <c r="BB62" s="465">
        <f t="shared" si="13"/>
        <v>0</v>
      </c>
      <c r="BC62" s="465"/>
      <c r="BD62" s="465">
        <v>5000000</v>
      </c>
      <c r="BE62" s="465">
        <f>0</f>
        <v>0</v>
      </c>
      <c r="BF62" s="465">
        <f t="shared" si="14"/>
        <v>5000000</v>
      </c>
      <c r="BG62" s="465"/>
      <c r="BH62" s="465">
        <v>130000000</v>
      </c>
      <c r="BI62" s="465">
        <f>17219000+31839050+26816800+5550000+6096800+42478350</f>
        <v>130000000</v>
      </c>
      <c r="BJ62" s="465">
        <f t="shared" si="15"/>
        <v>0</v>
      </c>
      <c r="BK62" s="465"/>
      <c r="BL62" s="465">
        <v>10000000</v>
      </c>
      <c r="BM62" s="465">
        <f>6608943+3391057</f>
        <v>10000000</v>
      </c>
      <c r="BN62" s="465">
        <f t="shared" si="16"/>
        <v>0</v>
      </c>
      <c r="BO62" s="465"/>
      <c r="BP62" s="465">
        <v>10000000</v>
      </c>
      <c r="BQ62" s="465">
        <v>0</v>
      </c>
      <c r="BR62" s="465">
        <f t="shared" si="17"/>
        <v>10000000</v>
      </c>
      <c r="BS62" s="465"/>
      <c r="BT62" s="465">
        <v>40000000</v>
      </c>
      <c r="BU62" s="465">
        <f>15548214+8756745+4954080+7575820.6+3165140.4</f>
        <v>40000000</v>
      </c>
      <c r="BV62" s="465">
        <f t="shared" si="18"/>
        <v>0</v>
      </c>
      <c r="BW62" s="465"/>
      <c r="BX62" s="465">
        <v>5000000</v>
      </c>
      <c r="BY62" s="465">
        <v>5000000</v>
      </c>
      <c r="BZ62" s="465">
        <f t="shared" si="19"/>
        <v>0</v>
      </c>
      <c r="CA62" s="465"/>
      <c r="CB62" s="465">
        <v>0</v>
      </c>
      <c r="CC62" s="465">
        <v>0</v>
      </c>
      <c r="CD62" s="465">
        <f t="shared" si="20"/>
        <v>0</v>
      </c>
      <c r="CE62" s="465"/>
      <c r="CF62" s="465">
        <f t="shared" si="21"/>
        <v>140000000</v>
      </c>
      <c r="CG62" s="465">
        <f>35297650+104702350</f>
        <v>140000000</v>
      </c>
      <c r="CH62" s="465">
        <f t="shared" si="22"/>
        <v>0</v>
      </c>
      <c r="CI62" s="465"/>
      <c r="CJ62" s="465">
        <v>20000000</v>
      </c>
      <c r="CK62" s="465">
        <v>20000000</v>
      </c>
      <c r="CL62" s="465">
        <f t="shared" si="23"/>
        <v>0</v>
      </c>
      <c r="CM62" s="465"/>
      <c r="CN62" s="465">
        <v>10000000</v>
      </c>
      <c r="CO62" s="465">
        <v>0</v>
      </c>
      <c r="CP62" s="465">
        <f t="shared" si="24"/>
        <v>10000000</v>
      </c>
      <c r="CQ62" s="465"/>
      <c r="CR62" s="465">
        <v>40000000</v>
      </c>
      <c r="CS62" s="465">
        <f>36251347.65+3748652.35</f>
        <v>40000000</v>
      </c>
      <c r="CT62" s="465">
        <f t="shared" si="25"/>
        <v>0</v>
      </c>
      <c r="CU62" s="465"/>
      <c r="CV62" s="465">
        <v>150000000</v>
      </c>
      <c r="CW62" s="483">
        <f>30254500+1062195+118683305</f>
        <v>150000000</v>
      </c>
      <c r="CX62" s="465">
        <f t="shared" si="26"/>
        <v>0</v>
      </c>
      <c r="CY62" s="465"/>
      <c r="CZ62" s="465">
        <v>20000000</v>
      </c>
      <c r="DA62" s="465">
        <f>12824255.8+7030350.2+145394</f>
        <v>20000000</v>
      </c>
      <c r="DB62" s="465">
        <f t="shared" si="27"/>
        <v>0</v>
      </c>
      <c r="DC62" s="465"/>
      <c r="DD62" s="465">
        <v>10000000</v>
      </c>
      <c r="DE62" s="465">
        <v>0</v>
      </c>
      <c r="DF62" s="465">
        <f t="shared" si="28"/>
        <v>10000000</v>
      </c>
      <c r="DG62" s="465"/>
      <c r="DH62" s="465">
        <v>50000000</v>
      </c>
      <c r="DI62" s="465">
        <f>49707933.65+292066.35</f>
        <v>50000000</v>
      </c>
      <c r="DJ62" s="465">
        <f t="shared" si="29"/>
        <v>0</v>
      </c>
      <c r="DK62" s="465"/>
      <c r="DL62" s="465">
        <v>10000000</v>
      </c>
      <c r="DM62" s="465">
        <v>283472.5</v>
      </c>
      <c r="DN62" s="465">
        <f t="shared" si="30"/>
        <v>9716527.5</v>
      </c>
      <c r="DO62" s="465"/>
      <c r="DP62" s="465">
        <v>0</v>
      </c>
      <c r="DQ62" s="465">
        <v>0</v>
      </c>
      <c r="DR62" s="465">
        <f t="shared" si="31"/>
        <v>0</v>
      </c>
      <c r="DS62" s="465"/>
      <c r="DT62" s="465">
        <v>100000000</v>
      </c>
      <c r="DU62" s="483">
        <f>75115405</f>
        <v>75115405</v>
      </c>
      <c r="DV62" s="465">
        <f t="shared" si="32"/>
        <v>24884595</v>
      </c>
      <c r="DW62" s="465"/>
      <c r="DX62" s="465">
        <v>15000000</v>
      </c>
      <c r="DY62" s="465">
        <f>7000000+8000000</f>
        <v>15000000</v>
      </c>
      <c r="DZ62" s="465">
        <f t="shared" si="33"/>
        <v>0</v>
      </c>
      <c r="EA62" s="465"/>
      <c r="EB62" s="465">
        <v>10000000</v>
      </c>
      <c r="EC62" s="465">
        <v>0</v>
      </c>
      <c r="ED62" s="465">
        <f t="shared" si="34"/>
        <v>10000000</v>
      </c>
      <c r="EE62" s="465"/>
      <c r="EF62" s="465">
        <v>25000000</v>
      </c>
      <c r="EG62" s="465">
        <f>19597832.65+19889899-19889899+5402167.35</f>
        <v>25000000</v>
      </c>
      <c r="EH62" s="465">
        <f t="shared" si="35"/>
        <v>0</v>
      </c>
      <c r="EI62" s="465"/>
      <c r="EJ62" s="465">
        <v>10000000</v>
      </c>
      <c r="EK62" s="465">
        <v>0</v>
      </c>
      <c r="EL62" s="465">
        <f t="shared" si="36"/>
        <v>10000000</v>
      </c>
      <c r="EM62" s="465"/>
      <c r="EN62" s="465">
        <v>300000000</v>
      </c>
      <c r="EO62" s="465">
        <v>0</v>
      </c>
      <c r="EP62" s="465">
        <f t="shared" si="37"/>
        <v>300000000</v>
      </c>
      <c r="EQ62" s="465"/>
      <c r="ER62" s="465">
        <v>25000000</v>
      </c>
      <c r="ES62" s="465">
        <f>504993.2</f>
        <v>504993.2</v>
      </c>
      <c r="ET62" s="465">
        <f t="shared" si="38"/>
        <v>24495006.800000001</v>
      </c>
      <c r="EU62" s="465"/>
      <c r="EV62" s="465">
        <v>10000000</v>
      </c>
      <c r="EW62" s="465">
        <v>0</v>
      </c>
      <c r="EX62" s="465">
        <f t="shared" si="39"/>
        <v>10000000</v>
      </c>
      <c r="EY62" s="465"/>
      <c r="EZ62" s="465">
        <v>30000000</v>
      </c>
      <c r="FA62" s="465">
        <f>850072.65+8089800+14703580+6356547.35</f>
        <v>30000000</v>
      </c>
      <c r="FB62" s="465">
        <f t="shared" si="40"/>
        <v>0</v>
      </c>
      <c r="FC62" s="465"/>
      <c r="FD62" s="465">
        <v>5000000</v>
      </c>
      <c r="FE62" s="465">
        <v>0</v>
      </c>
      <c r="FF62" s="465">
        <f t="shared" si="41"/>
        <v>5000000</v>
      </c>
      <c r="FG62" s="465"/>
      <c r="FH62" s="468">
        <v>120000000</v>
      </c>
      <c r="FI62" s="463">
        <v>0</v>
      </c>
      <c r="FJ62" s="463">
        <f t="shared" si="0"/>
        <v>120000000</v>
      </c>
      <c r="FK62" s="468"/>
      <c r="FL62" s="468">
        <v>25000000</v>
      </c>
      <c r="FM62" s="468">
        <v>0</v>
      </c>
      <c r="FN62" s="468">
        <f>FL62-FM62</f>
        <v>25000000</v>
      </c>
      <c r="FO62" s="468"/>
      <c r="FP62" s="468">
        <v>5000000</v>
      </c>
      <c r="FQ62" s="468">
        <v>0</v>
      </c>
      <c r="FR62" s="468">
        <f>FP62-FQ62</f>
        <v>5000000</v>
      </c>
      <c r="FS62" s="468"/>
      <c r="FT62" s="468">
        <v>30000000</v>
      </c>
      <c r="FU62" s="482">
        <f>137501.65+3076333</f>
        <v>3213834.65</v>
      </c>
      <c r="FV62" s="468">
        <f>FT62-FU62</f>
        <v>26786165.350000001</v>
      </c>
      <c r="FW62" s="468"/>
      <c r="FX62" s="468">
        <v>4150000</v>
      </c>
      <c r="FY62" s="468">
        <v>0</v>
      </c>
      <c r="FZ62" s="468">
        <v>4150000</v>
      </c>
      <c r="GA62" s="468"/>
      <c r="GB62" s="468">
        <v>160000000</v>
      </c>
      <c r="GC62" s="468">
        <v>0</v>
      </c>
      <c r="GD62" s="468">
        <f t="shared" ref="GD62:GD63" si="75">GB62-GC62</f>
        <v>160000000</v>
      </c>
      <c r="GE62" s="468"/>
      <c r="GF62" s="468">
        <v>25000000</v>
      </c>
      <c r="GG62" s="468">
        <v>0</v>
      </c>
      <c r="GH62" s="468">
        <f>GF62-GG62</f>
        <v>25000000</v>
      </c>
      <c r="GI62" s="468"/>
      <c r="GJ62" s="468">
        <v>5000000</v>
      </c>
      <c r="GK62" s="468">
        <v>0</v>
      </c>
      <c r="GL62" s="468">
        <f>GJ62-GK62</f>
        <v>5000000</v>
      </c>
      <c r="GM62" s="468"/>
      <c r="GN62" s="468">
        <v>20000000</v>
      </c>
      <c r="GO62" s="468">
        <v>0</v>
      </c>
      <c r="GP62" s="468">
        <f>GN62-GO62</f>
        <v>20000000</v>
      </c>
      <c r="GQ62" s="468"/>
      <c r="GR62" s="468">
        <v>5000000</v>
      </c>
      <c r="GS62" s="468">
        <v>0</v>
      </c>
      <c r="GT62" s="468">
        <f t="shared" ref="GT62:GT64" si="76">GR62-GS62</f>
        <v>5000000</v>
      </c>
      <c r="GU62" s="468"/>
      <c r="GV62" s="465">
        <f t="shared" si="50"/>
        <v>1781275000</v>
      </c>
      <c r="GW62" s="465">
        <f t="shared" si="50"/>
        <v>951617705.35000002</v>
      </c>
      <c r="GX62" s="465">
        <f t="shared" si="51"/>
        <v>829657294.64999998</v>
      </c>
      <c r="GY62" s="470"/>
      <c r="HA62" s="471">
        <f>D62+H62+L62+X62+AN62+BH62+CB62+CF62+CV62+DP62+DT62+EN62+FH62+GB62</f>
        <v>1240000000</v>
      </c>
      <c r="HB62" s="471">
        <f>E62+I62+M62+Y62+AO62+BI62+CC62+CG62+CW62+DQ62+DU62+EO62+FI62+GC62</f>
        <v>635115405</v>
      </c>
      <c r="HC62" s="471">
        <f t="shared" si="52"/>
        <v>604884595</v>
      </c>
      <c r="HE62" s="471">
        <f>P62+AB62+AR62+
BL62+CJ62+CZ62+DX62+ER62+FL62+GF62</f>
        <v>160000000</v>
      </c>
      <c r="HF62" s="471">
        <f>Q62+AC62+AS62+
BM62+CK62+DA62+DY62+ES62+FM62+GG62</f>
        <v>85504993.200000003</v>
      </c>
      <c r="HG62" s="471">
        <f t="shared" si="53"/>
        <v>74495006.799999997</v>
      </c>
      <c r="HI62" s="471">
        <f>T62+AF62+AV62+BP62+CN62+DD62+EB62+EV62+FP62+GJ62</f>
        <v>67125000</v>
      </c>
      <c r="HJ62" s="471">
        <f>U62+AG62+AW62+BQ62+CO62+DE62+EC62+EW62+FQ62+GK62</f>
        <v>2500000</v>
      </c>
      <c r="HK62" s="471">
        <f t="shared" si="54"/>
        <v>64625000</v>
      </c>
      <c r="HM62" s="475">
        <f>AJ62+AZ62+BT62+CR62+DH62+EF62+EZ62+FT62+GN62</f>
        <v>270000000</v>
      </c>
      <c r="HN62" s="475">
        <f>AK62+BA62+BU62+CS62+DI62+EG62+FA62+FU62+GO62</f>
        <v>223213834.65000001</v>
      </c>
      <c r="HO62" s="475">
        <f t="shared" si="55"/>
        <v>46786165.349999994</v>
      </c>
      <c r="HP62" s="476"/>
      <c r="HR62" s="471">
        <f>BD62+BX62+DL62+EJ62+FD62+FX62+GR62</f>
        <v>44150000</v>
      </c>
      <c r="HS62" s="471">
        <f>BE62+BY62+DM62+EK62+FE62+FY62+GS62</f>
        <v>5283472.5</v>
      </c>
      <c r="HT62" s="471">
        <f t="shared" si="56"/>
        <v>38866527.5</v>
      </c>
    </row>
    <row r="63" spans="1:228" x14ac:dyDescent="0.25">
      <c r="A63" s="107">
        <v>57</v>
      </c>
      <c r="B63" s="107" t="s">
        <v>484</v>
      </c>
      <c r="C63" s="113" t="s">
        <v>61</v>
      </c>
      <c r="D63" s="465">
        <v>0</v>
      </c>
      <c r="E63" s="465">
        <v>0</v>
      </c>
      <c r="F63" s="465">
        <f t="shared" si="1"/>
        <v>0</v>
      </c>
      <c r="G63" s="465"/>
      <c r="H63" s="465">
        <v>0</v>
      </c>
      <c r="I63" s="465">
        <v>0</v>
      </c>
      <c r="J63" s="465">
        <f t="shared" si="2"/>
        <v>0</v>
      </c>
      <c r="K63" s="465"/>
      <c r="L63" s="465">
        <v>0</v>
      </c>
      <c r="M63" s="465">
        <v>0</v>
      </c>
      <c r="N63" s="465">
        <f t="shared" si="3"/>
        <v>0</v>
      </c>
      <c r="O63" s="465"/>
      <c r="P63" s="465">
        <v>0</v>
      </c>
      <c r="Q63" s="465">
        <v>0</v>
      </c>
      <c r="R63" s="465">
        <f t="shared" si="4"/>
        <v>0</v>
      </c>
      <c r="S63" s="465"/>
      <c r="T63" s="465">
        <v>0</v>
      </c>
      <c r="U63" s="465">
        <v>0</v>
      </c>
      <c r="V63" s="465">
        <f t="shared" si="5"/>
        <v>0</v>
      </c>
      <c r="W63" s="465"/>
      <c r="X63" s="465">
        <v>0</v>
      </c>
      <c r="Y63" s="465">
        <v>0</v>
      </c>
      <c r="Z63" s="465">
        <f t="shared" si="6"/>
        <v>0</v>
      </c>
      <c r="AA63" s="465"/>
      <c r="AB63" s="465">
        <v>0</v>
      </c>
      <c r="AC63" s="465">
        <v>0</v>
      </c>
      <c r="AD63" s="465">
        <f t="shared" si="7"/>
        <v>0</v>
      </c>
      <c r="AE63" s="465"/>
      <c r="AF63" s="465">
        <v>0</v>
      </c>
      <c r="AG63" s="465">
        <v>0</v>
      </c>
      <c r="AH63" s="465">
        <f t="shared" si="8"/>
        <v>0</v>
      </c>
      <c r="AI63" s="465"/>
      <c r="AJ63" s="465">
        <v>0</v>
      </c>
      <c r="AK63" s="465">
        <v>0</v>
      </c>
      <c r="AL63" s="465">
        <f t="shared" si="9"/>
        <v>0</v>
      </c>
      <c r="AM63" s="465"/>
      <c r="AN63" s="465">
        <v>80000000</v>
      </c>
      <c r="AO63" s="465">
        <f>4100000+17247000+26832375+31820625</f>
        <v>80000000</v>
      </c>
      <c r="AP63" s="465">
        <f t="shared" si="10"/>
        <v>0</v>
      </c>
      <c r="AQ63" s="465"/>
      <c r="AR63" s="465">
        <v>10000000</v>
      </c>
      <c r="AS63" s="465">
        <v>10000000</v>
      </c>
      <c r="AT63" s="465">
        <f t="shared" si="11"/>
        <v>0</v>
      </c>
      <c r="AU63" s="465"/>
      <c r="AV63" s="465">
        <v>5000000</v>
      </c>
      <c r="AW63" s="465"/>
      <c r="AX63" s="465">
        <f t="shared" si="12"/>
        <v>5000000</v>
      </c>
      <c r="AY63" s="465"/>
      <c r="AZ63" s="465">
        <v>20000000</v>
      </c>
      <c r="BA63" s="465">
        <v>20000000</v>
      </c>
      <c r="BB63" s="465">
        <f t="shared" si="13"/>
        <v>0</v>
      </c>
      <c r="BC63" s="465"/>
      <c r="BD63" s="465">
        <v>5000000</v>
      </c>
      <c r="BE63" s="465">
        <f>680000+935000+3219290+165710</f>
        <v>5000000</v>
      </c>
      <c r="BF63" s="465">
        <f t="shared" si="14"/>
        <v>0</v>
      </c>
      <c r="BG63" s="465"/>
      <c r="BH63" s="465">
        <v>130000000</v>
      </c>
      <c r="BI63" s="465">
        <f>7374000+108381000+14245000</f>
        <v>130000000</v>
      </c>
      <c r="BJ63" s="465">
        <f t="shared" si="15"/>
        <v>0</v>
      </c>
      <c r="BK63" s="465"/>
      <c r="BL63" s="465">
        <v>10000000</v>
      </c>
      <c r="BM63" s="465">
        <f>9999841+159</f>
        <v>10000000</v>
      </c>
      <c r="BN63" s="465">
        <f t="shared" si="16"/>
        <v>0</v>
      </c>
      <c r="BO63" s="465"/>
      <c r="BP63" s="465">
        <v>10000000</v>
      </c>
      <c r="BQ63" s="465">
        <v>0</v>
      </c>
      <c r="BR63" s="465">
        <f t="shared" si="17"/>
        <v>10000000</v>
      </c>
      <c r="BS63" s="465"/>
      <c r="BT63" s="465">
        <v>40000000</v>
      </c>
      <c r="BU63" s="465">
        <f>17257245+21245165.2+1125488+372101.8</f>
        <v>40000000</v>
      </c>
      <c r="BV63" s="465">
        <f t="shared" si="18"/>
        <v>0</v>
      </c>
      <c r="BW63" s="465"/>
      <c r="BX63" s="465">
        <v>5000000</v>
      </c>
      <c r="BY63" s="465">
        <f>119290+2171750</f>
        <v>2291040</v>
      </c>
      <c r="BZ63" s="465">
        <f t="shared" si="19"/>
        <v>2708960</v>
      </c>
      <c r="CA63" s="465"/>
      <c r="CB63" s="465">
        <v>0</v>
      </c>
      <c r="CC63" s="465">
        <v>0</v>
      </c>
      <c r="CD63" s="465">
        <f t="shared" si="20"/>
        <v>0</v>
      </c>
      <c r="CE63" s="465"/>
      <c r="CF63" s="465">
        <f t="shared" si="21"/>
        <v>140000000</v>
      </c>
      <c r="CG63" s="465">
        <f>21466650+70884250+47649100</f>
        <v>140000000</v>
      </c>
      <c r="CH63" s="465">
        <f t="shared" si="22"/>
        <v>0</v>
      </c>
      <c r="CI63" s="465"/>
      <c r="CJ63" s="465">
        <v>20000000</v>
      </c>
      <c r="CK63" s="465">
        <f>5998841+972000+1769250+875400+1200000+447000+520530+447000</f>
        <v>12230021</v>
      </c>
      <c r="CL63" s="465">
        <f t="shared" si="23"/>
        <v>7769979</v>
      </c>
      <c r="CM63" s="465"/>
      <c r="CN63" s="465">
        <v>10000000</v>
      </c>
      <c r="CO63" s="477">
        <v>5945750</v>
      </c>
      <c r="CP63" s="465">
        <f t="shared" si="24"/>
        <v>4054250</v>
      </c>
      <c r="CQ63" s="465"/>
      <c r="CR63" s="465">
        <v>40000000</v>
      </c>
      <c r="CS63" s="465">
        <f>26230168.2+13769831.8</f>
        <v>40000000</v>
      </c>
      <c r="CT63" s="465">
        <f t="shared" si="25"/>
        <v>0</v>
      </c>
      <c r="CU63" s="465"/>
      <c r="CV63" s="465">
        <v>150000000</v>
      </c>
      <c r="CW63" s="465">
        <f>21515400+46833900+17605939+32083824.01+28000000+3960936.99</f>
        <v>150000000</v>
      </c>
      <c r="CX63" s="465">
        <f t="shared" si="26"/>
        <v>0</v>
      </c>
      <c r="CY63" s="465"/>
      <c r="CZ63" s="465">
        <v>20000000</v>
      </c>
      <c r="DA63" s="465">
        <v>0</v>
      </c>
      <c r="DB63" s="465">
        <f t="shared" si="27"/>
        <v>20000000</v>
      </c>
      <c r="DC63" s="465"/>
      <c r="DD63" s="465">
        <v>10000000</v>
      </c>
      <c r="DE63" s="465">
        <v>0</v>
      </c>
      <c r="DF63" s="465">
        <f t="shared" si="28"/>
        <v>10000000</v>
      </c>
      <c r="DG63" s="465"/>
      <c r="DH63" s="465">
        <v>50000000</v>
      </c>
      <c r="DI63" s="465">
        <f>21144751.35+24361283+739300+3754665.65</f>
        <v>50000000</v>
      </c>
      <c r="DJ63" s="465">
        <f t="shared" si="29"/>
        <v>0</v>
      </c>
      <c r="DK63" s="465"/>
      <c r="DL63" s="465">
        <v>10000000</v>
      </c>
      <c r="DM63" s="465">
        <f>3398300+1062500</f>
        <v>4460800</v>
      </c>
      <c r="DN63" s="465">
        <f t="shared" si="30"/>
        <v>5539200</v>
      </c>
      <c r="DO63" s="465"/>
      <c r="DP63" s="465">
        <v>0</v>
      </c>
      <c r="DQ63" s="465">
        <v>0</v>
      </c>
      <c r="DR63" s="465">
        <f t="shared" si="31"/>
        <v>0</v>
      </c>
      <c r="DS63" s="465"/>
      <c r="DT63" s="465">
        <v>100000000</v>
      </c>
      <c r="DU63" s="465">
        <f>20739063.01+9000000+70260936.99</f>
        <v>100000000</v>
      </c>
      <c r="DV63" s="465">
        <f t="shared" si="32"/>
        <v>0</v>
      </c>
      <c r="DW63" s="465"/>
      <c r="DX63" s="465">
        <v>15000000</v>
      </c>
      <c r="DY63" s="465">
        <v>0</v>
      </c>
      <c r="DZ63" s="465">
        <f t="shared" si="33"/>
        <v>15000000</v>
      </c>
      <c r="EA63" s="465"/>
      <c r="EB63" s="465">
        <v>10000000</v>
      </c>
      <c r="EC63" s="465">
        <v>0</v>
      </c>
      <c r="ED63" s="465">
        <f t="shared" si="34"/>
        <v>10000000</v>
      </c>
      <c r="EE63" s="465"/>
      <c r="EF63" s="465">
        <v>25000000</v>
      </c>
      <c r="EG63" s="465">
        <f>13137040+4665205+872009.35+6325745.65</f>
        <v>25000000</v>
      </c>
      <c r="EH63" s="465">
        <f t="shared" si="35"/>
        <v>0</v>
      </c>
      <c r="EI63" s="465"/>
      <c r="EJ63" s="465">
        <v>10000000</v>
      </c>
      <c r="EK63" s="465">
        <v>0</v>
      </c>
      <c r="EL63" s="465">
        <f t="shared" si="36"/>
        <v>10000000</v>
      </c>
      <c r="EM63" s="465"/>
      <c r="EN63" s="465">
        <v>300000000</v>
      </c>
      <c r="EO63" s="485">
        <f>22270013.56+3600000+27829162.5+121096000+4500000+2400000</f>
        <v>181695176.06</v>
      </c>
      <c r="EP63" s="465">
        <f t="shared" si="37"/>
        <v>118304823.94</v>
      </c>
      <c r="EQ63" s="465"/>
      <c r="ER63" s="465">
        <v>25000000</v>
      </c>
      <c r="ES63" s="465">
        <v>0</v>
      </c>
      <c r="ET63" s="465">
        <f t="shared" si="38"/>
        <v>25000000</v>
      </c>
      <c r="EU63" s="465"/>
      <c r="EV63" s="465">
        <v>10000000</v>
      </c>
      <c r="EW63" s="465">
        <v>0</v>
      </c>
      <c r="EX63" s="465">
        <f t="shared" si="39"/>
        <v>10000000</v>
      </c>
      <c r="EY63" s="465"/>
      <c r="EZ63" s="465">
        <v>30000000</v>
      </c>
      <c r="FA63" s="485">
        <f>643594.35+12133755+3348250+4034775+4116150+5723475.65</f>
        <v>30000000</v>
      </c>
      <c r="FB63" s="465">
        <f t="shared" si="40"/>
        <v>0</v>
      </c>
      <c r="FC63" s="465"/>
      <c r="FD63" s="465">
        <v>5000000</v>
      </c>
      <c r="FE63" s="465">
        <v>0</v>
      </c>
      <c r="FF63" s="465">
        <f t="shared" si="41"/>
        <v>5000000</v>
      </c>
      <c r="FG63" s="465"/>
      <c r="FH63" s="468">
        <v>120000000</v>
      </c>
      <c r="FI63" s="463">
        <v>0</v>
      </c>
      <c r="FJ63" s="463">
        <f t="shared" si="0"/>
        <v>120000000</v>
      </c>
      <c r="FK63" s="468"/>
      <c r="FL63" s="468">
        <v>25000000</v>
      </c>
      <c r="FM63" s="468">
        <v>0</v>
      </c>
      <c r="FN63" s="468">
        <f t="shared" ref="FN63:FN83" si="77">FL63-FM63</f>
        <v>25000000</v>
      </c>
      <c r="FO63" s="468"/>
      <c r="FP63" s="468">
        <v>5000000</v>
      </c>
      <c r="FQ63" s="468">
        <v>0</v>
      </c>
      <c r="FR63" s="468">
        <f t="shared" ref="FR63:FR79" si="78">FP63-FQ63</f>
        <v>5000000</v>
      </c>
      <c r="FS63" s="468"/>
      <c r="FT63" s="468">
        <v>30000000</v>
      </c>
      <c r="FU63" s="504">
        <f>227834.35</f>
        <v>227834.35</v>
      </c>
      <c r="FV63" s="468">
        <f t="shared" ref="FV63:FV83" si="79">FT63-FU63</f>
        <v>29772165.649999999</v>
      </c>
      <c r="FW63" s="468"/>
      <c r="FX63" s="468">
        <v>4150000</v>
      </c>
      <c r="FY63" s="468">
        <v>0</v>
      </c>
      <c r="FZ63" s="468">
        <v>4150000</v>
      </c>
      <c r="GA63" s="468"/>
      <c r="GB63" s="468">
        <v>160000000</v>
      </c>
      <c r="GC63" s="468">
        <v>0</v>
      </c>
      <c r="GD63" s="468">
        <f t="shared" si="75"/>
        <v>160000000</v>
      </c>
      <c r="GE63" s="468"/>
      <c r="GF63" s="468">
        <v>25000000</v>
      </c>
      <c r="GG63" s="468">
        <v>0</v>
      </c>
      <c r="GH63" s="468">
        <f t="shared" ref="GH63:GH64" si="80">GF63-GG63</f>
        <v>25000000</v>
      </c>
      <c r="GI63" s="468"/>
      <c r="GJ63" s="468">
        <v>5000000</v>
      </c>
      <c r="GK63" s="468">
        <v>0</v>
      </c>
      <c r="GL63" s="468">
        <f t="shared" ref="GL63:GL64" si="81">GJ63-GK63</f>
        <v>5000000</v>
      </c>
      <c r="GM63" s="468"/>
      <c r="GN63" s="468">
        <v>20000000</v>
      </c>
      <c r="GO63" s="468">
        <v>0</v>
      </c>
      <c r="GP63" s="468">
        <f t="shared" ref="GP63:GP64" si="82">GN63-GO63</f>
        <v>20000000</v>
      </c>
      <c r="GQ63" s="468"/>
      <c r="GR63" s="468">
        <v>5000000</v>
      </c>
      <c r="GS63" s="468">
        <v>0</v>
      </c>
      <c r="GT63" s="468">
        <f t="shared" si="76"/>
        <v>5000000</v>
      </c>
      <c r="GU63" s="468"/>
      <c r="GV63" s="465">
        <f t="shared" si="50"/>
        <v>1694150000</v>
      </c>
      <c r="GW63" s="465">
        <f t="shared" si="50"/>
        <v>1036850621.41</v>
      </c>
      <c r="GX63" s="465">
        <f t="shared" si="51"/>
        <v>657299378.59000003</v>
      </c>
      <c r="GY63" s="470"/>
      <c r="GZ63" s="464"/>
      <c r="HA63" s="471">
        <f>D63+H63+L63+X63+AN63+BH63+CB63+CF63+CV63+DP63+DT63+EN63+FH63+GB63</f>
        <v>1180000000</v>
      </c>
      <c r="HB63" s="471">
        <f>E63+I63+M63+Y63+AO63+BI63+CC63+CG63+CW63+DQ63+DU63+EO63+FI63+GC63</f>
        <v>781695176.05999994</v>
      </c>
      <c r="HC63" s="471">
        <f t="shared" si="52"/>
        <v>398304823.94000006</v>
      </c>
      <c r="HE63" s="471">
        <f>P63+AB63+AR63+
BL63+CJ63+CZ63+DX63+ER63+FL63+GF63</f>
        <v>150000000</v>
      </c>
      <c r="HF63" s="471">
        <f>Q63+AC63+AS63+
BM63+CK63+DA63+DY63+ES63+FM63+GG63</f>
        <v>32230021</v>
      </c>
      <c r="HG63" s="471">
        <f t="shared" si="53"/>
        <v>117769979</v>
      </c>
      <c r="HI63" s="471">
        <f>T63+AF63+AV63+BP63+CN63+DD63+EB63+EV63+FP63+GJ63</f>
        <v>65000000</v>
      </c>
      <c r="HJ63" s="471">
        <f>U63+AG63+AW63+BQ63+CO63+DE63+EC63+EW63+FQ63+GK63</f>
        <v>5945750</v>
      </c>
      <c r="HK63" s="471">
        <f t="shared" si="54"/>
        <v>59054250</v>
      </c>
      <c r="HM63" s="475">
        <f>AJ63+AZ63+BT63+CR63+DH63+EF63+EZ63+FT63+GN63</f>
        <v>255000000</v>
      </c>
      <c r="HN63" s="475">
        <f>AK63+BA63+BU63+CS63+DI63+EG63+FA63+FU63+GO63</f>
        <v>205227834.34999999</v>
      </c>
      <c r="HO63" s="475">
        <f t="shared" si="55"/>
        <v>49772165.650000006</v>
      </c>
      <c r="HP63" s="476"/>
      <c r="HR63" s="471">
        <f>BD63+BX63+DL63+EJ63+FD63+FX63+GR63</f>
        <v>44150000</v>
      </c>
      <c r="HS63" s="471">
        <f>BE63+BY63+DM63+EK63+FE63+FY63+GS63</f>
        <v>11751840</v>
      </c>
      <c r="HT63" s="471">
        <f t="shared" si="56"/>
        <v>32398160</v>
      </c>
    </row>
    <row r="64" spans="1:228" x14ac:dyDescent="0.25">
      <c r="A64" s="107">
        <v>58</v>
      </c>
      <c r="B64" s="107" t="s">
        <v>124</v>
      </c>
      <c r="C64" s="512" t="s">
        <v>74</v>
      </c>
      <c r="D64" s="465">
        <v>0</v>
      </c>
      <c r="E64" s="465">
        <v>0</v>
      </c>
      <c r="F64" s="465">
        <f t="shared" si="1"/>
        <v>0</v>
      </c>
      <c r="G64" s="465"/>
      <c r="H64" s="465">
        <v>0</v>
      </c>
      <c r="I64" s="465">
        <v>0</v>
      </c>
      <c r="J64" s="465">
        <f t="shared" si="2"/>
        <v>0</v>
      </c>
      <c r="K64" s="465"/>
      <c r="L64" s="465">
        <v>0</v>
      </c>
      <c r="M64" s="465">
        <v>0</v>
      </c>
      <c r="N64" s="465">
        <f t="shared" si="3"/>
        <v>0</v>
      </c>
      <c r="O64" s="465"/>
      <c r="P64" s="465">
        <v>0</v>
      </c>
      <c r="Q64" s="465">
        <v>0</v>
      </c>
      <c r="R64" s="465">
        <f t="shared" si="4"/>
        <v>0</v>
      </c>
      <c r="S64" s="465"/>
      <c r="T64" s="465">
        <v>0</v>
      </c>
      <c r="U64" s="465">
        <v>0</v>
      </c>
      <c r="V64" s="465">
        <f t="shared" si="5"/>
        <v>0</v>
      </c>
      <c r="W64" s="465"/>
      <c r="X64" s="465">
        <v>0</v>
      </c>
      <c r="Y64" s="465">
        <v>0</v>
      </c>
      <c r="Z64" s="465">
        <f t="shared" si="6"/>
        <v>0</v>
      </c>
      <c r="AA64" s="465"/>
      <c r="AB64" s="465">
        <v>0</v>
      </c>
      <c r="AC64" s="465">
        <v>0</v>
      </c>
      <c r="AD64" s="465">
        <f t="shared" si="7"/>
        <v>0</v>
      </c>
      <c r="AE64" s="465"/>
      <c r="AF64" s="465">
        <v>0</v>
      </c>
      <c r="AG64" s="465">
        <v>0</v>
      </c>
      <c r="AH64" s="465">
        <f t="shared" si="8"/>
        <v>0</v>
      </c>
      <c r="AI64" s="465"/>
      <c r="AJ64" s="465">
        <v>0</v>
      </c>
      <c r="AK64" s="465">
        <v>0</v>
      </c>
      <c r="AL64" s="465">
        <f t="shared" si="9"/>
        <v>0</v>
      </c>
      <c r="AM64" s="465"/>
      <c r="AN64" s="465">
        <v>80000000</v>
      </c>
      <c r="AO64" s="465">
        <f>47555707+27666625+4777668</f>
        <v>80000000</v>
      </c>
      <c r="AP64" s="465">
        <f t="shared" si="10"/>
        <v>0</v>
      </c>
      <c r="AQ64" s="465"/>
      <c r="AR64" s="465">
        <v>10000000</v>
      </c>
      <c r="AS64" s="465">
        <f>10000000</f>
        <v>10000000</v>
      </c>
      <c r="AT64" s="465">
        <f t="shared" si="11"/>
        <v>0</v>
      </c>
      <c r="AU64" s="465"/>
      <c r="AV64" s="465">
        <v>5000000</v>
      </c>
      <c r="AW64" s="465">
        <f>3167100+558900</f>
        <v>3726000</v>
      </c>
      <c r="AX64" s="465">
        <f t="shared" si="12"/>
        <v>1274000</v>
      </c>
      <c r="AY64" s="465"/>
      <c r="AZ64" s="465">
        <v>20000000</v>
      </c>
      <c r="BA64" s="465">
        <f>7186590+4538940+6995880+1278590</f>
        <v>20000000</v>
      </c>
      <c r="BB64" s="465">
        <f t="shared" si="13"/>
        <v>0</v>
      </c>
      <c r="BC64" s="465"/>
      <c r="BD64" s="465">
        <v>5000000</v>
      </c>
      <c r="BE64" s="483">
        <f>935000+520200+365500+1997500+256800</f>
        <v>4075000</v>
      </c>
      <c r="BF64" s="465">
        <f t="shared" si="14"/>
        <v>925000</v>
      </c>
      <c r="BG64" s="465"/>
      <c r="BH64" s="465">
        <v>130000000</v>
      </c>
      <c r="BI64" s="461">
        <f>1972332+5031680+16603750+7991000+11091000+64683985+22626253</f>
        <v>130000000</v>
      </c>
      <c r="BJ64" s="465">
        <f t="shared" si="15"/>
        <v>0</v>
      </c>
      <c r="BK64" s="465"/>
      <c r="BL64" s="465">
        <v>10000000</v>
      </c>
      <c r="BM64" s="465">
        <f>3665170+4593870</f>
        <v>8259040</v>
      </c>
      <c r="BN64" s="465">
        <f t="shared" si="16"/>
        <v>1740960</v>
      </c>
      <c r="BO64" s="465"/>
      <c r="BP64" s="465">
        <v>10000000</v>
      </c>
      <c r="BQ64" s="465">
        <v>0</v>
      </c>
      <c r="BR64" s="465">
        <f t="shared" si="17"/>
        <v>10000000</v>
      </c>
      <c r="BS64" s="465"/>
      <c r="BT64" s="465">
        <v>40000000</v>
      </c>
      <c r="BU64" s="465">
        <f>5785405+28712345+5502250</f>
        <v>40000000</v>
      </c>
      <c r="BV64" s="465">
        <f t="shared" si="18"/>
        <v>0</v>
      </c>
      <c r="BW64" s="465"/>
      <c r="BX64" s="465">
        <v>5000000</v>
      </c>
      <c r="BY64" s="465">
        <v>0</v>
      </c>
      <c r="BZ64" s="465">
        <f t="shared" si="19"/>
        <v>5000000</v>
      </c>
      <c r="CA64" s="465"/>
      <c r="CB64" s="465">
        <v>0</v>
      </c>
      <c r="CC64" s="465">
        <v>0</v>
      </c>
      <c r="CD64" s="465">
        <f t="shared" si="20"/>
        <v>0</v>
      </c>
      <c r="CE64" s="465"/>
      <c r="CF64" s="465">
        <f t="shared" si="21"/>
        <v>140000000</v>
      </c>
      <c r="CG64" s="465">
        <f>50203577+77989800+11806623</f>
        <v>140000000</v>
      </c>
      <c r="CH64" s="465">
        <f t="shared" si="22"/>
        <v>0</v>
      </c>
      <c r="CI64" s="465"/>
      <c r="CJ64" s="465">
        <v>20000000</v>
      </c>
      <c r="CK64" s="465">
        <f>12505193+4812960+2681847</f>
        <v>20000000</v>
      </c>
      <c r="CL64" s="465">
        <f t="shared" si="23"/>
        <v>0</v>
      </c>
      <c r="CM64" s="465"/>
      <c r="CN64" s="465">
        <v>10000000</v>
      </c>
      <c r="CO64" s="465">
        <v>0</v>
      </c>
      <c r="CP64" s="465">
        <f t="shared" si="24"/>
        <v>10000000</v>
      </c>
      <c r="CQ64" s="465"/>
      <c r="CR64" s="465">
        <v>40000000</v>
      </c>
      <c r="CS64" s="465">
        <f>12233610+9886985+9731630+8147775</f>
        <v>40000000</v>
      </c>
      <c r="CT64" s="465">
        <f t="shared" si="25"/>
        <v>0</v>
      </c>
      <c r="CU64" s="465"/>
      <c r="CV64" s="465">
        <v>150000000</v>
      </c>
      <c r="CW64" s="465">
        <f>87477578+46406892+16115530</f>
        <v>150000000</v>
      </c>
      <c r="CX64" s="465">
        <f t="shared" si="26"/>
        <v>0</v>
      </c>
      <c r="CY64" s="465"/>
      <c r="CZ64" s="465">
        <v>20000000</v>
      </c>
      <c r="DA64" s="485">
        <f>3673779+2219628</f>
        <v>5893407</v>
      </c>
      <c r="DB64" s="465">
        <f t="shared" si="27"/>
        <v>14106593</v>
      </c>
      <c r="DC64" s="465"/>
      <c r="DD64" s="465">
        <v>10000000</v>
      </c>
      <c r="DE64" s="465">
        <v>0</v>
      </c>
      <c r="DF64" s="465">
        <f t="shared" si="28"/>
        <v>10000000</v>
      </c>
      <c r="DG64" s="465"/>
      <c r="DH64" s="465">
        <v>50000000</v>
      </c>
      <c r="DI64" s="465">
        <f>21323731+21159790+1653670+5862809</f>
        <v>50000000</v>
      </c>
      <c r="DJ64" s="465">
        <f t="shared" si="29"/>
        <v>0</v>
      </c>
      <c r="DK64" s="465"/>
      <c r="DL64" s="465">
        <v>10000000</v>
      </c>
      <c r="DM64" s="465">
        <v>0</v>
      </c>
      <c r="DN64" s="465">
        <f t="shared" si="30"/>
        <v>10000000</v>
      </c>
      <c r="DO64" s="465"/>
      <c r="DP64" s="465">
        <v>0</v>
      </c>
      <c r="DQ64" s="465">
        <v>0</v>
      </c>
      <c r="DR64" s="465">
        <f t="shared" si="31"/>
        <v>0</v>
      </c>
      <c r="DS64" s="465"/>
      <c r="DT64" s="465">
        <v>100000000</v>
      </c>
      <c r="DU64" s="465">
        <f>98785735+1214265</f>
        <v>100000000</v>
      </c>
      <c r="DV64" s="465">
        <f t="shared" si="32"/>
        <v>0</v>
      </c>
      <c r="DW64" s="465"/>
      <c r="DX64" s="465">
        <v>15000000</v>
      </c>
      <c r="DY64" s="465">
        <v>0</v>
      </c>
      <c r="DZ64" s="465">
        <f t="shared" si="33"/>
        <v>15000000</v>
      </c>
      <c r="EA64" s="465"/>
      <c r="EB64" s="465">
        <v>10000000</v>
      </c>
      <c r="EC64" s="465">
        <v>0</v>
      </c>
      <c r="ED64" s="465">
        <f t="shared" si="34"/>
        <v>10000000</v>
      </c>
      <c r="EE64" s="465"/>
      <c r="EF64" s="465">
        <v>25000000</v>
      </c>
      <c r="EG64" s="465">
        <f>1451129+1426275+12907640+9214956</f>
        <v>25000000</v>
      </c>
      <c r="EH64" s="465">
        <f t="shared" si="35"/>
        <v>0</v>
      </c>
      <c r="EI64" s="465"/>
      <c r="EJ64" s="465">
        <v>10000000</v>
      </c>
      <c r="EK64" s="465">
        <v>0</v>
      </c>
      <c r="EL64" s="465">
        <f t="shared" si="36"/>
        <v>10000000</v>
      </c>
      <c r="EM64" s="465"/>
      <c r="EN64" s="465">
        <v>300000000</v>
      </c>
      <c r="EO64" s="465">
        <f>42392970+17621814.85+5100000+126270011.15+43562500+65052704</f>
        <v>300000000</v>
      </c>
      <c r="EP64" s="465">
        <f t="shared" si="37"/>
        <v>0</v>
      </c>
      <c r="EQ64" s="465"/>
      <c r="ER64" s="465">
        <v>25000000</v>
      </c>
      <c r="ES64" s="465">
        <v>0</v>
      </c>
      <c r="ET64" s="465">
        <f t="shared" si="38"/>
        <v>25000000</v>
      </c>
      <c r="EU64" s="465"/>
      <c r="EV64" s="465">
        <v>10000000</v>
      </c>
      <c r="EW64" s="465">
        <v>0</v>
      </c>
      <c r="EX64" s="465">
        <f t="shared" si="39"/>
        <v>10000000</v>
      </c>
      <c r="EY64" s="465"/>
      <c r="EZ64" s="465">
        <v>30000000</v>
      </c>
      <c r="FA64" s="465">
        <f>2691649+1853250+3978640+11966200+9759865-249604</f>
        <v>30000000</v>
      </c>
      <c r="FB64" s="465">
        <f t="shared" si="40"/>
        <v>0</v>
      </c>
      <c r="FC64" s="465"/>
      <c r="FD64" s="465">
        <v>5000000</v>
      </c>
      <c r="FE64" s="465">
        <v>0</v>
      </c>
      <c r="FF64" s="465">
        <f t="shared" si="41"/>
        <v>5000000</v>
      </c>
      <c r="FG64" s="465"/>
      <c r="FH64" s="468">
        <v>120000000</v>
      </c>
      <c r="FI64" s="463">
        <f>21302977.5+25800000</f>
        <v>47102977.5</v>
      </c>
      <c r="FJ64" s="463">
        <f t="shared" si="0"/>
        <v>72897022.5</v>
      </c>
      <c r="FK64" s="468"/>
      <c r="FL64" s="468">
        <v>25000000</v>
      </c>
      <c r="FM64" s="468">
        <v>0</v>
      </c>
      <c r="FN64" s="468">
        <f t="shared" si="77"/>
        <v>25000000</v>
      </c>
      <c r="FO64" s="468"/>
      <c r="FP64" s="468">
        <v>5000000</v>
      </c>
      <c r="FQ64" s="468">
        <v>0</v>
      </c>
      <c r="FR64" s="468">
        <f t="shared" si="78"/>
        <v>5000000</v>
      </c>
      <c r="FS64" s="468"/>
      <c r="FT64" s="468">
        <v>30000000</v>
      </c>
      <c r="FU64" s="468">
        <f>249604+1566976</f>
        <v>1816580</v>
      </c>
      <c r="FV64" s="468">
        <f t="shared" si="79"/>
        <v>28183420</v>
      </c>
      <c r="FW64" s="468"/>
      <c r="FX64" s="468">
        <v>4150000</v>
      </c>
      <c r="FY64" s="468">
        <v>0</v>
      </c>
      <c r="FZ64" s="468">
        <v>4150000</v>
      </c>
      <c r="GA64" s="468"/>
      <c r="GB64" s="468">
        <v>160000000</v>
      </c>
      <c r="GC64" s="468">
        <v>0</v>
      </c>
      <c r="GD64" s="468">
        <f>GB64-GC64</f>
        <v>160000000</v>
      </c>
      <c r="GE64" s="468"/>
      <c r="GF64" s="468">
        <v>25000000</v>
      </c>
      <c r="GG64" s="468">
        <v>0</v>
      </c>
      <c r="GH64" s="468">
        <f t="shared" si="80"/>
        <v>25000000</v>
      </c>
      <c r="GI64" s="468"/>
      <c r="GJ64" s="468">
        <v>5000000</v>
      </c>
      <c r="GK64" s="468">
        <v>0</v>
      </c>
      <c r="GL64" s="468">
        <f t="shared" si="81"/>
        <v>5000000</v>
      </c>
      <c r="GM64" s="468"/>
      <c r="GN64" s="468">
        <v>20000000</v>
      </c>
      <c r="GO64" s="468">
        <v>0</v>
      </c>
      <c r="GP64" s="468">
        <f t="shared" si="82"/>
        <v>20000000</v>
      </c>
      <c r="GQ64" s="468"/>
      <c r="GR64" s="468">
        <v>5000000</v>
      </c>
      <c r="GS64" s="468">
        <v>0</v>
      </c>
      <c r="GT64" s="468">
        <f t="shared" si="76"/>
        <v>5000000</v>
      </c>
      <c r="GU64" s="468"/>
      <c r="GV64" s="465">
        <f t="shared" si="50"/>
        <v>1694150000</v>
      </c>
      <c r="GW64" s="465">
        <f t="shared" si="50"/>
        <v>1205873004.5</v>
      </c>
      <c r="GX64" s="465">
        <f t="shared" si="51"/>
        <v>488276995.5</v>
      </c>
      <c r="GY64" s="470"/>
      <c r="GZ64" s="464"/>
      <c r="HA64" s="471">
        <f>D64+H64+L64+X64+AN64+BH64+CB64+CF64+CV64+DP64+DT64+EN64+FH64+GB64</f>
        <v>1180000000</v>
      </c>
      <c r="HB64" s="471">
        <f>E64+I64+M64+Y64+AO64+BI64+CC64+CG64+CW64+DQ64+DU64+EO64+FI64+GC64</f>
        <v>947102977.5</v>
      </c>
      <c r="HC64" s="471">
        <f t="shared" si="52"/>
        <v>232897022.5</v>
      </c>
      <c r="HE64" s="471">
        <f>P64+AB64+AR64+
BL64+CJ64+CZ64+DX64+ER64+FL64+GF64</f>
        <v>150000000</v>
      </c>
      <c r="HF64" s="471">
        <f>Q64+AC64+AS64+
BM64+CK64+DA64+DY64+ES64+FM64+GG64</f>
        <v>44152447</v>
      </c>
      <c r="HG64" s="471">
        <f t="shared" si="53"/>
        <v>105847553</v>
      </c>
      <c r="HI64" s="471">
        <f>T64+AF64+AV64+BP64+CN64+DD64+EB64+EV64+FP64+GJ64</f>
        <v>65000000</v>
      </c>
      <c r="HJ64" s="471">
        <f>U64+AG64+AW64+BQ64+CO64+DE64+EC64+EW64+FQ64+GK64</f>
        <v>3726000</v>
      </c>
      <c r="HK64" s="471">
        <f t="shared" si="54"/>
        <v>61274000</v>
      </c>
      <c r="HM64" s="475">
        <f>AJ64+AZ64+BT64+CR64+DH64+EF64+EZ64+FT64+GN64</f>
        <v>255000000</v>
      </c>
      <c r="HN64" s="475">
        <f>AK64+BA64+BU64+CS64+DI64+EG64+FA64+FU64+GO64</f>
        <v>206816580</v>
      </c>
      <c r="HO64" s="475">
        <f t="shared" si="55"/>
        <v>48183420</v>
      </c>
      <c r="HP64" s="476"/>
      <c r="HR64" s="471">
        <f>BD64+BX64+DL64+EJ64+FD64+FX64+GR64</f>
        <v>44150000</v>
      </c>
      <c r="HS64" s="471">
        <f>BE64+BY64+DM64+EK64+FE64+FY64+GS64</f>
        <v>4075000</v>
      </c>
      <c r="HT64" s="471">
        <f t="shared" si="56"/>
        <v>40075000</v>
      </c>
    </row>
    <row r="65" spans="1:228" x14ac:dyDescent="0.25">
      <c r="A65" s="107">
        <v>59</v>
      </c>
      <c r="B65" s="513" t="s">
        <v>485</v>
      </c>
      <c r="C65" s="113"/>
      <c r="D65" s="465">
        <v>0</v>
      </c>
      <c r="E65" s="465">
        <v>0</v>
      </c>
      <c r="F65" s="465">
        <f t="shared" si="1"/>
        <v>0</v>
      </c>
      <c r="G65" s="465"/>
      <c r="H65" s="465">
        <v>0</v>
      </c>
      <c r="I65" s="465">
        <v>0</v>
      </c>
      <c r="J65" s="465">
        <f t="shared" si="2"/>
        <v>0</v>
      </c>
      <c r="K65" s="465"/>
      <c r="L65" s="465">
        <v>0</v>
      </c>
      <c r="M65" s="465">
        <v>0</v>
      </c>
      <c r="N65" s="465">
        <f t="shared" si="3"/>
        <v>0</v>
      </c>
      <c r="O65" s="465"/>
      <c r="P65" s="465">
        <v>0</v>
      </c>
      <c r="Q65" s="465">
        <v>0</v>
      </c>
      <c r="R65" s="465">
        <f t="shared" si="4"/>
        <v>0</v>
      </c>
      <c r="S65" s="465"/>
      <c r="T65" s="465">
        <v>0</v>
      </c>
      <c r="U65" s="465">
        <v>0</v>
      </c>
      <c r="V65" s="465">
        <f t="shared" si="5"/>
        <v>0</v>
      </c>
      <c r="W65" s="465"/>
      <c r="X65" s="465">
        <v>0</v>
      </c>
      <c r="Y65" s="465">
        <v>0</v>
      </c>
      <c r="Z65" s="465">
        <f t="shared" si="6"/>
        <v>0</v>
      </c>
      <c r="AA65" s="465"/>
      <c r="AB65" s="465">
        <v>0</v>
      </c>
      <c r="AC65" s="465">
        <v>0</v>
      </c>
      <c r="AD65" s="465">
        <f t="shared" si="7"/>
        <v>0</v>
      </c>
      <c r="AE65" s="465"/>
      <c r="AF65" s="465">
        <v>0</v>
      </c>
      <c r="AG65" s="465">
        <v>0</v>
      </c>
      <c r="AH65" s="465">
        <f t="shared" si="8"/>
        <v>0</v>
      </c>
      <c r="AI65" s="465"/>
      <c r="AJ65" s="465">
        <v>0</v>
      </c>
      <c r="AK65" s="465">
        <v>0</v>
      </c>
      <c r="AL65" s="465">
        <f t="shared" si="9"/>
        <v>0</v>
      </c>
      <c r="AM65" s="465"/>
      <c r="AN65" s="465">
        <v>0</v>
      </c>
      <c r="AO65" s="465">
        <v>0</v>
      </c>
      <c r="AP65" s="465">
        <f t="shared" si="10"/>
        <v>0</v>
      </c>
      <c r="AQ65" s="465"/>
      <c r="AR65" s="465">
        <v>0</v>
      </c>
      <c r="AS65" s="465">
        <v>0</v>
      </c>
      <c r="AT65" s="465">
        <f t="shared" si="11"/>
        <v>0</v>
      </c>
      <c r="AU65" s="465"/>
      <c r="AV65" s="465">
        <v>0</v>
      </c>
      <c r="AW65" s="465">
        <v>0</v>
      </c>
      <c r="AX65" s="465">
        <f t="shared" si="12"/>
        <v>0</v>
      </c>
      <c r="AY65" s="465"/>
      <c r="AZ65" s="465">
        <v>0</v>
      </c>
      <c r="BA65" s="465">
        <v>0</v>
      </c>
      <c r="BB65" s="465">
        <f t="shared" si="13"/>
        <v>0</v>
      </c>
      <c r="BC65" s="465"/>
      <c r="BD65" s="465">
        <v>0</v>
      </c>
      <c r="BE65" s="465">
        <f>0</f>
        <v>0</v>
      </c>
      <c r="BF65" s="465">
        <f t="shared" si="14"/>
        <v>0</v>
      </c>
      <c r="BG65" s="465"/>
      <c r="BH65" s="465">
        <v>0</v>
      </c>
      <c r="BI65" s="465">
        <v>0</v>
      </c>
      <c r="BJ65" s="465">
        <f t="shared" si="15"/>
        <v>0</v>
      </c>
      <c r="BK65" s="465"/>
      <c r="BL65" s="465">
        <v>0</v>
      </c>
      <c r="BM65" s="465">
        <v>0</v>
      </c>
      <c r="BN65" s="465">
        <f t="shared" si="16"/>
        <v>0</v>
      </c>
      <c r="BO65" s="465"/>
      <c r="BP65" s="465">
        <v>0</v>
      </c>
      <c r="BQ65" s="465">
        <v>0</v>
      </c>
      <c r="BR65" s="465">
        <f t="shared" si="17"/>
        <v>0</v>
      </c>
      <c r="BS65" s="465"/>
      <c r="BT65" s="465">
        <v>0</v>
      </c>
      <c r="BU65" s="465">
        <v>0</v>
      </c>
      <c r="BV65" s="465">
        <f t="shared" si="18"/>
        <v>0</v>
      </c>
      <c r="BW65" s="465"/>
      <c r="BX65" s="465">
        <v>0</v>
      </c>
      <c r="BY65" s="465">
        <v>0</v>
      </c>
      <c r="BZ65" s="465">
        <f t="shared" si="19"/>
        <v>0</v>
      </c>
      <c r="CA65" s="465"/>
      <c r="CB65" s="465">
        <v>0</v>
      </c>
      <c r="CC65" s="465">
        <v>0</v>
      </c>
      <c r="CD65" s="465">
        <f t="shared" si="20"/>
        <v>0</v>
      </c>
      <c r="CE65" s="465"/>
      <c r="CF65" s="465">
        <f t="shared" si="21"/>
        <v>140000000</v>
      </c>
      <c r="CG65" s="465">
        <f>25300000+1050000+29450000+3707089.74-3707089.74+23700000+12600000+47900000</f>
        <v>140000000</v>
      </c>
      <c r="CH65" s="465">
        <f t="shared" si="22"/>
        <v>0</v>
      </c>
      <c r="CI65" s="465"/>
      <c r="CJ65" s="465">
        <v>20000000</v>
      </c>
      <c r="CK65" s="465">
        <v>2242995</v>
      </c>
      <c r="CL65" s="465">
        <f t="shared" si="23"/>
        <v>17757005</v>
      </c>
      <c r="CM65" s="465"/>
      <c r="CN65" s="465">
        <v>10000000</v>
      </c>
      <c r="CO65" s="465">
        <v>0</v>
      </c>
      <c r="CP65" s="465">
        <f t="shared" si="24"/>
        <v>10000000</v>
      </c>
      <c r="CQ65" s="465"/>
      <c r="CR65" s="465">
        <v>40000000</v>
      </c>
      <c r="CS65" s="465">
        <f>8083085+4660848+829820+8209383+5066010+13150854</f>
        <v>40000000</v>
      </c>
      <c r="CT65" s="465">
        <f t="shared" si="25"/>
        <v>0</v>
      </c>
      <c r="CU65" s="465"/>
      <c r="CV65" s="465">
        <v>0</v>
      </c>
      <c r="CW65" s="465">
        <v>0</v>
      </c>
      <c r="CX65" s="465">
        <f t="shared" si="26"/>
        <v>0</v>
      </c>
      <c r="CY65" s="488"/>
      <c r="CZ65" s="465">
        <v>0</v>
      </c>
      <c r="DA65" s="465">
        <v>0</v>
      </c>
      <c r="DB65" s="465">
        <f t="shared" si="27"/>
        <v>0</v>
      </c>
      <c r="DC65" s="465"/>
      <c r="DD65" s="465">
        <v>0</v>
      </c>
      <c r="DE65" s="465">
        <v>0</v>
      </c>
      <c r="DF65" s="465">
        <f t="shared" si="28"/>
        <v>0</v>
      </c>
      <c r="DG65" s="488"/>
      <c r="DH65" s="465">
        <v>0</v>
      </c>
      <c r="DI65" s="465">
        <v>0</v>
      </c>
      <c r="DJ65" s="465">
        <f t="shared" si="29"/>
        <v>0</v>
      </c>
      <c r="DK65" s="488"/>
      <c r="DL65" s="465">
        <v>0</v>
      </c>
      <c r="DM65" s="465">
        <v>0</v>
      </c>
      <c r="DN65" s="465">
        <f t="shared" si="30"/>
        <v>0</v>
      </c>
      <c r="DO65" s="465"/>
      <c r="DP65" s="465">
        <v>0</v>
      </c>
      <c r="DQ65" s="465">
        <v>0</v>
      </c>
      <c r="DR65" s="465">
        <f t="shared" si="31"/>
        <v>0</v>
      </c>
      <c r="DS65" s="465"/>
      <c r="DT65" s="465">
        <v>100000000</v>
      </c>
      <c r="DU65" s="487">
        <f>28600000+8100000+9476500+8100000+22029701.75+17100000</f>
        <v>93406201.75</v>
      </c>
      <c r="DV65" s="465">
        <f t="shared" si="32"/>
        <v>6593798.25</v>
      </c>
      <c r="DW65" s="465"/>
      <c r="DX65" s="465">
        <v>15000000</v>
      </c>
      <c r="DY65" s="465">
        <v>0</v>
      </c>
      <c r="DZ65" s="465">
        <f t="shared" si="33"/>
        <v>15000000</v>
      </c>
      <c r="EA65" s="465"/>
      <c r="EB65" s="465">
        <v>10000000</v>
      </c>
      <c r="EC65" s="465">
        <v>0</v>
      </c>
      <c r="ED65" s="465">
        <f t="shared" si="34"/>
        <v>10000000</v>
      </c>
      <c r="EE65" s="465"/>
      <c r="EF65" s="465">
        <v>25000000</v>
      </c>
      <c r="EG65" s="465">
        <f>11642480+3707089.74+319800+2598500+1915955+3810000+1006175.26</f>
        <v>25000000.000000004</v>
      </c>
      <c r="EH65" s="465">
        <f t="shared" si="35"/>
        <v>0</v>
      </c>
      <c r="EI65" s="465"/>
      <c r="EJ65" s="465">
        <v>10000000</v>
      </c>
      <c r="EK65" s="465">
        <v>0</v>
      </c>
      <c r="EL65" s="465">
        <f t="shared" si="36"/>
        <v>10000000</v>
      </c>
      <c r="EM65" s="465"/>
      <c r="EN65" s="465"/>
      <c r="EO65" s="465">
        <v>0</v>
      </c>
      <c r="EP65" s="465">
        <f t="shared" si="37"/>
        <v>0</v>
      </c>
      <c r="EQ65" s="465"/>
      <c r="ER65" s="465"/>
      <c r="ES65" s="465">
        <v>0</v>
      </c>
      <c r="ET65" s="465">
        <f t="shared" si="38"/>
        <v>0</v>
      </c>
      <c r="EU65" s="465"/>
      <c r="EV65" s="465"/>
      <c r="EW65" s="465">
        <v>0</v>
      </c>
      <c r="EX65" s="465">
        <f t="shared" si="39"/>
        <v>0</v>
      </c>
      <c r="EY65" s="465"/>
      <c r="EZ65" s="465"/>
      <c r="FA65" s="465">
        <v>0</v>
      </c>
      <c r="FB65" s="465">
        <f t="shared" si="40"/>
        <v>0</v>
      </c>
      <c r="FC65" s="465"/>
      <c r="FD65" s="465"/>
      <c r="FE65" s="465">
        <v>0</v>
      </c>
      <c r="FF65" s="465">
        <f t="shared" si="41"/>
        <v>0</v>
      </c>
      <c r="FG65" s="465"/>
      <c r="FH65" s="468">
        <v>120000000</v>
      </c>
      <c r="FI65" s="463">
        <v>0</v>
      </c>
      <c r="FJ65" s="463">
        <f t="shared" si="0"/>
        <v>120000000</v>
      </c>
      <c r="FK65" s="468"/>
      <c r="FL65" s="468">
        <v>25000000</v>
      </c>
      <c r="FM65" s="468">
        <v>0</v>
      </c>
      <c r="FN65" s="468">
        <f t="shared" si="77"/>
        <v>25000000</v>
      </c>
      <c r="FO65" s="468"/>
      <c r="FP65" s="468">
        <v>5000000</v>
      </c>
      <c r="FQ65" s="468">
        <v>0</v>
      </c>
      <c r="FR65" s="468">
        <f t="shared" si="78"/>
        <v>5000000</v>
      </c>
      <c r="FS65" s="468"/>
      <c r="FT65" s="468">
        <v>30000000</v>
      </c>
      <c r="FU65" s="514">
        <f>7047465.49+3674828+2746875</f>
        <v>13469168.49</v>
      </c>
      <c r="FV65" s="468">
        <f t="shared" si="79"/>
        <v>16530831.51</v>
      </c>
      <c r="FW65" s="468"/>
      <c r="FX65" s="468">
        <v>4150000</v>
      </c>
      <c r="FY65" s="468">
        <v>0</v>
      </c>
      <c r="FZ65" s="468">
        <v>4150000</v>
      </c>
      <c r="GA65" s="468"/>
      <c r="GB65" s="507"/>
      <c r="GC65" s="507"/>
      <c r="GD65" s="507"/>
      <c r="GE65" s="507"/>
      <c r="GF65" s="507"/>
      <c r="GG65" s="507"/>
      <c r="GH65" s="507"/>
      <c r="GI65" s="507"/>
      <c r="GJ65" s="507"/>
      <c r="GK65" s="507"/>
      <c r="GL65" s="507"/>
      <c r="GM65" s="507"/>
      <c r="GN65" s="507"/>
      <c r="GO65" s="507"/>
      <c r="GP65" s="507"/>
      <c r="GQ65" s="507"/>
      <c r="GR65" s="507"/>
      <c r="GS65" s="507"/>
      <c r="GT65" s="507"/>
      <c r="GU65" s="468"/>
      <c r="GV65" s="465">
        <f t="shared" si="50"/>
        <v>554150000</v>
      </c>
      <c r="GW65" s="465">
        <f t="shared" si="50"/>
        <v>314118365.24000001</v>
      </c>
      <c r="GX65" s="465">
        <f t="shared" si="51"/>
        <v>240031634.75999999</v>
      </c>
      <c r="GY65" s="470"/>
      <c r="GZ65" s="464"/>
      <c r="HA65" s="471">
        <f>D65+H65+L65+X65+AN65+BH65+CB65+CF65+CV65+DP65+DT65+EN65+FH65+GB65</f>
        <v>360000000</v>
      </c>
      <c r="HB65" s="471">
        <f>E65+I65+M65+Y65+AO65+BI65+CC65+CG65+CW65+DQ65+DU65+EO65+FI65+GC65</f>
        <v>233406201.75</v>
      </c>
      <c r="HC65" s="471">
        <f t="shared" si="52"/>
        <v>126593798.25</v>
      </c>
      <c r="HE65" s="471">
        <f>P65+AB65+AR65+
BL65+CJ65+CZ65+DX65+ER65+FL65+GF65</f>
        <v>60000000</v>
      </c>
      <c r="HF65" s="471">
        <f>Q65+AC65+AS65+
BM65+CK65+DA65+DY65+ES65+FM65+GG65</f>
        <v>2242995</v>
      </c>
      <c r="HG65" s="471">
        <f t="shared" si="53"/>
        <v>57757005</v>
      </c>
      <c r="HI65" s="471">
        <f>T65+AF65+AV65+BP65+CN65+DD65+EB65+EV65+FP65+GJ65</f>
        <v>25000000</v>
      </c>
      <c r="HJ65" s="471">
        <f>U65+AG65+AW65+BQ65+CO65+DE65+EC65+EW65+FQ65+GK65</f>
        <v>0</v>
      </c>
      <c r="HK65" s="471">
        <f t="shared" si="54"/>
        <v>25000000</v>
      </c>
      <c r="HM65" s="475">
        <f>AJ65+AZ65+BT65+CR65+DH65+EF65+EZ65+FT65+GN65</f>
        <v>95000000</v>
      </c>
      <c r="HN65" s="475">
        <f>AK65+BA65+BU65+CS65+DI65+EG65+FA65+FU65+GO65</f>
        <v>78469168.489999995</v>
      </c>
      <c r="HO65" s="475">
        <f t="shared" si="55"/>
        <v>16530831.510000005</v>
      </c>
      <c r="HP65" s="476"/>
      <c r="HR65" s="471">
        <f>BD65+BX65+DL65+EJ65+FD65+FX65+GR65</f>
        <v>14150000</v>
      </c>
      <c r="HS65" s="471">
        <f>BE65+BY65+DM65+EK65+FE65+FY65+GS65</f>
        <v>0</v>
      </c>
      <c r="HT65" s="471">
        <f t="shared" si="56"/>
        <v>14150000</v>
      </c>
    </row>
    <row r="66" spans="1:228" x14ac:dyDescent="0.25">
      <c r="A66" s="107">
        <v>60</v>
      </c>
      <c r="B66" s="515" t="s">
        <v>486</v>
      </c>
      <c r="C66" s="512" t="s">
        <v>74</v>
      </c>
      <c r="D66" s="505">
        <v>0</v>
      </c>
      <c r="E66" s="505">
        <v>0</v>
      </c>
      <c r="F66" s="465">
        <f t="shared" si="1"/>
        <v>0</v>
      </c>
      <c r="G66" s="505"/>
      <c r="H66" s="505">
        <v>0</v>
      </c>
      <c r="I66" s="505">
        <v>0</v>
      </c>
      <c r="J66" s="465">
        <f t="shared" si="2"/>
        <v>0</v>
      </c>
      <c r="K66" s="505">
        <v>0</v>
      </c>
      <c r="L66" s="505">
        <v>0</v>
      </c>
      <c r="M66" s="465">
        <v>0</v>
      </c>
      <c r="N66" s="465">
        <f t="shared" si="3"/>
        <v>0</v>
      </c>
      <c r="O66" s="505"/>
      <c r="P66" s="465">
        <v>0</v>
      </c>
      <c r="Q66" s="465">
        <v>0</v>
      </c>
      <c r="R66" s="465">
        <f t="shared" si="4"/>
        <v>0</v>
      </c>
      <c r="S66" s="505"/>
      <c r="T66" s="465">
        <v>0</v>
      </c>
      <c r="U66" s="465">
        <v>0</v>
      </c>
      <c r="V66" s="465">
        <f t="shared" si="5"/>
        <v>0</v>
      </c>
      <c r="W66" s="505"/>
      <c r="X66" s="465">
        <v>0</v>
      </c>
      <c r="Y66" s="465">
        <v>0</v>
      </c>
      <c r="Z66" s="465">
        <f t="shared" si="6"/>
        <v>0</v>
      </c>
      <c r="AA66" s="505"/>
      <c r="AB66" s="465">
        <v>0</v>
      </c>
      <c r="AC66" s="465">
        <v>0</v>
      </c>
      <c r="AD66" s="465">
        <f t="shared" si="7"/>
        <v>0</v>
      </c>
      <c r="AE66" s="505"/>
      <c r="AF66" s="465">
        <v>0</v>
      </c>
      <c r="AG66" s="465">
        <v>0</v>
      </c>
      <c r="AH66" s="465">
        <f t="shared" si="8"/>
        <v>0</v>
      </c>
      <c r="AI66" s="505"/>
      <c r="AJ66" s="505">
        <v>0</v>
      </c>
      <c r="AK66" s="505">
        <v>0</v>
      </c>
      <c r="AL66" s="465">
        <f t="shared" si="9"/>
        <v>0</v>
      </c>
      <c r="AM66" s="505"/>
      <c r="AN66" s="465">
        <v>0</v>
      </c>
      <c r="AO66" s="465">
        <v>0</v>
      </c>
      <c r="AP66" s="465">
        <f t="shared" si="10"/>
        <v>0</v>
      </c>
      <c r="AQ66" s="505"/>
      <c r="AR66" s="465">
        <v>0</v>
      </c>
      <c r="AS66" s="465">
        <v>0</v>
      </c>
      <c r="AT66" s="465">
        <f t="shared" si="11"/>
        <v>0</v>
      </c>
      <c r="AU66" s="505"/>
      <c r="AV66" s="465">
        <v>0</v>
      </c>
      <c r="AW66" s="465">
        <v>0</v>
      </c>
      <c r="AX66" s="465">
        <f t="shared" si="12"/>
        <v>0</v>
      </c>
      <c r="AY66" s="505"/>
      <c r="AZ66" s="465">
        <v>0</v>
      </c>
      <c r="BA66" s="465">
        <v>0</v>
      </c>
      <c r="BB66" s="465">
        <f t="shared" si="13"/>
        <v>0</v>
      </c>
      <c r="BC66" s="505"/>
      <c r="BD66" s="465">
        <v>0</v>
      </c>
      <c r="BE66" s="465">
        <f>0</f>
        <v>0</v>
      </c>
      <c r="BF66" s="465">
        <f t="shared" si="14"/>
        <v>0</v>
      </c>
      <c r="BG66" s="505"/>
      <c r="BH66" s="505">
        <v>130000000</v>
      </c>
      <c r="BI66" s="465">
        <f>130000000</f>
        <v>130000000</v>
      </c>
      <c r="BJ66" s="465">
        <f t="shared" si="15"/>
        <v>0</v>
      </c>
      <c r="BK66" s="505"/>
      <c r="BL66" s="505">
        <v>10000000</v>
      </c>
      <c r="BM66" s="484">
        <v>3333246.66</v>
      </c>
      <c r="BN66" s="465">
        <f t="shared" si="16"/>
        <v>6666753.3399999999</v>
      </c>
      <c r="BO66" s="505"/>
      <c r="BP66" s="505">
        <v>10000000</v>
      </c>
      <c r="BQ66" s="465">
        <v>0</v>
      </c>
      <c r="BR66" s="465">
        <f t="shared" si="17"/>
        <v>10000000</v>
      </c>
      <c r="BS66" s="505"/>
      <c r="BT66" s="505">
        <v>40000000</v>
      </c>
      <c r="BU66" s="483">
        <f>13889440+3973000+3973000+790602-3973000+1441700+3699259+13576234.45</f>
        <v>37370235.450000003</v>
      </c>
      <c r="BV66" s="465">
        <f t="shared" si="18"/>
        <v>2629764.549999997</v>
      </c>
      <c r="BW66" s="505"/>
      <c r="BX66" s="505">
        <v>5000000</v>
      </c>
      <c r="BY66" s="465">
        <v>0</v>
      </c>
      <c r="BZ66" s="465">
        <f t="shared" si="19"/>
        <v>5000000</v>
      </c>
      <c r="CA66" s="505"/>
      <c r="CB66" s="465">
        <v>0</v>
      </c>
      <c r="CC66" s="465">
        <v>0</v>
      </c>
      <c r="CD66" s="465">
        <f t="shared" si="20"/>
        <v>0</v>
      </c>
      <c r="CE66" s="505"/>
      <c r="CF66" s="465">
        <f t="shared" si="21"/>
        <v>140000000</v>
      </c>
      <c r="CG66" s="465">
        <f>135272170+4727830</f>
        <v>140000000</v>
      </c>
      <c r="CH66" s="465">
        <f t="shared" si="22"/>
        <v>0</v>
      </c>
      <c r="CI66" s="505"/>
      <c r="CJ66" s="465">
        <v>20000000</v>
      </c>
      <c r="CK66" s="465">
        <v>0</v>
      </c>
      <c r="CL66" s="465">
        <f t="shared" si="23"/>
        <v>20000000</v>
      </c>
      <c r="CM66" s="505"/>
      <c r="CN66" s="465">
        <v>10000000</v>
      </c>
      <c r="CO66" s="465">
        <v>0</v>
      </c>
      <c r="CP66" s="465">
        <f t="shared" si="24"/>
        <v>10000000</v>
      </c>
      <c r="CQ66" s="505"/>
      <c r="CR66" s="465">
        <v>40000000</v>
      </c>
      <c r="CS66" s="465">
        <v>0</v>
      </c>
      <c r="CT66" s="465">
        <f t="shared" si="25"/>
        <v>40000000</v>
      </c>
      <c r="CU66" s="505"/>
      <c r="CV66" s="465">
        <v>150000000</v>
      </c>
      <c r="CW66" s="465">
        <f>144501445+5498555</f>
        <v>150000000</v>
      </c>
      <c r="CX66" s="465">
        <f t="shared" si="26"/>
        <v>0</v>
      </c>
      <c r="CY66" s="505"/>
      <c r="CZ66" s="465">
        <v>20000000</v>
      </c>
      <c r="DA66" s="465">
        <v>0</v>
      </c>
      <c r="DB66" s="465">
        <f t="shared" si="27"/>
        <v>20000000</v>
      </c>
      <c r="DC66" s="465"/>
      <c r="DD66" s="465">
        <v>10000000</v>
      </c>
      <c r="DE66" s="465">
        <v>0</v>
      </c>
      <c r="DF66" s="465">
        <f t="shared" si="28"/>
        <v>10000000</v>
      </c>
      <c r="DG66" s="505"/>
      <c r="DH66" s="465">
        <v>50000000</v>
      </c>
      <c r="DI66" s="465">
        <f>-3973000+3973000</f>
        <v>0</v>
      </c>
      <c r="DJ66" s="465">
        <f t="shared" si="29"/>
        <v>50000000</v>
      </c>
      <c r="DK66" s="505"/>
      <c r="DL66" s="465">
        <v>10000000</v>
      </c>
      <c r="DM66" s="465">
        <f>3651600+4930000</f>
        <v>8581600</v>
      </c>
      <c r="DN66" s="465">
        <f t="shared" si="30"/>
        <v>1418400</v>
      </c>
      <c r="DO66" s="505"/>
      <c r="DP66" s="465">
        <v>0</v>
      </c>
      <c r="DQ66" s="465">
        <v>0</v>
      </c>
      <c r="DR66" s="465">
        <f t="shared" si="31"/>
        <v>0</v>
      </c>
      <c r="DS66" s="465"/>
      <c r="DT66" s="465">
        <v>100000000</v>
      </c>
      <c r="DU66" s="465">
        <f>3641000+87741745+8617255</f>
        <v>100000000</v>
      </c>
      <c r="DV66" s="465">
        <f t="shared" si="32"/>
        <v>0</v>
      </c>
      <c r="DW66" s="465"/>
      <c r="DX66" s="465">
        <v>15000000</v>
      </c>
      <c r="DY66" s="465">
        <v>0</v>
      </c>
      <c r="DZ66" s="465">
        <f t="shared" si="33"/>
        <v>15000000</v>
      </c>
      <c r="EA66" s="465"/>
      <c r="EB66" s="465">
        <v>10000000</v>
      </c>
      <c r="EC66" s="465">
        <v>0</v>
      </c>
      <c r="ED66" s="465">
        <f t="shared" si="34"/>
        <v>10000000</v>
      </c>
      <c r="EE66" s="465"/>
      <c r="EF66" s="465">
        <v>25000000</v>
      </c>
      <c r="EG66" s="465">
        <f>9071095+15928905</f>
        <v>25000000</v>
      </c>
      <c r="EH66" s="465">
        <f t="shared" si="35"/>
        <v>0</v>
      </c>
      <c r="EI66" s="465"/>
      <c r="EJ66" s="465">
        <v>10000000</v>
      </c>
      <c r="EK66" s="465">
        <v>0</v>
      </c>
      <c r="EL66" s="465">
        <f t="shared" si="36"/>
        <v>10000000</v>
      </c>
      <c r="EM66" s="505"/>
      <c r="EN66" s="505">
        <v>300000000</v>
      </c>
      <c r="EO66" s="465">
        <f>10582745+131171399.1+117127833.05+6000000</f>
        <v>264881977.14999998</v>
      </c>
      <c r="EP66" s="465">
        <f t="shared" si="37"/>
        <v>35118022.850000024</v>
      </c>
      <c r="EQ66" s="505"/>
      <c r="ER66" s="505">
        <v>25000000</v>
      </c>
      <c r="ES66" s="465">
        <v>0</v>
      </c>
      <c r="ET66" s="465">
        <f t="shared" si="38"/>
        <v>25000000</v>
      </c>
      <c r="EU66" s="505"/>
      <c r="EV66" s="505">
        <v>10000000</v>
      </c>
      <c r="EW66" s="465">
        <v>0</v>
      </c>
      <c r="EX66" s="465">
        <f t="shared" si="39"/>
        <v>10000000</v>
      </c>
      <c r="EY66" s="505"/>
      <c r="EZ66" s="505">
        <v>30000000</v>
      </c>
      <c r="FA66" s="465">
        <f>3943730+10384600+12292450</f>
        <v>26620780</v>
      </c>
      <c r="FB66" s="465">
        <f t="shared" si="40"/>
        <v>3379220</v>
      </c>
      <c r="FC66" s="505"/>
      <c r="FD66" s="505">
        <v>5000000</v>
      </c>
      <c r="FE66" s="465">
        <v>0</v>
      </c>
      <c r="FF66" s="465">
        <f t="shared" si="41"/>
        <v>5000000</v>
      </c>
      <c r="FG66" s="465"/>
      <c r="FH66" s="468">
        <v>120000000</v>
      </c>
      <c r="FI66" s="463">
        <v>0</v>
      </c>
      <c r="FJ66" s="463">
        <f t="shared" si="0"/>
        <v>120000000</v>
      </c>
      <c r="FK66" s="468"/>
      <c r="FL66" s="468">
        <v>25000000</v>
      </c>
      <c r="FM66" s="468">
        <v>0</v>
      </c>
      <c r="FN66" s="468">
        <f t="shared" si="77"/>
        <v>25000000</v>
      </c>
      <c r="FO66" s="468"/>
      <c r="FP66" s="468">
        <v>5000000</v>
      </c>
      <c r="FQ66" s="468">
        <v>0</v>
      </c>
      <c r="FR66" s="468">
        <f t="shared" si="78"/>
        <v>5000000</v>
      </c>
      <c r="FS66" s="468"/>
      <c r="FT66" s="468">
        <v>30000000</v>
      </c>
      <c r="FU66" s="468">
        <v>0</v>
      </c>
      <c r="FV66" s="468">
        <f t="shared" si="79"/>
        <v>30000000</v>
      </c>
      <c r="FW66" s="468"/>
      <c r="FX66" s="468">
        <v>4150000</v>
      </c>
      <c r="FY66" s="468">
        <v>0</v>
      </c>
      <c r="FZ66" s="468">
        <v>4150000</v>
      </c>
      <c r="GA66" s="468"/>
      <c r="GB66" s="468">
        <v>160000000</v>
      </c>
      <c r="GC66" s="468">
        <v>0</v>
      </c>
      <c r="GD66" s="468">
        <f>GB66-GC66</f>
        <v>160000000</v>
      </c>
      <c r="GE66" s="468"/>
      <c r="GF66" s="468">
        <v>25000000</v>
      </c>
      <c r="GG66" s="468">
        <v>0</v>
      </c>
      <c r="GH66" s="468">
        <f t="shared" ref="GH66:GH81" si="83">GF66-GG66</f>
        <v>25000000</v>
      </c>
      <c r="GI66" s="468"/>
      <c r="GJ66" s="468">
        <v>5000000</v>
      </c>
      <c r="GK66" s="468">
        <v>0</v>
      </c>
      <c r="GL66" s="468">
        <f>GJ66-GK66</f>
        <v>5000000</v>
      </c>
      <c r="GM66" s="468"/>
      <c r="GN66" s="468">
        <v>20000000</v>
      </c>
      <c r="GO66" s="468">
        <v>0</v>
      </c>
      <c r="GP66" s="468">
        <f>GN66-GO66</f>
        <v>20000000</v>
      </c>
      <c r="GQ66" s="468"/>
      <c r="GR66" s="468">
        <v>5000000</v>
      </c>
      <c r="GS66" s="468">
        <v>0</v>
      </c>
      <c r="GT66" s="468">
        <f t="shared" ref="GT66:GT81" si="84">GR66-GS66</f>
        <v>5000000</v>
      </c>
      <c r="GU66" s="468"/>
      <c r="GV66" s="465">
        <f t="shared" si="50"/>
        <v>1574150000</v>
      </c>
      <c r="GW66" s="465">
        <f t="shared" si="50"/>
        <v>885787839.25999999</v>
      </c>
      <c r="GX66" s="465">
        <f t="shared" si="51"/>
        <v>688362160.74000001</v>
      </c>
      <c r="GY66" s="470"/>
      <c r="GZ66" s="464"/>
      <c r="HA66" s="471">
        <f>D66+H66+L66+X66+AN66+BH66+CB66+CF66+CV66+DP66+DT66+EN66+FH66+GB66</f>
        <v>1100000000</v>
      </c>
      <c r="HB66" s="471">
        <f>E66+I66+M66+Y66+AO66+BI66+CC66+CG66+CW66+DQ66+DU66+EO66+FI66+GC66</f>
        <v>784881977.14999998</v>
      </c>
      <c r="HC66" s="471">
        <f t="shared" si="52"/>
        <v>315118022.85000002</v>
      </c>
      <c r="HE66" s="471">
        <f>P66+AB66+AR66+
BL66+CJ66+CZ66+DX66+ER66+FL66+GF66</f>
        <v>140000000</v>
      </c>
      <c r="HF66" s="471">
        <f>Q66+AC66+AS66+
BM66+CK66+DA66+DY66+ES66+FM66+GG66</f>
        <v>3333246.66</v>
      </c>
      <c r="HG66" s="471">
        <f t="shared" si="53"/>
        <v>136666753.34</v>
      </c>
      <c r="HI66" s="471">
        <f>T66+AF66+AV66+BP66+CN66+DD66+EB66+EV66+FP66+GJ66</f>
        <v>60000000</v>
      </c>
      <c r="HJ66" s="471">
        <f>U66+AG66+AW66+BQ66+CO66+DE66+EC66+EW66+FQ66+GK66</f>
        <v>0</v>
      </c>
      <c r="HK66" s="471">
        <f t="shared" si="54"/>
        <v>60000000</v>
      </c>
      <c r="HM66" s="475">
        <f>AJ66+AZ66+BT66+CR66+DH66+EF66+EZ66+FT66+GN66</f>
        <v>235000000</v>
      </c>
      <c r="HN66" s="475">
        <f>AK66+BA66+BU66+CS66+DI66+EG66+FA66+FU66+GO66</f>
        <v>88991015.450000003</v>
      </c>
      <c r="HO66" s="475">
        <f t="shared" si="55"/>
        <v>146008984.55000001</v>
      </c>
      <c r="HP66" s="476"/>
      <c r="HR66" s="471">
        <f>BD66+BX66+DL66+EJ66+FD66+FX66+GR66</f>
        <v>39150000</v>
      </c>
      <c r="HS66" s="471">
        <f>BE66+BY66+DM66+EK66+FE66+FY66+GS66</f>
        <v>8581600</v>
      </c>
      <c r="HT66" s="471">
        <f t="shared" si="56"/>
        <v>30568400</v>
      </c>
    </row>
    <row r="67" spans="1:228" x14ac:dyDescent="0.25">
      <c r="A67" s="107">
        <v>61</v>
      </c>
      <c r="B67" s="515" t="s">
        <v>127</v>
      </c>
      <c r="C67" s="113" t="s">
        <v>69</v>
      </c>
      <c r="D67" s="505">
        <v>0</v>
      </c>
      <c r="E67" s="505">
        <v>0</v>
      </c>
      <c r="F67" s="465">
        <f t="shared" si="1"/>
        <v>0</v>
      </c>
      <c r="G67" s="505"/>
      <c r="H67" s="505">
        <v>0</v>
      </c>
      <c r="I67" s="505">
        <v>0</v>
      </c>
      <c r="J67" s="465">
        <f t="shared" si="2"/>
        <v>0</v>
      </c>
      <c r="K67" s="505"/>
      <c r="L67" s="505">
        <v>0</v>
      </c>
      <c r="M67" s="465">
        <v>0</v>
      </c>
      <c r="N67" s="465">
        <f t="shared" si="3"/>
        <v>0</v>
      </c>
      <c r="O67" s="505"/>
      <c r="P67" s="465">
        <v>0</v>
      </c>
      <c r="Q67" s="465">
        <v>0</v>
      </c>
      <c r="R67" s="465">
        <f t="shared" si="4"/>
        <v>0</v>
      </c>
      <c r="S67" s="505"/>
      <c r="T67" s="465">
        <v>0</v>
      </c>
      <c r="U67" s="465">
        <v>0</v>
      </c>
      <c r="V67" s="465">
        <f t="shared" si="5"/>
        <v>0</v>
      </c>
      <c r="W67" s="505"/>
      <c r="X67" s="465">
        <v>0</v>
      </c>
      <c r="Y67" s="465">
        <v>0</v>
      </c>
      <c r="Z67" s="465">
        <f t="shared" si="6"/>
        <v>0</v>
      </c>
      <c r="AA67" s="505"/>
      <c r="AB67" s="465">
        <v>0</v>
      </c>
      <c r="AC67" s="465">
        <v>0</v>
      </c>
      <c r="AD67" s="465">
        <f t="shared" si="7"/>
        <v>0</v>
      </c>
      <c r="AE67" s="505"/>
      <c r="AF67" s="465">
        <v>0</v>
      </c>
      <c r="AG67" s="465">
        <v>0</v>
      </c>
      <c r="AH67" s="465">
        <f t="shared" si="8"/>
        <v>0</v>
      </c>
      <c r="AI67" s="505"/>
      <c r="AJ67" s="505">
        <v>0</v>
      </c>
      <c r="AK67" s="505">
        <v>0</v>
      </c>
      <c r="AL67" s="465">
        <f t="shared" si="9"/>
        <v>0</v>
      </c>
      <c r="AM67" s="505"/>
      <c r="AN67" s="465">
        <v>0</v>
      </c>
      <c r="AO67" s="465">
        <v>0</v>
      </c>
      <c r="AP67" s="465">
        <f t="shared" si="10"/>
        <v>0</v>
      </c>
      <c r="AQ67" s="505"/>
      <c r="AR67" s="465">
        <v>0</v>
      </c>
      <c r="AS67" s="465">
        <v>0</v>
      </c>
      <c r="AT67" s="465">
        <f t="shared" si="11"/>
        <v>0</v>
      </c>
      <c r="AU67" s="505"/>
      <c r="AV67" s="465">
        <v>0</v>
      </c>
      <c r="AW67" s="465">
        <v>0</v>
      </c>
      <c r="AX67" s="465">
        <f t="shared" si="12"/>
        <v>0</v>
      </c>
      <c r="AY67" s="505"/>
      <c r="AZ67" s="465">
        <v>0</v>
      </c>
      <c r="BA67" s="465">
        <v>0</v>
      </c>
      <c r="BB67" s="465">
        <f t="shared" si="13"/>
        <v>0</v>
      </c>
      <c r="BC67" s="505"/>
      <c r="BD67" s="465">
        <v>0</v>
      </c>
      <c r="BE67" s="465">
        <f>0</f>
        <v>0</v>
      </c>
      <c r="BF67" s="465">
        <f t="shared" si="14"/>
        <v>0</v>
      </c>
      <c r="BG67" s="505"/>
      <c r="BH67" s="465">
        <v>0</v>
      </c>
      <c r="BI67" s="465">
        <v>0</v>
      </c>
      <c r="BJ67" s="465">
        <f t="shared" si="15"/>
        <v>0</v>
      </c>
      <c r="BK67" s="505"/>
      <c r="BL67" s="465">
        <v>0</v>
      </c>
      <c r="BM67" s="465">
        <v>0</v>
      </c>
      <c r="BN67" s="465">
        <f t="shared" si="16"/>
        <v>0</v>
      </c>
      <c r="BO67" s="505"/>
      <c r="BP67" s="465">
        <v>0</v>
      </c>
      <c r="BQ67" s="465">
        <v>0</v>
      </c>
      <c r="BR67" s="465">
        <f t="shared" si="17"/>
        <v>0</v>
      </c>
      <c r="BS67" s="505"/>
      <c r="BT67" s="465">
        <v>0</v>
      </c>
      <c r="BU67" s="465">
        <v>0</v>
      </c>
      <c r="BV67" s="465">
        <f t="shared" si="18"/>
        <v>0</v>
      </c>
      <c r="BW67" s="505"/>
      <c r="BX67" s="465">
        <v>0</v>
      </c>
      <c r="BY67" s="465">
        <v>0</v>
      </c>
      <c r="BZ67" s="465">
        <f t="shared" si="19"/>
        <v>0</v>
      </c>
      <c r="CA67" s="505"/>
      <c r="CB67" s="465">
        <v>0</v>
      </c>
      <c r="CC67" s="465">
        <v>0</v>
      </c>
      <c r="CD67" s="465">
        <f t="shared" si="20"/>
        <v>0</v>
      </c>
      <c r="CE67" s="505"/>
      <c r="CF67" s="465">
        <f t="shared" si="21"/>
        <v>140000000</v>
      </c>
      <c r="CG67" s="465">
        <f>135029810+3600000+1370190</f>
        <v>140000000</v>
      </c>
      <c r="CH67" s="465">
        <f t="shared" si="22"/>
        <v>0</v>
      </c>
      <c r="CI67" s="505"/>
      <c r="CJ67" s="465">
        <v>20000000</v>
      </c>
      <c r="CK67" s="465">
        <f>6094687.03+13794128.34+111184.63</f>
        <v>20000000</v>
      </c>
      <c r="CL67" s="465">
        <f t="shared" si="23"/>
        <v>0</v>
      </c>
      <c r="CM67" s="505"/>
      <c r="CN67" s="465">
        <v>10000000</v>
      </c>
      <c r="CO67" s="465">
        <v>0</v>
      </c>
      <c r="CP67" s="465">
        <f t="shared" si="24"/>
        <v>10000000</v>
      </c>
      <c r="CQ67" s="505"/>
      <c r="CR67" s="465">
        <v>40000000</v>
      </c>
      <c r="CS67" s="465">
        <f>3754710+8685720+6253550+13461782+7844238</f>
        <v>40000000</v>
      </c>
      <c r="CT67" s="465">
        <f t="shared" si="25"/>
        <v>0</v>
      </c>
      <c r="CU67" s="505"/>
      <c r="CV67" s="465">
        <v>150000000</v>
      </c>
      <c r="CW67" s="465">
        <f>91617175+1500000+1750000+700000+54432825</f>
        <v>150000000</v>
      </c>
      <c r="CX67" s="465">
        <f t="shared" si="26"/>
        <v>0</v>
      </c>
      <c r="CY67" s="505"/>
      <c r="CZ67" s="465">
        <v>20000000</v>
      </c>
      <c r="DA67" s="465">
        <f>9558881.37+7888840+1998000+554278.63</f>
        <v>19999999.999999996</v>
      </c>
      <c r="DB67" s="465">
        <f t="shared" si="27"/>
        <v>0</v>
      </c>
      <c r="DC67" s="465"/>
      <c r="DD67" s="465">
        <v>10000000</v>
      </c>
      <c r="DE67" s="465">
        <v>0</v>
      </c>
      <c r="DF67" s="465">
        <f t="shared" si="28"/>
        <v>10000000</v>
      </c>
      <c r="DG67" s="505"/>
      <c r="DH67" s="465">
        <v>50000000</v>
      </c>
      <c r="DI67" s="485">
        <f>4488926+6222938+3040430+13393048+5807260+2070400+10602715+4374283</f>
        <v>50000000</v>
      </c>
      <c r="DJ67" s="465">
        <f t="shared" si="29"/>
        <v>0</v>
      </c>
      <c r="DK67" s="505"/>
      <c r="DL67" s="465">
        <v>10000000</v>
      </c>
      <c r="DM67" s="465">
        <f>7012500+2987500</f>
        <v>10000000</v>
      </c>
      <c r="DN67" s="465">
        <f t="shared" si="30"/>
        <v>0</v>
      </c>
      <c r="DO67" s="505"/>
      <c r="DP67" s="465">
        <v>0</v>
      </c>
      <c r="DQ67" s="465">
        <v>0</v>
      </c>
      <c r="DR67" s="465">
        <f t="shared" si="31"/>
        <v>0</v>
      </c>
      <c r="DS67" s="465"/>
      <c r="DT67" s="465">
        <v>100000000</v>
      </c>
      <c r="DU67" s="465">
        <f>79501700+12000000+1050000+7448300</f>
        <v>100000000</v>
      </c>
      <c r="DV67" s="465">
        <f t="shared" si="32"/>
        <v>0</v>
      </c>
      <c r="DW67" s="465"/>
      <c r="DX67" s="465">
        <v>15000000</v>
      </c>
      <c r="DY67" s="465">
        <f>13738595+1182084.37+79320.63</f>
        <v>15000000.000000002</v>
      </c>
      <c r="DZ67" s="465">
        <f t="shared" si="33"/>
        <v>0</v>
      </c>
      <c r="EA67" s="465"/>
      <c r="EB67" s="465">
        <v>10000000</v>
      </c>
      <c r="EC67" s="465">
        <v>0</v>
      </c>
      <c r="ED67" s="465">
        <f t="shared" si="34"/>
        <v>10000000</v>
      </c>
      <c r="EE67" s="465"/>
      <c r="EF67" s="465">
        <v>25000000</v>
      </c>
      <c r="EG67" s="485">
        <f>7296630+12175545+5196242</f>
        <v>24668417</v>
      </c>
      <c r="EH67" s="465">
        <f t="shared" si="35"/>
        <v>331583</v>
      </c>
      <c r="EI67" s="465"/>
      <c r="EJ67" s="465">
        <v>10000000</v>
      </c>
      <c r="EK67" s="478">
        <f>2325000+3825000+2175000+675000+1000000</f>
        <v>10000000</v>
      </c>
      <c r="EL67" s="465">
        <f t="shared" si="36"/>
        <v>0</v>
      </c>
      <c r="EM67" s="505"/>
      <c r="EN67" s="505">
        <v>300000000</v>
      </c>
      <c r="EO67" s="465">
        <f>34459700+32100000+139392610+4500000+17100000+68480913.6+3966776.4</f>
        <v>300000000</v>
      </c>
      <c r="EP67" s="465">
        <f t="shared" si="37"/>
        <v>0</v>
      </c>
      <c r="EQ67" s="505"/>
      <c r="ER67" s="505">
        <v>25000000</v>
      </c>
      <c r="ES67" s="478">
        <f>6023458.25+2508900+3590886+9199187.7+1988845.2+1688722.85</f>
        <v>25000000</v>
      </c>
      <c r="ET67" s="465">
        <f t="shared" si="38"/>
        <v>0</v>
      </c>
      <c r="EU67" s="505"/>
      <c r="EV67" s="505">
        <v>10000000</v>
      </c>
      <c r="EW67" s="465">
        <v>0</v>
      </c>
      <c r="EX67" s="465">
        <f t="shared" si="39"/>
        <v>10000000</v>
      </c>
      <c r="EY67" s="505"/>
      <c r="EZ67" s="505">
        <v>30000000</v>
      </c>
      <c r="FA67" s="484">
        <f>8127888+19654900+2217212</f>
        <v>30000000</v>
      </c>
      <c r="FB67" s="465">
        <f t="shared" si="40"/>
        <v>0</v>
      </c>
      <c r="FC67" s="505"/>
      <c r="FD67" s="505">
        <v>5000000</v>
      </c>
      <c r="FE67" s="478">
        <v>5000000</v>
      </c>
      <c r="FF67" s="465">
        <f t="shared" si="41"/>
        <v>0</v>
      </c>
      <c r="FG67" s="465"/>
      <c r="FH67" s="468">
        <v>120000000</v>
      </c>
      <c r="FI67" s="486">
        <f>18533223.6+24980600</f>
        <v>43513823.600000001</v>
      </c>
      <c r="FJ67" s="463">
        <f t="shared" si="0"/>
        <v>76486176.400000006</v>
      </c>
      <c r="FK67" s="468"/>
      <c r="FL67" s="468">
        <v>25000000</v>
      </c>
      <c r="FM67" s="490">
        <f>1991353.15</f>
        <v>1991353.15</v>
      </c>
      <c r="FN67" s="468">
        <f t="shared" si="77"/>
        <v>23008646.850000001</v>
      </c>
      <c r="FO67" s="468"/>
      <c r="FP67" s="468">
        <v>5000000</v>
      </c>
      <c r="FQ67" s="468">
        <v>0</v>
      </c>
      <c r="FR67" s="468">
        <f t="shared" si="78"/>
        <v>5000000</v>
      </c>
      <c r="FS67" s="468"/>
      <c r="FT67" s="468">
        <v>30000000</v>
      </c>
      <c r="FU67" s="469">
        <f>11865913</f>
        <v>11865913</v>
      </c>
      <c r="FV67" s="468">
        <f t="shared" si="79"/>
        <v>18134087</v>
      </c>
      <c r="FW67" s="468"/>
      <c r="FX67" s="468">
        <v>4150000</v>
      </c>
      <c r="FY67" s="490">
        <f>2474500</f>
        <v>2474500</v>
      </c>
      <c r="FZ67" s="468">
        <v>4150000</v>
      </c>
      <c r="GA67" s="468"/>
      <c r="GB67" s="468">
        <v>160000000</v>
      </c>
      <c r="GC67" s="468">
        <v>0</v>
      </c>
      <c r="GD67" s="468">
        <f t="shared" ref="GD67:GD81" si="85">GB67-GC67</f>
        <v>160000000</v>
      </c>
      <c r="GE67" s="468"/>
      <c r="GF67" s="468">
        <v>25000000</v>
      </c>
      <c r="GG67" s="468">
        <v>0</v>
      </c>
      <c r="GH67" s="468">
        <f t="shared" si="83"/>
        <v>25000000</v>
      </c>
      <c r="GI67" s="468"/>
      <c r="GJ67" s="468">
        <v>5000000</v>
      </c>
      <c r="GK67" s="468">
        <v>0</v>
      </c>
      <c r="GL67" s="468">
        <f t="shared" ref="GL67:GL81" si="86">GJ67-GK67</f>
        <v>5000000</v>
      </c>
      <c r="GM67" s="468"/>
      <c r="GN67" s="468">
        <v>20000000</v>
      </c>
      <c r="GO67" s="468">
        <v>0</v>
      </c>
      <c r="GP67" s="468">
        <f t="shared" ref="GP67:GP81" si="87">GN67-GO67</f>
        <v>20000000</v>
      </c>
      <c r="GQ67" s="468"/>
      <c r="GR67" s="468">
        <v>5000000</v>
      </c>
      <c r="GS67" s="468">
        <v>0</v>
      </c>
      <c r="GT67" s="468">
        <f t="shared" si="84"/>
        <v>5000000</v>
      </c>
      <c r="GU67" s="468"/>
      <c r="GV67" s="465">
        <f t="shared" si="50"/>
        <v>1379150000</v>
      </c>
      <c r="GW67" s="465">
        <f t="shared" si="50"/>
        <v>999514006.75</v>
      </c>
      <c r="GX67" s="465">
        <f t="shared" si="51"/>
        <v>379635993.25</v>
      </c>
      <c r="GY67" s="470"/>
      <c r="GZ67" s="464" t="s">
        <v>487</v>
      </c>
      <c r="HA67" s="471">
        <f>D67+H67+L67+X67+AN67+BH67+CB67+CF67+CV67+DP67+DT67+EN67+FH67+GB67</f>
        <v>970000000</v>
      </c>
      <c r="HB67" s="471">
        <f>E67+I67+M67+Y67+AO67+BI67+CC67+CG67+CW67+DQ67+DU67+EO67+FI67+GC67</f>
        <v>733513823.60000002</v>
      </c>
      <c r="HC67" s="471">
        <f t="shared" si="52"/>
        <v>236486176.39999998</v>
      </c>
      <c r="HE67" s="471">
        <f>P67+AB67+AR67+
BL67+CJ67+CZ67+DX67+ER67+FL67+GF67</f>
        <v>130000000</v>
      </c>
      <c r="HF67" s="471">
        <f>Q67+AC67+AS67+
BM67+CK67+DA67+DY67+ES67+FM67+GG67</f>
        <v>81991353.150000006</v>
      </c>
      <c r="HG67" s="471">
        <f t="shared" si="53"/>
        <v>48008646.849999994</v>
      </c>
      <c r="HI67" s="471">
        <f>T67+AF67+AV67+BP67+CN67+DD67+EB67+EV67+FP67+GJ67</f>
        <v>50000000</v>
      </c>
      <c r="HJ67" s="471">
        <f>U67+AG67+AW67+BQ67+CO67+DE67+EC67+EW67+FQ67+GK67</f>
        <v>0</v>
      </c>
      <c r="HK67" s="471">
        <f t="shared" si="54"/>
        <v>50000000</v>
      </c>
      <c r="HM67" s="475">
        <f>AJ67+AZ67+BT67+CR67+DH67+EF67+EZ67+FT67+GN67</f>
        <v>195000000</v>
      </c>
      <c r="HN67" s="475">
        <f>AK67+BA67+BU67+CS67+DI67+EG67+FA67+FU67+GO67</f>
        <v>156534330</v>
      </c>
      <c r="HO67" s="475">
        <f t="shared" si="55"/>
        <v>38465670</v>
      </c>
      <c r="HP67" s="476"/>
      <c r="HR67" s="471">
        <f>BD67+BX67+DL67+EJ67+FD67+FX67+GR67</f>
        <v>34150000</v>
      </c>
      <c r="HS67" s="471">
        <f>BE67+BY67+DM67+EK67+FE67+FY67+GS67</f>
        <v>27474500</v>
      </c>
      <c r="HT67" s="471">
        <f t="shared" si="56"/>
        <v>6675500</v>
      </c>
    </row>
    <row r="68" spans="1:228" x14ac:dyDescent="0.25">
      <c r="A68" s="107">
        <v>62</v>
      </c>
      <c r="B68" s="515" t="s">
        <v>488</v>
      </c>
      <c r="C68" s="113" t="s">
        <v>63</v>
      </c>
      <c r="D68" s="505">
        <v>0</v>
      </c>
      <c r="E68" s="505">
        <v>0</v>
      </c>
      <c r="F68" s="465">
        <f t="shared" si="1"/>
        <v>0</v>
      </c>
      <c r="G68" s="505"/>
      <c r="H68" s="505">
        <v>0</v>
      </c>
      <c r="I68" s="505">
        <v>0</v>
      </c>
      <c r="J68" s="465">
        <f t="shared" si="2"/>
        <v>0</v>
      </c>
      <c r="K68" s="505"/>
      <c r="L68" s="505">
        <v>0</v>
      </c>
      <c r="M68" s="465">
        <v>0</v>
      </c>
      <c r="N68" s="465">
        <f t="shared" si="3"/>
        <v>0</v>
      </c>
      <c r="O68" s="505"/>
      <c r="P68" s="465">
        <v>0</v>
      </c>
      <c r="Q68" s="465">
        <v>0</v>
      </c>
      <c r="R68" s="465">
        <f t="shared" si="4"/>
        <v>0</v>
      </c>
      <c r="S68" s="505"/>
      <c r="T68" s="465">
        <v>0</v>
      </c>
      <c r="U68" s="465">
        <v>0</v>
      </c>
      <c r="V68" s="465">
        <f t="shared" si="5"/>
        <v>0</v>
      </c>
      <c r="W68" s="505"/>
      <c r="X68" s="465">
        <v>0</v>
      </c>
      <c r="Y68" s="465">
        <v>0</v>
      </c>
      <c r="Z68" s="465">
        <f t="shared" si="6"/>
        <v>0</v>
      </c>
      <c r="AA68" s="505"/>
      <c r="AB68" s="465">
        <v>0</v>
      </c>
      <c r="AC68" s="465">
        <v>0</v>
      </c>
      <c r="AD68" s="465">
        <f t="shared" si="7"/>
        <v>0</v>
      </c>
      <c r="AE68" s="505"/>
      <c r="AF68" s="465">
        <v>0</v>
      </c>
      <c r="AG68" s="465">
        <v>0</v>
      </c>
      <c r="AH68" s="465">
        <f t="shared" si="8"/>
        <v>0</v>
      </c>
      <c r="AI68" s="505"/>
      <c r="AJ68" s="505">
        <v>0</v>
      </c>
      <c r="AK68" s="505">
        <v>0</v>
      </c>
      <c r="AL68" s="465">
        <f t="shared" si="9"/>
        <v>0</v>
      </c>
      <c r="AM68" s="505"/>
      <c r="AN68" s="465">
        <v>0</v>
      </c>
      <c r="AO68" s="465">
        <v>0</v>
      </c>
      <c r="AP68" s="465">
        <f t="shared" si="10"/>
        <v>0</v>
      </c>
      <c r="AQ68" s="505"/>
      <c r="AR68" s="465">
        <v>0</v>
      </c>
      <c r="AS68" s="465">
        <v>0</v>
      </c>
      <c r="AT68" s="465">
        <f t="shared" si="11"/>
        <v>0</v>
      </c>
      <c r="AU68" s="505"/>
      <c r="AV68" s="465">
        <v>0</v>
      </c>
      <c r="AW68" s="465">
        <v>0</v>
      </c>
      <c r="AX68" s="465">
        <f t="shared" si="12"/>
        <v>0</v>
      </c>
      <c r="AY68" s="505"/>
      <c r="AZ68" s="465">
        <v>0</v>
      </c>
      <c r="BA68" s="465">
        <v>0</v>
      </c>
      <c r="BB68" s="465">
        <f t="shared" si="13"/>
        <v>0</v>
      </c>
      <c r="BC68" s="505"/>
      <c r="BD68" s="465">
        <v>0</v>
      </c>
      <c r="BE68" s="465">
        <f>0</f>
        <v>0</v>
      </c>
      <c r="BF68" s="465">
        <f t="shared" si="14"/>
        <v>0</v>
      </c>
      <c r="BG68" s="505"/>
      <c r="BH68" s="465">
        <v>0</v>
      </c>
      <c r="BI68" s="465">
        <v>0</v>
      </c>
      <c r="BJ68" s="465">
        <f t="shared" si="15"/>
        <v>0</v>
      </c>
      <c r="BK68" s="505"/>
      <c r="BL68" s="465">
        <v>0</v>
      </c>
      <c r="BM68" s="465">
        <v>0</v>
      </c>
      <c r="BN68" s="465">
        <f t="shared" si="16"/>
        <v>0</v>
      </c>
      <c r="BO68" s="505"/>
      <c r="BP68" s="465">
        <v>0</v>
      </c>
      <c r="BQ68" s="465">
        <v>0</v>
      </c>
      <c r="BR68" s="465">
        <f t="shared" si="17"/>
        <v>0</v>
      </c>
      <c r="BS68" s="505"/>
      <c r="BT68" s="465">
        <v>0</v>
      </c>
      <c r="BU68" s="465">
        <v>0</v>
      </c>
      <c r="BV68" s="465">
        <f t="shared" si="18"/>
        <v>0</v>
      </c>
      <c r="BW68" s="505"/>
      <c r="BX68" s="465">
        <v>0</v>
      </c>
      <c r="BY68" s="465">
        <v>0</v>
      </c>
      <c r="BZ68" s="465">
        <f t="shared" si="19"/>
        <v>0</v>
      </c>
      <c r="CA68" s="505"/>
      <c r="CB68" s="465">
        <v>0</v>
      </c>
      <c r="CC68" s="465">
        <v>0</v>
      </c>
      <c r="CD68" s="465">
        <f t="shared" si="20"/>
        <v>0</v>
      </c>
      <c r="CE68" s="505"/>
      <c r="CF68" s="465">
        <f t="shared" si="21"/>
        <v>140000000</v>
      </c>
      <c r="CG68" s="465">
        <f>136565525+3434475</f>
        <v>140000000</v>
      </c>
      <c r="CH68" s="465">
        <f t="shared" si="22"/>
        <v>0</v>
      </c>
      <c r="CI68" s="505"/>
      <c r="CJ68" s="465">
        <v>20000000</v>
      </c>
      <c r="CK68" s="465">
        <f>18599039.2+1400960.8</f>
        <v>20000000</v>
      </c>
      <c r="CL68" s="465">
        <f t="shared" si="23"/>
        <v>0</v>
      </c>
      <c r="CM68" s="505"/>
      <c r="CN68" s="465">
        <v>10000000</v>
      </c>
      <c r="CO68" s="465">
        <v>7252710</v>
      </c>
      <c r="CP68" s="465">
        <f t="shared" si="24"/>
        <v>2747290</v>
      </c>
      <c r="CQ68" s="505"/>
      <c r="CR68" s="465">
        <v>40000000</v>
      </c>
      <c r="CS68" s="465">
        <f>12513435+8678035+4882580+13925950</f>
        <v>40000000</v>
      </c>
      <c r="CT68" s="465">
        <f t="shared" si="25"/>
        <v>0</v>
      </c>
      <c r="CU68" s="505"/>
      <c r="CV68" s="465">
        <v>150000000</v>
      </c>
      <c r="CW68" s="465">
        <f>108312645+39449550+2237805</f>
        <v>150000000</v>
      </c>
      <c r="CX68" s="465">
        <f t="shared" si="26"/>
        <v>0</v>
      </c>
      <c r="CY68" s="505"/>
      <c r="CZ68" s="465">
        <v>20000000</v>
      </c>
      <c r="DA68" s="465">
        <f>17732013.2+2267986.8</f>
        <v>20000000</v>
      </c>
      <c r="DB68" s="465">
        <f t="shared" si="27"/>
        <v>0</v>
      </c>
      <c r="DC68" s="465"/>
      <c r="DD68" s="465">
        <v>10000000</v>
      </c>
      <c r="DE68" s="465">
        <v>0</v>
      </c>
      <c r="DF68" s="465">
        <f t="shared" si="28"/>
        <v>10000000</v>
      </c>
      <c r="DG68" s="505"/>
      <c r="DH68" s="465">
        <v>50000000</v>
      </c>
      <c r="DI68" s="465">
        <f>4896610+14439212+5847332+7769602+12416249+4630995</f>
        <v>50000000</v>
      </c>
      <c r="DJ68" s="465">
        <f t="shared" si="29"/>
        <v>0</v>
      </c>
      <c r="DK68" s="505"/>
      <c r="DL68" s="465">
        <v>10000000</v>
      </c>
      <c r="DM68" s="465">
        <v>0</v>
      </c>
      <c r="DN68" s="465">
        <f t="shared" si="30"/>
        <v>10000000</v>
      </c>
      <c r="DO68" s="505"/>
      <c r="DP68" s="465">
        <v>0</v>
      </c>
      <c r="DQ68" s="465">
        <v>0</v>
      </c>
      <c r="DR68" s="465">
        <f t="shared" si="31"/>
        <v>0</v>
      </c>
      <c r="DS68" s="465"/>
      <c r="DT68" s="465">
        <v>100000000</v>
      </c>
      <c r="DU68" s="465">
        <f>33762195+66237805</f>
        <v>100000000</v>
      </c>
      <c r="DV68" s="465">
        <f t="shared" si="32"/>
        <v>0</v>
      </c>
      <c r="DW68" s="465"/>
      <c r="DX68" s="465">
        <v>15000000</v>
      </c>
      <c r="DY68" s="465">
        <f>8480490+2526205.2</f>
        <v>11006695.199999999</v>
      </c>
      <c r="DZ68" s="465">
        <f t="shared" si="33"/>
        <v>3993304.8000000007</v>
      </c>
      <c r="EA68" s="465"/>
      <c r="EB68" s="465">
        <v>10000000</v>
      </c>
      <c r="EC68" s="465">
        <v>0</v>
      </c>
      <c r="ED68" s="465">
        <f t="shared" si="34"/>
        <v>10000000</v>
      </c>
      <c r="EE68" s="465"/>
      <c r="EF68" s="465">
        <v>25000000</v>
      </c>
      <c r="EG68" s="461">
        <f>2786700+21308843+904457</f>
        <v>25000000</v>
      </c>
      <c r="EH68" s="465">
        <f t="shared" si="35"/>
        <v>0</v>
      </c>
      <c r="EI68" s="465"/>
      <c r="EJ68" s="465">
        <v>10000000</v>
      </c>
      <c r="EK68" s="465">
        <v>0</v>
      </c>
      <c r="EL68" s="465">
        <f t="shared" si="36"/>
        <v>10000000</v>
      </c>
      <c r="EM68" s="505"/>
      <c r="EN68" s="505">
        <v>300000000</v>
      </c>
      <c r="EO68" s="483">
        <f>71585116.95+131291291.3-21614131+63184000</f>
        <v>244446277.25</v>
      </c>
      <c r="EP68" s="465">
        <f t="shared" si="37"/>
        <v>55553722.75</v>
      </c>
      <c r="EQ68" s="505"/>
      <c r="ER68" s="505">
        <v>25000000</v>
      </c>
      <c r="ES68" s="465">
        <v>4794192</v>
      </c>
      <c r="ET68" s="465">
        <f t="shared" si="38"/>
        <v>20205808</v>
      </c>
      <c r="EU68" s="505"/>
      <c r="EV68" s="505">
        <v>10000000</v>
      </c>
      <c r="EW68" s="465">
        <v>0</v>
      </c>
      <c r="EX68" s="465">
        <f t="shared" si="39"/>
        <v>10000000</v>
      </c>
      <c r="EY68" s="505"/>
      <c r="EZ68" s="505">
        <v>30000000</v>
      </c>
      <c r="FA68" s="467">
        <f>16494968+6898905.6+4507625+2098501.4</f>
        <v>30000000</v>
      </c>
      <c r="FB68" s="465">
        <f t="shared" si="40"/>
        <v>0</v>
      </c>
      <c r="FC68" s="505"/>
      <c r="FD68" s="505">
        <v>5000000</v>
      </c>
      <c r="FE68" s="465">
        <v>0</v>
      </c>
      <c r="FF68" s="465">
        <f t="shared" si="41"/>
        <v>5000000</v>
      </c>
      <c r="FG68" s="465"/>
      <c r="FH68" s="468">
        <v>120000000</v>
      </c>
      <c r="FI68" s="463">
        <v>0</v>
      </c>
      <c r="FJ68" s="463">
        <f t="shared" si="0"/>
        <v>120000000</v>
      </c>
      <c r="FK68" s="468"/>
      <c r="FL68" s="468">
        <v>25000000</v>
      </c>
      <c r="FM68" s="468">
        <v>0</v>
      </c>
      <c r="FN68" s="468">
        <f t="shared" si="77"/>
        <v>25000000</v>
      </c>
      <c r="FO68" s="468"/>
      <c r="FP68" s="468">
        <v>5000000</v>
      </c>
      <c r="FQ68" s="468">
        <v>0</v>
      </c>
      <c r="FR68" s="468">
        <f t="shared" si="78"/>
        <v>5000000</v>
      </c>
      <c r="FS68" s="468"/>
      <c r="FT68" s="468">
        <v>30000000</v>
      </c>
      <c r="FU68" s="469">
        <f>1724468.7+20453105</f>
        <v>22177573.699999999</v>
      </c>
      <c r="FV68" s="468">
        <f t="shared" si="79"/>
        <v>7822426.3000000007</v>
      </c>
      <c r="FW68" s="468"/>
      <c r="FX68" s="468">
        <v>4150000</v>
      </c>
      <c r="FY68" s="468">
        <v>0</v>
      </c>
      <c r="FZ68" s="468">
        <v>4150000</v>
      </c>
      <c r="GA68" s="468"/>
      <c r="GB68" s="468">
        <v>160000000</v>
      </c>
      <c r="GC68" s="468">
        <v>0</v>
      </c>
      <c r="GD68" s="468">
        <f t="shared" si="85"/>
        <v>160000000</v>
      </c>
      <c r="GE68" s="468"/>
      <c r="GF68" s="468">
        <v>25000000</v>
      </c>
      <c r="GG68" s="468">
        <v>0</v>
      </c>
      <c r="GH68" s="468">
        <f t="shared" si="83"/>
        <v>25000000</v>
      </c>
      <c r="GI68" s="468"/>
      <c r="GJ68" s="468">
        <v>5000000</v>
      </c>
      <c r="GK68" s="468">
        <v>0</v>
      </c>
      <c r="GL68" s="468">
        <f t="shared" si="86"/>
        <v>5000000</v>
      </c>
      <c r="GM68" s="468"/>
      <c r="GN68" s="468">
        <v>20000000</v>
      </c>
      <c r="GO68" s="468">
        <v>0</v>
      </c>
      <c r="GP68" s="468">
        <f t="shared" si="87"/>
        <v>20000000</v>
      </c>
      <c r="GQ68" s="468"/>
      <c r="GR68" s="468">
        <v>5000000</v>
      </c>
      <c r="GS68" s="468">
        <v>0</v>
      </c>
      <c r="GT68" s="468">
        <f t="shared" si="84"/>
        <v>5000000</v>
      </c>
      <c r="GU68" s="468"/>
      <c r="GV68" s="465">
        <f t="shared" si="50"/>
        <v>1379150000</v>
      </c>
      <c r="GW68" s="465">
        <f t="shared" si="50"/>
        <v>864677448.1500001</v>
      </c>
      <c r="GX68" s="465">
        <f t="shared" si="51"/>
        <v>514472551.8499999</v>
      </c>
      <c r="GY68" s="470"/>
      <c r="GZ68" s="464"/>
      <c r="HA68" s="471">
        <f>D68+H68+L68+X68+AN68+BH68+CB68+CF68+CV68+DP68+DT68+EN68+FH68+GB68</f>
        <v>970000000</v>
      </c>
      <c r="HB68" s="471">
        <f>E68+I68+M68+Y68+AO68+BI68+CC68+CG68+CW68+DQ68+DU68+EO68+FI68+GC68</f>
        <v>634446277.25</v>
      </c>
      <c r="HC68" s="471">
        <f t="shared" si="52"/>
        <v>335553722.75</v>
      </c>
      <c r="HE68" s="471">
        <f>P68+AB68+AR68+
BL68+CJ68+CZ68+DX68+ER68+FL68+GF68</f>
        <v>130000000</v>
      </c>
      <c r="HF68" s="471">
        <f>Q68+AC68+AS68+
BM68+CK68+DA68+DY68+ES68+FM68+GG68</f>
        <v>55800887.200000003</v>
      </c>
      <c r="HG68" s="471">
        <f t="shared" si="53"/>
        <v>74199112.799999997</v>
      </c>
      <c r="HI68" s="471">
        <f>T68+AF68+AV68+BP68+CN68+DD68+EB68+EV68+FP68+GJ68</f>
        <v>50000000</v>
      </c>
      <c r="HJ68" s="471">
        <f>U68+AG68+AW68+BQ68+CO68+DE68+EC68+EW68+FQ68+GK68</f>
        <v>7252710</v>
      </c>
      <c r="HK68" s="471">
        <f t="shared" si="54"/>
        <v>42747290</v>
      </c>
      <c r="HM68" s="475">
        <f>AJ68+AZ68+BT68+CR68+DH68+EF68+EZ68+FT68+GN68</f>
        <v>195000000</v>
      </c>
      <c r="HN68" s="475">
        <f>AK68+BA68+BU68+CS68+DI68+EG68+FA68+FU68+GO68</f>
        <v>167177573.69999999</v>
      </c>
      <c r="HO68" s="475">
        <f t="shared" si="55"/>
        <v>27822426.300000012</v>
      </c>
      <c r="HP68" s="476"/>
      <c r="HR68" s="471">
        <f>BD68+BX68+DL68+EJ68+FD68+FX68+GR68</f>
        <v>34150000</v>
      </c>
      <c r="HS68" s="471">
        <f>BE68+BY68+DM68+EK68+FE68+FY68+GS68</f>
        <v>0</v>
      </c>
      <c r="HT68" s="471">
        <f t="shared" si="56"/>
        <v>34150000</v>
      </c>
    </row>
    <row r="69" spans="1:228" x14ac:dyDescent="0.25">
      <c r="A69" s="107">
        <v>63</v>
      </c>
      <c r="B69" s="515" t="s">
        <v>489</v>
      </c>
      <c r="C69" s="113" t="s">
        <v>63</v>
      </c>
      <c r="D69" s="505">
        <v>0</v>
      </c>
      <c r="E69" s="505">
        <v>0</v>
      </c>
      <c r="F69" s="465">
        <f t="shared" si="1"/>
        <v>0</v>
      </c>
      <c r="G69" s="505"/>
      <c r="H69" s="505">
        <v>0</v>
      </c>
      <c r="I69" s="505">
        <v>0</v>
      </c>
      <c r="J69" s="465">
        <f t="shared" si="2"/>
        <v>0</v>
      </c>
      <c r="K69" s="505"/>
      <c r="L69" s="505">
        <v>0</v>
      </c>
      <c r="M69" s="465">
        <v>0</v>
      </c>
      <c r="N69" s="465">
        <f t="shared" si="3"/>
        <v>0</v>
      </c>
      <c r="O69" s="505"/>
      <c r="P69" s="465">
        <v>0</v>
      </c>
      <c r="Q69" s="465">
        <v>0</v>
      </c>
      <c r="R69" s="465">
        <f t="shared" si="4"/>
        <v>0</v>
      </c>
      <c r="S69" s="505"/>
      <c r="T69" s="465">
        <v>0</v>
      </c>
      <c r="U69" s="465">
        <v>0</v>
      </c>
      <c r="V69" s="465">
        <f t="shared" si="5"/>
        <v>0</v>
      </c>
      <c r="W69" s="505"/>
      <c r="X69" s="465">
        <v>0</v>
      </c>
      <c r="Y69" s="465">
        <v>0</v>
      </c>
      <c r="Z69" s="465">
        <f t="shared" si="6"/>
        <v>0</v>
      </c>
      <c r="AA69" s="505"/>
      <c r="AB69" s="465">
        <v>0</v>
      </c>
      <c r="AC69" s="465">
        <v>0</v>
      </c>
      <c r="AD69" s="465">
        <f t="shared" si="7"/>
        <v>0</v>
      </c>
      <c r="AE69" s="505"/>
      <c r="AF69" s="465">
        <v>0</v>
      </c>
      <c r="AG69" s="465">
        <v>0</v>
      </c>
      <c r="AH69" s="465">
        <f t="shared" si="8"/>
        <v>0</v>
      </c>
      <c r="AI69" s="505"/>
      <c r="AJ69" s="505">
        <v>0</v>
      </c>
      <c r="AK69" s="505">
        <v>0</v>
      </c>
      <c r="AL69" s="465">
        <f t="shared" si="9"/>
        <v>0</v>
      </c>
      <c r="AM69" s="505"/>
      <c r="AN69" s="465">
        <v>0</v>
      </c>
      <c r="AO69" s="465">
        <v>0</v>
      </c>
      <c r="AP69" s="465">
        <f t="shared" si="10"/>
        <v>0</v>
      </c>
      <c r="AQ69" s="505"/>
      <c r="AR69" s="465">
        <v>0</v>
      </c>
      <c r="AS69" s="465">
        <v>0</v>
      </c>
      <c r="AT69" s="465">
        <f t="shared" si="11"/>
        <v>0</v>
      </c>
      <c r="AU69" s="505"/>
      <c r="AV69" s="465">
        <v>0</v>
      </c>
      <c r="AW69" s="465">
        <v>0</v>
      </c>
      <c r="AX69" s="465">
        <f t="shared" si="12"/>
        <v>0</v>
      </c>
      <c r="AY69" s="505"/>
      <c r="AZ69" s="465">
        <v>0</v>
      </c>
      <c r="BA69" s="465">
        <v>0</v>
      </c>
      <c r="BB69" s="465">
        <f t="shared" si="13"/>
        <v>0</v>
      </c>
      <c r="BC69" s="505"/>
      <c r="BD69" s="465">
        <v>0</v>
      </c>
      <c r="BE69" s="465">
        <f>0</f>
        <v>0</v>
      </c>
      <c r="BF69" s="465">
        <f t="shared" si="14"/>
        <v>0</v>
      </c>
      <c r="BG69" s="505"/>
      <c r="BH69" s="465">
        <v>0</v>
      </c>
      <c r="BI69" s="465">
        <v>0</v>
      </c>
      <c r="BJ69" s="465">
        <f t="shared" si="15"/>
        <v>0</v>
      </c>
      <c r="BK69" s="505"/>
      <c r="BL69" s="465">
        <v>0</v>
      </c>
      <c r="BM69" s="465">
        <v>0</v>
      </c>
      <c r="BN69" s="465">
        <f t="shared" si="16"/>
        <v>0</v>
      </c>
      <c r="BO69" s="505"/>
      <c r="BP69" s="465">
        <v>0</v>
      </c>
      <c r="BQ69" s="465">
        <v>0</v>
      </c>
      <c r="BR69" s="465">
        <f t="shared" si="17"/>
        <v>0</v>
      </c>
      <c r="BS69" s="505"/>
      <c r="BT69" s="465">
        <v>0</v>
      </c>
      <c r="BU69" s="465">
        <v>0</v>
      </c>
      <c r="BV69" s="465">
        <f t="shared" si="18"/>
        <v>0</v>
      </c>
      <c r="BW69" s="505"/>
      <c r="BX69" s="465">
        <v>0</v>
      </c>
      <c r="BY69" s="465">
        <v>0</v>
      </c>
      <c r="BZ69" s="465">
        <f t="shared" si="19"/>
        <v>0</v>
      </c>
      <c r="CA69" s="505"/>
      <c r="CB69" s="465">
        <v>0</v>
      </c>
      <c r="CC69" s="465">
        <v>0</v>
      </c>
      <c r="CD69" s="465">
        <f t="shared" si="20"/>
        <v>0</v>
      </c>
      <c r="CE69" s="505"/>
      <c r="CF69" s="465">
        <f t="shared" si="21"/>
        <v>140000000</v>
      </c>
      <c r="CG69" s="465">
        <f>34585000+97787576+4700000+2927424</f>
        <v>140000000</v>
      </c>
      <c r="CH69" s="465">
        <f t="shared" si="22"/>
        <v>0</v>
      </c>
      <c r="CI69" s="505"/>
      <c r="CJ69" s="465">
        <v>20000000</v>
      </c>
      <c r="CK69" s="465">
        <f>7810660+8000000+3999000+190340</f>
        <v>20000000</v>
      </c>
      <c r="CL69" s="465">
        <f t="shared" si="23"/>
        <v>0</v>
      </c>
      <c r="CM69" s="505"/>
      <c r="CN69" s="465">
        <v>10000000</v>
      </c>
      <c r="CO69" s="465">
        <v>1463700</v>
      </c>
      <c r="CP69" s="465">
        <f t="shared" si="24"/>
        <v>8536300</v>
      </c>
      <c r="CQ69" s="505"/>
      <c r="CR69" s="465">
        <v>40000000</v>
      </c>
      <c r="CS69" s="465">
        <f>6248890+19700325+6555930+1798310+5696545</f>
        <v>40000000</v>
      </c>
      <c r="CT69" s="465">
        <f t="shared" si="25"/>
        <v>0</v>
      </c>
      <c r="CU69" s="505"/>
      <c r="CV69" s="465">
        <v>150000000</v>
      </c>
      <c r="CW69" s="465">
        <f>73958951+25384000+32997800+4382400+13276849</f>
        <v>150000000</v>
      </c>
      <c r="CX69" s="465">
        <f t="shared" si="26"/>
        <v>0</v>
      </c>
      <c r="CY69" s="505"/>
      <c r="CZ69" s="465">
        <v>20000000</v>
      </c>
      <c r="DA69" s="465">
        <f>7920200+11972250+107550</f>
        <v>20000000</v>
      </c>
      <c r="DB69" s="465">
        <f t="shared" si="27"/>
        <v>0</v>
      </c>
      <c r="DC69" s="465"/>
      <c r="DD69" s="465">
        <v>10000000</v>
      </c>
      <c r="DE69" s="465">
        <v>0</v>
      </c>
      <c r="DF69" s="465">
        <f t="shared" si="28"/>
        <v>10000000</v>
      </c>
      <c r="DG69" s="505"/>
      <c r="DH69" s="465">
        <v>50000000</v>
      </c>
      <c r="DI69" s="478">
        <f>1713585+27341280+1213890+3199300+10730901.5+3371280+2429763.5</f>
        <v>50000000</v>
      </c>
      <c r="DJ69" s="465">
        <f t="shared" si="29"/>
        <v>0</v>
      </c>
      <c r="DK69" s="505"/>
      <c r="DL69" s="465">
        <v>10000000</v>
      </c>
      <c r="DM69" s="465">
        <f>4675000+1700000+3625000</f>
        <v>10000000</v>
      </c>
      <c r="DN69" s="465">
        <f t="shared" si="30"/>
        <v>0</v>
      </c>
      <c r="DO69" s="505"/>
      <c r="DP69" s="465">
        <v>0</v>
      </c>
      <c r="DQ69" s="465">
        <v>0</v>
      </c>
      <c r="DR69" s="465">
        <f t="shared" si="31"/>
        <v>0</v>
      </c>
      <c r="DS69" s="465"/>
      <c r="DT69" s="465">
        <v>100000000</v>
      </c>
      <c r="DU69" s="465">
        <f>20923151+36900000+25122970.1+17053878.9</f>
        <v>100000000</v>
      </c>
      <c r="DV69" s="465">
        <f t="shared" si="32"/>
        <v>0</v>
      </c>
      <c r="DW69" s="465"/>
      <c r="DX69" s="465">
        <v>15000000</v>
      </c>
      <c r="DY69" s="465">
        <f>13766450+1233550</f>
        <v>15000000</v>
      </c>
      <c r="DZ69" s="465">
        <f t="shared" si="33"/>
        <v>0</v>
      </c>
      <c r="EA69" s="465"/>
      <c r="EB69" s="465">
        <v>10000000</v>
      </c>
      <c r="EC69" s="465">
        <v>3791000</v>
      </c>
      <c r="ED69" s="465">
        <f t="shared" si="34"/>
        <v>6209000</v>
      </c>
      <c r="EE69" s="465"/>
      <c r="EF69" s="465">
        <v>25000000</v>
      </c>
      <c r="EG69" s="467">
        <f>504800+11106574+228825+426600+1453175+3034750+7517050.35+728225.65</f>
        <v>25000000</v>
      </c>
      <c r="EH69" s="465">
        <f t="shared" si="35"/>
        <v>0</v>
      </c>
      <c r="EI69" s="465"/>
      <c r="EJ69" s="465">
        <v>10000000</v>
      </c>
      <c r="EK69" s="485">
        <f>1955675+300000+6830260</f>
        <v>9085935</v>
      </c>
      <c r="EL69" s="465">
        <f t="shared" si="36"/>
        <v>914065</v>
      </c>
      <c r="EM69" s="505"/>
      <c r="EN69" s="505">
        <v>300000000</v>
      </c>
      <c r="EO69" s="465">
        <f>142056970+96012257.2+18000000-19753070+19679661.2+44004181.6</f>
        <v>300000000</v>
      </c>
      <c r="EP69" s="465">
        <f t="shared" si="37"/>
        <v>0</v>
      </c>
      <c r="EQ69" s="505"/>
      <c r="ER69" s="505">
        <v>25000000</v>
      </c>
      <c r="ES69" s="465">
        <f>5164912.81+1087800+2295528-4794192</f>
        <v>3754048.8099999987</v>
      </c>
      <c r="ET69" s="465">
        <f t="shared" si="38"/>
        <v>21245951.190000001</v>
      </c>
      <c r="EU69" s="505"/>
      <c r="EV69" s="505">
        <v>10000000</v>
      </c>
      <c r="EW69" s="465">
        <v>0</v>
      </c>
      <c r="EX69" s="465">
        <f t="shared" si="39"/>
        <v>10000000</v>
      </c>
      <c r="EY69" s="505"/>
      <c r="EZ69" s="505">
        <v>30000000</v>
      </c>
      <c r="FA69" s="467">
        <f>6473400+13301337+10225263</f>
        <v>30000000</v>
      </c>
      <c r="FB69" s="465">
        <f t="shared" si="40"/>
        <v>0</v>
      </c>
      <c r="FC69" s="505"/>
      <c r="FD69" s="505">
        <v>5000000</v>
      </c>
      <c r="FE69" s="465">
        <v>0</v>
      </c>
      <c r="FF69" s="465">
        <f t="shared" si="41"/>
        <v>5000000</v>
      </c>
      <c r="FG69" s="465"/>
      <c r="FH69" s="468">
        <v>120000000</v>
      </c>
      <c r="FI69" s="481">
        <f>31697368.4+54238405.05+22086121.1+11978105.45</f>
        <v>119999999.99999999</v>
      </c>
      <c r="FJ69" s="463">
        <f t="shared" si="0"/>
        <v>0</v>
      </c>
      <c r="FK69" s="468"/>
      <c r="FL69" s="468">
        <v>25000000</v>
      </c>
      <c r="FM69" s="468">
        <v>0</v>
      </c>
      <c r="FN69" s="468">
        <f t="shared" si="77"/>
        <v>25000000</v>
      </c>
      <c r="FO69" s="468"/>
      <c r="FP69" s="468">
        <v>5000000</v>
      </c>
      <c r="FQ69" s="468">
        <v>0</v>
      </c>
      <c r="FR69" s="468">
        <f t="shared" si="78"/>
        <v>5000000</v>
      </c>
      <c r="FS69" s="468"/>
      <c r="FT69" s="468">
        <v>30000000</v>
      </c>
      <c r="FU69" s="490">
        <f>3476431.05+8765561.5</f>
        <v>12241992.550000001</v>
      </c>
      <c r="FV69" s="468">
        <f t="shared" si="79"/>
        <v>17758007.449999999</v>
      </c>
      <c r="FW69" s="468"/>
      <c r="FX69" s="468">
        <v>4150000</v>
      </c>
      <c r="FY69" s="468">
        <v>0</v>
      </c>
      <c r="FZ69" s="468">
        <v>4150000</v>
      </c>
      <c r="GA69" s="468"/>
      <c r="GB69" s="468">
        <v>160000000</v>
      </c>
      <c r="GC69" s="489">
        <f>6959554.55</f>
        <v>6959554.5499999998</v>
      </c>
      <c r="GD69" s="468">
        <f t="shared" si="85"/>
        <v>153040445.44999999</v>
      </c>
      <c r="GE69" s="468"/>
      <c r="GF69" s="468">
        <v>25000000</v>
      </c>
      <c r="GG69" s="468">
        <v>0</v>
      </c>
      <c r="GH69" s="468">
        <f t="shared" si="83"/>
        <v>25000000</v>
      </c>
      <c r="GI69" s="468"/>
      <c r="GJ69" s="468">
        <v>5000000</v>
      </c>
      <c r="GK69" s="468">
        <v>0</v>
      </c>
      <c r="GL69" s="468">
        <f t="shared" si="86"/>
        <v>5000000</v>
      </c>
      <c r="GM69" s="468"/>
      <c r="GN69" s="468">
        <v>20000000</v>
      </c>
      <c r="GO69" s="468">
        <v>0</v>
      </c>
      <c r="GP69" s="468">
        <f t="shared" si="87"/>
        <v>20000000</v>
      </c>
      <c r="GQ69" s="468"/>
      <c r="GR69" s="468">
        <v>5000000</v>
      </c>
      <c r="GS69" s="468">
        <v>0</v>
      </c>
      <c r="GT69" s="468">
        <f t="shared" si="84"/>
        <v>5000000</v>
      </c>
      <c r="GU69" s="468"/>
      <c r="GV69" s="465">
        <f t="shared" si="50"/>
        <v>1379150000</v>
      </c>
      <c r="GW69" s="465">
        <f t="shared" si="50"/>
        <v>1057296230.9099998</v>
      </c>
      <c r="GX69" s="465">
        <f t="shared" si="51"/>
        <v>321853769.09000015</v>
      </c>
      <c r="GY69" s="470"/>
      <c r="GZ69" s="464"/>
      <c r="HA69" s="471">
        <f>D69+H69+L69+X69+AN69+BH69+CB69+CF69+CV69+DP69+DT69+EN69+FH69+GB69</f>
        <v>970000000</v>
      </c>
      <c r="HB69" s="471">
        <f>E69+I69+M69+Y69+AO69+BI69+CC69+CG69+CW69+DQ69+DU69+EO69+FI69+GC69</f>
        <v>816959554.54999995</v>
      </c>
      <c r="HC69" s="471">
        <f t="shared" si="52"/>
        <v>153040445.45000005</v>
      </c>
      <c r="HE69" s="471">
        <f>P69+AB69+AR69+
BL69+CJ69+CZ69+DX69+ER69+FL69+GF69</f>
        <v>130000000</v>
      </c>
      <c r="HF69" s="471">
        <f>Q69+AC69+AS69+
BM69+CK69+DA69+DY69+ES69+FM69+GG69</f>
        <v>58754048.810000002</v>
      </c>
      <c r="HG69" s="471">
        <f t="shared" si="53"/>
        <v>71245951.189999998</v>
      </c>
      <c r="HI69" s="471">
        <f>T69+AF69+AV69+BP69+CN69+DD69+EB69+EV69+FP69+GJ69</f>
        <v>50000000</v>
      </c>
      <c r="HJ69" s="471">
        <f>U69+AG69+AW69+BQ69+CO69+DE69+EC69+EW69+FQ69+GK69</f>
        <v>5254700</v>
      </c>
      <c r="HK69" s="471">
        <f t="shared" si="54"/>
        <v>44745300</v>
      </c>
      <c r="HM69" s="475">
        <f>AJ69+AZ69+BT69+CR69+DH69+EF69+EZ69+FT69+GN69</f>
        <v>195000000</v>
      </c>
      <c r="HN69" s="475">
        <f>AK69+BA69+BU69+CS69+DI69+EG69+FA69+FU69+GO69</f>
        <v>157241992.55000001</v>
      </c>
      <c r="HO69" s="475">
        <f t="shared" si="55"/>
        <v>37758007.449999988</v>
      </c>
      <c r="HP69" s="476"/>
      <c r="HR69" s="471">
        <f>BD69+BX69+DL69+EJ69+FD69+FX69+GR69</f>
        <v>34150000</v>
      </c>
      <c r="HS69" s="471">
        <f>BE69+BY69+DM69+EK69+FE69+FY69+GS69</f>
        <v>19085935</v>
      </c>
      <c r="HT69" s="471">
        <f t="shared" si="56"/>
        <v>15064065</v>
      </c>
    </row>
    <row r="70" spans="1:228" x14ac:dyDescent="0.25">
      <c r="A70" s="107">
        <v>64</v>
      </c>
      <c r="B70" s="515" t="s">
        <v>490</v>
      </c>
      <c r="C70" s="113" t="s">
        <v>61</v>
      </c>
      <c r="D70" s="505">
        <v>0</v>
      </c>
      <c r="E70" s="505">
        <v>0</v>
      </c>
      <c r="F70" s="465">
        <f t="shared" ref="F70:F83" si="88">D70-E70</f>
        <v>0</v>
      </c>
      <c r="G70" s="505"/>
      <c r="H70" s="505">
        <v>0</v>
      </c>
      <c r="I70" s="505">
        <v>0</v>
      </c>
      <c r="J70" s="465">
        <f t="shared" si="2"/>
        <v>0</v>
      </c>
      <c r="K70" s="505"/>
      <c r="L70" s="505">
        <v>0</v>
      </c>
      <c r="M70" s="465">
        <v>0</v>
      </c>
      <c r="N70" s="465">
        <f t="shared" si="3"/>
        <v>0</v>
      </c>
      <c r="O70" s="505"/>
      <c r="P70" s="465">
        <v>0</v>
      </c>
      <c r="Q70" s="465">
        <v>0</v>
      </c>
      <c r="R70" s="465">
        <f t="shared" si="4"/>
        <v>0</v>
      </c>
      <c r="S70" s="505"/>
      <c r="T70" s="465">
        <v>0</v>
      </c>
      <c r="U70" s="465">
        <v>0</v>
      </c>
      <c r="V70" s="465">
        <f t="shared" si="5"/>
        <v>0</v>
      </c>
      <c r="W70" s="505"/>
      <c r="X70" s="465">
        <v>0</v>
      </c>
      <c r="Y70" s="465">
        <v>0</v>
      </c>
      <c r="Z70" s="465">
        <f t="shared" si="6"/>
        <v>0</v>
      </c>
      <c r="AA70" s="505"/>
      <c r="AB70" s="465">
        <v>0</v>
      </c>
      <c r="AC70" s="465">
        <v>0</v>
      </c>
      <c r="AD70" s="465">
        <f t="shared" si="7"/>
        <v>0</v>
      </c>
      <c r="AE70" s="505"/>
      <c r="AF70" s="465">
        <v>0</v>
      </c>
      <c r="AG70" s="465">
        <v>0</v>
      </c>
      <c r="AH70" s="465">
        <f t="shared" si="8"/>
        <v>0</v>
      </c>
      <c r="AI70" s="505"/>
      <c r="AJ70" s="505">
        <v>0</v>
      </c>
      <c r="AK70" s="505">
        <v>0</v>
      </c>
      <c r="AL70" s="465">
        <f t="shared" si="9"/>
        <v>0</v>
      </c>
      <c r="AM70" s="505"/>
      <c r="AN70" s="465">
        <v>0</v>
      </c>
      <c r="AO70" s="465">
        <v>0</v>
      </c>
      <c r="AP70" s="465">
        <f t="shared" si="10"/>
        <v>0</v>
      </c>
      <c r="AQ70" s="505"/>
      <c r="AR70" s="465">
        <v>0</v>
      </c>
      <c r="AS70" s="465">
        <v>0</v>
      </c>
      <c r="AT70" s="465">
        <f t="shared" si="11"/>
        <v>0</v>
      </c>
      <c r="AU70" s="505"/>
      <c r="AV70" s="465">
        <v>0</v>
      </c>
      <c r="AW70" s="465">
        <v>0</v>
      </c>
      <c r="AX70" s="465">
        <f t="shared" si="12"/>
        <v>0</v>
      </c>
      <c r="AY70" s="505"/>
      <c r="AZ70" s="465">
        <v>0</v>
      </c>
      <c r="BA70" s="465">
        <v>0</v>
      </c>
      <c r="BB70" s="465">
        <f t="shared" si="13"/>
        <v>0</v>
      </c>
      <c r="BC70" s="505"/>
      <c r="BD70" s="465">
        <v>0</v>
      </c>
      <c r="BE70" s="465">
        <f>0</f>
        <v>0</v>
      </c>
      <c r="BF70" s="465">
        <f t="shared" si="14"/>
        <v>0</v>
      </c>
      <c r="BG70" s="505"/>
      <c r="BH70" s="465">
        <v>0</v>
      </c>
      <c r="BI70" s="465">
        <v>0</v>
      </c>
      <c r="BJ70" s="465">
        <f t="shared" si="15"/>
        <v>0</v>
      </c>
      <c r="BK70" s="505"/>
      <c r="BL70" s="465">
        <v>0</v>
      </c>
      <c r="BM70" s="465">
        <v>0</v>
      </c>
      <c r="BN70" s="465">
        <f t="shared" si="16"/>
        <v>0</v>
      </c>
      <c r="BO70" s="505"/>
      <c r="BP70" s="465">
        <v>0</v>
      </c>
      <c r="BQ70" s="465">
        <v>0</v>
      </c>
      <c r="BR70" s="465">
        <f t="shared" si="17"/>
        <v>0</v>
      </c>
      <c r="BS70" s="505"/>
      <c r="BT70" s="465">
        <v>0</v>
      </c>
      <c r="BU70" s="465">
        <v>0</v>
      </c>
      <c r="BV70" s="465">
        <f t="shared" si="18"/>
        <v>0</v>
      </c>
      <c r="BW70" s="505"/>
      <c r="BX70" s="465">
        <v>0</v>
      </c>
      <c r="BY70" s="465">
        <v>0</v>
      </c>
      <c r="BZ70" s="465">
        <f t="shared" si="19"/>
        <v>0</v>
      </c>
      <c r="CA70" s="505"/>
      <c r="CB70" s="465">
        <v>0</v>
      </c>
      <c r="CC70" s="465">
        <v>0</v>
      </c>
      <c r="CD70" s="465">
        <f t="shared" si="20"/>
        <v>0</v>
      </c>
      <c r="CE70" s="505"/>
      <c r="CF70" s="465">
        <f t="shared" si="21"/>
        <v>140000000</v>
      </c>
      <c r="CG70" s="465">
        <f>40050000+94697305+5252695</f>
        <v>140000000</v>
      </c>
      <c r="CH70" s="465">
        <f t="shared" si="22"/>
        <v>0</v>
      </c>
      <c r="CI70" s="505"/>
      <c r="CJ70" s="465">
        <v>20000000</v>
      </c>
      <c r="CK70" s="465">
        <f>8000000+12000000</f>
        <v>20000000</v>
      </c>
      <c r="CL70" s="465">
        <f t="shared" si="23"/>
        <v>0</v>
      </c>
      <c r="CM70" s="505"/>
      <c r="CN70" s="465">
        <v>10000000</v>
      </c>
      <c r="CO70" s="478">
        <v>10000000</v>
      </c>
      <c r="CP70" s="465">
        <f t="shared" si="24"/>
        <v>0</v>
      </c>
      <c r="CQ70" s="505"/>
      <c r="CR70" s="465">
        <v>40000000</v>
      </c>
      <c r="CS70" s="465">
        <f>16944378+23006735+48887</f>
        <v>40000000</v>
      </c>
      <c r="CT70" s="465">
        <f t="shared" si="25"/>
        <v>0</v>
      </c>
      <c r="CU70" s="505"/>
      <c r="CV70" s="465">
        <v>150000000</v>
      </c>
      <c r="CW70" s="465">
        <f>82948405+6772992+60278603</f>
        <v>150000000</v>
      </c>
      <c r="CX70" s="465">
        <f t="shared" si="26"/>
        <v>0</v>
      </c>
      <c r="CY70" s="505"/>
      <c r="CZ70" s="465">
        <v>20000000</v>
      </c>
      <c r="DA70" s="465">
        <v>0</v>
      </c>
      <c r="DB70" s="465">
        <f t="shared" si="27"/>
        <v>20000000</v>
      </c>
      <c r="DC70" s="465"/>
      <c r="DD70" s="465">
        <v>10000000</v>
      </c>
      <c r="DE70" s="478">
        <f>1092500</f>
        <v>1092500</v>
      </c>
      <c r="DF70" s="465">
        <f t="shared" si="28"/>
        <v>8907500</v>
      </c>
      <c r="DG70" s="505"/>
      <c r="DH70" s="465">
        <v>50000000</v>
      </c>
      <c r="DI70" s="465">
        <f>34775973+14510360+713667</f>
        <v>50000000</v>
      </c>
      <c r="DJ70" s="465">
        <f t="shared" si="29"/>
        <v>0</v>
      </c>
      <c r="DK70" s="505"/>
      <c r="DL70" s="465">
        <v>10000000</v>
      </c>
      <c r="DM70" s="465">
        <v>0</v>
      </c>
      <c r="DN70" s="465">
        <f t="shared" si="30"/>
        <v>10000000</v>
      </c>
      <c r="DO70" s="505"/>
      <c r="DP70" s="465">
        <v>0</v>
      </c>
      <c r="DQ70" s="465">
        <v>0</v>
      </c>
      <c r="DR70" s="465">
        <f t="shared" si="31"/>
        <v>0</v>
      </c>
      <c r="DS70" s="465"/>
      <c r="DT70" s="465">
        <v>100000000</v>
      </c>
      <c r="DU70" s="465">
        <v>100000000</v>
      </c>
      <c r="DV70" s="465">
        <f t="shared" si="32"/>
        <v>0</v>
      </c>
      <c r="DW70" s="465"/>
      <c r="DX70" s="465">
        <v>15000000</v>
      </c>
      <c r="DY70" s="465">
        <v>0</v>
      </c>
      <c r="DZ70" s="465">
        <f t="shared" si="33"/>
        <v>15000000</v>
      </c>
      <c r="EA70" s="465"/>
      <c r="EB70" s="465">
        <v>10000000</v>
      </c>
      <c r="EC70" s="465">
        <v>0</v>
      </c>
      <c r="ED70" s="465">
        <f t="shared" si="34"/>
        <v>10000000</v>
      </c>
      <c r="EE70" s="465"/>
      <c r="EF70" s="465">
        <v>25000000</v>
      </c>
      <c r="EG70" s="465">
        <f>381913+23503100+1114987</f>
        <v>25000000</v>
      </c>
      <c r="EH70" s="465">
        <f t="shared" si="35"/>
        <v>0</v>
      </c>
      <c r="EI70" s="465"/>
      <c r="EJ70" s="465">
        <v>10000000</v>
      </c>
      <c r="EK70" s="465">
        <v>0</v>
      </c>
      <c r="EL70" s="465">
        <f t="shared" si="36"/>
        <v>10000000</v>
      </c>
      <c r="EM70" s="505"/>
      <c r="EN70" s="505">
        <v>300000000</v>
      </c>
      <c r="EO70" s="465">
        <f>12405137+117760732.45+4113936.9+2550642</f>
        <v>136830448.34999999</v>
      </c>
      <c r="EP70" s="465">
        <f t="shared" si="37"/>
        <v>163169551.65000001</v>
      </c>
      <c r="EQ70" s="505"/>
      <c r="ER70" s="505">
        <v>25000000</v>
      </c>
      <c r="ES70" s="465">
        <v>0</v>
      </c>
      <c r="ET70" s="465">
        <f t="shared" si="38"/>
        <v>25000000</v>
      </c>
      <c r="EU70" s="505"/>
      <c r="EV70" s="505">
        <v>10000000</v>
      </c>
      <c r="EW70" s="465">
        <v>0</v>
      </c>
      <c r="EX70" s="465">
        <f t="shared" si="39"/>
        <v>10000000</v>
      </c>
      <c r="EY70" s="505"/>
      <c r="EZ70" s="505">
        <v>30000000</v>
      </c>
      <c r="FA70" s="483">
        <f>1078753+19288615+3939000+5693632</f>
        <v>30000000</v>
      </c>
      <c r="FB70" s="465">
        <f t="shared" si="40"/>
        <v>0</v>
      </c>
      <c r="FC70" s="505"/>
      <c r="FD70" s="505">
        <v>5000000</v>
      </c>
      <c r="FE70" s="465">
        <v>0</v>
      </c>
      <c r="FF70" s="465">
        <f t="shared" si="41"/>
        <v>5000000</v>
      </c>
      <c r="FG70" s="465"/>
      <c r="FH70" s="468">
        <v>120000000</v>
      </c>
      <c r="FI70" s="463">
        <v>0</v>
      </c>
      <c r="FJ70" s="463">
        <f t="shared" ref="FJ70:FJ83" si="89">FH70-FI70</f>
        <v>120000000</v>
      </c>
      <c r="FK70" s="468"/>
      <c r="FL70" s="468">
        <v>25000000</v>
      </c>
      <c r="FM70" s="468">
        <v>0</v>
      </c>
      <c r="FN70" s="468">
        <f t="shared" si="77"/>
        <v>25000000</v>
      </c>
      <c r="FO70" s="468"/>
      <c r="FP70" s="468">
        <v>5000000</v>
      </c>
      <c r="FQ70" s="468">
        <v>0</v>
      </c>
      <c r="FR70" s="468">
        <f t="shared" si="78"/>
        <v>5000000</v>
      </c>
      <c r="FS70" s="468"/>
      <c r="FT70" s="468">
        <v>30000000</v>
      </c>
      <c r="FU70" s="489">
        <f>2139718+11793300</f>
        <v>13933018</v>
      </c>
      <c r="FV70" s="468">
        <f t="shared" si="79"/>
        <v>16066982</v>
      </c>
      <c r="FW70" s="468"/>
      <c r="FX70" s="468">
        <v>4150000</v>
      </c>
      <c r="FY70" s="468">
        <v>0</v>
      </c>
      <c r="FZ70" s="468">
        <v>4150000</v>
      </c>
      <c r="GA70" s="468"/>
      <c r="GB70" s="468">
        <v>160000000</v>
      </c>
      <c r="GC70" s="468">
        <v>0</v>
      </c>
      <c r="GD70" s="468">
        <f t="shared" si="85"/>
        <v>160000000</v>
      </c>
      <c r="GE70" s="468"/>
      <c r="GF70" s="468">
        <v>25000000</v>
      </c>
      <c r="GG70" s="468">
        <v>0</v>
      </c>
      <c r="GH70" s="468">
        <f t="shared" si="83"/>
        <v>25000000</v>
      </c>
      <c r="GI70" s="468"/>
      <c r="GJ70" s="468">
        <v>5000000</v>
      </c>
      <c r="GK70" s="468">
        <v>0</v>
      </c>
      <c r="GL70" s="468">
        <f t="shared" si="86"/>
        <v>5000000</v>
      </c>
      <c r="GM70" s="468"/>
      <c r="GN70" s="468">
        <v>20000000</v>
      </c>
      <c r="GO70" s="468">
        <v>0</v>
      </c>
      <c r="GP70" s="468">
        <f t="shared" si="87"/>
        <v>20000000</v>
      </c>
      <c r="GQ70" s="468"/>
      <c r="GR70" s="468">
        <v>5000000</v>
      </c>
      <c r="GS70" s="468">
        <v>0</v>
      </c>
      <c r="GT70" s="468">
        <f t="shared" si="84"/>
        <v>5000000</v>
      </c>
      <c r="GU70" s="468"/>
      <c r="GV70" s="465">
        <f t="shared" si="50"/>
        <v>1379150000</v>
      </c>
      <c r="GW70" s="465">
        <f t="shared" si="50"/>
        <v>716855966.35000002</v>
      </c>
      <c r="GX70" s="465">
        <f t="shared" si="51"/>
        <v>662294033.64999998</v>
      </c>
      <c r="GY70" s="470"/>
      <c r="GZ70" s="464"/>
      <c r="HA70" s="471">
        <f>D70+H70+L70+X70+AN70+BH70+CB70+CF70+CV70+DP70+DT70+EN70+FH70+GB70</f>
        <v>970000000</v>
      </c>
      <c r="HB70" s="471">
        <f>E70+I70+M70+Y70+AO70+BI70+CC70+CG70+CW70+DQ70+DU70+EO70+FI70+GC70</f>
        <v>526830448.35000002</v>
      </c>
      <c r="HC70" s="471">
        <f t="shared" si="52"/>
        <v>443169551.64999998</v>
      </c>
      <c r="HE70" s="471">
        <f>P70+AB70+AR70+
BL70+CJ70+CZ70+DX70+ER70+FL70+GF70</f>
        <v>130000000</v>
      </c>
      <c r="HF70" s="471">
        <f>Q70+AC70+AS70+
BM70+CK70+DA70+DY70+ES70+FM70+GG70</f>
        <v>20000000</v>
      </c>
      <c r="HG70" s="471">
        <f t="shared" si="53"/>
        <v>110000000</v>
      </c>
      <c r="HI70" s="471">
        <f>T70+AF70+AV70+BP70+CN70+DD70+EB70+EV70+FP70+GJ70</f>
        <v>50000000</v>
      </c>
      <c r="HJ70" s="471">
        <f>U70+AG70+AW70+BQ70+CO70+DE70+EC70+EW70+FQ70+GK70</f>
        <v>11092500</v>
      </c>
      <c r="HK70" s="471">
        <f t="shared" si="54"/>
        <v>38907500</v>
      </c>
      <c r="HM70" s="475">
        <f>AJ70+AZ70+BT70+CR70+DH70+EF70+EZ70+FT70+GN70</f>
        <v>195000000</v>
      </c>
      <c r="HN70" s="475">
        <f>AK70+BA70+BU70+CS70+DI70+EG70+FA70+FU70+GO70</f>
        <v>158933018</v>
      </c>
      <c r="HO70" s="475">
        <f t="shared" si="55"/>
        <v>36066982</v>
      </c>
      <c r="HP70" s="476"/>
      <c r="HR70" s="471">
        <f>BD70+BX70+DL70+EJ70+FD70+FX70+GR70</f>
        <v>34150000</v>
      </c>
      <c r="HS70" s="471">
        <f>BE70+BY70+DM70+EK70+FE70+FY70+GS70</f>
        <v>0</v>
      </c>
      <c r="HT70" s="471">
        <f t="shared" si="56"/>
        <v>34150000</v>
      </c>
    </row>
    <row r="71" spans="1:228" x14ac:dyDescent="0.25">
      <c r="A71" s="107">
        <v>65</v>
      </c>
      <c r="B71" s="515" t="s">
        <v>491</v>
      </c>
      <c r="C71" s="113" t="s">
        <v>74</v>
      </c>
      <c r="D71" s="505">
        <v>0</v>
      </c>
      <c r="E71" s="505">
        <v>0</v>
      </c>
      <c r="F71" s="465">
        <f t="shared" si="88"/>
        <v>0</v>
      </c>
      <c r="G71" s="505"/>
      <c r="H71" s="505">
        <v>0</v>
      </c>
      <c r="I71" s="505">
        <v>0</v>
      </c>
      <c r="J71" s="465">
        <f t="shared" ref="J71:J83" si="90">H71-I71</f>
        <v>0</v>
      </c>
      <c r="K71" s="505"/>
      <c r="L71" s="505">
        <v>0</v>
      </c>
      <c r="M71" s="465">
        <v>0</v>
      </c>
      <c r="N71" s="465">
        <f t="shared" ref="N71:N83" si="91">L71-M71</f>
        <v>0</v>
      </c>
      <c r="O71" s="505"/>
      <c r="P71" s="465">
        <v>0</v>
      </c>
      <c r="Q71" s="465">
        <v>0</v>
      </c>
      <c r="R71" s="465">
        <f t="shared" ref="R71:R83" si="92">P71-Q71</f>
        <v>0</v>
      </c>
      <c r="S71" s="505"/>
      <c r="T71" s="465">
        <v>0</v>
      </c>
      <c r="U71" s="465">
        <v>0</v>
      </c>
      <c r="V71" s="465">
        <f t="shared" ref="V71:V83" si="93">T71-U71</f>
        <v>0</v>
      </c>
      <c r="W71" s="505"/>
      <c r="X71" s="465">
        <v>0</v>
      </c>
      <c r="Y71" s="465">
        <v>0</v>
      </c>
      <c r="Z71" s="465">
        <f t="shared" ref="Z71:Z83" si="94">X71-Y71</f>
        <v>0</v>
      </c>
      <c r="AA71" s="505"/>
      <c r="AB71" s="465">
        <v>0</v>
      </c>
      <c r="AC71" s="465">
        <v>0</v>
      </c>
      <c r="AD71" s="465">
        <f t="shared" ref="AD71:AD83" si="95">AB71-AC71</f>
        <v>0</v>
      </c>
      <c r="AE71" s="505"/>
      <c r="AF71" s="465">
        <v>0</v>
      </c>
      <c r="AG71" s="465">
        <v>0</v>
      </c>
      <c r="AH71" s="465">
        <f t="shared" ref="AH71:AH82" si="96">AF71-AG71</f>
        <v>0</v>
      </c>
      <c r="AI71" s="505"/>
      <c r="AJ71" s="505">
        <v>0</v>
      </c>
      <c r="AK71" s="505">
        <v>0</v>
      </c>
      <c r="AL71" s="465">
        <f t="shared" ref="AL71:AL83" si="97">AJ71-AK71</f>
        <v>0</v>
      </c>
      <c r="AM71" s="505"/>
      <c r="AN71" s="465">
        <v>0</v>
      </c>
      <c r="AO71" s="465">
        <v>0</v>
      </c>
      <c r="AP71" s="465">
        <f t="shared" ref="AP71:AP83" si="98">AN71-AO71</f>
        <v>0</v>
      </c>
      <c r="AQ71" s="505"/>
      <c r="AR71" s="465">
        <v>0</v>
      </c>
      <c r="AS71" s="465">
        <v>0</v>
      </c>
      <c r="AT71" s="465">
        <f t="shared" ref="AT71:AT83" si="99">AR71-AS71</f>
        <v>0</v>
      </c>
      <c r="AU71" s="505"/>
      <c r="AV71" s="465">
        <v>0</v>
      </c>
      <c r="AW71" s="465">
        <v>0</v>
      </c>
      <c r="AX71" s="465">
        <f t="shared" ref="AX71:AX83" si="100">AV71-AW71</f>
        <v>0</v>
      </c>
      <c r="AY71" s="505"/>
      <c r="AZ71" s="465">
        <v>0</v>
      </c>
      <c r="BA71" s="465">
        <v>0</v>
      </c>
      <c r="BB71" s="465">
        <f t="shared" ref="BB71:BB83" si="101">AZ71-BA71</f>
        <v>0</v>
      </c>
      <c r="BC71" s="505"/>
      <c r="BD71" s="465">
        <v>0</v>
      </c>
      <c r="BE71" s="465">
        <f>0</f>
        <v>0</v>
      </c>
      <c r="BF71" s="465">
        <f t="shared" ref="BF71:BF83" si="102">BD71-BE71</f>
        <v>0</v>
      </c>
      <c r="BG71" s="505"/>
      <c r="BH71" s="465">
        <v>0</v>
      </c>
      <c r="BI71" s="465">
        <v>0</v>
      </c>
      <c r="BJ71" s="465">
        <f t="shared" ref="BJ71:BJ83" si="103">BH71-BI71</f>
        <v>0</v>
      </c>
      <c r="BK71" s="505"/>
      <c r="BL71" s="465">
        <v>0</v>
      </c>
      <c r="BM71" s="465">
        <v>0</v>
      </c>
      <c r="BN71" s="465">
        <f t="shared" ref="BN71:BN83" si="104">BL71-BM71</f>
        <v>0</v>
      </c>
      <c r="BO71" s="505"/>
      <c r="BP71" s="465">
        <v>0</v>
      </c>
      <c r="BQ71" s="465">
        <v>0</v>
      </c>
      <c r="BR71" s="465">
        <f t="shared" ref="BR71:BR83" si="105">BP71-BQ71</f>
        <v>0</v>
      </c>
      <c r="BS71" s="505"/>
      <c r="BT71" s="465">
        <v>0</v>
      </c>
      <c r="BU71" s="465">
        <v>0</v>
      </c>
      <c r="BV71" s="465">
        <f t="shared" ref="BV71:BV83" si="106">BT71-BU71</f>
        <v>0</v>
      </c>
      <c r="BW71" s="505"/>
      <c r="BX71" s="465">
        <v>0</v>
      </c>
      <c r="BY71" s="465">
        <v>0</v>
      </c>
      <c r="BZ71" s="465">
        <f t="shared" ref="BZ71:BZ83" si="107">BX71-BY71</f>
        <v>0</v>
      </c>
      <c r="CA71" s="505"/>
      <c r="CB71" s="465">
        <v>0</v>
      </c>
      <c r="CC71" s="465">
        <v>0</v>
      </c>
      <c r="CD71" s="465">
        <f t="shared" ref="CD71:CD83" si="108">CB71-CC71</f>
        <v>0</v>
      </c>
      <c r="CE71" s="505"/>
      <c r="CF71" s="465">
        <f>140000000</f>
        <v>140000000</v>
      </c>
      <c r="CG71" s="465">
        <f>128406300+8525000+3068700</f>
        <v>140000000</v>
      </c>
      <c r="CH71" s="465">
        <f t="shared" ref="CH71:CH83" si="109">CF71-CG71</f>
        <v>0</v>
      </c>
      <c r="CI71" s="505"/>
      <c r="CJ71" s="465">
        <v>20000000</v>
      </c>
      <c r="CK71" s="491">
        <f>19803000+197000</f>
        <v>20000000</v>
      </c>
      <c r="CL71" s="465">
        <f t="shared" ref="CL71:CL83" si="110">CJ71-CK71</f>
        <v>0</v>
      </c>
      <c r="CM71" s="505"/>
      <c r="CN71" s="465">
        <v>10000000</v>
      </c>
      <c r="CO71" s="492">
        <f>4749375+4250000+838125</f>
        <v>9837500</v>
      </c>
      <c r="CP71" s="465">
        <f t="shared" ref="CP71:CP83" si="111">CN71-CO71</f>
        <v>162500</v>
      </c>
      <c r="CQ71" s="505"/>
      <c r="CR71" s="465">
        <v>40000000</v>
      </c>
      <c r="CS71" s="465">
        <f>12302196+230365+8110736+347200+385400+8777434+4956974+587600+2185520+1586500+530075</f>
        <v>40000000</v>
      </c>
      <c r="CT71" s="465">
        <f t="shared" ref="CT71:CT83" si="112">CR71-CS71</f>
        <v>0</v>
      </c>
      <c r="CU71" s="505"/>
      <c r="CV71" s="465">
        <v>150000000</v>
      </c>
      <c r="CW71" s="465">
        <f>49658025+9000000+87114566.96+4227408.04</f>
        <v>149999999.99999997</v>
      </c>
      <c r="CX71" s="465">
        <f t="shared" ref="CX71:CX83" si="113">CV71-CW71</f>
        <v>0</v>
      </c>
      <c r="CY71" s="505"/>
      <c r="CZ71" s="465">
        <v>20000000</v>
      </c>
      <c r="DA71" s="465">
        <f>19690000+310000</f>
        <v>20000000</v>
      </c>
      <c r="DB71" s="465">
        <f t="shared" ref="DB71:DB83" si="114">CZ71-DA71</f>
        <v>0</v>
      </c>
      <c r="DC71" s="465"/>
      <c r="DD71" s="465">
        <v>10000000</v>
      </c>
      <c r="DE71" s="465">
        <v>0</v>
      </c>
      <c r="DF71" s="465">
        <f t="shared" ref="DF71:DF83" si="115">DD71-DE71</f>
        <v>10000000</v>
      </c>
      <c r="DG71" s="505"/>
      <c r="DH71" s="465">
        <v>50000000</v>
      </c>
      <c r="DI71" s="467">
        <f>1128282+3741750+646000+12032188+4979078</f>
        <v>22527298</v>
      </c>
      <c r="DJ71" s="465">
        <f t="shared" ref="DJ71:DJ83" si="116">DH71-DI71</f>
        <v>27472702</v>
      </c>
      <c r="DK71" s="505"/>
      <c r="DL71" s="465">
        <v>10000000</v>
      </c>
      <c r="DM71" s="465">
        <v>0</v>
      </c>
      <c r="DN71" s="465">
        <f t="shared" ref="DN71:DN83" si="117">DL71-DM71</f>
        <v>10000000</v>
      </c>
      <c r="DO71" s="505"/>
      <c r="DP71" s="465">
        <v>0</v>
      </c>
      <c r="DQ71" s="465">
        <v>0</v>
      </c>
      <c r="DR71" s="465">
        <f t="shared" ref="DR71:DR83" si="118">DP71-DQ71</f>
        <v>0</v>
      </c>
      <c r="DS71" s="465"/>
      <c r="DT71" s="465">
        <v>100000000</v>
      </c>
      <c r="DU71" s="465">
        <f>9122591.96+4550000+60000000+26327408.04</f>
        <v>100000000</v>
      </c>
      <c r="DV71" s="465">
        <f t="shared" ref="DV71:DV83" si="119">DT71-DU71</f>
        <v>0</v>
      </c>
      <c r="DW71" s="465"/>
      <c r="DX71" s="465">
        <v>15000000</v>
      </c>
      <c r="DY71" s="465">
        <f>4512292.8</f>
        <v>4512292.8</v>
      </c>
      <c r="DZ71" s="465">
        <f t="shared" ref="DZ71:DZ83" si="120">DX71-DY71</f>
        <v>10487707.199999999</v>
      </c>
      <c r="EA71" s="465"/>
      <c r="EB71" s="465">
        <v>10000000</v>
      </c>
      <c r="EC71" s="465">
        <v>0</v>
      </c>
      <c r="ED71" s="465">
        <f t="shared" ref="ED71:ED83" si="121">EB71-EC71</f>
        <v>10000000</v>
      </c>
      <c r="EE71" s="465"/>
      <c r="EF71" s="465">
        <v>25000000</v>
      </c>
      <c r="EG71" s="465">
        <f>5784765+19215235</f>
        <v>25000000</v>
      </c>
      <c r="EH71" s="465">
        <f t="shared" ref="EH71:EH83" si="122">EF71-EG71</f>
        <v>0</v>
      </c>
      <c r="EI71" s="465"/>
      <c r="EJ71" s="465">
        <v>10000000</v>
      </c>
      <c r="EK71" s="465">
        <v>0</v>
      </c>
      <c r="EL71" s="465">
        <f t="shared" ref="EL71:EL83" si="123">EJ71-EK71</f>
        <v>10000000</v>
      </c>
      <c r="EM71" s="505"/>
      <c r="EN71" s="505">
        <v>300000000</v>
      </c>
      <c r="EO71" s="485">
        <f>30970741.96+32656720+56100000+79558125+58077545+25053500</f>
        <v>282416631.96000004</v>
      </c>
      <c r="EP71" s="465">
        <f t="shared" ref="EP71:EP83" si="124">EN71-EO71</f>
        <v>17583368.039999962</v>
      </c>
      <c r="EQ71" s="505"/>
      <c r="ER71" s="505">
        <v>25000000</v>
      </c>
      <c r="ES71" s="465">
        <v>0</v>
      </c>
      <c r="ET71" s="465">
        <f t="shared" ref="ET71:ET83" si="125">ER71-ES71</f>
        <v>25000000</v>
      </c>
      <c r="EU71" s="505"/>
      <c r="EV71" s="505">
        <v>10000000</v>
      </c>
      <c r="EW71" s="465">
        <v>0</v>
      </c>
      <c r="EX71" s="465">
        <f t="shared" ref="EX71:EX83" si="126">EV71-EW71</f>
        <v>10000000</v>
      </c>
      <c r="EY71" s="505"/>
      <c r="EZ71" s="505">
        <v>30000000</v>
      </c>
      <c r="FA71" s="484">
        <f>2451494+23558500</f>
        <v>26009994</v>
      </c>
      <c r="FB71" s="465">
        <f t="shared" ref="FB71:FB83" si="127">EZ71-FA71</f>
        <v>3990006</v>
      </c>
      <c r="FC71" s="505"/>
      <c r="FD71" s="505">
        <v>5000000</v>
      </c>
      <c r="FE71" s="465">
        <v>0</v>
      </c>
      <c r="FF71" s="465">
        <f t="shared" ref="FF71:FF83" si="128">FD71-FE71</f>
        <v>5000000</v>
      </c>
      <c r="FG71" s="465"/>
      <c r="FH71" s="468">
        <v>120000000</v>
      </c>
      <c r="FI71" s="463">
        <v>0</v>
      </c>
      <c r="FJ71" s="463">
        <f t="shared" si="89"/>
        <v>120000000</v>
      </c>
      <c r="FK71" s="468"/>
      <c r="FL71" s="468">
        <v>25000000</v>
      </c>
      <c r="FM71" s="468">
        <v>0</v>
      </c>
      <c r="FN71" s="468">
        <f t="shared" si="77"/>
        <v>25000000</v>
      </c>
      <c r="FO71" s="468"/>
      <c r="FP71" s="468">
        <v>5000000</v>
      </c>
      <c r="FQ71" s="468">
        <v>0</v>
      </c>
      <c r="FR71" s="468">
        <f t="shared" si="78"/>
        <v>5000000</v>
      </c>
      <c r="FS71" s="468"/>
      <c r="FT71" s="468">
        <v>30000000</v>
      </c>
      <c r="FU71" s="468">
        <v>0</v>
      </c>
      <c r="FV71" s="468">
        <f t="shared" si="79"/>
        <v>30000000</v>
      </c>
      <c r="FW71" s="468"/>
      <c r="FX71" s="468">
        <v>4150000</v>
      </c>
      <c r="FY71" s="468">
        <v>0</v>
      </c>
      <c r="FZ71" s="468">
        <v>4150000</v>
      </c>
      <c r="GA71" s="468"/>
      <c r="GB71" s="468">
        <v>160000000</v>
      </c>
      <c r="GC71" s="468">
        <v>0</v>
      </c>
      <c r="GD71" s="468">
        <f t="shared" si="85"/>
        <v>160000000</v>
      </c>
      <c r="GE71" s="468"/>
      <c r="GF71" s="468">
        <v>25000000</v>
      </c>
      <c r="GG71" s="468">
        <v>0</v>
      </c>
      <c r="GH71" s="468">
        <f t="shared" si="83"/>
        <v>25000000</v>
      </c>
      <c r="GI71" s="468"/>
      <c r="GJ71" s="468">
        <v>5000000</v>
      </c>
      <c r="GK71" s="468">
        <v>0</v>
      </c>
      <c r="GL71" s="468">
        <f t="shared" si="86"/>
        <v>5000000</v>
      </c>
      <c r="GM71" s="468"/>
      <c r="GN71" s="468">
        <v>20000000</v>
      </c>
      <c r="GO71" s="468">
        <v>0</v>
      </c>
      <c r="GP71" s="468">
        <f t="shared" si="87"/>
        <v>20000000</v>
      </c>
      <c r="GQ71" s="468"/>
      <c r="GR71" s="468">
        <v>5000000</v>
      </c>
      <c r="GS71" s="468">
        <v>0</v>
      </c>
      <c r="GT71" s="468">
        <f t="shared" si="84"/>
        <v>5000000</v>
      </c>
      <c r="GU71" s="468"/>
      <c r="GV71" s="465">
        <f t="shared" ref="GV71:GW83" si="129">H71+L71+P71+T71+X71+AB71+AF71+AJ71+AN71+AR71+AV71+AZ71+BH71+BL71+BP71+BT71+BX71+D71+CB71+CF71+CJ71+CN71+CR71+BD71+DP71+CV71+CZ71+DD71+DH71+DL71+DT71+DX71+EB71+EF71+EJ71+EN71+ER71+EV71+EZ71+FD71+FH71+FL71+FP71+FT71+FX71+GB71+GF71+GJ71+GN71+GR71</f>
        <v>1379150000</v>
      </c>
      <c r="GW71" s="465">
        <f t="shared" si="129"/>
        <v>840303716.75999999</v>
      </c>
      <c r="GX71" s="465">
        <f t="shared" ref="GX71:GX83" si="130">GV71-GW71</f>
        <v>538846283.24000001</v>
      </c>
      <c r="GY71" s="470"/>
      <c r="GZ71" s="464"/>
      <c r="HA71" s="471">
        <f>D71+H71+L71+X71+AN71+BH71+CB71+CF71+CV71+DP71+DT71+EN71+FH71+GB71</f>
        <v>970000000</v>
      </c>
      <c r="HB71" s="471">
        <f>E71+I71+M71+Y71+AO71+BI71+CC71+CG71+CW71+DQ71+DU71+EO71+FI71+GC71</f>
        <v>672416631.96000004</v>
      </c>
      <c r="HC71" s="471">
        <f t="shared" ref="HC71:HC84" si="131">HA71-HB71</f>
        <v>297583368.03999996</v>
      </c>
      <c r="HE71" s="471">
        <f>P71+AB71+AR71+
BL71+CJ71+CZ71+DX71+ER71+FL71+GF71</f>
        <v>130000000</v>
      </c>
      <c r="HF71" s="471">
        <f>Q71+AC71+AS71+
BM71+CK71+DA71+DY71+ES71+FM71+GG71</f>
        <v>44512292.799999997</v>
      </c>
      <c r="HG71" s="471">
        <f t="shared" ref="HG71:HG83" si="132">HE71-HF71</f>
        <v>85487707.200000003</v>
      </c>
      <c r="HI71" s="471">
        <f>T71+AF71+AV71+BP71+CN71+DD71+EB71+EV71+FP71+GJ71</f>
        <v>50000000</v>
      </c>
      <c r="HJ71" s="471">
        <f>U71+AG71+AW71+BQ71+CO71+DE71+EC71+EW71+FQ71+GK71</f>
        <v>9837500</v>
      </c>
      <c r="HK71" s="471">
        <f t="shared" ref="HK71:HK85" si="133">HI71-HJ71</f>
        <v>40162500</v>
      </c>
      <c r="HM71" s="475">
        <f>AJ71+AZ71+BT71+CR71+DH71+EF71+EZ71+FT71+GN71</f>
        <v>195000000</v>
      </c>
      <c r="HN71" s="475">
        <f>AK71+BA71+BU71+CS71+DI71+EG71+FA71+FU71+GO71</f>
        <v>113537292</v>
      </c>
      <c r="HO71" s="475">
        <f t="shared" ref="HO71:HO82" si="134">HM71-HN71</f>
        <v>81462708</v>
      </c>
      <c r="HP71" s="476"/>
      <c r="HR71" s="471">
        <f>BD71+BX71+DL71+EJ71+FD71+FX71+GR71</f>
        <v>34150000</v>
      </c>
      <c r="HS71" s="471">
        <f>BE71+BY71+DM71+EK71+FE71+FY71+GS71</f>
        <v>0</v>
      </c>
      <c r="HT71" s="471">
        <f t="shared" ref="HT71:HT82" si="135">HR71-HS71</f>
        <v>34150000</v>
      </c>
    </row>
    <row r="72" spans="1:228" x14ac:dyDescent="0.25">
      <c r="A72" s="107">
        <v>66</v>
      </c>
      <c r="B72" s="515" t="s">
        <v>492</v>
      </c>
      <c r="C72" s="113" t="s">
        <v>74</v>
      </c>
      <c r="D72" s="505">
        <v>0</v>
      </c>
      <c r="E72" s="505">
        <v>0</v>
      </c>
      <c r="F72" s="465">
        <f t="shared" si="88"/>
        <v>0</v>
      </c>
      <c r="G72" s="505"/>
      <c r="H72" s="505">
        <v>0</v>
      </c>
      <c r="I72" s="505">
        <v>0</v>
      </c>
      <c r="J72" s="465">
        <f t="shared" si="90"/>
        <v>0</v>
      </c>
      <c r="K72" s="505"/>
      <c r="L72" s="505">
        <v>0</v>
      </c>
      <c r="M72" s="465">
        <v>0</v>
      </c>
      <c r="N72" s="465">
        <f t="shared" si="91"/>
        <v>0</v>
      </c>
      <c r="O72" s="505"/>
      <c r="P72" s="465">
        <v>0</v>
      </c>
      <c r="Q72" s="465">
        <v>0</v>
      </c>
      <c r="R72" s="465">
        <f t="shared" si="92"/>
        <v>0</v>
      </c>
      <c r="S72" s="505"/>
      <c r="T72" s="465">
        <v>0</v>
      </c>
      <c r="U72" s="465">
        <v>0</v>
      </c>
      <c r="V72" s="465">
        <f t="shared" si="93"/>
        <v>0</v>
      </c>
      <c r="W72" s="505"/>
      <c r="X72" s="465">
        <v>0</v>
      </c>
      <c r="Y72" s="465">
        <v>0</v>
      </c>
      <c r="Z72" s="465">
        <f t="shared" si="94"/>
        <v>0</v>
      </c>
      <c r="AA72" s="505"/>
      <c r="AB72" s="465">
        <v>0</v>
      </c>
      <c r="AC72" s="465">
        <v>0</v>
      </c>
      <c r="AD72" s="465">
        <f t="shared" si="95"/>
        <v>0</v>
      </c>
      <c r="AE72" s="505"/>
      <c r="AF72" s="465">
        <v>0</v>
      </c>
      <c r="AG72" s="465">
        <v>0</v>
      </c>
      <c r="AH72" s="465">
        <f t="shared" si="96"/>
        <v>0</v>
      </c>
      <c r="AI72" s="505"/>
      <c r="AJ72" s="505">
        <v>0</v>
      </c>
      <c r="AK72" s="505">
        <v>0</v>
      </c>
      <c r="AL72" s="465">
        <f t="shared" si="97"/>
        <v>0</v>
      </c>
      <c r="AM72" s="505"/>
      <c r="AN72" s="465">
        <v>0</v>
      </c>
      <c r="AO72" s="465">
        <v>0</v>
      </c>
      <c r="AP72" s="465">
        <f t="shared" si="98"/>
        <v>0</v>
      </c>
      <c r="AQ72" s="505"/>
      <c r="AR72" s="465">
        <v>0</v>
      </c>
      <c r="AS72" s="465">
        <v>0</v>
      </c>
      <c r="AT72" s="465">
        <f t="shared" si="99"/>
        <v>0</v>
      </c>
      <c r="AU72" s="505"/>
      <c r="AV72" s="465">
        <v>0</v>
      </c>
      <c r="AW72" s="465">
        <v>0</v>
      </c>
      <c r="AX72" s="465">
        <f t="shared" si="100"/>
        <v>0</v>
      </c>
      <c r="AY72" s="505"/>
      <c r="AZ72" s="465">
        <v>0</v>
      </c>
      <c r="BA72" s="465">
        <v>0</v>
      </c>
      <c r="BB72" s="465">
        <f t="shared" si="101"/>
        <v>0</v>
      </c>
      <c r="BC72" s="505"/>
      <c r="BD72" s="465">
        <v>0</v>
      </c>
      <c r="BE72" s="465">
        <f>0</f>
        <v>0</v>
      </c>
      <c r="BF72" s="465">
        <f t="shared" si="102"/>
        <v>0</v>
      </c>
      <c r="BG72" s="505"/>
      <c r="BH72" s="465">
        <v>0</v>
      </c>
      <c r="BI72" s="465">
        <v>0</v>
      </c>
      <c r="BJ72" s="465">
        <f t="shared" si="103"/>
        <v>0</v>
      </c>
      <c r="BK72" s="505"/>
      <c r="BL72" s="465">
        <v>0</v>
      </c>
      <c r="BM72" s="465">
        <v>0</v>
      </c>
      <c r="BN72" s="465">
        <f t="shared" si="104"/>
        <v>0</v>
      </c>
      <c r="BO72" s="505"/>
      <c r="BP72" s="465">
        <v>0</v>
      </c>
      <c r="BQ72" s="465">
        <v>0</v>
      </c>
      <c r="BR72" s="465">
        <f t="shared" si="105"/>
        <v>0</v>
      </c>
      <c r="BS72" s="505"/>
      <c r="BT72" s="465">
        <v>0</v>
      </c>
      <c r="BU72" s="465">
        <v>0</v>
      </c>
      <c r="BV72" s="465">
        <f t="shared" si="106"/>
        <v>0</v>
      </c>
      <c r="BW72" s="505"/>
      <c r="BX72" s="465">
        <v>0</v>
      </c>
      <c r="BY72" s="465">
        <v>0</v>
      </c>
      <c r="BZ72" s="465">
        <f t="shared" si="107"/>
        <v>0</v>
      </c>
      <c r="CA72" s="505"/>
      <c r="CB72" s="465">
        <v>0</v>
      </c>
      <c r="CC72" s="465">
        <v>0</v>
      </c>
      <c r="CD72" s="465">
        <f t="shared" si="108"/>
        <v>0</v>
      </c>
      <c r="CE72" s="505"/>
      <c r="CF72" s="465">
        <f>140000000</f>
        <v>140000000</v>
      </c>
      <c r="CG72" s="465">
        <f>30900000+100427700+8672300</f>
        <v>140000000</v>
      </c>
      <c r="CH72" s="465">
        <f t="shared" si="109"/>
        <v>0</v>
      </c>
      <c r="CI72" s="505"/>
      <c r="CJ72" s="465">
        <v>20000000</v>
      </c>
      <c r="CK72" s="465">
        <v>11978700</v>
      </c>
      <c r="CL72" s="465">
        <f t="shared" si="110"/>
        <v>8021300</v>
      </c>
      <c r="CM72" s="505"/>
      <c r="CN72" s="465">
        <v>10000000</v>
      </c>
      <c r="CO72" s="465">
        <v>0</v>
      </c>
      <c r="CP72" s="465">
        <f t="shared" si="111"/>
        <v>10000000</v>
      </c>
      <c r="CQ72" s="505"/>
      <c r="CR72" s="465">
        <v>40000000</v>
      </c>
      <c r="CS72" s="465">
        <f>24589323+15410677</f>
        <v>40000000</v>
      </c>
      <c r="CT72" s="465">
        <f t="shared" si="112"/>
        <v>0</v>
      </c>
      <c r="CU72" s="505"/>
      <c r="CV72" s="465">
        <v>150000000</v>
      </c>
      <c r="CW72" s="465">
        <f>60810310+57423400+24534800+7231490</f>
        <v>150000000</v>
      </c>
      <c r="CX72" s="465">
        <f t="shared" si="113"/>
        <v>0</v>
      </c>
      <c r="CY72" s="505"/>
      <c r="CZ72" s="465">
        <v>20000000</v>
      </c>
      <c r="DA72" s="465">
        <f>12751575+12751575-12751575</f>
        <v>12751575</v>
      </c>
      <c r="DB72" s="465">
        <f t="shared" si="114"/>
        <v>7248425</v>
      </c>
      <c r="DC72" s="465"/>
      <c r="DD72" s="465">
        <v>10000000</v>
      </c>
      <c r="DE72" s="465">
        <v>0</v>
      </c>
      <c r="DF72" s="465">
        <f t="shared" si="115"/>
        <v>10000000</v>
      </c>
      <c r="DG72" s="505"/>
      <c r="DH72" s="465">
        <v>50000000</v>
      </c>
      <c r="DI72" s="478">
        <f>25929998+1121802+12544216+183000+2215600+4759667+3245717</f>
        <v>50000000</v>
      </c>
      <c r="DJ72" s="465">
        <f t="shared" si="116"/>
        <v>0</v>
      </c>
      <c r="DK72" s="505"/>
      <c r="DL72" s="465">
        <v>10000000</v>
      </c>
      <c r="DM72" s="465">
        <v>0</v>
      </c>
      <c r="DN72" s="465">
        <f t="shared" si="117"/>
        <v>10000000</v>
      </c>
      <c r="DO72" s="505"/>
      <c r="DP72" s="465">
        <v>0</v>
      </c>
      <c r="DQ72" s="465">
        <v>0</v>
      </c>
      <c r="DR72" s="465">
        <f t="shared" si="118"/>
        <v>0</v>
      </c>
      <c r="DS72" s="465"/>
      <c r="DT72" s="465">
        <v>100000000</v>
      </c>
      <c r="DU72" s="465">
        <f>49841910+42600000+3250000+4308090</f>
        <v>100000000</v>
      </c>
      <c r="DV72" s="465">
        <f t="shared" si="119"/>
        <v>0</v>
      </c>
      <c r="DW72" s="465"/>
      <c r="DX72" s="465">
        <v>15000000</v>
      </c>
      <c r="DY72" s="465">
        <v>9770350</v>
      </c>
      <c r="DZ72" s="465">
        <f t="shared" si="120"/>
        <v>5229650</v>
      </c>
      <c r="EA72" s="465"/>
      <c r="EB72" s="465">
        <v>10000000</v>
      </c>
      <c r="EC72" s="465">
        <v>0</v>
      </c>
      <c r="ED72" s="465">
        <f t="shared" si="121"/>
        <v>10000000</v>
      </c>
      <c r="EE72" s="465"/>
      <c r="EF72" s="465">
        <v>25000000</v>
      </c>
      <c r="EG72" s="465">
        <f>398000+11152450+1596945+11852605</f>
        <v>25000000</v>
      </c>
      <c r="EH72" s="465">
        <f t="shared" si="122"/>
        <v>0</v>
      </c>
      <c r="EI72" s="465"/>
      <c r="EJ72" s="465">
        <v>10000000</v>
      </c>
      <c r="EK72" s="465">
        <v>0</v>
      </c>
      <c r="EL72" s="465">
        <f t="shared" si="123"/>
        <v>10000000</v>
      </c>
      <c r="EM72" s="505"/>
      <c r="EN72" s="505">
        <v>300000000</v>
      </c>
      <c r="EO72" s="465">
        <f>12491910+99937333.7+69876718.9+59400000+58294037.4</f>
        <v>300000000</v>
      </c>
      <c r="EP72" s="465">
        <f t="shared" si="124"/>
        <v>0</v>
      </c>
      <c r="EQ72" s="505"/>
      <c r="ER72" s="505">
        <v>25000000</v>
      </c>
      <c r="ES72" s="465">
        <v>0</v>
      </c>
      <c r="ET72" s="465">
        <f t="shared" si="125"/>
        <v>25000000</v>
      </c>
      <c r="EU72" s="505"/>
      <c r="EV72" s="505">
        <v>10000000</v>
      </c>
      <c r="EW72" s="465">
        <v>0</v>
      </c>
      <c r="EX72" s="465">
        <f t="shared" si="126"/>
        <v>10000000</v>
      </c>
      <c r="EY72" s="505"/>
      <c r="EZ72" s="505">
        <v>30000000</v>
      </c>
      <c r="FA72" s="478">
        <f>2678933.75+13001632+3384998</f>
        <v>19065563.75</v>
      </c>
      <c r="FB72" s="465">
        <f t="shared" si="127"/>
        <v>10934436.25</v>
      </c>
      <c r="FC72" s="505"/>
      <c r="FD72" s="505">
        <v>5000000</v>
      </c>
      <c r="FE72" s="465">
        <v>0</v>
      </c>
      <c r="FF72" s="465">
        <f t="shared" si="128"/>
        <v>5000000</v>
      </c>
      <c r="FG72" s="465"/>
      <c r="FH72" s="468">
        <v>120000000</v>
      </c>
      <c r="FI72" s="506">
        <f>11073132.6+11854450+18600000</f>
        <v>41527582.600000001</v>
      </c>
      <c r="FJ72" s="463">
        <f t="shared" si="89"/>
        <v>78472417.400000006</v>
      </c>
      <c r="FK72" s="468"/>
      <c r="FL72" s="468">
        <v>25000000</v>
      </c>
      <c r="FM72" s="468">
        <v>0</v>
      </c>
      <c r="FN72" s="468">
        <f t="shared" si="77"/>
        <v>25000000</v>
      </c>
      <c r="FO72" s="468"/>
      <c r="FP72" s="468">
        <v>5000000</v>
      </c>
      <c r="FQ72" s="468">
        <v>0</v>
      </c>
      <c r="FR72" s="468">
        <f t="shared" si="78"/>
        <v>5000000</v>
      </c>
      <c r="FS72" s="468"/>
      <c r="FT72" s="468">
        <v>30000000</v>
      </c>
      <c r="FU72" s="468">
        <v>0</v>
      </c>
      <c r="FV72" s="468">
        <f t="shared" si="79"/>
        <v>30000000</v>
      </c>
      <c r="FW72" s="468"/>
      <c r="FX72" s="468">
        <v>4150000</v>
      </c>
      <c r="FY72" s="468">
        <v>0</v>
      </c>
      <c r="FZ72" s="468">
        <v>4150000</v>
      </c>
      <c r="GA72" s="468"/>
      <c r="GB72" s="468">
        <v>160000000</v>
      </c>
      <c r="GC72" s="468">
        <v>0</v>
      </c>
      <c r="GD72" s="468">
        <f t="shared" si="85"/>
        <v>160000000</v>
      </c>
      <c r="GE72" s="468"/>
      <c r="GF72" s="468">
        <v>25000000</v>
      </c>
      <c r="GG72" s="468">
        <v>0</v>
      </c>
      <c r="GH72" s="468">
        <f t="shared" si="83"/>
        <v>25000000</v>
      </c>
      <c r="GI72" s="468"/>
      <c r="GJ72" s="468">
        <v>5000000</v>
      </c>
      <c r="GK72" s="468">
        <v>0</v>
      </c>
      <c r="GL72" s="468">
        <f t="shared" si="86"/>
        <v>5000000</v>
      </c>
      <c r="GM72" s="468"/>
      <c r="GN72" s="468">
        <v>20000000</v>
      </c>
      <c r="GO72" s="468">
        <v>0</v>
      </c>
      <c r="GP72" s="468">
        <f t="shared" si="87"/>
        <v>20000000</v>
      </c>
      <c r="GQ72" s="468"/>
      <c r="GR72" s="468">
        <v>5000000</v>
      </c>
      <c r="GS72" s="468">
        <v>0</v>
      </c>
      <c r="GT72" s="468">
        <f t="shared" si="84"/>
        <v>5000000</v>
      </c>
      <c r="GU72" s="468"/>
      <c r="GV72" s="465">
        <f t="shared" si="129"/>
        <v>1379150000</v>
      </c>
      <c r="GW72" s="465">
        <f t="shared" si="129"/>
        <v>900093771.35000002</v>
      </c>
      <c r="GX72" s="465">
        <f t="shared" si="130"/>
        <v>479056228.64999998</v>
      </c>
      <c r="GY72" s="470"/>
      <c r="GZ72" s="464"/>
      <c r="HA72" s="471">
        <f>D72+H72+L72+X72+AN72+BH72+CB72+CF72+CV72+DP72+DT72+EN72+FH72+GB72</f>
        <v>970000000</v>
      </c>
      <c r="HB72" s="471">
        <f>E72+I72+M72+Y72+AO72+BI72+CC72+CG72+CW72+DQ72+DU72+EO72+FI72+GC72</f>
        <v>731527582.60000002</v>
      </c>
      <c r="HC72" s="471">
        <f t="shared" si="131"/>
        <v>238472417.39999998</v>
      </c>
      <c r="HE72" s="471">
        <f>P72+AB72+AR72+
BL72+CJ72+CZ72+DX72+ER72+FL72+GF72</f>
        <v>130000000</v>
      </c>
      <c r="HF72" s="471">
        <f>Q72+AC72+AS72+
BM72+CK72+DA72+DY72+ES72+FM72+GG72</f>
        <v>34500625</v>
      </c>
      <c r="HG72" s="471">
        <f t="shared" si="132"/>
        <v>95499375</v>
      </c>
      <c r="HI72" s="471">
        <f>T72+AF72+AV72+BP72+CN72+DD72+EB72+EV72+FP72+GJ72</f>
        <v>50000000</v>
      </c>
      <c r="HJ72" s="471">
        <f>U72+AG72+AW72+BQ72+CO72+DE72+EC72+EW72+FQ72+GK72</f>
        <v>0</v>
      </c>
      <c r="HK72" s="471">
        <f t="shared" si="133"/>
        <v>50000000</v>
      </c>
      <c r="HM72" s="475">
        <f>AJ72+AZ72+BT72+CR72+DH72+EF72+EZ72+FT72+GN72</f>
        <v>195000000</v>
      </c>
      <c r="HN72" s="475">
        <f>AK72+BA72+BU72+CS72+DI72+EG72+FA72+FU72+GO72</f>
        <v>134065563.75</v>
      </c>
      <c r="HO72" s="475">
        <f t="shared" si="134"/>
        <v>60934436.25</v>
      </c>
      <c r="HP72" s="476"/>
      <c r="HR72" s="471">
        <f>BD72+BX72+DL72+EJ72+FD72+FX72+GR72</f>
        <v>34150000</v>
      </c>
      <c r="HS72" s="471">
        <f>BE72+BY72+DM72+EK72+FE72+FY72+GS72</f>
        <v>0</v>
      </c>
      <c r="HT72" s="471">
        <f t="shared" si="135"/>
        <v>34150000</v>
      </c>
    </row>
    <row r="73" spans="1:228" x14ac:dyDescent="0.25">
      <c r="A73" s="107">
        <v>67</v>
      </c>
      <c r="B73" s="515" t="s">
        <v>493</v>
      </c>
      <c r="C73" s="113" t="s">
        <v>61</v>
      </c>
      <c r="D73" s="505">
        <v>0</v>
      </c>
      <c r="E73" s="505">
        <v>0</v>
      </c>
      <c r="F73" s="465">
        <f t="shared" si="88"/>
        <v>0</v>
      </c>
      <c r="G73" s="505"/>
      <c r="H73" s="505">
        <v>0</v>
      </c>
      <c r="I73" s="505">
        <v>0</v>
      </c>
      <c r="J73" s="465">
        <f t="shared" si="90"/>
        <v>0</v>
      </c>
      <c r="K73" s="505"/>
      <c r="L73" s="505">
        <v>0</v>
      </c>
      <c r="M73" s="465">
        <v>0</v>
      </c>
      <c r="N73" s="465">
        <f t="shared" si="91"/>
        <v>0</v>
      </c>
      <c r="O73" s="505"/>
      <c r="P73" s="465">
        <v>0</v>
      </c>
      <c r="Q73" s="465">
        <v>0</v>
      </c>
      <c r="R73" s="465">
        <f t="shared" si="92"/>
        <v>0</v>
      </c>
      <c r="S73" s="505"/>
      <c r="T73" s="465">
        <v>0</v>
      </c>
      <c r="U73" s="465">
        <v>0</v>
      </c>
      <c r="V73" s="465">
        <f t="shared" si="93"/>
        <v>0</v>
      </c>
      <c r="W73" s="505"/>
      <c r="X73" s="465">
        <v>0</v>
      </c>
      <c r="Y73" s="465">
        <v>0</v>
      </c>
      <c r="Z73" s="465">
        <f t="shared" si="94"/>
        <v>0</v>
      </c>
      <c r="AA73" s="505"/>
      <c r="AB73" s="465">
        <v>0</v>
      </c>
      <c r="AC73" s="465">
        <v>0</v>
      </c>
      <c r="AD73" s="465">
        <f t="shared" si="95"/>
        <v>0</v>
      </c>
      <c r="AE73" s="505"/>
      <c r="AF73" s="465">
        <v>0</v>
      </c>
      <c r="AG73" s="465">
        <v>0</v>
      </c>
      <c r="AH73" s="465">
        <f t="shared" si="96"/>
        <v>0</v>
      </c>
      <c r="AI73" s="505"/>
      <c r="AJ73" s="505">
        <v>0</v>
      </c>
      <c r="AK73" s="505">
        <v>0</v>
      </c>
      <c r="AL73" s="465">
        <f t="shared" si="97"/>
        <v>0</v>
      </c>
      <c r="AM73" s="505"/>
      <c r="AN73" s="465">
        <v>0</v>
      </c>
      <c r="AO73" s="465">
        <v>0</v>
      </c>
      <c r="AP73" s="465">
        <f t="shared" si="98"/>
        <v>0</v>
      </c>
      <c r="AQ73" s="505"/>
      <c r="AR73" s="465">
        <v>0</v>
      </c>
      <c r="AS73" s="465">
        <v>0</v>
      </c>
      <c r="AT73" s="465">
        <f t="shared" si="99"/>
        <v>0</v>
      </c>
      <c r="AU73" s="505"/>
      <c r="AV73" s="465">
        <v>0</v>
      </c>
      <c r="AW73" s="465">
        <v>0</v>
      </c>
      <c r="AX73" s="465">
        <f t="shared" si="100"/>
        <v>0</v>
      </c>
      <c r="AY73" s="505"/>
      <c r="AZ73" s="465">
        <v>0</v>
      </c>
      <c r="BA73" s="465">
        <v>0</v>
      </c>
      <c r="BB73" s="465">
        <f t="shared" si="101"/>
        <v>0</v>
      </c>
      <c r="BC73" s="505"/>
      <c r="BD73" s="465">
        <v>0</v>
      </c>
      <c r="BE73" s="465">
        <f>0</f>
        <v>0</v>
      </c>
      <c r="BF73" s="465">
        <f t="shared" si="102"/>
        <v>0</v>
      </c>
      <c r="BG73" s="505"/>
      <c r="BH73" s="465">
        <v>0</v>
      </c>
      <c r="BI73" s="465">
        <v>0</v>
      </c>
      <c r="BJ73" s="465">
        <f t="shared" si="103"/>
        <v>0</v>
      </c>
      <c r="BK73" s="505"/>
      <c r="BL73" s="465">
        <v>0</v>
      </c>
      <c r="BM73" s="465">
        <v>0</v>
      </c>
      <c r="BN73" s="465">
        <f t="shared" si="104"/>
        <v>0</v>
      </c>
      <c r="BO73" s="505"/>
      <c r="BP73" s="465">
        <v>0</v>
      </c>
      <c r="BQ73" s="465">
        <v>0</v>
      </c>
      <c r="BR73" s="465">
        <f t="shared" si="105"/>
        <v>0</v>
      </c>
      <c r="BS73" s="505"/>
      <c r="BT73" s="465">
        <v>0</v>
      </c>
      <c r="BU73" s="465">
        <v>0</v>
      </c>
      <c r="BV73" s="465">
        <f t="shared" si="106"/>
        <v>0</v>
      </c>
      <c r="BW73" s="505"/>
      <c r="BX73" s="465">
        <v>0</v>
      </c>
      <c r="BY73" s="465">
        <v>0</v>
      </c>
      <c r="BZ73" s="465">
        <f t="shared" si="107"/>
        <v>0</v>
      </c>
      <c r="CA73" s="505"/>
      <c r="CB73" s="465">
        <v>0</v>
      </c>
      <c r="CC73" s="465">
        <v>0</v>
      </c>
      <c r="CD73" s="465">
        <f t="shared" si="108"/>
        <v>0</v>
      </c>
      <c r="CE73" s="505"/>
      <c r="CF73" s="465">
        <f>140000000</f>
        <v>140000000</v>
      </c>
      <c r="CG73" s="465">
        <f>135082150+4917850</f>
        <v>140000000</v>
      </c>
      <c r="CH73" s="465">
        <f t="shared" si="109"/>
        <v>0</v>
      </c>
      <c r="CI73" s="505"/>
      <c r="CJ73" s="465">
        <v>20000000</v>
      </c>
      <c r="CK73" s="465">
        <f>19899250+100750</f>
        <v>20000000</v>
      </c>
      <c r="CL73" s="465">
        <f t="shared" si="110"/>
        <v>0</v>
      </c>
      <c r="CM73" s="505"/>
      <c r="CN73" s="465">
        <v>10000000</v>
      </c>
      <c r="CO73" s="465">
        <f>8211000</f>
        <v>8211000</v>
      </c>
      <c r="CP73" s="465">
        <f t="shared" si="111"/>
        <v>1789000</v>
      </c>
      <c r="CQ73" s="505"/>
      <c r="CR73" s="465">
        <v>40000000</v>
      </c>
      <c r="CS73" s="465">
        <f>14008145+9197380+10407600+6386875</f>
        <v>40000000</v>
      </c>
      <c r="CT73" s="465">
        <f t="shared" si="112"/>
        <v>0</v>
      </c>
      <c r="CU73" s="505"/>
      <c r="CV73" s="465">
        <v>150000000</v>
      </c>
      <c r="CW73" s="465">
        <f>71670508+59308400+13500000+5521092</f>
        <v>150000000</v>
      </c>
      <c r="CX73" s="465">
        <f t="shared" si="113"/>
        <v>0</v>
      </c>
      <c r="CY73" s="505"/>
      <c r="CZ73" s="465">
        <v>20000000</v>
      </c>
      <c r="DA73" s="465">
        <f>15887890.58+640000+2219640+1020000+232469.42</f>
        <v>20000000</v>
      </c>
      <c r="DB73" s="465">
        <f t="shared" si="114"/>
        <v>0</v>
      </c>
      <c r="DC73" s="465"/>
      <c r="DD73" s="465">
        <v>10000000</v>
      </c>
      <c r="DE73" s="465">
        <v>0</v>
      </c>
      <c r="DF73" s="465">
        <f t="shared" si="115"/>
        <v>10000000</v>
      </c>
      <c r="DG73" s="505"/>
      <c r="DH73" s="465">
        <v>50000000</v>
      </c>
      <c r="DI73" s="465">
        <f>10650917+9213798+12032616.5+3648200+14454468.5</f>
        <v>50000000</v>
      </c>
      <c r="DJ73" s="465">
        <f t="shared" si="116"/>
        <v>0</v>
      </c>
      <c r="DK73" s="505"/>
      <c r="DL73" s="465">
        <v>10000000</v>
      </c>
      <c r="DM73" s="465">
        <f>4921500+1912500</f>
        <v>6834000</v>
      </c>
      <c r="DN73" s="465">
        <f t="shared" si="117"/>
        <v>3166000</v>
      </c>
      <c r="DO73" s="505"/>
      <c r="DP73" s="465">
        <v>0</v>
      </c>
      <c r="DQ73" s="465">
        <v>0</v>
      </c>
      <c r="DR73" s="465">
        <f t="shared" si="118"/>
        <v>0</v>
      </c>
      <c r="DS73" s="465"/>
      <c r="DT73" s="465">
        <v>100000000</v>
      </c>
      <c r="DU73" s="465">
        <f>53878908+41100000+5021092</f>
        <v>100000000</v>
      </c>
      <c r="DV73" s="465">
        <f t="shared" si="119"/>
        <v>0</v>
      </c>
      <c r="DW73" s="465"/>
      <c r="DX73" s="465">
        <v>15000000</v>
      </c>
      <c r="DY73" s="465">
        <f>2394139.24+6759930.58</f>
        <v>9154069.8200000003</v>
      </c>
      <c r="DZ73" s="465">
        <f t="shared" si="120"/>
        <v>5845930.1799999997</v>
      </c>
      <c r="EA73" s="465"/>
      <c r="EB73" s="465">
        <v>10000000</v>
      </c>
      <c r="EC73" s="465">
        <v>0</v>
      </c>
      <c r="ED73" s="465">
        <f t="shared" si="121"/>
        <v>10000000</v>
      </c>
      <c r="EE73" s="465"/>
      <c r="EF73" s="465">
        <v>25000000</v>
      </c>
      <c r="EG73" s="465">
        <f>3040195+3490395.65+1617825</f>
        <v>8148415.6500000004</v>
      </c>
      <c r="EH73" s="465">
        <f t="shared" si="122"/>
        <v>16851584.350000001</v>
      </c>
      <c r="EI73" s="465"/>
      <c r="EJ73" s="465">
        <v>10000000</v>
      </c>
      <c r="EK73" s="465">
        <v>0</v>
      </c>
      <c r="EL73" s="465">
        <f t="shared" si="123"/>
        <v>10000000</v>
      </c>
      <c r="EM73" s="505"/>
      <c r="EN73" s="505">
        <v>300000000</v>
      </c>
      <c r="EO73" s="465">
        <f>42490843.2+66950690.75+8100000+79411833.65-24000000+59303280.4+67743352-10000000+10000000</f>
        <v>300000000</v>
      </c>
      <c r="EP73" s="465">
        <f t="shared" si="124"/>
        <v>0</v>
      </c>
      <c r="EQ73" s="505"/>
      <c r="ER73" s="505">
        <v>25000000</v>
      </c>
      <c r="ES73" s="465">
        <v>797452.83</v>
      </c>
      <c r="ET73" s="465">
        <f t="shared" si="125"/>
        <v>24202547.170000002</v>
      </c>
      <c r="EU73" s="505"/>
      <c r="EV73" s="505">
        <v>10000000</v>
      </c>
      <c r="EW73" s="465">
        <v>0</v>
      </c>
      <c r="EX73" s="465">
        <f t="shared" si="126"/>
        <v>10000000</v>
      </c>
      <c r="EY73" s="505"/>
      <c r="EZ73" s="505">
        <v>30000000</v>
      </c>
      <c r="FA73" s="467">
        <f>9885515+17164775+1601325</f>
        <v>28651615</v>
      </c>
      <c r="FB73" s="465">
        <f t="shared" si="127"/>
        <v>1348385</v>
      </c>
      <c r="FC73" s="505"/>
      <c r="FD73" s="505">
        <v>5000000</v>
      </c>
      <c r="FE73" s="465">
        <v>0</v>
      </c>
      <c r="FF73" s="465">
        <f t="shared" si="128"/>
        <v>5000000</v>
      </c>
      <c r="FG73" s="465"/>
      <c r="FH73" s="468">
        <v>120000000</v>
      </c>
      <c r="FI73" s="516">
        <f>5049607.59+21837500+15158000+4500000</f>
        <v>46545107.590000004</v>
      </c>
      <c r="FJ73" s="463">
        <f t="shared" si="89"/>
        <v>73454892.409999996</v>
      </c>
      <c r="FK73" s="468"/>
      <c r="FL73" s="468">
        <v>25000000</v>
      </c>
      <c r="FM73" s="468">
        <v>0</v>
      </c>
      <c r="FN73" s="468">
        <f t="shared" si="77"/>
        <v>25000000</v>
      </c>
      <c r="FO73" s="468"/>
      <c r="FP73" s="468">
        <v>5000000</v>
      </c>
      <c r="FQ73" s="468">
        <v>0</v>
      </c>
      <c r="FR73" s="468">
        <f t="shared" si="78"/>
        <v>5000000</v>
      </c>
      <c r="FS73" s="468"/>
      <c r="FT73" s="468">
        <v>30000000</v>
      </c>
      <c r="FU73" s="468">
        <v>0</v>
      </c>
      <c r="FV73" s="468">
        <f t="shared" si="79"/>
        <v>30000000</v>
      </c>
      <c r="FW73" s="468"/>
      <c r="FX73" s="468">
        <v>4150000</v>
      </c>
      <c r="FY73" s="468">
        <v>0</v>
      </c>
      <c r="FZ73" s="468">
        <v>4150000</v>
      </c>
      <c r="GA73" s="468"/>
      <c r="GB73" s="468">
        <v>160000000</v>
      </c>
      <c r="GC73" s="468">
        <v>0</v>
      </c>
      <c r="GD73" s="468">
        <f t="shared" si="85"/>
        <v>160000000</v>
      </c>
      <c r="GE73" s="468"/>
      <c r="GF73" s="468">
        <v>25000000</v>
      </c>
      <c r="GG73" s="468">
        <v>0</v>
      </c>
      <c r="GH73" s="468">
        <f t="shared" si="83"/>
        <v>25000000</v>
      </c>
      <c r="GI73" s="468"/>
      <c r="GJ73" s="468">
        <v>5000000</v>
      </c>
      <c r="GK73" s="468">
        <v>0</v>
      </c>
      <c r="GL73" s="468">
        <f t="shared" si="86"/>
        <v>5000000</v>
      </c>
      <c r="GM73" s="468"/>
      <c r="GN73" s="468">
        <v>20000000</v>
      </c>
      <c r="GO73" s="468">
        <v>0</v>
      </c>
      <c r="GP73" s="468">
        <f t="shared" si="87"/>
        <v>20000000</v>
      </c>
      <c r="GQ73" s="468"/>
      <c r="GR73" s="468">
        <v>5000000</v>
      </c>
      <c r="GS73" s="468">
        <v>0</v>
      </c>
      <c r="GT73" s="468">
        <f t="shared" si="84"/>
        <v>5000000</v>
      </c>
      <c r="GU73" s="468"/>
      <c r="GV73" s="465">
        <f t="shared" si="129"/>
        <v>1379150000</v>
      </c>
      <c r="GW73" s="465">
        <f t="shared" si="129"/>
        <v>928341660.8900001</v>
      </c>
      <c r="GX73" s="465">
        <f t="shared" si="130"/>
        <v>450808339.1099999</v>
      </c>
      <c r="GY73" s="470"/>
      <c r="GZ73" s="464"/>
      <c r="HA73" s="471">
        <f>D73+H73+L73+X73+AN73+BH73+CB73+CF73+CV73+DP73+DT73+EN73+FH73+GB73</f>
        <v>970000000</v>
      </c>
      <c r="HB73" s="471">
        <f>E73+I73+M73+Y73+AO73+BI73+CC73+CG73+CW73+DQ73+DU73+EO73+FI73+GC73</f>
        <v>736545107.59000003</v>
      </c>
      <c r="HC73" s="471">
        <f t="shared" si="131"/>
        <v>233454892.40999997</v>
      </c>
      <c r="HE73" s="471">
        <f>P73+AB73+AR73+
BL73+CJ73+CZ73+DX73+ER73+FL73+GF73</f>
        <v>130000000</v>
      </c>
      <c r="HF73" s="471">
        <f>Q73+AC73+AS73+
BM73+CK73+DA73+DY73+ES73+FM73+GG73</f>
        <v>49951522.649999999</v>
      </c>
      <c r="HG73" s="471">
        <f t="shared" si="132"/>
        <v>80048477.349999994</v>
      </c>
      <c r="HI73" s="471">
        <f>T73+AF73+AV73+BP73+CN73+DD73+EB73+EV73+FP73+GJ73</f>
        <v>50000000</v>
      </c>
      <c r="HJ73" s="471">
        <f>U73+AG73+AW73+BQ73+CO73+DE73+EC73+EW73+FQ73+GK73</f>
        <v>8211000</v>
      </c>
      <c r="HK73" s="471">
        <f t="shared" si="133"/>
        <v>41789000</v>
      </c>
      <c r="HM73" s="475">
        <f>AJ73+AZ73+BT73+CR73+DH73+EF73+EZ73+FT73+GN73</f>
        <v>195000000</v>
      </c>
      <c r="HN73" s="475">
        <f>AK73+BA73+BU73+CS73+DI73+EG73+FA73+FU73+GO73</f>
        <v>126800030.65000001</v>
      </c>
      <c r="HO73" s="475">
        <f t="shared" si="134"/>
        <v>68199969.349999994</v>
      </c>
      <c r="HP73" s="476"/>
      <c r="HR73" s="471">
        <f>BD73+BX73+DL73+EJ73+FD73+FX73+GR73</f>
        <v>34150000</v>
      </c>
      <c r="HS73" s="471">
        <f>BE73+BY73+DM73+EK73+FE73+FY73+GS73</f>
        <v>6834000</v>
      </c>
      <c r="HT73" s="471">
        <f t="shared" si="135"/>
        <v>27316000</v>
      </c>
    </row>
    <row r="74" spans="1:228" x14ac:dyDescent="0.25">
      <c r="A74" s="107">
        <v>68</v>
      </c>
      <c r="B74" s="515" t="s">
        <v>494</v>
      </c>
      <c r="C74" s="113" t="s">
        <v>76</v>
      </c>
      <c r="D74" s="505">
        <v>0</v>
      </c>
      <c r="E74" s="505">
        <v>0</v>
      </c>
      <c r="F74" s="465">
        <f t="shared" si="88"/>
        <v>0</v>
      </c>
      <c r="G74" s="505"/>
      <c r="H74" s="505">
        <v>0</v>
      </c>
      <c r="I74" s="505">
        <v>0</v>
      </c>
      <c r="J74" s="465">
        <f t="shared" si="90"/>
        <v>0</v>
      </c>
      <c r="K74" s="505"/>
      <c r="L74" s="505">
        <v>0</v>
      </c>
      <c r="M74" s="465">
        <v>0</v>
      </c>
      <c r="N74" s="465">
        <f t="shared" si="91"/>
        <v>0</v>
      </c>
      <c r="O74" s="505"/>
      <c r="P74" s="465">
        <v>0</v>
      </c>
      <c r="Q74" s="465">
        <v>0</v>
      </c>
      <c r="R74" s="465">
        <f t="shared" si="92"/>
        <v>0</v>
      </c>
      <c r="S74" s="505"/>
      <c r="T74" s="465">
        <v>0</v>
      </c>
      <c r="U74" s="465">
        <v>0</v>
      </c>
      <c r="V74" s="465">
        <f t="shared" si="93"/>
        <v>0</v>
      </c>
      <c r="W74" s="505"/>
      <c r="X74" s="465">
        <v>0</v>
      </c>
      <c r="Y74" s="465">
        <v>0</v>
      </c>
      <c r="Z74" s="465">
        <f t="shared" si="94"/>
        <v>0</v>
      </c>
      <c r="AA74" s="505"/>
      <c r="AB74" s="465">
        <v>0</v>
      </c>
      <c r="AC74" s="465">
        <v>0</v>
      </c>
      <c r="AD74" s="465">
        <f t="shared" si="95"/>
        <v>0</v>
      </c>
      <c r="AE74" s="505"/>
      <c r="AF74" s="465">
        <v>0</v>
      </c>
      <c r="AG74" s="465">
        <v>0</v>
      </c>
      <c r="AH74" s="465">
        <f t="shared" si="96"/>
        <v>0</v>
      </c>
      <c r="AI74" s="505"/>
      <c r="AJ74" s="505">
        <v>0</v>
      </c>
      <c r="AK74" s="505">
        <v>0</v>
      </c>
      <c r="AL74" s="465">
        <f t="shared" si="97"/>
        <v>0</v>
      </c>
      <c r="AM74" s="505"/>
      <c r="AN74" s="465">
        <v>0</v>
      </c>
      <c r="AO74" s="465">
        <v>0</v>
      </c>
      <c r="AP74" s="465">
        <f t="shared" si="98"/>
        <v>0</v>
      </c>
      <c r="AQ74" s="505"/>
      <c r="AR74" s="465">
        <v>0</v>
      </c>
      <c r="AS74" s="465">
        <v>0</v>
      </c>
      <c r="AT74" s="465">
        <f t="shared" si="99"/>
        <v>0</v>
      </c>
      <c r="AU74" s="505"/>
      <c r="AV74" s="465">
        <v>0</v>
      </c>
      <c r="AW74" s="465">
        <v>0</v>
      </c>
      <c r="AX74" s="465">
        <f t="shared" si="100"/>
        <v>0</v>
      </c>
      <c r="AY74" s="505"/>
      <c r="AZ74" s="465">
        <v>0</v>
      </c>
      <c r="BA74" s="465">
        <v>0</v>
      </c>
      <c r="BB74" s="465">
        <f t="shared" si="101"/>
        <v>0</v>
      </c>
      <c r="BC74" s="505"/>
      <c r="BD74" s="465">
        <v>0</v>
      </c>
      <c r="BE74" s="465">
        <f>0</f>
        <v>0</v>
      </c>
      <c r="BF74" s="465">
        <f t="shared" si="102"/>
        <v>0</v>
      </c>
      <c r="BG74" s="505"/>
      <c r="BH74" s="465">
        <v>0</v>
      </c>
      <c r="BI74" s="465">
        <v>0</v>
      </c>
      <c r="BJ74" s="465">
        <f t="shared" si="103"/>
        <v>0</v>
      </c>
      <c r="BK74" s="505"/>
      <c r="BL74" s="465">
        <v>0</v>
      </c>
      <c r="BM74" s="465">
        <v>0</v>
      </c>
      <c r="BN74" s="465">
        <f t="shared" si="104"/>
        <v>0</v>
      </c>
      <c r="BO74" s="505"/>
      <c r="BP74" s="465">
        <v>0</v>
      </c>
      <c r="BQ74" s="465">
        <v>0</v>
      </c>
      <c r="BR74" s="465">
        <f t="shared" si="105"/>
        <v>0</v>
      </c>
      <c r="BS74" s="505"/>
      <c r="BT74" s="465">
        <v>0</v>
      </c>
      <c r="BU74" s="465">
        <v>0</v>
      </c>
      <c r="BV74" s="465">
        <f t="shared" si="106"/>
        <v>0</v>
      </c>
      <c r="BW74" s="505"/>
      <c r="BX74" s="465">
        <v>0</v>
      </c>
      <c r="BY74" s="465">
        <v>0</v>
      </c>
      <c r="BZ74" s="465">
        <f t="shared" si="107"/>
        <v>0</v>
      </c>
      <c r="CA74" s="505"/>
      <c r="CB74" s="465">
        <v>0</v>
      </c>
      <c r="CC74" s="465">
        <v>0</v>
      </c>
      <c r="CD74" s="465">
        <f t="shared" si="108"/>
        <v>0</v>
      </c>
      <c r="CE74" s="505"/>
      <c r="CF74" s="465">
        <f>140000000</f>
        <v>140000000</v>
      </c>
      <c r="CG74" s="465">
        <f>105441675+8822000+25736325</f>
        <v>140000000</v>
      </c>
      <c r="CH74" s="465">
        <f t="shared" si="109"/>
        <v>0</v>
      </c>
      <c r="CI74" s="505"/>
      <c r="CJ74" s="465">
        <v>20000000</v>
      </c>
      <c r="CK74" s="465">
        <f>10554000+9446000</f>
        <v>20000000</v>
      </c>
      <c r="CL74" s="465">
        <f t="shared" si="110"/>
        <v>0</v>
      </c>
      <c r="CM74" s="505"/>
      <c r="CN74" s="465">
        <v>10000000</v>
      </c>
      <c r="CO74" s="465">
        <f>8500000+1500000</f>
        <v>10000000</v>
      </c>
      <c r="CP74" s="465">
        <f t="shared" si="111"/>
        <v>0</v>
      </c>
      <c r="CQ74" s="505"/>
      <c r="CR74" s="465">
        <v>40000000</v>
      </c>
      <c r="CS74" s="465">
        <f>20345269+11724195+11724195-11724195+6440660+1489876</f>
        <v>40000000</v>
      </c>
      <c r="CT74" s="465">
        <f t="shared" si="112"/>
        <v>0</v>
      </c>
      <c r="CU74" s="505"/>
      <c r="CV74" s="465">
        <v>150000000</v>
      </c>
      <c r="CW74" s="465">
        <f>18890495+102377670+28731835</f>
        <v>150000000</v>
      </c>
      <c r="CX74" s="465">
        <f t="shared" si="113"/>
        <v>0</v>
      </c>
      <c r="CY74" s="505"/>
      <c r="CZ74" s="465">
        <v>20000000</v>
      </c>
      <c r="DA74" s="465">
        <f>12800000+7200000</f>
        <v>20000000</v>
      </c>
      <c r="DB74" s="465">
        <f t="shared" si="114"/>
        <v>0</v>
      </c>
      <c r="DC74" s="465"/>
      <c r="DD74" s="465">
        <v>10000000</v>
      </c>
      <c r="DE74" s="465">
        <v>0</v>
      </c>
      <c r="DF74" s="465">
        <f t="shared" si="115"/>
        <v>10000000</v>
      </c>
      <c r="DG74" s="505"/>
      <c r="DH74" s="465">
        <v>50000000</v>
      </c>
      <c r="DI74" s="465">
        <f>14192242+9710262+10286792+11809382+1942922+2058400</f>
        <v>50000000</v>
      </c>
      <c r="DJ74" s="465">
        <f t="shared" si="116"/>
        <v>0</v>
      </c>
      <c r="DK74" s="505"/>
      <c r="DL74" s="465">
        <v>10000000</v>
      </c>
      <c r="DM74" s="465">
        <v>0</v>
      </c>
      <c r="DN74" s="465">
        <f t="shared" si="117"/>
        <v>10000000</v>
      </c>
      <c r="DO74" s="505"/>
      <c r="DP74" s="465">
        <v>0</v>
      </c>
      <c r="DQ74" s="465">
        <v>0</v>
      </c>
      <c r="DR74" s="465">
        <f t="shared" si="118"/>
        <v>0</v>
      </c>
      <c r="DS74" s="465"/>
      <c r="DT74" s="465">
        <v>100000000</v>
      </c>
      <c r="DU74" s="465">
        <f>26192665+9000000+42000000+22807335</f>
        <v>100000000</v>
      </c>
      <c r="DV74" s="465">
        <f t="shared" si="119"/>
        <v>0</v>
      </c>
      <c r="DW74" s="465"/>
      <c r="DX74" s="465">
        <v>15000000</v>
      </c>
      <c r="DY74" s="496">
        <f>2468400+11420730</f>
        <v>13889130</v>
      </c>
      <c r="DZ74" s="465">
        <f t="shared" si="120"/>
        <v>1110870</v>
      </c>
      <c r="EA74" s="465"/>
      <c r="EB74" s="465">
        <v>10000000</v>
      </c>
      <c r="EC74" s="465">
        <v>0</v>
      </c>
      <c r="ED74" s="465">
        <f t="shared" si="121"/>
        <v>10000000</v>
      </c>
      <c r="EE74" s="465"/>
      <c r="EF74" s="465">
        <v>25000000</v>
      </c>
      <c r="EG74" s="478">
        <f>717762+1604200+962100+4564860+6152700+10998378</f>
        <v>25000000</v>
      </c>
      <c r="EH74" s="465">
        <f t="shared" si="122"/>
        <v>0</v>
      </c>
      <c r="EI74" s="465"/>
      <c r="EJ74" s="465">
        <v>10000000</v>
      </c>
      <c r="EK74" s="465">
        <v>0</v>
      </c>
      <c r="EL74" s="465">
        <f t="shared" si="123"/>
        <v>10000000</v>
      </c>
      <c r="EM74" s="505"/>
      <c r="EN74" s="505">
        <v>300000000</v>
      </c>
      <c r="EO74" s="487">
        <f>67892665+89500000+35275603.85+51538737.3+55792993.85</f>
        <v>300000000</v>
      </c>
      <c r="EP74" s="465">
        <f t="shared" si="124"/>
        <v>0</v>
      </c>
      <c r="EQ74" s="505"/>
      <c r="ER74" s="505">
        <v>25000000</v>
      </c>
      <c r="ES74" s="465">
        <v>0</v>
      </c>
      <c r="ET74" s="465">
        <f t="shared" si="125"/>
        <v>25000000</v>
      </c>
      <c r="EU74" s="505"/>
      <c r="EV74" s="505">
        <v>10000000</v>
      </c>
      <c r="EW74" s="465">
        <v>0</v>
      </c>
      <c r="EX74" s="465">
        <f t="shared" si="126"/>
        <v>10000000</v>
      </c>
      <c r="EY74" s="505"/>
      <c r="EZ74" s="505">
        <v>30000000</v>
      </c>
      <c r="FA74" s="478">
        <f>21123885+8876115</f>
        <v>30000000</v>
      </c>
      <c r="FB74" s="465">
        <f t="shared" si="127"/>
        <v>0</v>
      </c>
      <c r="FC74" s="505"/>
      <c r="FD74" s="505">
        <v>5000000</v>
      </c>
      <c r="FE74" s="465">
        <v>0</v>
      </c>
      <c r="FF74" s="465">
        <f t="shared" si="128"/>
        <v>5000000</v>
      </c>
      <c r="FG74" s="465"/>
      <c r="FH74" s="468">
        <v>120000000</v>
      </c>
      <c r="FI74" s="481">
        <f>151009.95+5397255</f>
        <v>5548264.9500000002</v>
      </c>
      <c r="FJ74" s="463">
        <f t="shared" si="89"/>
        <v>114451735.05</v>
      </c>
      <c r="FK74" s="468"/>
      <c r="FL74" s="468">
        <v>25000000</v>
      </c>
      <c r="FM74" s="468">
        <v>0</v>
      </c>
      <c r="FN74" s="468">
        <f t="shared" si="77"/>
        <v>25000000</v>
      </c>
      <c r="FO74" s="468"/>
      <c r="FP74" s="468">
        <v>5000000</v>
      </c>
      <c r="FQ74" s="468">
        <v>0</v>
      </c>
      <c r="FR74" s="468">
        <f t="shared" si="78"/>
        <v>5000000</v>
      </c>
      <c r="FS74" s="468"/>
      <c r="FT74" s="468">
        <v>30000000</v>
      </c>
      <c r="FU74" s="490">
        <f>10506472</f>
        <v>10506472</v>
      </c>
      <c r="FV74" s="468">
        <f t="shared" si="79"/>
        <v>19493528</v>
      </c>
      <c r="FW74" s="468"/>
      <c r="FX74" s="468">
        <v>4150000</v>
      </c>
      <c r="FY74" s="468">
        <v>0</v>
      </c>
      <c r="FZ74" s="468">
        <v>4150000</v>
      </c>
      <c r="GA74" s="468"/>
      <c r="GB74" s="468">
        <v>160000000</v>
      </c>
      <c r="GC74" s="468">
        <v>0</v>
      </c>
      <c r="GD74" s="468">
        <f t="shared" si="85"/>
        <v>160000000</v>
      </c>
      <c r="GE74" s="468"/>
      <c r="GF74" s="468">
        <v>25000000</v>
      </c>
      <c r="GG74" s="468">
        <v>0</v>
      </c>
      <c r="GH74" s="468">
        <f t="shared" si="83"/>
        <v>25000000</v>
      </c>
      <c r="GI74" s="468"/>
      <c r="GJ74" s="468">
        <v>5000000</v>
      </c>
      <c r="GK74" s="468">
        <v>0</v>
      </c>
      <c r="GL74" s="468">
        <f t="shared" si="86"/>
        <v>5000000</v>
      </c>
      <c r="GM74" s="468"/>
      <c r="GN74" s="468">
        <v>20000000</v>
      </c>
      <c r="GO74" s="468">
        <v>0</v>
      </c>
      <c r="GP74" s="468">
        <f t="shared" si="87"/>
        <v>20000000</v>
      </c>
      <c r="GQ74" s="468"/>
      <c r="GR74" s="468">
        <v>5000000</v>
      </c>
      <c r="GS74" s="468">
        <v>0</v>
      </c>
      <c r="GT74" s="468">
        <f t="shared" si="84"/>
        <v>5000000</v>
      </c>
      <c r="GU74" s="468"/>
      <c r="GV74" s="465">
        <f t="shared" si="129"/>
        <v>1379150000</v>
      </c>
      <c r="GW74" s="465">
        <f t="shared" si="129"/>
        <v>914943866.95000005</v>
      </c>
      <c r="GX74" s="465">
        <f t="shared" si="130"/>
        <v>464206133.04999995</v>
      </c>
      <c r="GY74" s="470"/>
      <c r="GZ74" s="464"/>
      <c r="HA74" s="471">
        <f>D74+H74+L74+X74+AN74+BH74+CB74+CF74+CV74+DP74+DT74+EN74+FH74+GB74</f>
        <v>970000000</v>
      </c>
      <c r="HB74" s="471">
        <f>E74+I74+M74+Y74+AO74+BI74+CC74+CG74+CW74+DQ74+DU74+EO74+FI74+GC74</f>
        <v>695548264.95000005</v>
      </c>
      <c r="HC74" s="471">
        <f t="shared" si="131"/>
        <v>274451735.04999995</v>
      </c>
      <c r="HE74" s="471">
        <f>P74+AB74+AR74+
BL74+CJ74+CZ74+DX74+ER74+FL74+GF74</f>
        <v>130000000</v>
      </c>
      <c r="HF74" s="471">
        <f>Q74+AC74+AS74+
BM74+CK74+DA74+DY74+ES74+FM74+GG74</f>
        <v>53889130</v>
      </c>
      <c r="HG74" s="471">
        <f t="shared" si="132"/>
        <v>76110870</v>
      </c>
      <c r="HI74" s="471">
        <f>T74+AF74+AV74+BP74+CN74+DD74+EB74+EV74+FP74+GJ74</f>
        <v>50000000</v>
      </c>
      <c r="HJ74" s="471">
        <f>U74+AG74+AW74+BQ74+CO74+DE74+EC74+EW74+FQ74+GK74</f>
        <v>10000000</v>
      </c>
      <c r="HK74" s="471">
        <f t="shared" si="133"/>
        <v>40000000</v>
      </c>
      <c r="HM74" s="475">
        <f>AJ74+AZ74+BT74+CR74+DH74+EF74+EZ74+FT74+GN74</f>
        <v>195000000</v>
      </c>
      <c r="HN74" s="475">
        <f>AK74+BA74+BU74+CS74+DI74+EG74+FA74+FU74+GO74</f>
        <v>155506472</v>
      </c>
      <c r="HO74" s="475">
        <f t="shared" si="134"/>
        <v>39493528</v>
      </c>
      <c r="HP74" s="476"/>
      <c r="HR74" s="471">
        <f>BD74+BX74+DL74+EJ74+FD74+FX74+GR74</f>
        <v>34150000</v>
      </c>
      <c r="HS74" s="471">
        <f>BE74+BY74+DM74+EK74+FE74+FY74+GS74</f>
        <v>0</v>
      </c>
      <c r="HT74" s="471">
        <f t="shared" si="135"/>
        <v>34150000</v>
      </c>
    </row>
    <row r="75" spans="1:228" x14ac:dyDescent="0.25">
      <c r="A75" s="107">
        <v>69</v>
      </c>
      <c r="B75" s="515" t="s">
        <v>135</v>
      </c>
      <c r="C75" s="113" t="s">
        <v>65</v>
      </c>
      <c r="D75" s="505">
        <v>0</v>
      </c>
      <c r="E75" s="505">
        <v>0</v>
      </c>
      <c r="F75" s="465">
        <f t="shared" si="88"/>
        <v>0</v>
      </c>
      <c r="G75" s="505">
        <v>0</v>
      </c>
      <c r="H75" s="505">
        <v>0</v>
      </c>
      <c r="I75" s="505">
        <v>0</v>
      </c>
      <c r="J75" s="465">
        <f t="shared" si="90"/>
        <v>0</v>
      </c>
      <c r="K75" s="505">
        <v>0</v>
      </c>
      <c r="L75" s="505">
        <v>0</v>
      </c>
      <c r="M75" s="505">
        <v>0</v>
      </c>
      <c r="N75" s="465">
        <f t="shared" si="91"/>
        <v>0</v>
      </c>
      <c r="O75" s="505"/>
      <c r="P75" s="505">
        <v>0</v>
      </c>
      <c r="Q75" s="505">
        <v>0</v>
      </c>
      <c r="R75" s="465">
        <f t="shared" si="92"/>
        <v>0</v>
      </c>
      <c r="S75" s="505"/>
      <c r="T75" s="505">
        <v>0</v>
      </c>
      <c r="U75" s="505">
        <v>0</v>
      </c>
      <c r="V75" s="465">
        <f t="shared" si="93"/>
        <v>0</v>
      </c>
      <c r="W75" s="505"/>
      <c r="X75" s="505">
        <v>0</v>
      </c>
      <c r="Y75" s="505">
        <v>0</v>
      </c>
      <c r="Z75" s="465">
        <f t="shared" si="94"/>
        <v>0</v>
      </c>
      <c r="AA75" s="505">
        <v>0</v>
      </c>
      <c r="AB75" s="505">
        <v>0</v>
      </c>
      <c r="AC75" s="505">
        <v>0</v>
      </c>
      <c r="AD75" s="465">
        <f t="shared" si="95"/>
        <v>0</v>
      </c>
      <c r="AE75" s="505">
        <v>0</v>
      </c>
      <c r="AF75" s="505">
        <v>0</v>
      </c>
      <c r="AG75" s="505">
        <v>0</v>
      </c>
      <c r="AH75" s="465">
        <f t="shared" si="96"/>
        <v>0</v>
      </c>
      <c r="AI75" s="505">
        <v>0</v>
      </c>
      <c r="AJ75" s="505">
        <v>0</v>
      </c>
      <c r="AK75" s="505">
        <v>0</v>
      </c>
      <c r="AL75" s="465">
        <f t="shared" si="97"/>
        <v>0</v>
      </c>
      <c r="AM75" s="505"/>
      <c r="AN75" s="505">
        <v>0</v>
      </c>
      <c r="AO75" s="505">
        <v>0</v>
      </c>
      <c r="AP75" s="465">
        <f t="shared" si="98"/>
        <v>0</v>
      </c>
      <c r="AQ75" s="505">
        <v>0</v>
      </c>
      <c r="AR75" s="505">
        <v>0</v>
      </c>
      <c r="AS75" s="505">
        <v>0</v>
      </c>
      <c r="AT75" s="465">
        <f t="shared" si="99"/>
        <v>0</v>
      </c>
      <c r="AU75" s="505"/>
      <c r="AV75" s="505">
        <v>0</v>
      </c>
      <c r="AW75" s="505">
        <v>0</v>
      </c>
      <c r="AX75" s="465">
        <f t="shared" si="100"/>
        <v>0</v>
      </c>
      <c r="AY75" s="505">
        <v>0</v>
      </c>
      <c r="AZ75" s="505">
        <v>0</v>
      </c>
      <c r="BA75" s="505">
        <v>0</v>
      </c>
      <c r="BB75" s="465">
        <f t="shared" si="101"/>
        <v>0</v>
      </c>
      <c r="BC75" s="505">
        <v>0</v>
      </c>
      <c r="BD75" s="505">
        <v>0</v>
      </c>
      <c r="BE75" s="505">
        <v>0</v>
      </c>
      <c r="BF75" s="465">
        <f t="shared" si="102"/>
        <v>0</v>
      </c>
      <c r="BG75" s="505"/>
      <c r="BH75" s="505">
        <v>0</v>
      </c>
      <c r="BI75" s="491">
        <v>0</v>
      </c>
      <c r="BJ75" s="465">
        <f t="shared" si="103"/>
        <v>0</v>
      </c>
      <c r="BK75" s="505">
        <v>0</v>
      </c>
      <c r="BL75" s="505">
        <v>0</v>
      </c>
      <c r="BM75" s="505">
        <v>0</v>
      </c>
      <c r="BN75" s="465">
        <f t="shared" si="104"/>
        <v>0</v>
      </c>
      <c r="BO75" s="505"/>
      <c r="BP75" s="505">
        <v>0</v>
      </c>
      <c r="BQ75" s="505">
        <v>0</v>
      </c>
      <c r="BR75" s="465">
        <f t="shared" si="105"/>
        <v>0</v>
      </c>
      <c r="BS75" s="505"/>
      <c r="BT75" s="505">
        <v>0</v>
      </c>
      <c r="BU75" s="505">
        <v>0</v>
      </c>
      <c r="BV75" s="465">
        <f t="shared" si="106"/>
        <v>0</v>
      </c>
      <c r="BW75" s="505"/>
      <c r="BX75" s="505">
        <v>0</v>
      </c>
      <c r="BY75" s="505">
        <v>0</v>
      </c>
      <c r="BZ75" s="465">
        <f t="shared" si="107"/>
        <v>0</v>
      </c>
      <c r="CA75" s="505"/>
      <c r="CB75" s="505">
        <v>0</v>
      </c>
      <c r="CC75" s="505">
        <v>0</v>
      </c>
      <c r="CD75" s="465">
        <f t="shared" si="108"/>
        <v>0</v>
      </c>
      <c r="CE75" s="505"/>
      <c r="CF75" s="465">
        <f>140000000</f>
        <v>140000000</v>
      </c>
      <c r="CG75" s="465">
        <f>61001250+1048750+41044240+9776700+9826600+17302460</f>
        <v>140000000</v>
      </c>
      <c r="CH75" s="465">
        <f t="shared" si="109"/>
        <v>0</v>
      </c>
      <c r="CI75" s="505"/>
      <c r="CJ75" s="465">
        <v>20000000</v>
      </c>
      <c r="CK75" s="465">
        <f>300000+14100000+5600000</f>
        <v>20000000</v>
      </c>
      <c r="CL75" s="465">
        <f t="shared" si="110"/>
        <v>0</v>
      </c>
      <c r="CM75" s="505"/>
      <c r="CN75" s="465">
        <v>10000000</v>
      </c>
      <c r="CO75" s="505">
        <f>4250000+750000</f>
        <v>5000000</v>
      </c>
      <c r="CP75" s="465">
        <f t="shared" si="111"/>
        <v>5000000</v>
      </c>
      <c r="CQ75" s="505"/>
      <c r="CR75" s="465">
        <v>40000000</v>
      </c>
      <c r="CS75" s="465">
        <f>12920770+7938350+11896260+6879766+364854</f>
        <v>40000000</v>
      </c>
      <c r="CT75" s="465">
        <f t="shared" si="112"/>
        <v>0</v>
      </c>
      <c r="CU75" s="505"/>
      <c r="CV75" s="465">
        <v>150000000</v>
      </c>
      <c r="CW75" s="465">
        <v>150000000</v>
      </c>
      <c r="CX75" s="465">
        <f t="shared" si="113"/>
        <v>0</v>
      </c>
      <c r="CY75" s="505"/>
      <c r="CZ75" s="465">
        <v>20000000</v>
      </c>
      <c r="DA75" s="465">
        <f>8880000+11120000</f>
        <v>20000000</v>
      </c>
      <c r="DB75" s="465">
        <f t="shared" si="114"/>
        <v>0</v>
      </c>
      <c r="DC75" s="465"/>
      <c r="DD75" s="465">
        <v>10000000</v>
      </c>
      <c r="DE75" s="465">
        <v>0</v>
      </c>
      <c r="DF75" s="465">
        <f t="shared" si="115"/>
        <v>10000000</v>
      </c>
      <c r="DG75" s="505"/>
      <c r="DH75" s="465">
        <v>50000000</v>
      </c>
      <c r="DI75" s="484">
        <f>9210886+21374361+2853345</f>
        <v>33438592</v>
      </c>
      <c r="DJ75" s="465">
        <f t="shared" si="116"/>
        <v>16561408</v>
      </c>
      <c r="DK75" s="505"/>
      <c r="DL75" s="465">
        <v>10000000</v>
      </c>
      <c r="DM75" s="465">
        <v>7778184.25</v>
      </c>
      <c r="DN75" s="465">
        <f t="shared" si="117"/>
        <v>2221815.75</v>
      </c>
      <c r="DO75" s="505"/>
      <c r="DP75" s="465">
        <v>0</v>
      </c>
      <c r="DQ75" s="465">
        <v>0</v>
      </c>
      <c r="DR75" s="465">
        <f t="shared" si="118"/>
        <v>0</v>
      </c>
      <c r="DS75" s="465"/>
      <c r="DT75" s="465">
        <v>100000000</v>
      </c>
      <c r="DU75" s="465">
        <f>29033500+12697540+48300000</f>
        <v>90031040</v>
      </c>
      <c r="DV75" s="465">
        <f t="shared" si="119"/>
        <v>9968960</v>
      </c>
      <c r="DW75" s="465"/>
      <c r="DX75" s="465">
        <v>15000000</v>
      </c>
      <c r="DY75" s="465">
        <v>0</v>
      </c>
      <c r="DZ75" s="465">
        <f t="shared" si="120"/>
        <v>15000000</v>
      </c>
      <c r="EA75" s="465"/>
      <c r="EB75" s="465">
        <v>10000000</v>
      </c>
      <c r="EC75" s="465">
        <v>0</v>
      </c>
      <c r="ED75" s="465">
        <f t="shared" si="121"/>
        <v>10000000</v>
      </c>
      <c r="EE75" s="465"/>
      <c r="EF75" s="465">
        <v>25000000</v>
      </c>
      <c r="EG75" s="465">
        <v>17834235</v>
      </c>
      <c r="EH75" s="465">
        <f t="shared" si="122"/>
        <v>7165765</v>
      </c>
      <c r="EI75" s="465"/>
      <c r="EJ75" s="465">
        <v>10000000</v>
      </c>
      <c r="EK75" s="465">
        <v>0</v>
      </c>
      <c r="EL75" s="465">
        <f t="shared" si="123"/>
        <v>10000000</v>
      </c>
      <c r="EM75" s="505"/>
      <c r="EN75" s="505">
        <v>300000000</v>
      </c>
      <c r="EO75" s="484">
        <f>26378173.5+68364930</f>
        <v>94743103.5</v>
      </c>
      <c r="EP75" s="465">
        <f t="shared" si="124"/>
        <v>205256896.5</v>
      </c>
      <c r="EQ75" s="505"/>
      <c r="ER75" s="505">
        <v>25000000</v>
      </c>
      <c r="ES75" s="465">
        <v>0</v>
      </c>
      <c r="ET75" s="465">
        <f t="shared" si="125"/>
        <v>25000000</v>
      </c>
      <c r="EU75" s="505"/>
      <c r="EV75" s="505">
        <v>10000000</v>
      </c>
      <c r="EW75" s="465">
        <v>0</v>
      </c>
      <c r="EX75" s="465">
        <f t="shared" si="126"/>
        <v>10000000</v>
      </c>
      <c r="EY75" s="505"/>
      <c r="EZ75" s="505">
        <v>30000000</v>
      </c>
      <c r="FA75" s="465">
        <v>0</v>
      </c>
      <c r="FB75" s="465">
        <f t="shared" si="127"/>
        <v>30000000</v>
      </c>
      <c r="FC75" s="505"/>
      <c r="FD75" s="505">
        <v>5000000</v>
      </c>
      <c r="FE75" s="465">
        <v>0</v>
      </c>
      <c r="FF75" s="465">
        <f t="shared" si="128"/>
        <v>5000000</v>
      </c>
      <c r="FG75" s="465"/>
      <c r="FH75" s="468">
        <v>120000000</v>
      </c>
      <c r="FI75" s="463">
        <v>0</v>
      </c>
      <c r="FJ75" s="463">
        <f t="shared" si="89"/>
        <v>120000000</v>
      </c>
      <c r="FK75" s="468"/>
      <c r="FL75" s="468">
        <v>25000000</v>
      </c>
      <c r="FM75" s="468">
        <v>0</v>
      </c>
      <c r="FN75" s="468">
        <f t="shared" si="77"/>
        <v>25000000</v>
      </c>
      <c r="FO75" s="468"/>
      <c r="FP75" s="468">
        <v>5000000</v>
      </c>
      <c r="FQ75" s="468">
        <v>0</v>
      </c>
      <c r="FR75" s="468">
        <f t="shared" si="78"/>
        <v>5000000</v>
      </c>
      <c r="FS75" s="468"/>
      <c r="FT75" s="468">
        <v>30000000</v>
      </c>
      <c r="FU75" s="468">
        <v>0</v>
      </c>
      <c r="FV75" s="468">
        <f t="shared" si="79"/>
        <v>30000000</v>
      </c>
      <c r="FW75" s="468"/>
      <c r="FX75" s="468">
        <v>4150000</v>
      </c>
      <c r="FY75" s="468">
        <v>0</v>
      </c>
      <c r="FZ75" s="468">
        <v>4150000</v>
      </c>
      <c r="GA75" s="468"/>
      <c r="GB75" s="468">
        <v>160000000</v>
      </c>
      <c r="GC75" s="468">
        <v>0</v>
      </c>
      <c r="GD75" s="468">
        <f t="shared" si="85"/>
        <v>160000000</v>
      </c>
      <c r="GE75" s="468"/>
      <c r="GF75" s="468">
        <v>25000000</v>
      </c>
      <c r="GG75" s="468">
        <v>0</v>
      </c>
      <c r="GH75" s="468">
        <f t="shared" si="83"/>
        <v>25000000</v>
      </c>
      <c r="GI75" s="468"/>
      <c r="GJ75" s="468">
        <v>5000000</v>
      </c>
      <c r="GK75" s="468">
        <v>0</v>
      </c>
      <c r="GL75" s="468">
        <f t="shared" si="86"/>
        <v>5000000</v>
      </c>
      <c r="GM75" s="468"/>
      <c r="GN75" s="468">
        <v>20000000</v>
      </c>
      <c r="GO75" s="468">
        <v>0</v>
      </c>
      <c r="GP75" s="468">
        <f t="shared" si="87"/>
        <v>20000000</v>
      </c>
      <c r="GQ75" s="468"/>
      <c r="GR75" s="468">
        <v>5000000</v>
      </c>
      <c r="GS75" s="468">
        <v>0</v>
      </c>
      <c r="GT75" s="468">
        <f t="shared" si="84"/>
        <v>5000000</v>
      </c>
      <c r="GU75" s="468"/>
      <c r="GV75" s="465">
        <f t="shared" si="129"/>
        <v>1379150000</v>
      </c>
      <c r="GW75" s="465">
        <f t="shared" si="129"/>
        <v>618825154.75</v>
      </c>
      <c r="GX75" s="465">
        <f t="shared" si="130"/>
        <v>760324845.25</v>
      </c>
      <c r="GY75" s="470"/>
      <c r="GZ75" s="464"/>
      <c r="HA75" s="471">
        <f>D75+H75+L75+X75+AN75+BH75+CB75+CF75+CV75+DP75+DT75+EN75+FH75+GB75</f>
        <v>970000000</v>
      </c>
      <c r="HB75" s="471">
        <f>E75+I75+M75+Y75+AO75+BI75+CC75+CG75+CW75+DQ75+DU75+EO75+FI75+GC75</f>
        <v>474774143.5</v>
      </c>
      <c r="HC75" s="471">
        <f t="shared" si="131"/>
        <v>495225856.5</v>
      </c>
      <c r="HE75" s="471">
        <f>P75+AB75+AR75+
BL75+CJ75+CZ75+DX75+ER75+FL75+GF75</f>
        <v>130000000</v>
      </c>
      <c r="HF75" s="471">
        <f>Q75+AC75+AS75+
BM75+CK75+DA75+DY75+ES75+FM75+GG75</f>
        <v>40000000</v>
      </c>
      <c r="HG75" s="471">
        <f t="shared" si="132"/>
        <v>90000000</v>
      </c>
      <c r="HI75" s="471">
        <f>T75+AF75+AV75+BP75+CN75+DD75+EB75+EV75+FP75+GJ75</f>
        <v>50000000</v>
      </c>
      <c r="HJ75" s="471">
        <f>U75+AG75+AW75+BQ75+CO75+DE75+EC75+EW75+FQ75+GK75</f>
        <v>5000000</v>
      </c>
      <c r="HK75" s="471">
        <f t="shared" si="133"/>
        <v>45000000</v>
      </c>
      <c r="HM75" s="475">
        <f>AJ75+AZ75+BT75+CR75+DH75+EF75+EZ75+FT75+GN75</f>
        <v>195000000</v>
      </c>
      <c r="HN75" s="475">
        <f>AK75+BA75+BU75+CS75+DI75+EG75+FA75+FU75+GO75</f>
        <v>91272827</v>
      </c>
      <c r="HO75" s="475">
        <f t="shared" si="134"/>
        <v>103727173</v>
      </c>
      <c r="HP75" s="476"/>
      <c r="HR75" s="471">
        <f>BD75+BX75+DL75+EJ75+FD75+FX75+GR75</f>
        <v>34150000</v>
      </c>
      <c r="HS75" s="471">
        <f>BE75+BY75+DM75+EK75+FE75+FY75+GS75</f>
        <v>7778184.25</v>
      </c>
      <c r="HT75" s="471">
        <f t="shared" si="135"/>
        <v>26371815.75</v>
      </c>
    </row>
    <row r="76" spans="1:228" x14ac:dyDescent="0.25">
      <c r="A76" s="107">
        <v>70</v>
      </c>
      <c r="B76" s="515" t="s">
        <v>136</v>
      </c>
      <c r="C76" s="56" t="s">
        <v>63</v>
      </c>
      <c r="D76" s="505">
        <v>0</v>
      </c>
      <c r="E76" s="505">
        <v>0</v>
      </c>
      <c r="F76" s="465">
        <f t="shared" si="88"/>
        <v>0</v>
      </c>
      <c r="G76" s="505">
        <v>0</v>
      </c>
      <c r="H76" s="505">
        <v>0</v>
      </c>
      <c r="I76" s="505">
        <v>0</v>
      </c>
      <c r="J76" s="465">
        <f t="shared" si="90"/>
        <v>0</v>
      </c>
      <c r="K76" s="505">
        <v>0</v>
      </c>
      <c r="L76" s="505">
        <v>0</v>
      </c>
      <c r="M76" s="505">
        <v>0</v>
      </c>
      <c r="N76" s="465">
        <f t="shared" si="91"/>
        <v>0</v>
      </c>
      <c r="O76" s="505"/>
      <c r="P76" s="505">
        <v>0</v>
      </c>
      <c r="Q76" s="505">
        <v>0</v>
      </c>
      <c r="R76" s="465">
        <f t="shared" si="92"/>
        <v>0</v>
      </c>
      <c r="S76" s="505"/>
      <c r="T76" s="505">
        <v>0</v>
      </c>
      <c r="U76" s="505">
        <v>0</v>
      </c>
      <c r="V76" s="465">
        <f t="shared" si="93"/>
        <v>0</v>
      </c>
      <c r="W76" s="505"/>
      <c r="X76" s="505">
        <v>0</v>
      </c>
      <c r="Y76" s="505">
        <v>0</v>
      </c>
      <c r="Z76" s="465">
        <f t="shared" si="94"/>
        <v>0</v>
      </c>
      <c r="AA76" s="505">
        <v>0</v>
      </c>
      <c r="AB76" s="505">
        <v>0</v>
      </c>
      <c r="AC76" s="505">
        <v>0</v>
      </c>
      <c r="AD76" s="465">
        <f t="shared" si="95"/>
        <v>0</v>
      </c>
      <c r="AE76" s="505">
        <v>0</v>
      </c>
      <c r="AF76" s="505">
        <v>0</v>
      </c>
      <c r="AG76" s="505">
        <v>0</v>
      </c>
      <c r="AH76" s="465">
        <f t="shared" si="96"/>
        <v>0</v>
      </c>
      <c r="AI76" s="505">
        <v>0</v>
      </c>
      <c r="AJ76" s="505">
        <v>0</v>
      </c>
      <c r="AK76" s="505">
        <v>0</v>
      </c>
      <c r="AL76" s="465">
        <f t="shared" si="97"/>
        <v>0</v>
      </c>
      <c r="AM76" s="505"/>
      <c r="AN76" s="505">
        <v>0</v>
      </c>
      <c r="AO76" s="505">
        <v>0</v>
      </c>
      <c r="AP76" s="465">
        <f t="shared" si="98"/>
        <v>0</v>
      </c>
      <c r="AQ76" s="505">
        <v>0</v>
      </c>
      <c r="AR76" s="505">
        <v>0</v>
      </c>
      <c r="AS76" s="505">
        <v>0</v>
      </c>
      <c r="AT76" s="465">
        <f t="shared" si="99"/>
        <v>0</v>
      </c>
      <c r="AU76" s="505"/>
      <c r="AV76" s="505">
        <v>0</v>
      </c>
      <c r="AW76" s="505">
        <v>0</v>
      </c>
      <c r="AX76" s="465">
        <f t="shared" si="100"/>
        <v>0</v>
      </c>
      <c r="AY76" s="505">
        <v>0</v>
      </c>
      <c r="AZ76" s="505">
        <v>0</v>
      </c>
      <c r="BA76" s="505">
        <v>0</v>
      </c>
      <c r="BB76" s="465">
        <f t="shared" si="101"/>
        <v>0</v>
      </c>
      <c r="BC76" s="505">
        <v>0</v>
      </c>
      <c r="BD76" s="505">
        <v>0</v>
      </c>
      <c r="BE76" s="505">
        <v>0</v>
      </c>
      <c r="BF76" s="465">
        <f t="shared" si="102"/>
        <v>0</v>
      </c>
      <c r="BG76" s="505"/>
      <c r="BH76" s="505">
        <v>0</v>
      </c>
      <c r="BI76" s="491">
        <v>0</v>
      </c>
      <c r="BJ76" s="465">
        <f t="shared" si="103"/>
        <v>0</v>
      </c>
      <c r="BK76" s="505">
        <v>0</v>
      </c>
      <c r="BL76" s="505">
        <v>0</v>
      </c>
      <c r="BM76" s="505">
        <v>0</v>
      </c>
      <c r="BN76" s="465">
        <f t="shared" si="104"/>
        <v>0</v>
      </c>
      <c r="BO76" s="505"/>
      <c r="BP76" s="505">
        <v>0</v>
      </c>
      <c r="BQ76" s="505">
        <v>0</v>
      </c>
      <c r="BR76" s="465">
        <f t="shared" si="105"/>
        <v>0</v>
      </c>
      <c r="BS76" s="505"/>
      <c r="BT76" s="505">
        <v>0</v>
      </c>
      <c r="BU76" s="505">
        <v>0</v>
      </c>
      <c r="BV76" s="465">
        <f t="shared" si="106"/>
        <v>0</v>
      </c>
      <c r="BW76" s="505"/>
      <c r="BX76" s="505">
        <v>0</v>
      </c>
      <c r="BY76" s="505">
        <v>0</v>
      </c>
      <c r="BZ76" s="465">
        <f t="shared" si="107"/>
        <v>0</v>
      </c>
      <c r="CA76" s="505"/>
      <c r="CB76" s="505">
        <v>0</v>
      </c>
      <c r="CC76" s="505">
        <v>0</v>
      </c>
      <c r="CD76" s="465">
        <f t="shared" si="108"/>
        <v>0</v>
      </c>
      <c r="CE76" s="505"/>
      <c r="CF76" s="505">
        <v>0</v>
      </c>
      <c r="CG76" s="505">
        <v>0</v>
      </c>
      <c r="CH76" s="465">
        <f t="shared" si="109"/>
        <v>0</v>
      </c>
      <c r="CI76" s="505"/>
      <c r="CJ76" s="505">
        <v>0</v>
      </c>
      <c r="CK76" s="491">
        <v>0</v>
      </c>
      <c r="CL76" s="465">
        <f t="shared" si="110"/>
        <v>0</v>
      </c>
      <c r="CM76" s="505">
        <v>0</v>
      </c>
      <c r="CN76" s="505">
        <v>0</v>
      </c>
      <c r="CO76" s="505">
        <v>0</v>
      </c>
      <c r="CP76" s="465">
        <f t="shared" si="111"/>
        <v>0</v>
      </c>
      <c r="CQ76" s="505">
        <v>0</v>
      </c>
      <c r="CR76" s="505">
        <v>0</v>
      </c>
      <c r="CS76" s="491">
        <v>0</v>
      </c>
      <c r="CT76" s="465">
        <f t="shared" si="112"/>
        <v>0</v>
      </c>
      <c r="CU76" s="505"/>
      <c r="CV76" s="465">
        <v>150000000</v>
      </c>
      <c r="CW76" s="491">
        <f>32130000+86429200+9050000+6200000+5600000+3500000+7090800</f>
        <v>150000000</v>
      </c>
      <c r="CX76" s="465">
        <f t="shared" si="113"/>
        <v>0</v>
      </c>
      <c r="CY76" s="505"/>
      <c r="CZ76" s="465">
        <v>20000000</v>
      </c>
      <c r="DA76" s="465">
        <f>19380500+619500</f>
        <v>20000000</v>
      </c>
      <c r="DB76" s="465">
        <f t="shared" si="114"/>
        <v>0</v>
      </c>
      <c r="DC76" s="465"/>
      <c r="DD76" s="465">
        <v>10000000</v>
      </c>
      <c r="DE76" s="465">
        <v>0</v>
      </c>
      <c r="DF76" s="465">
        <f t="shared" si="115"/>
        <v>10000000</v>
      </c>
      <c r="DG76" s="505"/>
      <c r="DH76" s="465">
        <v>50000000</v>
      </c>
      <c r="DI76" s="465">
        <f>15990032+20273282+13475110+261576</f>
        <v>50000000</v>
      </c>
      <c r="DJ76" s="465">
        <f t="shared" si="116"/>
        <v>0</v>
      </c>
      <c r="DK76" s="505"/>
      <c r="DL76" s="465">
        <v>10000000</v>
      </c>
      <c r="DM76" s="465">
        <f>4114000+1266500+726000+1666000</f>
        <v>7772500</v>
      </c>
      <c r="DN76" s="465">
        <f t="shared" si="117"/>
        <v>2227500</v>
      </c>
      <c r="DO76" s="505">
        <v>0</v>
      </c>
      <c r="DP76" s="505">
        <v>0</v>
      </c>
      <c r="DQ76" s="505">
        <v>0</v>
      </c>
      <c r="DR76" s="465">
        <f t="shared" si="118"/>
        <v>0</v>
      </c>
      <c r="DS76" s="505"/>
      <c r="DT76" s="465">
        <v>100000000</v>
      </c>
      <c r="DU76" s="465">
        <f>29609200+12000000+53700000+4690800</f>
        <v>100000000</v>
      </c>
      <c r="DV76" s="465">
        <f t="shared" si="119"/>
        <v>0</v>
      </c>
      <c r="DW76" s="505"/>
      <c r="DX76" s="465">
        <v>15000000</v>
      </c>
      <c r="DY76" s="465">
        <v>15000000</v>
      </c>
      <c r="DZ76" s="465">
        <f t="shared" si="120"/>
        <v>0</v>
      </c>
      <c r="EA76" s="505"/>
      <c r="EB76" s="465">
        <v>10000000</v>
      </c>
      <c r="EC76" s="465">
        <v>0</v>
      </c>
      <c r="ED76" s="465">
        <f t="shared" si="121"/>
        <v>10000000</v>
      </c>
      <c r="EE76" s="505"/>
      <c r="EF76" s="465">
        <v>25000000</v>
      </c>
      <c r="EG76" s="465">
        <f>933189+6923660+4937440+12205711</f>
        <v>25000000</v>
      </c>
      <c r="EH76" s="465">
        <f t="shared" si="122"/>
        <v>0</v>
      </c>
      <c r="EI76" s="505"/>
      <c r="EJ76" s="505">
        <v>10000000</v>
      </c>
      <c r="EK76" s="505">
        <v>0</v>
      </c>
      <c r="EL76" s="465">
        <f t="shared" si="123"/>
        <v>10000000</v>
      </c>
      <c r="EM76" s="505"/>
      <c r="EN76" s="505">
        <v>300000000</v>
      </c>
      <c r="EO76" s="465">
        <f>6409200+39148805+97807538.9+89305389.5+35100000+32229066.6</f>
        <v>300000000</v>
      </c>
      <c r="EP76" s="465">
        <f t="shared" si="124"/>
        <v>0</v>
      </c>
      <c r="EQ76" s="505"/>
      <c r="ER76" s="505">
        <v>25000000</v>
      </c>
      <c r="ES76" s="484">
        <f>9741360+5182776+10075864</f>
        <v>25000000</v>
      </c>
      <c r="ET76" s="465">
        <f t="shared" si="125"/>
        <v>0</v>
      </c>
      <c r="EU76" s="505"/>
      <c r="EV76" s="505">
        <v>10000000</v>
      </c>
      <c r="EW76" s="465">
        <v>0</v>
      </c>
      <c r="EX76" s="465">
        <f t="shared" si="126"/>
        <v>10000000</v>
      </c>
      <c r="EY76" s="505"/>
      <c r="EZ76" s="505">
        <v>30000000</v>
      </c>
      <c r="FA76" s="465">
        <f>4365635.7+12336329.55</f>
        <v>16701965.25</v>
      </c>
      <c r="FB76" s="465">
        <f t="shared" si="127"/>
        <v>13298034.75</v>
      </c>
      <c r="FC76" s="505"/>
      <c r="FD76" s="505">
        <v>5000000</v>
      </c>
      <c r="FE76" s="465">
        <v>0</v>
      </c>
      <c r="FF76" s="465">
        <f t="shared" si="128"/>
        <v>5000000</v>
      </c>
      <c r="FG76" s="465"/>
      <c r="FH76" s="468">
        <v>120000000</v>
      </c>
      <c r="FI76" s="463">
        <f>31216341.35+3900000</f>
        <v>35116341.350000001</v>
      </c>
      <c r="FJ76" s="463">
        <f t="shared" si="89"/>
        <v>84883658.650000006</v>
      </c>
      <c r="FK76" s="468"/>
      <c r="FL76" s="468">
        <v>25000000</v>
      </c>
      <c r="FM76" s="469">
        <f>7336049</f>
        <v>7336049</v>
      </c>
      <c r="FN76" s="468">
        <f t="shared" si="77"/>
        <v>17663951</v>
      </c>
      <c r="FO76" s="468"/>
      <c r="FP76" s="468">
        <v>5000000</v>
      </c>
      <c r="FQ76" s="468">
        <v>0</v>
      </c>
      <c r="FR76" s="468">
        <f t="shared" si="78"/>
        <v>5000000</v>
      </c>
      <c r="FS76" s="468"/>
      <c r="FT76" s="468">
        <v>30000000</v>
      </c>
      <c r="FU76" s="468">
        <v>0</v>
      </c>
      <c r="FV76" s="468">
        <f t="shared" si="79"/>
        <v>30000000</v>
      </c>
      <c r="FW76" s="468"/>
      <c r="FX76" s="468">
        <v>4150000</v>
      </c>
      <c r="FY76" s="468">
        <v>0</v>
      </c>
      <c r="FZ76" s="468">
        <v>4150000</v>
      </c>
      <c r="GA76" s="468"/>
      <c r="GB76" s="468">
        <v>160000000</v>
      </c>
      <c r="GC76" s="468">
        <v>0</v>
      </c>
      <c r="GD76" s="468">
        <f t="shared" si="85"/>
        <v>160000000</v>
      </c>
      <c r="GE76" s="468"/>
      <c r="GF76" s="468">
        <v>25000000</v>
      </c>
      <c r="GG76" s="468">
        <v>0</v>
      </c>
      <c r="GH76" s="468">
        <f t="shared" si="83"/>
        <v>25000000</v>
      </c>
      <c r="GI76" s="468"/>
      <c r="GJ76" s="468">
        <v>5000000</v>
      </c>
      <c r="GK76" s="468">
        <v>0</v>
      </c>
      <c r="GL76" s="468">
        <f t="shared" si="86"/>
        <v>5000000</v>
      </c>
      <c r="GM76" s="468"/>
      <c r="GN76" s="468">
        <v>20000000</v>
      </c>
      <c r="GO76" s="468">
        <v>0</v>
      </c>
      <c r="GP76" s="468">
        <f t="shared" si="87"/>
        <v>20000000</v>
      </c>
      <c r="GQ76" s="468"/>
      <c r="GR76" s="468">
        <v>5000000</v>
      </c>
      <c r="GS76" s="468">
        <v>0</v>
      </c>
      <c r="GT76" s="468">
        <f t="shared" si="84"/>
        <v>5000000</v>
      </c>
      <c r="GU76" s="468"/>
      <c r="GV76" s="465">
        <f t="shared" si="129"/>
        <v>1169150000</v>
      </c>
      <c r="GW76" s="465">
        <f t="shared" si="129"/>
        <v>751926855.60000002</v>
      </c>
      <c r="GX76" s="465">
        <f t="shared" si="130"/>
        <v>417223144.39999998</v>
      </c>
      <c r="GY76" s="470"/>
      <c r="GZ76" s="464"/>
      <c r="HA76" s="471">
        <f>D76+H76+L76+X76+AN76+BH76+CB76+CF76+CV76+DP76+DT76+EN76+FH76+GB76</f>
        <v>830000000</v>
      </c>
      <c r="HB76" s="471">
        <f>E76+I76+M76+Y76+AO76+BI76+CC76+CG76+CW76+DQ76+DU76+EO76+FI76+GC76</f>
        <v>585116341.35000002</v>
      </c>
      <c r="HC76" s="471">
        <f t="shared" si="131"/>
        <v>244883658.64999998</v>
      </c>
      <c r="HE76" s="471">
        <f>P76+AB76+AR76+
BL76+CJ76+CZ76+DX76+ER76+FL76+GF76</f>
        <v>110000000</v>
      </c>
      <c r="HF76" s="471">
        <f>Q76+AC76+AS76+
BM76+CK76+DA76+DY76+ES76+FM76+GG76</f>
        <v>67336049</v>
      </c>
      <c r="HG76" s="471">
        <f t="shared" si="132"/>
        <v>42663951</v>
      </c>
      <c r="HI76" s="471">
        <f>T76+AF76+AV76+BP76+CN76+DD76+EB76+EV76+FP76+GJ76</f>
        <v>40000000</v>
      </c>
      <c r="HJ76" s="471">
        <f>U76+AG76+AW76+BQ76+CO76+DE76+EC76+EW76+FQ76+GK76</f>
        <v>0</v>
      </c>
      <c r="HK76" s="471">
        <f t="shared" si="133"/>
        <v>40000000</v>
      </c>
      <c r="HM76" s="475">
        <f>AJ76+AZ76+BT76+CR76+DH76+EF76+EZ76+FT76+GN76</f>
        <v>155000000</v>
      </c>
      <c r="HN76" s="475">
        <f>AK76+BA76+BU76+CS76+DI76+EG76+FA76+FU76+GO76</f>
        <v>91701965.25</v>
      </c>
      <c r="HO76" s="475">
        <f t="shared" si="134"/>
        <v>63298034.75</v>
      </c>
      <c r="HP76" s="476"/>
      <c r="HR76" s="471">
        <f>BD76+BX76+DL76+EJ76+FD76+FX76+GR76</f>
        <v>34150000</v>
      </c>
      <c r="HS76" s="471">
        <f>BE76+BY76+DM76+EK76+FE76+FY76+GS76</f>
        <v>7772500</v>
      </c>
      <c r="HT76" s="471">
        <f t="shared" si="135"/>
        <v>26377500</v>
      </c>
    </row>
    <row r="77" spans="1:228" x14ac:dyDescent="0.25">
      <c r="A77" s="107">
        <v>71</v>
      </c>
      <c r="B77" s="515" t="s">
        <v>137</v>
      </c>
      <c r="C77" s="512" t="s">
        <v>63</v>
      </c>
      <c r="D77" s="505">
        <v>0</v>
      </c>
      <c r="E77" s="505">
        <v>0</v>
      </c>
      <c r="F77" s="465">
        <f t="shared" si="88"/>
        <v>0</v>
      </c>
      <c r="G77" s="505">
        <v>0</v>
      </c>
      <c r="H77" s="505">
        <v>0</v>
      </c>
      <c r="I77" s="505">
        <v>0</v>
      </c>
      <c r="J77" s="465">
        <f t="shared" si="90"/>
        <v>0</v>
      </c>
      <c r="K77" s="505">
        <v>0</v>
      </c>
      <c r="L77" s="505">
        <v>0</v>
      </c>
      <c r="M77" s="505">
        <v>0</v>
      </c>
      <c r="N77" s="465">
        <f t="shared" si="91"/>
        <v>0</v>
      </c>
      <c r="O77" s="505"/>
      <c r="P77" s="505">
        <v>0</v>
      </c>
      <c r="Q77" s="505">
        <v>0</v>
      </c>
      <c r="R77" s="465">
        <f t="shared" si="92"/>
        <v>0</v>
      </c>
      <c r="S77" s="505"/>
      <c r="T77" s="505">
        <v>0</v>
      </c>
      <c r="U77" s="505">
        <v>0</v>
      </c>
      <c r="V77" s="465">
        <f t="shared" si="93"/>
        <v>0</v>
      </c>
      <c r="W77" s="505"/>
      <c r="X77" s="505">
        <v>0</v>
      </c>
      <c r="Y77" s="505">
        <v>0</v>
      </c>
      <c r="Z77" s="465">
        <f t="shared" si="94"/>
        <v>0</v>
      </c>
      <c r="AA77" s="505">
        <v>0</v>
      </c>
      <c r="AB77" s="505">
        <v>0</v>
      </c>
      <c r="AC77" s="505">
        <v>0</v>
      </c>
      <c r="AD77" s="465">
        <f t="shared" si="95"/>
        <v>0</v>
      </c>
      <c r="AE77" s="505">
        <v>0</v>
      </c>
      <c r="AF77" s="505">
        <v>0</v>
      </c>
      <c r="AG77" s="505">
        <v>0</v>
      </c>
      <c r="AH77" s="465">
        <f t="shared" si="96"/>
        <v>0</v>
      </c>
      <c r="AI77" s="505">
        <v>0</v>
      </c>
      <c r="AJ77" s="505">
        <v>0</v>
      </c>
      <c r="AK77" s="505">
        <v>0</v>
      </c>
      <c r="AL77" s="465">
        <f t="shared" si="97"/>
        <v>0</v>
      </c>
      <c r="AM77" s="505"/>
      <c r="AN77" s="505">
        <v>0</v>
      </c>
      <c r="AO77" s="505">
        <v>0</v>
      </c>
      <c r="AP77" s="465">
        <f t="shared" si="98"/>
        <v>0</v>
      </c>
      <c r="AQ77" s="505">
        <v>0</v>
      </c>
      <c r="AR77" s="505">
        <v>0</v>
      </c>
      <c r="AS77" s="505">
        <v>0</v>
      </c>
      <c r="AT77" s="465">
        <f t="shared" si="99"/>
        <v>0</v>
      </c>
      <c r="AU77" s="505"/>
      <c r="AV77" s="505">
        <v>0</v>
      </c>
      <c r="AW77" s="505">
        <v>0</v>
      </c>
      <c r="AX77" s="465">
        <f t="shared" si="100"/>
        <v>0</v>
      </c>
      <c r="AY77" s="505">
        <v>0</v>
      </c>
      <c r="AZ77" s="505">
        <v>0</v>
      </c>
      <c r="BA77" s="505">
        <v>0</v>
      </c>
      <c r="BB77" s="465">
        <f t="shared" si="101"/>
        <v>0</v>
      </c>
      <c r="BC77" s="505">
        <v>0</v>
      </c>
      <c r="BD77" s="505">
        <v>0</v>
      </c>
      <c r="BE77" s="505">
        <v>0</v>
      </c>
      <c r="BF77" s="465">
        <f t="shared" si="102"/>
        <v>0</v>
      </c>
      <c r="BG77" s="505"/>
      <c r="BH77" s="505">
        <v>0</v>
      </c>
      <c r="BI77" s="491">
        <v>0</v>
      </c>
      <c r="BJ77" s="465">
        <f t="shared" si="103"/>
        <v>0</v>
      </c>
      <c r="BK77" s="505">
        <v>0</v>
      </c>
      <c r="BL77" s="505">
        <v>0</v>
      </c>
      <c r="BM77" s="505">
        <v>0</v>
      </c>
      <c r="BN77" s="465">
        <f t="shared" si="104"/>
        <v>0</v>
      </c>
      <c r="BO77" s="505"/>
      <c r="BP77" s="505">
        <v>0</v>
      </c>
      <c r="BQ77" s="505">
        <v>0</v>
      </c>
      <c r="BR77" s="465">
        <f t="shared" si="105"/>
        <v>0</v>
      </c>
      <c r="BS77" s="505"/>
      <c r="BT77" s="505">
        <v>0</v>
      </c>
      <c r="BU77" s="505">
        <v>0</v>
      </c>
      <c r="BV77" s="465">
        <f t="shared" si="106"/>
        <v>0</v>
      </c>
      <c r="BW77" s="505"/>
      <c r="BX77" s="505">
        <v>0</v>
      </c>
      <c r="BY77" s="505">
        <v>0</v>
      </c>
      <c r="BZ77" s="465">
        <f t="shared" si="107"/>
        <v>0</v>
      </c>
      <c r="CA77" s="505"/>
      <c r="CB77" s="505">
        <v>0</v>
      </c>
      <c r="CC77" s="505">
        <v>0</v>
      </c>
      <c r="CD77" s="465">
        <f t="shared" si="108"/>
        <v>0</v>
      </c>
      <c r="CE77" s="505"/>
      <c r="CF77" s="505">
        <v>0</v>
      </c>
      <c r="CG77" s="505">
        <v>0</v>
      </c>
      <c r="CH77" s="465">
        <f t="shared" si="109"/>
        <v>0</v>
      </c>
      <c r="CI77" s="505"/>
      <c r="CJ77" s="505">
        <v>0</v>
      </c>
      <c r="CK77" s="491">
        <v>0</v>
      </c>
      <c r="CL77" s="465">
        <f t="shared" si="110"/>
        <v>0</v>
      </c>
      <c r="CM77" s="505">
        <v>0</v>
      </c>
      <c r="CN77" s="505">
        <v>0</v>
      </c>
      <c r="CO77" s="505">
        <v>0</v>
      </c>
      <c r="CP77" s="465">
        <f t="shared" si="111"/>
        <v>0</v>
      </c>
      <c r="CQ77" s="505">
        <v>0</v>
      </c>
      <c r="CR77" s="505">
        <v>0</v>
      </c>
      <c r="CS77" s="491">
        <v>0</v>
      </c>
      <c r="CT77" s="465">
        <f t="shared" si="112"/>
        <v>0</v>
      </c>
      <c r="CU77" s="505"/>
      <c r="CV77" s="465">
        <v>150000000</v>
      </c>
      <c r="CW77" s="491">
        <f>121500000+28500000</f>
        <v>150000000</v>
      </c>
      <c r="CX77" s="465">
        <f t="shared" si="113"/>
        <v>0</v>
      </c>
      <c r="CY77" s="505"/>
      <c r="CZ77" s="465">
        <v>20000000</v>
      </c>
      <c r="DA77" s="465">
        <f>17275440+2724560</f>
        <v>20000000</v>
      </c>
      <c r="DB77" s="465">
        <f t="shared" si="114"/>
        <v>0</v>
      </c>
      <c r="DC77" s="465"/>
      <c r="DD77" s="465">
        <v>10000000</v>
      </c>
      <c r="DE77" s="465">
        <v>0</v>
      </c>
      <c r="DF77" s="465">
        <f t="shared" si="115"/>
        <v>10000000</v>
      </c>
      <c r="DG77" s="505"/>
      <c r="DH77" s="465">
        <v>50000000</v>
      </c>
      <c r="DI77" s="467">
        <f>-3973000+3973000+204000+8229400+5690500+27153780.8+2317220+6405099.2</f>
        <v>50000000</v>
      </c>
      <c r="DJ77" s="465">
        <f t="shared" si="116"/>
        <v>0</v>
      </c>
      <c r="DK77" s="505"/>
      <c r="DL77" s="465">
        <v>10000000</v>
      </c>
      <c r="DM77" s="465">
        <f>8410750+1589250</f>
        <v>10000000</v>
      </c>
      <c r="DN77" s="465">
        <f t="shared" si="117"/>
        <v>0</v>
      </c>
      <c r="DO77" s="505">
        <v>0</v>
      </c>
      <c r="DP77" s="505">
        <v>0</v>
      </c>
      <c r="DQ77" s="505">
        <v>0</v>
      </c>
      <c r="DR77" s="465">
        <f t="shared" si="118"/>
        <v>0</v>
      </c>
      <c r="DS77" s="505"/>
      <c r="DT77" s="465">
        <v>100000000</v>
      </c>
      <c r="DU77" s="465">
        <f>1500000+51600000+20577380+8400000+17922620</f>
        <v>100000000</v>
      </c>
      <c r="DV77" s="465">
        <f t="shared" si="119"/>
        <v>0</v>
      </c>
      <c r="DW77" s="505"/>
      <c r="DX77" s="465">
        <v>15000000</v>
      </c>
      <c r="DY77" s="485">
        <f>75700+14924300</f>
        <v>15000000</v>
      </c>
      <c r="DZ77" s="465">
        <f t="shared" si="120"/>
        <v>0</v>
      </c>
      <c r="EA77" s="505"/>
      <c r="EB77" s="465">
        <v>10000000</v>
      </c>
      <c r="EC77" s="465">
        <v>0</v>
      </c>
      <c r="ED77" s="465">
        <f t="shared" si="121"/>
        <v>10000000</v>
      </c>
      <c r="EE77" s="505"/>
      <c r="EF77" s="465">
        <v>25000000</v>
      </c>
      <c r="EG77" s="467">
        <f>3442275+4941210.8</f>
        <v>8383485.7999999998</v>
      </c>
      <c r="EH77" s="465">
        <f t="shared" si="122"/>
        <v>16616514.199999999</v>
      </c>
      <c r="EI77" s="505"/>
      <c r="EJ77" s="505">
        <v>10000000</v>
      </c>
      <c r="EK77" s="517">
        <f>5984250+2820750+1195000</f>
        <v>10000000</v>
      </c>
      <c r="EL77" s="465">
        <f t="shared" si="123"/>
        <v>0</v>
      </c>
      <c r="EM77" s="505"/>
      <c r="EN77" s="505">
        <v>300000000</v>
      </c>
      <c r="EO77" s="467">
        <f>4500000+114366439.4+34500000+83137762.6+9000000</f>
        <v>245504202</v>
      </c>
      <c r="EP77" s="465">
        <f t="shared" si="124"/>
        <v>54495798</v>
      </c>
      <c r="EQ77" s="505"/>
      <c r="ER77" s="505">
        <v>25000000</v>
      </c>
      <c r="ES77" s="485">
        <f>2281783</f>
        <v>2281783</v>
      </c>
      <c r="ET77" s="465">
        <f t="shared" si="125"/>
        <v>22718217</v>
      </c>
      <c r="EU77" s="505"/>
      <c r="EV77" s="505">
        <v>10000000</v>
      </c>
      <c r="EW77" s="465">
        <v>0</v>
      </c>
      <c r="EX77" s="465">
        <f t="shared" si="126"/>
        <v>10000000</v>
      </c>
      <c r="EY77" s="505"/>
      <c r="EZ77" s="505">
        <v>30000000</v>
      </c>
      <c r="FA77" s="465">
        <v>0</v>
      </c>
      <c r="FB77" s="465">
        <f t="shared" si="127"/>
        <v>30000000</v>
      </c>
      <c r="FC77" s="505"/>
      <c r="FD77" s="505">
        <v>5000000</v>
      </c>
      <c r="FE77" s="487">
        <v>5000000</v>
      </c>
      <c r="FF77" s="465">
        <f t="shared" si="128"/>
        <v>0</v>
      </c>
      <c r="FG77" s="465"/>
      <c r="FH77" s="468">
        <v>120000000</v>
      </c>
      <c r="FI77" s="463">
        <v>0</v>
      </c>
      <c r="FJ77" s="463">
        <f t="shared" si="89"/>
        <v>120000000</v>
      </c>
      <c r="FK77" s="468"/>
      <c r="FL77" s="468">
        <v>25000000</v>
      </c>
      <c r="FM77" s="468">
        <v>0</v>
      </c>
      <c r="FN77" s="468">
        <f t="shared" si="77"/>
        <v>25000000</v>
      </c>
      <c r="FO77" s="468"/>
      <c r="FP77" s="468">
        <v>5000000</v>
      </c>
      <c r="FQ77" s="468">
        <v>0</v>
      </c>
      <c r="FR77" s="468">
        <f t="shared" si="78"/>
        <v>5000000</v>
      </c>
      <c r="FS77" s="468"/>
      <c r="FT77" s="468">
        <v>30000000</v>
      </c>
      <c r="FU77" s="468">
        <v>0</v>
      </c>
      <c r="FV77" s="468">
        <f t="shared" si="79"/>
        <v>30000000</v>
      </c>
      <c r="FW77" s="468"/>
      <c r="FX77" s="468">
        <v>4150000</v>
      </c>
      <c r="FY77" s="489">
        <f>801350+1445000</f>
        <v>2246350</v>
      </c>
      <c r="FZ77" s="468">
        <v>4150000</v>
      </c>
      <c r="GA77" s="468"/>
      <c r="GB77" s="468">
        <v>160000000</v>
      </c>
      <c r="GC77" s="468">
        <v>0</v>
      </c>
      <c r="GD77" s="468">
        <f t="shared" si="85"/>
        <v>160000000</v>
      </c>
      <c r="GE77" s="468"/>
      <c r="GF77" s="468">
        <v>25000000</v>
      </c>
      <c r="GG77" s="468">
        <v>0</v>
      </c>
      <c r="GH77" s="468">
        <f t="shared" si="83"/>
        <v>25000000</v>
      </c>
      <c r="GI77" s="468"/>
      <c r="GJ77" s="468">
        <v>5000000</v>
      </c>
      <c r="GK77" s="468">
        <v>0</v>
      </c>
      <c r="GL77" s="468">
        <f t="shared" si="86"/>
        <v>5000000</v>
      </c>
      <c r="GM77" s="468"/>
      <c r="GN77" s="468">
        <v>20000000</v>
      </c>
      <c r="GO77" s="468">
        <v>0</v>
      </c>
      <c r="GP77" s="468">
        <f t="shared" si="87"/>
        <v>20000000</v>
      </c>
      <c r="GQ77" s="468"/>
      <c r="GR77" s="468">
        <v>5000000</v>
      </c>
      <c r="GS77" s="468">
        <v>0</v>
      </c>
      <c r="GT77" s="468">
        <f t="shared" si="84"/>
        <v>5000000</v>
      </c>
      <c r="GU77" s="468"/>
      <c r="GV77" s="465">
        <f t="shared" si="129"/>
        <v>1169150000</v>
      </c>
      <c r="GW77" s="465">
        <f t="shared" si="129"/>
        <v>618415820.79999995</v>
      </c>
      <c r="GX77" s="465">
        <f t="shared" si="130"/>
        <v>550734179.20000005</v>
      </c>
      <c r="GY77" s="470"/>
      <c r="GZ77" s="464"/>
      <c r="HA77" s="471">
        <f>D77+H77+L77+X77+AN77+BH77+CB77+CF77+CV77+DP77+DT77+EN77+FH77+GB77</f>
        <v>830000000</v>
      </c>
      <c r="HB77" s="471">
        <f>E77+I77+M77+Y77+AO77+BI77+CC77+CG77+CW77+DQ77+DU77+EO77+FI77+GC77</f>
        <v>495504202</v>
      </c>
      <c r="HC77" s="471">
        <f t="shared" si="131"/>
        <v>334495798</v>
      </c>
      <c r="HE77" s="471">
        <f>P77+AB77+AR77+
BL77+CJ77+CZ77+DX77+ER77+FL77+GF77</f>
        <v>110000000</v>
      </c>
      <c r="HF77" s="471">
        <f>Q77+AC77+AS77+
BM77+CK77+DA77+DY77+ES77+FM77+GG77</f>
        <v>37281783</v>
      </c>
      <c r="HG77" s="471">
        <f t="shared" si="132"/>
        <v>72718217</v>
      </c>
      <c r="HI77" s="471">
        <f>T77+AF77+AV77+BP77+CN77+DD77+EB77+EV77+FP77+GJ77</f>
        <v>40000000</v>
      </c>
      <c r="HJ77" s="471">
        <f>U77+AG77+AW77+BQ77+CO77+DE77+EC77+EW77+FQ77+GK77</f>
        <v>0</v>
      </c>
      <c r="HK77" s="471">
        <f t="shared" si="133"/>
        <v>40000000</v>
      </c>
      <c r="HM77" s="475">
        <f>AJ77+AZ77+BT77+CR77+DH77+EF77+EZ77+FT77+GN77</f>
        <v>155000000</v>
      </c>
      <c r="HN77" s="475">
        <f>AK77+BA77+BU77+CS77+DI77+EG77+FA77+FU77+GO77</f>
        <v>58383485.799999997</v>
      </c>
      <c r="HO77" s="475">
        <f t="shared" si="134"/>
        <v>96616514.200000003</v>
      </c>
      <c r="HP77" s="476"/>
      <c r="HR77" s="471">
        <f>BD77+BX77+DL77+EJ77+FD77+FX77+GR77</f>
        <v>34150000</v>
      </c>
      <c r="HS77" s="471">
        <f>BE77+BY77+DM77+EK77+FE77+FY77+GS77</f>
        <v>27246350</v>
      </c>
      <c r="HT77" s="471">
        <f t="shared" si="135"/>
        <v>6903650</v>
      </c>
    </row>
    <row r="78" spans="1:228" x14ac:dyDescent="0.25">
      <c r="A78" s="107">
        <v>72</v>
      </c>
      <c r="B78" s="515" t="s">
        <v>138</v>
      </c>
      <c r="C78" s="512" t="s">
        <v>74</v>
      </c>
      <c r="D78" s="505">
        <v>0</v>
      </c>
      <c r="E78" s="505">
        <v>0</v>
      </c>
      <c r="F78" s="465">
        <f t="shared" si="88"/>
        <v>0</v>
      </c>
      <c r="G78" s="505">
        <v>0</v>
      </c>
      <c r="H78" s="505">
        <v>0</v>
      </c>
      <c r="I78" s="505">
        <v>0</v>
      </c>
      <c r="J78" s="465">
        <f t="shared" si="90"/>
        <v>0</v>
      </c>
      <c r="K78" s="505">
        <v>0</v>
      </c>
      <c r="L78" s="505">
        <v>0</v>
      </c>
      <c r="M78" s="505">
        <v>0</v>
      </c>
      <c r="N78" s="465">
        <f t="shared" si="91"/>
        <v>0</v>
      </c>
      <c r="O78" s="505"/>
      <c r="P78" s="505">
        <v>0</v>
      </c>
      <c r="Q78" s="505">
        <v>0</v>
      </c>
      <c r="R78" s="465">
        <f t="shared" si="92"/>
        <v>0</v>
      </c>
      <c r="S78" s="505"/>
      <c r="T78" s="505">
        <v>0</v>
      </c>
      <c r="U78" s="505">
        <v>0</v>
      </c>
      <c r="V78" s="465">
        <f t="shared" si="93"/>
        <v>0</v>
      </c>
      <c r="W78" s="505"/>
      <c r="X78" s="505">
        <v>0</v>
      </c>
      <c r="Y78" s="505">
        <v>0</v>
      </c>
      <c r="Z78" s="465">
        <f t="shared" si="94"/>
        <v>0</v>
      </c>
      <c r="AA78" s="505">
        <v>0</v>
      </c>
      <c r="AB78" s="505">
        <v>0</v>
      </c>
      <c r="AC78" s="505">
        <v>0</v>
      </c>
      <c r="AD78" s="465">
        <f t="shared" si="95"/>
        <v>0</v>
      </c>
      <c r="AE78" s="505">
        <v>0</v>
      </c>
      <c r="AF78" s="505">
        <v>0</v>
      </c>
      <c r="AG78" s="505">
        <v>0</v>
      </c>
      <c r="AH78" s="465">
        <f t="shared" si="96"/>
        <v>0</v>
      </c>
      <c r="AI78" s="505">
        <v>0</v>
      </c>
      <c r="AJ78" s="505">
        <v>0</v>
      </c>
      <c r="AK78" s="505">
        <v>0</v>
      </c>
      <c r="AL78" s="465">
        <f t="shared" si="97"/>
        <v>0</v>
      </c>
      <c r="AM78" s="505"/>
      <c r="AN78" s="505">
        <v>0</v>
      </c>
      <c r="AO78" s="505">
        <v>0</v>
      </c>
      <c r="AP78" s="465">
        <f t="shared" si="98"/>
        <v>0</v>
      </c>
      <c r="AQ78" s="505">
        <v>0</v>
      </c>
      <c r="AR78" s="505">
        <v>0</v>
      </c>
      <c r="AS78" s="505">
        <v>0</v>
      </c>
      <c r="AT78" s="465">
        <f t="shared" si="99"/>
        <v>0</v>
      </c>
      <c r="AU78" s="505"/>
      <c r="AV78" s="505">
        <v>0</v>
      </c>
      <c r="AW78" s="505">
        <v>0</v>
      </c>
      <c r="AX78" s="465">
        <f t="shared" si="100"/>
        <v>0</v>
      </c>
      <c r="AY78" s="505">
        <v>0</v>
      </c>
      <c r="AZ78" s="505">
        <v>0</v>
      </c>
      <c r="BA78" s="505">
        <v>0</v>
      </c>
      <c r="BB78" s="465">
        <f t="shared" si="101"/>
        <v>0</v>
      </c>
      <c r="BC78" s="505">
        <v>0</v>
      </c>
      <c r="BD78" s="505">
        <v>0</v>
      </c>
      <c r="BE78" s="505">
        <v>0</v>
      </c>
      <c r="BF78" s="465">
        <f t="shared" si="102"/>
        <v>0</v>
      </c>
      <c r="BG78" s="505"/>
      <c r="BH78" s="505">
        <v>0</v>
      </c>
      <c r="BI78" s="491">
        <v>0</v>
      </c>
      <c r="BJ78" s="465">
        <f t="shared" si="103"/>
        <v>0</v>
      </c>
      <c r="BK78" s="505">
        <v>0</v>
      </c>
      <c r="BL78" s="505">
        <v>0</v>
      </c>
      <c r="BM78" s="505">
        <v>0</v>
      </c>
      <c r="BN78" s="465">
        <f t="shared" si="104"/>
        <v>0</v>
      </c>
      <c r="BO78" s="505"/>
      <c r="BP78" s="505">
        <v>0</v>
      </c>
      <c r="BQ78" s="505">
        <v>0</v>
      </c>
      <c r="BR78" s="465">
        <f t="shared" si="105"/>
        <v>0</v>
      </c>
      <c r="BS78" s="505"/>
      <c r="BT78" s="505">
        <v>0</v>
      </c>
      <c r="BU78" s="505">
        <v>0</v>
      </c>
      <c r="BV78" s="465">
        <f t="shared" si="106"/>
        <v>0</v>
      </c>
      <c r="BW78" s="505"/>
      <c r="BX78" s="505">
        <v>0</v>
      </c>
      <c r="BY78" s="505">
        <v>0</v>
      </c>
      <c r="BZ78" s="465">
        <f t="shared" si="107"/>
        <v>0</v>
      </c>
      <c r="CA78" s="505"/>
      <c r="CB78" s="505">
        <v>0</v>
      </c>
      <c r="CC78" s="505">
        <v>0</v>
      </c>
      <c r="CD78" s="465">
        <f t="shared" si="108"/>
        <v>0</v>
      </c>
      <c r="CE78" s="505"/>
      <c r="CF78" s="505">
        <v>0</v>
      </c>
      <c r="CG78" s="505">
        <v>0</v>
      </c>
      <c r="CH78" s="465">
        <f t="shared" si="109"/>
        <v>0</v>
      </c>
      <c r="CI78" s="505"/>
      <c r="CJ78" s="505">
        <v>0</v>
      </c>
      <c r="CK78" s="491">
        <v>0</v>
      </c>
      <c r="CL78" s="465">
        <f t="shared" si="110"/>
        <v>0</v>
      </c>
      <c r="CM78" s="505">
        <v>0</v>
      </c>
      <c r="CN78" s="505">
        <v>0</v>
      </c>
      <c r="CO78" s="505">
        <v>0</v>
      </c>
      <c r="CP78" s="465">
        <f t="shared" si="111"/>
        <v>0</v>
      </c>
      <c r="CQ78" s="505">
        <v>0</v>
      </c>
      <c r="CR78" s="505">
        <v>0</v>
      </c>
      <c r="CS78" s="491">
        <v>0</v>
      </c>
      <c r="CT78" s="465">
        <f t="shared" si="112"/>
        <v>0</v>
      </c>
      <c r="CU78" s="505"/>
      <c r="CV78" s="465">
        <v>150000000</v>
      </c>
      <c r="CW78" s="491">
        <f>8933670+100268640+9014760+9000000+22782930</f>
        <v>150000000</v>
      </c>
      <c r="CX78" s="465">
        <f t="shared" si="113"/>
        <v>0</v>
      </c>
      <c r="CY78" s="505">
        <v>0</v>
      </c>
      <c r="CZ78" s="465">
        <v>20000000</v>
      </c>
      <c r="DA78" s="465">
        <f>17739720+2260280</f>
        <v>20000000</v>
      </c>
      <c r="DB78" s="465">
        <f t="shared" si="114"/>
        <v>0</v>
      </c>
      <c r="DC78" s="465"/>
      <c r="DD78" s="465">
        <v>10000000</v>
      </c>
      <c r="DE78" s="485">
        <f>4250000+4250000+750000+750000</f>
        <v>10000000</v>
      </c>
      <c r="DF78" s="465">
        <f t="shared" si="115"/>
        <v>0</v>
      </c>
      <c r="DG78" s="505"/>
      <c r="DH78" s="465">
        <v>50000000</v>
      </c>
      <c r="DI78" s="484">
        <f>657504+2237782+8486106+2238396+2571325+7184441+458400+153000+6974360+6496525+11678360+863801</f>
        <v>50000000</v>
      </c>
      <c r="DJ78" s="465">
        <f t="shared" si="116"/>
        <v>0</v>
      </c>
      <c r="DK78" s="505"/>
      <c r="DL78" s="465">
        <v>10000000</v>
      </c>
      <c r="DM78" s="465">
        <f>519588+91692+1145800</f>
        <v>1757080</v>
      </c>
      <c r="DN78" s="465">
        <f t="shared" si="117"/>
        <v>8242920</v>
      </c>
      <c r="DO78" s="505">
        <v>0</v>
      </c>
      <c r="DP78" s="505">
        <v>0</v>
      </c>
      <c r="DQ78" s="505">
        <v>0</v>
      </c>
      <c r="DR78" s="465">
        <f t="shared" si="118"/>
        <v>0</v>
      </c>
      <c r="DS78" s="505"/>
      <c r="DT78" s="465">
        <v>100000000</v>
      </c>
      <c r="DU78" s="465">
        <f>67100000+23169030+8000000+1730970</f>
        <v>100000000</v>
      </c>
      <c r="DV78" s="465">
        <f t="shared" si="119"/>
        <v>0</v>
      </c>
      <c r="DW78" s="505"/>
      <c r="DX78" s="465">
        <v>15000000</v>
      </c>
      <c r="DY78" s="465">
        <f>8094790+6905210</f>
        <v>15000000</v>
      </c>
      <c r="DZ78" s="465">
        <f t="shared" si="120"/>
        <v>0</v>
      </c>
      <c r="EA78" s="505"/>
      <c r="EB78" s="465">
        <v>10000000</v>
      </c>
      <c r="EC78" s="465">
        <v>0</v>
      </c>
      <c r="ED78" s="465">
        <f t="shared" si="121"/>
        <v>10000000</v>
      </c>
      <c r="EE78" s="505"/>
      <c r="EF78" s="465">
        <v>25000000</v>
      </c>
      <c r="EG78" s="484">
        <f>15377540+183600+9438860</f>
        <v>25000000</v>
      </c>
      <c r="EH78" s="465">
        <f t="shared" si="122"/>
        <v>0</v>
      </c>
      <c r="EI78" s="505"/>
      <c r="EJ78" s="505">
        <v>10000000</v>
      </c>
      <c r="EK78" s="505">
        <v>0</v>
      </c>
      <c r="EL78" s="465">
        <f t="shared" si="123"/>
        <v>10000000</v>
      </c>
      <c r="EM78" s="505"/>
      <c r="EN78" s="505">
        <v>300000000</v>
      </c>
      <c r="EO78" s="478">
        <f>9969030+132876750.8+8100000+26203715+60674680+15900000+22800000+9000000</f>
        <v>285524175.80000001</v>
      </c>
      <c r="EP78" s="465">
        <f t="shared" si="124"/>
        <v>14475824.199999988</v>
      </c>
      <c r="EQ78" s="505"/>
      <c r="ER78" s="505">
        <v>25000000</v>
      </c>
      <c r="ES78" s="465">
        <f>1336954+3430575.6+14311170</f>
        <v>19078699.600000001</v>
      </c>
      <c r="ET78" s="465">
        <f t="shared" si="125"/>
        <v>5921300.3999999985</v>
      </c>
      <c r="EU78" s="505"/>
      <c r="EV78" s="505">
        <v>10000000</v>
      </c>
      <c r="EW78" s="465">
        <v>0</v>
      </c>
      <c r="EX78" s="465">
        <f t="shared" si="126"/>
        <v>10000000</v>
      </c>
      <c r="EY78" s="505"/>
      <c r="EZ78" s="505">
        <v>30000000</v>
      </c>
      <c r="FA78" s="484">
        <f>8399305+6416939</f>
        <v>14816244</v>
      </c>
      <c r="FB78" s="465">
        <f t="shared" si="127"/>
        <v>15183756</v>
      </c>
      <c r="FC78" s="505"/>
      <c r="FD78" s="505">
        <v>5000000</v>
      </c>
      <c r="FE78" s="465">
        <v>0</v>
      </c>
      <c r="FF78" s="465">
        <f t="shared" si="128"/>
        <v>5000000</v>
      </c>
      <c r="FG78" s="465"/>
      <c r="FH78" s="468">
        <v>120000000</v>
      </c>
      <c r="FI78" s="463">
        <v>0</v>
      </c>
      <c r="FJ78" s="463">
        <f t="shared" si="89"/>
        <v>120000000</v>
      </c>
      <c r="FK78" s="468"/>
      <c r="FL78" s="468">
        <v>25000000</v>
      </c>
      <c r="FM78" s="468">
        <v>0</v>
      </c>
      <c r="FN78" s="468">
        <f t="shared" si="77"/>
        <v>25000000</v>
      </c>
      <c r="FO78" s="468"/>
      <c r="FP78" s="468">
        <v>5000000</v>
      </c>
      <c r="FQ78" s="468">
        <v>0</v>
      </c>
      <c r="FR78" s="468">
        <f t="shared" si="78"/>
        <v>5000000</v>
      </c>
      <c r="FS78" s="468"/>
      <c r="FT78" s="468">
        <v>30000000</v>
      </c>
      <c r="FU78" s="468">
        <v>0</v>
      </c>
      <c r="FV78" s="468">
        <f t="shared" si="79"/>
        <v>30000000</v>
      </c>
      <c r="FW78" s="468"/>
      <c r="FX78" s="468">
        <v>4150000</v>
      </c>
      <c r="FY78" s="468">
        <v>0</v>
      </c>
      <c r="FZ78" s="468">
        <v>4150000</v>
      </c>
      <c r="GA78" s="468"/>
      <c r="GB78" s="468">
        <v>160000000</v>
      </c>
      <c r="GC78" s="468">
        <v>0</v>
      </c>
      <c r="GD78" s="468">
        <f t="shared" si="85"/>
        <v>160000000</v>
      </c>
      <c r="GE78" s="468"/>
      <c r="GF78" s="468">
        <v>25000000</v>
      </c>
      <c r="GG78" s="468">
        <v>0</v>
      </c>
      <c r="GH78" s="468">
        <f t="shared" si="83"/>
        <v>25000000</v>
      </c>
      <c r="GI78" s="468"/>
      <c r="GJ78" s="468">
        <v>5000000</v>
      </c>
      <c r="GK78" s="468">
        <v>0</v>
      </c>
      <c r="GL78" s="468">
        <f t="shared" si="86"/>
        <v>5000000</v>
      </c>
      <c r="GM78" s="468"/>
      <c r="GN78" s="468">
        <v>20000000</v>
      </c>
      <c r="GO78" s="468">
        <v>0</v>
      </c>
      <c r="GP78" s="468">
        <f t="shared" si="87"/>
        <v>20000000</v>
      </c>
      <c r="GQ78" s="468"/>
      <c r="GR78" s="468">
        <v>5000000</v>
      </c>
      <c r="GS78" s="468">
        <v>0</v>
      </c>
      <c r="GT78" s="468">
        <f t="shared" si="84"/>
        <v>5000000</v>
      </c>
      <c r="GU78" s="468"/>
      <c r="GV78" s="465">
        <f t="shared" si="129"/>
        <v>1169150000</v>
      </c>
      <c r="GW78" s="465">
        <f t="shared" si="129"/>
        <v>691176199.39999998</v>
      </c>
      <c r="GX78" s="465">
        <f t="shared" si="130"/>
        <v>477973800.60000002</v>
      </c>
      <c r="GY78" s="470"/>
      <c r="GZ78" s="464"/>
      <c r="HA78" s="471">
        <f>D78+H78+L78+X78+AN78+BH78+CB78+CF78+CV78+DP78+DT78+EN78+FH78+GB78</f>
        <v>830000000</v>
      </c>
      <c r="HB78" s="471">
        <f>E78+I78+M78+Y78+AO78+BI78+CC78+CG78+CW78+DQ78+DU78+EO78+FI78+GC78</f>
        <v>535524175.80000001</v>
      </c>
      <c r="HC78" s="471">
        <f t="shared" si="131"/>
        <v>294475824.19999999</v>
      </c>
      <c r="HE78" s="471">
        <f>P78+AB78+AR78+
BL78+CJ78+CZ78+DX78+ER78+FL78+GF78</f>
        <v>110000000</v>
      </c>
      <c r="HF78" s="471">
        <f>Q78+AC78+AS78+
BM78+CK78+DA78+DY78+ES78+FM78+GG78</f>
        <v>54078699.600000001</v>
      </c>
      <c r="HG78" s="471">
        <f t="shared" si="132"/>
        <v>55921300.399999999</v>
      </c>
      <c r="HI78" s="471">
        <f>T78+AF78+AV78+BP78+CN78+DD78+EB78+EV78+FP78+GJ78</f>
        <v>40000000</v>
      </c>
      <c r="HJ78" s="471">
        <f>U78+AG78+AW78+BQ78+CO78+DE78+EC78+EW78+FQ78+GK78</f>
        <v>10000000</v>
      </c>
      <c r="HK78" s="471">
        <f t="shared" si="133"/>
        <v>30000000</v>
      </c>
      <c r="HM78" s="475">
        <f>AJ78+AZ78+BT78+CR78+DH78+EF78+EZ78+FT78+GN78</f>
        <v>155000000</v>
      </c>
      <c r="HN78" s="475">
        <f>AK78+BA78+BU78+CS78+DI78+EG78+FA78+FU78+GO78</f>
        <v>89816244</v>
      </c>
      <c r="HO78" s="475">
        <f t="shared" si="134"/>
        <v>65183756</v>
      </c>
      <c r="HP78" s="476"/>
      <c r="HR78" s="471">
        <f>BD78+BX78+DL78+EJ78+FD78+FX78+GR78</f>
        <v>34150000</v>
      </c>
      <c r="HS78" s="471">
        <f>BE78+BY78+DM78+EK78+FE78+FY78+GS78</f>
        <v>1757080</v>
      </c>
      <c r="HT78" s="471">
        <f t="shared" si="135"/>
        <v>32392920</v>
      </c>
    </row>
    <row r="79" spans="1:228" x14ac:dyDescent="0.25">
      <c r="A79" s="107">
        <v>73</v>
      </c>
      <c r="B79" s="515" t="s">
        <v>139</v>
      </c>
      <c r="C79" s="512" t="s">
        <v>63</v>
      </c>
      <c r="D79" s="505">
        <v>0</v>
      </c>
      <c r="E79" s="505">
        <v>0</v>
      </c>
      <c r="F79" s="465">
        <f t="shared" si="88"/>
        <v>0</v>
      </c>
      <c r="G79" s="505"/>
      <c r="H79" s="505">
        <v>0</v>
      </c>
      <c r="I79" s="505">
        <v>0</v>
      </c>
      <c r="J79" s="465">
        <f t="shared" si="90"/>
        <v>0</v>
      </c>
      <c r="K79" s="505">
        <v>0</v>
      </c>
      <c r="L79" s="505">
        <v>0</v>
      </c>
      <c r="M79" s="505">
        <v>0</v>
      </c>
      <c r="N79" s="465">
        <f t="shared" si="91"/>
        <v>0</v>
      </c>
      <c r="O79" s="505"/>
      <c r="P79" s="505">
        <v>0</v>
      </c>
      <c r="Q79" s="505">
        <v>0</v>
      </c>
      <c r="R79" s="465">
        <f t="shared" si="92"/>
        <v>0</v>
      </c>
      <c r="S79" s="505"/>
      <c r="T79" s="505">
        <v>0</v>
      </c>
      <c r="U79" s="505">
        <v>0</v>
      </c>
      <c r="V79" s="465">
        <f t="shared" si="93"/>
        <v>0</v>
      </c>
      <c r="W79" s="505"/>
      <c r="X79" s="505">
        <v>0</v>
      </c>
      <c r="Y79" s="505">
        <v>0</v>
      </c>
      <c r="Z79" s="465">
        <f t="shared" si="94"/>
        <v>0</v>
      </c>
      <c r="AA79" s="505">
        <v>0</v>
      </c>
      <c r="AB79" s="505">
        <v>0</v>
      </c>
      <c r="AC79" s="505">
        <v>0</v>
      </c>
      <c r="AD79" s="465">
        <f t="shared" si="95"/>
        <v>0</v>
      </c>
      <c r="AE79" s="505">
        <v>0</v>
      </c>
      <c r="AF79" s="505">
        <v>0</v>
      </c>
      <c r="AG79" s="505">
        <v>0</v>
      </c>
      <c r="AH79" s="465">
        <f t="shared" si="96"/>
        <v>0</v>
      </c>
      <c r="AI79" s="505">
        <v>0</v>
      </c>
      <c r="AJ79" s="505">
        <v>0</v>
      </c>
      <c r="AK79" s="505">
        <v>0</v>
      </c>
      <c r="AL79" s="465">
        <f t="shared" si="97"/>
        <v>0</v>
      </c>
      <c r="AM79" s="505"/>
      <c r="AN79" s="505">
        <v>0</v>
      </c>
      <c r="AO79" s="505">
        <v>0</v>
      </c>
      <c r="AP79" s="465">
        <f t="shared" si="98"/>
        <v>0</v>
      </c>
      <c r="AQ79" s="505">
        <v>0</v>
      </c>
      <c r="AR79" s="505">
        <v>0</v>
      </c>
      <c r="AS79" s="505">
        <v>0</v>
      </c>
      <c r="AT79" s="465">
        <f t="shared" si="99"/>
        <v>0</v>
      </c>
      <c r="AU79" s="505"/>
      <c r="AV79" s="505">
        <v>0</v>
      </c>
      <c r="AW79" s="505">
        <v>0</v>
      </c>
      <c r="AX79" s="465">
        <f t="shared" si="100"/>
        <v>0</v>
      </c>
      <c r="AY79" s="505">
        <v>0</v>
      </c>
      <c r="AZ79" s="505">
        <v>0</v>
      </c>
      <c r="BA79" s="505">
        <v>0</v>
      </c>
      <c r="BB79" s="465">
        <f t="shared" si="101"/>
        <v>0</v>
      </c>
      <c r="BC79" s="505">
        <v>0</v>
      </c>
      <c r="BD79" s="505">
        <v>0</v>
      </c>
      <c r="BE79" s="505">
        <v>0</v>
      </c>
      <c r="BF79" s="465">
        <f t="shared" si="102"/>
        <v>0</v>
      </c>
      <c r="BG79" s="505"/>
      <c r="BH79" s="505">
        <v>0</v>
      </c>
      <c r="BI79" s="491">
        <v>0</v>
      </c>
      <c r="BJ79" s="465">
        <f t="shared" si="103"/>
        <v>0</v>
      </c>
      <c r="BK79" s="505">
        <v>0</v>
      </c>
      <c r="BL79" s="505">
        <v>0</v>
      </c>
      <c r="BM79" s="505">
        <v>0</v>
      </c>
      <c r="BN79" s="465">
        <f t="shared" si="104"/>
        <v>0</v>
      </c>
      <c r="BO79" s="505"/>
      <c r="BP79" s="505">
        <v>0</v>
      </c>
      <c r="BQ79" s="505">
        <v>0</v>
      </c>
      <c r="BR79" s="465">
        <f t="shared" si="105"/>
        <v>0</v>
      </c>
      <c r="BS79" s="505"/>
      <c r="BT79" s="505">
        <v>0</v>
      </c>
      <c r="BU79" s="505">
        <v>0</v>
      </c>
      <c r="BV79" s="465">
        <f t="shared" si="106"/>
        <v>0</v>
      </c>
      <c r="BW79" s="505"/>
      <c r="BX79" s="505">
        <v>0</v>
      </c>
      <c r="BY79" s="505">
        <v>0</v>
      </c>
      <c r="BZ79" s="465">
        <f t="shared" si="107"/>
        <v>0</v>
      </c>
      <c r="CA79" s="505"/>
      <c r="CB79" s="505">
        <v>0</v>
      </c>
      <c r="CC79" s="505">
        <v>0</v>
      </c>
      <c r="CD79" s="465">
        <f t="shared" si="108"/>
        <v>0</v>
      </c>
      <c r="CE79" s="505"/>
      <c r="CF79" s="505">
        <v>0</v>
      </c>
      <c r="CG79" s="505"/>
      <c r="CH79" s="465">
        <f t="shared" si="109"/>
        <v>0</v>
      </c>
      <c r="CI79" s="505"/>
      <c r="CJ79" s="505">
        <v>0</v>
      </c>
      <c r="CK79" s="491">
        <v>0</v>
      </c>
      <c r="CL79" s="465">
        <f t="shared" si="110"/>
        <v>0</v>
      </c>
      <c r="CM79" s="505"/>
      <c r="CN79" s="505">
        <v>0</v>
      </c>
      <c r="CO79" s="505">
        <v>0</v>
      </c>
      <c r="CP79" s="465">
        <f t="shared" si="111"/>
        <v>0</v>
      </c>
      <c r="CQ79" s="505"/>
      <c r="CR79" s="505">
        <v>0</v>
      </c>
      <c r="CS79" s="491"/>
      <c r="CT79" s="465">
        <f t="shared" si="112"/>
        <v>0</v>
      </c>
      <c r="CU79" s="505"/>
      <c r="CV79" s="465">
        <v>150000000</v>
      </c>
      <c r="CW79" s="465">
        <f>121676125+25774000+2250000</f>
        <v>149700125</v>
      </c>
      <c r="CX79" s="465">
        <f t="shared" si="113"/>
        <v>299875</v>
      </c>
      <c r="CY79" s="505"/>
      <c r="CZ79" s="465">
        <v>20000000</v>
      </c>
      <c r="DA79" s="465">
        <v>19334090.59</v>
      </c>
      <c r="DB79" s="465">
        <f t="shared" si="114"/>
        <v>665909.41000000015</v>
      </c>
      <c r="DC79" s="465"/>
      <c r="DD79" s="465">
        <v>10000000</v>
      </c>
      <c r="DE79" s="465">
        <v>0</v>
      </c>
      <c r="DF79" s="465">
        <f t="shared" si="115"/>
        <v>10000000</v>
      </c>
      <c r="DG79" s="505"/>
      <c r="DH79" s="465">
        <v>50000000</v>
      </c>
      <c r="DI79" s="465">
        <f>1880560+24110260+4077644+1440200+12449226</f>
        <v>43957890</v>
      </c>
      <c r="DJ79" s="465">
        <f t="shared" si="116"/>
        <v>6042110</v>
      </c>
      <c r="DK79" s="505"/>
      <c r="DL79" s="465">
        <v>10000000</v>
      </c>
      <c r="DM79" s="465">
        <f>6697150</f>
        <v>6697150</v>
      </c>
      <c r="DN79" s="465">
        <f t="shared" si="117"/>
        <v>3302850</v>
      </c>
      <c r="DO79" s="505">
        <v>0</v>
      </c>
      <c r="DP79" s="505">
        <v>0</v>
      </c>
      <c r="DQ79" s="505">
        <v>0</v>
      </c>
      <c r="DR79" s="465">
        <f t="shared" si="118"/>
        <v>0</v>
      </c>
      <c r="DS79" s="505"/>
      <c r="DT79" s="465">
        <v>100000000</v>
      </c>
      <c r="DU79" s="465">
        <f>90203610+7050000+1500000+1246390</f>
        <v>100000000</v>
      </c>
      <c r="DV79" s="465">
        <f t="shared" si="119"/>
        <v>0</v>
      </c>
      <c r="DW79" s="505"/>
      <c r="DX79" s="465">
        <v>15000000</v>
      </c>
      <c r="DY79" s="465">
        <f>8740047+6259953</f>
        <v>15000000</v>
      </c>
      <c r="DZ79" s="465">
        <f t="shared" si="120"/>
        <v>0</v>
      </c>
      <c r="EA79" s="505"/>
      <c r="EB79" s="465">
        <v>10000000</v>
      </c>
      <c r="EC79" s="465">
        <v>0</v>
      </c>
      <c r="ED79" s="465">
        <f t="shared" si="121"/>
        <v>10000000</v>
      </c>
      <c r="EE79" s="505"/>
      <c r="EF79" s="465">
        <v>25000000</v>
      </c>
      <c r="EG79" s="465">
        <f>682400+23910820+406780</f>
        <v>25000000</v>
      </c>
      <c r="EH79" s="465">
        <f t="shared" si="122"/>
        <v>0</v>
      </c>
      <c r="EI79" s="505"/>
      <c r="EJ79" s="505">
        <v>10000000</v>
      </c>
      <c r="EK79" s="505">
        <v>0</v>
      </c>
      <c r="EL79" s="465">
        <f t="shared" si="123"/>
        <v>10000000</v>
      </c>
      <c r="EM79" s="505"/>
      <c r="EN79" s="505">
        <v>300000000</v>
      </c>
      <c r="EO79" s="465">
        <f>45853610+141353035.35+30357832.35+57610457.5</f>
        <v>275174935.19999999</v>
      </c>
      <c r="EP79" s="465">
        <f t="shared" si="124"/>
        <v>24825064.800000012</v>
      </c>
      <c r="EQ79" s="505"/>
      <c r="ER79" s="505">
        <v>25000000</v>
      </c>
      <c r="ES79" s="465">
        <f>4489704.54</f>
        <v>4489704.54</v>
      </c>
      <c r="ET79" s="465">
        <f t="shared" si="125"/>
        <v>20510295.460000001</v>
      </c>
      <c r="EU79" s="505"/>
      <c r="EV79" s="505">
        <v>10000000</v>
      </c>
      <c r="EW79" s="465">
        <v>0</v>
      </c>
      <c r="EX79" s="465">
        <f t="shared" si="126"/>
        <v>10000000</v>
      </c>
      <c r="EY79" s="505"/>
      <c r="EZ79" s="505">
        <v>30000000</v>
      </c>
      <c r="FA79" s="484">
        <f>14637540+10175785+5186675</f>
        <v>30000000</v>
      </c>
      <c r="FB79" s="465">
        <f t="shared" si="127"/>
        <v>0</v>
      </c>
      <c r="FC79" s="505"/>
      <c r="FD79" s="505">
        <v>5000000</v>
      </c>
      <c r="FE79" s="465">
        <v>0</v>
      </c>
      <c r="FF79" s="465">
        <f t="shared" si="128"/>
        <v>5000000</v>
      </c>
      <c r="FG79" s="465"/>
      <c r="FH79" s="468">
        <v>120000000</v>
      </c>
      <c r="FI79" s="463">
        <v>0</v>
      </c>
      <c r="FJ79" s="463">
        <f t="shared" si="89"/>
        <v>120000000</v>
      </c>
      <c r="FK79" s="468"/>
      <c r="FL79" s="468">
        <v>25000000</v>
      </c>
      <c r="FM79" s="468">
        <v>0</v>
      </c>
      <c r="FN79" s="468">
        <f t="shared" si="77"/>
        <v>25000000</v>
      </c>
      <c r="FO79" s="468"/>
      <c r="FP79" s="468">
        <v>5000000</v>
      </c>
      <c r="FQ79" s="468">
        <v>0</v>
      </c>
      <c r="FR79" s="468">
        <f t="shared" si="78"/>
        <v>5000000</v>
      </c>
      <c r="FS79" s="468"/>
      <c r="FT79" s="468">
        <v>30000000</v>
      </c>
      <c r="FU79" s="469">
        <f>5709868.9+14078620</f>
        <v>19788488.899999999</v>
      </c>
      <c r="FV79" s="468">
        <f t="shared" si="79"/>
        <v>10211511.100000001</v>
      </c>
      <c r="FW79" s="468"/>
      <c r="FX79" s="468">
        <v>4150000</v>
      </c>
      <c r="FY79" s="468">
        <v>0</v>
      </c>
      <c r="FZ79" s="468">
        <v>4150000</v>
      </c>
      <c r="GA79" s="468"/>
      <c r="GB79" s="468">
        <v>160000000</v>
      </c>
      <c r="GC79" s="468">
        <v>0</v>
      </c>
      <c r="GD79" s="468">
        <f t="shared" si="85"/>
        <v>160000000</v>
      </c>
      <c r="GE79" s="468"/>
      <c r="GF79" s="468">
        <v>25000000</v>
      </c>
      <c r="GG79" s="468">
        <v>0</v>
      </c>
      <c r="GH79" s="468">
        <f t="shared" si="83"/>
        <v>25000000</v>
      </c>
      <c r="GI79" s="468"/>
      <c r="GJ79" s="468">
        <v>5000000</v>
      </c>
      <c r="GK79" s="468">
        <v>0</v>
      </c>
      <c r="GL79" s="468">
        <f t="shared" si="86"/>
        <v>5000000</v>
      </c>
      <c r="GM79" s="468"/>
      <c r="GN79" s="468">
        <v>20000000</v>
      </c>
      <c r="GO79" s="468">
        <v>0</v>
      </c>
      <c r="GP79" s="468">
        <f t="shared" si="87"/>
        <v>20000000</v>
      </c>
      <c r="GQ79" s="468"/>
      <c r="GR79" s="468">
        <v>5000000</v>
      </c>
      <c r="GS79" s="468">
        <v>0</v>
      </c>
      <c r="GT79" s="468">
        <f t="shared" si="84"/>
        <v>5000000</v>
      </c>
      <c r="GU79" s="468"/>
      <c r="GV79" s="465">
        <f t="shared" si="129"/>
        <v>1169150000</v>
      </c>
      <c r="GW79" s="465">
        <f t="shared" si="129"/>
        <v>689142384.2299999</v>
      </c>
      <c r="GX79" s="465">
        <f t="shared" si="130"/>
        <v>480007615.7700001</v>
      </c>
      <c r="GY79" s="470"/>
      <c r="GZ79" s="464"/>
      <c r="HA79" s="471">
        <f>D79+H79+L79+X79+AN79+BH79+CB79+CF79+CV79+DP79+DT79+EN79+FH79+GB79</f>
        <v>830000000</v>
      </c>
      <c r="HB79" s="471">
        <f>E79+I79+M79+Y79+AO79+BI79+CC79+CG79+CW79+DQ79+DU79+EO79+FI79+GC79</f>
        <v>524875060.19999999</v>
      </c>
      <c r="HC79" s="471">
        <f t="shared" si="131"/>
        <v>305124939.80000001</v>
      </c>
      <c r="HE79" s="471">
        <f>P79+AB79+AR79+
BL79+CJ79+CZ79+DX79+ER79+FL79+GF79</f>
        <v>110000000</v>
      </c>
      <c r="HF79" s="471">
        <f>Q79+AC79+AS79+
BM79+CK79+DA79+DY79+ES79+FM79+GG79</f>
        <v>38823795.130000003</v>
      </c>
      <c r="HG79" s="471">
        <f t="shared" si="132"/>
        <v>71176204.870000005</v>
      </c>
      <c r="HI79" s="471">
        <f>T79+AF79+AV79+BP79+CN79+DD79+EB79+EV79+FP79+GJ79</f>
        <v>40000000</v>
      </c>
      <c r="HJ79" s="471">
        <f>U79+AG79+AW79+BQ79+CO79+DE79+EC79+EW79+FQ79+GK79</f>
        <v>0</v>
      </c>
      <c r="HK79" s="471">
        <f t="shared" si="133"/>
        <v>40000000</v>
      </c>
      <c r="HM79" s="475">
        <f>AJ79+AZ79+BT79+CR79+DH79+EF79+EZ79+FT79+GN79</f>
        <v>155000000</v>
      </c>
      <c r="HN79" s="475">
        <f>AK79+BA79+BU79+CS79+DI79+EG79+FA79+FU79+GO79</f>
        <v>118746378.90000001</v>
      </c>
      <c r="HO79" s="475">
        <f t="shared" si="134"/>
        <v>36253621.099999994</v>
      </c>
      <c r="HP79" s="476"/>
      <c r="HR79" s="471">
        <f>BD79+BX79+DL79+EJ79+FD79+FX79+GR79</f>
        <v>34150000</v>
      </c>
      <c r="HS79" s="471">
        <f>BE79+BY79+DM79+EK79+FE79+FY79+GS79</f>
        <v>6697150</v>
      </c>
      <c r="HT79" s="471">
        <f t="shared" si="135"/>
        <v>27452850</v>
      </c>
    </row>
    <row r="80" spans="1:228" x14ac:dyDescent="0.25">
      <c r="A80" s="107">
        <v>74</v>
      </c>
      <c r="B80" s="515" t="s">
        <v>495</v>
      </c>
      <c r="C80" s="512" t="s">
        <v>61</v>
      </c>
      <c r="D80" s="505">
        <v>0</v>
      </c>
      <c r="E80" s="505">
        <v>0</v>
      </c>
      <c r="F80" s="465">
        <f t="shared" si="88"/>
        <v>0</v>
      </c>
      <c r="G80" s="505"/>
      <c r="H80" s="505">
        <v>0</v>
      </c>
      <c r="I80" s="505">
        <v>0</v>
      </c>
      <c r="J80" s="465">
        <f t="shared" si="90"/>
        <v>0</v>
      </c>
      <c r="K80" s="505">
        <v>0</v>
      </c>
      <c r="L80" s="505">
        <v>0</v>
      </c>
      <c r="M80" s="505">
        <v>0</v>
      </c>
      <c r="N80" s="465">
        <f t="shared" si="91"/>
        <v>0</v>
      </c>
      <c r="O80" s="505"/>
      <c r="P80" s="505">
        <v>0</v>
      </c>
      <c r="Q80" s="505">
        <v>0</v>
      </c>
      <c r="R80" s="465">
        <f t="shared" si="92"/>
        <v>0</v>
      </c>
      <c r="S80" s="505"/>
      <c r="T80" s="505">
        <v>0</v>
      </c>
      <c r="U80" s="505">
        <v>0</v>
      </c>
      <c r="V80" s="465">
        <f t="shared" si="93"/>
        <v>0</v>
      </c>
      <c r="W80" s="505"/>
      <c r="X80" s="505">
        <v>0</v>
      </c>
      <c r="Y80" s="505">
        <v>0</v>
      </c>
      <c r="Z80" s="465">
        <f t="shared" si="94"/>
        <v>0</v>
      </c>
      <c r="AA80" s="505">
        <v>0</v>
      </c>
      <c r="AB80" s="505">
        <v>0</v>
      </c>
      <c r="AC80" s="505">
        <v>0</v>
      </c>
      <c r="AD80" s="465">
        <f t="shared" si="95"/>
        <v>0</v>
      </c>
      <c r="AE80" s="505">
        <v>0</v>
      </c>
      <c r="AF80" s="505">
        <v>0</v>
      </c>
      <c r="AG80" s="505">
        <v>0</v>
      </c>
      <c r="AH80" s="465">
        <f t="shared" si="96"/>
        <v>0</v>
      </c>
      <c r="AI80" s="505">
        <v>0</v>
      </c>
      <c r="AJ80" s="505">
        <v>0</v>
      </c>
      <c r="AK80" s="505">
        <v>0</v>
      </c>
      <c r="AL80" s="465">
        <f t="shared" si="97"/>
        <v>0</v>
      </c>
      <c r="AM80" s="505"/>
      <c r="AN80" s="505">
        <v>0</v>
      </c>
      <c r="AO80" s="505">
        <v>0</v>
      </c>
      <c r="AP80" s="465">
        <f t="shared" si="98"/>
        <v>0</v>
      </c>
      <c r="AQ80" s="505">
        <v>0</v>
      </c>
      <c r="AR80" s="505">
        <v>0</v>
      </c>
      <c r="AS80" s="505">
        <v>0</v>
      </c>
      <c r="AT80" s="465">
        <f t="shared" si="99"/>
        <v>0</v>
      </c>
      <c r="AU80" s="505"/>
      <c r="AV80" s="505">
        <v>0</v>
      </c>
      <c r="AW80" s="505">
        <v>0</v>
      </c>
      <c r="AX80" s="465">
        <f t="shared" si="100"/>
        <v>0</v>
      </c>
      <c r="AY80" s="505">
        <v>0</v>
      </c>
      <c r="AZ80" s="505">
        <v>0</v>
      </c>
      <c r="BA80" s="505">
        <v>0</v>
      </c>
      <c r="BB80" s="465">
        <f t="shared" si="101"/>
        <v>0</v>
      </c>
      <c r="BC80" s="505">
        <v>0</v>
      </c>
      <c r="BD80" s="505">
        <v>0</v>
      </c>
      <c r="BE80" s="505">
        <v>0</v>
      </c>
      <c r="BF80" s="465">
        <f t="shared" si="102"/>
        <v>0</v>
      </c>
      <c r="BG80" s="505"/>
      <c r="BH80" s="505">
        <v>0</v>
      </c>
      <c r="BI80" s="491">
        <v>0</v>
      </c>
      <c r="BJ80" s="465">
        <f t="shared" si="103"/>
        <v>0</v>
      </c>
      <c r="BK80" s="505">
        <v>0</v>
      </c>
      <c r="BL80" s="505">
        <v>0</v>
      </c>
      <c r="BM80" s="505">
        <v>0</v>
      </c>
      <c r="BN80" s="465">
        <f t="shared" si="104"/>
        <v>0</v>
      </c>
      <c r="BO80" s="505"/>
      <c r="BP80" s="505">
        <v>0</v>
      </c>
      <c r="BQ80" s="505">
        <v>0</v>
      </c>
      <c r="BR80" s="465">
        <f t="shared" si="105"/>
        <v>0</v>
      </c>
      <c r="BS80" s="505"/>
      <c r="BT80" s="505">
        <v>0</v>
      </c>
      <c r="BU80" s="505">
        <v>0</v>
      </c>
      <c r="BV80" s="465">
        <f t="shared" si="106"/>
        <v>0</v>
      </c>
      <c r="BW80" s="505"/>
      <c r="BX80" s="505">
        <v>0</v>
      </c>
      <c r="BY80" s="505">
        <v>0</v>
      </c>
      <c r="BZ80" s="465">
        <f t="shared" si="107"/>
        <v>0</v>
      </c>
      <c r="CA80" s="505"/>
      <c r="CB80" s="505">
        <v>0</v>
      </c>
      <c r="CC80" s="505">
        <v>0</v>
      </c>
      <c r="CD80" s="465">
        <f t="shared" si="108"/>
        <v>0</v>
      </c>
      <c r="CE80" s="505"/>
      <c r="CF80" s="465">
        <f>140000000</f>
        <v>140000000</v>
      </c>
      <c r="CG80" s="465">
        <f>139305475+694525</f>
        <v>140000000</v>
      </c>
      <c r="CH80" s="465">
        <f t="shared" si="109"/>
        <v>0</v>
      </c>
      <c r="CI80" s="465"/>
      <c r="CJ80" s="465">
        <v>20000000</v>
      </c>
      <c r="CK80" s="465">
        <v>2000000</v>
      </c>
      <c r="CL80" s="465">
        <f t="shared" si="110"/>
        <v>18000000</v>
      </c>
      <c r="CM80" s="465"/>
      <c r="CN80" s="465">
        <v>10000000</v>
      </c>
      <c r="CO80" s="465">
        <v>0</v>
      </c>
      <c r="CP80" s="465">
        <f t="shared" si="111"/>
        <v>10000000</v>
      </c>
      <c r="CQ80" s="465"/>
      <c r="CR80" s="465">
        <v>40000000</v>
      </c>
      <c r="CS80" s="465">
        <f>2552234+2437244+26307565+8702957</f>
        <v>40000000</v>
      </c>
      <c r="CT80" s="465">
        <f t="shared" si="112"/>
        <v>0</v>
      </c>
      <c r="CU80" s="465"/>
      <c r="CV80" s="465">
        <v>150000000</v>
      </c>
      <c r="CW80" s="465">
        <f>118067475+30000000+1932525</f>
        <v>150000000</v>
      </c>
      <c r="CX80" s="465">
        <f t="shared" si="113"/>
        <v>0</v>
      </c>
      <c r="CY80" s="505"/>
      <c r="CZ80" s="465">
        <v>20000000</v>
      </c>
      <c r="DA80" s="465">
        <v>5664771</v>
      </c>
      <c r="DB80" s="465">
        <f t="shared" si="114"/>
        <v>14335229</v>
      </c>
      <c r="DC80" s="465"/>
      <c r="DD80" s="465">
        <v>10000000</v>
      </c>
      <c r="DE80" s="465">
        <v>0</v>
      </c>
      <c r="DF80" s="465">
        <f t="shared" si="115"/>
        <v>10000000</v>
      </c>
      <c r="DG80" s="505"/>
      <c r="DH80" s="465">
        <v>50000000</v>
      </c>
      <c r="DI80" s="478">
        <f>5729533+23461210</f>
        <v>29190743</v>
      </c>
      <c r="DJ80" s="465">
        <f t="shared" si="116"/>
        <v>20809257</v>
      </c>
      <c r="DK80" s="505"/>
      <c r="DL80" s="465">
        <v>10000000</v>
      </c>
      <c r="DM80" s="465">
        <v>0</v>
      </c>
      <c r="DN80" s="465">
        <f t="shared" si="117"/>
        <v>10000000</v>
      </c>
      <c r="DO80" s="505">
        <v>0</v>
      </c>
      <c r="DP80" s="505">
        <v>0</v>
      </c>
      <c r="DQ80" s="505">
        <v>0</v>
      </c>
      <c r="DR80" s="465">
        <f t="shared" si="118"/>
        <v>0</v>
      </c>
      <c r="DS80" s="505"/>
      <c r="DT80" s="465">
        <v>100000000</v>
      </c>
      <c r="DU80" s="483">
        <f>2567475+15300000+15300000</f>
        <v>33167475</v>
      </c>
      <c r="DV80" s="465">
        <f t="shared" si="119"/>
        <v>66832525</v>
      </c>
      <c r="DW80" s="505"/>
      <c r="DX80" s="465">
        <v>15000000</v>
      </c>
      <c r="DY80" s="465">
        <v>0</v>
      </c>
      <c r="DZ80" s="465">
        <f t="shared" si="120"/>
        <v>15000000</v>
      </c>
      <c r="EA80" s="505"/>
      <c r="EB80" s="465">
        <v>10000000</v>
      </c>
      <c r="EC80" s="465">
        <v>0</v>
      </c>
      <c r="ED80" s="465">
        <f t="shared" si="121"/>
        <v>10000000</v>
      </c>
      <c r="EE80" s="505"/>
      <c r="EF80" s="465">
        <v>25000000</v>
      </c>
      <c r="EG80" s="467">
        <f>4958700+12317665</f>
        <v>17276365</v>
      </c>
      <c r="EH80" s="465">
        <f t="shared" si="122"/>
        <v>7723635</v>
      </c>
      <c r="EI80" s="505"/>
      <c r="EJ80" s="505">
        <v>10000000</v>
      </c>
      <c r="EK80" s="505">
        <v>0</v>
      </c>
      <c r="EL80" s="465">
        <f t="shared" si="123"/>
        <v>10000000</v>
      </c>
      <c r="EM80" s="505"/>
      <c r="EN80" s="505">
        <v>300000000</v>
      </c>
      <c r="EO80" s="465">
        <v>45932500</v>
      </c>
      <c r="EP80" s="465">
        <f t="shared" si="124"/>
        <v>254067500</v>
      </c>
      <c r="EQ80" s="505"/>
      <c r="ER80" s="505">
        <v>25000000</v>
      </c>
      <c r="ES80" s="465">
        <v>0</v>
      </c>
      <c r="ET80" s="465">
        <f t="shared" si="125"/>
        <v>25000000</v>
      </c>
      <c r="EU80" s="505"/>
      <c r="EV80" s="505">
        <v>10000000</v>
      </c>
      <c r="EW80" s="465">
        <v>0</v>
      </c>
      <c r="EX80" s="465">
        <f t="shared" si="126"/>
        <v>10000000</v>
      </c>
      <c r="EY80" s="505"/>
      <c r="EZ80" s="505">
        <v>30000000</v>
      </c>
      <c r="FA80" s="465">
        <v>0</v>
      </c>
      <c r="FB80" s="465">
        <f t="shared" si="127"/>
        <v>30000000</v>
      </c>
      <c r="FC80" s="505"/>
      <c r="FD80" s="505">
        <v>5000000</v>
      </c>
      <c r="FE80" s="465">
        <v>0</v>
      </c>
      <c r="FF80" s="465">
        <f t="shared" si="128"/>
        <v>5000000</v>
      </c>
      <c r="FG80" s="465"/>
      <c r="FH80" s="468">
        <v>120000000</v>
      </c>
      <c r="FI80" s="463">
        <v>0</v>
      </c>
      <c r="FJ80" s="463">
        <f t="shared" si="89"/>
        <v>120000000</v>
      </c>
      <c r="FK80" s="468"/>
      <c r="FL80" s="468">
        <v>25000000</v>
      </c>
      <c r="FM80" s="468">
        <v>0</v>
      </c>
      <c r="FN80" s="468">
        <f t="shared" si="77"/>
        <v>25000000</v>
      </c>
      <c r="FO80" s="468"/>
      <c r="FP80" s="468">
        <v>5000000</v>
      </c>
      <c r="FQ80" s="468">
        <v>0</v>
      </c>
      <c r="FR80" s="468">
        <f>FP80-FQ80</f>
        <v>5000000</v>
      </c>
      <c r="FS80" s="468"/>
      <c r="FT80" s="468">
        <v>30000000</v>
      </c>
      <c r="FU80" s="468">
        <v>0</v>
      </c>
      <c r="FV80" s="468">
        <f t="shared" si="79"/>
        <v>30000000</v>
      </c>
      <c r="FW80" s="468"/>
      <c r="FX80" s="468">
        <v>4150000</v>
      </c>
      <c r="FY80" s="468">
        <v>0</v>
      </c>
      <c r="FZ80" s="468">
        <v>4150000</v>
      </c>
      <c r="GA80" s="468"/>
      <c r="GB80" s="468">
        <v>160000000</v>
      </c>
      <c r="GC80" s="468">
        <v>0</v>
      </c>
      <c r="GD80" s="468">
        <f t="shared" si="85"/>
        <v>160000000</v>
      </c>
      <c r="GE80" s="468"/>
      <c r="GF80" s="468">
        <v>25000000</v>
      </c>
      <c r="GG80" s="468">
        <v>0</v>
      </c>
      <c r="GH80" s="468">
        <f t="shared" si="83"/>
        <v>25000000</v>
      </c>
      <c r="GI80" s="468"/>
      <c r="GJ80" s="468">
        <v>5000000</v>
      </c>
      <c r="GK80" s="468">
        <v>0</v>
      </c>
      <c r="GL80" s="468">
        <f t="shared" si="86"/>
        <v>5000000</v>
      </c>
      <c r="GM80" s="468"/>
      <c r="GN80" s="468">
        <v>20000000</v>
      </c>
      <c r="GO80" s="468">
        <v>0</v>
      </c>
      <c r="GP80" s="468">
        <f t="shared" si="87"/>
        <v>20000000</v>
      </c>
      <c r="GQ80" s="468"/>
      <c r="GR80" s="468">
        <v>5000000</v>
      </c>
      <c r="GS80" s="468">
        <v>0</v>
      </c>
      <c r="GT80" s="468">
        <f t="shared" si="84"/>
        <v>5000000</v>
      </c>
      <c r="GU80" s="468"/>
      <c r="GV80" s="465">
        <f t="shared" si="129"/>
        <v>1379150000</v>
      </c>
      <c r="GW80" s="465">
        <f t="shared" si="129"/>
        <v>463231854</v>
      </c>
      <c r="GX80" s="465">
        <f t="shared" si="130"/>
        <v>915918146</v>
      </c>
      <c r="GY80" s="470"/>
      <c r="GZ80" s="464"/>
      <c r="HA80" s="471">
        <f>D80+H80+L80+X80+AN80+BH80+CB80+CF80+CV80+DP80+DT80+EN80+FH80+GB80</f>
        <v>970000000</v>
      </c>
      <c r="HB80" s="471">
        <f>E80+I80+M80+Y80+AO80+BI80+CC80+CG80+CW80+DQ80+DU80+EO80+FI80+GC80</f>
        <v>369099975</v>
      </c>
      <c r="HC80" s="471">
        <f t="shared" si="131"/>
        <v>600900025</v>
      </c>
      <c r="HE80" s="471">
        <f>P80+AB80+AR80+
BL80+CJ80+CZ80+DX80+ER80+FL80+GF80</f>
        <v>130000000</v>
      </c>
      <c r="HF80" s="471">
        <f>Q80+AC80+AS80+
BM80+CK80+DA80+DY80+ES80+FM80+GG80</f>
        <v>7664771</v>
      </c>
      <c r="HG80" s="471">
        <f t="shared" si="132"/>
        <v>122335229</v>
      </c>
      <c r="HI80" s="471">
        <f>T80+AF80+AV80+BP80+CN80+DD80+EB80+EV80+FP80+GJ80</f>
        <v>50000000</v>
      </c>
      <c r="HJ80" s="471">
        <f>U80+AG80+AW80+BQ80+CO80+DE80+EC80+EW80+FQ80+GK80</f>
        <v>0</v>
      </c>
      <c r="HK80" s="471">
        <f t="shared" si="133"/>
        <v>50000000</v>
      </c>
      <c r="HM80" s="475">
        <f>AJ80+AZ80+BT80+CR80+DH80+EF80+EZ80+FT80+GN80</f>
        <v>195000000</v>
      </c>
      <c r="HN80" s="475">
        <f>AK80+BA80+BU80+CS80+DI80+EG80+FA80+FU80+GO80</f>
        <v>86467108</v>
      </c>
      <c r="HO80" s="475">
        <f t="shared" si="134"/>
        <v>108532892</v>
      </c>
      <c r="HP80" s="476"/>
      <c r="HR80" s="471">
        <f>BD80+BX80+DL80+EJ80+FD80+FX80+GR80</f>
        <v>34150000</v>
      </c>
      <c r="HS80" s="471">
        <f>BE80+BY80+DM80+EK80+FE80+FY80+GS80</f>
        <v>0</v>
      </c>
      <c r="HT80" s="471">
        <f t="shared" si="135"/>
        <v>34150000</v>
      </c>
    </row>
    <row r="81" spans="1:228" x14ac:dyDescent="0.25">
      <c r="A81" s="107">
        <v>75</v>
      </c>
      <c r="B81" s="515" t="s">
        <v>141</v>
      </c>
      <c r="C81" s="512" t="s">
        <v>63</v>
      </c>
      <c r="D81" s="505">
        <v>0</v>
      </c>
      <c r="E81" s="505">
        <v>0</v>
      </c>
      <c r="F81" s="465">
        <f t="shared" si="88"/>
        <v>0</v>
      </c>
      <c r="G81" s="505"/>
      <c r="H81" s="505">
        <v>0</v>
      </c>
      <c r="I81" s="505">
        <v>0</v>
      </c>
      <c r="J81" s="465">
        <f t="shared" si="90"/>
        <v>0</v>
      </c>
      <c r="K81" s="505">
        <v>0</v>
      </c>
      <c r="L81" s="505">
        <v>0</v>
      </c>
      <c r="M81" s="505">
        <v>0</v>
      </c>
      <c r="N81" s="465">
        <f t="shared" si="91"/>
        <v>0</v>
      </c>
      <c r="O81" s="505"/>
      <c r="P81" s="505">
        <v>0</v>
      </c>
      <c r="Q81" s="505">
        <v>0</v>
      </c>
      <c r="R81" s="465">
        <f t="shared" si="92"/>
        <v>0</v>
      </c>
      <c r="S81" s="505"/>
      <c r="T81" s="505">
        <v>0</v>
      </c>
      <c r="U81" s="505">
        <v>0</v>
      </c>
      <c r="V81" s="465">
        <f t="shared" si="93"/>
        <v>0</v>
      </c>
      <c r="W81" s="505"/>
      <c r="X81" s="505">
        <v>0</v>
      </c>
      <c r="Y81" s="505">
        <v>0</v>
      </c>
      <c r="Z81" s="465">
        <f t="shared" si="94"/>
        <v>0</v>
      </c>
      <c r="AA81" s="505">
        <v>0</v>
      </c>
      <c r="AB81" s="505">
        <v>0</v>
      </c>
      <c r="AC81" s="505">
        <v>0</v>
      </c>
      <c r="AD81" s="465">
        <f t="shared" si="95"/>
        <v>0</v>
      </c>
      <c r="AE81" s="505">
        <v>0</v>
      </c>
      <c r="AF81" s="505">
        <v>0</v>
      </c>
      <c r="AG81" s="505">
        <v>0</v>
      </c>
      <c r="AH81" s="465">
        <f t="shared" si="96"/>
        <v>0</v>
      </c>
      <c r="AI81" s="505">
        <v>0</v>
      </c>
      <c r="AJ81" s="505">
        <v>0</v>
      </c>
      <c r="AK81" s="505">
        <v>0</v>
      </c>
      <c r="AL81" s="465">
        <f t="shared" si="97"/>
        <v>0</v>
      </c>
      <c r="AM81" s="505"/>
      <c r="AN81" s="505">
        <v>0</v>
      </c>
      <c r="AO81" s="505">
        <v>0</v>
      </c>
      <c r="AP81" s="465">
        <f t="shared" si="98"/>
        <v>0</v>
      </c>
      <c r="AQ81" s="505">
        <v>0</v>
      </c>
      <c r="AR81" s="505">
        <v>0</v>
      </c>
      <c r="AS81" s="505">
        <v>0</v>
      </c>
      <c r="AT81" s="465">
        <f t="shared" si="99"/>
        <v>0</v>
      </c>
      <c r="AU81" s="505"/>
      <c r="AV81" s="505">
        <v>0</v>
      </c>
      <c r="AW81" s="505">
        <v>0</v>
      </c>
      <c r="AX81" s="465">
        <f t="shared" si="100"/>
        <v>0</v>
      </c>
      <c r="AY81" s="505">
        <v>0</v>
      </c>
      <c r="AZ81" s="505">
        <v>0</v>
      </c>
      <c r="BA81" s="505">
        <v>0</v>
      </c>
      <c r="BB81" s="465">
        <f t="shared" si="101"/>
        <v>0</v>
      </c>
      <c r="BC81" s="505">
        <v>0</v>
      </c>
      <c r="BD81" s="505">
        <v>0</v>
      </c>
      <c r="BE81" s="505">
        <v>0</v>
      </c>
      <c r="BF81" s="465">
        <f t="shared" si="102"/>
        <v>0</v>
      </c>
      <c r="BG81" s="505"/>
      <c r="BH81" s="505">
        <v>0</v>
      </c>
      <c r="BI81" s="491">
        <v>0</v>
      </c>
      <c r="BJ81" s="465">
        <f t="shared" si="103"/>
        <v>0</v>
      </c>
      <c r="BK81" s="505">
        <v>0</v>
      </c>
      <c r="BL81" s="505">
        <v>0</v>
      </c>
      <c r="BM81" s="505">
        <v>0</v>
      </c>
      <c r="BN81" s="465">
        <f t="shared" si="104"/>
        <v>0</v>
      </c>
      <c r="BO81" s="505"/>
      <c r="BP81" s="505">
        <v>0</v>
      </c>
      <c r="BQ81" s="505">
        <v>0</v>
      </c>
      <c r="BR81" s="465">
        <f t="shared" si="105"/>
        <v>0</v>
      </c>
      <c r="BS81" s="505"/>
      <c r="BT81" s="505">
        <v>0</v>
      </c>
      <c r="BU81" s="505">
        <v>0</v>
      </c>
      <c r="BV81" s="465">
        <f t="shared" si="106"/>
        <v>0</v>
      </c>
      <c r="BW81" s="505"/>
      <c r="BX81" s="505">
        <v>0</v>
      </c>
      <c r="BY81" s="505">
        <v>0</v>
      </c>
      <c r="BZ81" s="465">
        <f t="shared" si="107"/>
        <v>0</v>
      </c>
      <c r="CA81" s="505"/>
      <c r="CB81" s="505">
        <v>0</v>
      </c>
      <c r="CC81" s="505">
        <v>0</v>
      </c>
      <c r="CD81" s="465">
        <f t="shared" si="108"/>
        <v>0</v>
      </c>
      <c r="CE81" s="505"/>
      <c r="CF81" s="465">
        <f>140000000</f>
        <v>140000000</v>
      </c>
      <c r="CG81" s="492">
        <f>33466000+13850800+86885920+5797280</f>
        <v>140000000</v>
      </c>
      <c r="CH81" s="465">
        <f t="shared" si="109"/>
        <v>0</v>
      </c>
      <c r="CI81" s="465"/>
      <c r="CJ81" s="465">
        <v>20000000</v>
      </c>
      <c r="CK81" s="465">
        <f>13410000+6000000+590000</f>
        <v>20000000</v>
      </c>
      <c r="CL81" s="465">
        <f t="shared" si="110"/>
        <v>0</v>
      </c>
      <c r="CM81" s="465"/>
      <c r="CN81" s="465">
        <v>10000000</v>
      </c>
      <c r="CO81" s="465">
        <v>1912500</v>
      </c>
      <c r="CP81" s="465">
        <f t="shared" si="111"/>
        <v>8087500</v>
      </c>
      <c r="CQ81" s="465"/>
      <c r="CR81" s="465">
        <v>40000000</v>
      </c>
      <c r="CS81" s="465">
        <f>7345305+32358560+296135</f>
        <v>40000000</v>
      </c>
      <c r="CT81" s="465">
        <f t="shared" si="112"/>
        <v>0</v>
      </c>
      <c r="CU81" s="465"/>
      <c r="CV81" s="465">
        <v>150000000</v>
      </c>
      <c r="CW81" s="465">
        <f>19500000+19950000+39393160+71156840</f>
        <v>150000000</v>
      </c>
      <c r="CX81" s="465">
        <f t="shared" si="113"/>
        <v>0</v>
      </c>
      <c r="CY81" s="505"/>
      <c r="CZ81" s="465">
        <v>20000000</v>
      </c>
      <c r="DA81" s="485">
        <f>13360000+6000000+640000</f>
        <v>20000000</v>
      </c>
      <c r="DB81" s="465">
        <f t="shared" si="114"/>
        <v>0</v>
      </c>
      <c r="DC81" s="465"/>
      <c r="DD81" s="465">
        <v>10000000</v>
      </c>
      <c r="DE81" s="465">
        <v>2720000</v>
      </c>
      <c r="DF81" s="465">
        <f t="shared" si="115"/>
        <v>7280000</v>
      </c>
      <c r="DG81" s="505"/>
      <c r="DH81" s="465">
        <v>50000000</v>
      </c>
      <c r="DI81" s="465">
        <f>9821280+12248936+961092+5633375+21335317</f>
        <v>50000000</v>
      </c>
      <c r="DJ81" s="465">
        <f t="shared" si="116"/>
        <v>0</v>
      </c>
      <c r="DK81" s="505"/>
      <c r="DL81" s="465">
        <v>10000000</v>
      </c>
      <c r="DM81" s="478">
        <f>2408900+1442875+1105000+144000+1181500+254625+527000</f>
        <v>7063900</v>
      </c>
      <c r="DN81" s="465">
        <f t="shared" si="117"/>
        <v>2936100</v>
      </c>
      <c r="DO81" s="505">
        <v>0</v>
      </c>
      <c r="DP81" s="505">
        <v>0</v>
      </c>
      <c r="DQ81" s="505">
        <v>0</v>
      </c>
      <c r="DR81" s="465">
        <f t="shared" si="118"/>
        <v>0</v>
      </c>
      <c r="DS81" s="505"/>
      <c r="DT81" s="465">
        <v>100000000</v>
      </c>
      <c r="DU81" s="465">
        <f>30245880+13050000+12000000+44704120</f>
        <v>100000000</v>
      </c>
      <c r="DV81" s="465">
        <f t="shared" si="119"/>
        <v>0</v>
      </c>
      <c r="DW81" s="505"/>
      <c r="DX81" s="465">
        <v>15000000</v>
      </c>
      <c r="DY81" s="465">
        <f>11850000+3150000</f>
        <v>15000000</v>
      </c>
      <c r="DZ81" s="465">
        <f t="shared" si="120"/>
        <v>0</v>
      </c>
      <c r="EA81" s="505"/>
      <c r="EB81" s="465">
        <v>10000000</v>
      </c>
      <c r="EC81" s="465">
        <v>0</v>
      </c>
      <c r="ED81" s="465">
        <f t="shared" si="121"/>
        <v>10000000</v>
      </c>
      <c r="EE81" s="505"/>
      <c r="EF81" s="465">
        <v>25000000</v>
      </c>
      <c r="EG81" s="465">
        <f>1690225+14942010+8367765</f>
        <v>25000000</v>
      </c>
      <c r="EH81" s="465">
        <f t="shared" si="122"/>
        <v>0</v>
      </c>
      <c r="EI81" s="505"/>
      <c r="EJ81" s="505">
        <v>10000000</v>
      </c>
      <c r="EK81" s="505">
        <v>0</v>
      </c>
      <c r="EL81" s="465">
        <f t="shared" si="123"/>
        <v>10000000</v>
      </c>
      <c r="EM81" s="505"/>
      <c r="EN81" s="505">
        <v>300000000</v>
      </c>
      <c r="EO81" s="483">
        <f>5395880+3600000+18000000+93521290+4800000+15314000+3600000+1200000+31387000+31387000-31387000+45246500</f>
        <v>222064670</v>
      </c>
      <c r="EP81" s="465">
        <f t="shared" si="124"/>
        <v>77935330</v>
      </c>
      <c r="EQ81" s="505"/>
      <c r="ER81" s="505">
        <v>25000000</v>
      </c>
      <c r="ES81" s="485">
        <f>8879363.4+1578000+5127134</f>
        <v>15584497.4</v>
      </c>
      <c r="ET81" s="465">
        <f t="shared" si="125"/>
        <v>9415502.5999999996</v>
      </c>
      <c r="EU81" s="505"/>
      <c r="EV81" s="505">
        <v>10000000</v>
      </c>
      <c r="EW81" s="465">
        <v>0</v>
      </c>
      <c r="EX81" s="465">
        <f t="shared" si="126"/>
        <v>10000000</v>
      </c>
      <c r="EY81" s="505"/>
      <c r="EZ81" s="505">
        <v>30000000</v>
      </c>
      <c r="FA81" s="484">
        <f>7893680+3857100.49+4587225+13661994.51</f>
        <v>30000000</v>
      </c>
      <c r="FB81" s="465">
        <f t="shared" si="127"/>
        <v>0</v>
      </c>
      <c r="FC81" s="505"/>
      <c r="FD81" s="505">
        <v>5000000</v>
      </c>
      <c r="FE81" s="465">
        <v>0</v>
      </c>
      <c r="FF81" s="465">
        <f t="shared" si="128"/>
        <v>5000000</v>
      </c>
      <c r="FG81" s="465"/>
      <c r="FH81" s="468">
        <v>120000000</v>
      </c>
      <c r="FI81" s="463">
        <v>0</v>
      </c>
      <c r="FJ81" s="463">
        <f t="shared" si="89"/>
        <v>120000000</v>
      </c>
      <c r="FK81" s="468"/>
      <c r="FL81" s="468">
        <v>25000000</v>
      </c>
      <c r="FM81" s="468">
        <v>0</v>
      </c>
      <c r="FN81" s="468">
        <f t="shared" si="77"/>
        <v>25000000</v>
      </c>
      <c r="FO81" s="468"/>
      <c r="FP81" s="468">
        <v>5000000</v>
      </c>
      <c r="FQ81" s="468">
        <v>0</v>
      </c>
      <c r="FR81" s="468">
        <f t="shared" ref="FR81:FR83" si="136">FP81-FQ81</f>
        <v>5000000</v>
      </c>
      <c r="FS81" s="468"/>
      <c r="FT81" s="468">
        <v>30000000</v>
      </c>
      <c r="FU81" s="469">
        <f>7634628.99</f>
        <v>7634628.9900000002</v>
      </c>
      <c r="FV81" s="468">
        <f t="shared" si="79"/>
        <v>22365371.009999998</v>
      </c>
      <c r="FW81" s="468"/>
      <c r="FX81" s="468">
        <v>4150000</v>
      </c>
      <c r="FY81" s="468">
        <v>0</v>
      </c>
      <c r="FZ81" s="468">
        <v>4150000</v>
      </c>
      <c r="GA81" s="468"/>
      <c r="GB81" s="468">
        <v>160000000</v>
      </c>
      <c r="GC81" s="468">
        <v>0</v>
      </c>
      <c r="GD81" s="468">
        <f t="shared" si="85"/>
        <v>160000000</v>
      </c>
      <c r="GE81" s="468"/>
      <c r="GF81" s="468">
        <v>25000000</v>
      </c>
      <c r="GG81" s="468">
        <v>0</v>
      </c>
      <c r="GH81" s="468">
        <f t="shared" si="83"/>
        <v>25000000</v>
      </c>
      <c r="GI81" s="468"/>
      <c r="GJ81" s="468">
        <v>5000000</v>
      </c>
      <c r="GK81" s="468">
        <v>0</v>
      </c>
      <c r="GL81" s="468">
        <f t="shared" si="86"/>
        <v>5000000</v>
      </c>
      <c r="GM81" s="468"/>
      <c r="GN81" s="468">
        <v>20000000</v>
      </c>
      <c r="GO81" s="468">
        <v>0</v>
      </c>
      <c r="GP81" s="468">
        <f t="shared" si="87"/>
        <v>20000000</v>
      </c>
      <c r="GQ81" s="468"/>
      <c r="GR81" s="468">
        <v>5000000</v>
      </c>
      <c r="GS81" s="468">
        <v>0</v>
      </c>
      <c r="GT81" s="468">
        <f t="shared" si="84"/>
        <v>5000000</v>
      </c>
      <c r="GU81" s="468"/>
      <c r="GV81" s="465">
        <f t="shared" si="129"/>
        <v>1379150000</v>
      </c>
      <c r="GW81" s="465">
        <f t="shared" si="129"/>
        <v>846980196.38999999</v>
      </c>
      <c r="GX81" s="465">
        <f t="shared" si="130"/>
        <v>532169803.61000001</v>
      </c>
      <c r="GY81" s="470"/>
      <c r="GZ81" s="464"/>
      <c r="HA81" s="471">
        <f>D81+H81+L81+X81+AN81+BH81+CB81+CF81+CV81+DP81+DT81+EN81+FH81+GB81</f>
        <v>970000000</v>
      </c>
      <c r="HB81" s="471">
        <f>E81+I81+M81+Y81+AO81+BI81+CC81+CG81+CW81+DQ81+DU81+EO81+FI81+GC81</f>
        <v>612064670</v>
      </c>
      <c r="HC81" s="471">
        <f t="shared" si="131"/>
        <v>357935330</v>
      </c>
      <c r="HE81" s="471">
        <f>P81+AB81+AR81+
BL81+CJ81+CZ81+DX81+ER81+FL81+GF81</f>
        <v>130000000</v>
      </c>
      <c r="HF81" s="471">
        <f>Q81+AC81+AS81+
BM81+CK81+DA81+DY81+ES81+FM81+GG81</f>
        <v>70584497.400000006</v>
      </c>
      <c r="HG81" s="471">
        <f t="shared" si="132"/>
        <v>59415502.599999994</v>
      </c>
      <c r="HI81" s="471">
        <f>T81+AF81+AV81+BP81+CN81+DD81+EB81+EV81+FP81+GJ81</f>
        <v>50000000</v>
      </c>
      <c r="HJ81" s="471">
        <f>U81+AG81+AW81+BQ81+CO81+DE81+EC81+EW81+FQ81+GK81</f>
        <v>4632500</v>
      </c>
      <c r="HK81" s="471">
        <f t="shared" si="133"/>
        <v>45367500</v>
      </c>
      <c r="HM81" s="475">
        <f>AJ81+AZ81+BT81+CR81+DH81+EF81+EZ81+FT81+GN81</f>
        <v>195000000</v>
      </c>
      <c r="HN81" s="475">
        <f>AK81+BA81+BU81+CS81+DI81+EG81+FA81+FU81+GO81</f>
        <v>152634628.99000001</v>
      </c>
      <c r="HO81" s="475">
        <f t="shared" si="134"/>
        <v>42365371.00999999</v>
      </c>
      <c r="HP81" s="476"/>
      <c r="HR81" s="471">
        <f>BD81+BX81+DL81+EJ81+FD81+FX81+GR81</f>
        <v>34150000</v>
      </c>
      <c r="HS81" s="471">
        <f>BE81+BY81+DM81+EK81+FE81+FY81+GS81</f>
        <v>7063900</v>
      </c>
      <c r="HT81" s="471">
        <f t="shared" si="135"/>
        <v>27086100</v>
      </c>
    </row>
    <row r="82" spans="1:228" x14ac:dyDescent="0.25">
      <c r="A82" s="107">
        <v>76</v>
      </c>
      <c r="B82" s="515" t="s">
        <v>496</v>
      </c>
      <c r="C82" s="512"/>
      <c r="D82" s="505">
        <v>0</v>
      </c>
      <c r="E82" s="505">
        <v>0</v>
      </c>
      <c r="F82" s="465">
        <f t="shared" si="88"/>
        <v>0</v>
      </c>
      <c r="G82" s="505"/>
      <c r="H82" s="505">
        <v>0</v>
      </c>
      <c r="I82" s="505">
        <v>0</v>
      </c>
      <c r="J82" s="465">
        <f t="shared" si="90"/>
        <v>0</v>
      </c>
      <c r="K82" s="505">
        <v>0</v>
      </c>
      <c r="L82" s="505">
        <v>0</v>
      </c>
      <c r="M82" s="505">
        <v>0</v>
      </c>
      <c r="N82" s="465">
        <f t="shared" si="91"/>
        <v>0</v>
      </c>
      <c r="O82" s="505"/>
      <c r="P82" s="505">
        <v>0</v>
      </c>
      <c r="Q82" s="505">
        <v>0</v>
      </c>
      <c r="R82" s="465">
        <f t="shared" si="92"/>
        <v>0</v>
      </c>
      <c r="S82" s="505"/>
      <c r="T82" s="505">
        <v>0</v>
      </c>
      <c r="U82" s="505">
        <v>0</v>
      </c>
      <c r="V82" s="465">
        <f t="shared" si="93"/>
        <v>0</v>
      </c>
      <c r="W82" s="505"/>
      <c r="X82" s="505">
        <v>0</v>
      </c>
      <c r="Y82" s="505">
        <v>0</v>
      </c>
      <c r="Z82" s="465">
        <f t="shared" si="94"/>
        <v>0</v>
      </c>
      <c r="AA82" s="505">
        <v>0</v>
      </c>
      <c r="AB82" s="505">
        <v>0</v>
      </c>
      <c r="AC82" s="505">
        <v>0</v>
      </c>
      <c r="AD82" s="465">
        <f t="shared" si="95"/>
        <v>0</v>
      </c>
      <c r="AE82" s="505">
        <v>0</v>
      </c>
      <c r="AF82" s="505">
        <v>0</v>
      </c>
      <c r="AG82" s="505">
        <v>0</v>
      </c>
      <c r="AH82" s="465">
        <f t="shared" si="96"/>
        <v>0</v>
      </c>
      <c r="AI82" s="505">
        <v>0</v>
      </c>
      <c r="AJ82" s="505">
        <v>0</v>
      </c>
      <c r="AK82" s="505">
        <v>0</v>
      </c>
      <c r="AL82" s="465">
        <f t="shared" si="97"/>
        <v>0</v>
      </c>
      <c r="AM82" s="505"/>
      <c r="AN82" s="505">
        <v>0</v>
      </c>
      <c r="AO82" s="505">
        <v>0</v>
      </c>
      <c r="AP82" s="465">
        <f t="shared" si="98"/>
        <v>0</v>
      </c>
      <c r="AQ82" s="505">
        <v>0</v>
      </c>
      <c r="AR82" s="505">
        <v>0</v>
      </c>
      <c r="AS82" s="505">
        <v>0</v>
      </c>
      <c r="AT82" s="465">
        <f t="shared" si="99"/>
        <v>0</v>
      </c>
      <c r="AU82" s="505"/>
      <c r="AV82" s="505">
        <v>0</v>
      </c>
      <c r="AW82" s="505">
        <v>0</v>
      </c>
      <c r="AX82" s="465">
        <f t="shared" si="100"/>
        <v>0</v>
      </c>
      <c r="AY82" s="505">
        <v>0</v>
      </c>
      <c r="AZ82" s="505">
        <v>0</v>
      </c>
      <c r="BA82" s="505">
        <v>0</v>
      </c>
      <c r="BB82" s="465">
        <f t="shared" si="101"/>
        <v>0</v>
      </c>
      <c r="BC82" s="505">
        <v>0</v>
      </c>
      <c r="BD82" s="505">
        <v>0</v>
      </c>
      <c r="BE82" s="505">
        <v>0</v>
      </c>
      <c r="BF82" s="465">
        <f t="shared" si="102"/>
        <v>0</v>
      </c>
      <c r="BG82" s="505"/>
      <c r="BH82" s="505">
        <v>0</v>
      </c>
      <c r="BI82" s="491">
        <v>0</v>
      </c>
      <c r="BJ82" s="465">
        <f t="shared" si="103"/>
        <v>0</v>
      </c>
      <c r="BK82" s="505">
        <v>0</v>
      </c>
      <c r="BL82" s="505">
        <v>0</v>
      </c>
      <c r="BM82" s="505">
        <v>0</v>
      </c>
      <c r="BN82" s="465">
        <f t="shared" si="104"/>
        <v>0</v>
      </c>
      <c r="BO82" s="505"/>
      <c r="BP82" s="505">
        <v>0</v>
      </c>
      <c r="BQ82" s="505">
        <v>0</v>
      </c>
      <c r="BR82" s="465">
        <f t="shared" si="105"/>
        <v>0</v>
      </c>
      <c r="BS82" s="505"/>
      <c r="BT82" s="505">
        <v>0</v>
      </c>
      <c r="BU82" s="505">
        <v>0</v>
      </c>
      <c r="BV82" s="465">
        <f t="shared" si="106"/>
        <v>0</v>
      </c>
      <c r="BW82" s="505"/>
      <c r="BX82" s="505">
        <v>0</v>
      </c>
      <c r="BY82" s="505">
        <v>0</v>
      </c>
      <c r="BZ82" s="465">
        <f t="shared" si="107"/>
        <v>0</v>
      </c>
      <c r="CA82" s="505"/>
      <c r="CB82" s="505">
        <v>0</v>
      </c>
      <c r="CC82" s="505">
        <v>0</v>
      </c>
      <c r="CD82" s="465">
        <f t="shared" si="108"/>
        <v>0</v>
      </c>
      <c r="CE82" s="505"/>
      <c r="CF82" s="465">
        <v>0</v>
      </c>
      <c r="CG82" s="465">
        <v>0</v>
      </c>
      <c r="CH82" s="465">
        <f t="shared" si="109"/>
        <v>0</v>
      </c>
      <c r="CI82" s="465"/>
      <c r="CJ82" s="465">
        <v>0</v>
      </c>
      <c r="CK82" s="465">
        <v>0</v>
      </c>
      <c r="CL82" s="465">
        <f t="shared" si="110"/>
        <v>0</v>
      </c>
      <c r="CM82" s="465"/>
      <c r="CN82" s="465">
        <v>0</v>
      </c>
      <c r="CO82" s="465">
        <v>0</v>
      </c>
      <c r="CP82" s="465">
        <f t="shared" si="111"/>
        <v>0</v>
      </c>
      <c r="CQ82" s="465"/>
      <c r="CR82" s="465">
        <v>0</v>
      </c>
      <c r="CS82" s="465">
        <v>0</v>
      </c>
      <c r="CT82" s="465">
        <f t="shared" si="112"/>
        <v>0</v>
      </c>
      <c r="CU82" s="465"/>
      <c r="CV82" s="465">
        <v>150000000</v>
      </c>
      <c r="CW82" s="465">
        <f>29184750+119568050+622000+625200</f>
        <v>150000000</v>
      </c>
      <c r="CX82" s="465">
        <f t="shared" si="113"/>
        <v>0</v>
      </c>
      <c r="CY82" s="505"/>
      <c r="CZ82" s="465">
        <v>20000000</v>
      </c>
      <c r="DA82" s="465">
        <f>12623500+9905734-2529234</f>
        <v>20000000</v>
      </c>
      <c r="DB82" s="465">
        <f t="shared" si="114"/>
        <v>0</v>
      </c>
      <c r="DC82" s="465"/>
      <c r="DD82" s="465">
        <v>10000000</v>
      </c>
      <c r="DE82" s="465">
        <f>2251650+397350</f>
        <v>2649000</v>
      </c>
      <c r="DF82" s="465">
        <f t="shared" si="115"/>
        <v>7351000</v>
      </c>
      <c r="DG82" s="505"/>
      <c r="DH82" s="465">
        <v>50000000</v>
      </c>
      <c r="DI82" s="465">
        <f>1604100+13253410+28383760+4381100+1091516+1286114</f>
        <v>50000000</v>
      </c>
      <c r="DJ82" s="465">
        <f t="shared" si="116"/>
        <v>0</v>
      </c>
      <c r="DK82" s="505"/>
      <c r="DL82" s="465">
        <v>10000000</v>
      </c>
      <c r="DM82" s="465">
        <v>5836100</v>
      </c>
      <c r="DN82" s="465">
        <f t="shared" si="117"/>
        <v>4163900</v>
      </c>
      <c r="DO82" s="505">
        <v>0</v>
      </c>
      <c r="DP82" s="505">
        <v>0</v>
      </c>
      <c r="DQ82" s="505">
        <v>0</v>
      </c>
      <c r="DR82" s="465">
        <f t="shared" si="118"/>
        <v>0</v>
      </c>
      <c r="DS82" s="505"/>
      <c r="DT82" s="505">
        <v>100000000</v>
      </c>
      <c r="DU82" s="465">
        <f>71374800+27702965-1500000+2422235</f>
        <v>100000000</v>
      </c>
      <c r="DV82" s="465">
        <f t="shared" si="119"/>
        <v>0</v>
      </c>
      <c r="DW82" s="505"/>
      <c r="DX82" s="505">
        <v>15000000</v>
      </c>
      <c r="DY82" s="465">
        <f>2529234+6133200-691000</f>
        <v>7971434</v>
      </c>
      <c r="DZ82" s="465">
        <f t="shared" si="120"/>
        <v>7028566</v>
      </c>
      <c r="EA82" s="505"/>
      <c r="EB82" s="505">
        <v>10000000</v>
      </c>
      <c r="EC82" s="465">
        <v>0</v>
      </c>
      <c r="ED82" s="465">
        <f t="shared" si="121"/>
        <v>10000000</v>
      </c>
      <c r="EE82" s="505"/>
      <c r="EF82" s="505">
        <v>25000000</v>
      </c>
      <c r="EG82" s="465">
        <f>231686+2227146+5482400+6048220-648580+492200+5225592.95+1347285</f>
        <v>20405949.949999999</v>
      </c>
      <c r="EH82" s="465">
        <f t="shared" si="122"/>
        <v>4594050.0500000007</v>
      </c>
      <c r="EI82" s="505"/>
      <c r="EJ82" s="505">
        <v>10000000</v>
      </c>
      <c r="EK82" s="465">
        <v>0</v>
      </c>
      <c r="EL82" s="465">
        <f t="shared" si="123"/>
        <v>10000000</v>
      </c>
      <c r="EM82" s="505"/>
      <c r="EN82" s="505"/>
      <c r="EO82" s="465">
        <v>0</v>
      </c>
      <c r="EP82" s="465">
        <f t="shared" si="124"/>
        <v>0</v>
      </c>
      <c r="EQ82" s="505"/>
      <c r="ER82" s="505"/>
      <c r="ES82" s="465">
        <v>0</v>
      </c>
      <c r="ET82" s="465">
        <f t="shared" si="125"/>
        <v>0</v>
      </c>
      <c r="EU82" s="505"/>
      <c r="EV82" s="505"/>
      <c r="EW82" s="465">
        <v>0</v>
      </c>
      <c r="EX82" s="465">
        <f t="shared" si="126"/>
        <v>0</v>
      </c>
      <c r="EY82" s="505"/>
      <c r="EZ82" s="505"/>
      <c r="FA82" s="465">
        <v>0</v>
      </c>
      <c r="FB82" s="465">
        <f t="shared" si="127"/>
        <v>0</v>
      </c>
      <c r="FC82" s="505"/>
      <c r="FD82" s="505"/>
      <c r="FE82" s="465">
        <v>0</v>
      </c>
      <c r="FF82" s="465">
        <f t="shared" si="128"/>
        <v>0</v>
      </c>
      <c r="FG82" s="465"/>
      <c r="FH82" s="468">
        <v>120000000</v>
      </c>
      <c r="FI82" s="481">
        <f>100358768.25+11700000-10000000-205487.5-10000000</f>
        <v>91853280.75</v>
      </c>
      <c r="FJ82" s="463">
        <f t="shared" si="89"/>
        <v>28146719.25</v>
      </c>
      <c r="FK82" s="468"/>
      <c r="FL82" s="468">
        <v>25000000</v>
      </c>
      <c r="FM82" s="468">
        <v>0</v>
      </c>
      <c r="FN82" s="468">
        <f t="shared" si="77"/>
        <v>25000000</v>
      </c>
      <c r="FO82" s="468"/>
      <c r="FP82" s="468">
        <v>5000000</v>
      </c>
      <c r="FQ82" s="468">
        <v>0</v>
      </c>
      <c r="FR82" s="468">
        <f t="shared" si="136"/>
        <v>5000000</v>
      </c>
      <c r="FS82" s="468"/>
      <c r="FT82" s="468">
        <v>30000000</v>
      </c>
      <c r="FU82" s="468">
        <v>0</v>
      </c>
      <c r="FV82" s="468">
        <f t="shared" si="79"/>
        <v>30000000</v>
      </c>
      <c r="FW82" s="468"/>
      <c r="FX82" s="468">
        <v>4150000</v>
      </c>
      <c r="FY82" s="468">
        <v>0</v>
      </c>
      <c r="FZ82" s="468">
        <v>4150000</v>
      </c>
      <c r="GA82" s="468"/>
      <c r="GB82" s="507"/>
      <c r="GC82" s="507"/>
      <c r="GD82" s="507"/>
      <c r="GE82" s="507"/>
      <c r="GF82" s="507"/>
      <c r="GG82" s="507"/>
      <c r="GH82" s="507"/>
      <c r="GI82" s="507"/>
      <c r="GJ82" s="507"/>
      <c r="GK82" s="507"/>
      <c r="GL82" s="507"/>
      <c r="GM82" s="507"/>
      <c r="GN82" s="507"/>
      <c r="GO82" s="507"/>
      <c r="GP82" s="507"/>
      <c r="GQ82" s="507"/>
      <c r="GR82" s="507"/>
      <c r="GS82" s="507"/>
      <c r="GT82" s="507"/>
      <c r="GU82" s="468"/>
      <c r="GV82" s="465">
        <f t="shared" si="129"/>
        <v>584150000</v>
      </c>
      <c r="GW82" s="465">
        <f t="shared" si="129"/>
        <v>448715764.69999999</v>
      </c>
      <c r="GX82" s="465">
        <f t="shared" si="130"/>
        <v>135434235.30000001</v>
      </c>
      <c r="GY82" s="470"/>
      <c r="GZ82" s="464"/>
      <c r="HA82" s="471">
        <f>D82+H82+L82+X82+AN82+BH82+CB82+CF82+CV82+DP82+DT82+EN82+FH82+GB82</f>
        <v>370000000</v>
      </c>
      <c r="HB82" s="471">
        <f>E82+I82+M82+Y82+AO82+BI82+CC82+CG82+CW82+DQ82+DU82+EO82+FI82+GC82</f>
        <v>341853280.75</v>
      </c>
      <c r="HC82" s="471">
        <f t="shared" si="131"/>
        <v>28146719.25</v>
      </c>
      <c r="HE82" s="471">
        <f>P82+AB82+AR82+
BL82+CJ82+CZ82+DX82+ER82+FL82+GF82</f>
        <v>60000000</v>
      </c>
      <c r="HF82" s="471">
        <f>Q82+AC82+AS82+
BM82+CK82+DA82+DY82+ES82+FM82+GG82</f>
        <v>27971434</v>
      </c>
      <c r="HG82" s="471">
        <f t="shared" si="132"/>
        <v>32028566</v>
      </c>
      <c r="HI82" s="471">
        <f>T82+AF82+AV82+BP82+CN82+DD82+EB82+EV82+FP82+GJ82</f>
        <v>25000000</v>
      </c>
      <c r="HJ82" s="471">
        <f>U82+AG82+AW82+BQ82+CO82+DE82+EC82+EW82+FQ82+GK82</f>
        <v>2649000</v>
      </c>
      <c r="HK82" s="471">
        <f t="shared" si="133"/>
        <v>22351000</v>
      </c>
      <c r="HM82" s="475">
        <f>AJ82+AZ82+BT82+CR82+DH82+EF82+EZ82+FT82+GN82</f>
        <v>105000000</v>
      </c>
      <c r="HN82" s="475">
        <f>AK82+BA82+BU82+CS82+DI82+EG82+FA82+FU82+GO82</f>
        <v>70405949.950000003</v>
      </c>
      <c r="HO82" s="475">
        <f t="shared" si="134"/>
        <v>34594050.049999997</v>
      </c>
      <c r="HP82" s="476"/>
      <c r="HR82" s="471">
        <f>BD82+BX82+DL82+EJ82+FD82+FX82+GR82</f>
        <v>24150000</v>
      </c>
      <c r="HS82" s="471">
        <f>BE82+BY82+DM82+EK82+FE82+FY82+GS82</f>
        <v>5836100</v>
      </c>
      <c r="HT82" s="471">
        <f t="shared" si="135"/>
        <v>18313900</v>
      </c>
    </row>
    <row r="83" spans="1:228" x14ac:dyDescent="0.25">
      <c r="A83" s="107">
        <v>77</v>
      </c>
      <c r="B83" s="515" t="s">
        <v>497</v>
      </c>
      <c r="C83" s="113" t="s">
        <v>63</v>
      </c>
      <c r="D83" s="505">
        <v>0</v>
      </c>
      <c r="E83" s="505">
        <v>0</v>
      </c>
      <c r="F83" s="465">
        <f t="shared" si="88"/>
        <v>0</v>
      </c>
      <c r="G83" s="505"/>
      <c r="H83" s="505"/>
      <c r="I83" s="505"/>
      <c r="J83" s="465">
        <f t="shared" si="90"/>
        <v>0</v>
      </c>
      <c r="K83" s="505"/>
      <c r="L83" s="505"/>
      <c r="M83" s="505"/>
      <c r="N83" s="465">
        <f t="shared" si="91"/>
        <v>0</v>
      </c>
      <c r="O83" s="505"/>
      <c r="P83" s="505"/>
      <c r="Q83" s="505"/>
      <c r="R83" s="465">
        <f t="shared" si="92"/>
        <v>0</v>
      </c>
      <c r="S83" s="505"/>
      <c r="T83" s="505"/>
      <c r="U83" s="505"/>
      <c r="V83" s="465">
        <f t="shared" si="93"/>
        <v>0</v>
      </c>
      <c r="W83" s="505"/>
      <c r="X83" s="505"/>
      <c r="Y83" s="505"/>
      <c r="Z83" s="465">
        <f t="shared" si="94"/>
        <v>0</v>
      </c>
      <c r="AA83" s="505"/>
      <c r="AB83" s="505"/>
      <c r="AC83" s="505"/>
      <c r="AD83" s="465">
        <f t="shared" si="95"/>
        <v>0</v>
      </c>
      <c r="AE83" s="505"/>
      <c r="AF83" s="505"/>
      <c r="AG83" s="505"/>
      <c r="AH83" s="465">
        <f>AF83-AG83</f>
        <v>0</v>
      </c>
      <c r="AI83" s="505"/>
      <c r="AJ83" s="505"/>
      <c r="AK83" s="505"/>
      <c r="AL83" s="465">
        <f t="shared" si="97"/>
        <v>0</v>
      </c>
      <c r="AM83" s="505"/>
      <c r="AN83" s="505"/>
      <c r="AO83" s="505"/>
      <c r="AP83" s="465">
        <f t="shared" si="98"/>
        <v>0</v>
      </c>
      <c r="AQ83" s="505"/>
      <c r="AR83" s="505"/>
      <c r="AS83" s="505"/>
      <c r="AT83" s="465">
        <f t="shared" si="99"/>
        <v>0</v>
      </c>
      <c r="AU83" s="505"/>
      <c r="AV83" s="505"/>
      <c r="AW83" s="505"/>
      <c r="AX83" s="465">
        <f t="shared" si="100"/>
        <v>0</v>
      </c>
      <c r="AY83" s="505"/>
      <c r="AZ83" s="505"/>
      <c r="BA83" s="505"/>
      <c r="BB83" s="465">
        <f t="shared" si="101"/>
        <v>0</v>
      </c>
      <c r="BC83" s="505"/>
      <c r="BD83" s="505"/>
      <c r="BE83" s="505"/>
      <c r="BF83" s="465">
        <f t="shared" si="102"/>
        <v>0</v>
      </c>
      <c r="BG83" s="505"/>
      <c r="BH83" s="505"/>
      <c r="BI83" s="491"/>
      <c r="BJ83" s="465">
        <f t="shared" si="103"/>
        <v>0</v>
      </c>
      <c r="BK83" s="505"/>
      <c r="BL83" s="505"/>
      <c r="BM83" s="505"/>
      <c r="BN83" s="465">
        <f t="shared" si="104"/>
        <v>0</v>
      </c>
      <c r="BO83" s="505"/>
      <c r="BP83" s="505"/>
      <c r="BQ83" s="505"/>
      <c r="BR83" s="465">
        <f t="shared" si="105"/>
        <v>0</v>
      </c>
      <c r="BS83" s="505"/>
      <c r="BT83" s="505"/>
      <c r="BU83" s="505"/>
      <c r="BV83" s="465">
        <f t="shared" si="106"/>
        <v>0</v>
      </c>
      <c r="BW83" s="505"/>
      <c r="BX83" s="505"/>
      <c r="BY83" s="505"/>
      <c r="BZ83" s="465">
        <f t="shared" si="107"/>
        <v>0</v>
      </c>
      <c r="CA83" s="505"/>
      <c r="CB83" s="505"/>
      <c r="CC83" s="505"/>
      <c r="CD83" s="465">
        <f t="shared" si="108"/>
        <v>0</v>
      </c>
      <c r="CE83" s="505"/>
      <c r="CF83" s="465"/>
      <c r="CG83" s="465"/>
      <c r="CH83" s="465">
        <f t="shared" si="109"/>
        <v>0</v>
      </c>
      <c r="CI83" s="465"/>
      <c r="CJ83" s="465"/>
      <c r="CK83" s="465"/>
      <c r="CL83" s="465">
        <f t="shared" si="110"/>
        <v>0</v>
      </c>
      <c r="CM83" s="465"/>
      <c r="CN83" s="465"/>
      <c r="CO83" s="465"/>
      <c r="CP83" s="465">
        <f t="shared" si="111"/>
        <v>0</v>
      </c>
      <c r="CQ83" s="465"/>
      <c r="CR83" s="465"/>
      <c r="CS83" s="465"/>
      <c r="CT83" s="465">
        <f t="shared" si="112"/>
        <v>0</v>
      </c>
      <c r="CU83" s="465"/>
      <c r="CV83" s="465"/>
      <c r="CW83" s="465"/>
      <c r="CX83" s="465">
        <f t="shared" si="113"/>
        <v>0</v>
      </c>
      <c r="CY83" s="505"/>
      <c r="CZ83" s="465"/>
      <c r="DA83" s="465"/>
      <c r="DB83" s="465">
        <f t="shared" si="114"/>
        <v>0</v>
      </c>
      <c r="DC83" s="465"/>
      <c r="DD83" s="465"/>
      <c r="DE83" s="465"/>
      <c r="DF83" s="465">
        <f t="shared" si="115"/>
        <v>0</v>
      </c>
      <c r="DG83" s="505"/>
      <c r="DH83" s="465"/>
      <c r="DI83" s="465"/>
      <c r="DJ83" s="465">
        <f t="shared" si="116"/>
        <v>0</v>
      </c>
      <c r="DK83" s="505"/>
      <c r="DL83" s="465"/>
      <c r="DM83" s="465"/>
      <c r="DN83" s="465">
        <f t="shared" si="117"/>
        <v>0</v>
      </c>
      <c r="DO83" s="505"/>
      <c r="DP83" s="505"/>
      <c r="DQ83" s="505"/>
      <c r="DR83" s="465">
        <f t="shared" si="118"/>
        <v>0</v>
      </c>
      <c r="DS83" s="505"/>
      <c r="DT83" s="505">
        <v>100000000</v>
      </c>
      <c r="DU83" s="465">
        <f>24000000+46050000+29950000</f>
        <v>100000000</v>
      </c>
      <c r="DV83" s="465">
        <f t="shared" si="119"/>
        <v>0</v>
      </c>
      <c r="DW83" s="505"/>
      <c r="DX83" s="505">
        <v>15000000</v>
      </c>
      <c r="DY83" s="465">
        <v>4069500</v>
      </c>
      <c r="DZ83" s="465">
        <f t="shared" si="120"/>
        <v>10930500</v>
      </c>
      <c r="EA83" s="505"/>
      <c r="EB83" s="505">
        <v>10000000</v>
      </c>
      <c r="EC83" s="465">
        <v>0</v>
      </c>
      <c r="ED83" s="465">
        <f t="shared" si="121"/>
        <v>10000000</v>
      </c>
      <c r="EE83" s="505"/>
      <c r="EF83" s="505">
        <v>25000000</v>
      </c>
      <c r="EG83" s="465">
        <f>2224800+11610462+3378580+7786158</f>
        <v>25000000</v>
      </c>
      <c r="EH83" s="465">
        <f t="shared" si="122"/>
        <v>0</v>
      </c>
      <c r="EI83" s="505"/>
      <c r="EJ83" s="505">
        <v>10000000</v>
      </c>
      <c r="EK83" s="465">
        <v>0</v>
      </c>
      <c r="EL83" s="465">
        <f t="shared" si="123"/>
        <v>10000000</v>
      </c>
      <c r="EM83" s="505"/>
      <c r="EN83" s="505">
        <v>300000000</v>
      </c>
      <c r="EO83" s="465">
        <f>16023880+57798527.45+50886874.95+175290717.6</f>
        <v>300000000</v>
      </c>
      <c r="EP83" s="465">
        <f t="shared" si="124"/>
        <v>0</v>
      </c>
      <c r="EQ83" s="505"/>
      <c r="ER83" s="505">
        <v>25000000</v>
      </c>
      <c r="ES83" s="465">
        <v>0</v>
      </c>
      <c r="ET83" s="465">
        <f t="shared" si="125"/>
        <v>25000000</v>
      </c>
      <c r="EU83" s="505"/>
      <c r="EV83" s="505">
        <v>10000000</v>
      </c>
      <c r="EW83" s="465">
        <v>0</v>
      </c>
      <c r="EX83" s="465">
        <f t="shared" si="126"/>
        <v>10000000</v>
      </c>
      <c r="EY83" s="505"/>
      <c r="EZ83" s="505">
        <v>30000000</v>
      </c>
      <c r="FA83" s="465">
        <f>10819314.26+19180685.74</f>
        <v>30000000</v>
      </c>
      <c r="FB83" s="465">
        <f t="shared" si="127"/>
        <v>0</v>
      </c>
      <c r="FC83" s="505"/>
      <c r="FD83" s="505">
        <v>5000000</v>
      </c>
      <c r="FE83" s="465">
        <v>0</v>
      </c>
      <c r="FF83" s="465">
        <f t="shared" si="128"/>
        <v>5000000</v>
      </c>
      <c r="FG83" s="465"/>
      <c r="FH83" s="468">
        <v>120000000</v>
      </c>
      <c r="FI83" s="481">
        <f>23045125.25+11050375</f>
        <v>34095500.25</v>
      </c>
      <c r="FJ83" s="463">
        <f t="shared" si="89"/>
        <v>85904499.75</v>
      </c>
      <c r="FK83" s="468"/>
      <c r="FL83" s="468">
        <v>25000000</v>
      </c>
      <c r="FM83" s="468">
        <v>0</v>
      </c>
      <c r="FN83" s="468">
        <f t="shared" si="77"/>
        <v>25000000</v>
      </c>
      <c r="FO83" s="468"/>
      <c r="FP83" s="468">
        <v>5000000</v>
      </c>
      <c r="FQ83" s="468">
        <v>0</v>
      </c>
      <c r="FR83" s="468">
        <f t="shared" si="136"/>
        <v>5000000</v>
      </c>
      <c r="FS83" s="468"/>
      <c r="FT83" s="468">
        <v>30000000</v>
      </c>
      <c r="FU83" s="490">
        <f>5837444.26+24162555.74</f>
        <v>30000000</v>
      </c>
      <c r="FV83" s="468">
        <f t="shared" si="79"/>
        <v>0</v>
      </c>
      <c r="FW83" s="468"/>
      <c r="FX83" s="468">
        <v>4150000</v>
      </c>
      <c r="FY83" s="468">
        <v>0</v>
      </c>
      <c r="FZ83" s="468">
        <v>4150000</v>
      </c>
      <c r="GA83" s="468"/>
      <c r="GB83" s="468">
        <v>160000000</v>
      </c>
      <c r="GC83" s="468">
        <v>0</v>
      </c>
      <c r="GD83" s="468">
        <f>GB83-GC83</f>
        <v>160000000</v>
      </c>
      <c r="GE83" s="468"/>
      <c r="GF83" s="468">
        <v>25000000</v>
      </c>
      <c r="GG83" s="468">
        <v>0</v>
      </c>
      <c r="GH83" s="468">
        <f>GF83-GG83</f>
        <v>25000000</v>
      </c>
      <c r="GI83" s="468"/>
      <c r="GJ83" s="468">
        <v>5000000</v>
      </c>
      <c r="GK83" s="468">
        <v>0</v>
      </c>
      <c r="GL83" s="468">
        <f>GJ83-GK83</f>
        <v>5000000</v>
      </c>
      <c r="GM83" s="468"/>
      <c r="GN83" s="468">
        <v>20000000</v>
      </c>
      <c r="GO83" s="490">
        <f>4538546.26</f>
        <v>4538546.26</v>
      </c>
      <c r="GP83" s="468">
        <f>GN83-GO83</f>
        <v>15461453.74</v>
      </c>
      <c r="GQ83" s="468"/>
      <c r="GR83" s="468">
        <v>5000000</v>
      </c>
      <c r="GS83" s="468">
        <v>0</v>
      </c>
      <c r="GT83" s="468">
        <f t="shared" ref="GT83" si="137">GR83-GS83</f>
        <v>5000000</v>
      </c>
      <c r="GU83" s="468"/>
      <c r="GV83" s="465">
        <f>H83+L83+P83+T83+X83+AB83+AF83+AJ83+AN83+AR83+AV83+AZ83+BH83+BL83+BP83+BT83+BX83+D83+CB83+CF83+CJ83+CN83+CR83+BD83+DP83+CV83+CZ83+DD83+DH83+DL83+DT83+DX83+EB83+EF83+EJ83+EN83+ER83+EV83+EZ83+FD83+FH83+FL83+FP83+FT83+FX83+GB83+GF83+GJ83+GN83+GR83</f>
        <v>929150000</v>
      </c>
      <c r="GW83" s="465">
        <f t="shared" si="129"/>
        <v>527703546.50999999</v>
      </c>
      <c r="GX83" s="465">
        <f t="shared" si="130"/>
        <v>401446453.49000001</v>
      </c>
      <c r="GY83" s="470"/>
      <c r="GZ83" s="464"/>
      <c r="HA83" s="471">
        <f>D83+H83+L83+X83+AN83+BH83+CB83+CF83+CV83+DP83+DT83+EN83+FH83+GB83</f>
        <v>680000000</v>
      </c>
      <c r="HB83" s="471">
        <f>E83+I83+M83+Y83+AO83+BI83+CC83+CG83+CW83+DQ83+DU83+EO83+FI83+GC83</f>
        <v>434095500.25</v>
      </c>
      <c r="HC83" s="471">
        <f t="shared" si="131"/>
        <v>245904499.75</v>
      </c>
      <c r="HE83" s="471">
        <f>P83+AB83+AR83+
BL83+CJ83+CZ83+DX83+ER83+FL83+GF83</f>
        <v>90000000</v>
      </c>
      <c r="HF83" s="471">
        <f>Q83+AC83+AS83+
BM83+CK83+DA83+DY83+ES83+FM83+GG83</f>
        <v>4069500</v>
      </c>
      <c r="HG83" s="471">
        <f t="shared" si="132"/>
        <v>85930500</v>
      </c>
      <c r="HI83" s="471">
        <f>T83+AF83+AV83+BP83+CN83+DD83+EB83+EV83+FP83+GJ83</f>
        <v>30000000</v>
      </c>
      <c r="HJ83" s="471">
        <f>U83+AG83+AW83+BQ83+CO83+DE83+EC83+EW83+FQ83+GK83</f>
        <v>0</v>
      </c>
      <c r="HK83" s="471">
        <f t="shared" si="133"/>
        <v>30000000</v>
      </c>
      <c r="HM83" s="475">
        <f>AJ83+AZ83+BT83+CR83+DH83+EF83+EZ83+FT83+GN83</f>
        <v>105000000</v>
      </c>
      <c r="HN83" s="475">
        <f>AK83+BA83+BU83+CS83+DI83+EG83+FA83+FU83+GO83</f>
        <v>89538546.260000005</v>
      </c>
      <c r="HO83" s="475">
        <f>HM83-HN83</f>
        <v>15461453.739999995</v>
      </c>
      <c r="HP83" s="476"/>
      <c r="HR83" s="471">
        <f>BD83+BX83+DL83+EJ83+FD83+FX83+GR83</f>
        <v>24150000</v>
      </c>
      <c r="HS83" s="471">
        <f>BE83+BY83+DM83+EK83+FE83+FY83+GS83</f>
        <v>0</v>
      </c>
      <c r="HT83" s="471">
        <f>HR83-HS83</f>
        <v>24150000</v>
      </c>
    </row>
    <row r="84" spans="1:228" x14ac:dyDescent="0.25">
      <c r="A84" s="107">
        <v>78</v>
      </c>
      <c r="B84" s="515" t="s">
        <v>498</v>
      </c>
      <c r="C84" s="113"/>
      <c r="D84" s="505">
        <v>0</v>
      </c>
      <c r="E84" s="505">
        <v>0</v>
      </c>
      <c r="F84" s="505">
        <v>0</v>
      </c>
      <c r="G84" s="505">
        <v>0</v>
      </c>
      <c r="H84" s="505">
        <v>0</v>
      </c>
      <c r="I84" s="505">
        <v>0</v>
      </c>
      <c r="J84" s="505">
        <v>0</v>
      </c>
      <c r="K84" s="505">
        <v>0</v>
      </c>
      <c r="L84" s="505">
        <v>0</v>
      </c>
      <c r="M84" s="505">
        <v>0</v>
      </c>
      <c r="N84" s="505">
        <v>0</v>
      </c>
      <c r="O84" s="505">
        <v>0</v>
      </c>
      <c r="P84" s="505">
        <v>0</v>
      </c>
      <c r="Q84" s="505">
        <v>0</v>
      </c>
      <c r="R84" s="505">
        <v>0</v>
      </c>
      <c r="S84" s="505">
        <v>0</v>
      </c>
      <c r="T84" s="505">
        <v>0</v>
      </c>
      <c r="U84" s="505">
        <v>0</v>
      </c>
      <c r="V84" s="505">
        <v>0</v>
      </c>
      <c r="W84" s="505">
        <v>0</v>
      </c>
      <c r="X84" s="505">
        <v>0</v>
      </c>
      <c r="Y84" s="505">
        <v>0</v>
      </c>
      <c r="Z84" s="505">
        <v>0</v>
      </c>
      <c r="AA84" s="505">
        <v>0</v>
      </c>
      <c r="AB84" s="505">
        <v>0</v>
      </c>
      <c r="AC84" s="505">
        <v>0</v>
      </c>
      <c r="AD84" s="505">
        <v>0</v>
      </c>
      <c r="AE84" s="505">
        <v>0</v>
      </c>
      <c r="AF84" s="505">
        <v>0</v>
      </c>
      <c r="AG84" s="505">
        <v>0</v>
      </c>
      <c r="AH84" s="505">
        <v>0</v>
      </c>
      <c r="AI84" s="505">
        <v>0</v>
      </c>
      <c r="AJ84" s="505">
        <v>0</v>
      </c>
      <c r="AK84" s="505">
        <v>0</v>
      </c>
      <c r="AL84" s="505">
        <v>0</v>
      </c>
      <c r="AM84" s="505">
        <v>0</v>
      </c>
      <c r="AN84" s="505">
        <v>0</v>
      </c>
      <c r="AO84" s="505">
        <v>0</v>
      </c>
      <c r="AP84" s="505">
        <v>0</v>
      </c>
      <c r="AQ84" s="505">
        <v>0</v>
      </c>
      <c r="AR84" s="505">
        <v>0</v>
      </c>
      <c r="AS84" s="505">
        <v>0</v>
      </c>
      <c r="AT84" s="505">
        <v>0</v>
      </c>
      <c r="AU84" s="505">
        <v>0</v>
      </c>
      <c r="AV84" s="505">
        <v>0</v>
      </c>
      <c r="AW84" s="505">
        <v>0</v>
      </c>
      <c r="AX84" s="505">
        <v>0</v>
      </c>
      <c r="AY84" s="505">
        <v>0</v>
      </c>
      <c r="AZ84" s="505">
        <v>0</v>
      </c>
      <c r="BA84" s="505">
        <v>0</v>
      </c>
      <c r="BB84" s="505">
        <v>0</v>
      </c>
      <c r="BC84" s="505">
        <v>0</v>
      </c>
      <c r="BD84" s="505">
        <v>0</v>
      </c>
      <c r="BE84" s="505">
        <v>0</v>
      </c>
      <c r="BF84" s="505">
        <v>0</v>
      </c>
      <c r="BG84" s="505">
        <v>0</v>
      </c>
      <c r="BH84" s="505">
        <v>0</v>
      </c>
      <c r="BI84" s="505">
        <v>0</v>
      </c>
      <c r="BJ84" s="505">
        <v>0</v>
      </c>
      <c r="BK84" s="505">
        <v>0</v>
      </c>
      <c r="BL84" s="505">
        <v>0</v>
      </c>
      <c r="BM84" s="505">
        <v>0</v>
      </c>
      <c r="BN84" s="505">
        <v>0</v>
      </c>
      <c r="BO84" s="505">
        <v>0</v>
      </c>
      <c r="BP84" s="505">
        <v>0</v>
      </c>
      <c r="BQ84" s="505">
        <v>0</v>
      </c>
      <c r="BR84" s="505">
        <v>0</v>
      </c>
      <c r="BS84" s="505">
        <v>0</v>
      </c>
      <c r="BT84" s="505">
        <v>0</v>
      </c>
      <c r="BU84" s="505">
        <v>0</v>
      </c>
      <c r="BV84" s="505">
        <v>0</v>
      </c>
      <c r="BW84" s="505">
        <v>0</v>
      </c>
      <c r="BX84" s="505">
        <v>0</v>
      </c>
      <c r="BY84" s="505">
        <v>0</v>
      </c>
      <c r="BZ84" s="505">
        <v>0</v>
      </c>
      <c r="CA84" s="505">
        <v>0</v>
      </c>
      <c r="CB84" s="505">
        <v>0</v>
      </c>
      <c r="CC84" s="505">
        <v>0</v>
      </c>
      <c r="CD84" s="505">
        <v>0</v>
      </c>
      <c r="CE84" s="505">
        <v>0</v>
      </c>
      <c r="CF84" s="505">
        <v>0</v>
      </c>
      <c r="CG84" s="505">
        <v>0</v>
      </c>
      <c r="CH84" s="505">
        <v>0</v>
      </c>
      <c r="CI84" s="505">
        <v>0</v>
      </c>
      <c r="CJ84" s="505">
        <v>0</v>
      </c>
      <c r="CK84" s="505">
        <v>0</v>
      </c>
      <c r="CL84" s="505">
        <v>0</v>
      </c>
      <c r="CM84" s="505">
        <v>0</v>
      </c>
      <c r="CN84" s="505">
        <v>0</v>
      </c>
      <c r="CO84" s="505">
        <v>0</v>
      </c>
      <c r="CP84" s="505">
        <v>0</v>
      </c>
      <c r="CQ84" s="505">
        <v>0</v>
      </c>
      <c r="CR84" s="505">
        <v>0</v>
      </c>
      <c r="CS84" s="505">
        <v>0</v>
      </c>
      <c r="CT84" s="505">
        <v>0</v>
      </c>
      <c r="CU84" s="505">
        <v>0</v>
      </c>
      <c r="CV84" s="505">
        <v>0</v>
      </c>
      <c r="CW84" s="505">
        <v>0</v>
      </c>
      <c r="CX84" s="505">
        <v>0</v>
      </c>
      <c r="CY84" s="505">
        <v>0</v>
      </c>
      <c r="CZ84" s="505">
        <v>0</v>
      </c>
      <c r="DA84" s="505">
        <v>0</v>
      </c>
      <c r="DB84" s="505">
        <v>0</v>
      </c>
      <c r="DC84" s="505">
        <v>0</v>
      </c>
      <c r="DD84" s="505">
        <v>0</v>
      </c>
      <c r="DE84" s="505">
        <v>0</v>
      </c>
      <c r="DF84" s="505">
        <v>0</v>
      </c>
      <c r="DG84" s="505">
        <v>0</v>
      </c>
      <c r="DH84" s="505">
        <v>0</v>
      </c>
      <c r="DI84" s="505">
        <v>0</v>
      </c>
      <c r="DJ84" s="505">
        <v>0</v>
      </c>
      <c r="DK84" s="505">
        <v>0</v>
      </c>
      <c r="DL84" s="505">
        <v>0</v>
      </c>
      <c r="DM84" s="505">
        <v>0</v>
      </c>
      <c r="DN84" s="505">
        <v>0</v>
      </c>
      <c r="DO84" s="505">
        <v>0</v>
      </c>
      <c r="DP84" s="505">
        <v>0</v>
      </c>
      <c r="DQ84" s="505">
        <v>0</v>
      </c>
      <c r="DR84" s="505">
        <v>0</v>
      </c>
      <c r="DS84" s="505">
        <v>0</v>
      </c>
      <c r="DT84" s="505">
        <v>0</v>
      </c>
      <c r="DU84" s="505">
        <v>0</v>
      </c>
      <c r="DV84" s="505">
        <v>0</v>
      </c>
      <c r="DW84" s="505">
        <v>0</v>
      </c>
      <c r="DX84" s="505">
        <v>0</v>
      </c>
      <c r="DY84" s="505">
        <v>0</v>
      </c>
      <c r="DZ84" s="505">
        <v>0</v>
      </c>
      <c r="EA84" s="505">
        <v>0</v>
      </c>
      <c r="EB84" s="505">
        <v>0</v>
      </c>
      <c r="EC84" s="505">
        <v>0</v>
      </c>
      <c r="ED84" s="505">
        <v>0</v>
      </c>
      <c r="EE84" s="505">
        <v>0</v>
      </c>
      <c r="EF84" s="505">
        <v>0</v>
      </c>
      <c r="EG84" s="505">
        <v>0</v>
      </c>
      <c r="EH84" s="505">
        <v>0</v>
      </c>
      <c r="EI84" s="505">
        <v>0</v>
      </c>
      <c r="EJ84" s="505">
        <v>0</v>
      </c>
      <c r="EK84" s="505">
        <v>0</v>
      </c>
      <c r="EL84" s="505">
        <v>0</v>
      </c>
      <c r="EM84" s="505">
        <v>0</v>
      </c>
      <c r="EN84" s="505">
        <v>0</v>
      </c>
      <c r="EO84" s="505">
        <v>0</v>
      </c>
      <c r="EP84" s="505">
        <v>0</v>
      </c>
      <c r="EQ84" s="505">
        <v>0</v>
      </c>
      <c r="ER84" s="505">
        <v>0</v>
      </c>
      <c r="ES84" s="505">
        <v>0</v>
      </c>
      <c r="ET84" s="505">
        <v>0</v>
      </c>
      <c r="EU84" s="505">
        <v>0</v>
      </c>
      <c r="EV84" s="505">
        <v>0</v>
      </c>
      <c r="EW84" s="505">
        <v>0</v>
      </c>
      <c r="EX84" s="505">
        <v>0</v>
      </c>
      <c r="EY84" s="505">
        <v>0</v>
      </c>
      <c r="EZ84" s="505">
        <v>0</v>
      </c>
      <c r="FA84" s="505">
        <v>0</v>
      </c>
      <c r="FB84" s="505">
        <v>0</v>
      </c>
      <c r="FC84" s="505">
        <v>0</v>
      </c>
      <c r="FD84" s="505">
        <v>0</v>
      </c>
      <c r="FE84" s="505">
        <v>0</v>
      </c>
      <c r="FF84" s="505">
        <v>0</v>
      </c>
      <c r="FG84" s="505">
        <v>0</v>
      </c>
      <c r="FH84" s="505">
        <v>0</v>
      </c>
      <c r="FI84" s="505">
        <v>0</v>
      </c>
      <c r="FJ84" s="505">
        <v>0</v>
      </c>
      <c r="FK84" s="505">
        <v>0</v>
      </c>
      <c r="FL84" s="505">
        <v>0</v>
      </c>
      <c r="FM84" s="505">
        <v>0</v>
      </c>
      <c r="FN84" s="505">
        <v>0</v>
      </c>
      <c r="FO84" s="505">
        <v>0</v>
      </c>
      <c r="FP84" s="505">
        <v>0</v>
      </c>
      <c r="FQ84" s="505">
        <v>0</v>
      </c>
      <c r="FR84" s="505">
        <v>0</v>
      </c>
      <c r="FS84" s="505">
        <v>0</v>
      </c>
      <c r="FT84" s="505">
        <v>0</v>
      </c>
      <c r="FU84" s="505">
        <v>0</v>
      </c>
      <c r="FV84" s="505">
        <v>0</v>
      </c>
      <c r="FW84" s="505">
        <v>0</v>
      </c>
      <c r="FX84" s="505">
        <v>0</v>
      </c>
      <c r="FY84" s="505">
        <v>0</v>
      </c>
      <c r="FZ84" s="505">
        <v>0</v>
      </c>
      <c r="GA84" s="505">
        <v>0</v>
      </c>
      <c r="GB84" s="505">
        <v>0</v>
      </c>
      <c r="GC84" s="505">
        <v>0</v>
      </c>
      <c r="GD84" s="505">
        <v>0</v>
      </c>
      <c r="GE84" s="505">
        <v>0</v>
      </c>
      <c r="GF84" s="505">
        <v>0</v>
      </c>
      <c r="GG84" s="505">
        <v>0</v>
      </c>
      <c r="GH84" s="505">
        <v>0</v>
      </c>
      <c r="GI84" s="505">
        <v>0</v>
      </c>
      <c r="GJ84" s="505">
        <v>0</v>
      </c>
      <c r="GK84" s="505">
        <v>0</v>
      </c>
      <c r="GL84" s="505">
        <v>0</v>
      </c>
      <c r="GM84" s="505">
        <v>0</v>
      </c>
      <c r="GN84" s="505">
        <v>0</v>
      </c>
      <c r="GO84" s="505">
        <v>0</v>
      </c>
      <c r="GP84" s="505">
        <v>0</v>
      </c>
      <c r="GQ84" s="505">
        <v>0</v>
      </c>
      <c r="GR84" s="505">
        <v>0</v>
      </c>
      <c r="GS84" s="505">
        <v>0</v>
      </c>
      <c r="GT84" s="505">
        <v>0</v>
      </c>
      <c r="GU84" s="468"/>
      <c r="GV84" s="465">
        <f>H84+L84+P84+T84+X84+AB84+AF84+AJ84+AN84+AR84+AV84+AZ84+BH84+BL84+BP84+BT84+BX84+D84+CB84+CF84+CJ84+CN84+CR84+BD84+DP84+CV84+CZ84+DD84+DH84+DL84+DT84+DX84+EB84+EF84+EJ84+EN84+ER84+EV84+EZ84+FD84+FH84+FL84+FP84+FT84+FX84+GB84+GF84+GJ84+GN84+GR84</f>
        <v>0</v>
      </c>
      <c r="GW84" s="465">
        <f>I84+M84+Q84+U84+Y84+AC84+AG84+AK84+AO84+AS84+AW84+BA84+BI84+BM84+BQ84+BU84+BY84+E84+CC84+CG84+CK84+CO84+CS84+BE84+DQ84+CW84+DA84+DE84+DI84+DM84+DU84+DY84+EC84+EG84+EK84+EO84+ES84+EW84+FA84+FE84+FI84+FM84+FQ84+FU84+FY84+GC84+GG84+GK84+GO84+GS84</f>
        <v>0</v>
      </c>
      <c r="GX84" s="465">
        <f>GV84-GW84</f>
        <v>0</v>
      </c>
      <c r="GY84" s="470"/>
      <c r="GZ84" s="464"/>
      <c r="HA84" s="471">
        <f>D84+H84+L84+X84+AN84+BH84+CB84+CF84+CV84+DP84+DT84+EN84+FH84+GB84</f>
        <v>0</v>
      </c>
      <c r="HB84" s="471">
        <f>E84+I84+M84+Y84+AO84+BI84+CC84+CG84+CW84+DQ84+DU84+EO84+FI84+GC84</f>
        <v>0</v>
      </c>
      <c r="HC84" s="471">
        <f t="shared" si="131"/>
        <v>0</v>
      </c>
      <c r="HE84" s="471">
        <f>P84+AB84+AR84+
BL84+CJ84+CZ84+DX84+ER84+FL84+GF84</f>
        <v>0</v>
      </c>
      <c r="HF84" s="471">
        <f>Q84+AC84+AS84+
BM84+CK84+DA84+DY84+ES84+FM84+GG84</f>
        <v>0</v>
      </c>
      <c r="HG84" s="471">
        <f>HE84-HF84</f>
        <v>0</v>
      </c>
      <c r="HI84" s="471">
        <f>T84+AF84+AV84+BP84+CN84+DD84+EB84+EV84+FP84+GJ84</f>
        <v>0</v>
      </c>
      <c r="HJ84" s="471">
        <f>U84+AG84+AW84+BQ84+CO84+DE84+EC84+EW84+FQ84+GK84</f>
        <v>0</v>
      </c>
      <c r="HK84" s="471">
        <f t="shared" si="133"/>
        <v>0</v>
      </c>
      <c r="HM84" s="475">
        <f>AJ84+AZ84+BT84+CR84+DH84+EF84+EZ84+FT84+GN84</f>
        <v>0</v>
      </c>
      <c r="HN84" s="475">
        <f>AK84+BA84+BU84+CS84+DI84+EG84+FA84+FU84+GO84</f>
        <v>0</v>
      </c>
      <c r="HO84" s="475">
        <f>HM84-HN84</f>
        <v>0</v>
      </c>
      <c r="HP84" s="476"/>
      <c r="HR84" s="471">
        <f>BD84+BX84+DL84+EJ84+FD84+FX84+GR84</f>
        <v>0</v>
      </c>
      <c r="HS84" s="471">
        <f>BE84+BY84+DM84+EK84+FE84+FY84+GS84</f>
        <v>0</v>
      </c>
      <c r="HT84" s="471">
        <f>HR84-HS84</f>
        <v>0</v>
      </c>
    </row>
    <row r="85" spans="1:228" x14ac:dyDescent="0.25">
      <c r="A85" s="107"/>
      <c r="B85" s="107" t="s">
        <v>147</v>
      </c>
      <c r="C85" s="518"/>
      <c r="D85" s="465">
        <f t="shared" ref="D85:AI85" si="138">SUM(D4:D84)</f>
        <v>34500000</v>
      </c>
      <c r="E85" s="465">
        <f t="shared" si="138"/>
        <v>34500000</v>
      </c>
      <c r="F85" s="465">
        <f t="shared" si="138"/>
        <v>0</v>
      </c>
      <c r="G85" s="465">
        <f t="shared" si="138"/>
        <v>0</v>
      </c>
      <c r="H85" s="465">
        <f t="shared" si="138"/>
        <v>2630582142.5</v>
      </c>
      <c r="I85" s="465">
        <f t="shared" si="138"/>
        <v>2630582142.5</v>
      </c>
      <c r="J85" s="465">
        <f t="shared" si="138"/>
        <v>0</v>
      </c>
      <c r="K85" s="465">
        <f t="shared" si="138"/>
        <v>0</v>
      </c>
      <c r="L85" s="465">
        <f t="shared" si="138"/>
        <v>2640313782.75</v>
      </c>
      <c r="M85" s="465">
        <f t="shared" si="138"/>
        <v>2640313782.75</v>
      </c>
      <c r="N85" s="465">
        <f t="shared" si="138"/>
        <v>0</v>
      </c>
      <c r="O85" s="465">
        <f t="shared" si="138"/>
        <v>0</v>
      </c>
      <c r="P85" s="465">
        <f t="shared" si="138"/>
        <v>304697120</v>
      </c>
      <c r="Q85" s="465">
        <f t="shared" si="138"/>
        <v>304697120</v>
      </c>
      <c r="R85" s="465">
        <f t="shared" si="138"/>
        <v>0</v>
      </c>
      <c r="S85" s="465">
        <f t="shared" si="138"/>
        <v>0</v>
      </c>
      <c r="T85" s="465">
        <f t="shared" si="138"/>
        <v>88305800</v>
      </c>
      <c r="U85" s="465">
        <f t="shared" si="138"/>
        <v>88305800</v>
      </c>
      <c r="V85" s="465">
        <f t="shared" si="138"/>
        <v>0</v>
      </c>
      <c r="W85" s="465">
        <f t="shared" si="138"/>
        <v>0</v>
      </c>
      <c r="X85" s="465">
        <f t="shared" si="138"/>
        <v>3198434729</v>
      </c>
      <c r="Y85" s="465">
        <f t="shared" si="138"/>
        <v>3198434729</v>
      </c>
      <c r="Z85" s="465">
        <f t="shared" si="138"/>
        <v>0</v>
      </c>
      <c r="AA85" s="465">
        <f t="shared" si="138"/>
        <v>0</v>
      </c>
      <c r="AB85" s="465">
        <f t="shared" si="138"/>
        <v>402983827.81</v>
      </c>
      <c r="AC85" s="465">
        <f t="shared" si="138"/>
        <v>402983827.81</v>
      </c>
      <c r="AD85" s="465">
        <f t="shared" si="138"/>
        <v>0</v>
      </c>
      <c r="AE85" s="465">
        <f t="shared" si="138"/>
        <v>0</v>
      </c>
      <c r="AF85" s="465">
        <f t="shared" si="138"/>
        <v>121349910</v>
      </c>
      <c r="AG85" s="465">
        <f t="shared" si="138"/>
        <v>121349910</v>
      </c>
      <c r="AH85" s="465">
        <f t="shared" si="138"/>
        <v>0</v>
      </c>
      <c r="AI85" s="465">
        <f t="shared" si="138"/>
        <v>0</v>
      </c>
      <c r="AJ85" s="465">
        <f t="shared" ref="AJ85:CU85" si="139">SUM(AJ4:AJ84)</f>
        <v>799676936</v>
      </c>
      <c r="AK85" s="465">
        <f t="shared" si="139"/>
        <v>799676936</v>
      </c>
      <c r="AL85" s="465">
        <f t="shared" si="139"/>
        <v>0</v>
      </c>
      <c r="AM85" s="465">
        <f t="shared" si="139"/>
        <v>0</v>
      </c>
      <c r="AN85" s="465">
        <f t="shared" si="139"/>
        <v>4610000000</v>
      </c>
      <c r="AO85" s="465">
        <f t="shared" si="139"/>
        <v>4582114137</v>
      </c>
      <c r="AP85" s="465">
        <f t="shared" si="139"/>
        <v>27885863</v>
      </c>
      <c r="AQ85" s="465">
        <f t="shared" si="139"/>
        <v>0</v>
      </c>
      <c r="AR85" s="465">
        <f t="shared" si="139"/>
        <v>570000000</v>
      </c>
      <c r="AS85" s="465">
        <f t="shared" si="139"/>
        <v>509082041</v>
      </c>
      <c r="AT85" s="465">
        <f t="shared" si="139"/>
        <v>60917959</v>
      </c>
      <c r="AU85" s="465">
        <f t="shared" si="139"/>
        <v>0</v>
      </c>
      <c r="AV85" s="465">
        <f t="shared" si="139"/>
        <v>285000000</v>
      </c>
      <c r="AW85" s="465">
        <f t="shared" si="139"/>
        <v>111182795</v>
      </c>
      <c r="AX85" s="465">
        <f t="shared" si="139"/>
        <v>173817205</v>
      </c>
      <c r="AY85" s="465">
        <f t="shared" si="139"/>
        <v>0</v>
      </c>
      <c r="AZ85" s="465">
        <f t="shared" si="139"/>
        <v>1140000000</v>
      </c>
      <c r="BA85" s="465">
        <f t="shared" si="139"/>
        <v>1139904304</v>
      </c>
      <c r="BB85" s="465">
        <f t="shared" si="139"/>
        <v>95696</v>
      </c>
      <c r="BC85" s="465">
        <f t="shared" si="139"/>
        <v>0</v>
      </c>
      <c r="BD85" s="465">
        <f t="shared" si="139"/>
        <v>285000000</v>
      </c>
      <c r="BE85" s="465">
        <f t="shared" si="139"/>
        <v>155315672.19999999</v>
      </c>
      <c r="BF85" s="465">
        <f t="shared" si="139"/>
        <v>129684327.8</v>
      </c>
      <c r="BG85" s="465">
        <f t="shared" si="139"/>
        <v>0</v>
      </c>
      <c r="BH85" s="465">
        <f t="shared" si="139"/>
        <v>7540000000</v>
      </c>
      <c r="BI85" s="465">
        <f t="shared" si="139"/>
        <v>7420131096.4500008</v>
      </c>
      <c r="BJ85" s="465">
        <f t="shared" si="139"/>
        <v>119868903.5499986</v>
      </c>
      <c r="BK85" s="465">
        <f t="shared" si="139"/>
        <v>0</v>
      </c>
      <c r="BL85" s="465">
        <f t="shared" si="139"/>
        <v>580000000</v>
      </c>
      <c r="BM85" s="465">
        <f t="shared" si="139"/>
        <v>473067303.60000002</v>
      </c>
      <c r="BN85" s="465">
        <f t="shared" si="139"/>
        <v>106932696.40000001</v>
      </c>
      <c r="BO85" s="465">
        <f t="shared" si="139"/>
        <v>0</v>
      </c>
      <c r="BP85" s="465">
        <f t="shared" si="139"/>
        <v>580000000</v>
      </c>
      <c r="BQ85" s="465">
        <f t="shared" si="139"/>
        <v>187783337.75</v>
      </c>
      <c r="BR85" s="465">
        <f t="shared" si="139"/>
        <v>392216662.25</v>
      </c>
      <c r="BS85" s="465">
        <f t="shared" si="139"/>
        <v>0</v>
      </c>
      <c r="BT85" s="465">
        <f t="shared" si="139"/>
        <v>2320000000</v>
      </c>
      <c r="BU85" s="465">
        <f t="shared" si="139"/>
        <v>2296291507.4499998</v>
      </c>
      <c r="BV85" s="465">
        <f t="shared" si="139"/>
        <v>23708492.549999997</v>
      </c>
      <c r="BW85" s="465">
        <f t="shared" si="139"/>
        <v>0</v>
      </c>
      <c r="BX85" s="465">
        <f t="shared" si="139"/>
        <v>290000000</v>
      </c>
      <c r="BY85" s="465">
        <f t="shared" si="139"/>
        <v>122076120.09999999</v>
      </c>
      <c r="BZ85" s="465">
        <f t="shared" si="139"/>
        <v>167923879.90000001</v>
      </c>
      <c r="CA85" s="465">
        <f t="shared" si="139"/>
        <v>0</v>
      </c>
      <c r="CB85" s="465">
        <f t="shared" si="139"/>
        <v>74000000</v>
      </c>
      <c r="CC85" s="465">
        <f t="shared" si="139"/>
        <v>74000000</v>
      </c>
      <c r="CD85" s="465">
        <f t="shared" si="139"/>
        <v>0</v>
      </c>
      <c r="CE85" s="465">
        <f t="shared" si="139"/>
        <v>0</v>
      </c>
      <c r="CF85" s="465">
        <f t="shared" si="139"/>
        <v>9660000000</v>
      </c>
      <c r="CG85" s="465">
        <f t="shared" si="139"/>
        <v>9466967995.039999</v>
      </c>
      <c r="CH85" s="465">
        <f t="shared" si="139"/>
        <v>193032004.95999998</v>
      </c>
      <c r="CI85" s="465">
        <f t="shared" si="139"/>
        <v>0</v>
      </c>
      <c r="CJ85" s="465">
        <f t="shared" si="139"/>
        <v>1380000000</v>
      </c>
      <c r="CK85" s="465">
        <f t="shared" si="139"/>
        <v>1056924361.2999998</v>
      </c>
      <c r="CL85" s="465">
        <f t="shared" si="139"/>
        <v>323075638.69999999</v>
      </c>
      <c r="CM85" s="465">
        <f t="shared" si="139"/>
        <v>0</v>
      </c>
      <c r="CN85" s="465">
        <f t="shared" si="139"/>
        <v>690000000</v>
      </c>
      <c r="CO85" s="465">
        <f t="shared" si="139"/>
        <v>169505525.25</v>
      </c>
      <c r="CP85" s="465">
        <f t="shared" si="139"/>
        <v>520494474.75</v>
      </c>
      <c r="CQ85" s="465">
        <f t="shared" si="139"/>
        <v>0</v>
      </c>
      <c r="CR85" s="465">
        <f t="shared" si="139"/>
        <v>2760000000</v>
      </c>
      <c r="CS85" s="465">
        <f t="shared" si="139"/>
        <v>2685943241.6800003</v>
      </c>
      <c r="CT85" s="465">
        <f t="shared" si="139"/>
        <v>74056758.320000008</v>
      </c>
      <c r="CU85" s="465">
        <f t="shared" si="139"/>
        <v>0</v>
      </c>
      <c r="CV85" s="465">
        <f t="shared" ref="CV85:FG85" si="140">SUM(CV4:CV84)</f>
        <v>10950000000</v>
      </c>
      <c r="CW85" s="465">
        <f t="shared" si="140"/>
        <v>10267048979.099998</v>
      </c>
      <c r="CX85" s="465">
        <f t="shared" si="140"/>
        <v>682951020.89999998</v>
      </c>
      <c r="CY85" s="465">
        <f t="shared" si="140"/>
        <v>0</v>
      </c>
      <c r="CZ85" s="465">
        <f t="shared" si="140"/>
        <v>1460000000</v>
      </c>
      <c r="DA85" s="465">
        <f t="shared" si="140"/>
        <v>993468585.16000009</v>
      </c>
      <c r="DB85" s="465">
        <f t="shared" si="140"/>
        <v>466531414.83999997</v>
      </c>
      <c r="DC85" s="465">
        <f t="shared" si="140"/>
        <v>0</v>
      </c>
      <c r="DD85" s="465">
        <f t="shared" si="140"/>
        <v>730000000</v>
      </c>
      <c r="DE85" s="465">
        <f t="shared" si="140"/>
        <v>77874575</v>
      </c>
      <c r="DF85" s="465">
        <f t="shared" si="140"/>
        <v>652125425</v>
      </c>
      <c r="DG85" s="465">
        <f t="shared" si="140"/>
        <v>0</v>
      </c>
      <c r="DH85" s="465">
        <f t="shared" si="140"/>
        <v>3650000000</v>
      </c>
      <c r="DI85" s="465">
        <f t="shared" si="140"/>
        <v>3393378692.21</v>
      </c>
      <c r="DJ85" s="465">
        <f t="shared" si="140"/>
        <v>256621307.78999999</v>
      </c>
      <c r="DK85" s="465">
        <f t="shared" si="140"/>
        <v>0</v>
      </c>
      <c r="DL85" s="465">
        <f t="shared" si="140"/>
        <v>730000000</v>
      </c>
      <c r="DM85" s="465">
        <f t="shared" si="140"/>
        <v>189691107.40000001</v>
      </c>
      <c r="DN85" s="465">
        <f t="shared" si="140"/>
        <v>540308892.60000002</v>
      </c>
      <c r="DO85" s="465">
        <f t="shared" si="140"/>
        <v>0</v>
      </c>
      <c r="DP85" s="465">
        <f t="shared" si="140"/>
        <v>321840000</v>
      </c>
      <c r="DQ85" s="465">
        <f t="shared" si="140"/>
        <v>310242000</v>
      </c>
      <c r="DR85" s="465">
        <f t="shared" si="140"/>
        <v>11598000</v>
      </c>
      <c r="DS85" s="465">
        <f t="shared" si="140"/>
        <v>0</v>
      </c>
      <c r="DT85" s="465">
        <f t="shared" si="140"/>
        <v>7400000000</v>
      </c>
      <c r="DU85" s="465">
        <f t="shared" si="140"/>
        <v>6898782102.25</v>
      </c>
      <c r="DV85" s="465">
        <f t="shared" si="140"/>
        <v>501217897.75</v>
      </c>
      <c r="DW85" s="465">
        <f t="shared" si="140"/>
        <v>0</v>
      </c>
      <c r="DX85" s="465">
        <f t="shared" si="140"/>
        <v>1110000000</v>
      </c>
      <c r="DY85" s="465">
        <f t="shared" si="140"/>
        <v>638953306.08000004</v>
      </c>
      <c r="DZ85" s="465">
        <f t="shared" si="140"/>
        <v>471046693.92000002</v>
      </c>
      <c r="EA85" s="465">
        <f t="shared" si="140"/>
        <v>0</v>
      </c>
      <c r="EB85" s="465">
        <f t="shared" si="140"/>
        <v>740000000</v>
      </c>
      <c r="EC85" s="465">
        <f t="shared" si="140"/>
        <v>3791000</v>
      </c>
      <c r="ED85" s="465">
        <f t="shared" si="140"/>
        <v>736209000</v>
      </c>
      <c r="EE85" s="465">
        <f t="shared" si="140"/>
        <v>0</v>
      </c>
      <c r="EF85" s="465">
        <f t="shared" si="140"/>
        <v>1850000000</v>
      </c>
      <c r="EG85" s="465">
        <f t="shared" si="140"/>
        <v>1652600902.1300001</v>
      </c>
      <c r="EH85" s="465">
        <f t="shared" si="140"/>
        <v>197399097.87</v>
      </c>
      <c r="EI85" s="465">
        <f t="shared" si="140"/>
        <v>0</v>
      </c>
      <c r="EJ85" s="465">
        <f t="shared" si="140"/>
        <v>740000000</v>
      </c>
      <c r="EK85" s="465">
        <f t="shared" si="140"/>
        <v>42474898.950000003</v>
      </c>
      <c r="EL85" s="465">
        <f t="shared" si="140"/>
        <v>697525101.04999995</v>
      </c>
      <c r="EM85" s="465">
        <f t="shared" si="140"/>
        <v>0</v>
      </c>
      <c r="EN85" s="465">
        <f t="shared" si="140"/>
        <v>22200000000</v>
      </c>
      <c r="EO85" s="465">
        <f t="shared" si="140"/>
        <v>14887829757.520004</v>
      </c>
      <c r="EP85" s="465">
        <f t="shared" si="140"/>
        <v>7312170242.4799986</v>
      </c>
      <c r="EQ85" s="465">
        <f t="shared" si="140"/>
        <v>0</v>
      </c>
      <c r="ER85" s="465">
        <f t="shared" si="140"/>
        <v>1850000000</v>
      </c>
      <c r="ES85" s="465">
        <f t="shared" si="140"/>
        <v>420064968.04000002</v>
      </c>
      <c r="ET85" s="465">
        <f t="shared" si="140"/>
        <v>1429935031.96</v>
      </c>
      <c r="EU85" s="465">
        <f t="shared" si="140"/>
        <v>0</v>
      </c>
      <c r="EV85" s="465">
        <f t="shared" si="140"/>
        <v>740000000</v>
      </c>
      <c r="EW85" s="465">
        <f t="shared" si="140"/>
        <v>6885000</v>
      </c>
      <c r="EX85" s="465">
        <f t="shared" si="140"/>
        <v>733115000</v>
      </c>
      <c r="EY85" s="465">
        <f t="shared" si="140"/>
        <v>0</v>
      </c>
      <c r="EZ85" s="465">
        <f t="shared" si="140"/>
        <v>2220000000</v>
      </c>
      <c r="FA85" s="465">
        <f t="shared" si="140"/>
        <v>1634125613.75</v>
      </c>
      <c r="FB85" s="465">
        <f t="shared" si="140"/>
        <v>585874386.25</v>
      </c>
      <c r="FC85" s="465">
        <f t="shared" si="140"/>
        <v>0</v>
      </c>
      <c r="FD85" s="465">
        <f t="shared" si="140"/>
        <v>370000000</v>
      </c>
      <c r="FE85" s="465">
        <f t="shared" si="140"/>
        <v>10000000</v>
      </c>
      <c r="FF85" s="465">
        <f t="shared" si="140"/>
        <v>360000000</v>
      </c>
      <c r="FG85" s="465">
        <f t="shared" si="140"/>
        <v>0</v>
      </c>
      <c r="FH85" s="465">
        <f t="shared" ref="FH85:GT85" si="141">SUM(FH4:FH84)</f>
        <v>8880000000</v>
      </c>
      <c r="FI85" s="465">
        <f t="shared" si="141"/>
        <v>1354123349.6199996</v>
      </c>
      <c r="FJ85" s="465">
        <f t="shared" si="141"/>
        <v>7525876650.3799992</v>
      </c>
      <c r="FK85" s="465">
        <f t="shared" si="141"/>
        <v>0</v>
      </c>
      <c r="FL85" s="465">
        <f t="shared" si="141"/>
        <v>1850000000</v>
      </c>
      <c r="FM85" s="465">
        <f t="shared" si="141"/>
        <v>17874319.149999999</v>
      </c>
      <c r="FN85" s="465">
        <f t="shared" si="141"/>
        <v>1832125680.8499999</v>
      </c>
      <c r="FO85" s="465">
        <f t="shared" si="141"/>
        <v>0</v>
      </c>
      <c r="FP85" s="465">
        <f t="shared" si="141"/>
        <v>370000000</v>
      </c>
      <c r="FQ85" s="465">
        <f t="shared" si="141"/>
        <v>0</v>
      </c>
      <c r="FR85" s="465">
        <f t="shared" si="141"/>
        <v>370000000</v>
      </c>
      <c r="FS85" s="465">
        <f t="shared" si="141"/>
        <v>0</v>
      </c>
      <c r="FT85" s="465">
        <f t="shared" si="141"/>
        <v>2220000000</v>
      </c>
      <c r="FU85" s="465">
        <f t="shared" si="141"/>
        <v>638377884.03999996</v>
      </c>
      <c r="FV85" s="465">
        <f t="shared" si="141"/>
        <v>1581622115.9599998</v>
      </c>
      <c r="FW85" s="465">
        <f t="shared" si="141"/>
        <v>0</v>
      </c>
      <c r="FX85" s="465">
        <f t="shared" si="141"/>
        <v>307100000</v>
      </c>
      <c r="FY85" s="465">
        <f t="shared" si="141"/>
        <v>4720850</v>
      </c>
      <c r="FZ85" s="465">
        <f t="shared" si="141"/>
        <v>307100000</v>
      </c>
      <c r="GA85" s="465">
        <f t="shared" si="141"/>
        <v>0</v>
      </c>
      <c r="GB85" s="465">
        <f t="shared" si="141"/>
        <v>11840000000</v>
      </c>
      <c r="GC85" s="465">
        <f t="shared" si="141"/>
        <v>6959554.5499999998</v>
      </c>
      <c r="GD85" s="465">
        <f t="shared" si="141"/>
        <v>11833040445.450001</v>
      </c>
      <c r="GE85" s="465">
        <f t="shared" si="141"/>
        <v>0</v>
      </c>
      <c r="GF85" s="465">
        <f>SUM(GF4:GF84)</f>
        <v>1850000000</v>
      </c>
      <c r="GG85" s="465">
        <f t="shared" si="141"/>
        <v>0</v>
      </c>
      <c r="GH85" s="465">
        <f t="shared" si="141"/>
        <v>1850000000</v>
      </c>
      <c r="GI85" s="465">
        <f t="shared" si="141"/>
        <v>0</v>
      </c>
      <c r="GJ85" s="465">
        <f t="shared" si="141"/>
        <v>370000000</v>
      </c>
      <c r="GK85" s="465">
        <f t="shared" si="141"/>
        <v>0</v>
      </c>
      <c r="GL85" s="465">
        <f t="shared" si="141"/>
        <v>370000000</v>
      </c>
      <c r="GM85" s="465">
        <f t="shared" si="141"/>
        <v>0</v>
      </c>
      <c r="GN85" s="465">
        <f t="shared" si="141"/>
        <v>1480000000</v>
      </c>
      <c r="GO85" s="465">
        <f t="shared" si="141"/>
        <v>111335503.31</v>
      </c>
      <c r="GP85" s="465">
        <f t="shared" si="141"/>
        <v>1368664496.6900001</v>
      </c>
      <c r="GQ85" s="465">
        <f t="shared" si="141"/>
        <v>0</v>
      </c>
      <c r="GR85" s="465">
        <f t="shared" si="141"/>
        <v>370000000</v>
      </c>
      <c r="GS85" s="465">
        <f t="shared" si="141"/>
        <v>0</v>
      </c>
      <c r="GT85" s="465">
        <f t="shared" si="141"/>
        <v>370000000</v>
      </c>
      <c r="GU85" s="468"/>
      <c r="GV85" s="465">
        <f>SUM(GV4:GV84)</f>
        <v>129583784248.06</v>
      </c>
      <c r="GW85" s="465">
        <f>SUM(GW4:GW84)</f>
        <v>84231736634.139984</v>
      </c>
      <c r="GX85" s="465">
        <f>GV85-GW85</f>
        <v>45352047613.920013</v>
      </c>
      <c r="GY85" s="465"/>
      <c r="GZ85" s="464"/>
      <c r="HA85" s="471">
        <f>SUM(HA4:HA83)</f>
        <v>91979670654.25</v>
      </c>
      <c r="HB85" s="471">
        <f>SUM(HB4:HB83)</f>
        <v>63772029625.779991</v>
      </c>
      <c r="HC85" s="471">
        <f>HA85-HB85</f>
        <v>28207641028.470009</v>
      </c>
      <c r="HE85" s="471">
        <f>SUM(HE4:HE83)</f>
        <v>11357680947.810001</v>
      </c>
      <c r="HF85" s="471">
        <f>SUM(HF4:HF83)</f>
        <v>4817115832.1399994</v>
      </c>
      <c r="HG85" s="471">
        <f t="shared" ref="HG85" si="142">HE85-HF85</f>
        <v>6540565115.670002</v>
      </c>
      <c r="HI85" s="471">
        <f>SUM(HI4:HI83)</f>
        <v>4714655710</v>
      </c>
      <c r="HJ85" s="471">
        <f>SUM(HJ4:HJ83)</f>
        <v>766677943</v>
      </c>
      <c r="HK85" s="471">
        <f t="shared" si="133"/>
        <v>3947977767</v>
      </c>
      <c r="HM85" s="475">
        <f>SUM(HM4:HM83)</f>
        <v>18439676936</v>
      </c>
      <c r="HN85" s="475">
        <f>SUM(HN4:HN83)</f>
        <v>14351634584.57</v>
      </c>
      <c r="HO85" s="475">
        <f>SUM(HO4:HO83)</f>
        <v>4088042351.4299994</v>
      </c>
      <c r="HP85" s="476"/>
      <c r="HR85" s="471">
        <f>SUM(HR4:HR83)</f>
        <v>3092100000</v>
      </c>
      <c r="HS85" s="471">
        <f>SUM(HS4:HS83)</f>
        <v>524278648.64999998</v>
      </c>
      <c r="HT85" s="471">
        <f>HR85-HS85</f>
        <v>2567821351.3499999</v>
      </c>
    </row>
    <row r="86" spans="1:228" x14ac:dyDescent="0.25">
      <c r="B86" s="472"/>
      <c r="C86" s="472"/>
      <c r="H86" s="519"/>
      <c r="I86" s="519"/>
      <c r="J86" s="519"/>
      <c r="L86" s="519"/>
      <c r="M86" s="519"/>
      <c r="N86" s="519"/>
      <c r="P86" s="519"/>
      <c r="Q86" s="519"/>
      <c r="R86" s="519"/>
      <c r="T86" s="519"/>
      <c r="U86" s="519"/>
      <c r="V86" s="519"/>
      <c r="X86" s="519"/>
      <c r="Y86" s="519"/>
      <c r="Z86" s="519"/>
      <c r="AB86" s="519"/>
      <c r="AC86" s="519"/>
      <c r="AD86" s="519"/>
      <c r="AF86" s="519"/>
      <c r="AG86" s="519"/>
      <c r="AH86" s="519"/>
      <c r="AJ86" s="519"/>
      <c r="AK86" s="519"/>
      <c r="AL86" s="519"/>
      <c r="AM86" s="519"/>
      <c r="AN86" s="519"/>
      <c r="AO86" s="519"/>
      <c r="AP86" s="519"/>
      <c r="AR86" s="519"/>
      <c r="AS86" s="519"/>
      <c r="AT86" s="519"/>
      <c r="AV86" s="519"/>
      <c r="AW86" s="519"/>
      <c r="AX86" s="519"/>
      <c r="AZ86" s="519"/>
      <c r="BA86" s="519"/>
      <c r="BB86" s="519"/>
      <c r="BD86" s="519"/>
      <c r="BE86" s="519"/>
      <c r="BF86" s="519"/>
      <c r="BH86" s="519"/>
      <c r="BI86" s="519"/>
      <c r="BJ86" s="519"/>
      <c r="BL86" s="519"/>
      <c r="BM86" s="519"/>
      <c r="BN86" s="519"/>
      <c r="BP86" s="519"/>
      <c r="BQ86" s="519"/>
      <c r="BR86" s="519"/>
      <c r="BT86" s="519"/>
      <c r="BU86" s="519"/>
      <c r="BV86" s="519"/>
      <c r="BX86" s="519"/>
      <c r="BY86" s="519"/>
      <c r="BZ86" s="519"/>
      <c r="CB86" s="519"/>
      <c r="CC86" s="519"/>
      <c r="CD86" s="519"/>
      <c r="CF86" s="519"/>
      <c r="CG86" s="519"/>
      <c r="CH86" s="519"/>
      <c r="CJ86" s="519"/>
      <c r="CK86" s="519"/>
      <c r="CL86" s="519"/>
      <c r="CN86" s="519"/>
      <c r="CO86" s="519"/>
      <c r="CP86" s="519"/>
      <c r="CR86" s="519"/>
      <c r="CS86" s="519"/>
      <c r="CT86" s="519"/>
      <c r="CV86" s="519"/>
      <c r="CW86" s="519"/>
      <c r="CX86" s="519"/>
      <c r="CZ86" s="519"/>
      <c r="DA86" s="519"/>
      <c r="DB86" s="519"/>
      <c r="DD86" s="519"/>
      <c r="DE86" s="519"/>
      <c r="DF86" s="519"/>
      <c r="DH86" s="519"/>
      <c r="DI86" s="519"/>
      <c r="DJ86" s="519"/>
      <c r="DL86" s="519"/>
      <c r="DM86" s="519"/>
      <c r="DN86" s="519"/>
      <c r="DP86" s="519"/>
      <c r="DQ86" s="519"/>
      <c r="DR86" s="519"/>
      <c r="DS86" s="519"/>
      <c r="DT86" s="519"/>
      <c r="DU86" s="519"/>
      <c r="DV86" s="519"/>
      <c r="DW86" s="519"/>
      <c r="DX86" s="519"/>
      <c r="DY86" s="519"/>
      <c r="DZ86" s="519"/>
      <c r="EA86" s="519"/>
      <c r="EC86" s="519"/>
      <c r="ED86" s="519"/>
      <c r="EE86" s="519"/>
      <c r="EF86" s="519"/>
      <c r="EG86" s="519"/>
      <c r="EH86" s="519"/>
      <c r="EI86" s="519"/>
      <c r="EJ86" s="519"/>
      <c r="EK86" s="519"/>
      <c r="EL86" s="519"/>
      <c r="FB86" s="465"/>
      <c r="FH86" s="520"/>
      <c r="FI86" s="520"/>
      <c r="FJ86" s="520"/>
      <c r="FK86" s="520"/>
      <c r="FL86" s="520"/>
      <c r="FM86" s="520"/>
      <c r="FN86" s="520"/>
      <c r="FO86" s="520"/>
      <c r="FP86" s="520"/>
      <c r="FQ86" s="520"/>
      <c r="FR86" s="520"/>
      <c r="FS86" s="520"/>
      <c r="FT86" s="520"/>
      <c r="FU86" s="520"/>
      <c r="FV86" s="520"/>
      <c r="FW86" s="520"/>
      <c r="FX86" s="520"/>
      <c r="FY86" s="520"/>
      <c r="FZ86" s="520"/>
      <c r="GA86" s="520"/>
      <c r="GB86" s="520"/>
      <c r="GC86" s="520"/>
      <c r="GD86" s="520"/>
      <c r="GE86" s="520"/>
      <c r="GF86" s="520"/>
      <c r="GG86" s="520"/>
      <c r="GH86" s="520"/>
      <c r="GI86" s="520"/>
      <c r="GJ86" s="520"/>
      <c r="GK86" s="520"/>
      <c r="GL86" s="520"/>
      <c r="GM86" s="520"/>
      <c r="GN86" s="520"/>
      <c r="GO86" s="520"/>
      <c r="GP86" s="520"/>
      <c r="GQ86" s="520"/>
      <c r="GR86" s="520"/>
      <c r="GS86" s="520"/>
      <c r="GT86" s="520"/>
      <c r="GU86" s="520"/>
      <c r="GV86" s="519"/>
      <c r="GW86" s="519"/>
      <c r="GX86" s="519"/>
      <c r="GZ86" s="464"/>
    </row>
    <row r="87" spans="1:228" x14ac:dyDescent="0.25">
      <c r="B87" s="472"/>
      <c r="C87" s="472"/>
      <c r="D87" s="474"/>
      <c r="E87" s="474"/>
      <c r="F87" s="474"/>
      <c r="G87" s="474"/>
      <c r="H87" s="474"/>
      <c r="I87" s="474"/>
      <c r="J87" s="474"/>
      <c r="K87" s="474"/>
      <c r="L87" s="474"/>
      <c r="M87" s="474"/>
      <c r="N87" s="474"/>
      <c r="O87" s="474"/>
      <c r="P87" s="474"/>
      <c r="Q87" s="474"/>
      <c r="R87" s="474"/>
      <c r="S87" s="474"/>
      <c r="T87" s="474"/>
      <c r="U87" s="474"/>
      <c r="V87" s="474"/>
      <c r="W87" s="474"/>
      <c r="X87" s="474"/>
      <c r="Y87" s="474"/>
      <c r="Z87" s="474"/>
      <c r="AA87" s="474"/>
      <c r="AB87" s="474"/>
      <c r="AC87" s="474"/>
      <c r="AD87" s="474"/>
      <c r="AE87" s="474"/>
      <c r="AF87" s="474"/>
      <c r="AG87" s="474"/>
      <c r="AH87" s="474"/>
      <c r="AI87" s="474"/>
      <c r="AJ87" s="474"/>
      <c r="AK87" s="474"/>
      <c r="AL87" s="474"/>
      <c r="AM87" s="474"/>
      <c r="AN87" s="474"/>
      <c r="AO87" s="474"/>
      <c r="AP87" s="474"/>
      <c r="AQ87" s="474"/>
      <c r="AR87" s="474"/>
      <c r="AS87" s="474"/>
      <c r="AT87" s="474"/>
      <c r="AU87" s="474"/>
      <c r="AV87" s="474"/>
      <c r="AW87" s="474"/>
      <c r="AX87" s="474"/>
      <c r="AY87" s="474"/>
      <c r="AZ87" s="474"/>
      <c r="BA87" s="474"/>
      <c r="BB87" s="474"/>
      <c r="BC87" s="474"/>
      <c r="BD87" s="474"/>
      <c r="BE87" s="474"/>
      <c r="BF87" s="474"/>
      <c r="BG87" s="474"/>
      <c r="BH87" s="474"/>
      <c r="BI87" s="474"/>
      <c r="BJ87" s="474"/>
      <c r="BK87" s="474"/>
      <c r="BL87" s="474"/>
      <c r="BM87" s="474"/>
      <c r="BN87" s="474"/>
      <c r="BO87" s="474"/>
      <c r="BP87" s="474"/>
      <c r="BQ87" s="474"/>
      <c r="BR87" s="474"/>
      <c r="BS87" s="474"/>
      <c r="BT87" s="474"/>
      <c r="BU87" s="474"/>
      <c r="BV87" s="474"/>
      <c r="BW87" s="474"/>
      <c r="BX87" s="474"/>
      <c r="BY87" s="474"/>
      <c r="BZ87" s="474"/>
      <c r="CA87" s="474"/>
      <c r="CB87" s="474"/>
      <c r="CC87" s="474"/>
      <c r="CD87" s="474"/>
      <c r="CE87" s="474"/>
      <c r="CF87" s="474"/>
      <c r="CG87" s="474"/>
      <c r="CH87" s="474"/>
      <c r="CI87" s="474"/>
      <c r="CJ87" s="474"/>
      <c r="CK87" s="474"/>
      <c r="CL87" s="474"/>
      <c r="CM87" s="474"/>
      <c r="CN87" s="474"/>
      <c r="CO87" s="474"/>
      <c r="CP87" s="474"/>
      <c r="CQ87" s="474"/>
      <c r="CR87" s="474"/>
      <c r="CS87" s="474"/>
      <c r="CT87" s="474"/>
      <c r="CU87" s="474"/>
      <c r="CV87" s="474"/>
      <c r="CW87" s="474"/>
      <c r="CX87" s="474"/>
      <c r="CY87" s="474"/>
      <c r="CZ87" s="474" t="s">
        <v>499</v>
      </c>
      <c r="DA87" s="474"/>
      <c r="DB87" s="474"/>
      <c r="DC87" s="474"/>
      <c r="DD87" s="474"/>
      <c r="DE87" s="474"/>
      <c r="DF87" s="474"/>
      <c r="DG87" s="474"/>
      <c r="DH87" s="474" t="s">
        <v>500</v>
      </c>
      <c r="DJ87" s="474"/>
      <c r="DK87" s="474"/>
      <c r="DL87" s="474"/>
      <c r="DM87" s="474"/>
      <c r="DN87" s="474"/>
      <c r="DO87" s="474"/>
      <c r="DP87" s="474"/>
      <c r="DQ87" s="474"/>
      <c r="DR87" s="474"/>
      <c r="DS87" s="474"/>
      <c r="DT87" s="474"/>
      <c r="DU87" s="474"/>
      <c r="DV87" s="474"/>
      <c r="DW87" s="474"/>
      <c r="DX87" s="474"/>
      <c r="DY87" s="474"/>
      <c r="DZ87" s="474"/>
      <c r="EA87" s="474"/>
      <c r="EB87" s="474"/>
      <c r="EC87" s="474"/>
      <c r="ED87" s="474"/>
      <c r="EE87" s="474"/>
      <c r="EF87" s="474"/>
      <c r="EG87" s="474"/>
      <c r="EH87" s="474"/>
      <c r="EI87" s="474"/>
      <c r="EJ87" s="474"/>
      <c r="EK87" s="474"/>
      <c r="EL87" s="474"/>
      <c r="EM87" s="474"/>
      <c r="EN87" s="474"/>
      <c r="EO87" s="474"/>
      <c r="EP87" s="474"/>
      <c r="EQ87" s="474"/>
      <c r="ER87" s="474"/>
      <c r="ES87" s="474"/>
      <c r="ET87" s="474"/>
      <c r="EU87" s="474"/>
      <c r="EV87" s="474"/>
      <c r="EW87" s="474"/>
      <c r="EX87" s="474"/>
      <c r="EY87" s="474"/>
      <c r="EZ87" s="474"/>
      <c r="FA87" s="474"/>
      <c r="FB87" s="474"/>
      <c r="FC87" s="474"/>
      <c r="FD87" s="474"/>
      <c r="FE87" s="474"/>
      <c r="FF87" s="474"/>
      <c r="FG87" s="474"/>
      <c r="FH87" s="520"/>
      <c r="FI87" s="520"/>
      <c r="FJ87" s="520"/>
      <c r="FK87" s="520"/>
      <c r="FL87" s="520"/>
      <c r="FM87" s="520"/>
      <c r="FN87" s="520"/>
      <c r="FO87" s="520"/>
      <c r="FP87" s="520"/>
      <c r="FQ87" s="520"/>
      <c r="FR87" s="520"/>
      <c r="FS87" s="520"/>
      <c r="FT87" s="520"/>
      <c r="FU87" s="520"/>
      <c r="FV87" s="520"/>
      <c r="FW87" s="520"/>
      <c r="FX87" s="520"/>
      <c r="FY87" s="520"/>
      <c r="FZ87" s="520"/>
      <c r="GA87" s="520"/>
      <c r="GB87" s="520"/>
      <c r="GC87" s="520"/>
      <c r="GD87" s="520"/>
      <c r="GE87" s="520"/>
      <c r="GF87" s="520"/>
      <c r="GG87" s="520"/>
      <c r="GH87" s="520"/>
      <c r="GI87" s="520"/>
      <c r="GJ87" s="520"/>
      <c r="GK87" s="520"/>
      <c r="GL87" s="520"/>
      <c r="GM87" s="520"/>
      <c r="GN87" s="520"/>
      <c r="GO87" s="520"/>
      <c r="GP87" s="520"/>
      <c r="GQ87" s="520"/>
      <c r="GR87" s="520"/>
      <c r="GS87" s="520"/>
      <c r="GT87" s="520"/>
      <c r="GU87" s="520"/>
      <c r="GV87" s="474"/>
      <c r="GW87" s="474"/>
      <c r="GX87" s="474"/>
      <c r="GY87" s="474"/>
      <c r="GZ87" s="474"/>
      <c r="HA87" s="474"/>
      <c r="HB87" s="474"/>
      <c r="HC87" s="474"/>
      <c r="HD87" s="474"/>
      <c r="HE87" s="474"/>
      <c r="HF87" s="474"/>
      <c r="HG87" s="474"/>
      <c r="HH87" s="474"/>
      <c r="HI87" s="474"/>
      <c r="HJ87" s="474"/>
      <c r="HK87" s="474"/>
      <c r="HL87" s="474"/>
      <c r="HM87" s="474"/>
      <c r="HN87" s="474"/>
      <c r="HO87" s="474"/>
      <c r="HP87" s="474"/>
      <c r="HQ87" s="474"/>
      <c r="HR87" s="474"/>
      <c r="HS87" s="474"/>
      <c r="HT87" s="474"/>
    </row>
    <row r="88" spans="1:228" ht="31.5" x14ac:dyDescent="0.25">
      <c r="B88" s="472"/>
      <c r="C88" s="472"/>
      <c r="CZ88" s="472" t="s">
        <v>501</v>
      </c>
      <c r="DH88" s="472" t="s">
        <v>502</v>
      </c>
      <c r="FH88" s="520"/>
      <c r="FI88" s="520"/>
      <c r="FJ88" s="520"/>
      <c r="FK88" s="520"/>
      <c r="FL88" s="520"/>
      <c r="FM88" s="520"/>
      <c r="FN88" s="520"/>
      <c r="FO88" s="520"/>
      <c r="FP88" s="520"/>
      <c r="FQ88" s="520"/>
      <c r="FR88" s="520"/>
      <c r="FS88" s="520"/>
      <c r="FT88" s="520"/>
      <c r="FU88" s="520"/>
      <c r="FV88" s="520"/>
      <c r="FW88" s="520"/>
      <c r="FX88" s="520"/>
      <c r="FY88" s="520"/>
      <c r="FZ88" s="520"/>
      <c r="GA88" s="520"/>
      <c r="GB88" s="520"/>
      <c r="GC88" s="520"/>
      <c r="GD88" s="520"/>
      <c r="GE88" s="520"/>
      <c r="GF88" s="520"/>
      <c r="GG88" s="520"/>
      <c r="GH88" s="520"/>
      <c r="GI88" s="520"/>
      <c r="GJ88" s="520"/>
      <c r="GK88" s="520"/>
      <c r="GL88" s="520"/>
      <c r="GM88" s="520"/>
      <c r="GN88" s="520"/>
      <c r="GO88" s="520"/>
      <c r="GP88" s="520"/>
      <c r="GQ88" s="520"/>
      <c r="GR88" s="520"/>
      <c r="GS88" s="520"/>
      <c r="GT88" s="520"/>
      <c r="GU88" s="520"/>
      <c r="GZ88" s="464"/>
      <c r="HA88" s="473"/>
      <c r="HC88" s="472" t="s">
        <v>503</v>
      </c>
      <c r="HG88" s="472" t="s">
        <v>504</v>
      </c>
      <c r="HN88" s="474"/>
      <c r="HQ88" s="445" t="s">
        <v>504</v>
      </c>
    </row>
  </sheetData>
  <mergeCells count="51">
    <mergeCell ref="HI2:HK2"/>
    <mergeCell ref="HM2:HO2"/>
    <mergeCell ref="HR2:HT2"/>
    <mergeCell ref="GF1:GH1"/>
    <mergeCell ref="GJ1:GL1"/>
    <mergeCell ref="GN1:GP1"/>
    <mergeCell ref="GR1:GT1"/>
    <mergeCell ref="HA2:HC2"/>
    <mergeCell ref="HE2:HG2"/>
    <mergeCell ref="FH1:FJ1"/>
    <mergeCell ref="FL1:FN1"/>
    <mergeCell ref="FP1:FR1"/>
    <mergeCell ref="FT1:FV1"/>
    <mergeCell ref="FX1:FZ1"/>
    <mergeCell ref="GB1:GD1"/>
    <mergeCell ref="EJ1:EL1"/>
    <mergeCell ref="EN1:EP1"/>
    <mergeCell ref="ER1:ET1"/>
    <mergeCell ref="EV1:EX1"/>
    <mergeCell ref="EZ1:FB1"/>
    <mergeCell ref="FD1:FF1"/>
    <mergeCell ref="DH1:DJ1"/>
    <mergeCell ref="DL1:DN1"/>
    <mergeCell ref="DT1:DV1"/>
    <mergeCell ref="DX1:DZ1"/>
    <mergeCell ref="EB1:ED1"/>
    <mergeCell ref="EF1:EH1"/>
    <mergeCell ref="CJ1:CL1"/>
    <mergeCell ref="CN1:CP1"/>
    <mergeCell ref="CR1:CT1"/>
    <mergeCell ref="CV1:CX1"/>
    <mergeCell ref="CZ1:DB1"/>
    <mergeCell ref="DD1:DF1"/>
    <mergeCell ref="BD1:BF1"/>
    <mergeCell ref="BH1:BJ1"/>
    <mergeCell ref="BL1:BN1"/>
    <mergeCell ref="BP1:BR1"/>
    <mergeCell ref="BT1:BV1"/>
    <mergeCell ref="BX1:BZ1"/>
    <mergeCell ref="AB1:AD1"/>
    <mergeCell ref="AF1:AH1"/>
    <mergeCell ref="AJ1:AL1"/>
    <mergeCell ref="AR1:AT1"/>
    <mergeCell ref="AV1:AX1"/>
    <mergeCell ref="AZ1:BB1"/>
    <mergeCell ref="D1:E1"/>
    <mergeCell ref="H1:J1"/>
    <mergeCell ref="L1:N1"/>
    <mergeCell ref="P1:R1"/>
    <mergeCell ref="T1:V1"/>
    <mergeCell ref="X1:Z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M65"/>
  <sheetViews>
    <sheetView topLeftCell="HK1" workbookViewId="0">
      <selection activeCell="E72" sqref="E72"/>
    </sheetView>
  </sheetViews>
  <sheetFormatPr defaultColWidth="9.140625" defaultRowHeight="15.75" x14ac:dyDescent="0.25"/>
  <cols>
    <col min="1" max="1" width="5.28515625" style="472" customWidth="1"/>
    <col min="2" max="2" width="64.5703125" style="568" customWidth="1"/>
    <col min="3" max="3" width="8" style="568" customWidth="1"/>
    <col min="4" max="4" width="24.85546875" style="519" customWidth="1"/>
    <col min="5" max="5" width="28.28515625" style="519" customWidth="1"/>
    <col min="6" max="6" width="16.5703125" style="519" customWidth="1"/>
    <col min="7" max="7" width="1.28515625" style="519" customWidth="1"/>
    <col min="8" max="8" width="20.5703125" style="472" bestFit="1" customWidth="1"/>
    <col min="9" max="9" width="19.28515625" style="472" bestFit="1" customWidth="1"/>
    <col min="10" max="10" width="17.7109375" style="472" bestFit="1" customWidth="1"/>
    <col min="11" max="11" width="1.28515625" style="519" customWidth="1"/>
    <col min="12" max="13" width="19.28515625" style="472" bestFit="1" customWidth="1"/>
    <col min="14" max="14" width="18.85546875" style="472" bestFit="1" customWidth="1"/>
    <col min="15" max="15" width="4.85546875" style="519" customWidth="1"/>
    <col min="16" max="16" width="18.7109375" style="472" bestFit="1" customWidth="1"/>
    <col min="17" max="17" width="19.5703125" style="472" customWidth="1"/>
    <col min="18" max="18" width="23" style="472" bestFit="1" customWidth="1"/>
    <col min="19" max="19" width="8.42578125" style="519" customWidth="1"/>
    <col min="20" max="20" width="19" style="472" customWidth="1"/>
    <col min="21" max="21" width="22.7109375" style="472" customWidth="1"/>
    <col min="22" max="22" width="21.85546875" style="472" customWidth="1"/>
    <col min="23" max="23" width="3.42578125" style="519" customWidth="1"/>
    <col min="24" max="24" width="22.5703125" style="472" customWidth="1"/>
    <col min="25" max="25" width="24.42578125" style="472" bestFit="1" customWidth="1"/>
    <col min="26" max="26" width="20.7109375" style="472" bestFit="1" customWidth="1"/>
    <col min="27" max="27" width="4.42578125" style="519" customWidth="1"/>
    <col min="28" max="28" width="20.42578125" style="472" bestFit="1" customWidth="1"/>
    <col min="29" max="29" width="17.42578125" style="472" bestFit="1" customWidth="1"/>
    <col min="30" max="30" width="17.5703125" style="472" bestFit="1" customWidth="1"/>
    <col min="31" max="31" width="5" style="519" customWidth="1"/>
    <col min="32" max="32" width="17.42578125" style="472" bestFit="1" customWidth="1"/>
    <col min="33" max="33" width="17.140625" style="472" customWidth="1"/>
    <col min="34" max="34" width="17.5703125" style="472" bestFit="1" customWidth="1"/>
    <col min="35" max="35" width="8.28515625" style="519" customWidth="1"/>
    <col min="36" max="37" width="17.42578125" style="472" bestFit="1" customWidth="1"/>
    <col min="38" max="38" width="16.5703125" style="472" customWidth="1"/>
    <col min="39" max="39" width="8" style="472" customWidth="1"/>
    <col min="40" max="40" width="19.28515625" style="472" bestFit="1" customWidth="1"/>
    <col min="41" max="41" width="25.85546875" style="472" bestFit="1" customWidth="1"/>
    <col min="42" max="42" width="19.42578125" style="472" bestFit="1" customWidth="1"/>
    <col min="43" max="43" width="4.42578125" style="519" customWidth="1"/>
    <col min="44" max="45" width="17.42578125" style="472" bestFit="1" customWidth="1"/>
    <col min="46" max="46" width="17.5703125" style="472" bestFit="1" customWidth="1"/>
    <col min="47" max="47" width="6.140625" style="519" customWidth="1"/>
    <col min="48" max="48" width="17.42578125" style="472" bestFit="1" customWidth="1"/>
    <col min="49" max="49" width="22.28515625" style="472" bestFit="1" customWidth="1"/>
    <col min="50" max="50" width="17.5703125" style="472" bestFit="1" customWidth="1"/>
    <col min="51" max="51" width="3.140625" style="519" customWidth="1"/>
    <col min="52" max="52" width="19.28515625" style="472" bestFit="1" customWidth="1"/>
    <col min="53" max="53" width="19.140625" style="472" customWidth="1"/>
    <col min="54" max="54" width="16.140625" style="472" customWidth="1"/>
    <col min="55" max="55" width="3.85546875" style="519" customWidth="1"/>
    <col min="56" max="56" width="18.42578125" style="472" customWidth="1"/>
    <col min="57" max="57" width="19.140625" style="472" customWidth="1"/>
    <col min="58" max="58" width="20" style="472" customWidth="1"/>
    <col min="59" max="59" width="4.140625" style="519" customWidth="1"/>
    <col min="60" max="61" width="19.28515625" style="472" bestFit="1" customWidth="1"/>
    <col min="62" max="62" width="19.7109375" style="472" bestFit="1" customWidth="1"/>
    <col min="63" max="63" width="4.5703125" style="519" customWidth="1"/>
    <col min="64" max="64" width="19.28515625" style="472" bestFit="1" customWidth="1"/>
    <col min="65" max="65" width="20.28515625" style="472" customWidth="1"/>
    <col min="66" max="66" width="19.28515625" style="472" customWidth="1"/>
    <col min="67" max="67" width="18.85546875" style="519" customWidth="1"/>
    <col min="68" max="68" width="18.7109375" style="472" customWidth="1"/>
    <col min="69" max="69" width="23.7109375" style="472" customWidth="1"/>
    <col min="70" max="70" width="17.5703125" style="472" bestFit="1" customWidth="1"/>
    <col min="71" max="71" width="16" style="519" bestFit="1" customWidth="1"/>
    <col min="72" max="72" width="19.28515625" style="472" bestFit="1" customWidth="1"/>
    <col min="73" max="73" width="22.28515625" style="472" bestFit="1" customWidth="1"/>
    <col min="74" max="74" width="19.42578125" style="472" bestFit="1" customWidth="1"/>
    <col min="75" max="75" width="7.140625" style="519" customWidth="1"/>
    <col min="76" max="76" width="19.140625" style="472" customWidth="1"/>
    <col min="77" max="77" width="19.5703125" style="472" customWidth="1"/>
    <col min="78" max="78" width="20" style="472" customWidth="1"/>
    <col min="79" max="79" width="5.85546875" style="519" customWidth="1"/>
    <col min="80" max="80" width="19.85546875" style="472" customWidth="1"/>
    <col min="81" max="81" width="18.28515625" style="472" customWidth="1"/>
    <col min="82" max="82" width="21.28515625" style="472" customWidth="1"/>
    <col min="83" max="83" width="6.5703125" style="519" customWidth="1"/>
    <col min="84" max="84" width="18.28515625" style="472" customWidth="1"/>
    <col min="85" max="85" width="19.5703125" style="472" customWidth="1"/>
    <col min="86" max="86" width="20.5703125" style="472" customWidth="1"/>
    <col min="87" max="87" width="5.5703125" style="519" customWidth="1"/>
    <col min="88" max="89" width="20.5703125" style="472" customWidth="1"/>
    <col min="90" max="90" width="22" style="472" customWidth="1"/>
    <col min="91" max="91" width="4.140625" style="519" customWidth="1"/>
    <col min="92" max="92" width="19.7109375" style="472" customWidth="1"/>
    <col min="93" max="93" width="20.28515625" style="472" customWidth="1"/>
    <col min="94" max="94" width="21.42578125" style="472" customWidth="1"/>
    <col min="95" max="95" width="4.5703125" style="519" customWidth="1"/>
    <col min="96" max="96" width="22.28515625" style="472" customWidth="1"/>
    <col min="97" max="97" width="20.5703125" style="472" customWidth="1"/>
    <col min="98" max="98" width="26.42578125" style="472" customWidth="1"/>
    <col min="99" max="99" width="4" style="519" customWidth="1"/>
    <col min="100" max="100" width="23.28515625" style="472" customWidth="1"/>
    <col min="101" max="101" width="19.5703125" style="472" customWidth="1"/>
    <col min="102" max="102" width="26.42578125" style="472" customWidth="1"/>
    <col min="103" max="103" width="5.85546875" style="519" customWidth="1"/>
    <col min="104" max="104" width="25.5703125" style="472" customWidth="1"/>
    <col min="105" max="105" width="24" style="472" customWidth="1"/>
    <col min="106" max="106" width="23.42578125" style="472" customWidth="1"/>
    <col min="107" max="107" width="21.5703125" style="519" customWidth="1"/>
    <col min="108" max="109" width="20.28515625" style="472" bestFit="1" customWidth="1"/>
    <col min="110" max="110" width="24" style="472" customWidth="1"/>
    <col min="111" max="111" width="2.140625" style="519" customWidth="1"/>
    <col min="112" max="113" width="19.5703125" style="472" customWidth="1"/>
    <col min="114" max="114" width="19.140625" style="472" bestFit="1" customWidth="1"/>
    <col min="115" max="115" width="6.28515625" style="519" customWidth="1"/>
    <col min="116" max="116" width="20.5703125" style="472" customWidth="1"/>
    <col min="117" max="117" width="22.140625" style="472" bestFit="1" customWidth="1"/>
    <col min="118" max="118" width="20.28515625" style="472" bestFit="1" customWidth="1"/>
    <col min="119" max="119" width="5.42578125" style="519" customWidth="1"/>
    <col min="120" max="120" width="20.28515625" style="472" bestFit="1" customWidth="1"/>
    <col min="121" max="121" width="22.140625" style="472" bestFit="1" customWidth="1"/>
    <col min="122" max="122" width="20.5703125" style="472" customWidth="1"/>
    <col min="123" max="123" width="6.5703125" style="472" customWidth="1"/>
    <col min="124" max="126" width="20.5703125" style="472" customWidth="1"/>
    <col min="127" max="127" width="16.140625" style="472" customWidth="1"/>
    <col min="128" max="128" width="20" style="472" customWidth="1"/>
    <col min="129" max="130" width="20.5703125" style="472" customWidth="1"/>
    <col min="131" max="131" width="5.5703125" style="472" customWidth="1"/>
    <col min="132" max="134" width="20.5703125" style="472" customWidth="1"/>
    <col min="135" max="135" width="3.7109375" style="472" customWidth="1"/>
    <col min="136" max="138" width="20.5703125" style="472" customWidth="1"/>
    <col min="139" max="139" width="20" style="472" customWidth="1"/>
    <col min="140" max="142" width="21.7109375" style="472" customWidth="1"/>
    <col min="143" max="143" width="4.42578125" style="519" customWidth="1"/>
    <col min="144" max="146" width="23.7109375" style="519" customWidth="1"/>
    <col min="147" max="147" width="5.42578125" style="519" customWidth="1"/>
    <col min="148" max="150" width="23.7109375" style="519" customWidth="1"/>
    <col min="151" max="151" width="6.42578125" style="519" customWidth="1"/>
    <col min="152" max="152" width="23.7109375" style="519" customWidth="1"/>
    <col min="153" max="153" width="20.7109375" style="519" customWidth="1"/>
    <col min="154" max="154" width="23.7109375" style="519" customWidth="1"/>
    <col min="155" max="155" width="6.28515625" style="519" customWidth="1"/>
    <col min="156" max="158" width="23.7109375" style="519" customWidth="1"/>
    <col min="159" max="159" width="5.7109375" style="519" customWidth="1"/>
    <col min="160" max="162" width="23.7109375" style="519" customWidth="1"/>
    <col min="163" max="163" width="5.28515625" style="519" customWidth="1"/>
    <col min="164" max="166" width="20.7109375" style="519" customWidth="1"/>
    <col min="167" max="167" width="4.7109375" style="519" customWidth="1"/>
    <col min="168" max="170" width="20.7109375" style="519" customWidth="1"/>
    <col min="171" max="171" width="4.42578125" style="519" customWidth="1"/>
    <col min="172" max="174" width="20.7109375" style="519" customWidth="1"/>
    <col min="175" max="175" width="4.85546875" style="519" customWidth="1"/>
    <col min="176" max="178" width="20.7109375" style="519" customWidth="1"/>
    <col min="179" max="179" width="5.140625" style="519" customWidth="1"/>
    <col min="180" max="182" width="20.7109375" style="519" customWidth="1"/>
    <col min="183" max="183" width="5.7109375" style="519" customWidth="1"/>
    <col min="184" max="184" width="19.7109375" style="519" customWidth="1"/>
    <col min="185" max="185" width="17" style="519" customWidth="1"/>
    <col min="186" max="186" width="19.5703125" style="519" customWidth="1"/>
    <col min="187" max="187" width="5.7109375" style="519" customWidth="1"/>
    <col min="188" max="188" width="19.85546875" style="519" customWidth="1"/>
    <col min="189" max="189" width="17.28515625" style="519" customWidth="1"/>
    <col min="190" max="190" width="19.28515625" style="519" customWidth="1"/>
    <col min="191" max="191" width="5.7109375" style="519" customWidth="1"/>
    <col min="192" max="192" width="18.28515625" style="519" customWidth="1"/>
    <col min="193" max="193" width="15.28515625" style="519" customWidth="1"/>
    <col min="194" max="194" width="17.42578125" style="519" customWidth="1"/>
    <col min="195" max="195" width="5.7109375" style="519" customWidth="1"/>
    <col min="196" max="196" width="20" style="519" customWidth="1"/>
    <col min="197" max="197" width="17" style="519" customWidth="1"/>
    <col min="198" max="198" width="18.85546875" style="519" customWidth="1"/>
    <col min="199" max="199" width="5.7109375" style="519" customWidth="1"/>
    <col min="200" max="200" width="18" style="519" customWidth="1"/>
    <col min="201" max="201" width="18.85546875" style="519" customWidth="1"/>
    <col min="202" max="202" width="17.42578125" style="519" customWidth="1"/>
    <col min="203" max="203" width="5.7109375" style="519" customWidth="1"/>
    <col min="204" max="204" width="26" style="472" customWidth="1"/>
    <col min="205" max="205" width="21.5703125" style="472" customWidth="1"/>
    <col min="206" max="206" width="20.42578125" style="472" customWidth="1"/>
    <col min="207" max="207" width="5" style="519" customWidth="1"/>
    <col min="208" max="208" width="22.85546875" style="472" customWidth="1"/>
    <col min="209" max="209" width="22.7109375" style="472" customWidth="1"/>
    <col min="210" max="210" width="22.28515625" style="472" customWidth="1"/>
    <col min="211" max="211" width="20.5703125" style="472" customWidth="1"/>
    <col min="212" max="212" width="6.28515625" style="472" customWidth="1"/>
    <col min="213" max="213" width="22.5703125" style="472" customWidth="1"/>
    <col min="214" max="214" width="22.85546875" style="472" customWidth="1"/>
    <col min="215" max="215" width="20.85546875" style="472" customWidth="1"/>
    <col min="216" max="216" width="4.5703125" style="472" customWidth="1"/>
    <col min="217" max="217" width="24.42578125" style="472" customWidth="1"/>
    <col min="218" max="218" width="23.140625" style="472" customWidth="1"/>
    <col min="219" max="219" width="19.7109375" style="472" customWidth="1"/>
    <col min="220" max="220" width="17.42578125" style="472" customWidth="1"/>
    <col min="221" max="221" width="19.7109375" style="472" customWidth="1"/>
    <col min="222" max="222" width="23.140625" style="472" customWidth="1"/>
    <col min="223" max="223" width="22.85546875" style="472" customWidth="1"/>
    <col min="224" max="224" width="6.140625" style="472" customWidth="1"/>
    <col min="225" max="225" width="19.140625" style="472" customWidth="1"/>
    <col min="226" max="226" width="21.28515625" style="472" customWidth="1"/>
    <col min="227" max="227" width="21.42578125" style="472" customWidth="1"/>
    <col min="228" max="228" width="15.42578125" style="472" customWidth="1"/>
    <col min="229" max="229" width="17.42578125" style="472" customWidth="1"/>
    <col min="230" max="230" width="21.42578125" style="472" customWidth="1"/>
    <col min="231" max="232" width="21" style="472" customWidth="1"/>
    <col min="233" max="233" width="18.28515625" style="472" customWidth="1"/>
    <col min="234" max="234" width="21.140625" style="472" customWidth="1"/>
    <col min="235" max="235" width="9.140625" style="472"/>
    <col min="236" max="236" width="9.28515625" style="472" bestFit="1" customWidth="1"/>
    <col min="237" max="237" width="20.42578125" style="472" customWidth="1"/>
    <col min="238" max="239" width="9.140625" style="472"/>
    <col min="240" max="242" width="16.85546875" style="472" bestFit="1" customWidth="1"/>
    <col min="243" max="243" width="9.140625" style="472"/>
    <col min="244" max="244" width="15.7109375" style="472" bestFit="1" customWidth="1"/>
    <col min="245" max="245" width="16.85546875" style="472" bestFit="1" customWidth="1"/>
    <col min="246" max="246" width="9.140625" style="472"/>
    <col min="247" max="247" width="19.85546875" style="472" bestFit="1" customWidth="1"/>
    <col min="248" max="248" width="18.7109375" style="472" bestFit="1" customWidth="1"/>
    <col min="249" max="16384" width="9.140625" style="472"/>
  </cols>
  <sheetData>
    <row r="1" spans="1:227" x14ac:dyDescent="0.25">
      <c r="A1" s="472" t="s">
        <v>506</v>
      </c>
      <c r="B1" s="452">
        <v>8</v>
      </c>
      <c r="C1" s="452"/>
      <c r="D1" s="532" t="s">
        <v>411</v>
      </c>
      <c r="E1" s="532"/>
      <c r="F1" s="533"/>
      <c r="G1" s="534"/>
      <c r="H1" s="472" t="s">
        <v>412</v>
      </c>
      <c r="K1" s="534"/>
      <c r="L1" s="472" t="s">
        <v>413</v>
      </c>
      <c r="O1" s="534"/>
      <c r="P1" s="472" t="s">
        <v>414</v>
      </c>
      <c r="S1" s="534"/>
      <c r="T1" s="472" t="s">
        <v>415</v>
      </c>
      <c r="W1" s="534"/>
      <c r="X1" s="472" t="s">
        <v>507</v>
      </c>
      <c r="AA1" s="534"/>
      <c r="AB1" s="472" t="s">
        <v>508</v>
      </c>
      <c r="AE1" s="534"/>
      <c r="AF1" s="472" t="s">
        <v>509</v>
      </c>
      <c r="AI1" s="534"/>
      <c r="AJ1" s="449" t="s">
        <v>510</v>
      </c>
      <c r="AK1" s="449"/>
      <c r="AL1" s="449"/>
      <c r="AM1" s="449"/>
      <c r="AN1" s="453" t="s">
        <v>511</v>
      </c>
      <c r="AO1" s="453"/>
      <c r="AP1" s="453"/>
      <c r="AQ1" s="534"/>
      <c r="AR1" s="472" t="s">
        <v>421</v>
      </c>
      <c r="AU1" s="534"/>
      <c r="AV1" s="472" t="s">
        <v>512</v>
      </c>
      <c r="AY1" s="534"/>
      <c r="AZ1" s="472" t="s">
        <v>513</v>
      </c>
      <c r="BC1" s="534"/>
      <c r="BD1" s="472" t="s">
        <v>425</v>
      </c>
      <c r="BG1" s="534"/>
      <c r="BH1" s="472" t="s">
        <v>426</v>
      </c>
      <c r="BK1" s="534"/>
      <c r="BL1" s="472" t="s">
        <v>427</v>
      </c>
      <c r="BO1" s="534"/>
      <c r="BQ1" s="455" t="s">
        <v>428</v>
      </c>
      <c r="BR1" s="455"/>
      <c r="BS1" s="534"/>
      <c r="BU1" s="455" t="s">
        <v>429</v>
      </c>
      <c r="BV1" s="455"/>
      <c r="BW1" s="534"/>
      <c r="BX1" s="453" t="s">
        <v>431</v>
      </c>
      <c r="BY1" s="453"/>
      <c r="BZ1" s="453"/>
      <c r="CA1" s="534"/>
      <c r="CB1" s="455" t="s">
        <v>432</v>
      </c>
      <c r="CC1" s="455"/>
      <c r="CD1" s="455"/>
      <c r="CE1" s="534"/>
      <c r="CG1" s="455" t="s">
        <v>433</v>
      </c>
      <c r="CH1" s="455"/>
      <c r="CI1" s="534"/>
      <c r="CK1" s="455" t="s">
        <v>434</v>
      </c>
      <c r="CL1" s="455"/>
      <c r="CM1" s="534"/>
      <c r="CO1" s="455" t="s">
        <v>514</v>
      </c>
      <c r="CP1" s="455"/>
      <c r="CQ1" s="534"/>
      <c r="CR1" s="453" t="s">
        <v>435</v>
      </c>
      <c r="CS1" s="453"/>
      <c r="CT1" s="453"/>
      <c r="CU1" s="534"/>
      <c r="CV1" s="455" t="s">
        <v>436</v>
      </c>
      <c r="CW1" s="455"/>
      <c r="CX1" s="455"/>
      <c r="CY1" s="534"/>
      <c r="DA1" s="455" t="s">
        <v>437</v>
      </c>
      <c r="DB1" s="455"/>
      <c r="DC1" s="534"/>
      <c r="DE1" s="455" t="s">
        <v>438</v>
      </c>
      <c r="DF1" s="455"/>
      <c r="DG1" s="534"/>
      <c r="DI1" s="455" t="s">
        <v>439</v>
      </c>
      <c r="DJ1" s="455"/>
      <c r="DK1" s="534"/>
      <c r="DN1" s="523"/>
      <c r="DO1" s="534"/>
      <c r="DT1" s="453" t="s">
        <v>441</v>
      </c>
      <c r="DU1" s="453"/>
      <c r="DV1" s="453"/>
      <c r="DW1" s="448"/>
      <c r="DX1" s="453" t="s">
        <v>442</v>
      </c>
      <c r="DY1" s="453"/>
      <c r="DZ1" s="453"/>
      <c r="EA1" s="454"/>
      <c r="EB1" s="453" t="s">
        <v>443</v>
      </c>
      <c r="EC1" s="453"/>
      <c r="ED1" s="453"/>
      <c r="EE1" s="448"/>
      <c r="EF1" s="453" t="s">
        <v>444</v>
      </c>
      <c r="EG1" s="453"/>
      <c r="EH1" s="453"/>
      <c r="EI1" s="448"/>
      <c r="EJ1" s="453" t="s">
        <v>445</v>
      </c>
      <c r="EK1" s="453"/>
      <c r="EL1" s="453"/>
      <c r="EM1" s="535"/>
      <c r="EN1" s="453" t="s">
        <v>446</v>
      </c>
      <c r="EO1" s="453"/>
      <c r="EP1" s="453"/>
      <c r="EQ1" s="535"/>
      <c r="ER1" s="453" t="s">
        <v>447</v>
      </c>
      <c r="ES1" s="453"/>
      <c r="ET1" s="453"/>
      <c r="EU1" s="535"/>
      <c r="EV1" s="453" t="s">
        <v>448</v>
      </c>
      <c r="EW1" s="453"/>
      <c r="EX1" s="453"/>
      <c r="EY1" s="535"/>
      <c r="EZ1" s="453" t="s">
        <v>449</v>
      </c>
      <c r="FA1" s="453"/>
      <c r="FB1" s="453"/>
      <c r="FC1" s="535"/>
      <c r="FD1" s="453" t="s">
        <v>450</v>
      </c>
      <c r="FE1" s="453"/>
      <c r="FF1" s="453"/>
      <c r="FG1" s="454"/>
      <c r="FH1" s="453" t="s">
        <v>451</v>
      </c>
      <c r="FI1" s="453"/>
      <c r="FJ1" s="453"/>
      <c r="FK1" s="535"/>
      <c r="FL1" s="453" t="s">
        <v>452</v>
      </c>
      <c r="FM1" s="453"/>
      <c r="FN1" s="453"/>
      <c r="FO1" s="535"/>
      <c r="FP1" s="453" t="s">
        <v>453</v>
      </c>
      <c r="FQ1" s="453"/>
      <c r="FR1" s="453"/>
      <c r="FS1" s="535"/>
      <c r="FT1" s="453" t="s">
        <v>454</v>
      </c>
      <c r="FU1" s="453"/>
      <c r="FV1" s="453"/>
      <c r="FW1" s="535"/>
      <c r="FX1" s="453" t="s">
        <v>455</v>
      </c>
      <c r="FY1" s="453"/>
      <c r="FZ1" s="453"/>
      <c r="GA1" s="528"/>
      <c r="GB1" s="453" t="s">
        <v>456</v>
      </c>
      <c r="GC1" s="453"/>
      <c r="GD1" s="453"/>
      <c r="GE1" s="454"/>
      <c r="GF1" s="453" t="s">
        <v>457</v>
      </c>
      <c r="GG1" s="453"/>
      <c r="GH1" s="453"/>
      <c r="GI1" s="454"/>
      <c r="GJ1" s="453" t="s">
        <v>458</v>
      </c>
      <c r="GK1" s="453"/>
      <c r="GL1" s="453"/>
      <c r="GM1" s="454"/>
      <c r="GN1" s="453" t="s">
        <v>459</v>
      </c>
      <c r="GO1" s="453"/>
      <c r="GP1" s="453"/>
      <c r="GQ1" s="454"/>
      <c r="GR1" s="453" t="s">
        <v>460</v>
      </c>
      <c r="GS1" s="453"/>
      <c r="GT1" s="453"/>
      <c r="GU1" s="528"/>
      <c r="GV1" s="523"/>
      <c r="GW1" s="523"/>
      <c r="GX1" s="523"/>
      <c r="GY1" s="535"/>
    </row>
    <row r="2" spans="1:227" s="446" customFormat="1" ht="63" x14ac:dyDescent="0.25">
      <c r="A2" s="457" t="s">
        <v>515</v>
      </c>
      <c r="B2" s="457" t="s">
        <v>266</v>
      </c>
      <c r="C2" s="457"/>
      <c r="D2" s="536" t="s">
        <v>54</v>
      </c>
      <c r="E2" s="536" t="s">
        <v>462</v>
      </c>
      <c r="F2" s="536"/>
      <c r="G2" s="536"/>
      <c r="H2" s="457" t="s">
        <v>54</v>
      </c>
      <c r="I2" s="457" t="s">
        <v>462</v>
      </c>
      <c r="J2" s="457" t="s">
        <v>56</v>
      </c>
      <c r="K2" s="536"/>
      <c r="L2" s="457" t="s">
        <v>54</v>
      </c>
      <c r="M2" s="457" t="s">
        <v>462</v>
      </c>
      <c r="N2" s="457" t="s">
        <v>56</v>
      </c>
      <c r="O2" s="536"/>
      <c r="P2" s="457" t="s">
        <v>54</v>
      </c>
      <c r="Q2" s="457" t="s">
        <v>462</v>
      </c>
      <c r="R2" s="457" t="s">
        <v>56</v>
      </c>
      <c r="S2" s="536"/>
      <c r="T2" s="457" t="s">
        <v>54</v>
      </c>
      <c r="U2" s="457" t="s">
        <v>462</v>
      </c>
      <c r="V2" s="457" t="s">
        <v>56</v>
      </c>
      <c r="W2" s="536"/>
      <c r="X2" s="457" t="s">
        <v>54</v>
      </c>
      <c r="Y2" s="457" t="s">
        <v>462</v>
      </c>
      <c r="Z2" s="457" t="s">
        <v>56</v>
      </c>
      <c r="AA2" s="536"/>
      <c r="AB2" s="457" t="s">
        <v>54</v>
      </c>
      <c r="AC2" s="457" t="s">
        <v>462</v>
      </c>
      <c r="AD2" s="457" t="s">
        <v>56</v>
      </c>
      <c r="AE2" s="536"/>
      <c r="AF2" s="457" t="s">
        <v>54</v>
      </c>
      <c r="AG2" s="457" t="s">
        <v>462</v>
      </c>
      <c r="AH2" s="457" t="s">
        <v>56</v>
      </c>
      <c r="AI2" s="536"/>
      <c r="AJ2" s="457" t="s">
        <v>54</v>
      </c>
      <c r="AK2" s="457" t="s">
        <v>462</v>
      </c>
      <c r="AL2" s="457" t="s">
        <v>56</v>
      </c>
      <c r="AM2" s="457"/>
      <c r="AN2" s="457" t="s">
        <v>54</v>
      </c>
      <c r="AO2" s="457" t="s">
        <v>462</v>
      </c>
      <c r="AP2" s="457" t="s">
        <v>56</v>
      </c>
      <c r="AQ2" s="536"/>
      <c r="AR2" s="457" t="s">
        <v>54</v>
      </c>
      <c r="AS2" s="457" t="s">
        <v>462</v>
      </c>
      <c r="AT2" s="457" t="s">
        <v>56</v>
      </c>
      <c r="AU2" s="536"/>
      <c r="AV2" s="457" t="s">
        <v>54</v>
      </c>
      <c r="AW2" s="457" t="s">
        <v>462</v>
      </c>
      <c r="AX2" s="457" t="s">
        <v>56</v>
      </c>
      <c r="AY2" s="536"/>
      <c r="AZ2" s="457" t="s">
        <v>54</v>
      </c>
      <c r="BA2" s="457" t="s">
        <v>462</v>
      </c>
      <c r="BB2" s="457" t="s">
        <v>56</v>
      </c>
      <c r="BC2" s="536"/>
      <c r="BD2" s="457" t="s">
        <v>54</v>
      </c>
      <c r="BE2" s="457" t="s">
        <v>462</v>
      </c>
      <c r="BF2" s="457" t="s">
        <v>56</v>
      </c>
      <c r="BG2" s="536"/>
      <c r="BH2" s="457" t="s">
        <v>54</v>
      </c>
      <c r="BI2" s="457" t="s">
        <v>462</v>
      </c>
      <c r="BJ2" s="457" t="s">
        <v>56</v>
      </c>
      <c r="BK2" s="536"/>
      <c r="BL2" s="457" t="s">
        <v>54</v>
      </c>
      <c r="BM2" s="457" t="s">
        <v>462</v>
      </c>
      <c r="BN2" s="457" t="s">
        <v>56</v>
      </c>
      <c r="BO2" s="536"/>
      <c r="BP2" s="457" t="s">
        <v>54</v>
      </c>
      <c r="BQ2" s="457" t="s">
        <v>462</v>
      </c>
      <c r="BR2" s="457" t="s">
        <v>56</v>
      </c>
      <c r="BS2" s="536"/>
      <c r="BT2" s="457" t="s">
        <v>54</v>
      </c>
      <c r="BU2" s="457" t="s">
        <v>462</v>
      </c>
      <c r="BV2" s="457" t="s">
        <v>56</v>
      </c>
      <c r="BW2" s="536"/>
      <c r="BX2" s="457" t="s">
        <v>54</v>
      </c>
      <c r="BY2" s="457" t="s">
        <v>462</v>
      </c>
      <c r="BZ2" s="457" t="s">
        <v>56</v>
      </c>
      <c r="CA2" s="536"/>
      <c r="CB2" s="457" t="s">
        <v>54</v>
      </c>
      <c r="CC2" s="457" t="s">
        <v>462</v>
      </c>
      <c r="CD2" s="457" t="s">
        <v>56</v>
      </c>
      <c r="CE2" s="536"/>
      <c r="CF2" s="457" t="s">
        <v>54</v>
      </c>
      <c r="CG2" s="457" t="s">
        <v>462</v>
      </c>
      <c r="CH2" s="457" t="s">
        <v>56</v>
      </c>
      <c r="CI2" s="536"/>
      <c r="CJ2" s="457" t="s">
        <v>54</v>
      </c>
      <c r="CK2" s="457" t="s">
        <v>462</v>
      </c>
      <c r="CL2" s="457" t="s">
        <v>56</v>
      </c>
      <c r="CM2" s="536"/>
      <c r="CN2" s="457" t="s">
        <v>54</v>
      </c>
      <c r="CO2" s="457" t="s">
        <v>462</v>
      </c>
      <c r="CP2" s="457" t="s">
        <v>56</v>
      </c>
      <c r="CQ2" s="536"/>
      <c r="CR2" s="457" t="s">
        <v>54</v>
      </c>
      <c r="CS2" s="457" t="s">
        <v>462</v>
      </c>
      <c r="CT2" s="457" t="s">
        <v>56</v>
      </c>
      <c r="CU2" s="536"/>
      <c r="CV2" s="457" t="s">
        <v>54</v>
      </c>
      <c r="CW2" s="457" t="s">
        <v>462</v>
      </c>
      <c r="CX2" s="457" t="s">
        <v>56</v>
      </c>
      <c r="CY2" s="536"/>
      <c r="CZ2" s="457" t="s">
        <v>54</v>
      </c>
      <c r="DA2" s="457" t="s">
        <v>462</v>
      </c>
      <c r="DB2" s="457" t="s">
        <v>56</v>
      </c>
      <c r="DC2" s="536"/>
      <c r="DD2" s="457" t="s">
        <v>54</v>
      </c>
      <c r="DE2" s="457" t="s">
        <v>462</v>
      </c>
      <c r="DF2" s="457" t="s">
        <v>56</v>
      </c>
      <c r="DG2" s="536"/>
      <c r="DH2" s="457" t="s">
        <v>54</v>
      </c>
      <c r="DI2" s="457" t="s">
        <v>462</v>
      </c>
      <c r="DJ2" s="457" t="s">
        <v>56</v>
      </c>
      <c r="DK2" s="536"/>
      <c r="DL2" s="537" t="s">
        <v>440</v>
      </c>
      <c r="DM2" s="537"/>
      <c r="DN2" s="537"/>
      <c r="DP2" s="538" t="s">
        <v>516</v>
      </c>
      <c r="DQ2" s="449"/>
      <c r="DR2" s="449"/>
      <c r="DT2" s="457" t="s">
        <v>54</v>
      </c>
      <c r="DU2" s="457" t="s">
        <v>462</v>
      </c>
      <c r="DV2" s="457" t="s">
        <v>56</v>
      </c>
      <c r="DW2" s="458"/>
      <c r="DX2" s="457" t="s">
        <v>54</v>
      </c>
      <c r="DY2" s="457" t="s">
        <v>462</v>
      </c>
      <c r="DZ2" s="457" t="s">
        <v>56</v>
      </c>
      <c r="EA2" s="457"/>
      <c r="EB2" s="457" t="s">
        <v>54</v>
      </c>
      <c r="EC2" s="457" t="s">
        <v>462</v>
      </c>
      <c r="ED2" s="457" t="s">
        <v>56</v>
      </c>
      <c r="EE2" s="458"/>
      <c r="EF2" s="457" t="s">
        <v>54</v>
      </c>
      <c r="EG2" s="457" t="s">
        <v>462</v>
      </c>
      <c r="EH2" s="457" t="s">
        <v>56</v>
      </c>
      <c r="EI2" s="458"/>
      <c r="EJ2" s="457" t="s">
        <v>54</v>
      </c>
      <c r="EK2" s="457" t="s">
        <v>462</v>
      </c>
      <c r="EL2" s="457" t="s">
        <v>56</v>
      </c>
      <c r="EM2" s="457"/>
      <c r="EN2" s="457" t="s">
        <v>54</v>
      </c>
      <c r="EO2" s="457" t="s">
        <v>462</v>
      </c>
      <c r="EP2" s="457" t="s">
        <v>56</v>
      </c>
      <c r="EQ2" s="457"/>
      <c r="ER2" s="457" t="s">
        <v>54</v>
      </c>
      <c r="ES2" s="457" t="s">
        <v>462</v>
      </c>
      <c r="ET2" s="457" t="s">
        <v>56</v>
      </c>
      <c r="EU2" s="457"/>
      <c r="EV2" s="457" t="s">
        <v>54</v>
      </c>
      <c r="EW2" s="457" t="s">
        <v>462</v>
      </c>
      <c r="EX2" s="457" t="s">
        <v>56</v>
      </c>
      <c r="EY2" s="457"/>
      <c r="EZ2" s="457" t="s">
        <v>54</v>
      </c>
      <c r="FA2" s="457" t="s">
        <v>462</v>
      </c>
      <c r="FB2" s="457" t="s">
        <v>56</v>
      </c>
      <c r="FC2" s="457"/>
      <c r="FD2" s="457" t="s">
        <v>54</v>
      </c>
      <c r="FE2" s="457" t="s">
        <v>462</v>
      </c>
      <c r="FF2" s="457" t="s">
        <v>56</v>
      </c>
      <c r="FG2" s="457"/>
      <c r="FH2" s="457" t="s">
        <v>54</v>
      </c>
      <c r="FI2" s="457" t="s">
        <v>462</v>
      </c>
      <c r="FJ2" s="457" t="s">
        <v>56</v>
      </c>
      <c r="FK2" s="630"/>
      <c r="FL2" s="457" t="s">
        <v>54</v>
      </c>
      <c r="FM2" s="457" t="s">
        <v>462</v>
      </c>
      <c r="FN2" s="457" t="s">
        <v>56</v>
      </c>
      <c r="FO2" s="630"/>
      <c r="FP2" s="457" t="s">
        <v>54</v>
      </c>
      <c r="FQ2" s="457" t="s">
        <v>462</v>
      </c>
      <c r="FR2" s="457" t="s">
        <v>56</v>
      </c>
      <c r="FS2" s="630"/>
      <c r="FT2" s="457" t="s">
        <v>54</v>
      </c>
      <c r="FU2" s="457" t="s">
        <v>462</v>
      </c>
      <c r="FV2" s="457" t="s">
        <v>56</v>
      </c>
      <c r="FW2" s="630"/>
      <c r="FX2" s="457" t="s">
        <v>54</v>
      </c>
      <c r="FY2" s="457" t="s">
        <v>462</v>
      </c>
      <c r="FZ2" s="457" t="s">
        <v>56</v>
      </c>
      <c r="GA2" s="630"/>
      <c r="GB2" s="457" t="s">
        <v>54</v>
      </c>
      <c r="GC2" s="457" t="s">
        <v>462</v>
      </c>
      <c r="GD2" s="457" t="s">
        <v>56</v>
      </c>
      <c r="GE2" s="630"/>
      <c r="GF2" s="457" t="s">
        <v>54</v>
      </c>
      <c r="GG2" s="457" t="s">
        <v>462</v>
      </c>
      <c r="GH2" s="457" t="s">
        <v>56</v>
      </c>
      <c r="GI2" s="630"/>
      <c r="GJ2" s="457" t="s">
        <v>54</v>
      </c>
      <c r="GK2" s="457" t="s">
        <v>462</v>
      </c>
      <c r="GL2" s="457" t="s">
        <v>56</v>
      </c>
      <c r="GM2" s="630"/>
      <c r="GN2" s="457" t="s">
        <v>54</v>
      </c>
      <c r="GO2" s="457" t="s">
        <v>462</v>
      </c>
      <c r="GP2" s="457" t="s">
        <v>56</v>
      </c>
      <c r="GQ2" s="630"/>
      <c r="GR2" s="457" t="s">
        <v>54</v>
      </c>
      <c r="GS2" s="457" t="s">
        <v>462</v>
      </c>
      <c r="GT2" s="457" t="s">
        <v>56</v>
      </c>
      <c r="GU2" s="630"/>
      <c r="GV2" s="457" t="s">
        <v>517</v>
      </c>
      <c r="GW2" s="457" t="s">
        <v>518</v>
      </c>
      <c r="GX2" s="457" t="s">
        <v>519</v>
      </c>
      <c r="HA2" s="460" t="s">
        <v>466</v>
      </c>
      <c r="HB2" s="460"/>
      <c r="HC2" s="460"/>
      <c r="HD2" s="445"/>
      <c r="HE2" s="460" t="s">
        <v>467</v>
      </c>
      <c r="HF2" s="460"/>
      <c r="HG2" s="460"/>
      <c r="HH2" s="445"/>
      <c r="HI2" s="460" t="s">
        <v>468</v>
      </c>
      <c r="HJ2" s="460"/>
      <c r="HK2" s="460"/>
      <c r="HL2" s="445"/>
      <c r="HM2" s="460" t="s">
        <v>469</v>
      </c>
      <c r="HN2" s="460"/>
      <c r="HO2" s="460"/>
      <c r="HP2" s="459"/>
      <c r="HQ2" s="460" t="s">
        <v>470</v>
      </c>
      <c r="HR2" s="460"/>
      <c r="HS2" s="460"/>
    </row>
    <row r="3" spans="1:227" s="464" customFormat="1" x14ac:dyDescent="0.25">
      <c r="A3" s="282"/>
      <c r="B3" s="282"/>
      <c r="C3" s="282"/>
      <c r="D3" s="463" t="s">
        <v>471</v>
      </c>
      <c r="E3" s="463" t="s">
        <v>471</v>
      </c>
      <c r="F3" s="463"/>
      <c r="G3" s="463"/>
      <c r="H3" s="282" t="s">
        <v>471</v>
      </c>
      <c r="I3" s="282" t="s">
        <v>471</v>
      </c>
      <c r="J3" s="282" t="s">
        <v>471</v>
      </c>
      <c r="K3" s="463"/>
      <c r="L3" s="282" t="s">
        <v>471</v>
      </c>
      <c r="M3" s="282" t="s">
        <v>471</v>
      </c>
      <c r="N3" s="282" t="s">
        <v>471</v>
      </c>
      <c r="O3" s="463"/>
      <c r="P3" s="282" t="s">
        <v>471</v>
      </c>
      <c r="Q3" s="282" t="s">
        <v>471</v>
      </c>
      <c r="R3" s="282" t="s">
        <v>471</v>
      </c>
      <c r="S3" s="463"/>
      <c r="T3" s="282" t="s">
        <v>471</v>
      </c>
      <c r="U3" s="282" t="s">
        <v>471</v>
      </c>
      <c r="V3" s="282" t="s">
        <v>471</v>
      </c>
      <c r="W3" s="463"/>
      <c r="X3" s="282" t="s">
        <v>471</v>
      </c>
      <c r="Y3" s="282" t="s">
        <v>471</v>
      </c>
      <c r="Z3" s="282" t="s">
        <v>471</v>
      </c>
      <c r="AA3" s="463"/>
      <c r="AB3" s="282" t="s">
        <v>471</v>
      </c>
      <c r="AC3" s="282" t="s">
        <v>471</v>
      </c>
      <c r="AD3" s="282" t="s">
        <v>471</v>
      </c>
      <c r="AE3" s="463"/>
      <c r="AF3" s="282" t="s">
        <v>471</v>
      </c>
      <c r="AG3" s="282" t="s">
        <v>471</v>
      </c>
      <c r="AH3" s="282" t="s">
        <v>471</v>
      </c>
      <c r="AI3" s="463"/>
      <c r="AJ3" s="282" t="s">
        <v>471</v>
      </c>
      <c r="AK3" s="282" t="s">
        <v>471</v>
      </c>
      <c r="AL3" s="282" t="s">
        <v>471</v>
      </c>
      <c r="AM3" s="282"/>
      <c r="AN3" s="282" t="s">
        <v>471</v>
      </c>
      <c r="AO3" s="282" t="s">
        <v>471</v>
      </c>
      <c r="AP3" s="282" t="s">
        <v>471</v>
      </c>
      <c r="AQ3" s="463"/>
      <c r="AR3" s="282" t="s">
        <v>471</v>
      </c>
      <c r="AS3" s="282" t="s">
        <v>471</v>
      </c>
      <c r="AT3" s="282" t="s">
        <v>471</v>
      </c>
      <c r="AU3" s="463"/>
      <c r="AV3" s="282" t="s">
        <v>471</v>
      </c>
      <c r="AW3" s="282" t="s">
        <v>471</v>
      </c>
      <c r="AX3" s="282" t="s">
        <v>471</v>
      </c>
      <c r="AY3" s="463"/>
      <c r="AZ3" s="282" t="s">
        <v>471</v>
      </c>
      <c r="BA3" s="282" t="s">
        <v>471</v>
      </c>
      <c r="BB3" s="282" t="s">
        <v>471</v>
      </c>
      <c r="BC3" s="463"/>
      <c r="BD3" s="282" t="s">
        <v>471</v>
      </c>
      <c r="BE3" s="282" t="s">
        <v>471</v>
      </c>
      <c r="BF3" s="282" t="s">
        <v>471</v>
      </c>
      <c r="BG3" s="463"/>
      <c r="BH3" s="282" t="s">
        <v>471</v>
      </c>
      <c r="BI3" s="282" t="s">
        <v>471</v>
      </c>
      <c r="BJ3" s="282" t="s">
        <v>471</v>
      </c>
      <c r="BK3" s="463"/>
      <c r="BL3" s="282" t="s">
        <v>471</v>
      </c>
      <c r="BM3" s="282" t="s">
        <v>471</v>
      </c>
      <c r="BN3" s="282" t="s">
        <v>471</v>
      </c>
      <c r="BO3" s="463"/>
      <c r="BP3" s="282" t="s">
        <v>471</v>
      </c>
      <c r="BQ3" s="282" t="s">
        <v>471</v>
      </c>
      <c r="BR3" s="282" t="s">
        <v>471</v>
      </c>
      <c r="BS3" s="463"/>
      <c r="BT3" s="282" t="s">
        <v>471</v>
      </c>
      <c r="BU3" s="282" t="s">
        <v>471</v>
      </c>
      <c r="BV3" s="282" t="s">
        <v>471</v>
      </c>
      <c r="BW3" s="463"/>
      <c r="BX3" s="282" t="s">
        <v>471</v>
      </c>
      <c r="BY3" s="282" t="s">
        <v>471</v>
      </c>
      <c r="BZ3" s="282" t="s">
        <v>471</v>
      </c>
      <c r="CA3" s="463"/>
      <c r="CB3" s="282" t="s">
        <v>471</v>
      </c>
      <c r="CC3" s="282" t="s">
        <v>471</v>
      </c>
      <c r="CD3" s="282" t="s">
        <v>471</v>
      </c>
      <c r="CE3" s="463"/>
      <c r="CF3" s="282" t="s">
        <v>471</v>
      </c>
      <c r="CG3" s="282" t="s">
        <v>471</v>
      </c>
      <c r="CH3" s="282" t="s">
        <v>471</v>
      </c>
      <c r="CI3" s="463"/>
      <c r="CJ3" s="282" t="s">
        <v>471</v>
      </c>
      <c r="CK3" s="282" t="s">
        <v>471</v>
      </c>
      <c r="CL3" s="282" t="s">
        <v>471</v>
      </c>
      <c r="CM3" s="463"/>
      <c r="CN3" s="282" t="s">
        <v>471</v>
      </c>
      <c r="CO3" s="282" t="s">
        <v>471</v>
      </c>
      <c r="CP3" s="282" t="s">
        <v>471</v>
      </c>
      <c r="CQ3" s="463"/>
      <c r="CR3" s="282" t="s">
        <v>471</v>
      </c>
      <c r="CS3" s="282" t="s">
        <v>471</v>
      </c>
      <c r="CT3" s="282" t="s">
        <v>471</v>
      </c>
      <c r="CU3" s="463"/>
      <c r="CV3" s="282" t="s">
        <v>471</v>
      </c>
      <c r="CW3" s="282" t="s">
        <v>471</v>
      </c>
      <c r="CX3" s="282" t="s">
        <v>471</v>
      </c>
      <c r="CY3" s="463"/>
      <c r="CZ3" s="282" t="s">
        <v>471</v>
      </c>
      <c r="DA3" s="282" t="s">
        <v>471</v>
      </c>
      <c r="DB3" s="282" t="s">
        <v>471</v>
      </c>
      <c r="DC3" s="463"/>
      <c r="DD3" s="282" t="s">
        <v>471</v>
      </c>
      <c r="DE3" s="282" t="s">
        <v>471</v>
      </c>
      <c r="DF3" s="282" t="s">
        <v>471</v>
      </c>
      <c r="DG3" s="463"/>
      <c r="DH3" s="282" t="s">
        <v>471</v>
      </c>
      <c r="DI3" s="282" t="s">
        <v>471</v>
      </c>
      <c r="DJ3" s="282" t="s">
        <v>471</v>
      </c>
      <c r="DK3" s="463"/>
      <c r="DL3" s="282" t="s">
        <v>471</v>
      </c>
      <c r="DM3" s="282" t="s">
        <v>471</v>
      </c>
      <c r="DN3" s="282" t="s">
        <v>471</v>
      </c>
      <c r="DO3" s="529"/>
      <c r="DP3" s="282" t="s">
        <v>471</v>
      </c>
      <c r="DQ3" s="282" t="s">
        <v>471</v>
      </c>
      <c r="DR3" s="282" t="s">
        <v>471</v>
      </c>
      <c r="DT3" s="282" t="s">
        <v>471</v>
      </c>
      <c r="DU3" s="282" t="s">
        <v>471</v>
      </c>
      <c r="DV3" s="282" t="s">
        <v>471</v>
      </c>
      <c r="DW3" s="462"/>
      <c r="DX3" s="282" t="s">
        <v>471</v>
      </c>
      <c r="DY3" s="282" t="s">
        <v>471</v>
      </c>
      <c r="DZ3" s="282" t="s">
        <v>471</v>
      </c>
      <c r="EA3" s="454"/>
      <c r="EB3" s="282" t="s">
        <v>471</v>
      </c>
      <c r="EC3" s="282" t="s">
        <v>471</v>
      </c>
      <c r="ED3" s="282" t="s">
        <v>471</v>
      </c>
      <c r="EE3" s="462"/>
      <c r="EF3" s="282" t="s">
        <v>471</v>
      </c>
      <c r="EG3" s="282" t="s">
        <v>471</v>
      </c>
      <c r="EH3" s="282" t="s">
        <v>471</v>
      </c>
      <c r="EI3" s="462"/>
      <c r="EJ3" s="282" t="s">
        <v>471</v>
      </c>
      <c r="EK3" s="282" t="s">
        <v>471</v>
      </c>
      <c r="EL3" s="282" t="s">
        <v>471</v>
      </c>
      <c r="EM3" s="282"/>
      <c r="EN3" s="282" t="s">
        <v>471</v>
      </c>
      <c r="EO3" s="282" t="s">
        <v>471</v>
      </c>
      <c r="EP3" s="282" t="s">
        <v>471</v>
      </c>
      <c r="EQ3" s="282"/>
      <c r="ER3" s="282" t="s">
        <v>471</v>
      </c>
      <c r="ES3" s="282" t="s">
        <v>471</v>
      </c>
      <c r="ET3" s="282" t="s">
        <v>471</v>
      </c>
      <c r="EU3" s="282"/>
      <c r="EV3" s="282" t="s">
        <v>471</v>
      </c>
      <c r="EW3" s="282" t="s">
        <v>471</v>
      </c>
      <c r="EX3" s="282" t="s">
        <v>471</v>
      </c>
      <c r="EY3" s="282"/>
      <c r="EZ3" s="282" t="s">
        <v>471</v>
      </c>
      <c r="FA3" s="282" t="s">
        <v>471</v>
      </c>
      <c r="FB3" s="282" t="s">
        <v>471</v>
      </c>
      <c r="FC3" s="282"/>
      <c r="FD3" s="282" t="s">
        <v>471</v>
      </c>
      <c r="FE3" s="282" t="s">
        <v>471</v>
      </c>
      <c r="FF3" s="282" t="s">
        <v>471</v>
      </c>
      <c r="FG3" s="282"/>
      <c r="FH3" s="525"/>
      <c r="FI3" s="525"/>
      <c r="FJ3" s="525"/>
      <c r="FK3" s="525"/>
      <c r="FL3" s="525"/>
      <c r="FM3" s="525"/>
      <c r="FN3" s="525"/>
      <c r="FO3" s="525"/>
      <c r="FP3" s="525"/>
      <c r="FQ3" s="525"/>
      <c r="FR3" s="525"/>
      <c r="FS3" s="525"/>
      <c r="FT3" s="525"/>
      <c r="FU3" s="525"/>
      <c r="FV3" s="525"/>
      <c r="FW3" s="525"/>
      <c r="FX3" s="525"/>
      <c r="FY3" s="525"/>
      <c r="FZ3" s="525"/>
      <c r="GA3" s="525"/>
      <c r="GB3" s="525"/>
      <c r="GC3" s="525"/>
      <c r="GD3" s="525"/>
      <c r="GE3" s="525"/>
      <c r="GF3" s="525"/>
      <c r="GG3" s="525"/>
      <c r="GH3" s="525"/>
      <c r="GI3" s="525"/>
      <c r="GJ3" s="525"/>
      <c r="GK3" s="525"/>
      <c r="GL3" s="525"/>
      <c r="GM3" s="525"/>
      <c r="GN3" s="525"/>
      <c r="GO3" s="525"/>
      <c r="GP3" s="525"/>
      <c r="GQ3" s="525"/>
      <c r="GR3" s="525"/>
      <c r="GS3" s="525"/>
      <c r="GT3" s="525"/>
      <c r="GU3" s="525"/>
      <c r="GV3" s="282" t="s">
        <v>471</v>
      </c>
      <c r="GW3" s="282" t="s">
        <v>471</v>
      </c>
      <c r="GX3" s="282" t="s">
        <v>471</v>
      </c>
      <c r="HA3" s="282" t="s">
        <v>54</v>
      </c>
      <c r="HB3" s="282" t="s">
        <v>462</v>
      </c>
      <c r="HC3" s="282" t="s">
        <v>56</v>
      </c>
      <c r="HE3" s="282" t="s">
        <v>54</v>
      </c>
      <c r="HF3" s="282" t="s">
        <v>462</v>
      </c>
      <c r="HG3" s="282" t="s">
        <v>56</v>
      </c>
      <c r="HI3" s="282" t="s">
        <v>54</v>
      </c>
      <c r="HJ3" s="282" t="s">
        <v>462</v>
      </c>
      <c r="HK3" s="282" t="s">
        <v>56</v>
      </c>
      <c r="HM3" s="464" t="s">
        <v>54</v>
      </c>
      <c r="HN3" s="464" t="s">
        <v>462</v>
      </c>
      <c r="HO3" s="464" t="s">
        <v>56</v>
      </c>
      <c r="HQ3" s="282" t="s">
        <v>54</v>
      </c>
      <c r="HR3" s="282" t="s">
        <v>462</v>
      </c>
      <c r="HS3" s="282" t="s">
        <v>56</v>
      </c>
    </row>
    <row r="4" spans="1:227" x14ac:dyDescent="0.25">
      <c r="A4" s="107">
        <v>1</v>
      </c>
      <c r="B4" s="107" t="s">
        <v>200</v>
      </c>
      <c r="C4" s="631" t="s">
        <v>76</v>
      </c>
      <c r="D4" s="468">
        <v>0</v>
      </c>
      <c r="E4" s="468">
        <v>0</v>
      </c>
      <c r="F4" s="468">
        <f>D4-E4</f>
        <v>0</v>
      </c>
      <c r="G4" s="468"/>
      <c r="H4" s="468">
        <v>25240000</v>
      </c>
      <c r="I4" s="468">
        <v>25240000</v>
      </c>
      <c r="J4" s="468">
        <f>H4-I4</f>
        <v>0</v>
      </c>
      <c r="K4" s="468"/>
      <c r="L4" s="468">
        <v>25000000</v>
      </c>
      <c r="M4" s="468">
        <v>25000000</v>
      </c>
      <c r="N4" s="468">
        <f>L4-M4</f>
        <v>0</v>
      </c>
      <c r="O4" s="468"/>
      <c r="P4" s="468">
        <v>3000000</v>
      </c>
      <c r="Q4" s="468">
        <v>3000000</v>
      </c>
      <c r="R4" s="468">
        <f>P4-Q4</f>
        <v>0</v>
      </c>
      <c r="S4" s="468"/>
      <c r="T4" s="468">
        <v>1000000</v>
      </c>
      <c r="U4" s="468">
        <f>850000+150000</f>
        <v>1000000</v>
      </c>
      <c r="V4" s="468">
        <f>T4-U4</f>
        <v>0</v>
      </c>
      <c r="W4" s="468"/>
      <c r="X4" s="468">
        <v>30000000</v>
      </c>
      <c r="Y4" s="468">
        <v>30000000</v>
      </c>
      <c r="Z4" s="468">
        <f>X4-Y4</f>
        <v>0</v>
      </c>
      <c r="AA4" s="468"/>
      <c r="AB4" s="468">
        <v>5000000</v>
      </c>
      <c r="AC4" s="468">
        <v>5000000</v>
      </c>
      <c r="AD4" s="468">
        <f>AB4-AC4</f>
        <v>0</v>
      </c>
      <c r="AE4" s="468"/>
      <c r="AF4" s="468">
        <v>2000000</v>
      </c>
      <c r="AG4" s="468">
        <f>2000000</f>
        <v>2000000</v>
      </c>
      <c r="AH4" s="468">
        <f>AF4-AG4</f>
        <v>0</v>
      </c>
      <c r="AI4" s="468"/>
      <c r="AJ4" s="468">
        <v>7500000</v>
      </c>
      <c r="AK4" s="468">
        <v>7500000</v>
      </c>
      <c r="AL4" s="468">
        <f>AJ4-AK4</f>
        <v>0</v>
      </c>
      <c r="AM4" s="468"/>
      <c r="AN4" s="468">
        <v>40000000</v>
      </c>
      <c r="AO4" s="468">
        <v>40000000</v>
      </c>
      <c r="AP4" s="468">
        <f t="shared" ref="AP4:AP58" si="0">AN4-AO4</f>
        <v>0</v>
      </c>
      <c r="AQ4" s="468"/>
      <c r="AR4" s="468">
        <v>3000000</v>
      </c>
      <c r="AS4" s="468">
        <f>2972970+27030</f>
        <v>3000000</v>
      </c>
      <c r="AT4" s="468">
        <f>AR4-AS4</f>
        <v>0</v>
      </c>
      <c r="AU4" s="468"/>
      <c r="AV4" s="468">
        <v>2000000</v>
      </c>
      <c r="AW4" s="468">
        <f>2000000</f>
        <v>2000000</v>
      </c>
      <c r="AX4" s="468">
        <f>AV4-AW4</f>
        <v>0</v>
      </c>
      <c r="AY4" s="468"/>
      <c r="AZ4" s="468">
        <v>10000000</v>
      </c>
      <c r="BA4" s="468">
        <f>528723.5+1506810+1211600+6752866.5</f>
        <v>10000000</v>
      </c>
      <c r="BB4" s="468">
        <f t="shared" ref="BB4:BB58" si="1">AZ4-BA4</f>
        <v>0</v>
      </c>
      <c r="BC4" s="468"/>
      <c r="BD4" s="468">
        <v>64000000</v>
      </c>
      <c r="BE4" s="468">
        <f>26653618+3250000+8200000+17358150+8538232</f>
        <v>64000000</v>
      </c>
      <c r="BF4" s="468">
        <f>BD4-BE4</f>
        <v>0</v>
      </c>
      <c r="BG4" s="468"/>
      <c r="BH4" s="468">
        <v>9500000</v>
      </c>
      <c r="BI4" s="468">
        <f>9472970+27030</f>
        <v>9500000</v>
      </c>
      <c r="BJ4" s="468">
        <f>BH4-BI4</f>
        <v>0</v>
      </c>
      <c r="BK4" s="468"/>
      <c r="BL4" s="468">
        <v>5000000</v>
      </c>
      <c r="BM4" s="468">
        <f>5000000</f>
        <v>5000000</v>
      </c>
      <c r="BN4" s="468">
        <f>BL4-BM4</f>
        <v>0</v>
      </c>
      <c r="BO4" s="468"/>
      <c r="BP4" s="468">
        <v>20000000</v>
      </c>
      <c r="BQ4" s="468">
        <f>4138058.5+853488+6253580+3684055+5070818.5</f>
        <v>20000000</v>
      </c>
      <c r="BR4" s="468">
        <f t="shared" ref="BR4:BR58" si="2">BP4-BQ4</f>
        <v>0</v>
      </c>
      <c r="BS4" s="468"/>
      <c r="BT4" s="468">
        <v>1000000</v>
      </c>
      <c r="BU4" s="468">
        <f>1000000</f>
        <v>1000000</v>
      </c>
      <c r="BV4" s="468">
        <f t="shared" ref="BV4:BV58" si="3">BT4-BU4</f>
        <v>0</v>
      </c>
      <c r="BW4" s="468"/>
      <c r="BX4" s="468">
        <v>80000000</v>
      </c>
      <c r="BY4" s="468">
        <f>39815568+700000+2550000+2801600+7550000-2460600</f>
        <v>50956568</v>
      </c>
      <c r="BZ4" s="468">
        <f>BX4-BY4</f>
        <v>29043432</v>
      </c>
      <c r="CA4" s="463"/>
      <c r="CB4" s="468">
        <v>10000000</v>
      </c>
      <c r="CC4" s="468">
        <f>7972970+2000000+27030</f>
        <v>10000000</v>
      </c>
      <c r="CD4" s="468">
        <f t="shared" ref="CD4:CD58" si="4">CB4-CC4</f>
        <v>0</v>
      </c>
      <c r="CE4" s="468"/>
      <c r="CF4" s="468">
        <v>10000000</v>
      </c>
      <c r="CG4" s="468">
        <f>1433750+1691250</f>
        <v>3125000</v>
      </c>
      <c r="CH4" s="468">
        <f>CF4-CG4</f>
        <v>6875000</v>
      </c>
      <c r="CI4" s="468"/>
      <c r="CJ4" s="468">
        <v>30000000</v>
      </c>
      <c r="CK4" s="468">
        <f>4926956.5+12380216+10232227.5+2460600</f>
        <v>30000000</v>
      </c>
      <c r="CL4" s="468">
        <f t="shared" ref="CL4:CL58" si="5">CJ4-CK4</f>
        <v>0</v>
      </c>
      <c r="CM4" s="468"/>
      <c r="CN4" s="468">
        <v>10000000</v>
      </c>
      <c r="CO4" s="468">
        <f>7500000+1500000</f>
        <v>9000000</v>
      </c>
      <c r="CP4" s="468">
        <f t="shared" ref="CP4:CP58" si="6">CN4-CO4</f>
        <v>1000000</v>
      </c>
      <c r="CQ4" s="468"/>
      <c r="CR4" s="468">
        <v>100000000</v>
      </c>
      <c r="CS4" s="504">
        <f>2100000+52500000</f>
        <v>54600000</v>
      </c>
      <c r="CT4" s="468">
        <f t="shared" ref="CT4:CT58" si="7">CR4-CS4</f>
        <v>45400000</v>
      </c>
      <c r="CU4" s="468"/>
      <c r="CV4" s="468">
        <v>20000000</v>
      </c>
      <c r="CW4" s="468">
        <v>20000000</v>
      </c>
      <c r="CX4" s="468">
        <f t="shared" ref="CX4:CX58" si="8">CV4-CW4</f>
        <v>0</v>
      </c>
      <c r="CY4" s="468"/>
      <c r="CZ4" s="468">
        <v>20000000</v>
      </c>
      <c r="DA4" s="468">
        <v>0</v>
      </c>
      <c r="DB4" s="468">
        <f t="shared" ref="DB4:DB58" si="9">CZ4-DA4</f>
        <v>20000000</v>
      </c>
      <c r="DC4" s="468"/>
      <c r="DD4" s="468">
        <v>50000000</v>
      </c>
      <c r="DE4" s="468">
        <f>23715200+2278400+1244765+15288774+7472861</f>
        <v>50000000</v>
      </c>
      <c r="DF4" s="468">
        <f t="shared" ref="DF4:DF58" si="10">DD4-DE4</f>
        <v>0</v>
      </c>
      <c r="DG4" s="463"/>
      <c r="DH4" s="468">
        <v>10000000</v>
      </c>
      <c r="DI4" s="468">
        <v>8500000</v>
      </c>
      <c r="DJ4" s="468">
        <f t="shared" ref="DJ4:DJ58" si="11">DH4-DI4</f>
        <v>1500000</v>
      </c>
      <c r="DK4" s="468"/>
      <c r="DL4" s="471">
        <v>0</v>
      </c>
      <c r="DM4" s="471">
        <v>0</v>
      </c>
      <c r="DN4" s="471">
        <f>DL4-DM4</f>
        <v>0</v>
      </c>
      <c r="DO4" s="524"/>
      <c r="DP4" s="471"/>
      <c r="DQ4" s="471"/>
      <c r="DR4" s="471"/>
      <c r="DS4" s="473"/>
      <c r="DT4" s="471">
        <v>70000000</v>
      </c>
      <c r="DU4" s="471">
        <f>1200000+8700000+56134730-15200000</f>
        <v>50834730</v>
      </c>
      <c r="DV4" s="471">
        <f>DT4-DU4</f>
        <v>19165270</v>
      </c>
      <c r="DW4" s="473"/>
      <c r="DX4" s="471">
        <v>10000000</v>
      </c>
      <c r="DY4" s="471">
        <v>10000000</v>
      </c>
      <c r="DZ4" s="471">
        <f>DX4-DY4</f>
        <v>0</v>
      </c>
      <c r="EA4" s="473"/>
      <c r="EB4" s="471">
        <v>5000000</v>
      </c>
      <c r="EC4" s="471">
        <v>0</v>
      </c>
      <c r="ED4" s="471">
        <f>EB4-EC4</f>
        <v>5000000</v>
      </c>
      <c r="EE4" s="473"/>
      <c r="EF4" s="471">
        <v>20000000</v>
      </c>
      <c r="EG4" s="471">
        <f>16505474+3494526</f>
        <v>20000000</v>
      </c>
      <c r="EH4" s="471">
        <f>EF4-EG4</f>
        <v>0</v>
      </c>
      <c r="EI4" s="473"/>
      <c r="EJ4" s="471">
        <v>5000000</v>
      </c>
      <c r="EK4" s="471">
        <v>0</v>
      </c>
      <c r="EL4" s="471">
        <f>EJ4-EK4</f>
        <v>5000000</v>
      </c>
      <c r="EM4" s="631" t="s">
        <v>76</v>
      </c>
      <c r="EN4" s="475">
        <v>200000000</v>
      </c>
      <c r="EO4" s="475">
        <v>0</v>
      </c>
      <c r="EP4" s="475">
        <f>EN4-EO4</f>
        <v>200000000</v>
      </c>
      <c r="EQ4" s="475"/>
      <c r="ER4" s="475">
        <v>18000000</v>
      </c>
      <c r="ES4" s="475">
        <v>5321970</v>
      </c>
      <c r="ET4" s="475">
        <f>ER4-ES4</f>
        <v>12678030</v>
      </c>
      <c r="EU4" s="475"/>
      <c r="EV4" s="475">
        <v>5000000</v>
      </c>
      <c r="EW4" s="475">
        <v>0</v>
      </c>
      <c r="EX4" s="475">
        <f>EV4-EW4</f>
        <v>5000000</v>
      </c>
      <c r="EY4" s="475"/>
      <c r="EZ4" s="475">
        <v>25000000</v>
      </c>
      <c r="FA4" s="625">
        <f>9488174+4570375+1879455+6248482+2813514</f>
        <v>25000000</v>
      </c>
      <c r="FB4" s="475">
        <f>EZ4-FA4</f>
        <v>0</v>
      </c>
      <c r="FC4" s="475"/>
      <c r="FD4" s="475">
        <v>5000000</v>
      </c>
      <c r="FE4" s="475">
        <v>0</v>
      </c>
      <c r="FF4" s="475">
        <f>FD4-FE4</f>
        <v>5000000</v>
      </c>
      <c r="FG4" s="107"/>
      <c r="FH4" s="475">
        <v>75000000</v>
      </c>
      <c r="FI4" s="475">
        <v>0</v>
      </c>
      <c r="FJ4" s="475">
        <f>FH4-FI4</f>
        <v>75000000</v>
      </c>
      <c r="FK4" s="475"/>
      <c r="FL4" s="475">
        <v>20000000</v>
      </c>
      <c r="FM4" s="475">
        <v>0</v>
      </c>
      <c r="FN4" s="475">
        <f>FL4-FM4</f>
        <v>20000000</v>
      </c>
      <c r="FO4" s="475"/>
      <c r="FP4" s="475">
        <v>5000000</v>
      </c>
      <c r="FQ4" s="475">
        <v>0</v>
      </c>
      <c r="FR4" s="475">
        <f>FP4-FQ4</f>
        <v>5000000</v>
      </c>
      <c r="FS4" s="475"/>
      <c r="FT4" s="475">
        <v>20000000</v>
      </c>
      <c r="FU4" s="625">
        <v>20000000</v>
      </c>
      <c r="FV4" s="475">
        <f>FT4-FU4</f>
        <v>0</v>
      </c>
      <c r="FW4" s="475"/>
      <c r="FX4" s="475">
        <v>5000000</v>
      </c>
      <c r="FY4" s="475">
        <v>0</v>
      </c>
      <c r="FZ4" s="475">
        <f>FX4-FY4</f>
        <v>5000000</v>
      </c>
      <c r="GA4" s="475"/>
      <c r="GB4" s="475">
        <v>100000000</v>
      </c>
      <c r="GC4" s="475">
        <v>0</v>
      </c>
      <c r="GD4" s="475">
        <f>GB4-GC4</f>
        <v>100000000</v>
      </c>
      <c r="GE4" s="475"/>
      <c r="GF4" s="475">
        <v>20000000</v>
      </c>
      <c r="GG4" s="475">
        <v>0</v>
      </c>
      <c r="GH4" s="475">
        <f>GF4-GG4</f>
        <v>20000000</v>
      </c>
      <c r="GI4" s="475"/>
      <c r="GJ4" s="475">
        <v>3000000</v>
      </c>
      <c r="GK4" s="475">
        <v>0</v>
      </c>
      <c r="GL4" s="475">
        <f>GJ4-GK4</f>
        <v>3000000</v>
      </c>
      <c r="GM4" s="475"/>
      <c r="GN4" s="475">
        <v>15000000</v>
      </c>
      <c r="GO4" s="625">
        <f>2821</f>
        <v>2821</v>
      </c>
      <c r="GP4" s="475">
        <f>GN4-GO4</f>
        <v>14997179</v>
      </c>
      <c r="GQ4" s="475"/>
      <c r="GR4" s="475">
        <v>3000000</v>
      </c>
      <c r="GS4" s="475">
        <v>0</v>
      </c>
      <c r="GT4" s="475">
        <f>GR4-GS4</f>
        <v>3000000</v>
      </c>
      <c r="GU4" s="475"/>
      <c r="GV4" s="468">
        <f>H4+L4+P4+T4+X4+AB4+AF4+AJ4+AN4+AR4+AV4+AZ4+BD4+BH4+BL4+BP4+BT4+D4+BX4+CB4+CF4+CJ4+CN4+CR4+CV4+CZ4+DD4+DH4+DT4+DX4+EB4+EF4+EJ4+DL4+EN4+ER4+EV4+EZ4+FD4+FH4+FL4+FP4+FT4+FX4+GB4+GF4+GJ4+GN4+GR4</f>
        <v>1222240000</v>
      </c>
      <c r="GW4" s="468">
        <f>I4+M4+Q4+U4+Y4+AC4+AG4+AK4+AO4+AS4+AW4+BA4+BE4+BI4+BM4+BQ4+BU4+E4+BY4+CC4+CG4+CK4+CO4+CS4+CW4+DA4+DE4+DI4+DU4+DY4+EC4+EG4+EK4+DM4+EO4+ES4+EW4+FA4+FE4+FI4+FM4+FQ4+FU4+FY4+GC4+GG4+GK4+GO4+GS4</f>
        <v>620581089</v>
      </c>
      <c r="GX4" s="468">
        <f>GV4-GW4</f>
        <v>601658911</v>
      </c>
      <c r="GY4" s="472"/>
      <c r="HA4" s="468">
        <f>D4+H4+L4+X4+AN4+BD4+BX4+CR4+DT4+DL4+EN4+FH4+GB4</f>
        <v>809240000</v>
      </c>
      <c r="HB4" s="468">
        <f>E4+I4+M4+Y4+AO4+BE4+BY4+CS4+DU4+DM4+EO4+FI4+GC4</f>
        <v>340631298</v>
      </c>
      <c r="HC4" s="471">
        <f>HA4-HB4</f>
        <v>468608702</v>
      </c>
      <c r="HE4" s="471">
        <f>P4+AB4+AR4+BH4+CB4+CV4+DX4+ER4+FL4+GF4</f>
        <v>118500000</v>
      </c>
      <c r="HF4" s="471">
        <f>Q4+AC4+AS4+BI4+CC4+CW4+DY4+ES4+FM4+GG4</f>
        <v>65821970</v>
      </c>
      <c r="HG4" s="471">
        <f>HE4-HF4</f>
        <v>52678030</v>
      </c>
      <c r="HI4" s="471">
        <f>T4+AF4+AV4+BL4+CF4+CZ4+EB4+EV4+FP4+GJ4</f>
        <v>58000000</v>
      </c>
      <c r="HJ4" s="471">
        <f>U4+AG4+AW4+BM4+CG4+DA4+EC4+EW4+FQ4+GK4</f>
        <v>13125000</v>
      </c>
      <c r="HK4" s="471">
        <f>HI4-HJ4</f>
        <v>44875000</v>
      </c>
      <c r="HM4" s="471">
        <f>AJ4+AZ4+BP4+CJ4+DD4+EF4+EZ4+FT4+GN4</f>
        <v>197500000</v>
      </c>
      <c r="HN4" s="471">
        <f>AK4+BA4+BQ4+CK4+DE4+EG4+FA4+FU4+GO4</f>
        <v>182502821</v>
      </c>
      <c r="HO4" s="471">
        <f>HM4-HN4</f>
        <v>14997179</v>
      </c>
      <c r="HP4" s="531"/>
      <c r="HQ4" s="471">
        <f>BT4+CN4+DH4+EJ4+FD4+FX4+GR4</f>
        <v>39000000</v>
      </c>
      <c r="HR4" s="471">
        <f>BU4+CO4+DI4+EK4+FE4+FY4+GS4</f>
        <v>18500000</v>
      </c>
      <c r="HS4" s="471">
        <f>HQ4-HR4</f>
        <v>20500000</v>
      </c>
    </row>
    <row r="5" spans="1:227" x14ac:dyDescent="0.25">
      <c r="A5" s="107">
        <v>2</v>
      </c>
      <c r="B5" s="107" t="s">
        <v>201</v>
      </c>
      <c r="C5" s="631" t="s">
        <v>74</v>
      </c>
      <c r="D5" s="488">
        <v>1250000</v>
      </c>
      <c r="E5" s="488">
        <v>1250000</v>
      </c>
      <c r="F5" s="468">
        <f t="shared" ref="F5:F58" si="12">D5-E5</f>
        <v>0</v>
      </c>
      <c r="G5" s="488"/>
      <c r="H5" s="468">
        <v>25240000</v>
      </c>
      <c r="I5" s="468">
        <v>25240000</v>
      </c>
      <c r="J5" s="468">
        <f t="shared" ref="J5:J58" si="13">H5-I5</f>
        <v>0</v>
      </c>
      <c r="K5" s="488"/>
      <c r="L5" s="468">
        <v>25000000</v>
      </c>
      <c r="M5" s="468">
        <v>25000000</v>
      </c>
      <c r="N5" s="468">
        <f t="shared" ref="N5:N58" si="14">L5-M5</f>
        <v>0</v>
      </c>
      <c r="O5" s="488"/>
      <c r="P5" s="468">
        <f>3000000-3000000</f>
        <v>0</v>
      </c>
      <c r="Q5" s="468">
        <v>0</v>
      </c>
      <c r="R5" s="468">
        <f t="shared" ref="R5:R58" si="15">P5-Q5</f>
        <v>0</v>
      </c>
      <c r="S5" s="488"/>
      <c r="T5" s="468">
        <f>1000000-1000000</f>
        <v>0</v>
      </c>
      <c r="U5" s="468">
        <v>0</v>
      </c>
      <c r="V5" s="468">
        <f t="shared" ref="V5:V58" si="16">T5-U5</f>
        <v>0</v>
      </c>
      <c r="W5" s="488"/>
      <c r="X5" s="468">
        <v>30000000</v>
      </c>
      <c r="Y5" s="468">
        <v>30000000</v>
      </c>
      <c r="Z5" s="468">
        <f t="shared" ref="Z5:Z58" si="17">X5-Y5</f>
        <v>0</v>
      </c>
      <c r="AA5" s="488"/>
      <c r="AB5" s="468">
        <f>5000000-5000000</f>
        <v>0</v>
      </c>
      <c r="AC5" s="468">
        <v>0</v>
      </c>
      <c r="AD5" s="468">
        <f t="shared" ref="AD5:AD58" si="18">AB5-AC5</f>
        <v>0</v>
      </c>
      <c r="AE5" s="488"/>
      <c r="AF5" s="468">
        <f>2000000-2000000</f>
        <v>0</v>
      </c>
      <c r="AG5" s="468">
        <v>0</v>
      </c>
      <c r="AH5" s="468">
        <f t="shared" ref="AH5:AH58" si="19">AF5-AG5</f>
        <v>0</v>
      </c>
      <c r="AI5" s="488"/>
      <c r="AJ5" s="468">
        <v>7500000</v>
      </c>
      <c r="AK5" s="468">
        <v>7500000</v>
      </c>
      <c r="AL5" s="468">
        <f t="shared" ref="AL5:AL57" si="20">AJ5-AK5</f>
        <v>0</v>
      </c>
      <c r="AM5" s="468"/>
      <c r="AN5" s="468">
        <v>40000000</v>
      </c>
      <c r="AO5" s="468">
        <v>40000000</v>
      </c>
      <c r="AP5" s="468">
        <f t="shared" si="0"/>
        <v>0</v>
      </c>
      <c r="AQ5" s="488"/>
      <c r="AR5" s="468">
        <v>3000000</v>
      </c>
      <c r="AS5" s="468">
        <v>3000000</v>
      </c>
      <c r="AT5" s="468">
        <f t="shared" ref="AT5:AT58" si="21">AR5-AS5</f>
        <v>0</v>
      </c>
      <c r="AU5" s="488"/>
      <c r="AV5" s="468">
        <v>2000000</v>
      </c>
      <c r="AW5" s="468">
        <v>0</v>
      </c>
      <c r="AX5" s="468">
        <f t="shared" ref="AX5:AX58" si="22">AV5-AW5</f>
        <v>2000000</v>
      </c>
      <c r="AY5" s="488"/>
      <c r="AZ5" s="468">
        <v>10000000</v>
      </c>
      <c r="BA5" s="468">
        <v>10000000</v>
      </c>
      <c r="BB5" s="468">
        <f t="shared" si="1"/>
        <v>0</v>
      </c>
      <c r="BC5" s="488"/>
      <c r="BD5" s="468">
        <v>64000000</v>
      </c>
      <c r="BE5" s="468">
        <f>36823622+9318750+3600000+3100000+11157628</f>
        <v>64000000</v>
      </c>
      <c r="BF5" s="468">
        <f t="shared" ref="BF5:BF58" si="23">BD5-BE5</f>
        <v>0</v>
      </c>
      <c r="BG5" s="488"/>
      <c r="BH5" s="468">
        <v>9500000</v>
      </c>
      <c r="BI5" s="468">
        <f>3659424+5840576</f>
        <v>9500000</v>
      </c>
      <c r="BJ5" s="468">
        <f t="shared" ref="BJ5:BJ58" si="24">BH5-BI5</f>
        <v>0</v>
      </c>
      <c r="BK5" s="488"/>
      <c r="BL5" s="468">
        <v>5000000</v>
      </c>
      <c r="BM5" s="468">
        <v>0</v>
      </c>
      <c r="BN5" s="468">
        <f t="shared" ref="BN5:BN58" si="25">BL5-BM5</f>
        <v>5000000</v>
      </c>
      <c r="BO5" s="488"/>
      <c r="BP5" s="468">
        <v>20000000</v>
      </c>
      <c r="BQ5" s="468">
        <f>1873760+6045520+1347515+1801320+8931885</f>
        <v>20000000</v>
      </c>
      <c r="BR5" s="468">
        <f t="shared" si="2"/>
        <v>0</v>
      </c>
      <c r="BS5" s="488"/>
      <c r="BT5" s="468">
        <v>1000000</v>
      </c>
      <c r="BU5" s="468">
        <v>1000000</v>
      </c>
      <c r="BV5" s="468">
        <f t="shared" si="3"/>
        <v>0</v>
      </c>
      <c r="BW5" s="488"/>
      <c r="BX5" s="468">
        <v>80000000</v>
      </c>
      <c r="BY5" s="468">
        <f>77012772+2987228</f>
        <v>80000000</v>
      </c>
      <c r="BZ5" s="468">
        <f t="shared" ref="BZ5:BZ58" si="26">BX5-BY5</f>
        <v>0</v>
      </c>
      <c r="CA5" s="488"/>
      <c r="CB5" s="468">
        <v>10000000</v>
      </c>
      <c r="CC5" s="468">
        <f>5945284+2673000</f>
        <v>8618284</v>
      </c>
      <c r="CD5" s="468">
        <f t="shared" si="4"/>
        <v>1381716</v>
      </c>
      <c r="CE5" s="488"/>
      <c r="CF5" s="468">
        <v>10000000</v>
      </c>
      <c r="CG5" s="468">
        <v>0</v>
      </c>
      <c r="CH5" s="468">
        <f t="shared" ref="CH5:CH58" si="27">CF5-CG5</f>
        <v>10000000</v>
      </c>
      <c r="CI5" s="488"/>
      <c r="CJ5" s="468">
        <v>30000000</v>
      </c>
      <c r="CK5" s="468">
        <f>5704135+14254210+10041655</f>
        <v>30000000</v>
      </c>
      <c r="CL5" s="468">
        <f t="shared" si="5"/>
        <v>0</v>
      </c>
      <c r="CM5" s="488"/>
      <c r="CN5" s="468">
        <v>10000000</v>
      </c>
      <c r="CO5" s="468">
        <f>1686000</f>
        <v>1686000</v>
      </c>
      <c r="CP5" s="468">
        <f t="shared" si="6"/>
        <v>8314000</v>
      </c>
      <c r="CQ5" s="488"/>
      <c r="CR5" s="468">
        <v>100000000</v>
      </c>
      <c r="CS5" s="468">
        <f>95492902+4507098</f>
        <v>100000000</v>
      </c>
      <c r="CT5" s="468">
        <f t="shared" si="7"/>
        <v>0</v>
      </c>
      <c r="CU5" s="488"/>
      <c r="CV5" s="468">
        <v>20000000</v>
      </c>
      <c r="CW5" s="468">
        <v>0</v>
      </c>
      <c r="CX5" s="468">
        <f t="shared" si="8"/>
        <v>20000000</v>
      </c>
      <c r="CY5" s="488"/>
      <c r="CZ5" s="468">
        <v>20000000</v>
      </c>
      <c r="DA5" s="468">
        <v>0</v>
      </c>
      <c r="DB5" s="468">
        <f t="shared" si="9"/>
        <v>20000000</v>
      </c>
      <c r="DC5" s="488"/>
      <c r="DD5" s="468">
        <v>50000000</v>
      </c>
      <c r="DE5" s="468">
        <f>2022615+13210106+6967874+7247652</f>
        <v>29448247</v>
      </c>
      <c r="DF5" s="468">
        <f t="shared" si="10"/>
        <v>20551753</v>
      </c>
      <c r="DG5" s="463"/>
      <c r="DH5" s="468">
        <v>10000000</v>
      </c>
      <c r="DI5" s="468">
        <v>0</v>
      </c>
      <c r="DJ5" s="468">
        <f t="shared" si="11"/>
        <v>10000000</v>
      </c>
      <c r="DK5" s="488"/>
      <c r="DL5" s="471">
        <v>0</v>
      </c>
      <c r="DM5" s="471">
        <v>0</v>
      </c>
      <c r="DN5" s="471">
        <f t="shared" ref="DN5:DN58" si="28">DL5-DM5</f>
        <v>0</v>
      </c>
      <c r="DO5" s="539"/>
      <c r="DP5" s="471"/>
      <c r="DQ5" s="471"/>
      <c r="DR5" s="471"/>
      <c r="DS5" s="473"/>
      <c r="DT5" s="471">
        <v>70000000</v>
      </c>
      <c r="DU5" s="471">
        <f>45637862+4900000+19462138</f>
        <v>70000000</v>
      </c>
      <c r="DV5" s="471">
        <f t="shared" ref="DV5:DV58" si="29">DT5-DU5</f>
        <v>0</v>
      </c>
      <c r="DW5" s="473"/>
      <c r="DX5" s="471">
        <v>10000000</v>
      </c>
      <c r="DY5" s="471">
        <v>0</v>
      </c>
      <c r="DZ5" s="471">
        <f t="shared" ref="DZ5:DZ58" si="30">DX5-DY5</f>
        <v>10000000</v>
      </c>
      <c r="EA5" s="473"/>
      <c r="EB5" s="471">
        <v>5000000</v>
      </c>
      <c r="EC5" s="471">
        <v>0</v>
      </c>
      <c r="ED5" s="471">
        <f t="shared" ref="ED5:ED58" si="31">EB5-EC5</f>
        <v>5000000</v>
      </c>
      <c r="EE5" s="473"/>
      <c r="EF5" s="471">
        <v>20000000</v>
      </c>
      <c r="EG5" s="471">
        <f>11367860+3509035</f>
        <v>14876895</v>
      </c>
      <c r="EH5" s="471">
        <f t="shared" ref="EH5:EH58" si="32">EF5-EG5</f>
        <v>5123105</v>
      </c>
      <c r="EI5" s="473"/>
      <c r="EJ5" s="471">
        <v>5000000</v>
      </c>
      <c r="EK5" s="471">
        <v>0</v>
      </c>
      <c r="EL5" s="471">
        <f t="shared" ref="EL5:EL58" si="33">EJ5-EK5</f>
        <v>5000000</v>
      </c>
      <c r="EM5" s="631" t="s">
        <v>74</v>
      </c>
      <c r="EN5" s="475">
        <v>200000000</v>
      </c>
      <c r="EO5" s="475">
        <f>91837862+52194403.25+25200000+8622250</f>
        <v>177854515.25</v>
      </c>
      <c r="EP5" s="475">
        <f t="shared" ref="EP5:EP60" si="34">EN5-EO5</f>
        <v>22145484.75</v>
      </c>
      <c r="EQ5" s="475"/>
      <c r="ER5" s="475">
        <v>18000000</v>
      </c>
      <c r="ES5" s="475">
        <v>0</v>
      </c>
      <c r="ET5" s="475">
        <f t="shared" ref="ET5:ET61" si="35">ER5-ES5</f>
        <v>18000000</v>
      </c>
      <c r="EU5" s="475"/>
      <c r="EV5" s="475">
        <v>5000000</v>
      </c>
      <c r="EW5" s="475">
        <v>0</v>
      </c>
      <c r="EX5" s="475">
        <f t="shared" ref="EX5:EX61" si="36">EV5-EW5</f>
        <v>5000000</v>
      </c>
      <c r="EY5" s="475"/>
      <c r="EZ5" s="475">
        <v>25000000</v>
      </c>
      <c r="FA5" s="475">
        <v>25000000</v>
      </c>
      <c r="FB5" s="475">
        <f t="shared" ref="FB5:FB61" si="37">EZ5-FA5</f>
        <v>0</v>
      </c>
      <c r="FC5" s="475"/>
      <c r="FD5" s="475">
        <v>5000000</v>
      </c>
      <c r="FE5" s="475">
        <v>0</v>
      </c>
      <c r="FF5" s="475">
        <f t="shared" ref="FF5:FF61" si="38">FD5-FE5</f>
        <v>5000000</v>
      </c>
      <c r="FG5" s="107"/>
      <c r="FH5" s="475">
        <v>75000000</v>
      </c>
      <c r="FI5" s="475">
        <v>62300731.350000001</v>
      </c>
      <c r="FJ5" s="475">
        <f t="shared" ref="FJ5:FJ61" si="39">FH5-FI5</f>
        <v>12699268.649999999</v>
      </c>
      <c r="FK5" s="475"/>
      <c r="FL5" s="475">
        <v>20000000</v>
      </c>
      <c r="FM5" s="475">
        <v>0</v>
      </c>
      <c r="FN5" s="475">
        <f t="shared" ref="FN5:FN37" si="40">FL5-FM5</f>
        <v>20000000</v>
      </c>
      <c r="FO5" s="475"/>
      <c r="FP5" s="475">
        <v>5000000</v>
      </c>
      <c r="FQ5" s="475">
        <v>0</v>
      </c>
      <c r="FR5" s="475">
        <f t="shared" ref="FR5:FR37" si="41">FP5-FQ5</f>
        <v>5000000</v>
      </c>
      <c r="FS5" s="475"/>
      <c r="FT5" s="475">
        <v>20000000</v>
      </c>
      <c r="FU5" s="475">
        <f>9821885+5279027</f>
        <v>15100912</v>
      </c>
      <c r="FV5" s="475">
        <f t="shared" ref="FV5:FV37" si="42">FT5-FU5</f>
        <v>4899088</v>
      </c>
      <c r="FW5" s="475"/>
      <c r="FX5" s="475">
        <v>5000000</v>
      </c>
      <c r="FY5" s="475">
        <v>0</v>
      </c>
      <c r="FZ5" s="475">
        <f t="shared" ref="FZ5:FZ37" si="43">FX5-FY5</f>
        <v>5000000</v>
      </c>
      <c r="GA5" s="475"/>
      <c r="GB5" s="475">
        <v>100000000</v>
      </c>
      <c r="GC5" s="475">
        <v>0</v>
      </c>
      <c r="GD5" s="475">
        <f t="shared" ref="GD5:GD40" si="44">GB5-GC5</f>
        <v>100000000</v>
      </c>
      <c r="GE5" s="475"/>
      <c r="GF5" s="475">
        <v>20000000</v>
      </c>
      <c r="GG5" s="475">
        <v>0</v>
      </c>
      <c r="GH5" s="475">
        <f t="shared" ref="GH5:GH40" si="45">GF5-GG5</f>
        <v>20000000</v>
      </c>
      <c r="GI5" s="475"/>
      <c r="GJ5" s="475">
        <v>3000000</v>
      </c>
      <c r="GK5" s="475">
        <v>0</v>
      </c>
      <c r="GL5" s="475">
        <f t="shared" ref="GL5:GL40" si="46">GJ5-GK5</f>
        <v>3000000</v>
      </c>
      <c r="GM5" s="475"/>
      <c r="GN5" s="475">
        <v>15000000</v>
      </c>
      <c r="GO5" s="475">
        <v>0</v>
      </c>
      <c r="GP5" s="475">
        <f t="shared" ref="GP5:GP40" si="47">GN5-GO5</f>
        <v>15000000</v>
      </c>
      <c r="GQ5" s="475"/>
      <c r="GR5" s="475">
        <v>3000000</v>
      </c>
      <c r="GS5" s="475">
        <v>0</v>
      </c>
      <c r="GT5" s="475">
        <f t="shared" ref="GT5:GT40" si="48">GR5-GS5</f>
        <v>3000000</v>
      </c>
      <c r="GU5" s="475"/>
      <c r="GV5" s="468">
        <f t="shared" ref="GV5:GW61" si="49">H5+L5+P5+T5+X5+AB5+AF5+AJ5+AN5+AR5+AV5+AZ5+BD5+BH5+BL5+BP5+BT5+D5+BX5+CB5+CF5+CJ5+CN5+CR5+CV5+CZ5+DD5+DH5+DT5+DX5+EB5+EF5+EJ5+DL5+EN5+ER5+EV5+EZ5+FD5+FH5+FL5+FP5+FT5+FX5+GB5+GF5+GJ5+GN5+GR5</f>
        <v>1212490000</v>
      </c>
      <c r="GW5" s="468">
        <f t="shared" si="49"/>
        <v>851375584.60000002</v>
      </c>
      <c r="GX5" s="468">
        <f t="shared" ref="GX5:GX61" si="50">GV5-GW5</f>
        <v>361114415.39999998</v>
      </c>
      <c r="GY5" s="472"/>
      <c r="HA5" s="468">
        <f>D5+H5+L5+X5+AN5+BD5+BX5+CR5+DT5+DL5+EN5+FH5+GB5</f>
        <v>810490000</v>
      </c>
      <c r="HB5" s="468">
        <f>E5+I5+M5+Y5+AO5+BE5+BY5+CS5+DU5+DM5+EO5+FI5+GC5</f>
        <v>675645246.60000002</v>
      </c>
      <c r="HC5" s="471">
        <f t="shared" ref="HC5:HC61" si="51">HA5-HB5</f>
        <v>134844753.39999998</v>
      </c>
      <c r="HE5" s="471">
        <f>P5+AB5+AR5+BH5+CB5+CV5+DX5+ER5+FL5+GF5</f>
        <v>110500000</v>
      </c>
      <c r="HF5" s="471">
        <f>Q5+AC5+AS5+BI5+CC5+CW5+DY5+ES5+FM5+GG5</f>
        <v>21118284</v>
      </c>
      <c r="HG5" s="471">
        <f t="shared" ref="HG5:HG61" si="52">HE5-HF5</f>
        <v>89381716</v>
      </c>
      <c r="HI5" s="471">
        <f>T5+AF5+AV5+BL5+CF5+CZ5+EB5+EV5+FP5+GJ5</f>
        <v>55000000</v>
      </c>
      <c r="HJ5" s="471">
        <f>U5+AG5+AW5+BM5+CG5+DA5+EC5+EW5+FQ5+GK5</f>
        <v>0</v>
      </c>
      <c r="HK5" s="471">
        <f t="shared" ref="HK5:HK62" si="53">HI5-HJ5</f>
        <v>55000000</v>
      </c>
      <c r="HM5" s="471">
        <f>AJ5+AZ5+BP5+CJ5+DD5+EF5+EZ5+FT5+GN5</f>
        <v>197500000</v>
      </c>
      <c r="HN5" s="471">
        <f>AK5+BA5+BQ5+CK5+DE5+EG5+FA5+FU5+GO5</f>
        <v>151926054</v>
      </c>
      <c r="HO5" s="471">
        <f t="shared" ref="HO5:HO61" si="54">HM5-HN5</f>
        <v>45573946</v>
      </c>
      <c r="HP5" s="531"/>
      <c r="HQ5" s="471">
        <f>BT5+CN5+DH5+EJ5+FD5+FX5+GR5</f>
        <v>39000000</v>
      </c>
      <c r="HR5" s="471">
        <f>BU5+CO5+DI5+EK5+FE5+FY5+GS5</f>
        <v>2686000</v>
      </c>
      <c r="HS5" s="471">
        <f t="shared" ref="HS5:HS61" si="55">HQ5-HR5</f>
        <v>36314000</v>
      </c>
    </row>
    <row r="6" spans="1:227" x14ac:dyDescent="0.25">
      <c r="A6" s="107">
        <v>3</v>
      </c>
      <c r="B6" s="107" t="s">
        <v>202</v>
      </c>
      <c r="C6" s="631" t="s">
        <v>74</v>
      </c>
      <c r="D6" s="488">
        <v>1250000</v>
      </c>
      <c r="E6" s="488">
        <v>1250000</v>
      </c>
      <c r="F6" s="468">
        <f t="shared" si="12"/>
        <v>0</v>
      </c>
      <c r="G6" s="488"/>
      <c r="H6" s="468">
        <v>25240000</v>
      </c>
      <c r="I6" s="468">
        <v>25240000</v>
      </c>
      <c r="J6" s="468">
        <f t="shared" si="13"/>
        <v>0</v>
      </c>
      <c r="K6" s="488"/>
      <c r="L6" s="468">
        <v>25000000</v>
      </c>
      <c r="M6" s="468">
        <v>25000000</v>
      </c>
      <c r="N6" s="468">
        <f t="shared" si="14"/>
        <v>0</v>
      </c>
      <c r="O6" s="488"/>
      <c r="P6" s="468">
        <v>3000000</v>
      </c>
      <c r="Q6" s="468">
        <f>3000000</f>
        <v>3000000</v>
      </c>
      <c r="R6" s="468">
        <f t="shared" si="15"/>
        <v>0</v>
      </c>
      <c r="S6" s="488"/>
      <c r="T6" s="468">
        <f>1000000-1000000</f>
        <v>0</v>
      </c>
      <c r="U6" s="468">
        <v>0</v>
      </c>
      <c r="V6" s="468">
        <f t="shared" si="16"/>
        <v>0</v>
      </c>
      <c r="W6" s="488"/>
      <c r="X6" s="468">
        <v>30000000</v>
      </c>
      <c r="Y6" s="468">
        <v>30000000</v>
      </c>
      <c r="Z6" s="468">
        <f t="shared" si="17"/>
        <v>0</v>
      </c>
      <c r="AA6" s="488"/>
      <c r="AB6" s="468">
        <v>5000000</v>
      </c>
      <c r="AC6" s="468">
        <f>2133065+2866935</f>
        <v>5000000</v>
      </c>
      <c r="AD6" s="468">
        <f t="shared" si="18"/>
        <v>0</v>
      </c>
      <c r="AE6" s="488"/>
      <c r="AF6" s="468">
        <f>2000000-2000000</f>
        <v>0</v>
      </c>
      <c r="AG6" s="468">
        <v>0</v>
      </c>
      <c r="AH6" s="468">
        <f t="shared" si="19"/>
        <v>0</v>
      </c>
      <c r="AI6" s="488"/>
      <c r="AJ6" s="468">
        <v>7500000</v>
      </c>
      <c r="AK6" s="468">
        <v>7500000</v>
      </c>
      <c r="AL6" s="468">
        <f t="shared" si="20"/>
        <v>0</v>
      </c>
      <c r="AM6" s="468"/>
      <c r="AN6" s="468">
        <v>40000000</v>
      </c>
      <c r="AO6" s="468">
        <v>40000000</v>
      </c>
      <c r="AP6" s="468">
        <f t="shared" si="0"/>
        <v>0</v>
      </c>
      <c r="AQ6" s="488"/>
      <c r="AR6" s="468">
        <v>3000000</v>
      </c>
      <c r="AS6" s="468">
        <f>3000000</f>
        <v>3000000</v>
      </c>
      <c r="AT6" s="468">
        <f t="shared" si="21"/>
        <v>0</v>
      </c>
      <c r="AU6" s="488"/>
      <c r="AV6" s="468">
        <v>2000000</v>
      </c>
      <c r="AW6" s="468">
        <v>0</v>
      </c>
      <c r="AX6" s="468">
        <f t="shared" si="22"/>
        <v>2000000</v>
      </c>
      <c r="AY6" s="488"/>
      <c r="AZ6" s="468">
        <v>10000000</v>
      </c>
      <c r="BA6" s="468">
        <f>2094886+750840+564700+1216160+5373414</f>
        <v>10000000</v>
      </c>
      <c r="BB6" s="468">
        <f t="shared" si="1"/>
        <v>0</v>
      </c>
      <c r="BC6" s="488"/>
      <c r="BD6" s="468">
        <v>64000000</v>
      </c>
      <c r="BE6" s="468">
        <f>7332034.5+54727435+1940530.5</f>
        <v>64000000</v>
      </c>
      <c r="BF6" s="468">
        <f t="shared" si="23"/>
        <v>0</v>
      </c>
      <c r="BG6" s="488"/>
      <c r="BH6" s="468">
        <v>9500000</v>
      </c>
      <c r="BI6" s="468">
        <f>9500000</f>
        <v>9500000</v>
      </c>
      <c r="BJ6" s="468">
        <f t="shared" si="24"/>
        <v>0</v>
      </c>
      <c r="BK6" s="488"/>
      <c r="BL6" s="468">
        <v>5000000</v>
      </c>
      <c r="BM6" s="468">
        <v>0</v>
      </c>
      <c r="BN6" s="468">
        <f t="shared" si="25"/>
        <v>5000000</v>
      </c>
      <c r="BO6" s="488"/>
      <c r="BP6" s="468">
        <v>20000000</v>
      </c>
      <c r="BQ6" s="468">
        <f>2262071+17737929</f>
        <v>20000000</v>
      </c>
      <c r="BR6" s="468">
        <f t="shared" si="2"/>
        <v>0</v>
      </c>
      <c r="BS6" s="488"/>
      <c r="BT6" s="468">
        <v>1000000</v>
      </c>
      <c r="BU6" s="468">
        <v>1000000</v>
      </c>
      <c r="BV6" s="468">
        <f t="shared" si="3"/>
        <v>0</v>
      </c>
      <c r="BW6" s="488"/>
      <c r="BX6" s="468">
        <v>80000000</v>
      </c>
      <c r="BY6" s="468">
        <f>61429201.5+7900000+10670798.5</f>
        <v>80000000</v>
      </c>
      <c r="BZ6" s="468">
        <f t="shared" si="26"/>
        <v>0</v>
      </c>
      <c r="CA6" s="488"/>
      <c r="CB6" s="468">
        <v>10000000</v>
      </c>
      <c r="CC6" s="468">
        <f>10000000</f>
        <v>10000000</v>
      </c>
      <c r="CD6" s="468">
        <f t="shared" si="4"/>
        <v>0</v>
      </c>
      <c r="CE6" s="488"/>
      <c r="CF6" s="468">
        <v>10000000</v>
      </c>
      <c r="CG6" s="468">
        <v>0</v>
      </c>
      <c r="CH6" s="468">
        <f t="shared" si="27"/>
        <v>10000000</v>
      </c>
      <c r="CI6" s="488"/>
      <c r="CJ6" s="468">
        <v>30000000</v>
      </c>
      <c r="CK6" s="468">
        <f>7585757+17817975+4596268</f>
        <v>30000000</v>
      </c>
      <c r="CL6" s="468">
        <f t="shared" si="5"/>
        <v>0</v>
      </c>
      <c r="CM6" s="471"/>
      <c r="CN6" s="468">
        <v>10000000</v>
      </c>
      <c r="CO6" s="468">
        <v>10000000</v>
      </c>
      <c r="CP6" s="468">
        <f t="shared" si="6"/>
        <v>0</v>
      </c>
      <c r="CQ6" s="488"/>
      <c r="CR6" s="468">
        <v>100000000</v>
      </c>
      <c r="CS6" s="468">
        <f>75825491.5+10650000+12511000</f>
        <v>98986491.5</v>
      </c>
      <c r="CT6" s="468">
        <f t="shared" si="7"/>
        <v>1013508.5</v>
      </c>
      <c r="CU6" s="488"/>
      <c r="CV6" s="468">
        <v>20000000</v>
      </c>
      <c r="CW6" s="468">
        <f>9316647.4+10683352.6</f>
        <v>20000000</v>
      </c>
      <c r="CX6" s="468">
        <f t="shared" si="8"/>
        <v>0</v>
      </c>
      <c r="CY6" s="488"/>
      <c r="CZ6" s="468">
        <v>20000000</v>
      </c>
      <c r="DA6" s="468">
        <v>0</v>
      </c>
      <c r="DB6" s="468">
        <f t="shared" si="9"/>
        <v>20000000</v>
      </c>
      <c r="DC6" s="488"/>
      <c r="DD6" s="468">
        <v>50000000</v>
      </c>
      <c r="DE6" s="468">
        <f>3890527+34191110+4610052+2158332+5149979</f>
        <v>50000000</v>
      </c>
      <c r="DF6" s="468">
        <f t="shared" si="10"/>
        <v>0</v>
      </c>
      <c r="DG6" s="463"/>
      <c r="DH6" s="468">
        <v>10000000</v>
      </c>
      <c r="DI6" s="489">
        <f>1180500+2149500+2847500</f>
        <v>6177500</v>
      </c>
      <c r="DJ6" s="468">
        <f t="shared" si="11"/>
        <v>3822500</v>
      </c>
      <c r="DK6" s="488"/>
      <c r="DL6" s="471">
        <v>0</v>
      </c>
      <c r="DM6" s="471">
        <v>0</v>
      </c>
      <c r="DN6" s="471">
        <f t="shared" si="28"/>
        <v>0</v>
      </c>
      <c r="DO6" s="539"/>
      <c r="DP6" s="471"/>
      <c r="DQ6" s="471"/>
      <c r="DR6" s="471"/>
      <c r="DS6" s="473"/>
      <c r="DT6" s="471">
        <v>70000000</v>
      </c>
      <c r="DU6" s="471">
        <v>70000000</v>
      </c>
      <c r="DV6" s="471">
        <f t="shared" si="29"/>
        <v>0</v>
      </c>
      <c r="DW6" s="473"/>
      <c r="DX6" s="471">
        <v>10000000</v>
      </c>
      <c r="DY6" s="471">
        <f>1016647.4+8983352.6</f>
        <v>10000000</v>
      </c>
      <c r="DZ6" s="471">
        <f t="shared" si="30"/>
        <v>0</v>
      </c>
      <c r="EA6" s="473"/>
      <c r="EB6" s="471">
        <v>5000000</v>
      </c>
      <c r="EC6" s="471">
        <v>0</v>
      </c>
      <c r="ED6" s="471">
        <f t="shared" si="31"/>
        <v>5000000</v>
      </c>
      <c r="EE6" s="473"/>
      <c r="EF6" s="471">
        <v>20000000</v>
      </c>
      <c r="EG6" s="471">
        <f>14917700+1389260+3693040</f>
        <v>20000000</v>
      </c>
      <c r="EH6" s="471">
        <f t="shared" si="32"/>
        <v>0</v>
      </c>
      <c r="EI6" s="473"/>
      <c r="EJ6" s="471">
        <v>5000000</v>
      </c>
      <c r="EK6" s="471">
        <v>0</v>
      </c>
      <c r="EL6" s="471">
        <f t="shared" si="33"/>
        <v>5000000</v>
      </c>
      <c r="EM6" s="631" t="s">
        <v>74</v>
      </c>
      <c r="EN6" s="475">
        <v>200000000</v>
      </c>
      <c r="EO6" s="475">
        <f>2000000+5993100+121416739+9900000+17100000+43590161</f>
        <v>200000000</v>
      </c>
      <c r="EP6" s="475">
        <f t="shared" si="34"/>
        <v>0</v>
      </c>
      <c r="EQ6" s="475"/>
      <c r="ER6" s="475">
        <v>18000000</v>
      </c>
      <c r="ES6" s="475">
        <f>2209152.4+4902764.4</f>
        <v>7111916.8000000007</v>
      </c>
      <c r="ET6" s="475">
        <f t="shared" si="35"/>
        <v>10888083.199999999</v>
      </c>
      <c r="EU6" s="475"/>
      <c r="EV6" s="475">
        <v>5000000</v>
      </c>
      <c r="EW6" s="475">
        <v>0</v>
      </c>
      <c r="EX6" s="475">
        <f t="shared" si="36"/>
        <v>5000000</v>
      </c>
      <c r="EY6" s="475"/>
      <c r="EZ6" s="475">
        <v>25000000</v>
      </c>
      <c r="FA6" s="626">
        <f>7587125+9217029+5724407+2471439</f>
        <v>25000000</v>
      </c>
      <c r="FB6" s="475">
        <f t="shared" si="37"/>
        <v>0</v>
      </c>
      <c r="FC6" s="475"/>
      <c r="FD6" s="475">
        <v>5000000</v>
      </c>
      <c r="FE6" s="475">
        <v>0</v>
      </c>
      <c r="FF6" s="475">
        <f t="shared" si="38"/>
        <v>5000000</v>
      </c>
      <c r="FG6" s="107"/>
      <c r="FH6" s="475">
        <v>75000000</v>
      </c>
      <c r="FI6" s="475">
        <f>10529717.6+8358500+33621800</f>
        <v>52510017.600000001</v>
      </c>
      <c r="FJ6" s="475">
        <f t="shared" si="39"/>
        <v>22489982.399999999</v>
      </c>
      <c r="FK6" s="475"/>
      <c r="FL6" s="475">
        <v>20000000</v>
      </c>
      <c r="FM6" s="475">
        <v>0</v>
      </c>
      <c r="FN6" s="475">
        <f t="shared" si="40"/>
        <v>20000000</v>
      </c>
      <c r="FO6" s="475"/>
      <c r="FP6" s="475">
        <v>5000000</v>
      </c>
      <c r="FQ6" s="475">
        <v>0</v>
      </c>
      <c r="FR6" s="475">
        <f t="shared" si="41"/>
        <v>5000000</v>
      </c>
      <c r="FS6" s="475"/>
      <c r="FT6" s="475">
        <v>20000000</v>
      </c>
      <c r="FU6" s="626">
        <f>12475291</f>
        <v>12475291</v>
      </c>
      <c r="FV6" s="475">
        <f t="shared" si="42"/>
        <v>7524709</v>
      </c>
      <c r="FW6" s="475"/>
      <c r="FX6" s="475">
        <v>5000000</v>
      </c>
      <c r="FY6" s="475">
        <v>0</v>
      </c>
      <c r="FZ6" s="475">
        <f t="shared" si="43"/>
        <v>5000000</v>
      </c>
      <c r="GA6" s="475"/>
      <c r="GB6" s="475">
        <v>100000000</v>
      </c>
      <c r="GC6" s="475">
        <v>0</v>
      </c>
      <c r="GD6" s="475">
        <f t="shared" si="44"/>
        <v>100000000</v>
      </c>
      <c r="GE6" s="475"/>
      <c r="GF6" s="475">
        <v>20000000</v>
      </c>
      <c r="GG6" s="475">
        <v>0</v>
      </c>
      <c r="GH6" s="475">
        <f t="shared" si="45"/>
        <v>20000000</v>
      </c>
      <c r="GI6" s="475"/>
      <c r="GJ6" s="475">
        <v>3000000</v>
      </c>
      <c r="GK6" s="475">
        <v>0</v>
      </c>
      <c r="GL6" s="475">
        <f t="shared" si="46"/>
        <v>3000000</v>
      </c>
      <c r="GM6" s="475"/>
      <c r="GN6" s="475">
        <v>15000000</v>
      </c>
      <c r="GO6" s="475">
        <v>0</v>
      </c>
      <c r="GP6" s="475">
        <f t="shared" si="47"/>
        <v>15000000</v>
      </c>
      <c r="GQ6" s="475"/>
      <c r="GR6" s="475">
        <v>3000000</v>
      </c>
      <c r="GS6" s="475">
        <v>0</v>
      </c>
      <c r="GT6" s="475">
        <f t="shared" si="48"/>
        <v>3000000</v>
      </c>
      <c r="GU6" s="475"/>
      <c r="GV6" s="468">
        <f t="shared" si="49"/>
        <v>1220490000</v>
      </c>
      <c r="GW6" s="468">
        <f t="shared" si="49"/>
        <v>946751216.89999998</v>
      </c>
      <c r="GX6" s="468">
        <f t="shared" si="50"/>
        <v>273738783.10000002</v>
      </c>
      <c r="GY6" s="472"/>
      <c r="HA6" s="468">
        <f>D6+H6+L6+X6+AN6+BD6+BX6+CR6+DT6+DL6+EN6+FH6+GB6</f>
        <v>810490000</v>
      </c>
      <c r="HB6" s="468">
        <f>E6+I6+M6+Y6+AO6+BE6+BY6+CS6+DU6+DM6+EO6+FI6+GC6</f>
        <v>686986509.10000002</v>
      </c>
      <c r="HC6" s="471">
        <f t="shared" si="51"/>
        <v>123503490.89999998</v>
      </c>
      <c r="HE6" s="471">
        <f>P6+AB6+AR6+BH6+CB6+CV6+DX6+ER6+FL6+GF6</f>
        <v>118500000</v>
      </c>
      <c r="HF6" s="471">
        <f>Q6+AC6+AS6+BI6+CC6+CW6+DY6+ES6+FM6+GG6</f>
        <v>67611916.799999997</v>
      </c>
      <c r="HG6" s="471">
        <f t="shared" si="52"/>
        <v>50888083.200000003</v>
      </c>
      <c r="HI6" s="471">
        <f>T6+AF6+AV6+BL6+CF6+CZ6+EB6+EV6+FP6+GJ6</f>
        <v>55000000</v>
      </c>
      <c r="HJ6" s="471">
        <f>U6+AG6+AW6+BM6+CG6+DA6+EC6+EW6+FQ6+GK6</f>
        <v>0</v>
      </c>
      <c r="HK6" s="471">
        <f t="shared" si="53"/>
        <v>55000000</v>
      </c>
      <c r="HM6" s="471">
        <f>AJ6+AZ6+BP6+CJ6+DD6+EF6+EZ6+FT6+GN6</f>
        <v>197500000</v>
      </c>
      <c r="HN6" s="471">
        <f>AK6+BA6+BQ6+CK6+DE6+EG6+FA6+FU6+GO6</f>
        <v>174975291</v>
      </c>
      <c r="HO6" s="471">
        <f t="shared" si="54"/>
        <v>22524709</v>
      </c>
      <c r="HP6" s="531"/>
      <c r="HQ6" s="471">
        <f>BT6+CN6+DH6+EJ6+FD6+FX6+GR6</f>
        <v>39000000</v>
      </c>
      <c r="HR6" s="471">
        <f>BU6+CO6+DI6+EK6+FE6+FY6+GS6</f>
        <v>17177500</v>
      </c>
      <c r="HS6" s="471">
        <f t="shared" si="55"/>
        <v>21822500</v>
      </c>
    </row>
    <row r="7" spans="1:227" x14ac:dyDescent="0.25">
      <c r="A7" s="107">
        <v>4</v>
      </c>
      <c r="B7" s="107" t="s">
        <v>203</v>
      </c>
      <c r="C7" s="631" t="s">
        <v>65</v>
      </c>
      <c r="D7" s="488">
        <v>1250000</v>
      </c>
      <c r="E7" s="488">
        <v>1250000</v>
      </c>
      <c r="F7" s="468">
        <f t="shared" si="12"/>
        <v>0</v>
      </c>
      <c r="H7" s="488">
        <v>25240000</v>
      </c>
      <c r="I7" s="488">
        <v>25240000</v>
      </c>
      <c r="J7" s="468">
        <f t="shared" si="13"/>
        <v>0</v>
      </c>
      <c r="L7" s="468">
        <v>25000000</v>
      </c>
      <c r="M7" s="468">
        <v>25000000</v>
      </c>
      <c r="N7" s="468">
        <f t="shared" si="14"/>
        <v>0</v>
      </c>
      <c r="P7" s="468">
        <v>3000000</v>
      </c>
      <c r="Q7" s="468">
        <v>3000000</v>
      </c>
      <c r="R7" s="468">
        <f t="shared" si="15"/>
        <v>0</v>
      </c>
      <c r="T7" s="468">
        <v>2100000</v>
      </c>
      <c r="U7" s="468">
        <v>2100000</v>
      </c>
      <c r="V7" s="468">
        <f t="shared" si="16"/>
        <v>0</v>
      </c>
      <c r="X7" s="468">
        <v>30000000</v>
      </c>
      <c r="Y7" s="468">
        <v>30000000</v>
      </c>
      <c r="Z7" s="468">
        <f t="shared" si="17"/>
        <v>0</v>
      </c>
      <c r="AB7" s="468">
        <v>5000000</v>
      </c>
      <c r="AC7" s="468">
        <f>5000000</f>
        <v>5000000</v>
      </c>
      <c r="AD7" s="468">
        <f t="shared" si="18"/>
        <v>0</v>
      </c>
      <c r="AF7" s="468">
        <v>3000000</v>
      </c>
      <c r="AG7" s="468">
        <v>3000000</v>
      </c>
      <c r="AH7" s="468">
        <f t="shared" si="19"/>
        <v>0</v>
      </c>
      <c r="AJ7" s="468">
        <v>7500000</v>
      </c>
      <c r="AK7" s="468">
        <v>7500000</v>
      </c>
      <c r="AL7" s="468">
        <f t="shared" si="20"/>
        <v>0</v>
      </c>
      <c r="AN7" s="468">
        <v>40000000</v>
      </c>
      <c r="AO7" s="520">
        <v>40000000</v>
      </c>
      <c r="AP7" s="468">
        <f t="shared" si="0"/>
        <v>0</v>
      </c>
      <c r="AR7" s="468">
        <v>3000000</v>
      </c>
      <c r="AS7" s="468">
        <v>3000000</v>
      </c>
      <c r="AT7" s="468">
        <f t="shared" si="21"/>
        <v>0</v>
      </c>
      <c r="AV7" s="468">
        <v>2000000</v>
      </c>
      <c r="AW7" s="468">
        <f>2000000</f>
        <v>2000000</v>
      </c>
      <c r="AX7" s="468">
        <f t="shared" si="22"/>
        <v>0</v>
      </c>
      <c r="AZ7" s="468">
        <v>10000000</v>
      </c>
      <c r="BA7" s="468">
        <f>10000000</f>
        <v>10000000</v>
      </c>
      <c r="BB7" s="468">
        <f t="shared" si="1"/>
        <v>0</v>
      </c>
      <c r="BD7" s="468">
        <v>64000000</v>
      </c>
      <c r="BE7" s="468">
        <f>108171470.5-54727435+9855600+1833700-1133335.5</f>
        <v>64000000</v>
      </c>
      <c r="BF7" s="468">
        <f t="shared" si="23"/>
        <v>0</v>
      </c>
      <c r="BH7" s="468">
        <v>9500000</v>
      </c>
      <c r="BI7" s="468">
        <v>9500000</v>
      </c>
      <c r="BJ7" s="468">
        <f t="shared" si="24"/>
        <v>0</v>
      </c>
      <c r="BL7" s="468">
        <v>5000000</v>
      </c>
      <c r="BM7" s="468">
        <f>5000000</f>
        <v>5000000</v>
      </c>
      <c r="BN7" s="468">
        <f t="shared" si="25"/>
        <v>0</v>
      </c>
      <c r="BP7" s="468">
        <v>20000000</v>
      </c>
      <c r="BQ7" s="468">
        <v>20000000</v>
      </c>
      <c r="BR7" s="468">
        <f t="shared" si="2"/>
        <v>0</v>
      </c>
      <c r="BT7" s="468">
        <v>1000000</v>
      </c>
      <c r="BU7" s="468">
        <f>1000000</f>
        <v>1000000</v>
      </c>
      <c r="BV7" s="468">
        <f t="shared" si="3"/>
        <v>0</v>
      </c>
      <c r="BX7" s="468">
        <v>80000000</v>
      </c>
      <c r="BY7" s="468">
        <f>65250000+15622800-872800</f>
        <v>80000000</v>
      </c>
      <c r="BZ7" s="468">
        <f t="shared" si="26"/>
        <v>0</v>
      </c>
      <c r="CB7" s="468">
        <v>10000000</v>
      </c>
      <c r="CC7" s="468">
        <f>8859750+1140250</f>
        <v>10000000</v>
      </c>
      <c r="CD7" s="468">
        <f t="shared" si="4"/>
        <v>0</v>
      </c>
      <c r="CE7" s="465"/>
      <c r="CF7" s="468">
        <v>10000000</v>
      </c>
      <c r="CG7" s="468">
        <f>3970000</f>
        <v>3970000</v>
      </c>
      <c r="CH7" s="468">
        <f t="shared" si="27"/>
        <v>6030000</v>
      </c>
      <c r="CJ7" s="468">
        <v>30000000</v>
      </c>
      <c r="CK7" s="468">
        <f>29750000+250000</f>
        <v>30000000</v>
      </c>
      <c r="CL7" s="468">
        <f t="shared" si="5"/>
        <v>0</v>
      </c>
      <c r="CM7" s="488"/>
      <c r="CN7" s="468">
        <v>10000000</v>
      </c>
      <c r="CO7" s="468">
        <f>3590000+3952000</f>
        <v>7542000</v>
      </c>
      <c r="CP7" s="468">
        <f t="shared" si="6"/>
        <v>2458000</v>
      </c>
      <c r="CR7" s="468">
        <v>100000000</v>
      </c>
      <c r="CS7" s="468">
        <f>1133335.5+872800+16700000+32184400+25751000+7200000+4500000+11658464.5</f>
        <v>100000000</v>
      </c>
      <c r="CT7" s="468">
        <f t="shared" si="7"/>
        <v>0</v>
      </c>
      <c r="CU7" s="488"/>
      <c r="CV7" s="468">
        <v>20000000</v>
      </c>
      <c r="CW7" s="468">
        <f>0+15044350+3751800+1203850</f>
        <v>20000000</v>
      </c>
      <c r="CX7" s="468">
        <f t="shared" si="8"/>
        <v>0</v>
      </c>
      <c r="CZ7" s="468">
        <v>20000000</v>
      </c>
      <c r="DA7" s="468">
        <v>0</v>
      </c>
      <c r="DB7" s="468">
        <f t="shared" si="9"/>
        <v>20000000</v>
      </c>
      <c r="DD7" s="468">
        <v>50000000</v>
      </c>
      <c r="DE7" s="468">
        <f>1242484+4560252+43120000+1077264</f>
        <v>50000000</v>
      </c>
      <c r="DF7" s="468">
        <f t="shared" si="10"/>
        <v>0</v>
      </c>
      <c r="DG7" s="463"/>
      <c r="DH7" s="468">
        <v>10000000</v>
      </c>
      <c r="DI7" s="468">
        <v>0</v>
      </c>
      <c r="DJ7" s="468">
        <f t="shared" si="11"/>
        <v>10000000</v>
      </c>
      <c r="DL7" s="471">
        <v>0</v>
      </c>
      <c r="DM7" s="471">
        <v>0</v>
      </c>
      <c r="DN7" s="471">
        <f t="shared" si="28"/>
        <v>0</v>
      </c>
      <c r="DO7" s="470"/>
      <c r="DP7" s="471"/>
      <c r="DQ7" s="471"/>
      <c r="DR7" s="471"/>
      <c r="DS7" s="473"/>
      <c r="DT7" s="471">
        <v>70000000</v>
      </c>
      <c r="DU7" s="471">
        <f>13537983.5+11150000+12150000+7200000+25962016.5</f>
        <v>70000000</v>
      </c>
      <c r="DV7" s="471">
        <f t="shared" si="29"/>
        <v>0</v>
      </c>
      <c r="DW7" s="473"/>
      <c r="DX7" s="471">
        <v>10000000</v>
      </c>
      <c r="DY7" s="471">
        <f>4850000+4501850</f>
        <v>9351850</v>
      </c>
      <c r="DZ7" s="471">
        <f t="shared" si="30"/>
        <v>648150</v>
      </c>
      <c r="EA7" s="473"/>
      <c r="EB7" s="471">
        <v>5000000</v>
      </c>
      <c r="EC7" s="471">
        <v>0</v>
      </c>
      <c r="ED7" s="471">
        <f t="shared" si="31"/>
        <v>5000000</v>
      </c>
      <c r="EE7" s="473"/>
      <c r="EF7" s="471">
        <v>20000000</v>
      </c>
      <c r="EG7" s="540">
        <f>1746896+213600+178000+1003200+188000+16670304</f>
        <v>20000000</v>
      </c>
      <c r="EH7" s="471">
        <f t="shared" si="32"/>
        <v>0</v>
      </c>
      <c r="EI7" s="473"/>
      <c r="EJ7" s="471">
        <v>5000000</v>
      </c>
      <c r="EK7" s="471">
        <v>0</v>
      </c>
      <c r="EL7" s="471">
        <f t="shared" si="33"/>
        <v>5000000</v>
      </c>
      <c r="EM7" s="631" t="s">
        <v>65</v>
      </c>
      <c r="EN7" s="475">
        <v>200000000</v>
      </c>
      <c r="EO7" s="475">
        <f>33675483.5+24900000+6000000+6300000+43150037.65+68219000+17755478.85</f>
        <v>200000000</v>
      </c>
      <c r="EP7" s="475">
        <f t="shared" si="34"/>
        <v>0</v>
      </c>
      <c r="EQ7" s="475"/>
      <c r="ER7" s="475">
        <v>18000000</v>
      </c>
      <c r="ES7" s="475">
        <v>0</v>
      </c>
      <c r="ET7" s="475">
        <f t="shared" si="35"/>
        <v>18000000</v>
      </c>
      <c r="EU7" s="475"/>
      <c r="EV7" s="475">
        <v>5000000</v>
      </c>
      <c r="EW7" s="475">
        <v>0</v>
      </c>
      <c r="EX7" s="475">
        <f t="shared" si="36"/>
        <v>5000000</v>
      </c>
      <c r="EY7" s="475"/>
      <c r="EZ7" s="475">
        <v>25000000</v>
      </c>
      <c r="FA7" s="623">
        <f>2401666</f>
        <v>2401666</v>
      </c>
      <c r="FB7" s="475">
        <f t="shared" si="37"/>
        <v>22598334</v>
      </c>
      <c r="FC7" s="475"/>
      <c r="FD7" s="475">
        <v>5000000</v>
      </c>
      <c r="FE7" s="475">
        <v>0</v>
      </c>
      <c r="FF7" s="475">
        <f t="shared" si="38"/>
        <v>5000000</v>
      </c>
      <c r="FG7" s="107"/>
      <c r="FH7" s="475">
        <v>75000000</v>
      </c>
      <c r="FI7" s="475">
        <f>8644521.15+22200000</f>
        <v>30844521.149999999</v>
      </c>
      <c r="FJ7" s="475">
        <f t="shared" si="39"/>
        <v>44155478.850000001</v>
      </c>
      <c r="FK7" s="475"/>
      <c r="FL7" s="475">
        <v>20000000</v>
      </c>
      <c r="FM7" s="475">
        <v>0</v>
      </c>
      <c r="FN7" s="475">
        <f t="shared" si="40"/>
        <v>20000000</v>
      </c>
      <c r="FO7" s="475"/>
      <c r="FP7" s="475">
        <v>5000000</v>
      </c>
      <c r="FQ7" s="475">
        <v>0</v>
      </c>
      <c r="FR7" s="475">
        <f t="shared" si="41"/>
        <v>5000000</v>
      </c>
      <c r="FS7" s="475"/>
      <c r="FT7" s="475">
        <v>20000000</v>
      </c>
      <c r="FU7" s="475">
        <v>0</v>
      </c>
      <c r="FV7" s="475">
        <f t="shared" si="42"/>
        <v>20000000</v>
      </c>
      <c r="FW7" s="475"/>
      <c r="FX7" s="475">
        <v>5000000</v>
      </c>
      <c r="FY7" s="475">
        <v>0</v>
      </c>
      <c r="FZ7" s="475">
        <f t="shared" si="43"/>
        <v>5000000</v>
      </c>
      <c r="GA7" s="475"/>
      <c r="GB7" s="475">
        <v>100000000</v>
      </c>
      <c r="GC7" s="475">
        <v>0</v>
      </c>
      <c r="GD7" s="475">
        <f t="shared" si="44"/>
        <v>100000000</v>
      </c>
      <c r="GE7" s="475"/>
      <c r="GF7" s="475">
        <v>20000000</v>
      </c>
      <c r="GG7" s="475">
        <v>0</v>
      </c>
      <c r="GH7" s="475">
        <f t="shared" si="45"/>
        <v>20000000</v>
      </c>
      <c r="GI7" s="475"/>
      <c r="GJ7" s="475">
        <v>3000000</v>
      </c>
      <c r="GK7" s="475">
        <v>0</v>
      </c>
      <c r="GL7" s="475">
        <f t="shared" si="46"/>
        <v>3000000</v>
      </c>
      <c r="GM7" s="475"/>
      <c r="GN7" s="475">
        <v>15000000</v>
      </c>
      <c r="GO7" s="475">
        <v>0</v>
      </c>
      <c r="GP7" s="475">
        <f t="shared" si="47"/>
        <v>15000000</v>
      </c>
      <c r="GQ7" s="475"/>
      <c r="GR7" s="475">
        <v>3000000</v>
      </c>
      <c r="GS7" s="475">
        <v>0</v>
      </c>
      <c r="GT7" s="475">
        <f t="shared" si="48"/>
        <v>3000000</v>
      </c>
      <c r="GU7" s="475"/>
      <c r="GV7" s="468">
        <f t="shared" si="49"/>
        <v>1225590000</v>
      </c>
      <c r="GW7" s="468">
        <f t="shared" si="49"/>
        <v>890700037.14999998</v>
      </c>
      <c r="GX7" s="468">
        <f t="shared" si="50"/>
        <v>334889962.85000002</v>
      </c>
      <c r="GY7" s="472"/>
      <c r="HA7" s="468">
        <f>D7+H7+L7+X7+AN7+BD7+BX7+CR7+DT7+DL7+EN7+FH7+GB7</f>
        <v>810490000</v>
      </c>
      <c r="HB7" s="468">
        <f>E7+I7+M7+Y7+AO7+BE7+BY7+CS7+DU7+DM7+EO7+FI7+GC7</f>
        <v>666334521.14999998</v>
      </c>
      <c r="HC7" s="471">
        <f t="shared" si="51"/>
        <v>144155478.85000002</v>
      </c>
      <c r="HE7" s="471">
        <f>P7+AB7+AR7+BH7+CB7+CV7+DX7+ER7+FL7+GF7</f>
        <v>118500000</v>
      </c>
      <c r="HF7" s="471">
        <f>Q7+AC7+AS7+BI7+CC7+CW7+DY7+ES7+FM7+GG7</f>
        <v>59851850</v>
      </c>
      <c r="HG7" s="471">
        <f t="shared" si="52"/>
        <v>58648150</v>
      </c>
      <c r="HI7" s="471">
        <f>T7+AF7+AV7+BL7+CF7+CZ7+EB7+EV7+FP7+GJ7</f>
        <v>60100000</v>
      </c>
      <c r="HJ7" s="471">
        <f>U7+AG7+AW7+BM7+CG7+DA7+EC7+EW7+FQ7+GK7</f>
        <v>16070000</v>
      </c>
      <c r="HK7" s="471">
        <f t="shared" si="53"/>
        <v>44030000</v>
      </c>
      <c r="HM7" s="471">
        <f>AJ7+AZ7+BP7+CJ7+DD7+EF7+EZ7+FT7+GN7</f>
        <v>197500000</v>
      </c>
      <c r="HN7" s="471">
        <f>AK7+BA7+BQ7+CK7+DE7+EG7+FA7+FU7+GO7</f>
        <v>139901666</v>
      </c>
      <c r="HO7" s="471">
        <f t="shared" si="54"/>
        <v>57598334</v>
      </c>
      <c r="HP7" s="531"/>
      <c r="HQ7" s="471">
        <f>BT7+CN7+DH7+EJ7+FD7+FX7+GR7</f>
        <v>39000000</v>
      </c>
      <c r="HR7" s="471">
        <f>BU7+CO7+DI7+EK7+FE7+FY7+GS7</f>
        <v>8542000</v>
      </c>
      <c r="HS7" s="471">
        <f t="shared" si="55"/>
        <v>30458000</v>
      </c>
    </row>
    <row r="8" spans="1:227" x14ac:dyDescent="0.25">
      <c r="A8" s="107">
        <v>5</v>
      </c>
      <c r="B8" s="107" t="s">
        <v>204</v>
      </c>
      <c r="C8" s="631" t="s">
        <v>74</v>
      </c>
      <c r="D8" s="468">
        <v>0</v>
      </c>
      <c r="E8" s="468">
        <v>0</v>
      </c>
      <c r="F8" s="468">
        <f t="shared" si="12"/>
        <v>0</v>
      </c>
      <c r="G8" s="468"/>
      <c r="H8" s="468">
        <v>25240000</v>
      </c>
      <c r="I8" s="468">
        <v>25240000</v>
      </c>
      <c r="J8" s="468">
        <f t="shared" si="13"/>
        <v>0</v>
      </c>
      <c r="K8" s="468"/>
      <c r="L8" s="468">
        <v>25000000</v>
      </c>
      <c r="M8" s="468">
        <v>25000000</v>
      </c>
      <c r="N8" s="468">
        <f t="shared" si="14"/>
        <v>0</v>
      </c>
      <c r="O8" s="468"/>
      <c r="P8" s="468">
        <v>3000000</v>
      </c>
      <c r="Q8" s="468">
        <f>3000000</f>
        <v>3000000</v>
      </c>
      <c r="R8" s="468">
        <f t="shared" si="15"/>
        <v>0</v>
      </c>
      <c r="S8" s="468"/>
      <c r="T8" s="468">
        <f>1000000-1000000</f>
        <v>0</v>
      </c>
      <c r="U8" s="468">
        <v>0</v>
      </c>
      <c r="V8" s="468">
        <f t="shared" si="16"/>
        <v>0</v>
      </c>
      <c r="W8" s="468"/>
      <c r="X8" s="468">
        <v>30000000</v>
      </c>
      <c r="Y8" s="468">
        <v>30000000</v>
      </c>
      <c r="Z8" s="468">
        <f t="shared" si="17"/>
        <v>0</v>
      </c>
      <c r="AA8" s="468"/>
      <c r="AB8" s="468">
        <v>2995373</v>
      </c>
      <c r="AC8" s="468">
        <f>2995373</f>
        <v>2995373</v>
      </c>
      <c r="AD8" s="468">
        <f t="shared" si="18"/>
        <v>0</v>
      </c>
      <c r="AE8" s="468"/>
      <c r="AF8" s="468">
        <f>2000000-2000000</f>
        <v>0</v>
      </c>
      <c r="AG8" s="468">
        <v>0</v>
      </c>
      <c r="AH8" s="468">
        <f t="shared" si="19"/>
        <v>0</v>
      </c>
      <c r="AI8" s="468"/>
      <c r="AJ8" s="468">
        <v>7500000</v>
      </c>
      <c r="AK8" s="468">
        <v>7500000</v>
      </c>
      <c r="AL8" s="468">
        <f t="shared" si="20"/>
        <v>0</v>
      </c>
      <c r="AM8" s="468"/>
      <c r="AN8" s="468">
        <v>40000000</v>
      </c>
      <c r="AO8" s="468">
        <v>40000000</v>
      </c>
      <c r="AP8" s="468">
        <f t="shared" si="0"/>
        <v>0</v>
      </c>
      <c r="AQ8" s="468"/>
      <c r="AR8" s="468">
        <v>3000000</v>
      </c>
      <c r="AS8" s="468">
        <v>3000000</v>
      </c>
      <c r="AT8" s="468">
        <f t="shared" si="21"/>
        <v>0</v>
      </c>
      <c r="AV8" s="468">
        <v>2000000</v>
      </c>
      <c r="AW8" s="468">
        <v>2000000</v>
      </c>
      <c r="AX8" s="468">
        <f t="shared" si="22"/>
        <v>0</v>
      </c>
      <c r="AY8" s="468"/>
      <c r="AZ8" s="468">
        <v>10000000</v>
      </c>
      <c r="BA8" s="468">
        <f>2742701+3651940+3605359</f>
        <v>10000000</v>
      </c>
      <c r="BB8" s="468">
        <f t="shared" si="1"/>
        <v>0</v>
      </c>
      <c r="BC8" s="468"/>
      <c r="BD8" s="468">
        <v>64000000</v>
      </c>
      <c r="BE8" s="468">
        <f>11253641.05+700000+4984000+32893000+2399500+11769858.95</f>
        <v>64000000</v>
      </c>
      <c r="BF8" s="468">
        <f t="shared" si="23"/>
        <v>0</v>
      </c>
      <c r="BG8" s="468"/>
      <c r="BH8" s="468">
        <v>9500000</v>
      </c>
      <c r="BI8" s="468">
        <f>1944000+1999900+3056737.21+2499362.79</f>
        <v>9500000</v>
      </c>
      <c r="BJ8" s="468">
        <f t="shared" si="24"/>
        <v>0</v>
      </c>
      <c r="BK8" s="468"/>
      <c r="BL8" s="468">
        <v>5000000</v>
      </c>
      <c r="BM8" s="468">
        <f>4861880+138120</f>
        <v>5000000</v>
      </c>
      <c r="BN8" s="468">
        <f t="shared" si="25"/>
        <v>0</v>
      </c>
      <c r="BO8" s="468"/>
      <c r="BP8" s="468">
        <v>20000000</v>
      </c>
      <c r="BQ8" s="468">
        <f>1638663+1337750+2198710+5766375+9058502</f>
        <v>20000000</v>
      </c>
      <c r="BR8" s="468">
        <f t="shared" si="2"/>
        <v>0</v>
      </c>
      <c r="BS8" s="468"/>
      <c r="BT8" s="468">
        <v>1000000</v>
      </c>
      <c r="BU8" s="468">
        <v>1000000</v>
      </c>
      <c r="BV8" s="468">
        <f t="shared" si="3"/>
        <v>0</v>
      </c>
      <c r="BW8" s="468"/>
      <c r="BX8" s="468">
        <v>80000000</v>
      </c>
      <c r="BY8" s="468">
        <f>73618824.05+2630025+3751150.95</f>
        <v>80000000</v>
      </c>
      <c r="BZ8" s="468">
        <f t="shared" si="26"/>
        <v>0</v>
      </c>
      <c r="CA8" s="468"/>
      <c r="CB8" s="468">
        <v>10000000</v>
      </c>
      <c r="CC8" s="468">
        <f>3767781.21+2179464</f>
        <v>5947245.21</v>
      </c>
      <c r="CD8" s="468">
        <f t="shared" si="4"/>
        <v>4052754.79</v>
      </c>
      <c r="CE8" s="465"/>
      <c r="CF8" s="468">
        <v>10000000</v>
      </c>
      <c r="CG8" s="468">
        <f>1072800+2125000</f>
        <v>3197800</v>
      </c>
      <c r="CH8" s="468">
        <f t="shared" si="27"/>
        <v>6802200</v>
      </c>
      <c r="CI8" s="468"/>
      <c r="CJ8" s="468">
        <v>30000000</v>
      </c>
      <c r="CK8" s="468">
        <f>7475788+12088960+6372845+892840+3169567</f>
        <v>30000000</v>
      </c>
      <c r="CL8" s="468">
        <f t="shared" si="5"/>
        <v>0</v>
      </c>
      <c r="CM8" s="488"/>
      <c r="CN8" s="468">
        <v>10000000</v>
      </c>
      <c r="CO8" s="468">
        <f>4100000+900000</f>
        <v>5000000</v>
      </c>
      <c r="CP8" s="468">
        <f t="shared" si="6"/>
        <v>5000000</v>
      </c>
      <c r="CQ8" s="468"/>
      <c r="CR8" s="468">
        <v>100000000</v>
      </c>
      <c r="CS8" s="468">
        <f>85909339.05+9500000+4590660.95</f>
        <v>100000000</v>
      </c>
      <c r="CT8" s="468">
        <f t="shared" si="7"/>
        <v>0</v>
      </c>
      <c r="CU8" s="468"/>
      <c r="CV8" s="468">
        <v>20000000</v>
      </c>
      <c r="CW8" s="489">
        <f>2940072+2603286</f>
        <v>5543358</v>
      </c>
      <c r="CX8" s="468">
        <f t="shared" si="8"/>
        <v>14456642</v>
      </c>
      <c r="CY8" s="468"/>
      <c r="CZ8" s="468">
        <v>20000000</v>
      </c>
      <c r="DA8" s="468">
        <v>0</v>
      </c>
      <c r="DB8" s="468">
        <f t="shared" si="9"/>
        <v>20000000</v>
      </c>
      <c r="DC8" s="468"/>
      <c r="DD8" s="468">
        <v>50000000</v>
      </c>
      <c r="DE8" s="468">
        <f>9857283+9170450+20332136+3314596+1634830+2088602+2825900+776203</f>
        <v>50000000</v>
      </c>
      <c r="DF8" s="468">
        <f t="shared" si="10"/>
        <v>0</v>
      </c>
      <c r="DG8" s="463"/>
      <c r="DH8" s="468">
        <v>10000000</v>
      </c>
      <c r="DI8" s="468">
        <v>4770625</v>
      </c>
      <c r="DJ8" s="468">
        <f t="shared" si="11"/>
        <v>5229375</v>
      </c>
      <c r="DK8" s="468"/>
      <c r="DL8" s="471">
        <v>0</v>
      </c>
      <c r="DM8" s="471">
        <v>0</v>
      </c>
      <c r="DN8" s="471">
        <f t="shared" si="28"/>
        <v>0</v>
      </c>
      <c r="DO8" s="524"/>
      <c r="DP8" s="471"/>
      <c r="DQ8" s="471"/>
      <c r="DR8" s="471"/>
      <c r="DS8" s="473"/>
      <c r="DT8" s="471">
        <v>70000000</v>
      </c>
      <c r="DU8" s="471">
        <f>121739.05+57500000+12378260.95</f>
        <v>70000000</v>
      </c>
      <c r="DV8" s="471">
        <f t="shared" si="29"/>
        <v>0</v>
      </c>
      <c r="DW8" s="473"/>
      <c r="DX8" s="471">
        <v>10000000</v>
      </c>
      <c r="DY8" s="471">
        <v>0</v>
      </c>
      <c r="DZ8" s="471">
        <f t="shared" si="30"/>
        <v>10000000</v>
      </c>
      <c r="EA8" s="473"/>
      <c r="EB8" s="471">
        <v>5000000</v>
      </c>
      <c r="EC8" s="471">
        <v>0</v>
      </c>
      <c r="ED8" s="471">
        <f t="shared" si="31"/>
        <v>5000000</v>
      </c>
      <c r="EE8" s="473"/>
      <c r="EF8" s="471">
        <v>20000000</v>
      </c>
      <c r="EG8" s="471">
        <f>3531197+14144600+2324203</f>
        <v>20000000</v>
      </c>
      <c r="EH8" s="471">
        <f t="shared" si="32"/>
        <v>0</v>
      </c>
      <c r="EI8" s="473"/>
      <c r="EJ8" s="471">
        <v>5000000</v>
      </c>
      <c r="EK8" s="471">
        <v>0</v>
      </c>
      <c r="EL8" s="471">
        <f t="shared" si="33"/>
        <v>5000000</v>
      </c>
      <c r="EM8" s="631" t="s">
        <v>74</v>
      </c>
      <c r="EN8" s="475">
        <v>200000000</v>
      </c>
      <c r="EO8" s="623">
        <f>60821739.05+37004553.66+55352276.95+8683200</f>
        <v>161861769.66</v>
      </c>
      <c r="EP8" s="475">
        <f t="shared" si="34"/>
        <v>38138230.340000004</v>
      </c>
      <c r="EQ8" s="475"/>
      <c r="ER8" s="475">
        <v>18000000</v>
      </c>
      <c r="ES8" s="475">
        <v>0</v>
      </c>
      <c r="ET8" s="475">
        <f t="shared" si="35"/>
        <v>18000000</v>
      </c>
      <c r="EU8" s="475"/>
      <c r="EV8" s="475">
        <v>5000000</v>
      </c>
      <c r="EW8" s="475">
        <v>0</v>
      </c>
      <c r="EX8" s="475">
        <f t="shared" si="36"/>
        <v>5000000</v>
      </c>
      <c r="EY8" s="475"/>
      <c r="EZ8" s="475">
        <v>25000000</v>
      </c>
      <c r="FA8" s="475">
        <f>4803297+1385200+2562300+9282576+6966627</f>
        <v>25000000</v>
      </c>
      <c r="FB8" s="475">
        <f t="shared" si="37"/>
        <v>0</v>
      </c>
      <c r="FC8" s="475"/>
      <c r="FD8" s="475">
        <v>5000000</v>
      </c>
      <c r="FE8" s="475">
        <v>0</v>
      </c>
      <c r="FF8" s="475">
        <f t="shared" si="38"/>
        <v>5000000</v>
      </c>
      <c r="FG8" s="107"/>
      <c r="FH8" s="475">
        <v>75000000</v>
      </c>
      <c r="FI8" s="475">
        <v>0</v>
      </c>
      <c r="FJ8" s="475">
        <f t="shared" si="39"/>
        <v>75000000</v>
      </c>
      <c r="FK8" s="475"/>
      <c r="FL8" s="475">
        <v>20000000</v>
      </c>
      <c r="FM8" s="475">
        <v>0</v>
      </c>
      <c r="FN8" s="475">
        <f t="shared" si="40"/>
        <v>20000000</v>
      </c>
      <c r="FO8" s="475"/>
      <c r="FP8" s="475">
        <v>5000000</v>
      </c>
      <c r="FQ8" s="475">
        <v>0</v>
      </c>
      <c r="FR8" s="475">
        <f t="shared" si="41"/>
        <v>5000000</v>
      </c>
      <c r="FS8" s="475"/>
      <c r="FT8" s="475">
        <v>20000000</v>
      </c>
      <c r="FU8" s="475">
        <f>16829758</f>
        <v>16829758</v>
      </c>
      <c r="FV8" s="475">
        <f t="shared" si="42"/>
        <v>3170242</v>
      </c>
      <c r="FW8" s="475"/>
      <c r="FX8" s="475">
        <v>5000000</v>
      </c>
      <c r="FY8" s="475">
        <v>0</v>
      </c>
      <c r="FZ8" s="475">
        <f t="shared" si="43"/>
        <v>5000000</v>
      </c>
      <c r="GA8" s="475"/>
      <c r="GB8" s="475">
        <v>100000000</v>
      </c>
      <c r="GC8" s="475">
        <v>0</v>
      </c>
      <c r="GD8" s="475">
        <f t="shared" si="44"/>
        <v>100000000</v>
      </c>
      <c r="GE8" s="475"/>
      <c r="GF8" s="475">
        <v>20000000</v>
      </c>
      <c r="GG8" s="475">
        <v>0</v>
      </c>
      <c r="GH8" s="475">
        <f t="shared" si="45"/>
        <v>20000000</v>
      </c>
      <c r="GI8" s="475"/>
      <c r="GJ8" s="475">
        <v>3000000</v>
      </c>
      <c r="GK8" s="475">
        <v>0</v>
      </c>
      <c r="GL8" s="475">
        <f t="shared" si="46"/>
        <v>3000000</v>
      </c>
      <c r="GM8" s="475"/>
      <c r="GN8" s="475">
        <v>15000000</v>
      </c>
      <c r="GO8" s="475">
        <v>0</v>
      </c>
      <c r="GP8" s="475">
        <f t="shared" si="47"/>
        <v>15000000</v>
      </c>
      <c r="GQ8" s="475"/>
      <c r="GR8" s="475">
        <v>3000000</v>
      </c>
      <c r="GS8" s="475">
        <v>0</v>
      </c>
      <c r="GT8" s="475">
        <f t="shared" si="48"/>
        <v>3000000</v>
      </c>
      <c r="GU8" s="475"/>
      <c r="GV8" s="468">
        <f t="shared" si="49"/>
        <v>1217235373</v>
      </c>
      <c r="GW8" s="468">
        <f t="shared" si="49"/>
        <v>826385928.87</v>
      </c>
      <c r="GX8" s="468">
        <f t="shared" si="50"/>
        <v>390849444.13</v>
      </c>
      <c r="GY8" s="472"/>
      <c r="HA8" s="468">
        <f>D8+H8+L8+X8+AN8+BD8+BX8+CR8+DT8+DL8+EN8+FH8+GB8</f>
        <v>809240000</v>
      </c>
      <c r="HB8" s="468">
        <f>E8+I8+M8+Y8+AO8+BE8+BY8+CS8+DU8+DM8+EO8+FI8+GC8</f>
        <v>596101769.65999997</v>
      </c>
      <c r="HC8" s="471">
        <f t="shared" si="51"/>
        <v>213138230.34000003</v>
      </c>
      <c r="HE8" s="471">
        <f>P8+AB8+AR8+BH8+CB8+CV8+DX8+ER8+FL8+GF8</f>
        <v>116495373</v>
      </c>
      <c r="HF8" s="471">
        <f>Q8+AC8+AS8+BI8+CC8+CW8+DY8+ES8+FM8+GG8</f>
        <v>29985976.210000001</v>
      </c>
      <c r="HG8" s="471">
        <f t="shared" si="52"/>
        <v>86509396.789999992</v>
      </c>
      <c r="HI8" s="471">
        <f>T8+AF8+AV8+BL8+CF8+CZ8+EB8+EV8+FP8+GJ8</f>
        <v>55000000</v>
      </c>
      <c r="HJ8" s="471">
        <f>U8+AG8+AW8+BM8+CG8+DA8+EC8+EW8+FQ8+GK8</f>
        <v>10197800</v>
      </c>
      <c r="HK8" s="471">
        <f t="shared" si="53"/>
        <v>44802200</v>
      </c>
      <c r="HM8" s="471">
        <f>AJ8+AZ8+BP8+CJ8+DD8+EF8+EZ8+FT8+GN8</f>
        <v>197500000</v>
      </c>
      <c r="HN8" s="471">
        <f>AK8+BA8+BQ8+CK8+DE8+EG8+FA8+FU8+GO8</f>
        <v>179329758</v>
      </c>
      <c r="HO8" s="471">
        <f t="shared" si="54"/>
        <v>18170242</v>
      </c>
      <c r="HP8" s="531"/>
      <c r="HQ8" s="471">
        <f>BT8+CN8+DH8+EJ8+FD8+FX8+GR8</f>
        <v>39000000</v>
      </c>
      <c r="HR8" s="471">
        <f>BU8+CO8+DI8+EK8+FE8+FY8+GS8</f>
        <v>10770625</v>
      </c>
      <c r="HS8" s="471">
        <f t="shared" si="55"/>
        <v>28229375</v>
      </c>
    </row>
    <row r="9" spans="1:227" x14ac:dyDescent="0.25">
      <c r="A9" s="107">
        <v>6</v>
      </c>
      <c r="B9" s="107" t="s">
        <v>205</v>
      </c>
      <c r="C9" s="631" t="s">
        <v>76</v>
      </c>
      <c r="D9" s="488">
        <v>1250000</v>
      </c>
      <c r="E9" s="488">
        <v>1250000</v>
      </c>
      <c r="F9" s="468">
        <f t="shared" si="12"/>
        <v>0</v>
      </c>
      <c r="G9" s="488"/>
      <c r="H9" s="468">
        <v>25240000</v>
      </c>
      <c r="I9" s="468">
        <v>25240000</v>
      </c>
      <c r="J9" s="468">
        <f t="shared" si="13"/>
        <v>0</v>
      </c>
      <c r="K9" s="488"/>
      <c r="L9" s="468">
        <v>25000000</v>
      </c>
      <c r="M9" s="468">
        <v>25000000</v>
      </c>
      <c r="N9" s="468">
        <f t="shared" si="14"/>
        <v>0</v>
      </c>
      <c r="O9" s="488"/>
      <c r="P9" s="468">
        <v>3000000</v>
      </c>
      <c r="Q9" s="468">
        <v>3000000</v>
      </c>
      <c r="R9" s="468">
        <f t="shared" si="15"/>
        <v>0</v>
      </c>
      <c r="S9" s="488"/>
      <c r="T9" s="468">
        <f>1000000-1000000</f>
        <v>0</v>
      </c>
      <c r="U9" s="468">
        <v>0</v>
      </c>
      <c r="V9" s="468">
        <f t="shared" si="16"/>
        <v>0</v>
      </c>
      <c r="W9" s="488"/>
      <c r="X9" s="468">
        <v>30000000</v>
      </c>
      <c r="Y9" s="468">
        <f>7168325+5750000+17081675</f>
        <v>30000000</v>
      </c>
      <c r="Z9" s="468">
        <f t="shared" si="17"/>
        <v>0</v>
      </c>
      <c r="AA9" s="488"/>
      <c r="AB9" s="468">
        <v>2000000</v>
      </c>
      <c r="AC9" s="468">
        <v>2000000</v>
      </c>
      <c r="AD9" s="468">
        <f t="shared" si="18"/>
        <v>0</v>
      </c>
      <c r="AE9" s="488"/>
      <c r="AF9" s="468">
        <f>2000000-2000000</f>
        <v>0</v>
      </c>
      <c r="AG9" s="468">
        <v>0</v>
      </c>
      <c r="AH9" s="468">
        <f t="shared" si="19"/>
        <v>0</v>
      </c>
      <c r="AI9" s="488"/>
      <c r="AJ9" s="468">
        <v>7500000</v>
      </c>
      <c r="AK9" s="468">
        <v>7500000</v>
      </c>
      <c r="AL9" s="468">
        <f t="shared" si="20"/>
        <v>0</v>
      </c>
      <c r="AN9" s="468">
        <v>40000000</v>
      </c>
      <c r="AO9" s="468">
        <f>4531325+14997200+15207500+3600000+1663975</f>
        <v>40000000</v>
      </c>
      <c r="AP9" s="468">
        <f t="shared" si="0"/>
        <v>0</v>
      </c>
      <c r="AQ9" s="471"/>
      <c r="AR9" s="468">
        <v>3000000</v>
      </c>
      <c r="AS9" s="489">
        <f>1999714+1000286</f>
        <v>3000000</v>
      </c>
      <c r="AT9" s="468">
        <f t="shared" si="21"/>
        <v>0</v>
      </c>
      <c r="AU9" s="488"/>
      <c r="AV9" s="468">
        <v>2000000</v>
      </c>
      <c r="AW9" s="468">
        <v>595000</v>
      </c>
      <c r="AX9" s="468">
        <f t="shared" si="22"/>
        <v>1405000</v>
      </c>
      <c r="AY9" s="488"/>
      <c r="AZ9" s="468">
        <v>10000000</v>
      </c>
      <c r="BA9" s="468">
        <f>4847719+4999420+152861</f>
        <v>10000000</v>
      </c>
      <c r="BB9" s="468">
        <f t="shared" si="1"/>
        <v>0</v>
      </c>
      <c r="BC9" s="488"/>
      <c r="BD9" s="468">
        <v>64000000</v>
      </c>
      <c r="BE9" s="504">
        <f>336025+8703500+5100000+5400000+17755000</f>
        <v>37294525</v>
      </c>
      <c r="BF9" s="468">
        <f t="shared" si="23"/>
        <v>26705475</v>
      </c>
      <c r="BG9" s="488"/>
      <c r="BH9" s="468">
        <v>9500000</v>
      </c>
      <c r="BI9" s="489">
        <f>9399268</f>
        <v>9399268</v>
      </c>
      <c r="BJ9" s="468">
        <f t="shared" si="24"/>
        <v>100732</v>
      </c>
      <c r="BK9" s="488"/>
      <c r="BL9" s="468">
        <v>5000000</v>
      </c>
      <c r="BM9" s="468">
        <v>0</v>
      </c>
      <c r="BN9" s="468">
        <f t="shared" si="25"/>
        <v>5000000</v>
      </c>
      <c r="BO9" s="488"/>
      <c r="BP9" s="468">
        <v>20000000</v>
      </c>
      <c r="BQ9" s="490">
        <f>1310539+4620315+195195+1119725+6491300+6262926</f>
        <v>20000000</v>
      </c>
      <c r="BR9" s="468">
        <f t="shared" si="2"/>
        <v>0</v>
      </c>
      <c r="BS9" s="468"/>
      <c r="BT9" s="468">
        <v>1000000</v>
      </c>
      <c r="BU9" s="468">
        <v>0</v>
      </c>
      <c r="BV9" s="468">
        <f t="shared" si="3"/>
        <v>1000000</v>
      </c>
      <c r="BW9" s="488"/>
      <c r="BX9" s="468">
        <v>80000000</v>
      </c>
      <c r="BY9" s="468">
        <v>0</v>
      </c>
      <c r="BZ9" s="468">
        <f t="shared" si="26"/>
        <v>80000000</v>
      </c>
      <c r="CA9" s="488"/>
      <c r="CB9" s="468">
        <v>10000000</v>
      </c>
      <c r="CC9" s="468">
        <v>0</v>
      </c>
      <c r="CD9" s="468">
        <f t="shared" si="4"/>
        <v>10000000</v>
      </c>
      <c r="CE9" s="488"/>
      <c r="CF9" s="468">
        <v>10000000</v>
      </c>
      <c r="CG9" s="468">
        <v>0</v>
      </c>
      <c r="CH9" s="468">
        <f t="shared" si="27"/>
        <v>10000000</v>
      </c>
      <c r="CI9" s="488"/>
      <c r="CJ9" s="468">
        <v>30000000</v>
      </c>
      <c r="CK9" s="468">
        <f>28204520+1795480</f>
        <v>30000000</v>
      </c>
      <c r="CL9" s="468">
        <f t="shared" si="5"/>
        <v>0</v>
      </c>
      <c r="CM9" s="488"/>
      <c r="CN9" s="468">
        <v>10000000</v>
      </c>
      <c r="CO9" s="468">
        <v>0</v>
      </c>
      <c r="CP9" s="468">
        <f t="shared" si="6"/>
        <v>10000000</v>
      </c>
      <c r="CQ9" s="488"/>
      <c r="CR9" s="468">
        <v>100000000</v>
      </c>
      <c r="CS9" s="468">
        <f>1400000+2300000+1100000+4750000+3250000+37542786.5-7504400-15807191</f>
        <v>27031195.5</v>
      </c>
      <c r="CT9" s="468">
        <f t="shared" si="7"/>
        <v>72968804.5</v>
      </c>
      <c r="CU9" s="488"/>
      <c r="CV9" s="468">
        <v>20000000</v>
      </c>
      <c r="CW9" s="468">
        <v>0</v>
      </c>
      <c r="CX9" s="468">
        <f t="shared" si="8"/>
        <v>20000000</v>
      </c>
      <c r="CY9" s="488"/>
      <c r="CZ9" s="468">
        <v>20000000</v>
      </c>
      <c r="DA9" s="468">
        <v>0</v>
      </c>
      <c r="DB9" s="468">
        <f t="shared" si="9"/>
        <v>20000000</v>
      </c>
      <c r="DC9" s="488"/>
      <c r="DD9" s="468">
        <v>50000000</v>
      </c>
      <c r="DE9" s="482">
        <f>17650440+5645654+2173204+906030+1624590+16286360+549000+3238000+1926722</f>
        <v>50000000</v>
      </c>
      <c r="DF9" s="468">
        <f t="shared" si="10"/>
        <v>0</v>
      </c>
      <c r="DG9" s="463"/>
      <c r="DH9" s="468">
        <v>10000000</v>
      </c>
      <c r="DI9" s="468">
        <v>0</v>
      </c>
      <c r="DJ9" s="468">
        <f t="shared" si="11"/>
        <v>10000000</v>
      </c>
      <c r="DK9" s="488"/>
      <c r="DL9" s="471">
        <v>0</v>
      </c>
      <c r="DM9" s="471">
        <v>0</v>
      </c>
      <c r="DN9" s="471">
        <f t="shared" si="28"/>
        <v>0</v>
      </c>
      <c r="DO9" s="539"/>
      <c r="DP9" s="471"/>
      <c r="DQ9" s="471"/>
      <c r="DR9" s="471"/>
      <c r="DS9" s="473"/>
      <c r="DT9" s="471">
        <v>70000000</v>
      </c>
      <c r="DU9" s="471">
        <f>4500000+26200000+39300000</f>
        <v>70000000</v>
      </c>
      <c r="DV9" s="471">
        <f t="shared" si="29"/>
        <v>0</v>
      </c>
      <c r="DW9" s="473"/>
      <c r="DX9" s="471">
        <v>10000000</v>
      </c>
      <c r="DY9" s="471">
        <v>0</v>
      </c>
      <c r="DZ9" s="471">
        <f t="shared" si="30"/>
        <v>10000000</v>
      </c>
      <c r="EA9" s="473"/>
      <c r="EB9" s="471">
        <v>5000000</v>
      </c>
      <c r="EC9" s="471">
        <v>0</v>
      </c>
      <c r="ED9" s="471">
        <f t="shared" si="31"/>
        <v>5000000</v>
      </c>
      <c r="EE9" s="473"/>
      <c r="EF9" s="471">
        <v>20000000</v>
      </c>
      <c r="EG9" s="541">
        <f>1674400+1756890+13559739.95+1745464</f>
        <v>18736493.949999999</v>
      </c>
      <c r="EH9" s="471">
        <f t="shared" si="32"/>
        <v>1263506.0500000007</v>
      </c>
      <c r="EI9" s="473"/>
      <c r="EJ9" s="471">
        <v>5000000</v>
      </c>
      <c r="EK9" s="471">
        <v>0</v>
      </c>
      <c r="EL9" s="471">
        <f t="shared" si="33"/>
        <v>5000000</v>
      </c>
      <c r="EM9" s="631" t="s">
        <v>76</v>
      </c>
      <c r="EN9" s="475">
        <v>200000000</v>
      </c>
      <c r="EO9" s="629">
        <f>22248625+18004400+45669585+84328142-84328142+84328142+29749248</f>
        <v>200000000</v>
      </c>
      <c r="EP9" s="475">
        <f t="shared" si="34"/>
        <v>0</v>
      </c>
      <c r="EQ9" s="475"/>
      <c r="ER9" s="475">
        <v>18000000</v>
      </c>
      <c r="ES9" s="475">
        <v>0</v>
      </c>
      <c r="ET9" s="475">
        <f t="shared" si="35"/>
        <v>18000000</v>
      </c>
      <c r="EU9" s="475"/>
      <c r="EV9" s="475">
        <v>5000000</v>
      </c>
      <c r="EW9" s="475">
        <v>0</v>
      </c>
      <c r="EX9" s="475">
        <f t="shared" si="36"/>
        <v>5000000</v>
      </c>
      <c r="EY9" s="475"/>
      <c r="EZ9" s="475">
        <v>25000000</v>
      </c>
      <c r="FA9" s="475">
        <f>16286360-16286360</f>
        <v>0</v>
      </c>
      <c r="FB9" s="475">
        <f t="shared" si="37"/>
        <v>25000000</v>
      </c>
      <c r="FC9" s="475"/>
      <c r="FD9" s="475">
        <v>5000000</v>
      </c>
      <c r="FE9" s="475">
        <v>0</v>
      </c>
      <c r="FF9" s="475">
        <f t="shared" si="38"/>
        <v>5000000</v>
      </c>
      <c r="FG9" s="107"/>
      <c r="FH9" s="475">
        <v>75000000</v>
      </c>
      <c r="FI9" s="629">
        <f>37585124.35</f>
        <v>37585124.350000001</v>
      </c>
      <c r="FJ9" s="475">
        <f t="shared" si="39"/>
        <v>37414875.649999999</v>
      </c>
      <c r="FK9" s="475"/>
      <c r="FL9" s="475">
        <v>20000000</v>
      </c>
      <c r="FM9" s="475">
        <v>0</v>
      </c>
      <c r="FN9" s="475">
        <f t="shared" si="40"/>
        <v>20000000</v>
      </c>
      <c r="FO9" s="475"/>
      <c r="FP9" s="475">
        <v>5000000</v>
      </c>
      <c r="FQ9" s="475">
        <v>0</v>
      </c>
      <c r="FR9" s="475">
        <f t="shared" si="41"/>
        <v>5000000</v>
      </c>
      <c r="FS9" s="475"/>
      <c r="FT9" s="475">
        <v>20000000</v>
      </c>
      <c r="FU9" s="475">
        <v>0</v>
      </c>
      <c r="FV9" s="475">
        <f t="shared" si="42"/>
        <v>20000000</v>
      </c>
      <c r="FW9" s="475"/>
      <c r="FX9" s="475">
        <v>5000000</v>
      </c>
      <c r="FY9" s="475">
        <v>0</v>
      </c>
      <c r="FZ9" s="475">
        <f t="shared" si="43"/>
        <v>5000000</v>
      </c>
      <c r="GA9" s="475"/>
      <c r="GB9" s="475">
        <v>100000000</v>
      </c>
      <c r="GC9" s="475">
        <v>0</v>
      </c>
      <c r="GD9" s="475">
        <f t="shared" si="44"/>
        <v>100000000</v>
      </c>
      <c r="GE9" s="475"/>
      <c r="GF9" s="475">
        <v>20000000</v>
      </c>
      <c r="GG9" s="475">
        <v>0</v>
      </c>
      <c r="GH9" s="475">
        <f t="shared" si="45"/>
        <v>20000000</v>
      </c>
      <c r="GI9" s="475"/>
      <c r="GJ9" s="475">
        <v>3000000</v>
      </c>
      <c r="GK9" s="475">
        <v>0</v>
      </c>
      <c r="GL9" s="475">
        <f t="shared" si="46"/>
        <v>3000000</v>
      </c>
      <c r="GM9" s="475"/>
      <c r="GN9" s="475">
        <v>15000000</v>
      </c>
      <c r="GO9" s="475">
        <v>0</v>
      </c>
      <c r="GP9" s="475">
        <f t="shared" si="47"/>
        <v>15000000</v>
      </c>
      <c r="GQ9" s="475"/>
      <c r="GR9" s="475">
        <v>3000000</v>
      </c>
      <c r="GS9" s="475">
        <v>0</v>
      </c>
      <c r="GT9" s="475">
        <f t="shared" si="48"/>
        <v>3000000</v>
      </c>
      <c r="GU9" s="475"/>
      <c r="GV9" s="468">
        <f t="shared" si="49"/>
        <v>1217490000</v>
      </c>
      <c r="GW9" s="468">
        <f t="shared" si="49"/>
        <v>647631606.80000007</v>
      </c>
      <c r="GX9" s="468">
        <f t="shared" si="50"/>
        <v>569858393.19999993</v>
      </c>
      <c r="GY9" s="472"/>
      <c r="HA9" s="468">
        <f>D9+H9+L9+X9+AN9+BD9+BX9+CR9+DT9+DL9+EN9+FH9+GB9</f>
        <v>810490000</v>
      </c>
      <c r="HB9" s="468">
        <f>E9+I9+M9+Y9+AO9+BE9+BY9+CS9+DU9+DM9+EO9+FI9+GC9</f>
        <v>493400844.85000002</v>
      </c>
      <c r="HC9" s="471">
        <f t="shared" si="51"/>
        <v>317089155.14999998</v>
      </c>
      <c r="HE9" s="471">
        <f>P9+AB9+AR9+BH9+CB9+CV9+DX9+ER9+FL9+GF9</f>
        <v>115500000</v>
      </c>
      <c r="HF9" s="471">
        <f>Q9+AC9+AS9+BI9+CC9+CW9+DY9+ES9+FM9+GG9</f>
        <v>17399268</v>
      </c>
      <c r="HG9" s="471">
        <f t="shared" si="52"/>
        <v>98100732</v>
      </c>
      <c r="HI9" s="471">
        <f>T9+AF9+AV9+BL9+CF9+CZ9+EB9+EV9+FP9+GJ9</f>
        <v>55000000</v>
      </c>
      <c r="HJ9" s="471">
        <f>U9+AG9+AW9+BM9+CG9+DA9+EC9+EW9+FQ9+GK9</f>
        <v>595000</v>
      </c>
      <c r="HK9" s="471">
        <f t="shared" si="53"/>
        <v>54405000</v>
      </c>
      <c r="HM9" s="471">
        <f>AJ9+AZ9+BP9+CJ9+DD9+EF9+EZ9+FT9+GN9</f>
        <v>197500000</v>
      </c>
      <c r="HN9" s="471">
        <f>AK9+BA9+BQ9+CK9+DE9+EG9+FA9+FU9+GO9</f>
        <v>136236493.94999999</v>
      </c>
      <c r="HO9" s="471">
        <f t="shared" si="54"/>
        <v>61263506.050000012</v>
      </c>
      <c r="HP9" s="531"/>
      <c r="HQ9" s="471">
        <f>BT9+CN9+DH9+EJ9+FD9+FX9+GR9</f>
        <v>39000000</v>
      </c>
      <c r="HR9" s="471">
        <f>BU9+CO9+DI9+EK9+FE9+FY9+GS9</f>
        <v>0</v>
      </c>
      <c r="HS9" s="471">
        <f t="shared" si="55"/>
        <v>39000000</v>
      </c>
    </row>
    <row r="10" spans="1:227" x14ac:dyDescent="0.25">
      <c r="A10" s="107">
        <v>7</v>
      </c>
      <c r="B10" s="107" t="s">
        <v>206</v>
      </c>
      <c r="C10" s="631" t="s">
        <v>63</v>
      </c>
      <c r="D10" s="468">
        <v>0</v>
      </c>
      <c r="E10" s="468">
        <v>0</v>
      </c>
      <c r="F10" s="468">
        <f t="shared" si="12"/>
        <v>0</v>
      </c>
      <c r="G10" s="468"/>
      <c r="H10" s="468">
        <v>25240000</v>
      </c>
      <c r="I10" s="468">
        <v>25240000</v>
      </c>
      <c r="J10" s="468">
        <f t="shared" si="13"/>
        <v>0</v>
      </c>
      <c r="K10" s="468"/>
      <c r="L10" s="468">
        <v>25000000</v>
      </c>
      <c r="M10" s="468">
        <v>25000000</v>
      </c>
      <c r="N10" s="468">
        <f t="shared" si="14"/>
        <v>0</v>
      </c>
      <c r="O10" s="468"/>
      <c r="P10" s="468">
        <f>3000000-3000000</f>
        <v>0</v>
      </c>
      <c r="Q10" s="468">
        <v>0</v>
      </c>
      <c r="R10" s="468">
        <f t="shared" si="15"/>
        <v>0</v>
      </c>
      <c r="S10" s="468"/>
      <c r="T10" s="468">
        <f>1000000-1000000</f>
        <v>0</v>
      </c>
      <c r="U10" s="468">
        <v>0</v>
      </c>
      <c r="V10" s="468">
        <f t="shared" si="16"/>
        <v>0</v>
      </c>
      <c r="W10" s="468"/>
      <c r="X10" s="468">
        <v>30000000</v>
      </c>
      <c r="Y10" s="468">
        <v>30000000</v>
      </c>
      <c r="Z10" s="468">
        <f t="shared" si="17"/>
        <v>0</v>
      </c>
      <c r="AA10" s="468"/>
      <c r="AB10" s="468">
        <f>5000000-5000000</f>
        <v>0</v>
      </c>
      <c r="AC10" s="468">
        <v>0</v>
      </c>
      <c r="AD10" s="468">
        <f t="shared" si="18"/>
        <v>0</v>
      </c>
      <c r="AE10" s="468"/>
      <c r="AF10" s="468">
        <f>2000000-2000000</f>
        <v>0</v>
      </c>
      <c r="AG10" s="468">
        <v>0</v>
      </c>
      <c r="AH10" s="468">
        <f t="shared" si="19"/>
        <v>0</v>
      </c>
      <c r="AI10" s="468"/>
      <c r="AJ10" s="468">
        <v>7500000</v>
      </c>
      <c r="AK10" s="468">
        <v>7500000</v>
      </c>
      <c r="AL10" s="468">
        <f t="shared" si="20"/>
        <v>0</v>
      </c>
      <c r="AM10" s="468"/>
      <c r="AN10" s="468">
        <v>40000000</v>
      </c>
      <c r="AO10" s="468">
        <v>40000000</v>
      </c>
      <c r="AP10" s="468">
        <f t="shared" si="0"/>
        <v>0</v>
      </c>
      <c r="AQ10" s="468"/>
      <c r="AR10" s="468">
        <v>3000000</v>
      </c>
      <c r="AS10" s="468">
        <f>2400000+600000</f>
        <v>3000000</v>
      </c>
      <c r="AT10" s="468">
        <f t="shared" si="21"/>
        <v>0</v>
      </c>
      <c r="AU10" s="468"/>
      <c r="AV10" s="468">
        <v>2000000</v>
      </c>
      <c r="AW10" s="468">
        <v>0</v>
      </c>
      <c r="AX10" s="468">
        <f t="shared" si="22"/>
        <v>2000000</v>
      </c>
      <c r="AY10" s="468"/>
      <c r="AZ10" s="468">
        <v>10000000</v>
      </c>
      <c r="BA10" s="468">
        <v>10000000</v>
      </c>
      <c r="BB10" s="468">
        <f t="shared" si="1"/>
        <v>0</v>
      </c>
      <c r="BC10" s="468"/>
      <c r="BD10" s="468">
        <v>64000000</v>
      </c>
      <c r="BE10" s="468">
        <f>1202025.4+16779000+26051300+19967674.6</f>
        <v>64000000</v>
      </c>
      <c r="BF10" s="468">
        <f t="shared" si="23"/>
        <v>0</v>
      </c>
      <c r="BG10" s="468"/>
      <c r="BH10" s="468">
        <v>9500000</v>
      </c>
      <c r="BI10" s="468">
        <f>4371960+1949144.4+800000</f>
        <v>7121104.4000000004</v>
      </c>
      <c r="BJ10" s="468">
        <f t="shared" si="24"/>
        <v>2378895.5999999996</v>
      </c>
      <c r="BK10" s="488"/>
      <c r="BL10" s="468">
        <v>5000000</v>
      </c>
      <c r="BM10" s="468">
        <v>0</v>
      </c>
      <c r="BN10" s="468">
        <f t="shared" si="25"/>
        <v>5000000</v>
      </c>
      <c r="BO10" s="468"/>
      <c r="BP10" s="468">
        <v>20000000</v>
      </c>
      <c r="BQ10" s="468">
        <f>9244281+1717860+4392600+4645259</f>
        <v>20000000</v>
      </c>
      <c r="BR10" s="468">
        <f t="shared" si="2"/>
        <v>0</v>
      </c>
      <c r="BS10" s="468"/>
      <c r="BT10" s="468">
        <v>1000000</v>
      </c>
      <c r="BU10" s="468">
        <f>850000+150000</f>
        <v>1000000</v>
      </c>
      <c r="BV10" s="468">
        <f t="shared" si="3"/>
        <v>0</v>
      </c>
      <c r="BW10" s="468"/>
      <c r="BX10" s="468">
        <v>80000000</v>
      </c>
      <c r="BY10" s="468">
        <f>15518465.4+14572900+31869800+18038834.6</f>
        <v>80000000</v>
      </c>
      <c r="BZ10" s="468">
        <f t="shared" si="26"/>
        <v>0</v>
      </c>
      <c r="CA10" s="542"/>
      <c r="CB10" s="468">
        <v>10000000</v>
      </c>
      <c r="CC10" s="468">
        <v>2720695.2</v>
      </c>
      <c r="CD10" s="468">
        <f t="shared" si="4"/>
        <v>7279304.7999999998</v>
      </c>
      <c r="CE10" s="468"/>
      <c r="CF10" s="468">
        <v>10000000</v>
      </c>
      <c r="CG10" s="468">
        <v>0</v>
      </c>
      <c r="CH10" s="468">
        <f t="shared" si="27"/>
        <v>10000000</v>
      </c>
      <c r="CI10" s="468"/>
      <c r="CJ10" s="468">
        <v>30000000</v>
      </c>
      <c r="CK10" s="468">
        <f>8806931+14607665+5742010+843394</f>
        <v>30000000</v>
      </c>
      <c r="CL10" s="468">
        <f t="shared" si="5"/>
        <v>0</v>
      </c>
      <c r="CM10" s="542"/>
      <c r="CN10" s="468">
        <v>10000000</v>
      </c>
      <c r="CO10" s="490">
        <f>2591250+150000+483750</f>
        <v>3225000</v>
      </c>
      <c r="CP10" s="468">
        <f t="shared" si="6"/>
        <v>6775000</v>
      </c>
      <c r="CQ10" s="468"/>
      <c r="CR10" s="468">
        <v>100000000</v>
      </c>
      <c r="CS10" s="468">
        <f>16348065.4+14100000+200000+15873400+24400000+29078534.6</f>
        <v>100000000</v>
      </c>
      <c r="CT10" s="468">
        <f t="shared" si="7"/>
        <v>0</v>
      </c>
      <c r="CU10" s="468"/>
      <c r="CV10" s="468">
        <v>20000000</v>
      </c>
      <c r="CW10" s="468">
        <v>0</v>
      </c>
      <c r="CX10" s="468">
        <f t="shared" si="8"/>
        <v>20000000</v>
      </c>
      <c r="CY10" s="468"/>
      <c r="CZ10" s="468">
        <v>20000000</v>
      </c>
      <c r="DA10" s="468">
        <v>0</v>
      </c>
      <c r="DB10" s="468">
        <f t="shared" si="9"/>
        <v>20000000</v>
      </c>
      <c r="DC10" s="468"/>
      <c r="DD10" s="468">
        <v>50000000</v>
      </c>
      <c r="DE10" s="468">
        <f>16915006+6835206+22877780+850200+2521808</f>
        <v>50000000</v>
      </c>
      <c r="DF10" s="468">
        <f t="shared" si="10"/>
        <v>0</v>
      </c>
      <c r="DG10" s="463"/>
      <c r="DH10" s="468">
        <v>10000000</v>
      </c>
      <c r="DI10" s="468">
        <v>0</v>
      </c>
      <c r="DJ10" s="468">
        <f t="shared" si="11"/>
        <v>10000000</v>
      </c>
      <c r="DK10" s="468"/>
      <c r="DL10" s="471">
        <v>0</v>
      </c>
      <c r="DM10" s="471">
        <v>0</v>
      </c>
      <c r="DN10" s="471">
        <f t="shared" si="28"/>
        <v>0</v>
      </c>
      <c r="DO10" s="524"/>
      <c r="DP10" s="471"/>
      <c r="DQ10" s="471"/>
      <c r="DR10" s="471"/>
      <c r="DS10" s="473"/>
      <c r="DT10" s="471">
        <v>70000000</v>
      </c>
      <c r="DU10" s="471">
        <f>31221465.4+27776984.8+11001549.8</f>
        <v>70000000</v>
      </c>
      <c r="DV10" s="471">
        <f t="shared" si="29"/>
        <v>0</v>
      </c>
      <c r="DW10" s="473"/>
      <c r="DX10" s="471">
        <v>10000000</v>
      </c>
      <c r="DY10" s="471">
        <v>0</v>
      </c>
      <c r="DZ10" s="471">
        <f t="shared" si="30"/>
        <v>10000000</v>
      </c>
      <c r="EA10" s="473"/>
      <c r="EB10" s="471">
        <v>5000000</v>
      </c>
      <c r="EC10" s="471">
        <v>0</v>
      </c>
      <c r="ED10" s="471">
        <f t="shared" si="31"/>
        <v>5000000</v>
      </c>
      <c r="EE10" s="473"/>
      <c r="EF10" s="471">
        <v>20000000</v>
      </c>
      <c r="EG10" s="471">
        <f>2326092+8022250+1436746+6552000+1317500+345412</f>
        <v>20000000</v>
      </c>
      <c r="EH10" s="471">
        <f t="shared" si="32"/>
        <v>0</v>
      </c>
      <c r="EI10" s="473"/>
      <c r="EJ10" s="471">
        <v>5000000</v>
      </c>
      <c r="EK10" s="471">
        <v>0</v>
      </c>
      <c r="EL10" s="471">
        <f t="shared" si="33"/>
        <v>5000000</v>
      </c>
      <c r="EM10" s="631" t="s">
        <v>63</v>
      </c>
      <c r="EN10" s="475">
        <v>200000000</v>
      </c>
      <c r="EO10" s="625">
        <f>67436715.55+19929000+68017177.8-19929000-20520300+59254647.5+16081000</f>
        <v>190269240.84999999</v>
      </c>
      <c r="EP10" s="475">
        <f t="shared" si="34"/>
        <v>9730759.150000006</v>
      </c>
      <c r="EQ10" s="475"/>
      <c r="ER10" s="475">
        <v>18000000</v>
      </c>
      <c r="ES10" s="475">
        <v>0</v>
      </c>
      <c r="ET10" s="475">
        <f t="shared" si="35"/>
        <v>18000000</v>
      </c>
      <c r="EU10" s="475"/>
      <c r="EV10" s="475">
        <v>5000000</v>
      </c>
      <c r="EW10" s="475">
        <v>0</v>
      </c>
      <c r="EX10" s="475">
        <f t="shared" si="36"/>
        <v>5000000</v>
      </c>
      <c r="EY10" s="475"/>
      <c r="EZ10" s="475">
        <v>25000000</v>
      </c>
      <c r="FA10" s="627">
        <f>3596213+4945755+4919300+6068500+5470232</f>
        <v>25000000</v>
      </c>
      <c r="FB10" s="475">
        <f t="shared" si="37"/>
        <v>0</v>
      </c>
      <c r="FC10" s="475"/>
      <c r="FD10" s="475">
        <v>5000000</v>
      </c>
      <c r="FE10" s="475">
        <v>0</v>
      </c>
      <c r="FF10" s="475">
        <f t="shared" si="38"/>
        <v>5000000</v>
      </c>
      <c r="FG10" s="107"/>
      <c r="FH10" s="475">
        <v>75000000</v>
      </c>
      <c r="FI10" s="475"/>
      <c r="FJ10" s="475">
        <f t="shared" si="39"/>
        <v>75000000</v>
      </c>
      <c r="FK10" s="475"/>
      <c r="FL10" s="475">
        <v>20000000</v>
      </c>
      <c r="FM10" s="475">
        <v>0</v>
      </c>
      <c r="FN10" s="475">
        <f t="shared" si="40"/>
        <v>20000000</v>
      </c>
      <c r="FO10" s="475"/>
      <c r="FP10" s="475">
        <v>5000000</v>
      </c>
      <c r="FQ10" s="475">
        <v>0</v>
      </c>
      <c r="FR10" s="475">
        <f t="shared" si="41"/>
        <v>5000000</v>
      </c>
      <c r="FS10" s="475"/>
      <c r="FT10" s="475">
        <v>20000000</v>
      </c>
      <c r="FU10" s="627">
        <f>3400903</f>
        <v>3400903</v>
      </c>
      <c r="FV10" s="475">
        <f t="shared" si="42"/>
        <v>16599097</v>
      </c>
      <c r="FW10" s="475"/>
      <c r="FX10" s="475">
        <v>5000000</v>
      </c>
      <c r="FY10" s="475">
        <v>0</v>
      </c>
      <c r="FZ10" s="475">
        <f t="shared" si="43"/>
        <v>5000000</v>
      </c>
      <c r="GA10" s="475"/>
      <c r="GB10" s="475">
        <v>100000000</v>
      </c>
      <c r="GC10" s="475">
        <v>0</v>
      </c>
      <c r="GD10" s="475">
        <f t="shared" si="44"/>
        <v>100000000</v>
      </c>
      <c r="GE10" s="475"/>
      <c r="GF10" s="475">
        <v>20000000</v>
      </c>
      <c r="GG10" s="475">
        <v>0</v>
      </c>
      <c r="GH10" s="475">
        <f t="shared" si="45"/>
        <v>20000000</v>
      </c>
      <c r="GI10" s="475"/>
      <c r="GJ10" s="475">
        <v>3000000</v>
      </c>
      <c r="GK10" s="475">
        <v>0</v>
      </c>
      <c r="GL10" s="475">
        <f t="shared" si="46"/>
        <v>3000000</v>
      </c>
      <c r="GM10" s="475"/>
      <c r="GN10" s="475">
        <v>15000000</v>
      </c>
      <c r="GO10" s="475">
        <v>0</v>
      </c>
      <c r="GP10" s="475">
        <f t="shared" si="47"/>
        <v>15000000</v>
      </c>
      <c r="GQ10" s="475"/>
      <c r="GR10" s="475">
        <v>3000000</v>
      </c>
      <c r="GS10" s="475">
        <v>0</v>
      </c>
      <c r="GT10" s="475">
        <f t="shared" si="48"/>
        <v>3000000</v>
      </c>
      <c r="GU10" s="475"/>
      <c r="GV10" s="468">
        <f t="shared" si="49"/>
        <v>1211240000</v>
      </c>
      <c r="GW10" s="468">
        <f t="shared" si="49"/>
        <v>807476943.44999993</v>
      </c>
      <c r="GX10" s="468">
        <f t="shared" si="50"/>
        <v>403763056.55000007</v>
      </c>
      <c r="GY10" s="472"/>
      <c r="HA10" s="468">
        <f>D10+H10+L10+X10+AN10+BD10+BX10+CR10+DT10+DL10+EN10+FH10+GB10</f>
        <v>809240000</v>
      </c>
      <c r="HB10" s="468">
        <f>E10+I10+M10+Y10+AO10+BE10+BY10+CS10+DU10+DM10+EO10+FI10+GC10</f>
        <v>624509240.85000002</v>
      </c>
      <c r="HC10" s="471">
        <f t="shared" si="51"/>
        <v>184730759.14999998</v>
      </c>
      <c r="HE10" s="471">
        <f>P10+AB10+AR10+BH10+CB10+CV10+DX10+ER10+FL10+GF10</f>
        <v>110500000</v>
      </c>
      <c r="HF10" s="471">
        <f>Q10+AC10+AS10+BI10+CC10+CW10+DY10+ES10+FM10+GG10</f>
        <v>12841799.600000001</v>
      </c>
      <c r="HG10" s="471">
        <f t="shared" si="52"/>
        <v>97658200.400000006</v>
      </c>
      <c r="HI10" s="471">
        <f>T10+AF10+AV10+BL10+CF10+CZ10+EB10+EV10+FP10+GJ10</f>
        <v>55000000</v>
      </c>
      <c r="HJ10" s="471">
        <f>U10+AG10+AW10+BM10+CG10+DA10+EC10+EW10+FQ10+GK10</f>
        <v>0</v>
      </c>
      <c r="HK10" s="471">
        <f t="shared" si="53"/>
        <v>55000000</v>
      </c>
      <c r="HM10" s="471">
        <f>AJ10+AZ10+BP10+CJ10+DD10+EF10+EZ10+FT10+GN10</f>
        <v>197500000</v>
      </c>
      <c r="HN10" s="471">
        <f>AK10+BA10+BQ10+CK10+DE10+EG10+FA10+FU10+GO10</f>
        <v>165900903</v>
      </c>
      <c r="HO10" s="471">
        <f t="shared" si="54"/>
        <v>31599097</v>
      </c>
      <c r="HP10" s="531"/>
      <c r="HQ10" s="471">
        <f>BT10+CN10+DH10+EJ10+FD10+FX10+GR10</f>
        <v>39000000</v>
      </c>
      <c r="HR10" s="471">
        <f>BU10+CO10+DI10+EK10+FE10+FY10+GS10</f>
        <v>4225000</v>
      </c>
      <c r="HS10" s="471">
        <f t="shared" si="55"/>
        <v>34775000</v>
      </c>
    </row>
    <row r="11" spans="1:227" x14ac:dyDescent="0.25">
      <c r="A11" s="107">
        <v>8</v>
      </c>
      <c r="B11" s="107" t="s">
        <v>207</v>
      </c>
      <c r="C11" s="631" t="s">
        <v>61</v>
      </c>
      <c r="D11" s="468">
        <v>0</v>
      </c>
      <c r="E11" s="468">
        <v>0</v>
      </c>
      <c r="F11" s="468">
        <f t="shared" si="12"/>
        <v>0</v>
      </c>
      <c r="G11" s="468"/>
      <c r="H11" s="463">
        <v>25240000</v>
      </c>
      <c r="I11" s="543">
        <v>25240000</v>
      </c>
      <c r="J11" s="468">
        <f t="shared" si="13"/>
        <v>0</v>
      </c>
      <c r="K11" s="468"/>
      <c r="L11" s="543">
        <v>25000000</v>
      </c>
      <c r="M11" s="543">
        <v>25000000</v>
      </c>
      <c r="N11" s="468">
        <f t="shared" si="14"/>
        <v>0</v>
      </c>
      <c r="O11" s="468"/>
      <c r="P11" s="468">
        <f>3000000-3000000</f>
        <v>0</v>
      </c>
      <c r="Q11" s="468">
        <v>0</v>
      </c>
      <c r="R11" s="468">
        <f t="shared" si="15"/>
        <v>0</v>
      </c>
      <c r="S11" s="468"/>
      <c r="T11" s="543">
        <v>1000000</v>
      </c>
      <c r="U11" s="543">
        <v>1000000</v>
      </c>
      <c r="V11" s="468">
        <f t="shared" si="16"/>
        <v>0</v>
      </c>
      <c r="W11" s="468"/>
      <c r="X11" s="543">
        <v>30000000</v>
      </c>
      <c r="Y11" s="543">
        <f>11172206.8+8250000+800000+6466000+3311793.2</f>
        <v>30000000</v>
      </c>
      <c r="Z11" s="468">
        <f t="shared" si="17"/>
        <v>0</v>
      </c>
      <c r="AA11" s="468"/>
      <c r="AB11" s="468">
        <f>5000000-5000000</f>
        <v>0</v>
      </c>
      <c r="AC11" s="543">
        <v>0</v>
      </c>
      <c r="AD11" s="468">
        <f t="shared" si="18"/>
        <v>0</v>
      </c>
      <c r="AE11" s="468"/>
      <c r="AF11" s="543">
        <v>1863150</v>
      </c>
      <c r="AG11" s="543">
        <v>1863150</v>
      </c>
      <c r="AH11" s="468">
        <f t="shared" si="19"/>
        <v>0</v>
      </c>
      <c r="AI11" s="468"/>
      <c r="AJ11" s="543">
        <v>7500000</v>
      </c>
      <c r="AK11" s="463">
        <f>7067600+432400</f>
        <v>7500000</v>
      </c>
      <c r="AL11" s="468">
        <f t="shared" si="20"/>
        <v>0</v>
      </c>
      <c r="AM11" s="463"/>
      <c r="AN11" s="543">
        <v>40000000</v>
      </c>
      <c r="AO11" s="543">
        <f>30808820+8802756.8+388423.2</f>
        <v>40000000</v>
      </c>
      <c r="AP11" s="468">
        <f t="shared" si="0"/>
        <v>0</v>
      </c>
      <c r="AQ11" s="468"/>
      <c r="AR11" s="543">
        <v>3000000</v>
      </c>
      <c r="AS11" s="543">
        <v>3000000</v>
      </c>
      <c r="AT11" s="468">
        <f t="shared" si="21"/>
        <v>0</v>
      </c>
      <c r="AU11" s="468"/>
      <c r="AV11" s="544">
        <v>2000000</v>
      </c>
      <c r="AW11" s="544">
        <v>0</v>
      </c>
      <c r="AX11" s="468">
        <f t="shared" si="22"/>
        <v>2000000</v>
      </c>
      <c r="AY11" s="468"/>
      <c r="AZ11" s="544">
        <v>10000000</v>
      </c>
      <c r="BA11" s="544">
        <f>10000000</f>
        <v>10000000</v>
      </c>
      <c r="BB11" s="468">
        <f t="shared" si="1"/>
        <v>0</v>
      </c>
      <c r="BC11" s="468"/>
      <c r="BD11" s="468">
        <v>64000000</v>
      </c>
      <c r="BE11" s="545">
        <f>35945306.8+16294390+7468000+4292303.2</f>
        <v>64000000</v>
      </c>
      <c r="BF11" s="468">
        <f t="shared" si="23"/>
        <v>0</v>
      </c>
      <c r="BG11" s="468"/>
      <c r="BH11" s="468">
        <v>9500000</v>
      </c>
      <c r="BI11" s="546">
        <f>4503600+4996400</f>
        <v>9500000</v>
      </c>
      <c r="BJ11" s="468">
        <f t="shared" si="24"/>
        <v>0</v>
      </c>
      <c r="BK11" s="488"/>
      <c r="BL11" s="468">
        <v>5000000</v>
      </c>
      <c r="BM11" s="547"/>
      <c r="BN11" s="468">
        <f t="shared" si="25"/>
        <v>5000000</v>
      </c>
      <c r="BO11" s="468"/>
      <c r="BP11" s="468">
        <v>20000000</v>
      </c>
      <c r="BQ11" s="547">
        <f>1007340+9391300+852800+2063950+3329580+3355030</f>
        <v>20000000</v>
      </c>
      <c r="BR11" s="468">
        <f t="shared" si="2"/>
        <v>0</v>
      </c>
      <c r="BS11" s="468"/>
      <c r="BT11" s="468">
        <v>1000000</v>
      </c>
      <c r="BU11" s="548"/>
      <c r="BV11" s="468">
        <f t="shared" si="3"/>
        <v>1000000</v>
      </c>
      <c r="BW11" s="468"/>
      <c r="BX11" s="468">
        <v>80000000</v>
      </c>
      <c r="BY11" s="468">
        <f>73741321.8+3250000+5550000-2541321.8</f>
        <v>80000000</v>
      </c>
      <c r="BZ11" s="468">
        <f t="shared" si="26"/>
        <v>0</v>
      </c>
      <c r="CA11" s="468"/>
      <c r="CB11" s="468">
        <v>10000000</v>
      </c>
      <c r="CC11" s="489">
        <f>2095360</f>
        <v>2095360</v>
      </c>
      <c r="CD11" s="468">
        <f t="shared" si="4"/>
        <v>7904640</v>
      </c>
      <c r="CE11" s="468"/>
      <c r="CF11" s="468">
        <v>10000000</v>
      </c>
      <c r="CG11" s="468">
        <v>0</v>
      </c>
      <c r="CH11" s="468">
        <f t="shared" si="27"/>
        <v>10000000</v>
      </c>
      <c r="CI11" s="468"/>
      <c r="CJ11" s="468">
        <v>30000000</v>
      </c>
      <c r="CK11" s="468">
        <f>4899030+6799765+3012500+3038340+6692240+525720+5032405</f>
        <v>30000000</v>
      </c>
      <c r="CL11" s="468">
        <f t="shared" si="5"/>
        <v>0</v>
      </c>
      <c r="CM11" s="468"/>
      <c r="CN11" s="468">
        <v>10000000</v>
      </c>
      <c r="CO11" s="468">
        <v>0</v>
      </c>
      <c r="CP11" s="468">
        <f t="shared" si="6"/>
        <v>10000000</v>
      </c>
      <c r="CQ11" s="468"/>
      <c r="CR11" s="468">
        <v>100000000</v>
      </c>
      <c r="CS11" s="468">
        <f>2541321.8+3650000+25878000+41410288+3097320+23423070.2</f>
        <v>100000000</v>
      </c>
      <c r="CT11" s="468">
        <f t="shared" si="7"/>
        <v>0</v>
      </c>
      <c r="CU11" s="468"/>
      <c r="CV11" s="468">
        <v>20000000</v>
      </c>
      <c r="CW11" s="468">
        <v>0</v>
      </c>
      <c r="CX11" s="468">
        <f t="shared" si="8"/>
        <v>20000000</v>
      </c>
      <c r="CY11" s="468"/>
      <c r="CZ11" s="468">
        <v>20000000</v>
      </c>
      <c r="DA11" s="468">
        <v>0</v>
      </c>
      <c r="DB11" s="468">
        <f t="shared" si="9"/>
        <v>20000000</v>
      </c>
      <c r="DC11" s="468"/>
      <c r="DD11" s="468">
        <v>50000000</v>
      </c>
      <c r="DE11" s="490">
        <f>18460018+7578317+1670466+2160530+5263636+356000+6632300+5912200+1966533</f>
        <v>50000000</v>
      </c>
      <c r="DF11" s="468">
        <f t="shared" si="10"/>
        <v>0</v>
      </c>
      <c r="DG11" s="463"/>
      <c r="DH11" s="468">
        <v>10000000</v>
      </c>
      <c r="DI11" s="468">
        <v>0</v>
      </c>
      <c r="DJ11" s="468">
        <f t="shared" si="11"/>
        <v>10000000</v>
      </c>
      <c r="DK11" s="468"/>
      <c r="DL11" s="471">
        <v>0</v>
      </c>
      <c r="DM11" s="471">
        <v>0</v>
      </c>
      <c r="DN11" s="471">
        <f t="shared" si="28"/>
        <v>0</v>
      </c>
      <c r="DO11" s="524"/>
      <c r="DP11" s="471"/>
      <c r="DQ11" s="471"/>
      <c r="DR11" s="471"/>
      <c r="DS11" s="473"/>
      <c r="DT11" s="471">
        <v>70000000</v>
      </c>
      <c r="DU11" s="471">
        <f>19429575.8+9000000+500000+41070424.2</f>
        <v>70000000</v>
      </c>
      <c r="DV11" s="471">
        <f t="shared" si="29"/>
        <v>0</v>
      </c>
      <c r="DW11" s="473"/>
      <c r="DX11" s="471">
        <v>10000000</v>
      </c>
      <c r="DY11" s="471">
        <v>0</v>
      </c>
      <c r="DZ11" s="471">
        <f t="shared" si="30"/>
        <v>10000000</v>
      </c>
      <c r="EA11" s="473"/>
      <c r="EB11" s="471">
        <v>5000000</v>
      </c>
      <c r="EC11" s="471">
        <v>0</v>
      </c>
      <c r="ED11" s="471">
        <f t="shared" si="31"/>
        <v>5000000</v>
      </c>
      <c r="EE11" s="473"/>
      <c r="EF11" s="471">
        <v>20000000</v>
      </c>
      <c r="EG11" s="471">
        <f>2369700+4357950+8317779.66+4954570.34</f>
        <v>20000000</v>
      </c>
      <c r="EH11" s="471">
        <f t="shared" si="32"/>
        <v>0</v>
      </c>
      <c r="EI11" s="473"/>
      <c r="EJ11" s="471">
        <v>5000000</v>
      </c>
      <c r="EK11" s="471">
        <v>0</v>
      </c>
      <c r="EL11" s="471">
        <f t="shared" si="33"/>
        <v>5000000</v>
      </c>
      <c r="EM11" s="631" t="s">
        <v>61</v>
      </c>
      <c r="EN11" s="475">
        <v>200000000</v>
      </c>
      <c r="EO11" s="625">
        <f>3629575.8+27726840+19357154.5+36704177.3+1500000+73912293.85+2700000-13500000+24300000</f>
        <v>176330041.44999999</v>
      </c>
      <c r="EP11" s="475">
        <f t="shared" si="34"/>
        <v>23669958.550000012</v>
      </c>
      <c r="EQ11" s="475"/>
      <c r="ER11" s="475">
        <v>18000000</v>
      </c>
      <c r="ES11" s="475">
        <v>0</v>
      </c>
      <c r="ET11" s="475">
        <f t="shared" si="35"/>
        <v>18000000</v>
      </c>
      <c r="EU11" s="475"/>
      <c r="EV11" s="475">
        <v>5000000</v>
      </c>
      <c r="EW11" s="475">
        <v>0</v>
      </c>
      <c r="EX11" s="475">
        <f t="shared" si="36"/>
        <v>5000000</v>
      </c>
      <c r="EY11" s="475"/>
      <c r="EZ11" s="475">
        <v>25000000</v>
      </c>
      <c r="FA11" s="623">
        <f>2134553.66+3834469+19030977.34</f>
        <v>25000000</v>
      </c>
      <c r="FB11" s="475">
        <f t="shared" si="37"/>
        <v>0</v>
      </c>
      <c r="FC11" s="475"/>
      <c r="FD11" s="475">
        <v>5000000</v>
      </c>
      <c r="FE11" s="475">
        <v>0</v>
      </c>
      <c r="FF11" s="475">
        <f t="shared" si="38"/>
        <v>5000000</v>
      </c>
      <c r="FG11" s="107"/>
      <c r="FH11" s="475">
        <v>75000000</v>
      </c>
      <c r="FI11" s="475">
        <v>0</v>
      </c>
      <c r="FJ11" s="475">
        <f t="shared" si="39"/>
        <v>75000000</v>
      </c>
      <c r="FK11" s="475"/>
      <c r="FL11" s="475">
        <v>20000000</v>
      </c>
      <c r="FM11" s="475">
        <v>0</v>
      </c>
      <c r="FN11" s="475">
        <f t="shared" si="40"/>
        <v>20000000</v>
      </c>
      <c r="FO11" s="475"/>
      <c r="FP11" s="475">
        <v>5000000</v>
      </c>
      <c r="FQ11" s="475">
        <v>0</v>
      </c>
      <c r="FR11" s="475">
        <f t="shared" si="41"/>
        <v>5000000</v>
      </c>
      <c r="FS11" s="475"/>
      <c r="FT11" s="475">
        <v>20000000</v>
      </c>
      <c r="FU11" s="623">
        <v>20000000</v>
      </c>
      <c r="FV11" s="475">
        <f t="shared" si="42"/>
        <v>0</v>
      </c>
      <c r="FW11" s="475"/>
      <c r="FX11" s="475">
        <v>5000000</v>
      </c>
      <c r="FY11" s="475">
        <v>0</v>
      </c>
      <c r="FZ11" s="475">
        <f t="shared" si="43"/>
        <v>5000000</v>
      </c>
      <c r="GA11" s="475"/>
      <c r="GB11" s="475">
        <v>100000000</v>
      </c>
      <c r="GC11" s="475">
        <v>0</v>
      </c>
      <c r="GD11" s="475">
        <f t="shared" si="44"/>
        <v>100000000</v>
      </c>
      <c r="GE11" s="475"/>
      <c r="GF11" s="475">
        <v>20000000</v>
      </c>
      <c r="GG11" s="475">
        <v>0</v>
      </c>
      <c r="GH11" s="475">
        <f t="shared" si="45"/>
        <v>20000000</v>
      </c>
      <c r="GI11" s="475"/>
      <c r="GJ11" s="475">
        <v>3000000</v>
      </c>
      <c r="GK11" s="475">
        <v>0</v>
      </c>
      <c r="GL11" s="475">
        <f t="shared" si="46"/>
        <v>3000000</v>
      </c>
      <c r="GM11" s="475"/>
      <c r="GN11" s="475">
        <v>15000000</v>
      </c>
      <c r="GO11" s="623">
        <f>5613897.66</f>
        <v>5613897.6600000001</v>
      </c>
      <c r="GP11" s="475">
        <f t="shared" si="47"/>
        <v>9386102.3399999999</v>
      </c>
      <c r="GQ11" s="475"/>
      <c r="GR11" s="475">
        <v>3000000</v>
      </c>
      <c r="GS11" s="475">
        <v>0</v>
      </c>
      <c r="GT11" s="475">
        <f t="shared" si="48"/>
        <v>3000000</v>
      </c>
      <c r="GU11" s="475"/>
      <c r="GV11" s="468">
        <f t="shared" si="49"/>
        <v>1214103150</v>
      </c>
      <c r="GW11" s="468">
        <f t="shared" si="49"/>
        <v>816142449.11000001</v>
      </c>
      <c r="GX11" s="468">
        <f t="shared" si="50"/>
        <v>397960700.88999999</v>
      </c>
      <c r="GY11" s="472"/>
      <c r="HA11" s="468">
        <f>D11+H11+L11+X11+AN11+BD11+BX11+CR11+DT11+DL11+EN11+FH11+GB11</f>
        <v>809240000</v>
      </c>
      <c r="HB11" s="468">
        <f>E11+I11+M11+Y11+AO11+BE11+BY11+CS11+DU11+DM11+EO11+FI11+GC11</f>
        <v>610570041.45000005</v>
      </c>
      <c r="HC11" s="471">
        <f t="shared" si="51"/>
        <v>198669958.54999995</v>
      </c>
      <c r="HE11" s="471">
        <f>P11+AB11+AR11+BH11+CB11+CV11+DX11+ER11+FL11+GF11</f>
        <v>110500000</v>
      </c>
      <c r="HF11" s="471">
        <f>Q11+AC11+AS11+BI11+CC11+CW11+DY11+ES11+FM11+GG11</f>
        <v>14595360</v>
      </c>
      <c r="HG11" s="471">
        <f t="shared" si="52"/>
        <v>95904640</v>
      </c>
      <c r="HI11" s="471">
        <f>T11+AF11+AV11+BL11+CF11+CZ11+EB11+EV11+FP11+GJ11</f>
        <v>57863150</v>
      </c>
      <c r="HJ11" s="471">
        <f>U11+AG11+AW11+BM11+CG11+DA11+EC11+EW11+FQ11+GK11</f>
        <v>2863150</v>
      </c>
      <c r="HK11" s="471">
        <f t="shared" si="53"/>
        <v>55000000</v>
      </c>
      <c r="HM11" s="471">
        <f>AJ11+AZ11+BP11+CJ11+DD11+EF11+EZ11+FT11+GN11</f>
        <v>197500000</v>
      </c>
      <c r="HN11" s="471">
        <f>AK11+BA11+BQ11+CK11+DE11+EG11+FA11+FU11+GO11</f>
        <v>188113897.66</v>
      </c>
      <c r="HO11" s="471">
        <f t="shared" si="54"/>
        <v>9386102.3400000036</v>
      </c>
      <c r="HP11" s="531"/>
      <c r="HQ11" s="471">
        <f>BT11+CN11+DH11+EJ11+FD11+FX11+GR11</f>
        <v>39000000</v>
      </c>
      <c r="HR11" s="471">
        <f>BU11+CO11+DI11+EK11+FE11+FY11+GS11</f>
        <v>0</v>
      </c>
      <c r="HS11" s="471">
        <f t="shared" si="55"/>
        <v>39000000</v>
      </c>
    </row>
    <row r="12" spans="1:227" x14ac:dyDescent="0.25">
      <c r="A12" s="107">
        <v>9</v>
      </c>
      <c r="B12" s="107" t="s">
        <v>208</v>
      </c>
      <c r="C12" s="631" t="s">
        <v>69</v>
      </c>
      <c r="D12" s="468">
        <v>0</v>
      </c>
      <c r="E12" s="468">
        <v>0</v>
      </c>
      <c r="F12" s="468">
        <f t="shared" si="12"/>
        <v>0</v>
      </c>
      <c r="G12" s="468"/>
      <c r="H12" s="468">
        <v>25240000</v>
      </c>
      <c r="I12" s="468">
        <v>25240000</v>
      </c>
      <c r="J12" s="468">
        <f t="shared" si="13"/>
        <v>0</v>
      </c>
      <c r="K12" s="468"/>
      <c r="L12" s="468">
        <v>25000000</v>
      </c>
      <c r="M12" s="468">
        <f>10779074+14220926</f>
        <v>25000000</v>
      </c>
      <c r="N12" s="468">
        <f t="shared" si="14"/>
        <v>0</v>
      </c>
      <c r="O12" s="468"/>
      <c r="P12" s="468">
        <v>3000000</v>
      </c>
      <c r="Q12" s="468">
        <f>2301100+698900</f>
        <v>3000000</v>
      </c>
      <c r="R12" s="468">
        <f t="shared" si="15"/>
        <v>0</v>
      </c>
      <c r="S12" s="468"/>
      <c r="T12" s="468">
        <f>1000000-1000000</f>
        <v>0</v>
      </c>
      <c r="U12" s="468">
        <v>0</v>
      </c>
      <c r="V12" s="468">
        <f t="shared" si="16"/>
        <v>0</v>
      </c>
      <c r="W12" s="468"/>
      <c r="X12" s="468">
        <v>15267892</v>
      </c>
      <c r="Y12" s="468">
        <f>15267892</f>
        <v>15267892</v>
      </c>
      <c r="Z12" s="468">
        <f t="shared" si="17"/>
        <v>0</v>
      </c>
      <c r="AA12" s="468"/>
      <c r="AB12" s="468">
        <v>5000000</v>
      </c>
      <c r="AC12" s="468">
        <f>5000000</f>
        <v>5000000</v>
      </c>
      <c r="AD12" s="468">
        <f t="shared" si="18"/>
        <v>0</v>
      </c>
      <c r="AE12" s="468"/>
      <c r="AF12" s="468">
        <f>2000000-2000000</f>
        <v>0</v>
      </c>
      <c r="AG12" s="468">
        <v>0</v>
      </c>
      <c r="AH12" s="468">
        <f t="shared" si="19"/>
        <v>0</v>
      </c>
      <c r="AI12" s="468"/>
      <c r="AJ12" s="468">
        <v>7500000</v>
      </c>
      <c r="AK12" s="468">
        <v>7500000</v>
      </c>
      <c r="AL12" s="468">
        <f t="shared" si="20"/>
        <v>0</v>
      </c>
      <c r="AM12" s="468"/>
      <c r="AN12" s="468">
        <v>40000000</v>
      </c>
      <c r="AO12" s="468">
        <f>16090850+15524400+8384750</f>
        <v>40000000</v>
      </c>
      <c r="AP12" s="468">
        <f t="shared" si="0"/>
        <v>0</v>
      </c>
      <c r="AQ12" s="468"/>
      <c r="AR12" s="468">
        <v>3000000</v>
      </c>
      <c r="AS12" s="468">
        <f>170100+2829900</f>
        <v>3000000</v>
      </c>
      <c r="AT12" s="468">
        <f t="shared" si="21"/>
        <v>0</v>
      </c>
      <c r="AU12" s="468"/>
      <c r="AV12" s="468">
        <v>2000000</v>
      </c>
      <c r="AW12" s="468">
        <v>2000000</v>
      </c>
      <c r="AX12" s="468">
        <f t="shared" si="22"/>
        <v>0</v>
      </c>
      <c r="AY12" s="468"/>
      <c r="AZ12" s="468">
        <v>10000000</v>
      </c>
      <c r="BA12" s="468">
        <v>10000000</v>
      </c>
      <c r="BB12" s="468">
        <f t="shared" si="1"/>
        <v>0</v>
      </c>
      <c r="BC12" s="468"/>
      <c r="BD12" s="468">
        <v>64000000</v>
      </c>
      <c r="BE12" s="468">
        <f>13694501+7715500+77727750-35137751</f>
        <v>64000000</v>
      </c>
      <c r="BF12" s="468">
        <f t="shared" si="23"/>
        <v>0</v>
      </c>
      <c r="BG12" s="468"/>
      <c r="BH12" s="468">
        <v>9500000</v>
      </c>
      <c r="BI12" s="468">
        <f>8235100+1264900</f>
        <v>9500000</v>
      </c>
      <c r="BJ12" s="468">
        <f t="shared" si="24"/>
        <v>0</v>
      </c>
      <c r="BK12" s="468"/>
      <c r="BL12" s="468">
        <v>5000000</v>
      </c>
      <c r="BM12" s="468">
        <v>5000000</v>
      </c>
      <c r="BN12" s="468">
        <f t="shared" si="25"/>
        <v>0</v>
      </c>
      <c r="BO12" s="468"/>
      <c r="BP12" s="468">
        <v>20000000</v>
      </c>
      <c r="BQ12" s="468">
        <f>3939882+3229290+3960716+6013200+2832920+23992</f>
        <v>20000000</v>
      </c>
      <c r="BR12" s="468">
        <f t="shared" si="2"/>
        <v>0</v>
      </c>
      <c r="BS12" s="468"/>
      <c r="BT12" s="468">
        <v>1000000</v>
      </c>
      <c r="BU12" s="468">
        <v>0</v>
      </c>
      <c r="BV12" s="468">
        <f t="shared" si="3"/>
        <v>1000000</v>
      </c>
      <c r="BW12" s="468"/>
      <c r="BX12" s="468">
        <v>80000000</v>
      </c>
      <c r="BY12" s="468">
        <f>35137751+35625000+9221800+15449</f>
        <v>80000000</v>
      </c>
      <c r="BZ12" s="468">
        <f t="shared" si="26"/>
        <v>0</v>
      </c>
      <c r="CA12" s="468"/>
      <c r="CB12" s="468">
        <v>10000000</v>
      </c>
      <c r="CC12" s="468">
        <f>10000000</f>
        <v>10000000</v>
      </c>
      <c r="CD12" s="468">
        <f t="shared" si="4"/>
        <v>0</v>
      </c>
      <c r="CE12" s="468"/>
      <c r="CF12" s="468">
        <v>10000000</v>
      </c>
      <c r="CG12" s="468">
        <f>259000+6984450</f>
        <v>7243450</v>
      </c>
      <c r="CH12" s="468">
        <f t="shared" si="27"/>
        <v>2756550</v>
      </c>
      <c r="CI12" s="468"/>
      <c r="CJ12" s="468">
        <v>30000000</v>
      </c>
      <c r="CK12" s="468">
        <f>1273400+8909968+3208685+9001230+6378200+1228517</f>
        <v>30000000</v>
      </c>
      <c r="CL12" s="468">
        <f t="shared" si="5"/>
        <v>0</v>
      </c>
      <c r="CM12" s="468"/>
      <c r="CN12" s="468">
        <v>10000000</v>
      </c>
      <c r="CO12" s="468">
        <v>0</v>
      </c>
      <c r="CP12" s="468">
        <f t="shared" si="6"/>
        <v>10000000</v>
      </c>
      <c r="CQ12" s="468"/>
      <c r="CR12" s="468">
        <v>100000000</v>
      </c>
      <c r="CS12" s="468">
        <f>57533651+2142000+40324349</f>
        <v>100000000</v>
      </c>
      <c r="CT12" s="468">
        <f t="shared" si="7"/>
        <v>0</v>
      </c>
      <c r="CU12" s="468"/>
      <c r="CV12" s="468">
        <v>20000000</v>
      </c>
      <c r="CW12" s="468">
        <f>4122660+15877340</f>
        <v>20000000</v>
      </c>
      <c r="CX12" s="468">
        <f t="shared" si="8"/>
        <v>0</v>
      </c>
      <c r="CY12" s="468"/>
      <c r="CZ12" s="468">
        <v>20000000</v>
      </c>
      <c r="DA12" s="468">
        <v>0</v>
      </c>
      <c r="DB12" s="468">
        <f t="shared" si="9"/>
        <v>20000000</v>
      </c>
      <c r="DC12" s="468"/>
      <c r="DD12" s="468">
        <v>50000000</v>
      </c>
      <c r="DE12" s="489">
        <f>27204741+15403974+1404402+1277650+4709233</f>
        <v>50000000</v>
      </c>
      <c r="DF12" s="468">
        <f t="shared" si="10"/>
        <v>0</v>
      </c>
      <c r="DG12" s="463"/>
      <c r="DH12" s="468">
        <v>10000000</v>
      </c>
      <c r="DI12" s="468">
        <v>0</v>
      </c>
      <c r="DJ12" s="468">
        <f t="shared" si="11"/>
        <v>10000000</v>
      </c>
      <c r="DK12" s="468"/>
      <c r="DL12" s="471">
        <v>0</v>
      </c>
      <c r="DM12" s="471">
        <v>0</v>
      </c>
      <c r="DN12" s="471">
        <f t="shared" si="28"/>
        <v>0</v>
      </c>
      <c r="DO12" s="524"/>
      <c r="DP12" s="471"/>
      <c r="DQ12" s="471"/>
      <c r="DR12" s="471"/>
      <c r="DS12" s="473"/>
      <c r="DT12" s="471">
        <v>70000000</v>
      </c>
      <c r="DU12" s="471">
        <f>10675651+6000000+24490000+10500000+18334349</f>
        <v>70000000</v>
      </c>
      <c r="DV12" s="471">
        <f t="shared" si="29"/>
        <v>0</v>
      </c>
      <c r="DW12" s="473"/>
      <c r="DX12" s="471">
        <v>10000000</v>
      </c>
      <c r="DY12" s="549">
        <f>6607860+3153000+239140</f>
        <v>10000000</v>
      </c>
      <c r="DZ12" s="471">
        <f t="shared" si="30"/>
        <v>0</v>
      </c>
      <c r="EA12" s="473"/>
      <c r="EB12" s="471">
        <v>5000000</v>
      </c>
      <c r="EC12" s="471">
        <v>0</v>
      </c>
      <c r="ED12" s="471">
        <f t="shared" si="31"/>
        <v>5000000</v>
      </c>
      <c r="EE12" s="473"/>
      <c r="EF12" s="471">
        <v>20000000</v>
      </c>
      <c r="EG12" s="549">
        <f>3268320+4233130+2980400-1896000+6088955+3410767</f>
        <v>18085572</v>
      </c>
      <c r="EH12" s="471">
        <f t="shared" si="32"/>
        <v>1914428</v>
      </c>
      <c r="EI12" s="473"/>
      <c r="EJ12" s="471">
        <v>5000000</v>
      </c>
      <c r="EK12" s="471">
        <v>0</v>
      </c>
      <c r="EL12" s="471">
        <f t="shared" si="33"/>
        <v>5000000</v>
      </c>
      <c r="EM12" s="631" t="s">
        <v>69</v>
      </c>
      <c r="EN12" s="475">
        <v>200000000</v>
      </c>
      <c r="EO12" s="626">
        <f>36230651+4500000+11700000+13200000</f>
        <v>65630651</v>
      </c>
      <c r="EP12" s="475">
        <f t="shared" si="34"/>
        <v>134369349</v>
      </c>
      <c r="EQ12" s="475"/>
      <c r="ER12" s="475">
        <v>18000000</v>
      </c>
      <c r="ES12" s="625">
        <f>14806955.3</f>
        <v>14806955.300000001</v>
      </c>
      <c r="ET12" s="475">
        <f t="shared" si="35"/>
        <v>3193044.6999999993</v>
      </c>
      <c r="EU12" s="475"/>
      <c r="EV12" s="475">
        <v>5000000</v>
      </c>
      <c r="EW12" s="475">
        <v>0</v>
      </c>
      <c r="EX12" s="475">
        <f t="shared" si="36"/>
        <v>5000000</v>
      </c>
      <c r="EY12" s="475"/>
      <c r="EZ12" s="475">
        <v>25000000</v>
      </c>
      <c r="FA12" s="475">
        <f>13248720.75+7770800+3980479.25</f>
        <v>25000000</v>
      </c>
      <c r="FB12" s="475">
        <f t="shared" si="37"/>
        <v>0</v>
      </c>
      <c r="FC12" s="475"/>
      <c r="FD12" s="475">
        <v>5000000</v>
      </c>
      <c r="FE12" s="475">
        <v>0</v>
      </c>
      <c r="FF12" s="475">
        <f t="shared" si="38"/>
        <v>5000000</v>
      </c>
      <c r="FG12" s="107"/>
      <c r="FH12" s="475">
        <v>75000000</v>
      </c>
      <c r="FI12" s="475">
        <v>0</v>
      </c>
      <c r="FJ12" s="475">
        <f t="shared" si="39"/>
        <v>75000000</v>
      </c>
      <c r="FK12" s="475"/>
      <c r="FL12" s="475">
        <v>20000000</v>
      </c>
      <c r="FM12" s="475">
        <v>0</v>
      </c>
      <c r="FN12" s="475">
        <f t="shared" si="40"/>
        <v>20000000</v>
      </c>
      <c r="FO12" s="475"/>
      <c r="FP12" s="475">
        <v>5000000</v>
      </c>
      <c r="FQ12" s="475">
        <v>0</v>
      </c>
      <c r="FR12" s="475">
        <f t="shared" si="41"/>
        <v>5000000</v>
      </c>
      <c r="FS12" s="475"/>
      <c r="FT12" s="475">
        <v>20000000</v>
      </c>
      <c r="FU12" s="475">
        <f>3833870.4+2003775</f>
        <v>5837645.4000000004</v>
      </c>
      <c r="FV12" s="475">
        <f t="shared" si="42"/>
        <v>14162354.6</v>
      </c>
      <c r="FW12" s="475"/>
      <c r="FX12" s="475">
        <v>5000000</v>
      </c>
      <c r="FY12" s="475">
        <v>0</v>
      </c>
      <c r="FZ12" s="475">
        <f t="shared" si="43"/>
        <v>5000000</v>
      </c>
      <c r="GA12" s="475"/>
      <c r="GB12" s="475">
        <v>100000000</v>
      </c>
      <c r="GC12" s="475">
        <v>0</v>
      </c>
      <c r="GD12" s="475">
        <f t="shared" si="44"/>
        <v>100000000</v>
      </c>
      <c r="GE12" s="475"/>
      <c r="GF12" s="475">
        <v>20000000</v>
      </c>
      <c r="GG12" s="475">
        <v>0</v>
      </c>
      <c r="GH12" s="475">
        <f t="shared" si="45"/>
        <v>20000000</v>
      </c>
      <c r="GI12" s="475"/>
      <c r="GJ12" s="475">
        <v>3000000</v>
      </c>
      <c r="GK12" s="475">
        <v>0</v>
      </c>
      <c r="GL12" s="475">
        <f t="shared" si="46"/>
        <v>3000000</v>
      </c>
      <c r="GM12" s="475"/>
      <c r="GN12" s="475">
        <v>15000000</v>
      </c>
      <c r="GO12" s="475">
        <v>0</v>
      </c>
      <c r="GP12" s="475">
        <f t="shared" si="47"/>
        <v>15000000</v>
      </c>
      <c r="GQ12" s="475"/>
      <c r="GR12" s="475">
        <v>3000000</v>
      </c>
      <c r="GS12" s="475">
        <v>0</v>
      </c>
      <c r="GT12" s="475">
        <f t="shared" si="48"/>
        <v>3000000</v>
      </c>
      <c r="GU12" s="475"/>
      <c r="GV12" s="468">
        <f t="shared" si="49"/>
        <v>1204507892</v>
      </c>
      <c r="GW12" s="468">
        <f t="shared" si="49"/>
        <v>741112165.69999993</v>
      </c>
      <c r="GX12" s="468">
        <f t="shared" si="50"/>
        <v>463395726.30000007</v>
      </c>
      <c r="GY12" s="472"/>
      <c r="HA12" s="468">
        <f>D12+H12+L12+X12+AN12+BD12+BX12+CR12+DT12+DL12+EN12+FH12+GB12</f>
        <v>794507892</v>
      </c>
      <c r="HB12" s="468">
        <f>E12+I12+M12+Y12+AO12+BE12+BY12+CS12+DU12+DM12+EO12+FI12+GC12</f>
        <v>485138543</v>
      </c>
      <c r="HC12" s="471">
        <f t="shared" si="51"/>
        <v>309369349</v>
      </c>
      <c r="HE12" s="471">
        <f>P12+AB12+AR12+BH12+CB12+CV12+DX12+ER12+FL12+GF12</f>
        <v>118500000</v>
      </c>
      <c r="HF12" s="471">
        <f>Q12+AC12+AS12+BI12+CC12+CW12+DY12+ES12+FM12+GG12</f>
        <v>75306955.299999997</v>
      </c>
      <c r="HG12" s="471">
        <f t="shared" si="52"/>
        <v>43193044.700000003</v>
      </c>
      <c r="HI12" s="471">
        <f>T12+AF12+AV12+BL12+CF12+CZ12+EB12+EV12+FP12+GJ12</f>
        <v>55000000</v>
      </c>
      <c r="HJ12" s="471">
        <f>U12+AG12+AW12+BM12+CG12+DA12+EC12+EW12+FQ12+GK12</f>
        <v>14243450</v>
      </c>
      <c r="HK12" s="471">
        <f t="shared" si="53"/>
        <v>40756550</v>
      </c>
      <c r="HM12" s="471">
        <f>AJ12+AZ12+BP12+CJ12+DD12+EF12+EZ12+FT12+GN12</f>
        <v>197500000</v>
      </c>
      <c r="HN12" s="471">
        <f>AK12+BA12+BQ12+CK12+DE12+EG12+FA12+FU12+GO12</f>
        <v>166423217.40000001</v>
      </c>
      <c r="HO12" s="471">
        <f t="shared" si="54"/>
        <v>31076782.599999994</v>
      </c>
      <c r="HP12" s="531"/>
      <c r="HQ12" s="471">
        <f>BT12+CN12+DH12+EJ12+FD12+FX12+GR12</f>
        <v>39000000</v>
      </c>
      <c r="HR12" s="471">
        <f>BU12+CO12+DI12+EK12+FE12+FY12+GS12</f>
        <v>0</v>
      </c>
      <c r="HS12" s="471">
        <f t="shared" si="55"/>
        <v>39000000</v>
      </c>
    </row>
    <row r="13" spans="1:227" x14ac:dyDescent="0.25">
      <c r="A13" s="107">
        <v>10</v>
      </c>
      <c r="B13" s="107" t="s">
        <v>209</v>
      </c>
      <c r="C13" s="631" t="s">
        <v>61</v>
      </c>
      <c r="D13" s="468">
        <v>0</v>
      </c>
      <c r="E13" s="468">
        <v>0</v>
      </c>
      <c r="F13" s="468">
        <f t="shared" si="12"/>
        <v>0</v>
      </c>
      <c r="G13" s="468"/>
      <c r="H13" s="468">
        <v>25240000</v>
      </c>
      <c r="I13" s="468">
        <v>25240000</v>
      </c>
      <c r="J13" s="468">
        <f t="shared" si="13"/>
        <v>0</v>
      </c>
      <c r="K13" s="468"/>
      <c r="L13" s="468">
        <v>25000000</v>
      </c>
      <c r="M13" s="468">
        <v>25000000</v>
      </c>
      <c r="N13" s="468">
        <f t="shared" si="14"/>
        <v>0</v>
      </c>
      <c r="O13" s="468"/>
      <c r="P13" s="468">
        <f>3000000-3000000</f>
        <v>0</v>
      </c>
      <c r="Q13" s="468">
        <v>0</v>
      </c>
      <c r="R13" s="468">
        <f t="shared" si="15"/>
        <v>0</v>
      </c>
      <c r="S13" s="468"/>
      <c r="T13" s="468">
        <f>1000000-1000000</f>
        <v>0</v>
      </c>
      <c r="U13" s="468">
        <v>0</v>
      </c>
      <c r="V13" s="468">
        <f t="shared" si="16"/>
        <v>0</v>
      </c>
      <c r="W13" s="468"/>
      <c r="X13" s="468">
        <v>30000000</v>
      </c>
      <c r="Y13" s="468">
        <v>30000000</v>
      </c>
      <c r="Z13" s="468">
        <f t="shared" si="17"/>
        <v>0</v>
      </c>
      <c r="AA13" s="468"/>
      <c r="AB13" s="468">
        <f>5000000-5000000</f>
        <v>0</v>
      </c>
      <c r="AC13" s="468">
        <v>0</v>
      </c>
      <c r="AD13" s="468">
        <f t="shared" si="18"/>
        <v>0</v>
      </c>
      <c r="AE13" s="468"/>
      <c r="AF13" s="468">
        <v>2000000</v>
      </c>
      <c r="AG13" s="468">
        <f>2000000</f>
        <v>2000000</v>
      </c>
      <c r="AH13" s="468">
        <f t="shared" si="19"/>
        <v>0</v>
      </c>
      <c r="AI13" s="468"/>
      <c r="AJ13" s="468">
        <v>7500000</v>
      </c>
      <c r="AK13" s="468">
        <v>7500000</v>
      </c>
      <c r="AL13" s="468">
        <f t="shared" si="20"/>
        <v>0</v>
      </c>
      <c r="AM13" s="468"/>
      <c r="AN13" s="468">
        <v>40000000</v>
      </c>
      <c r="AO13" s="468">
        <v>40000000</v>
      </c>
      <c r="AP13" s="468">
        <f t="shared" si="0"/>
        <v>0</v>
      </c>
      <c r="AQ13" s="468"/>
      <c r="AR13" s="468">
        <v>3000000</v>
      </c>
      <c r="AS13" s="468">
        <f>3000000</f>
        <v>3000000</v>
      </c>
      <c r="AT13" s="468">
        <f t="shared" si="21"/>
        <v>0</v>
      </c>
      <c r="AU13" s="468"/>
      <c r="AV13" s="468">
        <v>2000000</v>
      </c>
      <c r="AW13" s="468">
        <v>1697500</v>
      </c>
      <c r="AX13" s="468">
        <f t="shared" si="22"/>
        <v>302500</v>
      </c>
      <c r="AY13" s="468"/>
      <c r="AZ13" s="468">
        <v>10000000</v>
      </c>
      <c r="BA13" s="468">
        <v>10000000</v>
      </c>
      <c r="BB13" s="468">
        <f t="shared" si="1"/>
        <v>0</v>
      </c>
      <c r="BC13" s="468"/>
      <c r="BD13" s="468">
        <v>64000000</v>
      </c>
      <c r="BE13" s="468">
        <f>2434240.56+700000+35238270+2250000+2100000+2647650+13409000</f>
        <v>58779160.560000002</v>
      </c>
      <c r="BF13" s="468">
        <f t="shared" si="23"/>
        <v>5220839.4399999976</v>
      </c>
      <c r="BG13" s="468"/>
      <c r="BH13" s="468">
        <v>9500000</v>
      </c>
      <c r="BI13" s="468">
        <f>3580000+2850000+3070000</f>
        <v>9500000</v>
      </c>
      <c r="BJ13" s="468">
        <f t="shared" si="24"/>
        <v>0</v>
      </c>
      <c r="BK13" s="468"/>
      <c r="BL13" s="468">
        <v>5000000</v>
      </c>
      <c r="BM13" s="468">
        <v>0</v>
      </c>
      <c r="BN13" s="468">
        <f t="shared" si="25"/>
        <v>5000000</v>
      </c>
      <c r="BO13" s="468"/>
      <c r="BP13" s="468">
        <v>20000000</v>
      </c>
      <c r="BQ13" s="468">
        <v>20000000</v>
      </c>
      <c r="BR13" s="468">
        <f t="shared" si="2"/>
        <v>0</v>
      </c>
      <c r="BS13" s="468"/>
      <c r="BT13" s="468">
        <v>1000000</v>
      </c>
      <c r="BU13" s="468">
        <v>0</v>
      </c>
      <c r="BV13" s="468">
        <f t="shared" si="3"/>
        <v>1000000</v>
      </c>
      <c r="BW13" s="468"/>
      <c r="BX13" s="468">
        <v>80000000</v>
      </c>
      <c r="BY13" s="468">
        <f>19888200+24427950+1550000+17852800+16281050</f>
        <v>80000000</v>
      </c>
      <c r="BZ13" s="468">
        <f t="shared" si="26"/>
        <v>0</v>
      </c>
      <c r="CA13" s="468"/>
      <c r="CB13" s="468">
        <v>10000000</v>
      </c>
      <c r="CC13" s="468">
        <f>4980000+5020000</f>
        <v>10000000</v>
      </c>
      <c r="CD13" s="468">
        <f t="shared" si="4"/>
        <v>0</v>
      </c>
      <c r="CE13" s="468"/>
      <c r="CF13" s="468">
        <v>10000000</v>
      </c>
      <c r="CG13" s="468">
        <v>1136450</v>
      </c>
      <c r="CH13" s="468">
        <f t="shared" si="27"/>
        <v>8863550</v>
      </c>
      <c r="CI13" s="468"/>
      <c r="CJ13" s="468">
        <v>30000000</v>
      </c>
      <c r="CK13" s="468">
        <f>17057545+90+12942365</f>
        <v>30000000</v>
      </c>
      <c r="CL13" s="468">
        <f t="shared" si="5"/>
        <v>0</v>
      </c>
      <c r="CM13" s="468"/>
      <c r="CN13" s="468">
        <v>10000000</v>
      </c>
      <c r="CO13" s="468">
        <v>0</v>
      </c>
      <c r="CP13" s="468">
        <f t="shared" si="6"/>
        <v>10000000</v>
      </c>
      <c r="CQ13" s="468"/>
      <c r="CR13" s="468">
        <v>100000000</v>
      </c>
      <c r="CS13" s="468">
        <f>52374150+19492000+2550000+12000000+13583850</f>
        <v>100000000</v>
      </c>
      <c r="CT13" s="468">
        <f t="shared" si="7"/>
        <v>0</v>
      </c>
      <c r="CU13" s="468"/>
      <c r="CV13" s="468">
        <v>20000000</v>
      </c>
      <c r="CW13" s="468">
        <f>7692901.6+12307098.4</f>
        <v>20000000</v>
      </c>
      <c r="CX13" s="468">
        <f t="shared" si="8"/>
        <v>0</v>
      </c>
      <c r="CY13" s="468"/>
      <c r="CZ13" s="468">
        <v>20000000</v>
      </c>
      <c r="DA13" s="468">
        <v>652500</v>
      </c>
      <c r="DB13" s="468">
        <f t="shared" si="9"/>
        <v>19347500</v>
      </c>
      <c r="DC13" s="468"/>
      <c r="DD13" s="468">
        <v>50000000</v>
      </c>
      <c r="DE13" s="490">
        <f>17112625+6775206+12331424+5361435.1+8419309.9</f>
        <v>50000000</v>
      </c>
      <c r="DF13" s="468">
        <f t="shared" si="10"/>
        <v>0</v>
      </c>
      <c r="DG13" s="463"/>
      <c r="DH13" s="468">
        <v>10000000</v>
      </c>
      <c r="DI13" s="468">
        <v>0</v>
      </c>
      <c r="DJ13" s="468">
        <f t="shared" si="11"/>
        <v>10000000</v>
      </c>
      <c r="DK13" s="468"/>
      <c r="DL13" s="471">
        <v>0</v>
      </c>
      <c r="DM13" s="471">
        <v>0</v>
      </c>
      <c r="DN13" s="471">
        <f t="shared" si="28"/>
        <v>0</v>
      </c>
      <c r="DO13" s="524"/>
      <c r="DP13" s="471"/>
      <c r="DQ13" s="471"/>
      <c r="DR13" s="471"/>
      <c r="DS13" s="473"/>
      <c r="DT13" s="471">
        <v>70000000</v>
      </c>
      <c r="DU13" s="471">
        <v>70000000</v>
      </c>
      <c r="DV13" s="471">
        <f t="shared" si="29"/>
        <v>0</v>
      </c>
      <c r="DW13" s="473"/>
      <c r="DX13" s="471">
        <v>10000000</v>
      </c>
      <c r="DY13" s="471">
        <f>4481616.55</f>
        <v>4481616.55</v>
      </c>
      <c r="DZ13" s="471">
        <f t="shared" si="30"/>
        <v>5518383.4500000002</v>
      </c>
      <c r="EA13" s="473"/>
      <c r="EB13" s="471">
        <v>5000000</v>
      </c>
      <c r="EC13" s="471">
        <v>0</v>
      </c>
      <c r="ED13" s="471">
        <f t="shared" si="31"/>
        <v>5000000</v>
      </c>
      <c r="EE13" s="473"/>
      <c r="EF13" s="471">
        <v>20000000</v>
      </c>
      <c r="EG13" s="541">
        <f>2685200+9444680+3594155+4275965</f>
        <v>20000000</v>
      </c>
      <c r="EH13" s="471">
        <f t="shared" si="32"/>
        <v>0</v>
      </c>
      <c r="EI13" s="473"/>
      <c r="EJ13" s="471">
        <v>5000000</v>
      </c>
      <c r="EK13" s="471">
        <v>0</v>
      </c>
      <c r="EL13" s="471">
        <f t="shared" si="33"/>
        <v>5000000</v>
      </c>
      <c r="EM13" s="631" t="s">
        <v>61</v>
      </c>
      <c r="EN13" s="475">
        <v>200000000</v>
      </c>
      <c r="EO13" s="624">
        <f>20716150+2700000+53354500+91876274.1+31353075.9</f>
        <v>200000000</v>
      </c>
      <c r="EP13" s="475">
        <f t="shared" si="34"/>
        <v>0</v>
      </c>
      <c r="EQ13" s="475"/>
      <c r="ER13" s="475">
        <v>18000000</v>
      </c>
      <c r="ES13" s="475">
        <v>0</v>
      </c>
      <c r="ET13" s="475">
        <f t="shared" si="35"/>
        <v>18000000</v>
      </c>
      <c r="EU13" s="475"/>
      <c r="EV13" s="475">
        <v>5000000</v>
      </c>
      <c r="EW13" s="475">
        <v>0</v>
      </c>
      <c r="EX13" s="475">
        <f t="shared" si="36"/>
        <v>5000000</v>
      </c>
      <c r="EY13" s="475"/>
      <c r="EZ13" s="475">
        <v>25000000</v>
      </c>
      <c r="FA13" s="626">
        <f>6113417.1</f>
        <v>6113417.0999999996</v>
      </c>
      <c r="FB13" s="475">
        <f t="shared" si="37"/>
        <v>18886582.899999999</v>
      </c>
      <c r="FC13" s="475"/>
      <c r="FD13" s="475">
        <v>5000000</v>
      </c>
      <c r="FE13" s="475">
        <v>0</v>
      </c>
      <c r="FF13" s="475">
        <f t="shared" si="38"/>
        <v>5000000</v>
      </c>
      <c r="FG13" s="107"/>
      <c r="FH13" s="475">
        <v>75000000</v>
      </c>
      <c r="FI13" s="624">
        <f>10646924.1</f>
        <v>10646924.1</v>
      </c>
      <c r="FJ13" s="475">
        <f t="shared" si="39"/>
        <v>64353075.899999999</v>
      </c>
      <c r="FK13" s="475"/>
      <c r="FL13" s="475">
        <v>20000000</v>
      </c>
      <c r="FM13" s="475">
        <v>0</v>
      </c>
      <c r="FN13" s="475">
        <f t="shared" si="40"/>
        <v>20000000</v>
      </c>
      <c r="FO13" s="475"/>
      <c r="FP13" s="475">
        <v>5000000</v>
      </c>
      <c r="FQ13" s="475">
        <v>0</v>
      </c>
      <c r="FR13" s="475">
        <f t="shared" si="41"/>
        <v>5000000</v>
      </c>
      <c r="FS13" s="475"/>
      <c r="FT13" s="475">
        <v>20000000</v>
      </c>
      <c r="FU13" s="475">
        <v>0</v>
      </c>
      <c r="FV13" s="475">
        <f t="shared" si="42"/>
        <v>20000000</v>
      </c>
      <c r="FW13" s="475"/>
      <c r="FX13" s="475">
        <v>5000000</v>
      </c>
      <c r="FY13" s="475">
        <v>0</v>
      </c>
      <c r="FZ13" s="475">
        <f t="shared" si="43"/>
        <v>5000000</v>
      </c>
      <c r="GA13" s="475"/>
      <c r="GB13" s="475">
        <v>100000000</v>
      </c>
      <c r="GC13" s="475">
        <v>0</v>
      </c>
      <c r="GD13" s="475">
        <f t="shared" si="44"/>
        <v>100000000</v>
      </c>
      <c r="GE13" s="475"/>
      <c r="GF13" s="475">
        <v>20000000</v>
      </c>
      <c r="GG13" s="475">
        <v>0</v>
      </c>
      <c r="GH13" s="475">
        <f t="shared" si="45"/>
        <v>20000000</v>
      </c>
      <c r="GI13" s="475"/>
      <c r="GJ13" s="475">
        <v>3000000</v>
      </c>
      <c r="GK13" s="475">
        <v>0</v>
      </c>
      <c r="GL13" s="475">
        <f t="shared" si="46"/>
        <v>3000000</v>
      </c>
      <c r="GM13" s="475"/>
      <c r="GN13" s="475">
        <v>15000000</v>
      </c>
      <c r="GO13" s="475">
        <v>0</v>
      </c>
      <c r="GP13" s="475">
        <f t="shared" si="47"/>
        <v>15000000</v>
      </c>
      <c r="GQ13" s="475"/>
      <c r="GR13" s="475">
        <v>3000000</v>
      </c>
      <c r="GS13" s="475">
        <v>0</v>
      </c>
      <c r="GT13" s="475">
        <f t="shared" si="48"/>
        <v>3000000</v>
      </c>
      <c r="GU13" s="475"/>
      <c r="GV13" s="468">
        <f t="shared" si="49"/>
        <v>1213240000</v>
      </c>
      <c r="GW13" s="468">
        <f t="shared" si="49"/>
        <v>835747568.30999994</v>
      </c>
      <c r="GX13" s="468">
        <f t="shared" si="50"/>
        <v>377492431.69000006</v>
      </c>
      <c r="GY13" s="472"/>
      <c r="HA13" s="468">
        <f>D13+H13+L13+X13+AN13+BD13+BX13+CR13+DT13+DL13+EN13+FH13+GB13</f>
        <v>809240000</v>
      </c>
      <c r="HB13" s="468">
        <f>E13+I13+M13+Y13+AO13+BE13+BY13+CS13+DU13+DM13+EO13+FI13+GC13</f>
        <v>639666084.65999997</v>
      </c>
      <c r="HC13" s="471">
        <f t="shared" si="51"/>
        <v>169573915.34000003</v>
      </c>
      <c r="HE13" s="471">
        <f>P13+AB13+AR13+BH13+CB13+CV13+DX13+ER13+FL13+GF13</f>
        <v>110500000</v>
      </c>
      <c r="HF13" s="471">
        <f>Q13+AC13+AS13+BI13+CC13+CW13+DY13+ES13+FM13+GG13</f>
        <v>46981616.549999997</v>
      </c>
      <c r="HG13" s="471">
        <f t="shared" si="52"/>
        <v>63518383.450000003</v>
      </c>
      <c r="HI13" s="471">
        <f>T13+AF13+AV13+BL13+CF13+CZ13+EB13+EV13+FP13+GJ13</f>
        <v>57000000</v>
      </c>
      <c r="HJ13" s="471">
        <f>U13+AG13+AW13+BM13+CG13+DA13+EC13+EW13+FQ13+GK13</f>
        <v>5486450</v>
      </c>
      <c r="HK13" s="471">
        <f t="shared" si="53"/>
        <v>51513550</v>
      </c>
      <c r="HM13" s="471">
        <f>AJ13+AZ13+BP13+CJ13+DD13+EF13+EZ13+FT13+GN13</f>
        <v>197500000</v>
      </c>
      <c r="HN13" s="471">
        <f>AK13+BA13+BQ13+CK13+DE13+EG13+FA13+FU13+GO13</f>
        <v>143613417.09999999</v>
      </c>
      <c r="HO13" s="471">
        <f t="shared" si="54"/>
        <v>53886582.900000006</v>
      </c>
      <c r="HP13" s="531"/>
      <c r="HQ13" s="471">
        <f>BT13+CN13+DH13+EJ13+FD13+FX13+GR13</f>
        <v>39000000</v>
      </c>
      <c r="HR13" s="471">
        <f>BU13+CO13+DI13+EK13+FE13+FY13+GS13</f>
        <v>0</v>
      </c>
      <c r="HS13" s="471">
        <f t="shared" si="55"/>
        <v>39000000</v>
      </c>
    </row>
    <row r="14" spans="1:227" s="474" customFormat="1" x14ac:dyDescent="0.25">
      <c r="A14" s="107">
        <v>11</v>
      </c>
      <c r="B14" s="550" t="s">
        <v>210</v>
      </c>
      <c r="C14" s="631" t="s">
        <v>61</v>
      </c>
      <c r="D14" s="468">
        <v>0</v>
      </c>
      <c r="E14" s="468">
        <v>0</v>
      </c>
      <c r="F14" s="468">
        <f t="shared" si="12"/>
        <v>0</v>
      </c>
      <c r="G14" s="468"/>
      <c r="H14" s="468">
        <v>25240000</v>
      </c>
      <c r="I14" s="520">
        <v>25240000</v>
      </c>
      <c r="J14" s="468">
        <f t="shared" si="13"/>
        <v>0</v>
      </c>
      <c r="K14" s="468"/>
      <c r="L14" s="468">
        <v>25000000</v>
      </c>
      <c r="M14" s="468">
        <v>25000000</v>
      </c>
      <c r="N14" s="468">
        <f t="shared" si="14"/>
        <v>0</v>
      </c>
      <c r="O14" s="468"/>
      <c r="P14" s="468">
        <v>3000000</v>
      </c>
      <c r="Q14" s="468">
        <f>3000000-3000000+3000000</f>
        <v>3000000</v>
      </c>
      <c r="R14" s="468">
        <f t="shared" si="15"/>
        <v>0</v>
      </c>
      <c r="S14" s="468"/>
      <c r="T14" s="468">
        <v>1000000</v>
      </c>
      <c r="U14" s="468">
        <v>1000000</v>
      </c>
      <c r="V14" s="468">
        <f t="shared" si="16"/>
        <v>0</v>
      </c>
      <c r="W14" s="468"/>
      <c r="X14" s="468">
        <v>30000000</v>
      </c>
      <c r="Y14" s="468">
        <v>30000000</v>
      </c>
      <c r="Z14" s="468">
        <f t="shared" si="17"/>
        <v>0</v>
      </c>
      <c r="AA14" s="468"/>
      <c r="AB14" s="468">
        <v>446460</v>
      </c>
      <c r="AC14" s="468">
        <f>4250000+750000-5000000+446460</f>
        <v>446460</v>
      </c>
      <c r="AD14" s="468">
        <f t="shared" si="18"/>
        <v>0</v>
      </c>
      <c r="AE14" s="468"/>
      <c r="AF14" s="468">
        <v>2000000</v>
      </c>
      <c r="AG14" s="468">
        <v>2000000</v>
      </c>
      <c r="AH14" s="468">
        <f t="shared" si="19"/>
        <v>0</v>
      </c>
      <c r="AI14" s="468"/>
      <c r="AJ14" s="468">
        <v>7500000</v>
      </c>
      <c r="AK14" s="468">
        <v>7500000</v>
      </c>
      <c r="AL14" s="468">
        <f t="shared" si="20"/>
        <v>0</v>
      </c>
      <c r="AM14" s="468"/>
      <c r="AN14" s="468">
        <v>40000000</v>
      </c>
      <c r="AO14" s="468">
        <v>40000000</v>
      </c>
      <c r="AP14" s="468">
        <f t="shared" si="0"/>
        <v>0</v>
      </c>
      <c r="AQ14" s="468"/>
      <c r="AR14" s="468">
        <v>3000000</v>
      </c>
      <c r="AS14" s="468">
        <f>3000000-50000-2950000+3000000-3000000</f>
        <v>0</v>
      </c>
      <c r="AT14" s="468">
        <f t="shared" si="21"/>
        <v>3000000</v>
      </c>
      <c r="AU14" s="468"/>
      <c r="AV14" s="468">
        <v>2000000</v>
      </c>
      <c r="AW14" s="468">
        <f>1250000</f>
        <v>1250000</v>
      </c>
      <c r="AX14" s="468">
        <f t="shared" si="22"/>
        <v>750000</v>
      </c>
      <c r="AY14" s="468"/>
      <c r="AZ14" s="468">
        <v>10000000</v>
      </c>
      <c r="BA14" s="468">
        <v>10000000</v>
      </c>
      <c r="BB14" s="468">
        <f t="shared" si="1"/>
        <v>0</v>
      </c>
      <c r="BC14" s="468"/>
      <c r="BD14" s="468">
        <v>64000000</v>
      </c>
      <c r="BE14" s="468">
        <f>60144667.55-800000+2878675+1776657.45</f>
        <v>64000000</v>
      </c>
      <c r="BF14" s="468">
        <f t="shared" si="23"/>
        <v>0</v>
      </c>
      <c r="BG14" s="468"/>
      <c r="BH14" s="468">
        <v>9500000</v>
      </c>
      <c r="BI14" s="468">
        <f>1300000-1300000+446460-446460+2236134+2750904</f>
        <v>4987038</v>
      </c>
      <c r="BJ14" s="468">
        <f t="shared" si="24"/>
        <v>4512962</v>
      </c>
      <c r="BK14" s="468"/>
      <c r="BL14" s="468">
        <v>5000000</v>
      </c>
      <c r="BM14" s="468">
        <v>0</v>
      </c>
      <c r="BN14" s="468">
        <f t="shared" si="25"/>
        <v>5000000</v>
      </c>
      <c r="BO14" s="468"/>
      <c r="BP14" s="468">
        <v>20000000</v>
      </c>
      <c r="BQ14" s="468">
        <v>20000000</v>
      </c>
      <c r="BR14" s="468">
        <f t="shared" si="2"/>
        <v>0</v>
      </c>
      <c r="BS14" s="468"/>
      <c r="BT14" s="468">
        <v>1000000</v>
      </c>
      <c r="BU14" s="468">
        <f>1000000</f>
        <v>1000000</v>
      </c>
      <c r="BV14" s="468">
        <f t="shared" si="3"/>
        <v>0</v>
      </c>
      <c r="BW14" s="468"/>
      <c r="BX14" s="468">
        <v>80000000</v>
      </c>
      <c r="BY14" s="468">
        <f>78383917.55+1616082.45</f>
        <v>80000000</v>
      </c>
      <c r="BZ14" s="468">
        <f t="shared" si="26"/>
        <v>0</v>
      </c>
      <c r="CA14" s="468"/>
      <c r="CB14" s="468">
        <v>10000000</v>
      </c>
      <c r="CC14" s="468">
        <v>0</v>
      </c>
      <c r="CD14" s="468">
        <f t="shared" si="4"/>
        <v>10000000</v>
      </c>
      <c r="CE14" s="468"/>
      <c r="CF14" s="468">
        <v>10000000</v>
      </c>
      <c r="CG14" s="468">
        <v>0</v>
      </c>
      <c r="CH14" s="468">
        <f t="shared" si="27"/>
        <v>10000000</v>
      </c>
      <c r="CI14" s="468"/>
      <c r="CJ14" s="468">
        <v>30000000</v>
      </c>
      <c r="CK14" s="468">
        <f>30176657.45-176657.45</f>
        <v>30000000</v>
      </c>
      <c r="CL14" s="468">
        <f t="shared" si="5"/>
        <v>0</v>
      </c>
      <c r="CM14" s="468"/>
      <c r="CN14" s="468">
        <v>10000000</v>
      </c>
      <c r="CO14" s="468">
        <f>3856900+857100+5286000</f>
        <v>10000000</v>
      </c>
      <c r="CP14" s="468">
        <f t="shared" si="6"/>
        <v>0</v>
      </c>
      <c r="CQ14" s="468"/>
      <c r="CR14" s="468">
        <v>100000000</v>
      </c>
      <c r="CS14" s="468">
        <f>78534187.55+7000000+1500000</f>
        <v>87034187.549999997</v>
      </c>
      <c r="CT14" s="468">
        <f t="shared" si="7"/>
        <v>12965812.450000003</v>
      </c>
      <c r="CU14" s="468"/>
      <c r="CV14" s="468">
        <v>20000000</v>
      </c>
      <c r="CW14" s="468">
        <v>0</v>
      </c>
      <c r="CX14" s="468">
        <f t="shared" si="8"/>
        <v>20000000</v>
      </c>
      <c r="CY14" s="468"/>
      <c r="CZ14" s="468">
        <v>20000000</v>
      </c>
      <c r="DA14" s="468">
        <v>0</v>
      </c>
      <c r="DB14" s="468">
        <f t="shared" si="9"/>
        <v>20000000</v>
      </c>
      <c r="DC14" s="468"/>
      <c r="DD14" s="468">
        <v>50000000</v>
      </c>
      <c r="DE14" s="468">
        <f>176657.449999999+393157+6980664+13161300+4094200+4438900+1099800+1345250</f>
        <v>31689928.449999999</v>
      </c>
      <c r="DF14" s="468">
        <f t="shared" si="10"/>
        <v>18310071.550000001</v>
      </c>
      <c r="DG14" s="463"/>
      <c r="DH14" s="468">
        <v>10000000</v>
      </c>
      <c r="DI14" s="468">
        <v>10000000</v>
      </c>
      <c r="DJ14" s="468">
        <f t="shared" si="11"/>
        <v>0</v>
      </c>
      <c r="DK14" s="475"/>
      <c r="DL14" s="471">
        <v>0</v>
      </c>
      <c r="DM14" s="471">
        <v>0</v>
      </c>
      <c r="DN14" s="471">
        <f t="shared" si="28"/>
        <v>0</v>
      </c>
      <c r="DO14" s="476"/>
      <c r="DP14" s="475"/>
      <c r="DQ14" s="475"/>
      <c r="DR14" s="475"/>
      <c r="DT14" s="471">
        <v>70000000</v>
      </c>
      <c r="DU14" s="471">
        <f>43500000+26500000</f>
        <v>70000000</v>
      </c>
      <c r="DV14" s="471">
        <f t="shared" si="29"/>
        <v>0</v>
      </c>
      <c r="DX14" s="471">
        <v>10000000</v>
      </c>
      <c r="DY14" s="471">
        <v>0</v>
      </c>
      <c r="DZ14" s="471">
        <f t="shared" si="30"/>
        <v>10000000</v>
      </c>
      <c r="EB14" s="471">
        <v>5000000</v>
      </c>
      <c r="EC14" s="471">
        <v>0</v>
      </c>
      <c r="ED14" s="471">
        <f t="shared" si="31"/>
        <v>5000000</v>
      </c>
      <c r="EF14" s="471">
        <v>20000000</v>
      </c>
      <c r="EG14" s="551">
        <f>3911400-1532525-1612825</f>
        <v>766050</v>
      </c>
      <c r="EH14" s="471">
        <f t="shared" si="32"/>
        <v>19233950</v>
      </c>
      <c r="EI14" s="473"/>
      <c r="EJ14" s="471">
        <v>5000000</v>
      </c>
      <c r="EK14" s="552">
        <f>3579500+595250+825250</f>
        <v>5000000</v>
      </c>
      <c r="EL14" s="471">
        <f t="shared" si="33"/>
        <v>0</v>
      </c>
      <c r="EM14" s="631" t="s">
        <v>61</v>
      </c>
      <c r="EN14" s="475">
        <v>200000000</v>
      </c>
      <c r="EO14" s="475">
        <f>40937066.2+107509509.3+51553424.5</f>
        <v>200000000</v>
      </c>
      <c r="EP14" s="475">
        <f t="shared" si="34"/>
        <v>0</v>
      </c>
      <c r="EQ14" s="475"/>
      <c r="ER14" s="475">
        <v>18000000</v>
      </c>
      <c r="ES14" s="475">
        <v>0</v>
      </c>
      <c r="ET14" s="475">
        <f t="shared" si="35"/>
        <v>18000000</v>
      </c>
      <c r="EU14" s="475"/>
      <c r="EV14" s="475">
        <v>5000000</v>
      </c>
      <c r="EW14" s="475">
        <v>0</v>
      </c>
      <c r="EX14" s="475">
        <f t="shared" si="36"/>
        <v>5000000</v>
      </c>
      <c r="EY14" s="475"/>
      <c r="EZ14" s="475">
        <v>25000000</v>
      </c>
      <c r="FA14" s="475">
        <f>12313800+2949875+9736325</f>
        <v>25000000</v>
      </c>
      <c r="FB14" s="475">
        <f t="shared" si="37"/>
        <v>0</v>
      </c>
      <c r="FC14" s="475"/>
      <c r="FD14" s="475">
        <v>5000000</v>
      </c>
      <c r="FE14" s="627">
        <f>739250</f>
        <v>739250</v>
      </c>
      <c r="FF14" s="475">
        <f t="shared" si="38"/>
        <v>4260750</v>
      </c>
      <c r="FG14" s="475"/>
      <c r="FH14" s="475">
        <v>75000000</v>
      </c>
      <c r="FI14" s="625">
        <f>3401001.9+29100000</f>
        <v>32501001.899999999</v>
      </c>
      <c r="FJ14" s="475">
        <f t="shared" si="39"/>
        <v>42498998.100000001</v>
      </c>
      <c r="FK14" s="475"/>
      <c r="FL14" s="475">
        <v>20000000</v>
      </c>
      <c r="FM14" s="475">
        <v>0</v>
      </c>
      <c r="FN14" s="475">
        <f t="shared" si="40"/>
        <v>20000000</v>
      </c>
      <c r="FO14" s="475"/>
      <c r="FP14" s="475">
        <v>5000000</v>
      </c>
      <c r="FQ14" s="475">
        <v>0</v>
      </c>
      <c r="FR14" s="475">
        <f t="shared" si="41"/>
        <v>5000000</v>
      </c>
      <c r="FS14" s="475"/>
      <c r="FT14" s="475">
        <v>20000000</v>
      </c>
      <c r="FU14" s="475">
        <f>9724625</f>
        <v>9724625</v>
      </c>
      <c r="FV14" s="475">
        <f t="shared" si="42"/>
        <v>10275375</v>
      </c>
      <c r="FW14" s="475"/>
      <c r="FX14" s="475">
        <v>5000000</v>
      </c>
      <c r="FY14" s="475">
        <v>0</v>
      </c>
      <c r="FZ14" s="475">
        <f t="shared" si="43"/>
        <v>5000000</v>
      </c>
      <c r="GA14" s="475"/>
      <c r="GB14" s="475">
        <v>100000000</v>
      </c>
      <c r="GC14" s="475">
        <v>0</v>
      </c>
      <c r="GD14" s="475">
        <f t="shared" si="44"/>
        <v>100000000</v>
      </c>
      <c r="GE14" s="475"/>
      <c r="GF14" s="475">
        <v>20000000</v>
      </c>
      <c r="GG14" s="475">
        <v>0</v>
      </c>
      <c r="GH14" s="475">
        <f t="shared" si="45"/>
        <v>20000000</v>
      </c>
      <c r="GI14" s="475"/>
      <c r="GJ14" s="475">
        <v>3000000</v>
      </c>
      <c r="GK14" s="475">
        <v>0</v>
      </c>
      <c r="GL14" s="475">
        <f t="shared" si="46"/>
        <v>3000000</v>
      </c>
      <c r="GM14" s="475"/>
      <c r="GN14" s="475">
        <v>15000000</v>
      </c>
      <c r="GO14" s="475">
        <v>0</v>
      </c>
      <c r="GP14" s="475">
        <f t="shared" si="47"/>
        <v>15000000</v>
      </c>
      <c r="GQ14" s="475"/>
      <c r="GR14" s="475">
        <v>3000000</v>
      </c>
      <c r="GS14" s="475">
        <v>0</v>
      </c>
      <c r="GT14" s="475">
        <f t="shared" si="48"/>
        <v>3000000</v>
      </c>
      <c r="GU14" s="475"/>
      <c r="GV14" s="468">
        <f t="shared" si="49"/>
        <v>1217686460</v>
      </c>
      <c r="GW14" s="468">
        <f t="shared" si="49"/>
        <v>827878540.89999998</v>
      </c>
      <c r="GX14" s="468">
        <f t="shared" si="50"/>
        <v>389807919.10000002</v>
      </c>
      <c r="HA14" s="468">
        <f>D14+H14+L14+X14+AN14+BD14+BX14+CR14+DT14+DL14+EN14+FH14+GB14</f>
        <v>809240000</v>
      </c>
      <c r="HB14" s="468">
        <f>E14+I14+M14+Y14+AO14+BE14+BY14+CS14+DU14+DM14+EO14+FI14+GC14</f>
        <v>653775189.44999993</v>
      </c>
      <c r="HC14" s="471">
        <f t="shared" si="51"/>
        <v>155464810.55000007</v>
      </c>
      <c r="HE14" s="471">
        <f>P14+AB14+AR14+BH14+CB14+CV14+DX14+ER14+FL14+GF14</f>
        <v>113946460</v>
      </c>
      <c r="HF14" s="471">
        <f>Q14+AC14+AS14+BI14+CC14+CW14+DY14+ES14+FM14+GG14</f>
        <v>8433498</v>
      </c>
      <c r="HG14" s="471">
        <f t="shared" si="52"/>
        <v>105512962</v>
      </c>
      <c r="HI14" s="471">
        <f>T14+AF14+AV14+BL14+CF14+CZ14+EB14+EV14+FP14+GJ14</f>
        <v>58000000</v>
      </c>
      <c r="HJ14" s="471">
        <f>U14+AG14+AW14+BM14+CG14+DA14+EC14+EW14+FQ14+GK14</f>
        <v>4250000</v>
      </c>
      <c r="HK14" s="471">
        <f t="shared" si="53"/>
        <v>53750000</v>
      </c>
      <c r="HM14" s="471">
        <f>AJ14+AZ14+BP14+CJ14+DD14+EF14+EZ14+FT14+GN14</f>
        <v>197500000</v>
      </c>
      <c r="HN14" s="471">
        <f>AK14+BA14+BQ14+CK14+DE14+EG14+FA14+FU14+GO14</f>
        <v>134680603.44999999</v>
      </c>
      <c r="HO14" s="471">
        <f t="shared" si="54"/>
        <v>62819396.550000012</v>
      </c>
      <c r="HP14" s="531"/>
      <c r="HQ14" s="471">
        <f>BT14+CN14+DH14+EJ14+FD14+FX14+GR14</f>
        <v>39000000</v>
      </c>
      <c r="HR14" s="471">
        <f>BU14+CO14+DI14+EK14+FE14+FY14+GS14</f>
        <v>26739250</v>
      </c>
      <c r="HS14" s="471">
        <f t="shared" si="55"/>
        <v>12260750</v>
      </c>
    </row>
    <row r="15" spans="1:227" x14ac:dyDescent="0.25">
      <c r="A15" s="107">
        <v>12</v>
      </c>
      <c r="B15" s="107" t="s">
        <v>211</v>
      </c>
      <c r="C15" s="631" t="s">
        <v>61</v>
      </c>
      <c r="D15" s="468">
        <v>0</v>
      </c>
      <c r="E15" s="468">
        <v>0</v>
      </c>
      <c r="F15" s="468">
        <f t="shared" si="12"/>
        <v>0</v>
      </c>
      <c r="G15" s="468"/>
      <c r="H15" s="468">
        <v>25240000</v>
      </c>
      <c r="I15" s="468">
        <v>25240000</v>
      </c>
      <c r="J15" s="468">
        <f t="shared" si="13"/>
        <v>0</v>
      </c>
      <c r="K15" s="468"/>
      <c r="L15" s="468">
        <v>25000000</v>
      </c>
      <c r="M15" s="468">
        <f>37136960-12136960</f>
        <v>25000000</v>
      </c>
      <c r="N15" s="468">
        <f t="shared" si="14"/>
        <v>0</v>
      </c>
      <c r="O15" s="468"/>
      <c r="P15" s="468">
        <v>2015300</v>
      </c>
      <c r="Q15" s="468">
        <v>2015300</v>
      </c>
      <c r="R15" s="468">
        <f t="shared" si="15"/>
        <v>0</v>
      </c>
      <c r="S15" s="468"/>
      <c r="T15" s="468">
        <v>1000000</v>
      </c>
      <c r="U15" s="468">
        <f>1000000</f>
        <v>1000000</v>
      </c>
      <c r="V15" s="468">
        <f t="shared" si="16"/>
        <v>0</v>
      </c>
      <c r="W15" s="468"/>
      <c r="X15" s="468">
        <v>30000000</v>
      </c>
      <c r="Y15" s="468">
        <v>30000000</v>
      </c>
      <c r="Z15" s="468">
        <f t="shared" si="17"/>
        <v>0</v>
      </c>
      <c r="AA15" s="468"/>
      <c r="AB15" s="468">
        <v>5000000</v>
      </c>
      <c r="AC15" s="468">
        <v>5000000</v>
      </c>
      <c r="AD15" s="468">
        <f t="shared" si="18"/>
        <v>0</v>
      </c>
      <c r="AE15" s="468"/>
      <c r="AF15" s="468">
        <v>708500</v>
      </c>
      <c r="AG15" s="468">
        <f>708500</f>
        <v>708500</v>
      </c>
      <c r="AH15" s="468">
        <f t="shared" si="19"/>
        <v>0</v>
      </c>
      <c r="AI15" s="468"/>
      <c r="AJ15" s="468">
        <v>7500000</v>
      </c>
      <c r="AK15" s="468">
        <v>7500000</v>
      </c>
      <c r="AL15" s="468">
        <f t="shared" si="20"/>
        <v>0</v>
      </c>
      <c r="AM15" s="468"/>
      <c r="AN15" s="468">
        <v>40000000</v>
      </c>
      <c r="AO15" s="468">
        <v>40000000</v>
      </c>
      <c r="AP15" s="468">
        <f t="shared" si="0"/>
        <v>0</v>
      </c>
      <c r="AQ15" s="468"/>
      <c r="AR15" s="468">
        <v>3000000</v>
      </c>
      <c r="AS15" s="468">
        <f>3000000</f>
        <v>3000000</v>
      </c>
      <c r="AT15" s="468">
        <f t="shared" si="21"/>
        <v>0</v>
      </c>
      <c r="AU15" s="468"/>
      <c r="AV15" s="468">
        <v>2000000</v>
      </c>
      <c r="AW15" s="468">
        <v>0</v>
      </c>
      <c r="AX15" s="468">
        <f t="shared" si="22"/>
        <v>2000000</v>
      </c>
      <c r="AY15" s="468"/>
      <c r="AZ15" s="468">
        <v>10000000</v>
      </c>
      <c r="BA15" s="468">
        <v>10000000</v>
      </c>
      <c r="BB15" s="468">
        <f t="shared" si="1"/>
        <v>0</v>
      </c>
      <c r="BC15" s="468"/>
      <c r="BD15" s="468">
        <v>64000000</v>
      </c>
      <c r="BE15" s="468">
        <f>59689225+4310775</f>
        <v>64000000</v>
      </c>
      <c r="BF15" s="468">
        <f t="shared" si="23"/>
        <v>0</v>
      </c>
      <c r="BG15" s="468"/>
      <c r="BH15" s="468">
        <v>9500000</v>
      </c>
      <c r="BI15" s="468">
        <f>9500000</f>
        <v>9500000</v>
      </c>
      <c r="BJ15" s="468">
        <f t="shared" si="24"/>
        <v>0</v>
      </c>
      <c r="BK15" s="468"/>
      <c r="BL15" s="468">
        <v>5000000</v>
      </c>
      <c r="BM15" s="468">
        <v>0</v>
      </c>
      <c r="BN15" s="468">
        <f t="shared" si="25"/>
        <v>5000000</v>
      </c>
      <c r="BO15" s="468"/>
      <c r="BP15" s="468">
        <v>20000000</v>
      </c>
      <c r="BQ15" s="468">
        <f>12405017.3+7594982.7</f>
        <v>20000000</v>
      </c>
      <c r="BR15" s="468">
        <f t="shared" si="2"/>
        <v>0</v>
      </c>
      <c r="BS15" s="468"/>
      <c r="BT15" s="468">
        <v>1000000</v>
      </c>
      <c r="BU15" s="468">
        <v>1000000</v>
      </c>
      <c r="BV15" s="468">
        <f t="shared" si="3"/>
        <v>0</v>
      </c>
      <c r="BW15" s="468"/>
      <c r="BX15" s="468">
        <v>80000000</v>
      </c>
      <c r="BY15" s="468">
        <f>48089850+2428050+72275920-42793820</f>
        <v>80000000</v>
      </c>
      <c r="BZ15" s="468">
        <f t="shared" si="26"/>
        <v>0</v>
      </c>
      <c r="CA15" s="468"/>
      <c r="CB15" s="468">
        <v>10000000</v>
      </c>
      <c r="CC15" s="468">
        <f>10000000</f>
        <v>10000000</v>
      </c>
      <c r="CD15" s="468">
        <f t="shared" si="4"/>
        <v>0</v>
      </c>
      <c r="CE15" s="468"/>
      <c r="CF15" s="468">
        <v>10000000</v>
      </c>
      <c r="CG15" s="468">
        <v>0</v>
      </c>
      <c r="CH15" s="468">
        <f t="shared" si="27"/>
        <v>10000000</v>
      </c>
      <c r="CI15" s="468"/>
      <c r="CJ15" s="468">
        <v>30000000</v>
      </c>
      <c r="CK15" s="468">
        <f>18253642.3+11746357.7</f>
        <v>30000000</v>
      </c>
      <c r="CL15" s="468">
        <f t="shared" si="5"/>
        <v>0</v>
      </c>
      <c r="CM15" s="468"/>
      <c r="CN15" s="468">
        <v>10000000</v>
      </c>
      <c r="CO15" s="468">
        <v>10000000</v>
      </c>
      <c r="CP15" s="468">
        <f t="shared" si="6"/>
        <v>0</v>
      </c>
      <c r="CQ15" s="468"/>
      <c r="CR15" s="468">
        <v>100000000</v>
      </c>
      <c r="CS15" s="468">
        <f>42793820+7826185+17900000+15653040+489600+15337355</f>
        <v>100000000</v>
      </c>
      <c r="CT15" s="468">
        <f t="shared" si="7"/>
        <v>0</v>
      </c>
      <c r="CU15" s="468"/>
      <c r="CV15" s="468">
        <v>20000000</v>
      </c>
      <c r="CW15" s="468">
        <f>161629+17764000+2074371</f>
        <v>20000000</v>
      </c>
      <c r="CX15" s="468">
        <f t="shared" si="8"/>
        <v>0</v>
      </c>
      <c r="CY15" s="468"/>
      <c r="CZ15" s="468">
        <v>20000000</v>
      </c>
      <c r="DA15" s="468">
        <v>0</v>
      </c>
      <c r="DB15" s="468">
        <f t="shared" si="9"/>
        <v>20000000</v>
      </c>
      <c r="DC15" s="468"/>
      <c r="DD15" s="468">
        <v>50000000</v>
      </c>
      <c r="DE15" s="468">
        <f>48359442.3+1640557.7</f>
        <v>50000000</v>
      </c>
      <c r="DF15" s="468">
        <f t="shared" si="10"/>
        <v>0</v>
      </c>
      <c r="DG15" s="463"/>
      <c r="DH15" s="468">
        <v>10000000</v>
      </c>
      <c r="DI15" s="468">
        <f>7037031.45+2962968.55</f>
        <v>10000000</v>
      </c>
      <c r="DJ15" s="468">
        <f t="shared" si="11"/>
        <v>0</v>
      </c>
      <c r="DK15" s="468"/>
      <c r="DL15" s="471">
        <v>0</v>
      </c>
      <c r="DM15" s="471">
        <v>0</v>
      </c>
      <c r="DN15" s="471">
        <f t="shared" si="28"/>
        <v>0</v>
      </c>
      <c r="DO15" s="524"/>
      <c r="DP15" s="471"/>
      <c r="DQ15" s="471"/>
      <c r="DR15" s="471"/>
      <c r="DS15" s="473"/>
      <c r="DT15" s="471">
        <v>70000000</v>
      </c>
      <c r="DU15" s="471">
        <f>35612645+500000+33887355</f>
        <v>70000000</v>
      </c>
      <c r="DV15" s="471">
        <f t="shared" si="29"/>
        <v>0</v>
      </c>
      <c r="DW15" s="473"/>
      <c r="DX15" s="471">
        <v>10000000</v>
      </c>
      <c r="DY15" s="471">
        <f>8025629+1974371</f>
        <v>10000000</v>
      </c>
      <c r="DZ15" s="471">
        <f t="shared" si="30"/>
        <v>0</v>
      </c>
      <c r="EA15" s="473"/>
      <c r="EB15" s="471">
        <v>5000000</v>
      </c>
      <c r="EC15" s="471">
        <v>0</v>
      </c>
      <c r="ED15" s="471">
        <f t="shared" si="31"/>
        <v>5000000</v>
      </c>
      <c r="EE15" s="473"/>
      <c r="EF15" s="471">
        <v>20000000</v>
      </c>
      <c r="EG15" s="471">
        <f>2810650+5165850+5912200+1096742.3-5912200+10074495.55</f>
        <v>19147737.850000001</v>
      </c>
      <c r="EH15" s="471">
        <f t="shared" si="32"/>
        <v>852262.14999999851</v>
      </c>
      <c r="EI15" s="473"/>
      <c r="EJ15" s="471">
        <v>5000000</v>
      </c>
      <c r="EK15" s="471">
        <f>222037</f>
        <v>222037</v>
      </c>
      <c r="EL15" s="471">
        <f t="shared" si="33"/>
        <v>4777963</v>
      </c>
      <c r="EM15" s="631" t="s">
        <v>61</v>
      </c>
      <c r="EN15" s="475">
        <v>200000000</v>
      </c>
      <c r="EO15" s="475">
        <f>50412645+12000000+69633913.2+3000000+23400000+41517692.3+35749.5</f>
        <v>200000000</v>
      </c>
      <c r="EP15" s="475">
        <f t="shared" si="34"/>
        <v>0</v>
      </c>
      <c r="EQ15" s="475"/>
      <c r="ER15" s="475">
        <v>18000000</v>
      </c>
      <c r="ES15" s="475">
        <f>4204069</f>
        <v>4204069</v>
      </c>
      <c r="ET15" s="475">
        <f t="shared" si="35"/>
        <v>13795931</v>
      </c>
      <c r="EU15" s="475"/>
      <c r="EV15" s="475">
        <v>5000000</v>
      </c>
      <c r="EW15" s="475">
        <v>0</v>
      </c>
      <c r="EX15" s="475">
        <f t="shared" si="36"/>
        <v>5000000</v>
      </c>
      <c r="EY15" s="475"/>
      <c r="EZ15" s="475">
        <v>25000000</v>
      </c>
      <c r="FA15" s="475">
        <f>13700995+2003000</f>
        <v>15703995</v>
      </c>
      <c r="FB15" s="475">
        <f t="shared" si="37"/>
        <v>9296005</v>
      </c>
      <c r="FC15" s="475"/>
      <c r="FD15" s="475">
        <v>5000000</v>
      </c>
      <c r="FE15" s="475">
        <v>0</v>
      </c>
      <c r="FF15" s="475">
        <f t="shared" si="38"/>
        <v>5000000</v>
      </c>
      <c r="FG15" s="107"/>
      <c r="FH15" s="475">
        <v>75000000</v>
      </c>
      <c r="FI15" s="626">
        <f>30584144.05+6000000</f>
        <v>36584144.049999997</v>
      </c>
      <c r="FJ15" s="475">
        <f t="shared" si="39"/>
        <v>38415855.950000003</v>
      </c>
      <c r="FK15" s="475"/>
      <c r="FL15" s="475">
        <v>20000000</v>
      </c>
      <c r="FM15" s="475">
        <v>0</v>
      </c>
      <c r="FN15" s="475">
        <f t="shared" si="40"/>
        <v>20000000</v>
      </c>
      <c r="FO15" s="475"/>
      <c r="FP15" s="475">
        <v>5000000</v>
      </c>
      <c r="FQ15" s="475">
        <v>0</v>
      </c>
      <c r="FR15" s="475">
        <f t="shared" si="41"/>
        <v>5000000</v>
      </c>
      <c r="FS15" s="475"/>
      <c r="FT15" s="475">
        <v>20000000</v>
      </c>
      <c r="FU15" s="475">
        <v>0</v>
      </c>
      <c r="FV15" s="475">
        <f t="shared" si="42"/>
        <v>20000000</v>
      </c>
      <c r="FW15" s="475"/>
      <c r="FX15" s="475">
        <v>5000000</v>
      </c>
      <c r="FY15" s="475">
        <v>0</v>
      </c>
      <c r="FZ15" s="475">
        <f t="shared" si="43"/>
        <v>5000000</v>
      </c>
      <c r="GA15" s="475"/>
      <c r="GB15" s="475">
        <v>100000000</v>
      </c>
      <c r="GC15" s="475">
        <v>0</v>
      </c>
      <c r="GD15" s="475">
        <f t="shared" si="44"/>
        <v>100000000</v>
      </c>
      <c r="GE15" s="475"/>
      <c r="GF15" s="475">
        <v>20000000</v>
      </c>
      <c r="GG15" s="475">
        <v>0</v>
      </c>
      <c r="GH15" s="475">
        <f t="shared" si="45"/>
        <v>20000000</v>
      </c>
      <c r="GI15" s="475"/>
      <c r="GJ15" s="475">
        <v>3000000</v>
      </c>
      <c r="GK15" s="475">
        <v>0</v>
      </c>
      <c r="GL15" s="475">
        <f t="shared" si="46"/>
        <v>3000000</v>
      </c>
      <c r="GM15" s="475"/>
      <c r="GN15" s="475">
        <v>15000000</v>
      </c>
      <c r="GO15" s="475">
        <v>0</v>
      </c>
      <c r="GP15" s="475">
        <f t="shared" si="47"/>
        <v>15000000</v>
      </c>
      <c r="GQ15" s="475"/>
      <c r="GR15" s="475">
        <v>3000000</v>
      </c>
      <c r="GS15" s="475">
        <v>0</v>
      </c>
      <c r="GT15" s="475">
        <f t="shared" si="48"/>
        <v>3000000</v>
      </c>
      <c r="GU15" s="475"/>
      <c r="GV15" s="468">
        <f t="shared" si="49"/>
        <v>1219963800</v>
      </c>
      <c r="GW15" s="468">
        <f t="shared" si="49"/>
        <v>909825782.89999998</v>
      </c>
      <c r="GX15" s="468">
        <f t="shared" si="50"/>
        <v>310138017.10000002</v>
      </c>
      <c r="GY15" s="472"/>
      <c r="GZ15" s="474"/>
      <c r="HA15" s="468">
        <f>D15+H15+L15+X15+AN15+BD15+BX15+CR15+DT15+DL15+EN15+FH15+GB15</f>
        <v>809240000</v>
      </c>
      <c r="HB15" s="468">
        <f>E15+I15+M15+Y15+AO15+BE15+BY15+CS15+DU15+DM15+EO15+FI15+GC15</f>
        <v>670824144.04999995</v>
      </c>
      <c r="HC15" s="471">
        <f t="shared" si="51"/>
        <v>138415855.95000005</v>
      </c>
      <c r="HE15" s="471">
        <f>P15+AB15+AR15+BH15+CB15+CV15+DX15+ER15+FL15+GF15</f>
        <v>117515300</v>
      </c>
      <c r="HF15" s="471">
        <f>Q15+AC15+AS15+BI15+CC15+CW15+DY15+ES15+FM15+GG15</f>
        <v>63719369</v>
      </c>
      <c r="HG15" s="471">
        <f t="shared" si="52"/>
        <v>53795931</v>
      </c>
      <c r="HI15" s="471">
        <f>T15+AF15+AV15+BL15+CF15+CZ15+EB15+EV15+FP15+GJ15</f>
        <v>56708500</v>
      </c>
      <c r="HJ15" s="471">
        <f>U15+AG15+AW15+BM15+CG15+DA15+EC15+EW15+FQ15+GK15</f>
        <v>1708500</v>
      </c>
      <c r="HK15" s="471">
        <f t="shared" si="53"/>
        <v>55000000</v>
      </c>
      <c r="HM15" s="471">
        <f>AJ15+AZ15+BP15+CJ15+DD15+EF15+EZ15+FT15+GN15</f>
        <v>197500000</v>
      </c>
      <c r="HN15" s="471">
        <f>AK15+BA15+BQ15+CK15+DE15+EG15+FA15+FU15+GO15</f>
        <v>152351732.84999999</v>
      </c>
      <c r="HO15" s="471">
        <f t="shared" si="54"/>
        <v>45148267.150000006</v>
      </c>
      <c r="HP15" s="531"/>
      <c r="HQ15" s="471">
        <f>BT15+CN15+DH15+EJ15+FD15+FX15+GR15</f>
        <v>39000000</v>
      </c>
      <c r="HR15" s="471">
        <f>BU15+CO15+DI15+EK15+FE15+FY15+GS15</f>
        <v>21222037</v>
      </c>
      <c r="HS15" s="471">
        <f t="shared" si="55"/>
        <v>17777963</v>
      </c>
    </row>
    <row r="16" spans="1:227" x14ac:dyDescent="0.25">
      <c r="A16" s="107">
        <v>13</v>
      </c>
      <c r="B16" s="107" t="s">
        <v>212</v>
      </c>
      <c r="C16" s="631" t="s">
        <v>69</v>
      </c>
      <c r="D16" s="488">
        <v>1250000</v>
      </c>
      <c r="E16" s="488">
        <v>1250000</v>
      </c>
      <c r="F16" s="468">
        <f t="shared" si="12"/>
        <v>0</v>
      </c>
      <c r="G16" s="488"/>
      <c r="H16" s="468">
        <v>25240000</v>
      </c>
      <c r="I16" s="468">
        <v>25240000</v>
      </c>
      <c r="J16" s="468">
        <f t="shared" si="13"/>
        <v>0</v>
      </c>
      <c r="K16" s="488"/>
      <c r="L16" s="468">
        <v>25000000</v>
      </c>
      <c r="M16" s="468">
        <v>25000000</v>
      </c>
      <c r="N16" s="468">
        <f t="shared" si="14"/>
        <v>0</v>
      </c>
      <c r="O16" s="488"/>
      <c r="P16" s="468">
        <v>3000000</v>
      </c>
      <c r="Q16" s="468">
        <v>3000000</v>
      </c>
      <c r="R16" s="468">
        <f t="shared" si="15"/>
        <v>0</v>
      </c>
      <c r="S16" s="488"/>
      <c r="T16" s="468">
        <v>2100000</v>
      </c>
      <c r="U16" s="468">
        <f>1000000+1100000</f>
        <v>2100000</v>
      </c>
      <c r="V16" s="468">
        <f t="shared" si="16"/>
        <v>0</v>
      </c>
      <c r="W16" s="488"/>
      <c r="X16" s="468">
        <v>30000000</v>
      </c>
      <c r="Y16" s="468">
        <v>30000000</v>
      </c>
      <c r="Z16" s="468">
        <f t="shared" si="17"/>
        <v>0</v>
      </c>
      <c r="AA16" s="488"/>
      <c r="AB16" s="468">
        <v>5000000</v>
      </c>
      <c r="AC16" s="468">
        <v>5000000</v>
      </c>
      <c r="AD16" s="468">
        <f t="shared" si="18"/>
        <v>0</v>
      </c>
      <c r="AE16" s="488"/>
      <c r="AF16" s="468">
        <v>3000000</v>
      </c>
      <c r="AG16" s="468">
        <v>3000000</v>
      </c>
      <c r="AH16" s="468">
        <f t="shared" si="19"/>
        <v>0</v>
      </c>
      <c r="AI16" s="488"/>
      <c r="AJ16" s="468">
        <v>7500000</v>
      </c>
      <c r="AK16" s="468">
        <v>7500000</v>
      </c>
      <c r="AL16" s="468">
        <f t="shared" si="20"/>
        <v>0</v>
      </c>
      <c r="AM16" s="468"/>
      <c r="AN16" s="468">
        <v>40000000</v>
      </c>
      <c r="AO16" s="468">
        <v>40000000</v>
      </c>
      <c r="AP16" s="468">
        <f t="shared" si="0"/>
        <v>0</v>
      </c>
      <c r="AQ16" s="488"/>
      <c r="AR16" s="468">
        <v>3000000</v>
      </c>
      <c r="AS16" s="468">
        <v>3000000</v>
      </c>
      <c r="AT16" s="468">
        <f t="shared" si="21"/>
        <v>0</v>
      </c>
      <c r="AU16" s="488"/>
      <c r="AV16" s="468">
        <v>2000000</v>
      </c>
      <c r="AW16" s="468">
        <v>2000000</v>
      </c>
      <c r="AX16" s="468">
        <f t="shared" si="22"/>
        <v>0</v>
      </c>
      <c r="AY16" s="488"/>
      <c r="AZ16" s="468">
        <v>10000000</v>
      </c>
      <c r="BA16" s="468">
        <v>10000000</v>
      </c>
      <c r="BB16" s="468">
        <f t="shared" si="1"/>
        <v>0</v>
      </c>
      <c r="BC16" s="488"/>
      <c r="BD16" s="468">
        <v>64000000</v>
      </c>
      <c r="BE16" s="468">
        <f>6009110+52162020+5828870</f>
        <v>64000000</v>
      </c>
      <c r="BF16" s="468">
        <f t="shared" si="23"/>
        <v>0</v>
      </c>
      <c r="BG16" s="488"/>
      <c r="BH16" s="468">
        <v>9500000</v>
      </c>
      <c r="BI16" s="469">
        <f>6500000+3000000</f>
        <v>9500000</v>
      </c>
      <c r="BJ16" s="468">
        <f t="shared" si="24"/>
        <v>0</v>
      </c>
      <c r="BK16" s="488"/>
      <c r="BL16" s="468">
        <v>5000000</v>
      </c>
      <c r="BM16" s="468">
        <v>2250000</v>
      </c>
      <c r="BN16" s="468">
        <f t="shared" si="25"/>
        <v>2750000</v>
      </c>
      <c r="BO16" s="488"/>
      <c r="BP16" s="468">
        <v>20000000</v>
      </c>
      <c r="BQ16" s="468">
        <f>10479193+8359290+835605+325912</f>
        <v>20000000</v>
      </c>
      <c r="BR16" s="468">
        <f t="shared" si="2"/>
        <v>0</v>
      </c>
      <c r="BS16" s="488"/>
      <c r="BT16" s="468">
        <v>1000000</v>
      </c>
      <c r="BU16" s="468">
        <v>0</v>
      </c>
      <c r="BV16" s="468">
        <f t="shared" si="3"/>
        <v>1000000</v>
      </c>
      <c r="BW16" s="488"/>
      <c r="BX16" s="468">
        <v>80000000</v>
      </c>
      <c r="BY16" s="468">
        <f>771130+79043074.39+185795.61</f>
        <v>80000000</v>
      </c>
      <c r="BZ16" s="468">
        <f t="shared" si="26"/>
        <v>0</v>
      </c>
      <c r="CA16" s="488"/>
      <c r="CB16" s="468">
        <v>10000000</v>
      </c>
      <c r="CC16" s="468">
        <f>10000000</f>
        <v>10000000</v>
      </c>
      <c r="CD16" s="468">
        <f t="shared" si="4"/>
        <v>0</v>
      </c>
      <c r="CE16" s="488"/>
      <c r="CF16" s="468">
        <v>10000000</v>
      </c>
      <c r="CG16" s="468">
        <v>0</v>
      </c>
      <c r="CH16" s="468">
        <f t="shared" si="27"/>
        <v>10000000</v>
      </c>
      <c r="CI16" s="488"/>
      <c r="CJ16" s="468">
        <v>30000000</v>
      </c>
      <c r="CK16" s="468">
        <f>30000002</f>
        <v>30000002</v>
      </c>
      <c r="CL16" s="468">
        <f t="shared" si="5"/>
        <v>-2</v>
      </c>
      <c r="CM16" s="488"/>
      <c r="CN16" s="468">
        <v>10000000</v>
      </c>
      <c r="CO16" s="468">
        <v>0</v>
      </c>
      <c r="CP16" s="468">
        <f t="shared" si="6"/>
        <v>10000000</v>
      </c>
      <c r="CQ16" s="488"/>
      <c r="CR16" s="468">
        <v>100000000</v>
      </c>
      <c r="CS16" s="468">
        <f>44201464.39+33052320+17629200+1911450+3205565.61</f>
        <v>100000000</v>
      </c>
      <c r="CT16" s="468">
        <f t="shared" si="7"/>
        <v>0</v>
      </c>
      <c r="CU16" s="471"/>
      <c r="CV16" s="468">
        <v>20000000</v>
      </c>
      <c r="CW16" s="468">
        <v>20000000</v>
      </c>
      <c r="CX16" s="468">
        <f t="shared" si="8"/>
        <v>0</v>
      </c>
      <c r="CY16" s="488"/>
      <c r="CZ16" s="468">
        <v>20000000</v>
      </c>
      <c r="DA16" s="468">
        <v>0</v>
      </c>
      <c r="DB16" s="468">
        <f t="shared" si="9"/>
        <v>20000000</v>
      </c>
      <c r="DC16" s="488"/>
      <c r="DD16" s="468">
        <v>50000000</v>
      </c>
      <c r="DE16" s="468">
        <f>50000000</f>
        <v>50000000</v>
      </c>
      <c r="DF16" s="468">
        <f t="shared" si="10"/>
        <v>0</v>
      </c>
      <c r="DG16" s="488"/>
      <c r="DH16" s="468">
        <v>10000000</v>
      </c>
      <c r="DI16" s="468">
        <v>0</v>
      </c>
      <c r="DJ16" s="468">
        <f t="shared" si="11"/>
        <v>10000000</v>
      </c>
      <c r="DK16" s="488"/>
      <c r="DL16" s="471">
        <v>0</v>
      </c>
      <c r="DM16" s="471">
        <v>0</v>
      </c>
      <c r="DN16" s="471">
        <f t="shared" si="28"/>
        <v>0</v>
      </c>
      <c r="DO16" s="539"/>
      <c r="DP16" s="471"/>
      <c r="DQ16" s="471"/>
      <c r="DR16" s="471"/>
      <c r="DS16" s="473"/>
      <c r="DT16" s="471">
        <v>70000000</v>
      </c>
      <c r="DU16" s="471">
        <f>44459234.39+16763700+500000+8277065.61</f>
        <v>70000000</v>
      </c>
      <c r="DV16" s="471">
        <f t="shared" si="29"/>
        <v>0</v>
      </c>
      <c r="DW16" s="473"/>
      <c r="DX16" s="471">
        <v>10000000</v>
      </c>
      <c r="DY16" s="471">
        <f>6000000+4000000</f>
        <v>10000000</v>
      </c>
      <c r="DZ16" s="471">
        <f t="shared" si="30"/>
        <v>0</v>
      </c>
      <c r="EA16" s="473"/>
      <c r="EB16" s="471">
        <v>5000000</v>
      </c>
      <c r="EC16" s="471">
        <v>0</v>
      </c>
      <c r="ED16" s="471">
        <f t="shared" si="31"/>
        <v>5000000</v>
      </c>
      <c r="EE16" s="473"/>
      <c r="EF16" s="471">
        <v>20000000</v>
      </c>
      <c r="EG16" s="552">
        <f>5079808+13393048-13393048+4505120+1637825+3078800+5698447</f>
        <v>20000000</v>
      </c>
      <c r="EH16" s="471">
        <f t="shared" si="32"/>
        <v>0</v>
      </c>
      <c r="EI16" s="473"/>
      <c r="EJ16" s="471">
        <v>5000000</v>
      </c>
      <c r="EK16" s="471">
        <v>0</v>
      </c>
      <c r="EL16" s="471">
        <f t="shared" si="33"/>
        <v>5000000</v>
      </c>
      <c r="EM16" s="631" t="s">
        <v>69</v>
      </c>
      <c r="EN16" s="475">
        <v>200000000</v>
      </c>
      <c r="EO16" s="475">
        <f>29722934.39+95819720+60979997.35+3000000+10477348.26</f>
        <v>200000000</v>
      </c>
      <c r="EP16" s="475">
        <f t="shared" si="34"/>
        <v>0</v>
      </c>
      <c r="EQ16" s="475"/>
      <c r="ER16" s="475">
        <v>18000000</v>
      </c>
      <c r="ES16" s="623">
        <f>1708700+6110400+8022540</f>
        <v>15841640</v>
      </c>
      <c r="ET16" s="475">
        <f t="shared" si="35"/>
        <v>2158360</v>
      </c>
      <c r="EU16" s="475"/>
      <c r="EV16" s="475">
        <v>5000000</v>
      </c>
      <c r="EW16" s="475">
        <v>0</v>
      </c>
      <c r="EX16" s="475">
        <f t="shared" si="36"/>
        <v>5000000</v>
      </c>
      <c r="EY16" s="475"/>
      <c r="EZ16" s="475">
        <v>25000000</v>
      </c>
      <c r="FA16" s="623">
        <f>11473228+3950750</f>
        <v>15423978</v>
      </c>
      <c r="FB16" s="475">
        <f t="shared" si="37"/>
        <v>9576022</v>
      </c>
      <c r="FC16" s="475"/>
      <c r="FD16" s="475">
        <v>5000000</v>
      </c>
      <c r="FE16" s="475">
        <v>0</v>
      </c>
      <c r="FF16" s="475">
        <f t="shared" si="38"/>
        <v>5000000</v>
      </c>
      <c r="FG16" s="107"/>
      <c r="FH16" s="475">
        <v>75000000</v>
      </c>
      <c r="FI16" s="475">
        <f>13822651.74</f>
        <v>13822651.74</v>
      </c>
      <c r="FJ16" s="475">
        <f t="shared" si="39"/>
        <v>61177348.259999998</v>
      </c>
      <c r="FK16" s="475"/>
      <c r="FL16" s="475">
        <v>20000000</v>
      </c>
      <c r="FM16" s="475">
        <v>0</v>
      </c>
      <c r="FN16" s="475">
        <f t="shared" si="40"/>
        <v>20000000</v>
      </c>
      <c r="FO16" s="475"/>
      <c r="FP16" s="475">
        <v>5000000</v>
      </c>
      <c r="FQ16" s="475">
        <v>0</v>
      </c>
      <c r="FR16" s="475">
        <f t="shared" si="41"/>
        <v>5000000</v>
      </c>
      <c r="FS16" s="475"/>
      <c r="FT16" s="475">
        <v>20000000</v>
      </c>
      <c r="FU16" s="475">
        <v>0</v>
      </c>
      <c r="FV16" s="475">
        <f t="shared" si="42"/>
        <v>20000000</v>
      </c>
      <c r="FW16" s="475"/>
      <c r="FX16" s="475">
        <v>5000000</v>
      </c>
      <c r="FY16" s="475">
        <v>0</v>
      </c>
      <c r="FZ16" s="475">
        <f t="shared" si="43"/>
        <v>5000000</v>
      </c>
      <c r="GA16" s="475"/>
      <c r="GB16" s="475">
        <v>100000000</v>
      </c>
      <c r="GC16" s="475">
        <v>0</v>
      </c>
      <c r="GD16" s="475">
        <f t="shared" si="44"/>
        <v>100000000</v>
      </c>
      <c r="GE16" s="475"/>
      <c r="GF16" s="475">
        <v>20000000</v>
      </c>
      <c r="GG16" s="475">
        <v>0</v>
      </c>
      <c r="GH16" s="475">
        <f t="shared" si="45"/>
        <v>20000000</v>
      </c>
      <c r="GI16" s="475"/>
      <c r="GJ16" s="475">
        <v>3000000</v>
      </c>
      <c r="GK16" s="475">
        <v>0</v>
      </c>
      <c r="GL16" s="475">
        <f t="shared" si="46"/>
        <v>3000000</v>
      </c>
      <c r="GM16" s="475"/>
      <c r="GN16" s="475">
        <v>15000000</v>
      </c>
      <c r="GO16" s="475">
        <v>0</v>
      </c>
      <c r="GP16" s="475">
        <f t="shared" si="47"/>
        <v>15000000</v>
      </c>
      <c r="GQ16" s="475"/>
      <c r="GR16" s="475">
        <v>3000000</v>
      </c>
      <c r="GS16" s="475">
        <v>0</v>
      </c>
      <c r="GT16" s="475">
        <f t="shared" si="48"/>
        <v>3000000</v>
      </c>
      <c r="GU16" s="475"/>
      <c r="GV16" s="468">
        <f t="shared" si="49"/>
        <v>1225590000</v>
      </c>
      <c r="GW16" s="468">
        <f t="shared" si="49"/>
        <v>887928271.74000001</v>
      </c>
      <c r="GX16" s="468">
        <f t="shared" si="50"/>
        <v>337661728.25999999</v>
      </c>
      <c r="GY16" s="472"/>
      <c r="HA16" s="468">
        <f>D16+H16+L16+X16+AN16+BD16+BX16+CR16+DT16+DL16+EN16+FH16+GB16</f>
        <v>810490000</v>
      </c>
      <c r="HB16" s="468">
        <f>E16+I16+M16+Y16+AO16+BE16+BY16+CS16+DU16+DM16+EO16+FI16+GC16</f>
        <v>649312651.74000001</v>
      </c>
      <c r="HC16" s="471">
        <f t="shared" si="51"/>
        <v>161177348.25999999</v>
      </c>
      <c r="HE16" s="471">
        <f>P16+AB16+AR16+BH16+CB16+CV16+DX16+ER16+FL16+GF16</f>
        <v>118500000</v>
      </c>
      <c r="HF16" s="471">
        <f>Q16+AC16+AS16+BI16+CC16+CW16+DY16+ES16+FM16+GG16</f>
        <v>76341640</v>
      </c>
      <c r="HG16" s="471">
        <f t="shared" si="52"/>
        <v>42158360</v>
      </c>
      <c r="HI16" s="471">
        <f>T16+AF16+AV16+BL16+CF16+CZ16+EB16+EV16+FP16+GJ16</f>
        <v>60100000</v>
      </c>
      <c r="HJ16" s="471">
        <f>U16+AG16+AW16+BM16+CG16+DA16+EC16+EW16+FQ16+GK16</f>
        <v>9350000</v>
      </c>
      <c r="HK16" s="471">
        <f t="shared" si="53"/>
        <v>50750000</v>
      </c>
      <c r="HM16" s="471">
        <f>AJ16+AZ16+BP16+CJ16+DD16+EF16+EZ16+FT16+GN16</f>
        <v>197500000</v>
      </c>
      <c r="HN16" s="471">
        <f>AK16+BA16+BQ16+CK16+DE16+EG16+FA16+FU16+GO16</f>
        <v>152923980</v>
      </c>
      <c r="HO16" s="471">
        <f t="shared" si="54"/>
        <v>44576020</v>
      </c>
      <c r="HP16" s="531"/>
      <c r="HQ16" s="471">
        <f>BT16+CN16+DH16+EJ16+FD16+FX16+GR16</f>
        <v>39000000</v>
      </c>
      <c r="HR16" s="471">
        <f>BU16+CO16+DI16+EK16+FE16+FY16+GS16</f>
        <v>0</v>
      </c>
      <c r="HS16" s="471">
        <f t="shared" si="55"/>
        <v>39000000</v>
      </c>
    </row>
    <row r="17" spans="1:227" x14ac:dyDescent="0.25">
      <c r="A17" s="107">
        <v>14</v>
      </c>
      <c r="B17" s="107" t="s">
        <v>213</v>
      </c>
      <c r="C17" s="631" t="s">
        <v>69</v>
      </c>
      <c r="D17" s="468">
        <v>0</v>
      </c>
      <c r="E17" s="468">
        <v>0</v>
      </c>
      <c r="F17" s="468">
        <f t="shared" si="12"/>
        <v>0</v>
      </c>
      <c r="G17" s="468"/>
      <c r="H17" s="468">
        <v>25240000</v>
      </c>
      <c r="I17" s="468">
        <v>25240000</v>
      </c>
      <c r="J17" s="468">
        <f t="shared" si="13"/>
        <v>0</v>
      </c>
      <c r="K17" s="468"/>
      <c r="L17" s="468">
        <v>25000000</v>
      </c>
      <c r="M17" s="468">
        <v>25000000</v>
      </c>
      <c r="N17" s="468">
        <f t="shared" si="14"/>
        <v>0</v>
      </c>
      <c r="O17" s="468"/>
      <c r="P17" s="468">
        <v>3000000</v>
      </c>
      <c r="Q17" s="468">
        <v>3000000</v>
      </c>
      <c r="R17" s="468">
        <f t="shared" si="15"/>
        <v>0</v>
      </c>
      <c r="S17" s="468"/>
      <c r="T17" s="468">
        <f>1000000-1000000</f>
        <v>0</v>
      </c>
      <c r="U17" s="468">
        <v>0</v>
      </c>
      <c r="V17" s="468">
        <f t="shared" si="16"/>
        <v>0</v>
      </c>
      <c r="W17" s="468"/>
      <c r="X17" s="468">
        <v>30000000</v>
      </c>
      <c r="Y17" s="468">
        <v>30000000</v>
      </c>
      <c r="Z17" s="468">
        <f t="shared" si="17"/>
        <v>0</v>
      </c>
      <c r="AA17" s="468"/>
      <c r="AB17" s="468">
        <v>5000000</v>
      </c>
      <c r="AC17" s="468">
        <v>5000000</v>
      </c>
      <c r="AD17" s="468">
        <f t="shared" si="18"/>
        <v>0</v>
      </c>
      <c r="AE17" s="468"/>
      <c r="AF17" s="468">
        <f>2000000-2000000</f>
        <v>0</v>
      </c>
      <c r="AG17" s="468">
        <v>0</v>
      </c>
      <c r="AH17" s="468">
        <f t="shared" si="19"/>
        <v>0</v>
      </c>
      <c r="AI17" s="468"/>
      <c r="AJ17" s="468">
        <v>7500000</v>
      </c>
      <c r="AK17" s="468">
        <v>7500000</v>
      </c>
      <c r="AL17" s="468">
        <f t="shared" si="20"/>
        <v>0</v>
      </c>
      <c r="AN17" s="468">
        <v>40000000</v>
      </c>
      <c r="AO17" s="468">
        <v>40000000</v>
      </c>
      <c r="AP17" s="468">
        <f t="shared" si="0"/>
        <v>0</v>
      </c>
      <c r="AQ17" s="468"/>
      <c r="AR17" s="468">
        <v>3000000</v>
      </c>
      <c r="AS17" s="468">
        <v>2986500</v>
      </c>
      <c r="AT17" s="468">
        <f t="shared" si="21"/>
        <v>13500</v>
      </c>
      <c r="AU17" s="468"/>
      <c r="AV17" s="468">
        <v>2000000</v>
      </c>
      <c r="AW17" s="468">
        <v>0</v>
      </c>
      <c r="AX17" s="468">
        <f t="shared" si="22"/>
        <v>2000000</v>
      </c>
      <c r="AY17" s="468"/>
      <c r="AZ17" s="468">
        <v>10000000</v>
      </c>
      <c r="BA17" s="468">
        <v>10000000</v>
      </c>
      <c r="BB17" s="468">
        <f t="shared" si="1"/>
        <v>0</v>
      </c>
      <c r="BC17" s="468"/>
      <c r="BD17" s="468">
        <v>64000000</v>
      </c>
      <c r="BE17" s="468">
        <f>47918240+21206760-5125000</f>
        <v>64000000</v>
      </c>
      <c r="BF17" s="468">
        <f t="shared" si="23"/>
        <v>0</v>
      </c>
      <c r="BG17" s="468"/>
      <c r="BH17" s="468">
        <v>9500000</v>
      </c>
      <c r="BI17" s="468">
        <v>9500000</v>
      </c>
      <c r="BJ17" s="468">
        <f t="shared" si="24"/>
        <v>0</v>
      </c>
      <c r="BK17" s="468"/>
      <c r="BL17" s="468">
        <v>5000000</v>
      </c>
      <c r="BM17" s="468">
        <v>0</v>
      </c>
      <c r="BN17" s="468">
        <f t="shared" si="25"/>
        <v>5000000</v>
      </c>
      <c r="BO17" s="468"/>
      <c r="BP17" s="468">
        <v>20000000</v>
      </c>
      <c r="BQ17" s="468">
        <f>10590288.8+7069270+2340441.2</f>
        <v>20000000</v>
      </c>
      <c r="BR17" s="468">
        <f t="shared" si="2"/>
        <v>0</v>
      </c>
      <c r="BS17" s="468"/>
      <c r="BT17" s="468">
        <v>1000000</v>
      </c>
      <c r="BU17" s="468">
        <v>0</v>
      </c>
      <c r="BV17" s="468">
        <f t="shared" si="3"/>
        <v>1000000</v>
      </c>
      <c r="BW17" s="468"/>
      <c r="BX17" s="468">
        <v>80000000</v>
      </c>
      <c r="BY17" s="468">
        <f>44569325+2000000+22705250+644500+5125000+4955925</f>
        <v>80000000</v>
      </c>
      <c r="BZ17" s="468">
        <f t="shared" si="26"/>
        <v>0</v>
      </c>
      <c r="CA17" s="488"/>
      <c r="CB17" s="468">
        <v>10000000</v>
      </c>
      <c r="CC17" s="468">
        <f>1602150+845490</f>
        <v>2447640</v>
      </c>
      <c r="CD17" s="468">
        <f t="shared" si="4"/>
        <v>7552360</v>
      </c>
      <c r="CE17" s="488"/>
      <c r="CF17" s="468">
        <v>10000000</v>
      </c>
      <c r="CG17" s="468">
        <v>0</v>
      </c>
      <c r="CH17" s="468">
        <f t="shared" si="27"/>
        <v>10000000</v>
      </c>
      <c r="CI17" s="468"/>
      <c r="CJ17" s="468">
        <v>30000000</v>
      </c>
      <c r="CK17" s="468">
        <f>16673598.8+10872230+1593000</f>
        <v>29138828.800000001</v>
      </c>
      <c r="CL17" s="468">
        <f t="shared" si="5"/>
        <v>861171.19999999925</v>
      </c>
      <c r="CM17" s="468"/>
      <c r="CN17" s="468">
        <v>10000000</v>
      </c>
      <c r="CO17" s="468">
        <v>0</v>
      </c>
      <c r="CP17" s="468">
        <f t="shared" si="6"/>
        <v>10000000</v>
      </c>
      <c r="CQ17" s="468"/>
      <c r="CR17" s="468">
        <v>100000000</v>
      </c>
      <c r="CS17" s="468">
        <f>41774155+58225845</f>
        <v>100000000</v>
      </c>
      <c r="CT17" s="468">
        <f t="shared" si="7"/>
        <v>0</v>
      </c>
      <c r="CU17" s="468"/>
      <c r="CV17" s="468">
        <v>20000000</v>
      </c>
      <c r="CW17" s="468">
        <v>0</v>
      </c>
      <c r="CX17" s="468">
        <f t="shared" si="8"/>
        <v>20000000</v>
      </c>
      <c r="CY17" s="468"/>
      <c r="CZ17" s="468">
        <v>20000000</v>
      </c>
      <c r="DA17" s="468">
        <v>0</v>
      </c>
      <c r="DB17" s="468">
        <f t="shared" si="9"/>
        <v>20000000</v>
      </c>
      <c r="DC17" s="468"/>
      <c r="DD17" s="468">
        <v>50000000</v>
      </c>
      <c r="DE17" s="490">
        <f>4556804+16028320+1472120+1637825</f>
        <v>23695069</v>
      </c>
      <c r="DF17" s="468">
        <f t="shared" si="10"/>
        <v>26304931</v>
      </c>
      <c r="DG17" s="468"/>
      <c r="DH17" s="468">
        <v>10000000</v>
      </c>
      <c r="DI17" s="468">
        <v>0</v>
      </c>
      <c r="DJ17" s="468">
        <f t="shared" si="11"/>
        <v>10000000</v>
      </c>
      <c r="DK17" s="468"/>
      <c r="DL17" s="471">
        <v>0</v>
      </c>
      <c r="DM17" s="471">
        <v>0</v>
      </c>
      <c r="DN17" s="471">
        <f t="shared" si="28"/>
        <v>0</v>
      </c>
      <c r="DO17" s="524"/>
      <c r="DP17" s="471"/>
      <c r="DQ17" s="471"/>
      <c r="DR17" s="471"/>
      <c r="DS17" s="473"/>
      <c r="DT17" s="471">
        <v>70000000</v>
      </c>
      <c r="DU17" s="471">
        <f>17937255+1000000+2000000+49062745</f>
        <v>70000000</v>
      </c>
      <c r="DV17" s="471">
        <f t="shared" si="29"/>
        <v>0</v>
      </c>
      <c r="DW17" s="473"/>
      <c r="DX17" s="471">
        <v>10000000</v>
      </c>
      <c r="DY17" s="471">
        <v>0</v>
      </c>
      <c r="DZ17" s="471">
        <f t="shared" si="30"/>
        <v>10000000</v>
      </c>
      <c r="EA17" s="473"/>
      <c r="EB17" s="471">
        <v>5000000</v>
      </c>
      <c r="EC17" s="471">
        <v>0</v>
      </c>
      <c r="ED17" s="471">
        <f t="shared" si="31"/>
        <v>5000000</v>
      </c>
      <c r="EE17" s="473"/>
      <c r="EF17" s="471">
        <v>20000000</v>
      </c>
      <c r="EG17" s="471">
        <v>0</v>
      </c>
      <c r="EH17" s="471">
        <f t="shared" si="32"/>
        <v>20000000</v>
      </c>
      <c r="EI17" s="473"/>
      <c r="EJ17" s="471">
        <v>5000000</v>
      </c>
      <c r="EK17" s="471">
        <v>0</v>
      </c>
      <c r="EL17" s="471">
        <f t="shared" si="33"/>
        <v>5000000</v>
      </c>
      <c r="EM17" s="631" t="s">
        <v>69</v>
      </c>
      <c r="EN17" s="475">
        <v>200000000</v>
      </c>
      <c r="EO17" s="626">
        <f>48580115+15968900.1+5700000+86659727.05+7274000</f>
        <v>164182742.14999998</v>
      </c>
      <c r="EP17" s="475">
        <f t="shared" si="34"/>
        <v>35817257.850000024</v>
      </c>
      <c r="EQ17" s="475"/>
      <c r="ER17" s="475">
        <v>18000000</v>
      </c>
      <c r="ES17" s="475">
        <v>0</v>
      </c>
      <c r="ET17" s="475">
        <f t="shared" si="35"/>
        <v>18000000</v>
      </c>
      <c r="EU17" s="475"/>
      <c r="EV17" s="475">
        <v>5000000</v>
      </c>
      <c r="EW17" s="475">
        <v>0</v>
      </c>
      <c r="EX17" s="475">
        <f t="shared" si="36"/>
        <v>5000000</v>
      </c>
      <c r="EY17" s="475"/>
      <c r="EZ17" s="475">
        <v>25000000</v>
      </c>
      <c r="FA17" s="475">
        <v>0</v>
      </c>
      <c r="FB17" s="475">
        <f t="shared" si="37"/>
        <v>25000000</v>
      </c>
      <c r="FC17" s="475"/>
      <c r="FD17" s="475">
        <v>5000000</v>
      </c>
      <c r="FE17" s="475">
        <v>0</v>
      </c>
      <c r="FF17" s="475">
        <f t="shared" si="38"/>
        <v>5000000</v>
      </c>
      <c r="FG17" s="107"/>
      <c r="FH17" s="475">
        <v>75000000</v>
      </c>
      <c r="FI17" s="475">
        <v>0</v>
      </c>
      <c r="FJ17" s="475">
        <f t="shared" si="39"/>
        <v>75000000</v>
      </c>
      <c r="FK17" s="475"/>
      <c r="FL17" s="475">
        <v>20000000</v>
      </c>
      <c r="FM17" s="475">
        <v>0</v>
      </c>
      <c r="FN17" s="475">
        <f t="shared" si="40"/>
        <v>20000000</v>
      </c>
      <c r="FO17" s="475"/>
      <c r="FP17" s="475">
        <v>5000000</v>
      </c>
      <c r="FQ17" s="475">
        <v>0</v>
      </c>
      <c r="FR17" s="475">
        <f t="shared" si="41"/>
        <v>5000000</v>
      </c>
      <c r="FS17" s="475"/>
      <c r="FT17" s="475">
        <v>20000000</v>
      </c>
      <c r="FU17" s="475">
        <v>0</v>
      </c>
      <c r="FV17" s="475">
        <f t="shared" si="42"/>
        <v>20000000</v>
      </c>
      <c r="FW17" s="475"/>
      <c r="FX17" s="475">
        <v>5000000</v>
      </c>
      <c r="FY17" s="475">
        <v>0</v>
      </c>
      <c r="FZ17" s="475">
        <f t="shared" si="43"/>
        <v>5000000</v>
      </c>
      <c r="GA17" s="475"/>
      <c r="GB17" s="475">
        <v>100000000</v>
      </c>
      <c r="GC17" s="475">
        <v>0</v>
      </c>
      <c r="GD17" s="475">
        <f t="shared" si="44"/>
        <v>100000000</v>
      </c>
      <c r="GE17" s="475"/>
      <c r="GF17" s="475">
        <v>20000000</v>
      </c>
      <c r="GG17" s="475">
        <v>0</v>
      </c>
      <c r="GH17" s="475">
        <f t="shared" si="45"/>
        <v>20000000</v>
      </c>
      <c r="GI17" s="475"/>
      <c r="GJ17" s="475">
        <v>3000000</v>
      </c>
      <c r="GK17" s="475">
        <v>0</v>
      </c>
      <c r="GL17" s="475">
        <f t="shared" si="46"/>
        <v>3000000</v>
      </c>
      <c r="GM17" s="475"/>
      <c r="GN17" s="475">
        <v>15000000</v>
      </c>
      <c r="GO17" s="475">
        <v>0</v>
      </c>
      <c r="GP17" s="475">
        <f t="shared" si="47"/>
        <v>15000000</v>
      </c>
      <c r="GQ17" s="475"/>
      <c r="GR17" s="475">
        <v>3000000</v>
      </c>
      <c r="GS17" s="475">
        <v>0</v>
      </c>
      <c r="GT17" s="475">
        <f t="shared" si="48"/>
        <v>3000000</v>
      </c>
      <c r="GU17" s="475"/>
      <c r="GV17" s="468">
        <f t="shared" si="49"/>
        <v>1219240000</v>
      </c>
      <c r="GW17" s="468">
        <f t="shared" si="49"/>
        <v>711690779.94999993</v>
      </c>
      <c r="GX17" s="468">
        <f t="shared" si="50"/>
        <v>507549220.05000007</v>
      </c>
      <c r="GY17" s="472"/>
      <c r="HA17" s="468">
        <f>D17+H17+L17+X17+AN17+BD17+BX17+CR17+DT17+DL17+EN17+FH17+GB17</f>
        <v>809240000</v>
      </c>
      <c r="HB17" s="468">
        <f>E17+I17+M17+Y17+AO17+BE17+BY17+CS17+DU17+DM17+EO17+FI17+GC17</f>
        <v>598422742.14999998</v>
      </c>
      <c r="HC17" s="471">
        <f t="shared" si="51"/>
        <v>210817257.85000002</v>
      </c>
      <c r="HE17" s="471">
        <f>P17+AB17+AR17+BH17+CB17+CV17+DX17+ER17+FL17+GF17</f>
        <v>118500000</v>
      </c>
      <c r="HF17" s="471">
        <f>Q17+AC17+AS17+BI17+CC17+CW17+DY17+ES17+FM17+GG17</f>
        <v>22934140</v>
      </c>
      <c r="HG17" s="471">
        <f t="shared" si="52"/>
        <v>95565860</v>
      </c>
      <c r="HI17" s="471">
        <f>T17+AF17+AV17+BL17+CF17+CZ17+EB17+EV17+FP17+GJ17</f>
        <v>55000000</v>
      </c>
      <c r="HJ17" s="471">
        <f>U17+AG17+AW17+BM17+CG17+DA17+EC17+EW17+FQ17+GK17</f>
        <v>0</v>
      </c>
      <c r="HK17" s="471">
        <f t="shared" si="53"/>
        <v>55000000</v>
      </c>
      <c r="HM17" s="471">
        <f>AJ17+AZ17+BP17+CJ17+DD17+EF17+EZ17+FT17+GN17</f>
        <v>197500000</v>
      </c>
      <c r="HN17" s="471">
        <f>AK17+BA17+BQ17+CK17+DE17+EG17+FA17+FU17+GO17</f>
        <v>90333897.799999997</v>
      </c>
      <c r="HO17" s="471">
        <f t="shared" si="54"/>
        <v>107166102.2</v>
      </c>
      <c r="HP17" s="531"/>
      <c r="HQ17" s="471">
        <f>BT17+CN17+DH17+EJ17+FD17+FX17+GR17</f>
        <v>39000000</v>
      </c>
      <c r="HR17" s="471">
        <f>BU17+CO17+DI17+EK17+FE17+FY17+GS17</f>
        <v>0</v>
      </c>
      <c r="HS17" s="471">
        <f t="shared" si="55"/>
        <v>39000000</v>
      </c>
    </row>
    <row r="18" spans="1:227" x14ac:dyDescent="0.25">
      <c r="A18" s="107">
        <v>15</v>
      </c>
      <c r="B18" s="107" t="s">
        <v>214</v>
      </c>
      <c r="C18" s="631" t="s">
        <v>63</v>
      </c>
      <c r="D18" s="488">
        <v>1250000</v>
      </c>
      <c r="E18" s="488">
        <v>1250000</v>
      </c>
      <c r="F18" s="468">
        <f t="shared" si="12"/>
        <v>0</v>
      </c>
      <c r="G18" s="488"/>
      <c r="H18" s="468">
        <v>25240000</v>
      </c>
      <c r="I18" s="468">
        <v>25240000</v>
      </c>
      <c r="J18" s="468">
        <f t="shared" si="13"/>
        <v>0</v>
      </c>
      <c r="K18" s="488"/>
      <c r="L18" s="468">
        <v>25000000</v>
      </c>
      <c r="M18" s="468">
        <v>25000000</v>
      </c>
      <c r="N18" s="468">
        <f t="shared" si="14"/>
        <v>0</v>
      </c>
      <c r="O18" s="488"/>
      <c r="P18" s="468">
        <f>3000000-3000000</f>
        <v>0</v>
      </c>
      <c r="Q18" s="468">
        <v>0</v>
      </c>
      <c r="R18" s="468">
        <f t="shared" si="15"/>
        <v>0</v>
      </c>
      <c r="S18" s="488"/>
      <c r="T18" s="468">
        <v>1000000</v>
      </c>
      <c r="U18" s="468">
        <f>1000000</f>
        <v>1000000</v>
      </c>
      <c r="V18" s="468">
        <f t="shared" si="16"/>
        <v>0</v>
      </c>
      <c r="W18" s="488"/>
      <c r="X18" s="468">
        <v>30000000</v>
      </c>
      <c r="Y18" s="468">
        <v>30000000</v>
      </c>
      <c r="Z18" s="468">
        <f t="shared" si="17"/>
        <v>0</v>
      </c>
      <c r="AA18" s="488"/>
      <c r="AB18" s="468">
        <f>5000000-5000000</f>
        <v>0</v>
      </c>
      <c r="AC18" s="468">
        <v>0</v>
      </c>
      <c r="AD18" s="468">
        <f t="shared" si="18"/>
        <v>0</v>
      </c>
      <c r="AE18" s="488"/>
      <c r="AF18" s="468">
        <v>2000000</v>
      </c>
      <c r="AG18" s="468">
        <f>2000000</f>
        <v>2000000</v>
      </c>
      <c r="AH18" s="468">
        <f t="shared" si="19"/>
        <v>0</v>
      </c>
      <c r="AI18" s="488"/>
      <c r="AJ18" s="468">
        <v>7500000</v>
      </c>
      <c r="AK18" s="468">
        <v>7500000</v>
      </c>
      <c r="AL18" s="468">
        <f t="shared" si="20"/>
        <v>0</v>
      </c>
      <c r="AM18" s="468"/>
      <c r="AN18" s="468">
        <v>40000000</v>
      </c>
      <c r="AO18" s="468">
        <v>40000000</v>
      </c>
      <c r="AP18" s="468">
        <f t="shared" si="0"/>
        <v>0</v>
      </c>
      <c r="AQ18" s="488"/>
      <c r="AR18" s="468">
        <v>3000000</v>
      </c>
      <c r="AS18" s="468">
        <f>3000000</f>
        <v>3000000</v>
      </c>
      <c r="AT18" s="468">
        <f t="shared" si="21"/>
        <v>0</v>
      </c>
      <c r="AU18" s="488"/>
      <c r="AV18" s="468">
        <v>2000000</v>
      </c>
      <c r="AW18" s="463">
        <f>612500+748000</f>
        <v>1360500</v>
      </c>
      <c r="AX18" s="468">
        <f t="shared" si="22"/>
        <v>639500</v>
      </c>
      <c r="AY18" s="488"/>
      <c r="AZ18" s="468">
        <v>10000000</v>
      </c>
      <c r="BA18" s="468">
        <v>10000000</v>
      </c>
      <c r="BB18" s="468">
        <f t="shared" si="1"/>
        <v>0</v>
      </c>
      <c r="BC18" s="488"/>
      <c r="BD18" s="468">
        <v>64000000</v>
      </c>
      <c r="BE18" s="468">
        <f>43944085+15902500+4153415</f>
        <v>64000000</v>
      </c>
      <c r="BF18" s="468">
        <f t="shared" si="23"/>
        <v>0</v>
      </c>
      <c r="BG18" s="488"/>
      <c r="BH18" s="468">
        <v>9500000</v>
      </c>
      <c r="BI18" s="468">
        <f>990000+5267893.33+3242106.67</f>
        <v>9500000</v>
      </c>
      <c r="BJ18" s="468">
        <f t="shared" si="24"/>
        <v>0</v>
      </c>
      <c r="BK18" s="488"/>
      <c r="BL18" s="468">
        <v>5000000</v>
      </c>
      <c r="BM18" s="468">
        <v>0</v>
      </c>
      <c r="BN18" s="468">
        <f t="shared" si="25"/>
        <v>5000000</v>
      </c>
      <c r="BO18" s="488"/>
      <c r="BP18" s="468">
        <v>20000000</v>
      </c>
      <c r="BQ18" s="468">
        <f>3686841.4+6319668+2924320+5834200+2612400+1110465+667325-3155219.4</f>
        <v>20000000</v>
      </c>
      <c r="BR18" s="468">
        <f t="shared" si="2"/>
        <v>0</v>
      </c>
      <c r="BS18" s="488"/>
      <c r="BT18" s="468">
        <v>1000000</v>
      </c>
      <c r="BU18" s="468">
        <v>1000000</v>
      </c>
      <c r="BV18" s="468">
        <f t="shared" si="3"/>
        <v>0</v>
      </c>
      <c r="BW18" s="488"/>
      <c r="BX18" s="468">
        <v>80000000</v>
      </c>
      <c r="BY18" s="468">
        <f>1734085+53526625+24739290</f>
        <v>80000000</v>
      </c>
      <c r="BZ18" s="468">
        <f t="shared" si="26"/>
        <v>0</v>
      </c>
      <c r="CA18" s="488"/>
      <c r="CB18" s="468">
        <v>10000000</v>
      </c>
      <c r="CC18" s="468">
        <f>2633374.33+2279640+2396520+2690465.67</f>
        <v>10000000</v>
      </c>
      <c r="CD18" s="468">
        <f t="shared" si="4"/>
        <v>0</v>
      </c>
      <c r="CE18" s="488"/>
      <c r="CF18" s="468">
        <v>10000000</v>
      </c>
      <c r="CG18" s="468">
        <v>0</v>
      </c>
      <c r="CH18" s="468">
        <f t="shared" si="27"/>
        <v>10000000</v>
      </c>
      <c r="CI18" s="488"/>
      <c r="CJ18" s="468">
        <v>30000000</v>
      </c>
      <c r="CK18" s="468">
        <v>30000000</v>
      </c>
      <c r="CL18" s="468">
        <f t="shared" si="5"/>
        <v>0</v>
      </c>
      <c r="CM18" s="488"/>
      <c r="CN18" s="468">
        <v>10000000</v>
      </c>
      <c r="CO18" s="489">
        <f>1652000+1979650+1912500+468000</f>
        <v>6012150</v>
      </c>
      <c r="CP18" s="468">
        <f t="shared" si="6"/>
        <v>3987850</v>
      </c>
      <c r="CQ18" s="488"/>
      <c r="CR18" s="468">
        <v>100000000</v>
      </c>
      <c r="CS18" s="463">
        <f>3309220+48507920+47888760+294100</f>
        <v>100000000</v>
      </c>
      <c r="CT18" s="468">
        <f t="shared" si="7"/>
        <v>0</v>
      </c>
      <c r="CU18" s="488"/>
      <c r="CV18" s="468">
        <v>20000000</v>
      </c>
      <c r="CW18" s="489">
        <f>13493847.33+3524305+742864+2238983.67</f>
        <v>20000000</v>
      </c>
      <c r="CX18" s="468">
        <f t="shared" si="8"/>
        <v>0</v>
      </c>
      <c r="CY18" s="488"/>
      <c r="CZ18" s="468">
        <v>20000000</v>
      </c>
      <c r="DA18" s="468">
        <v>0</v>
      </c>
      <c r="DB18" s="468">
        <f t="shared" si="9"/>
        <v>20000000</v>
      </c>
      <c r="DC18" s="488"/>
      <c r="DD18" s="468">
        <v>50000000</v>
      </c>
      <c r="DE18" s="468">
        <f>3155219.4+5138025+18853330+9935608+17474112-4556294.4</f>
        <v>50000000</v>
      </c>
      <c r="DF18" s="468">
        <f t="shared" si="10"/>
        <v>0</v>
      </c>
      <c r="DG18" s="468"/>
      <c r="DH18" s="468">
        <v>10000000</v>
      </c>
      <c r="DI18" s="468">
        <v>0</v>
      </c>
      <c r="DJ18" s="468">
        <f t="shared" si="11"/>
        <v>10000000</v>
      </c>
      <c r="DK18" s="488"/>
      <c r="DL18" s="471">
        <v>0</v>
      </c>
      <c r="DM18" s="471">
        <v>0</v>
      </c>
      <c r="DN18" s="471">
        <f t="shared" si="28"/>
        <v>0</v>
      </c>
      <c r="DO18" s="539"/>
      <c r="DP18" s="471"/>
      <c r="DQ18" s="471"/>
      <c r="DR18" s="471"/>
      <c r="DS18" s="473"/>
      <c r="DT18" s="471">
        <v>70000000</v>
      </c>
      <c r="DU18" s="471">
        <f>64567900+4500000+932100</f>
        <v>70000000</v>
      </c>
      <c r="DV18" s="471">
        <f t="shared" si="29"/>
        <v>0</v>
      </c>
      <c r="DW18" s="473"/>
      <c r="DX18" s="471">
        <v>10000000</v>
      </c>
      <c r="DY18" s="549">
        <f>3813348.33</f>
        <v>3813348.33</v>
      </c>
      <c r="DZ18" s="471">
        <f t="shared" si="30"/>
        <v>6186651.6699999999</v>
      </c>
      <c r="EA18" s="473"/>
      <c r="EB18" s="471">
        <v>5000000</v>
      </c>
      <c r="EC18" s="471">
        <v>0</v>
      </c>
      <c r="ED18" s="471">
        <f t="shared" si="31"/>
        <v>5000000</v>
      </c>
      <c r="EE18" s="473"/>
      <c r="EF18" s="471">
        <v>20000000</v>
      </c>
      <c r="EG18" s="471">
        <f>11767834+1307860+6924306</f>
        <v>20000000</v>
      </c>
      <c r="EH18" s="471">
        <f t="shared" si="32"/>
        <v>0</v>
      </c>
      <c r="EI18" s="473"/>
      <c r="EJ18" s="471">
        <v>5000000</v>
      </c>
      <c r="EK18" s="471">
        <v>0</v>
      </c>
      <c r="EL18" s="471">
        <f t="shared" si="33"/>
        <v>5000000</v>
      </c>
      <c r="EM18" s="631" t="s">
        <v>63</v>
      </c>
      <c r="EN18" s="475">
        <v>200000000</v>
      </c>
      <c r="EO18" s="475">
        <f>74767900+75700000-75700000+75700000-75700000+18000000+54131806.8+12600000+40500293.2</f>
        <v>200000000</v>
      </c>
      <c r="EP18" s="475">
        <f t="shared" si="34"/>
        <v>0</v>
      </c>
      <c r="EQ18" s="475"/>
      <c r="ER18" s="475">
        <v>18000000</v>
      </c>
      <c r="ES18" s="475">
        <v>0</v>
      </c>
      <c r="ET18" s="475">
        <f t="shared" si="35"/>
        <v>18000000</v>
      </c>
      <c r="EU18" s="475"/>
      <c r="EV18" s="475">
        <v>5000000</v>
      </c>
      <c r="EW18" s="475">
        <v>0</v>
      </c>
      <c r="EX18" s="475">
        <f t="shared" si="36"/>
        <v>5000000</v>
      </c>
      <c r="EY18" s="475"/>
      <c r="EZ18" s="475">
        <v>25000000</v>
      </c>
      <c r="FA18" s="475">
        <f>4556294.4+1906734+4875650+2226925+674880+3986365+6741366.8+31784.8</f>
        <v>25000000</v>
      </c>
      <c r="FB18" s="475">
        <f t="shared" si="37"/>
        <v>0</v>
      </c>
      <c r="FC18" s="475"/>
      <c r="FD18" s="475">
        <v>5000000</v>
      </c>
      <c r="FE18" s="475">
        <v>0</v>
      </c>
      <c r="FF18" s="475">
        <f t="shared" si="38"/>
        <v>5000000</v>
      </c>
      <c r="FG18" s="107"/>
      <c r="FH18" s="475">
        <v>75000000</v>
      </c>
      <c r="FI18" s="475">
        <f>35113113.8+4655000</f>
        <v>39768113.799999997</v>
      </c>
      <c r="FJ18" s="475">
        <f t="shared" si="39"/>
        <v>35231886.200000003</v>
      </c>
      <c r="FK18" s="475"/>
      <c r="FL18" s="475">
        <v>20000000</v>
      </c>
      <c r="FM18" s="475">
        <v>0</v>
      </c>
      <c r="FN18" s="475">
        <f t="shared" si="40"/>
        <v>20000000</v>
      </c>
      <c r="FO18" s="475"/>
      <c r="FP18" s="475">
        <v>5000000</v>
      </c>
      <c r="FQ18" s="475">
        <v>0</v>
      </c>
      <c r="FR18" s="475">
        <f t="shared" si="41"/>
        <v>5000000</v>
      </c>
      <c r="FS18" s="475"/>
      <c r="FT18" s="475">
        <v>20000000</v>
      </c>
      <c r="FU18" s="624">
        <f>6860058.2+7826950+4683160</f>
        <v>19370168.199999999</v>
      </c>
      <c r="FV18" s="475">
        <f t="shared" si="42"/>
        <v>629831.80000000075</v>
      </c>
      <c r="FW18" s="475"/>
      <c r="FX18" s="475">
        <v>5000000</v>
      </c>
      <c r="FY18" s="475">
        <v>0</v>
      </c>
      <c r="FZ18" s="475">
        <f t="shared" si="43"/>
        <v>5000000</v>
      </c>
      <c r="GA18" s="475"/>
      <c r="GB18" s="475">
        <v>100000000</v>
      </c>
      <c r="GC18" s="475">
        <v>0</v>
      </c>
      <c r="GD18" s="475">
        <f t="shared" si="44"/>
        <v>100000000</v>
      </c>
      <c r="GE18" s="475"/>
      <c r="GF18" s="475">
        <v>20000000</v>
      </c>
      <c r="GG18" s="475">
        <v>0</v>
      </c>
      <c r="GH18" s="475">
        <f t="shared" si="45"/>
        <v>20000000</v>
      </c>
      <c r="GI18" s="475"/>
      <c r="GJ18" s="475">
        <v>3000000</v>
      </c>
      <c r="GK18" s="475">
        <v>0</v>
      </c>
      <c r="GL18" s="475">
        <f t="shared" si="46"/>
        <v>3000000</v>
      </c>
      <c r="GM18" s="475"/>
      <c r="GN18" s="475">
        <v>15000000</v>
      </c>
      <c r="GO18" s="475">
        <v>0</v>
      </c>
      <c r="GP18" s="475">
        <f t="shared" si="47"/>
        <v>15000000</v>
      </c>
      <c r="GQ18" s="475"/>
      <c r="GR18" s="475">
        <v>3000000</v>
      </c>
      <c r="GS18" s="475">
        <v>0</v>
      </c>
      <c r="GT18" s="475">
        <f t="shared" si="48"/>
        <v>3000000</v>
      </c>
      <c r="GU18" s="475"/>
      <c r="GV18" s="468">
        <f t="shared" si="49"/>
        <v>1215490000</v>
      </c>
      <c r="GW18" s="468">
        <f t="shared" si="49"/>
        <v>914814280.33000004</v>
      </c>
      <c r="GX18" s="468">
        <f>GV18-GW18</f>
        <v>300675719.66999996</v>
      </c>
      <c r="GY18" s="472"/>
      <c r="HA18" s="468">
        <f>D18+H18+L18+X18+AN18+BD18+BX18+CR18+DT18+DL18+EN18+FH18+GB18</f>
        <v>810490000</v>
      </c>
      <c r="HB18" s="468">
        <f>E18+I18+M18+Y18+AO18+BE18+BY18+CS18+DU18+DM18+EO18+FI18+GC18</f>
        <v>675258113.79999995</v>
      </c>
      <c r="HC18" s="471">
        <f t="shared" si="51"/>
        <v>135231886.20000005</v>
      </c>
      <c r="HE18" s="471">
        <f>P18+AB18+AR18+BH18+CB18+CV18+DX18+ER18+FL18+GF18</f>
        <v>110500000</v>
      </c>
      <c r="HF18" s="471">
        <f>Q18+AC18+AS18+BI18+CC18+CW18+DY18+ES18+FM18+GG18</f>
        <v>46313348.329999998</v>
      </c>
      <c r="HG18" s="471">
        <f t="shared" si="52"/>
        <v>64186651.670000002</v>
      </c>
      <c r="HI18" s="471">
        <f>T18+AF18+AV18+BL18+CF18+CZ18+EB18+EV18+FP18+GJ18</f>
        <v>58000000</v>
      </c>
      <c r="HJ18" s="471">
        <f>U18+AG18+AW18+BM18+CG18+DA18+EC18+EW18+FQ18+GK18</f>
        <v>4360500</v>
      </c>
      <c r="HK18" s="471">
        <f t="shared" si="53"/>
        <v>53639500</v>
      </c>
      <c r="HM18" s="471">
        <f>AJ18+AZ18+BP18+CJ18+DD18+EF18+EZ18+FT18+GN18</f>
        <v>197500000</v>
      </c>
      <c r="HN18" s="471">
        <f>AK18+BA18+BQ18+CK18+DE18+EG18+FA18+FU18+GO18</f>
        <v>181870168.19999999</v>
      </c>
      <c r="HO18" s="471">
        <f t="shared" si="54"/>
        <v>15629831.800000012</v>
      </c>
      <c r="HP18" s="531"/>
      <c r="HQ18" s="471">
        <f>BT18+CN18+DH18+EJ18+FD18+FX18+GR18</f>
        <v>39000000</v>
      </c>
      <c r="HR18" s="471">
        <f>BU18+CO18+DI18+EK18+FE18+FY18+GS18</f>
        <v>7012150</v>
      </c>
      <c r="HS18" s="471">
        <f t="shared" si="55"/>
        <v>31987850</v>
      </c>
    </row>
    <row r="19" spans="1:227" x14ac:dyDescent="0.25">
      <c r="A19" s="107">
        <v>16</v>
      </c>
      <c r="B19" s="107" t="s">
        <v>215</v>
      </c>
      <c r="C19" s="631" t="s">
        <v>63</v>
      </c>
      <c r="D19" s="488">
        <v>1250000</v>
      </c>
      <c r="E19" s="488">
        <v>1250000</v>
      </c>
      <c r="F19" s="468">
        <f t="shared" si="12"/>
        <v>0</v>
      </c>
      <c r="G19" s="488"/>
      <c r="H19" s="468">
        <v>25240000</v>
      </c>
      <c r="I19" s="468">
        <f>14824100+7120200+3295700</f>
        <v>25240000</v>
      </c>
      <c r="J19" s="468">
        <f t="shared" si="13"/>
        <v>0</v>
      </c>
      <c r="K19" s="488"/>
      <c r="L19" s="468">
        <v>25000000</v>
      </c>
      <c r="M19" s="468">
        <f>24804283+195717</f>
        <v>25000000</v>
      </c>
      <c r="N19" s="468">
        <f t="shared" si="14"/>
        <v>0</v>
      </c>
      <c r="O19" s="488"/>
      <c r="P19" s="468">
        <v>3000000</v>
      </c>
      <c r="Q19" s="468">
        <v>3000000</v>
      </c>
      <c r="R19" s="468">
        <f t="shared" si="15"/>
        <v>0</v>
      </c>
      <c r="S19" s="488"/>
      <c r="T19" s="468">
        <v>1000000</v>
      </c>
      <c r="U19" s="468">
        <v>1000000</v>
      </c>
      <c r="V19" s="468">
        <f t="shared" si="16"/>
        <v>0</v>
      </c>
      <c r="W19" s="488"/>
      <c r="X19" s="468">
        <v>30000000</v>
      </c>
      <c r="Y19" s="468">
        <f>28292557+1707443</f>
        <v>30000000</v>
      </c>
      <c r="Z19" s="468">
        <f t="shared" si="17"/>
        <v>0</v>
      </c>
      <c r="AA19" s="488"/>
      <c r="AB19" s="468">
        <v>5000000</v>
      </c>
      <c r="AC19" s="468">
        <v>5000000</v>
      </c>
      <c r="AD19" s="468">
        <f t="shared" si="18"/>
        <v>0</v>
      </c>
      <c r="AE19" s="488"/>
      <c r="AF19" s="468">
        <v>2000000</v>
      </c>
      <c r="AG19" s="468">
        <f>1550000+450000</f>
        <v>2000000</v>
      </c>
      <c r="AH19" s="468">
        <f t="shared" si="19"/>
        <v>0</v>
      </c>
      <c r="AI19" s="488"/>
      <c r="AJ19" s="468">
        <v>7500000</v>
      </c>
      <c r="AK19" s="468">
        <f>613000+6887000</f>
        <v>7500000</v>
      </c>
      <c r="AL19" s="468">
        <f t="shared" si="20"/>
        <v>0</v>
      </c>
      <c r="AM19" s="468"/>
      <c r="AN19" s="468">
        <v>40000000</v>
      </c>
      <c r="AO19" s="468">
        <f>33120457+5805000+1074543</f>
        <v>40000000</v>
      </c>
      <c r="AP19" s="468">
        <f t="shared" si="0"/>
        <v>0</v>
      </c>
      <c r="AQ19" s="488"/>
      <c r="AR19" s="468">
        <v>3000000</v>
      </c>
      <c r="AS19" s="468">
        <v>3000000</v>
      </c>
      <c r="AT19" s="468">
        <f t="shared" si="21"/>
        <v>0</v>
      </c>
      <c r="AU19" s="488"/>
      <c r="AV19" s="468">
        <v>2000000</v>
      </c>
      <c r="AW19" s="468">
        <f>2000000</f>
        <v>2000000</v>
      </c>
      <c r="AX19" s="468">
        <f t="shared" si="22"/>
        <v>0</v>
      </c>
      <c r="AY19" s="488"/>
      <c r="AZ19" s="468">
        <v>10000000</v>
      </c>
      <c r="BA19" s="468">
        <f>930998+4227235+4841767</f>
        <v>10000000</v>
      </c>
      <c r="BB19" s="468">
        <f t="shared" si="1"/>
        <v>0</v>
      </c>
      <c r="BC19" s="488"/>
      <c r="BD19" s="468">
        <v>64000000</v>
      </c>
      <c r="BE19" s="468">
        <f>9071457+54269615+658928</f>
        <v>64000000</v>
      </c>
      <c r="BF19" s="468">
        <f t="shared" si="23"/>
        <v>0</v>
      </c>
      <c r="BG19" s="488"/>
      <c r="BH19" s="468">
        <v>9500000</v>
      </c>
      <c r="BI19" s="468">
        <f>6500000+3000000</f>
        <v>9500000</v>
      </c>
      <c r="BJ19" s="468">
        <f t="shared" si="24"/>
        <v>0</v>
      </c>
      <c r="BK19" s="488"/>
      <c r="BL19" s="468">
        <v>5000000</v>
      </c>
      <c r="BM19" s="468">
        <f>100000+4250000+5270000-4620000</f>
        <v>5000000</v>
      </c>
      <c r="BN19" s="468">
        <f t="shared" si="25"/>
        <v>0</v>
      </c>
      <c r="BP19" s="468">
        <v>20000000</v>
      </c>
      <c r="BQ19" s="468">
        <f>5157273+2027840+6154950+5753860+906077</f>
        <v>20000000</v>
      </c>
      <c r="BR19" s="468">
        <f t="shared" si="2"/>
        <v>0</v>
      </c>
      <c r="BS19" s="488"/>
      <c r="BT19" s="468">
        <v>1000000</v>
      </c>
      <c r="BU19" s="468">
        <f>150000+850000</f>
        <v>1000000</v>
      </c>
      <c r="BV19" s="468">
        <f t="shared" si="3"/>
        <v>0</v>
      </c>
      <c r="BW19" s="488"/>
      <c r="BX19" s="468">
        <v>80000000</v>
      </c>
      <c r="BY19" s="468">
        <f>2524272+77475728</f>
        <v>80000000</v>
      </c>
      <c r="BZ19" s="468">
        <f t="shared" si="26"/>
        <v>0</v>
      </c>
      <c r="CA19" s="488"/>
      <c r="CB19" s="468">
        <v>10000000</v>
      </c>
      <c r="CC19" s="468">
        <f>2000000+8000000</f>
        <v>10000000</v>
      </c>
      <c r="CD19" s="468">
        <f t="shared" si="4"/>
        <v>0</v>
      </c>
      <c r="CE19" s="488"/>
      <c r="CF19" s="468">
        <v>10000000</v>
      </c>
      <c r="CG19" s="468">
        <v>4620000</v>
      </c>
      <c r="CH19" s="468">
        <f t="shared" si="27"/>
        <v>5380000</v>
      </c>
      <c r="CI19" s="488"/>
      <c r="CJ19" s="468">
        <v>30000000</v>
      </c>
      <c r="CK19" s="468">
        <f>10570335.5+8439065+1986960+4230440+4773199.5</f>
        <v>30000000</v>
      </c>
      <c r="CL19" s="468">
        <f t="shared" si="5"/>
        <v>0</v>
      </c>
      <c r="CM19" s="488"/>
      <c r="CN19" s="468">
        <v>10000000</v>
      </c>
      <c r="CO19" s="468">
        <f>1153237.5+5779320+850000+2217442.5</f>
        <v>10000000</v>
      </c>
      <c r="CP19" s="468">
        <f t="shared" si="6"/>
        <v>0</v>
      </c>
      <c r="CQ19" s="488"/>
      <c r="CR19" s="468">
        <v>100000000</v>
      </c>
      <c r="CS19" s="468">
        <f>1608577+1500000+6503400+93002706-2614683</f>
        <v>100000000</v>
      </c>
      <c r="CT19" s="468">
        <f t="shared" si="7"/>
        <v>0</v>
      </c>
      <c r="CU19" s="488"/>
      <c r="CV19" s="468">
        <v>20000000</v>
      </c>
      <c r="CW19" s="468">
        <f>2047974+0.3+17952025.7</f>
        <v>20000000</v>
      </c>
      <c r="CX19" s="468">
        <f t="shared" si="8"/>
        <v>0</v>
      </c>
      <c r="CY19" s="488"/>
      <c r="CZ19" s="468">
        <v>20000000</v>
      </c>
      <c r="DA19" s="468">
        <v>0</v>
      </c>
      <c r="DB19" s="468">
        <f t="shared" si="9"/>
        <v>20000000</v>
      </c>
      <c r="DC19" s="488"/>
      <c r="DD19" s="468">
        <v>50000000</v>
      </c>
      <c r="DE19" s="468">
        <f>20111820.5+4450252+19470691+5967236.5</f>
        <v>50000000</v>
      </c>
      <c r="DF19" s="468">
        <f t="shared" si="10"/>
        <v>0</v>
      </c>
      <c r="DG19" s="488"/>
      <c r="DH19" s="468">
        <v>10000000</v>
      </c>
      <c r="DI19" s="489">
        <f>3608172.75+6391827.25</f>
        <v>10000000</v>
      </c>
      <c r="DJ19" s="468">
        <f t="shared" si="11"/>
        <v>0</v>
      </c>
      <c r="DK19" s="488"/>
      <c r="DL19" s="471">
        <v>20000000</v>
      </c>
      <c r="DM19" s="471">
        <v>20000000</v>
      </c>
      <c r="DN19" s="471">
        <f t="shared" si="28"/>
        <v>0</v>
      </c>
      <c r="DO19" s="539"/>
      <c r="DP19" s="471"/>
      <c r="DQ19" s="471"/>
      <c r="DR19" s="471"/>
      <c r="DS19" s="473"/>
      <c r="DT19" s="471">
        <v>70000000</v>
      </c>
      <c r="DU19" s="471">
        <f>360000+2614683+48850000+18175317</f>
        <v>70000000</v>
      </c>
      <c r="DV19" s="471">
        <f t="shared" si="29"/>
        <v>0</v>
      </c>
      <c r="DW19" s="473"/>
      <c r="DX19" s="471">
        <v>10000000</v>
      </c>
      <c r="DY19" s="471">
        <f>7130174.3+2869825.7</f>
        <v>10000000</v>
      </c>
      <c r="DZ19" s="471">
        <f t="shared" si="30"/>
        <v>0</v>
      </c>
      <c r="EA19" s="473"/>
      <c r="EB19" s="471">
        <v>5000000</v>
      </c>
      <c r="EC19" s="471">
        <v>0</v>
      </c>
      <c r="ED19" s="471">
        <f t="shared" si="31"/>
        <v>5000000</v>
      </c>
      <c r="EE19" s="473"/>
      <c r="EF19" s="471">
        <v>20000000</v>
      </c>
      <c r="EG19" s="471">
        <f>790243.5+3178630+16031126.5</f>
        <v>20000000</v>
      </c>
      <c r="EH19" s="471">
        <f t="shared" si="32"/>
        <v>0</v>
      </c>
      <c r="EI19" s="473"/>
      <c r="EJ19" s="471">
        <v>5000000</v>
      </c>
      <c r="EK19" s="549">
        <v>5000000</v>
      </c>
      <c r="EL19" s="471">
        <f t="shared" si="33"/>
        <v>0</v>
      </c>
      <c r="EM19" s="631" t="s">
        <v>63</v>
      </c>
      <c r="EN19" s="475">
        <v>200000000</v>
      </c>
      <c r="EO19" s="475">
        <f>86324683+800000+29104000+47104948.35+36666368.65</f>
        <v>200000000</v>
      </c>
      <c r="EP19" s="475">
        <f t="shared" si="34"/>
        <v>0</v>
      </c>
      <c r="EQ19" s="475"/>
      <c r="ER19" s="475">
        <v>18000000</v>
      </c>
      <c r="ES19" s="623">
        <f>5409685.9+2063910+9123642+1200000</f>
        <v>17797237.899999999</v>
      </c>
      <c r="ET19" s="475">
        <f t="shared" si="35"/>
        <v>202762.10000000149</v>
      </c>
      <c r="EU19" s="475"/>
      <c r="EV19" s="475">
        <v>5000000</v>
      </c>
      <c r="EW19" s="475">
        <v>0</v>
      </c>
      <c r="EX19" s="475">
        <f t="shared" si="36"/>
        <v>5000000</v>
      </c>
      <c r="EY19" s="475"/>
      <c r="EZ19" s="475">
        <v>25000000</v>
      </c>
      <c r="FA19" s="627">
        <f>5473960.06+1960010+10363936.1+6077065+1125028.84-7510735.5</f>
        <v>17489264.5</v>
      </c>
      <c r="FB19" s="475">
        <f t="shared" si="37"/>
        <v>7510735.5</v>
      </c>
      <c r="FC19" s="475"/>
      <c r="FD19" s="475">
        <v>5000000</v>
      </c>
      <c r="FE19" s="625">
        <f>3844308</f>
        <v>3844308</v>
      </c>
      <c r="FF19" s="475">
        <f t="shared" si="38"/>
        <v>1155692</v>
      </c>
      <c r="FG19" s="107"/>
      <c r="FH19" s="475">
        <v>75000000</v>
      </c>
      <c r="FI19" s="623">
        <f>50033631.35+6000000+18966368.65</f>
        <v>75000000</v>
      </c>
      <c r="FJ19" s="475">
        <f t="shared" si="39"/>
        <v>0</v>
      </c>
      <c r="FK19" s="475"/>
      <c r="FL19" s="475">
        <v>20000000</v>
      </c>
      <c r="FM19" s="475">
        <v>0</v>
      </c>
      <c r="FN19" s="475">
        <f t="shared" si="40"/>
        <v>20000000</v>
      </c>
      <c r="FO19" s="475"/>
      <c r="FP19" s="475">
        <v>5000000</v>
      </c>
      <c r="FQ19" s="475">
        <v>0</v>
      </c>
      <c r="FR19" s="475">
        <f t="shared" si="41"/>
        <v>5000000</v>
      </c>
      <c r="FS19" s="475"/>
      <c r="FT19" s="475">
        <v>20000000</v>
      </c>
      <c r="FU19" s="627">
        <f>4458896.16</f>
        <v>4458896.16</v>
      </c>
      <c r="FV19" s="475">
        <f t="shared" si="42"/>
        <v>15541103.84</v>
      </c>
      <c r="FW19" s="475"/>
      <c r="FX19" s="475">
        <v>5000000</v>
      </c>
      <c r="FY19" s="475">
        <v>0</v>
      </c>
      <c r="FZ19" s="475">
        <f t="shared" si="43"/>
        <v>5000000</v>
      </c>
      <c r="GA19" s="475"/>
      <c r="GB19" s="475">
        <v>100000000</v>
      </c>
      <c r="GC19" s="623">
        <f>12904690.16</f>
        <v>12904690.16</v>
      </c>
      <c r="GD19" s="475">
        <f t="shared" si="44"/>
        <v>87095309.840000004</v>
      </c>
      <c r="GE19" s="475"/>
      <c r="GF19" s="475">
        <v>20000000</v>
      </c>
      <c r="GG19" s="475">
        <v>0</v>
      </c>
      <c r="GH19" s="475">
        <f t="shared" si="45"/>
        <v>20000000</v>
      </c>
      <c r="GI19" s="475"/>
      <c r="GJ19" s="475">
        <v>3000000</v>
      </c>
      <c r="GK19" s="475">
        <v>0</v>
      </c>
      <c r="GL19" s="475">
        <f t="shared" si="46"/>
        <v>3000000</v>
      </c>
      <c r="GM19" s="475"/>
      <c r="GN19" s="475">
        <v>15000000</v>
      </c>
      <c r="GO19" s="475">
        <v>0</v>
      </c>
      <c r="GP19" s="475">
        <f t="shared" si="47"/>
        <v>15000000</v>
      </c>
      <c r="GQ19" s="475"/>
      <c r="GR19" s="475">
        <v>3000000</v>
      </c>
      <c r="GS19" s="475">
        <v>0</v>
      </c>
      <c r="GT19" s="475">
        <f t="shared" si="48"/>
        <v>3000000</v>
      </c>
      <c r="GU19" s="475"/>
      <c r="GV19" s="468">
        <f t="shared" si="49"/>
        <v>1243490000</v>
      </c>
      <c r="GW19" s="468">
        <f t="shared" si="49"/>
        <v>1025604396.7199999</v>
      </c>
      <c r="GX19" s="468">
        <f t="shared" si="50"/>
        <v>217885603.28000009</v>
      </c>
      <c r="GY19" s="472"/>
      <c r="HA19" s="468">
        <f>D19+H19+L19+X19+AN19+BD19+BX19+CR19+DT19+DL19+EN19+FH19+GB19</f>
        <v>830490000</v>
      </c>
      <c r="HB19" s="468">
        <f>E19+I19+M19+Y19+AO19+BE19+BY19+CS19+DU19+DM19+EO19+FI19+GC19</f>
        <v>743394690.15999997</v>
      </c>
      <c r="HC19" s="471">
        <f t="shared" si="51"/>
        <v>87095309.840000033</v>
      </c>
      <c r="HE19" s="471">
        <f>P19+AB19+AR19+BH19+CB19+CV19+DX19+ER19+FL19+GF19</f>
        <v>118500000</v>
      </c>
      <c r="HF19" s="471">
        <f>Q19+AC19+AS19+BI19+CC19+CW19+DY19+ES19+FM19+GG19</f>
        <v>78297237.900000006</v>
      </c>
      <c r="HG19" s="471">
        <f t="shared" si="52"/>
        <v>40202762.099999994</v>
      </c>
      <c r="HI19" s="471">
        <f>T19+AF19+AV19+BL19+CF19+CZ19+EB19+EV19+FP19+GJ19</f>
        <v>58000000</v>
      </c>
      <c r="HJ19" s="471">
        <f>U19+AG19+AW19+BM19+CG19+DA19+EC19+EW19+FQ19+GK19</f>
        <v>14620000</v>
      </c>
      <c r="HK19" s="471">
        <f t="shared" si="53"/>
        <v>43380000</v>
      </c>
      <c r="HM19" s="471">
        <f>AJ19+AZ19+BP19+CJ19+DD19+EF19+EZ19+FT19+GN19</f>
        <v>197500000</v>
      </c>
      <c r="HN19" s="471">
        <f>AK19+BA19+BQ19+CK19+DE19+EG19+FA19+FU19+GO19</f>
        <v>159448160.66</v>
      </c>
      <c r="HO19" s="471">
        <f t="shared" si="54"/>
        <v>38051839.340000004</v>
      </c>
      <c r="HP19" s="531"/>
      <c r="HQ19" s="471">
        <f>BT19+CN19+DH19+EJ19+FD19+FX19+GR19</f>
        <v>39000000</v>
      </c>
      <c r="HR19" s="471">
        <f>BU19+CO19+DI19+EK19+FE19+FY19+GS19</f>
        <v>29844308</v>
      </c>
      <c r="HS19" s="471">
        <f t="shared" si="55"/>
        <v>9155692</v>
      </c>
    </row>
    <row r="20" spans="1:227" x14ac:dyDescent="0.25">
      <c r="A20" s="107">
        <v>17</v>
      </c>
      <c r="B20" s="107" t="s">
        <v>216</v>
      </c>
      <c r="C20" s="631" t="s">
        <v>69</v>
      </c>
      <c r="D20" s="488">
        <v>1250000</v>
      </c>
      <c r="E20" s="488">
        <v>1250000</v>
      </c>
      <c r="F20" s="468">
        <f t="shared" si="12"/>
        <v>0</v>
      </c>
      <c r="G20" s="488"/>
      <c r="H20" s="468">
        <v>25240000</v>
      </c>
      <c r="I20" s="468">
        <v>25240000</v>
      </c>
      <c r="J20" s="468">
        <f t="shared" si="13"/>
        <v>0</v>
      </c>
      <c r="K20" s="488"/>
      <c r="L20" s="468">
        <v>25000000</v>
      </c>
      <c r="M20" s="468">
        <v>25000000</v>
      </c>
      <c r="N20" s="468">
        <f t="shared" si="14"/>
        <v>0</v>
      </c>
      <c r="O20" s="488"/>
      <c r="P20" s="468">
        <f>3000000-3000000</f>
        <v>0</v>
      </c>
      <c r="Q20" s="468">
        <v>0</v>
      </c>
      <c r="R20" s="468">
        <f t="shared" si="15"/>
        <v>0</v>
      </c>
      <c r="S20" s="488"/>
      <c r="T20" s="468">
        <f>1000000-1000000</f>
        <v>0</v>
      </c>
      <c r="U20" s="468">
        <v>0</v>
      </c>
      <c r="V20" s="468">
        <f t="shared" si="16"/>
        <v>0</v>
      </c>
      <c r="W20" s="488"/>
      <c r="X20" s="468">
        <v>30000000</v>
      </c>
      <c r="Y20" s="468">
        <v>30000000</v>
      </c>
      <c r="Z20" s="468">
        <f t="shared" si="17"/>
        <v>0</v>
      </c>
      <c r="AA20" s="488"/>
      <c r="AB20" s="468">
        <f>5000000-5000000</f>
        <v>0</v>
      </c>
      <c r="AC20" s="468">
        <v>0</v>
      </c>
      <c r="AD20" s="468">
        <f t="shared" si="18"/>
        <v>0</v>
      </c>
      <c r="AE20" s="488"/>
      <c r="AF20" s="468">
        <f>2000000-2000000</f>
        <v>0</v>
      </c>
      <c r="AG20" s="468">
        <v>0</v>
      </c>
      <c r="AH20" s="468">
        <f t="shared" si="19"/>
        <v>0</v>
      </c>
      <c r="AI20" s="488"/>
      <c r="AJ20" s="468">
        <v>7500000</v>
      </c>
      <c r="AK20" s="468">
        <v>7500000</v>
      </c>
      <c r="AL20" s="468">
        <f t="shared" si="20"/>
        <v>0</v>
      </c>
      <c r="AM20" s="468"/>
      <c r="AN20" s="468">
        <v>40000000</v>
      </c>
      <c r="AO20" s="468">
        <v>40000000</v>
      </c>
      <c r="AP20" s="468">
        <f t="shared" si="0"/>
        <v>0</v>
      </c>
      <c r="AQ20" s="488"/>
      <c r="AR20" s="468">
        <v>3000000</v>
      </c>
      <c r="AS20" s="468">
        <v>3000000</v>
      </c>
      <c r="AT20" s="468">
        <f t="shared" si="21"/>
        <v>0</v>
      </c>
      <c r="AU20" s="488"/>
      <c r="AV20" s="468">
        <v>2000000</v>
      </c>
      <c r="AW20" s="468">
        <v>0</v>
      </c>
      <c r="AX20" s="468">
        <f t="shared" si="22"/>
        <v>2000000</v>
      </c>
      <c r="AY20" s="488"/>
      <c r="AZ20" s="468">
        <v>10000000</v>
      </c>
      <c r="BA20" s="468">
        <f>10000000</f>
        <v>10000000</v>
      </c>
      <c r="BB20" s="468">
        <f t="shared" si="1"/>
        <v>0</v>
      </c>
      <c r="BC20" s="488"/>
      <c r="BD20" s="468">
        <v>64000000</v>
      </c>
      <c r="BE20" s="468">
        <f>58333025+3864000+1802975</f>
        <v>64000000</v>
      </c>
      <c r="BF20" s="468">
        <f t="shared" si="23"/>
        <v>0</v>
      </c>
      <c r="BG20" s="488"/>
      <c r="BH20" s="468">
        <v>9500000</v>
      </c>
      <c r="BI20" s="468">
        <f>8283360</f>
        <v>8283360</v>
      </c>
      <c r="BJ20" s="468">
        <f t="shared" si="24"/>
        <v>1216640</v>
      </c>
      <c r="BK20" s="488"/>
      <c r="BL20" s="468">
        <v>5000000</v>
      </c>
      <c r="BM20" s="468">
        <v>0</v>
      </c>
      <c r="BN20" s="468">
        <f t="shared" si="25"/>
        <v>5000000</v>
      </c>
      <c r="BO20" s="488"/>
      <c r="BP20" s="468">
        <v>20000000</v>
      </c>
      <c r="BQ20" s="468">
        <f>9193130+7405680+6571021.5-3169831.5</f>
        <v>20000000</v>
      </c>
      <c r="BR20" s="468">
        <f t="shared" si="2"/>
        <v>0</v>
      </c>
      <c r="BS20" s="488"/>
      <c r="BT20" s="468">
        <v>1000000</v>
      </c>
      <c r="BU20" s="468">
        <v>0</v>
      </c>
      <c r="BV20" s="468">
        <f t="shared" si="3"/>
        <v>1000000</v>
      </c>
      <c r="BW20" s="488"/>
      <c r="BX20" s="468">
        <v>80000000</v>
      </c>
      <c r="BY20" s="468">
        <f>55336375+13190000+6100000+5373625</f>
        <v>80000000</v>
      </c>
      <c r="BZ20" s="468">
        <f t="shared" si="26"/>
        <v>0</v>
      </c>
      <c r="CA20" s="488"/>
      <c r="CB20" s="468">
        <v>10000000</v>
      </c>
      <c r="CC20" s="468">
        <v>0</v>
      </c>
      <c r="CD20" s="468">
        <f t="shared" si="4"/>
        <v>10000000</v>
      </c>
      <c r="CE20" s="488"/>
      <c r="CF20" s="468">
        <v>10000000</v>
      </c>
      <c r="CG20" s="468">
        <v>0</v>
      </c>
      <c r="CH20" s="468">
        <f t="shared" si="27"/>
        <v>10000000</v>
      </c>
      <c r="CI20" s="488"/>
      <c r="CJ20" s="468">
        <v>30000000</v>
      </c>
      <c r="CK20" s="468">
        <f>1430055+38887720-10317775</f>
        <v>30000000</v>
      </c>
      <c r="CL20" s="468">
        <f t="shared" si="5"/>
        <v>0</v>
      </c>
      <c r="CM20" s="488"/>
      <c r="CN20" s="468">
        <v>10000000</v>
      </c>
      <c r="CO20" s="468">
        <v>0</v>
      </c>
      <c r="CP20" s="468">
        <f t="shared" si="6"/>
        <v>10000000</v>
      </c>
      <c r="CQ20" s="488"/>
      <c r="CR20" s="468">
        <v>100000000</v>
      </c>
      <c r="CS20" s="468">
        <f>64718975+34196800+1084225</f>
        <v>100000000</v>
      </c>
      <c r="CT20" s="468">
        <f t="shared" si="7"/>
        <v>0</v>
      </c>
      <c r="CU20" s="488"/>
      <c r="CV20" s="468">
        <v>20000000</v>
      </c>
      <c r="CW20" s="468">
        <v>0</v>
      </c>
      <c r="CX20" s="468">
        <f t="shared" si="8"/>
        <v>20000000</v>
      </c>
      <c r="CY20" s="488"/>
      <c r="CZ20" s="468">
        <v>20000000</v>
      </c>
      <c r="DA20" s="468">
        <v>0</v>
      </c>
      <c r="DB20" s="468">
        <f t="shared" si="9"/>
        <v>20000000</v>
      </c>
      <c r="DC20" s="488"/>
      <c r="DD20" s="468">
        <v>50000000</v>
      </c>
      <c r="DE20" s="468">
        <f>3169831.5+10317775+46389194+9916170-19792970.5</f>
        <v>50000000</v>
      </c>
      <c r="DF20" s="468">
        <f t="shared" si="10"/>
        <v>0</v>
      </c>
      <c r="DG20" s="488"/>
      <c r="DH20" s="468">
        <v>10000000</v>
      </c>
      <c r="DI20" s="468">
        <v>0</v>
      </c>
      <c r="DJ20" s="468">
        <f t="shared" si="11"/>
        <v>10000000</v>
      </c>
      <c r="DK20" s="488"/>
      <c r="DL20" s="471">
        <v>0</v>
      </c>
      <c r="DM20" s="471">
        <v>0</v>
      </c>
      <c r="DN20" s="471">
        <f t="shared" si="28"/>
        <v>0</v>
      </c>
      <c r="DO20" s="539"/>
      <c r="DP20" s="471"/>
      <c r="DQ20" s="471"/>
      <c r="DR20" s="471"/>
      <c r="DS20" s="473"/>
      <c r="DT20" s="471">
        <v>70000000</v>
      </c>
      <c r="DU20" s="471">
        <f>68161825-13455000+15293175</f>
        <v>70000000</v>
      </c>
      <c r="DV20" s="471">
        <f t="shared" si="29"/>
        <v>0</v>
      </c>
      <c r="DW20" s="473"/>
      <c r="DX20" s="471">
        <v>10000000</v>
      </c>
      <c r="DY20" s="471">
        <v>0</v>
      </c>
      <c r="DZ20" s="471">
        <f t="shared" si="30"/>
        <v>10000000</v>
      </c>
      <c r="EA20" s="473"/>
      <c r="EB20" s="471">
        <v>5000000</v>
      </c>
      <c r="EC20" s="471">
        <v>0</v>
      </c>
      <c r="ED20" s="471">
        <f t="shared" si="31"/>
        <v>5000000</v>
      </c>
      <c r="EE20" s="473"/>
      <c r="EF20" s="471">
        <v>20000000</v>
      </c>
      <c r="EG20" s="471">
        <f>19792970.5+207029.5</f>
        <v>20000000</v>
      </c>
      <c r="EH20" s="471">
        <f t="shared" si="32"/>
        <v>0</v>
      </c>
      <c r="EI20" s="473"/>
      <c r="EJ20" s="471">
        <v>5000000</v>
      </c>
      <c r="EK20" s="471">
        <v>0</v>
      </c>
      <c r="EL20" s="471">
        <f t="shared" si="33"/>
        <v>5000000</v>
      </c>
      <c r="EM20" s="631" t="s">
        <v>69</v>
      </c>
      <c r="EN20" s="475">
        <v>200000000</v>
      </c>
      <c r="EO20" s="627">
        <f>108658050+27214192.1+4138200+10615775+49373782.9</f>
        <v>200000000</v>
      </c>
      <c r="EP20" s="475">
        <f t="shared" si="34"/>
        <v>0</v>
      </c>
      <c r="EQ20" s="475"/>
      <c r="ER20" s="475">
        <v>18000000</v>
      </c>
      <c r="ES20" s="475">
        <v>0</v>
      </c>
      <c r="ET20" s="475">
        <f t="shared" si="35"/>
        <v>18000000</v>
      </c>
      <c r="EU20" s="475"/>
      <c r="EV20" s="475">
        <v>5000000</v>
      </c>
      <c r="EW20" s="475">
        <v>0</v>
      </c>
      <c r="EX20" s="475">
        <f t="shared" si="36"/>
        <v>5000000</v>
      </c>
      <c r="EY20" s="475"/>
      <c r="EZ20" s="475">
        <v>25000000</v>
      </c>
      <c r="FA20" s="475">
        <f>6893680.5+11637900-1716375+1478830</f>
        <v>18294035.5</v>
      </c>
      <c r="FB20" s="475">
        <f t="shared" si="37"/>
        <v>6705964.5</v>
      </c>
      <c r="FC20" s="475"/>
      <c r="FD20" s="475">
        <v>5000000</v>
      </c>
      <c r="FE20" s="475">
        <v>0</v>
      </c>
      <c r="FF20" s="475">
        <f t="shared" si="38"/>
        <v>5000000</v>
      </c>
      <c r="FG20" s="107"/>
      <c r="FH20" s="475">
        <v>75000000</v>
      </c>
      <c r="FI20" s="627">
        <f>7816217.1</f>
        <v>7816217.0999999996</v>
      </c>
      <c r="FJ20" s="475">
        <f t="shared" si="39"/>
        <v>67183782.900000006</v>
      </c>
      <c r="FK20" s="475"/>
      <c r="FL20" s="475">
        <v>20000000</v>
      </c>
      <c r="FM20" s="475">
        <v>0</v>
      </c>
      <c r="FN20" s="475">
        <f t="shared" si="40"/>
        <v>20000000</v>
      </c>
      <c r="FO20" s="475"/>
      <c r="FP20" s="475">
        <v>5000000</v>
      </c>
      <c r="FQ20" s="475">
        <v>0</v>
      </c>
      <c r="FR20" s="475">
        <f t="shared" si="41"/>
        <v>5000000</v>
      </c>
      <c r="FS20" s="475"/>
      <c r="FT20" s="475">
        <v>20000000</v>
      </c>
      <c r="FU20" s="475">
        <v>0</v>
      </c>
      <c r="FV20" s="475">
        <f t="shared" si="42"/>
        <v>20000000</v>
      </c>
      <c r="FW20" s="475"/>
      <c r="FX20" s="475">
        <v>5000000</v>
      </c>
      <c r="FY20" s="475">
        <v>0</v>
      </c>
      <c r="FZ20" s="475">
        <f t="shared" si="43"/>
        <v>5000000</v>
      </c>
      <c r="GA20" s="475"/>
      <c r="GB20" s="475">
        <v>100000000</v>
      </c>
      <c r="GC20" s="475">
        <v>0</v>
      </c>
      <c r="GD20" s="475">
        <f t="shared" si="44"/>
        <v>100000000</v>
      </c>
      <c r="GE20" s="475"/>
      <c r="GF20" s="475">
        <v>20000000</v>
      </c>
      <c r="GG20" s="475">
        <v>0</v>
      </c>
      <c r="GH20" s="475">
        <f t="shared" si="45"/>
        <v>20000000</v>
      </c>
      <c r="GI20" s="475"/>
      <c r="GJ20" s="475">
        <v>3000000</v>
      </c>
      <c r="GK20" s="475">
        <v>0</v>
      </c>
      <c r="GL20" s="475">
        <f t="shared" si="46"/>
        <v>3000000</v>
      </c>
      <c r="GM20" s="475"/>
      <c r="GN20" s="475">
        <v>15000000</v>
      </c>
      <c r="GO20" s="475">
        <v>0</v>
      </c>
      <c r="GP20" s="475">
        <f t="shared" si="47"/>
        <v>15000000</v>
      </c>
      <c r="GQ20" s="475"/>
      <c r="GR20" s="475">
        <v>3000000</v>
      </c>
      <c r="GS20" s="475">
        <v>0</v>
      </c>
      <c r="GT20" s="475">
        <f t="shared" si="48"/>
        <v>3000000</v>
      </c>
      <c r="GU20" s="475"/>
      <c r="GV20" s="468">
        <f t="shared" si="49"/>
        <v>1212490000</v>
      </c>
      <c r="GW20" s="468">
        <f t="shared" si="49"/>
        <v>810383612.60000002</v>
      </c>
      <c r="GX20" s="468">
        <f t="shared" si="50"/>
        <v>402106387.39999998</v>
      </c>
      <c r="GY20" s="472"/>
      <c r="HA20" s="468">
        <f>D20+H20+L20+X20+AN20+BD20+BX20+CR20+DT20+DL20+EN20+FH20+GB20</f>
        <v>810490000</v>
      </c>
      <c r="HB20" s="468">
        <f>E20+I20+M20+Y20+AO20+BE20+BY20+CS20+DU20+DM20+EO20+FI20+GC20</f>
        <v>643306217.10000002</v>
      </c>
      <c r="HC20" s="471">
        <f t="shared" si="51"/>
        <v>167183782.89999998</v>
      </c>
      <c r="HE20" s="471">
        <f>P20+AB20+AR20+BH20+CB20+CV20+DX20+ER20+FL20+GF20</f>
        <v>110500000</v>
      </c>
      <c r="HF20" s="471">
        <f>Q20+AC20+AS20+BI20+CC20+CW20+DY20+ES20+FM20+GG20</f>
        <v>11283360</v>
      </c>
      <c r="HG20" s="471">
        <f t="shared" si="52"/>
        <v>99216640</v>
      </c>
      <c r="HI20" s="471">
        <f>T20+AF20+AV20+BL20+CF20+CZ20+EB20+EV20+FP20+GJ20</f>
        <v>55000000</v>
      </c>
      <c r="HJ20" s="471">
        <f>U20+AG20+AW20+BM20+CG20+DA20+EC20+EW20+FQ20+GK20</f>
        <v>0</v>
      </c>
      <c r="HK20" s="471">
        <f t="shared" si="53"/>
        <v>55000000</v>
      </c>
      <c r="HM20" s="471">
        <f>AJ20+AZ20+BP20+CJ20+DD20+EF20+EZ20+FT20+GN20</f>
        <v>197500000</v>
      </c>
      <c r="HN20" s="471">
        <f>AK20+BA20+BQ20+CK20+DE20+EG20+FA20+FU20+GO20</f>
        <v>155794035.5</v>
      </c>
      <c r="HO20" s="471">
        <f t="shared" si="54"/>
        <v>41705964.5</v>
      </c>
      <c r="HP20" s="531"/>
      <c r="HQ20" s="471">
        <f>BT20+CN20+DH20+EJ20+FD20+FX20+GR20</f>
        <v>39000000</v>
      </c>
      <c r="HR20" s="471">
        <f>BU20+CO20+DI20+EK20+FE20+FY20+GS20</f>
        <v>0</v>
      </c>
      <c r="HS20" s="471">
        <f t="shared" si="55"/>
        <v>39000000</v>
      </c>
    </row>
    <row r="21" spans="1:227" x14ac:dyDescent="0.25">
      <c r="A21" s="107">
        <v>18</v>
      </c>
      <c r="B21" s="107" t="s">
        <v>217</v>
      </c>
      <c r="C21" s="631" t="s">
        <v>69</v>
      </c>
      <c r="D21" s="488">
        <v>1250000</v>
      </c>
      <c r="E21" s="488">
        <v>1250000</v>
      </c>
      <c r="F21" s="468">
        <f t="shared" si="12"/>
        <v>0</v>
      </c>
      <c r="G21" s="488"/>
      <c r="H21" s="468">
        <v>25240000</v>
      </c>
      <c r="I21" s="468">
        <v>25240000</v>
      </c>
      <c r="J21" s="468">
        <f t="shared" si="13"/>
        <v>0</v>
      </c>
      <c r="K21" s="488"/>
      <c r="L21" s="468">
        <v>25000000</v>
      </c>
      <c r="M21" s="468">
        <v>25000000</v>
      </c>
      <c r="N21" s="468">
        <f t="shared" si="14"/>
        <v>0</v>
      </c>
      <c r="O21" s="488"/>
      <c r="P21" s="468">
        <v>3000000</v>
      </c>
      <c r="Q21" s="468">
        <v>3000000</v>
      </c>
      <c r="R21" s="468">
        <f t="shared" si="15"/>
        <v>0</v>
      </c>
      <c r="S21" s="488"/>
      <c r="T21" s="468">
        <f>1000000-1000000</f>
        <v>0</v>
      </c>
      <c r="U21" s="468">
        <v>0</v>
      </c>
      <c r="V21" s="468">
        <f t="shared" si="16"/>
        <v>0</v>
      </c>
      <c r="W21" s="488"/>
      <c r="X21" s="468">
        <v>30000000</v>
      </c>
      <c r="Y21" s="468">
        <v>30000000</v>
      </c>
      <c r="Z21" s="468">
        <f t="shared" si="17"/>
        <v>0</v>
      </c>
      <c r="AA21" s="488"/>
      <c r="AB21" s="468">
        <v>5000000</v>
      </c>
      <c r="AC21" s="468">
        <f>4120000+880000</f>
        <v>5000000</v>
      </c>
      <c r="AD21" s="468">
        <f t="shared" si="18"/>
        <v>0</v>
      </c>
      <c r="AE21" s="488"/>
      <c r="AF21" s="468">
        <f>2000000-2000000</f>
        <v>0</v>
      </c>
      <c r="AG21" s="468">
        <v>0</v>
      </c>
      <c r="AH21" s="468">
        <f t="shared" si="19"/>
        <v>0</v>
      </c>
      <c r="AI21" s="488"/>
      <c r="AJ21" s="468">
        <v>7500000</v>
      </c>
      <c r="AK21" s="468">
        <v>7500000</v>
      </c>
      <c r="AL21" s="468">
        <f t="shared" si="20"/>
        <v>0</v>
      </c>
      <c r="AM21" s="107"/>
      <c r="AN21" s="468">
        <v>40000000</v>
      </c>
      <c r="AO21" s="468">
        <v>40000000</v>
      </c>
      <c r="AP21" s="468">
        <f t="shared" si="0"/>
        <v>0</v>
      </c>
      <c r="AQ21" s="488"/>
      <c r="AR21" s="468">
        <v>3000000</v>
      </c>
      <c r="AS21" s="468">
        <f>3000000</f>
        <v>3000000</v>
      </c>
      <c r="AT21" s="468">
        <f t="shared" si="21"/>
        <v>0</v>
      </c>
      <c r="AU21" s="488"/>
      <c r="AV21" s="468">
        <v>2000000</v>
      </c>
      <c r="AW21" s="468">
        <v>0</v>
      </c>
      <c r="AX21" s="468">
        <f t="shared" si="22"/>
        <v>2000000</v>
      </c>
      <c r="AY21" s="488"/>
      <c r="AZ21" s="468">
        <v>10000000</v>
      </c>
      <c r="BA21" s="468">
        <v>10000000</v>
      </c>
      <c r="BB21" s="468">
        <f t="shared" si="1"/>
        <v>0</v>
      </c>
      <c r="BC21" s="488"/>
      <c r="BD21" s="468">
        <v>64000000</v>
      </c>
      <c r="BE21" s="468">
        <f>62743900+1256100</f>
        <v>64000000</v>
      </c>
      <c r="BF21" s="468">
        <f t="shared" si="23"/>
        <v>0</v>
      </c>
      <c r="BG21" s="488"/>
      <c r="BH21" s="468">
        <v>9500000</v>
      </c>
      <c r="BI21" s="468">
        <f>4180361.5+5319638.5</f>
        <v>9500000</v>
      </c>
      <c r="BJ21" s="468">
        <f t="shared" si="24"/>
        <v>0</v>
      </c>
      <c r="BK21" s="488"/>
      <c r="BL21" s="468">
        <v>5000000</v>
      </c>
      <c r="BM21" s="468">
        <v>0</v>
      </c>
      <c r="BN21" s="468">
        <f t="shared" si="25"/>
        <v>5000000</v>
      </c>
      <c r="BO21" s="488"/>
      <c r="BP21" s="468">
        <v>20000000</v>
      </c>
      <c r="BQ21" s="468">
        <f>10011872.3+2910435+7077692.7</f>
        <v>20000000</v>
      </c>
      <c r="BR21" s="468">
        <f t="shared" si="2"/>
        <v>0</v>
      </c>
      <c r="BS21" s="488"/>
      <c r="BT21" s="468">
        <v>1000000</v>
      </c>
      <c r="BU21" s="468">
        <f>1700000-700000</f>
        <v>1000000</v>
      </c>
      <c r="BV21" s="468">
        <f t="shared" si="3"/>
        <v>0</v>
      </c>
      <c r="BW21" s="488"/>
      <c r="BX21" s="468">
        <v>80000000</v>
      </c>
      <c r="BY21" s="468">
        <f>25252998+38463490+16283512</f>
        <v>80000000</v>
      </c>
      <c r="BZ21" s="468">
        <f t="shared" si="26"/>
        <v>0</v>
      </c>
      <c r="CA21" s="488"/>
      <c r="CB21" s="468">
        <v>10000000</v>
      </c>
      <c r="CC21" s="468">
        <f>6666646.5+3333353.5</f>
        <v>10000000</v>
      </c>
      <c r="CD21" s="468">
        <f t="shared" si="4"/>
        <v>0</v>
      </c>
      <c r="CE21" s="488"/>
      <c r="CF21" s="468">
        <v>10000000</v>
      </c>
      <c r="CG21" s="468">
        <v>0</v>
      </c>
      <c r="CH21" s="468">
        <f t="shared" si="27"/>
        <v>10000000</v>
      </c>
      <c r="CI21" s="488"/>
      <c r="CJ21" s="468">
        <v>30000000</v>
      </c>
      <c r="CK21" s="468">
        <f>12169227.3+11831730+3406000+2593042.7</f>
        <v>30000000</v>
      </c>
      <c r="CL21" s="468">
        <f t="shared" si="5"/>
        <v>0</v>
      </c>
      <c r="CM21" s="488"/>
      <c r="CN21" s="468">
        <v>10000000</v>
      </c>
      <c r="CO21" s="468">
        <f>700000</f>
        <v>700000</v>
      </c>
      <c r="CP21" s="468">
        <f t="shared" si="6"/>
        <v>9300000</v>
      </c>
      <c r="CQ21" s="488"/>
      <c r="CR21" s="468">
        <v>100000000</v>
      </c>
      <c r="CS21" s="468">
        <f>64088988+6037929+29873083</f>
        <v>100000000</v>
      </c>
      <c r="CT21" s="468">
        <f t="shared" si="7"/>
        <v>0</v>
      </c>
      <c r="CU21" s="488"/>
      <c r="CV21" s="468">
        <v>20000000</v>
      </c>
      <c r="CW21" s="468">
        <f>1840746.5</f>
        <v>1840746.5</v>
      </c>
      <c r="CX21" s="468">
        <f t="shared" si="8"/>
        <v>18159253.5</v>
      </c>
      <c r="CY21" s="488"/>
      <c r="CZ21" s="468">
        <v>20000000</v>
      </c>
      <c r="DA21" s="468">
        <v>0</v>
      </c>
      <c r="DB21" s="468">
        <f t="shared" si="9"/>
        <v>20000000</v>
      </c>
      <c r="DC21" s="488"/>
      <c r="DD21" s="468">
        <v>50000000</v>
      </c>
      <c r="DE21" s="489">
        <f>8859593.3+3577800+1652180+11844625</f>
        <v>25934198.300000001</v>
      </c>
      <c r="DF21" s="468">
        <f t="shared" si="10"/>
        <v>24065801.699999999</v>
      </c>
      <c r="DG21" s="488"/>
      <c r="DH21" s="468">
        <v>10000000</v>
      </c>
      <c r="DI21" s="468">
        <v>0</v>
      </c>
      <c r="DJ21" s="468">
        <f t="shared" si="11"/>
        <v>10000000</v>
      </c>
      <c r="DK21" s="488"/>
      <c r="DL21" s="471">
        <v>0</v>
      </c>
      <c r="DM21" s="471">
        <v>0</v>
      </c>
      <c r="DN21" s="471">
        <f t="shared" si="28"/>
        <v>0</v>
      </c>
      <c r="DO21" s="539"/>
      <c r="DP21" s="471"/>
      <c r="DQ21" s="471"/>
      <c r="DR21" s="471"/>
      <c r="DS21" s="473"/>
      <c r="DT21" s="471">
        <v>70000000</v>
      </c>
      <c r="DU21" s="552">
        <f>43304542+26672500-26672500+25911058.3</f>
        <v>69215600.299999997</v>
      </c>
      <c r="DV21" s="471">
        <f t="shared" si="29"/>
        <v>784399.70000000298</v>
      </c>
      <c r="DW21" s="473"/>
      <c r="DX21" s="471">
        <v>10000000</v>
      </c>
      <c r="DY21" s="471">
        <v>0</v>
      </c>
      <c r="DZ21" s="471">
        <f t="shared" si="30"/>
        <v>10000000</v>
      </c>
      <c r="EA21" s="473"/>
      <c r="EB21" s="471">
        <v>5000000</v>
      </c>
      <c r="EC21" s="471">
        <v>0</v>
      </c>
      <c r="ED21" s="471">
        <f t="shared" si="31"/>
        <v>5000000</v>
      </c>
      <c r="EE21" s="473"/>
      <c r="EF21" s="471">
        <v>20000000</v>
      </c>
      <c r="EG21" s="471">
        <v>3073680</v>
      </c>
      <c r="EH21" s="471">
        <f t="shared" si="32"/>
        <v>16926320</v>
      </c>
      <c r="EI21" s="473"/>
      <c r="EJ21" s="471">
        <v>5000000</v>
      </c>
      <c r="EK21" s="471">
        <v>0</v>
      </c>
      <c r="EL21" s="471">
        <f t="shared" si="33"/>
        <v>5000000</v>
      </c>
      <c r="EM21" s="631" t="s">
        <v>69</v>
      </c>
      <c r="EN21" s="475">
        <v>200000000</v>
      </c>
      <c r="EO21" s="475">
        <v>0</v>
      </c>
      <c r="EP21" s="475">
        <f t="shared" si="34"/>
        <v>200000000</v>
      </c>
      <c r="EQ21" s="475"/>
      <c r="ER21" s="475">
        <v>18000000</v>
      </c>
      <c r="ES21" s="475">
        <v>0</v>
      </c>
      <c r="ET21" s="475">
        <f t="shared" si="35"/>
        <v>18000000</v>
      </c>
      <c r="EU21" s="475"/>
      <c r="EV21" s="475">
        <v>5000000</v>
      </c>
      <c r="EW21" s="475">
        <v>0</v>
      </c>
      <c r="EX21" s="475">
        <f t="shared" si="36"/>
        <v>5000000</v>
      </c>
      <c r="EY21" s="475"/>
      <c r="EZ21" s="475">
        <v>25000000</v>
      </c>
      <c r="FA21" s="475">
        <v>0</v>
      </c>
      <c r="FB21" s="475">
        <f t="shared" si="37"/>
        <v>25000000</v>
      </c>
      <c r="FC21" s="475"/>
      <c r="FD21" s="475">
        <v>5000000</v>
      </c>
      <c r="FE21" s="475">
        <v>0</v>
      </c>
      <c r="FF21" s="475">
        <f t="shared" si="38"/>
        <v>5000000</v>
      </c>
      <c r="FG21" s="107"/>
      <c r="FH21" s="475">
        <v>75000000</v>
      </c>
      <c r="FI21" s="475">
        <v>0</v>
      </c>
      <c r="FJ21" s="475">
        <f t="shared" si="39"/>
        <v>75000000</v>
      </c>
      <c r="FK21" s="475"/>
      <c r="FL21" s="475">
        <v>20000000</v>
      </c>
      <c r="FM21" s="475">
        <v>0</v>
      </c>
      <c r="FN21" s="475">
        <f t="shared" si="40"/>
        <v>20000000</v>
      </c>
      <c r="FO21" s="475"/>
      <c r="FP21" s="475">
        <v>5000000</v>
      </c>
      <c r="FQ21" s="475">
        <v>0</v>
      </c>
      <c r="FR21" s="475">
        <f t="shared" si="41"/>
        <v>5000000</v>
      </c>
      <c r="FS21" s="475"/>
      <c r="FT21" s="475">
        <v>20000000</v>
      </c>
      <c r="FU21" s="475">
        <v>0</v>
      </c>
      <c r="FV21" s="475">
        <f t="shared" si="42"/>
        <v>20000000</v>
      </c>
      <c r="FW21" s="475"/>
      <c r="FX21" s="475">
        <v>5000000</v>
      </c>
      <c r="FY21" s="475">
        <v>0</v>
      </c>
      <c r="FZ21" s="475">
        <f t="shared" si="43"/>
        <v>5000000</v>
      </c>
      <c r="GA21" s="475"/>
      <c r="GB21" s="475">
        <v>100000000</v>
      </c>
      <c r="GC21" s="475">
        <v>0</v>
      </c>
      <c r="GD21" s="475">
        <f t="shared" si="44"/>
        <v>100000000</v>
      </c>
      <c r="GE21" s="475"/>
      <c r="GF21" s="475">
        <v>20000000</v>
      </c>
      <c r="GG21" s="475">
        <v>0</v>
      </c>
      <c r="GH21" s="475">
        <f t="shared" si="45"/>
        <v>20000000</v>
      </c>
      <c r="GI21" s="475"/>
      <c r="GJ21" s="475">
        <v>3000000</v>
      </c>
      <c r="GK21" s="475">
        <v>0</v>
      </c>
      <c r="GL21" s="475">
        <f t="shared" si="46"/>
        <v>3000000</v>
      </c>
      <c r="GM21" s="475"/>
      <c r="GN21" s="475">
        <v>15000000</v>
      </c>
      <c r="GO21" s="475">
        <v>0</v>
      </c>
      <c r="GP21" s="475">
        <f t="shared" si="47"/>
        <v>15000000</v>
      </c>
      <c r="GQ21" s="475"/>
      <c r="GR21" s="475">
        <v>3000000</v>
      </c>
      <c r="GS21" s="475">
        <v>0</v>
      </c>
      <c r="GT21" s="475">
        <f t="shared" si="48"/>
        <v>3000000</v>
      </c>
      <c r="GU21" s="475"/>
      <c r="GV21" s="468">
        <f t="shared" si="49"/>
        <v>1220490000</v>
      </c>
      <c r="GW21" s="468">
        <f t="shared" si="49"/>
        <v>565254225.10000002</v>
      </c>
      <c r="GX21" s="468">
        <f t="shared" si="50"/>
        <v>655235774.89999998</v>
      </c>
      <c r="GY21" s="472"/>
      <c r="HA21" s="468">
        <f>D21+H21+L21+X21+AN21+BD21+BX21+CR21+DT21+DL21+EN21+FH21+GB21</f>
        <v>810490000</v>
      </c>
      <c r="HB21" s="468">
        <f>E21+I21+M21+Y21+AO21+BE21+BY21+CS21+DU21+DM21+EO21+FI21+GC21</f>
        <v>434705600.30000001</v>
      </c>
      <c r="HC21" s="471">
        <f t="shared" si="51"/>
        <v>375784399.69999999</v>
      </c>
      <c r="HE21" s="471">
        <f>P21+AB21+AR21+BH21+CB21+CV21+DX21+ER21+FL21+GF21</f>
        <v>118500000</v>
      </c>
      <c r="HF21" s="471">
        <f>Q21+AC21+AS21+BI21+CC21+CW21+DY21+ES21+FM21+GG21</f>
        <v>32340746.5</v>
      </c>
      <c r="HG21" s="471">
        <f t="shared" si="52"/>
        <v>86159253.5</v>
      </c>
      <c r="HI21" s="471">
        <f>T21+AF21+AV21+BL21+CF21+CZ21+EB21+EV21+FP21+GJ21</f>
        <v>55000000</v>
      </c>
      <c r="HJ21" s="471">
        <f>U21+AG21+AW21+BM21+CG21+DA21+EC21+EW21+FQ21+GK21</f>
        <v>0</v>
      </c>
      <c r="HK21" s="471">
        <f t="shared" si="53"/>
        <v>55000000</v>
      </c>
      <c r="HM21" s="471">
        <f>AJ21+AZ21+BP21+CJ21+DD21+EF21+EZ21+FT21+GN21</f>
        <v>197500000</v>
      </c>
      <c r="HN21" s="471">
        <f>AK21+BA21+BQ21+CK21+DE21+EG21+FA21+FU21+GO21</f>
        <v>96507878.299999997</v>
      </c>
      <c r="HO21" s="471">
        <f t="shared" si="54"/>
        <v>100992121.7</v>
      </c>
      <c r="HP21" s="531"/>
      <c r="HQ21" s="471">
        <f>BT21+CN21+DH21+EJ21+FD21+FX21+GR21</f>
        <v>39000000</v>
      </c>
      <c r="HR21" s="471">
        <f>BU21+CO21+DI21+EK21+FE21+FY21+GS21</f>
        <v>1700000</v>
      </c>
      <c r="HS21" s="471">
        <f t="shared" si="55"/>
        <v>37300000</v>
      </c>
    </row>
    <row r="22" spans="1:227" x14ac:dyDescent="0.25">
      <c r="A22" s="107">
        <v>19</v>
      </c>
      <c r="B22" s="107" t="s">
        <v>218</v>
      </c>
      <c r="C22" s="631" t="s">
        <v>76</v>
      </c>
      <c r="D22" s="488">
        <v>1250000</v>
      </c>
      <c r="E22" s="488">
        <v>1250000</v>
      </c>
      <c r="F22" s="468">
        <f t="shared" si="12"/>
        <v>0</v>
      </c>
      <c r="G22" s="488"/>
      <c r="H22" s="468">
        <v>25240000</v>
      </c>
      <c r="I22" s="468">
        <v>25240000</v>
      </c>
      <c r="J22" s="468">
        <f t="shared" si="13"/>
        <v>0</v>
      </c>
      <c r="K22" s="488"/>
      <c r="L22" s="468">
        <v>25000000</v>
      </c>
      <c r="M22" s="468">
        <v>25000000</v>
      </c>
      <c r="N22" s="468">
        <f t="shared" si="14"/>
        <v>0</v>
      </c>
      <c r="O22" s="488"/>
      <c r="P22" s="468">
        <v>3000000</v>
      </c>
      <c r="Q22" s="468">
        <f>765000+2235000</f>
        <v>3000000</v>
      </c>
      <c r="R22" s="468">
        <f t="shared" si="15"/>
        <v>0</v>
      </c>
      <c r="S22" s="488"/>
      <c r="T22" s="468">
        <v>2000000</v>
      </c>
      <c r="U22" s="468">
        <f>1000000+250000+750000</f>
        <v>2000000</v>
      </c>
      <c r="V22" s="468">
        <f t="shared" si="16"/>
        <v>0</v>
      </c>
      <c r="W22" s="488"/>
      <c r="X22" s="468">
        <v>30000000</v>
      </c>
      <c r="Y22" s="468">
        <v>30000000</v>
      </c>
      <c r="Z22" s="468">
        <f t="shared" si="17"/>
        <v>0</v>
      </c>
      <c r="AA22" s="488"/>
      <c r="AB22" s="468">
        <v>5000000</v>
      </c>
      <c r="AC22" s="468">
        <f>265000+4600000+135000</f>
        <v>5000000</v>
      </c>
      <c r="AD22" s="468">
        <f t="shared" si="18"/>
        <v>0</v>
      </c>
      <c r="AE22" s="488"/>
      <c r="AF22" s="468">
        <v>3000000</v>
      </c>
      <c r="AG22" s="468">
        <v>3000000</v>
      </c>
      <c r="AH22" s="468">
        <f t="shared" si="19"/>
        <v>0</v>
      </c>
      <c r="AI22" s="488"/>
      <c r="AJ22" s="468">
        <v>7500000</v>
      </c>
      <c r="AK22" s="468">
        <f>103000+532500+808000+1038960+2311030+2706510</f>
        <v>7500000</v>
      </c>
      <c r="AL22" s="468">
        <f t="shared" si="20"/>
        <v>0</v>
      </c>
      <c r="AM22" s="468"/>
      <c r="AN22" s="468">
        <v>40000000</v>
      </c>
      <c r="AO22" s="468">
        <v>40000000</v>
      </c>
      <c r="AP22" s="468">
        <f t="shared" si="0"/>
        <v>0</v>
      </c>
      <c r="AQ22" s="488"/>
      <c r="AR22" s="468">
        <v>3000000</v>
      </c>
      <c r="AS22" s="468">
        <f>3000000</f>
        <v>3000000</v>
      </c>
      <c r="AT22" s="468">
        <f t="shared" si="21"/>
        <v>0</v>
      </c>
      <c r="AU22" s="488"/>
      <c r="AV22" s="468">
        <v>2000000</v>
      </c>
      <c r="AW22" s="468">
        <f>850000+150000+1000000</f>
        <v>2000000</v>
      </c>
      <c r="AX22" s="468">
        <f t="shared" si="22"/>
        <v>0</v>
      </c>
      <c r="AY22" s="488"/>
      <c r="AZ22" s="468">
        <v>10000000</v>
      </c>
      <c r="BA22" s="468">
        <f>6258920+179200+2741855</f>
        <v>9179975</v>
      </c>
      <c r="BB22" s="468">
        <f t="shared" si="1"/>
        <v>820025</v>
      </c>
      <c r="BC22" s="488"/>
      <c r="BD22" s="468">
        <v>64000000</v>
      </c>
      <c r="BE22" s="468">
        <f>24589375+11300000+27622000+488625</f>
        <v>64000000</v>
      </c>
      <c r="BF22" s="468">
        <f t="shared" si="23"/>
        <v>0</v>
      </c>
      <c r="BG22" s="488"/>
      <c r="BH22" s="468">
        <v>9500000</v>
      </c>
      <c r="BI22" s="468">
        <f>865000+8500000-8500000+3998000-3863000+8500000</f>
        <v>9500000</v>
      </c>
      <c r="BJ22" s="468">
        <f t="shared" si="24"/>
        <v>0</v>
      </c>
      <c r="BK22" s="488"/>
      <c r="BL22" s="468">
        <v>5000000</v>
      </c>
      <c r="BM22" s="468">
        <f>2550000+2450000</f>
        <v>5000000</v>
      </c>
      <c r="BN22" s="468">
        <f t="shared" si="25"/>
        <v>0</v>
      </c>
      <c r="BO22" s="488"/>
      <c r="BP22" s="468">
        <v>20000000</v>
      </c>
      <c r="BQ22" s="468">
        <f>20000000</f>
        <v>20000000</v>
      </c>
      <c r="BR22" s="468">
        <f t="shared" si="2"/>
        <v>0</v>
      </c>
      <c r="BS22" s="488"/>
      <c r="BT22" s="468">
        <v>1000000</v>
      </c>
      <c r="BU22" s="468">
        <f>150000+850000</f>
        <v>1000000</v>
      </c>
      <c r="BV22" s="468">
        <f t="shared" si="3"/>
        <v>0</v>
      </c>
      <c r="BW22" s="488"/>
      <c r="BX22" s="468">
        <v>80000000</v>
      </c>
      <c r="BY22" s="468">
        <f>17277215+1700000+27962000+22761150+9864125+435510</f>
        <v>80000000</v>
      </c>
      <c r="BZ22" s="468">
        <f t="shared" si="26"/>
        <v>0</v>
      </c>
      <c r="CA22" s="488"/>
      <c r="CB22" s="468">
        <v>10000000</v>
      </c>
      <c r="CC22" s="468">
        <f>3863000+6137000</f>
        <v>10000000</v>
      </c>
      <c r="CD22" s="468">
        <f t="shared" si="4"/>
        <v>0</v>
      </c>
      <c r="CE22" s="488"/>
      <c r="CF22" s="468">
        <v>10000000</v>
      </c>
      <c r="CG22" s="468">
        <v>10000000</v>
      </c>
      <c r="CH22" s="468">
        <f t="shared" si="27"/>
        <v>0</v>
      </c>
      <c r="CI22" s="488"/>
      <c r="CJ22" s="468">
        <v>30000000</v>
      </c>
      <c r="CK22" s="468">
        <f>1726625+20571736+7701639</f>
        <v>30000000</v>
      </c>
      <c r="CL22" s="468">
        <f t="shared" si="5"/>
        <v>0</v>
      </c>
      <c r="CM22" s="488"/>
      <c r="CN22" s="468">
        <v>10000000</v>
      </c>
      <c r="CO22" s="468">
        <f>1700000+850000+3400000+150000+1700000+2200000</f>
        <v>10000000</v>
      </c>
      <c r="CP22" s="468">
        <f t="shared" si="6"/>
        <v>0</v>
      </c>
      <c r="CQ22" s="488"/>
      <c r="CR22" s="468">
        <v>100000000</v>
      </c>
      <c r="CS22" s="468">
        <f>12899490+24904725+4250000+2400000+500000+22812080+13550000+18683705</f>
        <v>100000000</v>
      </c>
      <c r="CT22" s="468">
        <f t="shared" si="7"/>
        <v>0</v>
      </c>
      <c r="CU22" s="488"/>
      <c r="CV22" s="468">
        <v>20000000</v>
      </c>
      <c r="CW22" s="468">
        <f>5861000+10000000+3500000+639000</f>
        <v>20000000</v>
      </c>
      <c r="CX22" s="468">
        <f t="shared" si="8"/>
        <v>0</v>
      </c>
      <c r="CY22" s="488"/>
      <c r="CZ22" s="468">
        <v>20000000</v>
      </c>
      <c r="DA22" s="468">
        <f>7000000+4300000+3000000+5700000</f>
        <v>20000000</v>
      </c>
      <c r="DB22" s="468">
        <f t="shared" si="9"/>
        <v>0</v>
      </c>
      <c r="DC22" s="488"/>
      <c r="DD22" s="468">
        <v>50000000</v>
      </c>
      <c r="DE22" s="468">
        <f>9431581+17444244+16859945+892694+1745500.5+3626035.5</f>
        <v>50000000</v>
      </c>
      <c r="DF22" s="468">
        <f t="shared" si="10"/>
        <v>0</v>
      </c>
      <c r="DG22" s="488"/>
      <c r="DH22" s="468">
        <v>10000000</v>
      </c>
      <c r="DI22" s="468">
        <f>3750000+5950000+150000</f>
        <v>9850000</v>
      </c>
      <c r="DJ22" s="468">
        <f t="shared" si="11"/>
        <v>150000</v>
      </c>
      <c r="DK22" s="488"/>
      <c r="DL22" s="471">
        <v>0</v>
      </c>
      <c r="DM22" s="471">
        <v>0</v>
      </c>
      <c r="DN22" s="471">
        <f t="shared" si="28"/>
        <v>0</v>
      </c>
      <c r="DO22" s="539"/>
      <c r="DP22" s="471"/>
      <c r="DQ22" s="471"/>
      <c r="DR22" s="471"/>
      <c r="DS22" s="473"/>
      <c r="DT22" s="471">
        <v>70000000</v>
      </c>
      <c r="DU22" s="471">
        <f>3916295+8050000+3700000+13300000+41033705</f>
        <v>70000000</v>
      </c>
      <c r="DV22" s="471">
        <f t="shared" si="29"/>
        <v>0</v>
      </c>
      <c r="DW22" s="473"/>
      <c r="DX22" s="471">
        <v>10000000</v>
      </c>
      <c r="DY22" s="471">
        <f>4000000+6000000</f>
        <v>10000000</v>
      </c>
      <c r="DZ22" s="471">
        <f t="shared" si="30"/>
        <v>0</v>
      </c>
      <c r="EA22" s="473"/>
      <c r="EB22" s="471">
        <v>5000000</v>
      </c>
      <c r="EC22" s="471">
        <f>2800000-850000-150000</f>
        <v>1800000</v>
      </c>
      <c r="ED22" s="471">
        <f t="shared" si="31"/>
        <v>3200000</v>
      </c>
      <c r="EE22" s="473"/>
      <c r="EF22" s="471">
        <v>20000000</v>
      </c>
      <c r="EG22" s="471">
        <f>1018166+2720600+9087270+6468030+705934</f>
        <v>20000000</v>
      </c>
      <c r="EH22" s="471">
        <f t="shared" si="32"/>
        <v>0</v>
      </c>
      <c r="EI22" s="473"/>
      <c r="EJ22" s="471">
        <v>5000000</v>
      </c>
      <c r="EK22" s="471"/>
      <c r="EL22" s="471">
        <f t="shared" si="33"/>
        <v>5000000</v>
      </c>
      <c r="EM22" s="631" t="s">
        <v>76</v>
      </c>
      <c r="EN22" s="475">
        <v>200000000</v>
      </c>
      <c r="EO22" s="475">
        <f>8675045+4500000+57300000+3600000+110945537.5-23186548.35+10800000+15300000</f>
        <v>187934034.15000001</v>
      </c>
      <c r="EP22" s="475">
        <f t="shared" si="34"/>
        <v>12065965.849999994</v>
      </c>
      <c r="EQ22" s="475"/>
      <c r="ER22" s="475">
        <v>18000000</v>
      </c>
      <c r="ES22" s="475">
        <f>761000+5384070</f>
        <v>6145070</v>
      </c>
      <c r="ET22" s="475">
        <f t="shared" si="35"/>
        <v>11854930</v>
      </c>
      <c r="EU22" s="475"/>
      <c r="EV22" s="475">
        <v>5000000</v>
      </c>
      <c r="EW22" s="475">
        <v>0</v>
      </c>
      <c r="EX22" s="475">
        <f t="shared" si="36"/>
        <v>5000000</v>
      </c>
      <c r="EY22" s="475"/>
      <c r="EZ22" s="475">
        <v>25000000</v>
      </c>
      <c r="FA22" s="625">
        <f>4199380.5+5285975+13211235</f>
        <v>22696590.5</v>
      </c>
      <c r="FB22" s="475">
        <f t="shared" si="37"/>
        <v>2303409.5</v>
      </c>
      <c r="FC22" s="475"/>
      <c r="FD22" s="475">
        <v>5000000</v>
      </c>
      <c r="FE22" s="475">
        <v>0</v>
      </c>
      <c r="FF22" s="475">
        <f t="shared" si="38"/>
        <v>5000000</v>
      </c>
      <c r="FG22" s="107"/>
      <c r="FH22" s="475">
        <v>75000000</v>
      </c>
      <c r="FI22" s="475">
        <v>0</v>
      </c>
      <c r="FJ22" s="475">
        <f t="shared" si="39"/>
        <v>75000000</v>
      </c>
      <c r="FK22" s="475"/>
      <c r="FL22" s="475">
        <v>20000000</v>
      </c>
      <c r="FM22" s="475">
        <v>0</v>
      </c>
      <c r="FN22" s="475">
        <f t="shared" si="40"/>
        <v>20000000</v>
      </c>
      <c r="FO22" s="475"/>
      <c r="FP22" s="475">
        <v>5000000</v>
      </c>
      <c r="FQ22" s="475">
        <v>0</v>
      </c>
      <c r="FR22" s="475">
        <f t="shared" si="41"/>
        <v>5000000</v>
      </c>
      <c r="FS22" s="475"/>
      <c r="FT22" s="475">
        <v>20000000</v>
      </c>
      <c r="FU22" s="475">
        <v>0</v>
      </c>
      <c r="FV22" s="475">
        <f t="shared" si="42"/>
        <v>20000000</v>
      </c>
      <c r="FW22" s="475"/>
      <c r="FX22" s="475">
        <v>5000000</v>
      </c>
      <c r="FY22" s="475">
        <v>0</v>
      </c>
      <c r="FZ22" s="475">
        <f t="shared" si="43"/>
        <v>5000000</v>
      </c>
      <c r="GA22" s="475"/>
      <c r="GB22" s="475">
        <v>100000000</v>
      </c>
      <c r="GC22" s="475">
        <v>0</v>
      </c>
      <c r="GD22" s="475">
        <f t="shared" si="44"/>
        <v>100000000</v>
      </c>
      <c r="GE22" s="475"/>
      <c r="GF22" s="475">
        <v>20000000</v>
      </c>
      <c r="GG22" s="475">
        <v>0</v>
      </c>
      <c r="GH22" s="475">
        <f t="shared" si="45"/>
        <v>20000000</v>
      </c>
      <c r="GI22" s="475"/>
      <c r="GJ22" s="475">
        <v>3000000</v>
      </c>
      <c r="GK22" s="475">
        <v>0</v>
      </c>
      <c r="GL22" s="475">
        <f t="shared" si="46"/>
        <v>3000000</v>
      </c>
      <c r="GM22" s="475"/>
      <c r="GN22" s="475">
        <v>15000000</v>
      </c>
      <c r="GO22" s="475">
        <v>0</v>
      </c>
      <c r="GP22" s="475">
        <f t="shared" si="47"/>
        <v>15000000</v>
      </c>
      <c r="GQ22" s="475"/>
      <c r="GR22" s="475">
        <v>3000000</v>
      </c>
      <c r="GS22" s="475">
        <v>0</v>
      </c>
      <c r="GT22" s="475">
        <f t="shared" si="48"/>
        <v>3000000</v>
      </c>
      <c r="GU22" s="475"/>
      <c r="GV22" s="468">
        <f t="shared" si="49"/>
        <v>1225490000</v>
      </c>
      <c r="GW22" s="468">
        <f t="shared" si="49"/>
        <v>914095669.64999998</v>
      </c>
      <c r="GX22" s="468">
        <f t="shared" si="50"/>
        <v>311394330.35000002</v>
      </c>
      <c r="GY22" s="472"/>
      <c r="HA22" s="468">
        <f>D22+H22+L22+X22+AN22+BD22+BX22+CR22+DT22+DL22+EN22+FH22+GB22</f>
        <v>810490000</v>
      </c>
      <c r="HB22" s="468">
        <f>E22+I22+M22+Y22+AO22+BE22+BY22+CS22+DU22+DM22+EO22+FI22+GC22</f>
        <v>623424034.14999998</v>
      </c>
      <c r="HC22" s="471">
        <f t="shared" si="51"/>
        <v>187065965.85000002</v>
      </c>
      <c r="HE22" s="471">
        <f>P22+AB22+AR22+BH22+CB22+CV22+DX22+ER22+FL22+GF22</f>
        <v>118500000</v>
      </c>
      <c r="HF22" s="471">
        <f>Q22+AC22+AS22+BI22+CC22+CW22+DY22+ES22+FM22+GG22</f>
        <v>66645070</v>
      </c>
      <c r="HG22" s="471">
        <f t="shared" si="52"/>
        <v>51854930</v>
      </c>
      <c r="HI22" s="471">
        <f>T22+AF22+AV22+BL22+CF22+CZ22+EB22+EV22+FP22+GJ22</f>
        <v>60000000</v>
      </c>
      <c r="HJ22" s="471">
        <f>U22+AG22+AW22+BM22+CG22+DA22+EC22+EW22+FQ22+GK22</f>
        <v>43800000</v>
      </c>
      <c r="HK22" s="471">
        <f t="shared" si="53"/>
        <v>16200000</v>
      </c>
      <c r="HM22" s="471">
        <f>AJ22+AZ22+BP22+CJ22+DD22+EF22+EZ22+FT22+GN22</f>
        <v>197500000</v>
      </c>
      <c r="HN22" s="471">
        <f>AK22+BA22+BQ22+CK22+DE22+EG22+FA22+FU22+GO22</f>
        <v>159376565.5</v>
      </c>
      <c r="HO22" s="471">
        <f t="shared" si="54"/>
        <v>38123434.5</v>
      </c>
      <c r="HP22" s="531"/>
      <c r="HQ22" s="471">
        <f>BT22+CN22+DH22+EJ22+FD22+FX22+GR22</f>
        <v>39000000</v>
      </c>
      <c r="HR22" s="471">
        <f>BU22+CO22+DI22+EK22+FE22+FY22+GS22</f>
        <v>20850000</v>
      </c>
      <c r="HS22" s="471">
        <f t="shared" si="55"/>
        <v>18150000</v>
      </c>
    </row>
    <row r="23" spans="1:227" x14ac:dyDescent="0.25">
      <c r="A23" s="107">
        <v>20</v>
      </c>
      <c r="B23" s="107" t="s">
        <v>219</v>
      </c>
      <c r="C23" s="631" t="s">
        <v>76</v>
      </c>
      <c r="D23" s="488">
        <v>1250000</v>
      </c>
      <c r="E23" s="488">
        <v>1250000</v>
      </c>
      <c r="F23" s="468">
        <f t="shared" si="12"/>
        <v>0</v>
      </c>
      <c r="G23" s="488"/>
      <c r="H23" s="468">
        <v>25240000</v>
      </c>
      <c r="I23" s="468">
        <v>25240000</v>
      </c>
      <c r="J23" s="468">
        <f t="shared" si="13"/>
        <v>0</v>
      </c>
      <c r="K23" s="488"/>
      <c r="L23" s="468">
        <v>25000000</v>
      </c>
      <c r="M23" s="468">
        <v>25000000</v>
      </c>
      <c r="N23" s="468">
        <f t="shared" si="14"/>
        <v>0</v>
      </c>
      <c r="O23" s="488"/>
      <c r="P23" s="468">
        <f>3000000-3000000</f>
        <v>0</v>
      </c>
      <c r="Q23" s="468">
        <v>0</v>
      </c>
      <c r="R23" s="468">
        <f t="shared" si="15"/>
        <v>0</v>
      </c>
      <c r="S23" s="488"/>
      <c r="T23" s="468">
        <v>1000000</v>
      </c>
      <c r="U23" s="468">
        <v>1000000</v>
      </c>
      <c r="V23" s="468">
        <f t="shared" si="16"/>
        <v>0</v>
      </c>
      <c r="W23" s="488"/>
      <c r="X23" s="468">
        <v>30000000</v>
      </c>
      <c r="Y23" s="468">
        <v>30000000</v>
      </c>
      <c r="Z23" s="468">
        <f t="shared" si="17"/>
        <v>0</v>
      </c>
      <c r="AA23" s="488"/>
      <c r="AB23" s="468">
        <f>5000000-5000000</f>
        <v>0</v>
      </c>
      <c r="AC23" s="468">
        <v>0</v>
      </c>
      <c r="AD23" s="468">
        <f t="shared" si="18"/>
        <v>0</v>
      </c>
      <c r="AE23" s="488"/>
      <c r="AF23" s="468">
        <v>2000000</v>
      </c>
      <c r="AG23" s="468">
        <v>2000000</v>
      </c>
      <c r="AH23" s="468">
        <f t="shared" si="19"/>
        <v>0</v>
      </c>
      <c r="AI23" s="488"/>
      <c r="AJ23" s="468">
        <v>7500000</v>
      </c>
      <c r="AK23" s="468">
        <f>2060960+5439040</f>
        <v>7500000</v>
      </c>
      <c r="AL23" s="468">
        <f t="shared" si="20"/>
        <v>0</v>
      </c>
      <c r="AM23" s="468"/>
      <c r="AN23" s="468">
        <v>40000000</v>
      </c>
      <c r="AO23" s="468">
        <f>44737250.3+3263000-8000250.3</f>
        <v>40000000</v>
      </c>
      <c r="AP23" s="468">
        <f t="shared" si="0"/>
        <v>0</v>
      </c>
      <c r="AQ23" s="488"/>
      <c r="AR23" s="468">
        <v>3000000</v>
      </c>
      <c r="AS23" s="468">
        <v>3000000</v>
      </c>
      <c r="AT23" s="468">
        <f t="shared" si="21"/>
        <v>0</v>
      </c>
      <c r="AU23" s="488"/>
      <c r="AV23" s="468">
        <v>2000000</v>
      </c>
      <c r="AW23" s="468">
        <v>2000000</v>
      </c>
      <c r="AX23" s="468">
        <f t="shared" si="22"/>
        <v>0</v>
      </c>
      <c r="AY23" s="488"/>
      <c r="AZ23" s="468">
        <v>10000000</v>
      </c>
      <c r="BA23" s="468">
        <f>4947045+3552625+1500330</f>
        <v>10000000</v>
      </c>
      <c r="BB23" s="468">
        <f t="shared" si="1"/>
        <v>0</v>
      </c>
      <c r="BC23" s="488"/>
      <c r="BD23" s="468">
        <v>64000000</v>
      </c>
      <c r="BE23" s="468">
        <f>52083200+8000250.3+3916549.7</f>
        <v>64000000</v>
      </c>
      <c r="BF23" s="468">
        <f t="shared" si="23"/>
        <v>0</v>
      </c>
      <c r="BG23" s="488"/>
      <c r="BH23" s="468">
        <v>9500000</v>
      </c>
      <c r="BI23" s="514">
        <f>810855+4084050</f>
        <v>4894905</v>
      </c>
      <c r="BJ23" s="468">
        <f t="shared" si="24"/>
        <v>4605095</v>
      </c>
      <c r="BK23" s="488"/>
      <c r="BL23" s="468">
        <v>5000000</v>
      </c>
      <c r="BM23" s="468">
        <v>5000000</v>
      </c>
      <c r="BN23" s="468">
        <f t="shared" si="25"/>
        <v>0</v>
      </c>
      <c r="BO23" s="488"/>
      <c r="BP23" s="468">
        <v>20000000</v>
      </c>
      <c r="BQ23" s="468">
        <v>20000000</v>
      </c>
      <c r="BR23" s="468">
        <f t="shared" si="2"/>
        <v>0</v>
      </c>
      <c r="BS23" s="488"/>
      <c r="BT23" s="468">
        <v>1000000</v>
      </c>
      <c r="BU23" s="468">
        <v>0</v>
      </c>
      <c r="BV23" s="468">
        <f t="shared" si="3"/>
        <v>1000000</v>
      </c>
      <c r="BW23" s="488"/>
      <c r="BX23" s="468">
        <v>80000000</v>
      </c>
      <c r="BY23" s="468">
        <f>51315000+28685000</f>
        <v>80000000</v>
      </c>
      <c r="BZ23" s="468">
        <f t="shared" si="26"/>
        <v>0</v>
      </c>
      <c r="CA23" s="488"/>
      <c r="CB23" s="468">
        <v>10000000</v>
      </c>
      <c r="CC23" s="468">
        <v>0</v>
      </c>
      <c r="CD23" s="468">
        <f t="shared" si="4"/>
        <v>10000000</v>
      </c>
      <c r="CE23" s="488"/>
      <c r="CF23" s="468">
        <v>10000000</v>
      </c>
      <c r="CG23" s="468">
        <f>377820+9622180</f>
        <v>10000000</v>
      </c>
      <c r="CH23" s="468">
        <f t="shared" si="27"/>
        <v>0</v>
      </c>
      <c r="CI23" s="488"/>
      <c r="CJ23" s="468">
        <v>30000000</v>
      </c>
      <c r="CK23" s="468">
        <f>9928005+13226388+6845607</f>
        <v>30000000</v>
      </c>
      <c r="CL23" s="468">
        <f t="shared" si="5"/>
        <v>0</v>
      </c>
      <c r="CM23" s="488"/>
      <c r="CN23" s="468">
        <v>10000000</v>
      </c>
      <c r="CO23" s="468">
        <v>0</v>
      </c>
      <c r="CP23" s="468">
        <f t="shared" si="6"/>
        <v>10000000</v>
      </c>
      <c r="CQ23" s="488"/>
      <c r="CR23" s="468">
        <v>100000000</v>
      </c>
      <c r="CS23" s="468">
        <f>8530750+40371800+2669700+26958600+21469150</f>
        <v>100000000</v>
      </c>
      <c r="CT23" s="468">
        <f t="shared" si="7"/>
        <v>0</v>
      </c>
      <c r="CU23" s="488"/>
      <c r="CV23" s="468">
        <v>20000000</v>
      </c>
      <c r="CW23" s="468">
        <v>8194584</v>
      </c>
      <c r="CX23" s="468">
        <f t="shared" si="8"/>
        <v>11805416</v>
      </c>
      <c r="CY23" s="488"/>
      <c r="CZ23" s="468">
        <v>20000000</v>
      </c>
      <c r="DA23" s="468">
        <v>20000000</v>
      </c>
      <c r="DB23" s="468">
        <f t="shared" si="9"/>
        <v>0</v>
      </c>
      <c r="DC23" s="488"/>
      <c r="DD23" s="468">
        <v>50000000</v>
      </c>
      <c r="DE23" s="468">
        <v>50000000</v>
      </c>
      <c r="DF23" s="468">
        <f t="shared" si="10"/>
        <v>0</v>
      </c>
      <c r="DG23" s="488"/>
      <c r="DH23" s="468">
        <v>10000000</v>
      </c>
      <c r="DI23" s="468">
        <v>0</v>
      </c>
      <c r="DJ23" s="468">
        <f t="shared" si="11"/>
        <v>10000000</v>
      </c>
      <c r="DK23" s="488"/>
      <c r="DL23" s="471">
        <v>0</v>
      </c>
      <c r="DM23" s="471">
        <v>0</v>
      </c>
      <c r="DN23" s="471">
        <f t="shared" si="28"/>
        <v>0</v>
      </c>
      <c r="DO23" s="539"/>
      <c r="DP23" s="471"/>
      <c r="DQ23" s="471"/>
      <c r="DR23" s="471"/>
      <c r="DS23" s="473"/>
      <c r="DT23" s="471">
        <v>70000000</v>
      </c>
      <c r="DU23" s="471">
        <f>26699858.64+17885300.3+6000000+19414841.06</f>
        <v>70000000</v>
      </c>
      <c r="DV23" s="471">
        <f t="shared" si="29"/>
        <v>0</v>
      </c>
      <c r="DW23" s="473"/>
      <c r="DX23" s="471">
        <v>10000000</v>
      </c>
      <c r="DY23" s="471">
        <v>0</v>
      </c>
      <c r="DZ23" s="471">
        <f t="shared" si="30"/>
        <v>10000000</v>
      </c>
      <c r="EA23" s="473"/>
      <c r="EB23" s="471">
        <v>5000000</v>
      </c>
      <c r="EC23" s="471">
        <f>128220</f>
        <v>128220</v>
      </c>
      <c r="ED23" s="471">
        <f t="shared" si="31"/>
        <v>4871780</v>
      </c>
      <c r="EE23" s="473"/>
      <c r="EF23" s="471">
        <v>20000000</v>
      </c>
      <c r="EG23" s="553">
        <f>6651288+23441538+19877588+18170082+3903116-71956000+3062180+3983520+11439426</f>
        <v>18572738</v>
      </c>
      <c r="EH23" s="471">
        <f t="shared" si="32"/>
        <v>1427262</v>
      </c>
      <c r="EI23" s="473"/>
      <c r="EJ23" s="471">
        <v>5000000</v>
      </c>
      <c r="EK23" s="471">
        <v>0</v>
      </c>
      <c r="EL23" s="471">
        <f t="shared" si="33"/>
        <v>5000000</v>
      </c>
      <c r="EM23" s="631" t="s">
        <v>76</v>
      </c>
      <c r="EN23" s="475">
        <v>200000000</v>
      </c>
      <c r="EO23" s="626">
        <f>86632848.54+13500000+57293750+41100000+1473401.46</f>
        <v>200000000.00000003</v>
      </c>
      <c r="EP23" s="475">
        <f t="shared" si="34"/>
        <v>0</v>
      </c>
      <c r="EQ23" s="475"/>
      <c r="ER23" s="475">
        <v>18000000</v>
      </c>
      <c r="ES23" s="475">
        <v>0</v>
      </c>
      <c r="ET23" s="475">
        <f t="shared" si="35"/>
        <v>18000000</v>
      </c>
      <c r="EU23" s="475"/>
      <c r="EV23" s="475">
        <v>5000000</v>
      </c>
      <c r="EW23" s="475">
        <v>0</v>
      </c>
      <c r="EX23" s="475">
        <f t="shared" si="36"/>
        <v>5000000</v>
      </c>
      <c r="EY23" s="475"/>
      <c r="EZ23" s="475">
        <v>25000000</v>
      </c>
      <c r="FA23" s="475">
        <v>2407800</v>
      </c>
      <c r="FB23" s="475">
        <f t="shared" si="37"/>
        <v>22592200</v>
      </c>
      <c r="FC23" s="475"/>
      <c r="FD23" s="475">
        <v>5000000</v>
      </c>
      <c r="FE23" s="475">
        <v>0</v>
      </c>
      <c r="FF23" s="475">
        <f t="shared" si="38"/>
        <v>5000000</v>
      </c>
      <c r="FG23" s="107"/>
      <c r="FH23" s="475">
        <v>75000000</v>
      </c>
      <c r="FI23" s="626">
        <f>9926598.54</f>
        <v>9926598.5399999991</v>
      </c>
      <c r="FJ23" s="475">
        <f t="shared" si="39"/>
        <v>65073401.460000001</v>
      </c>
      <c r="FK23" s="475"/>
      <c r="FL23" s="475">
        <v>20000000</v>
      </c>
      <c r="FM23" s="475">
        <v>0</v>
      </c>
      <c r="FN23" s="475">
        <f t="shared" si="40"/>
        <v>20000000</v>
      </c>
      <c r="FO23" s="475"/>
      <c r="FP23" s="475">
        <v>5000000</v>
      </c>
      <c r="FQ23" s="475">
        <v>0</v>
      </c>
      <c r="FR23" s="475">
        <f t="shared" si="41"/>
        <v>5000000</v>
      </c>
      <c r="FS23" s="475"/>
      <c r="FT23" s="475">
        <v>20000000</v>
      </c>
      <c r="FU23" s="475">
        <v>0</v>
      </c>
      <c r="FV23" s="475">
        <f t="shared" si="42"/>
        <v>20000000</v>
      </c>
      <c r="FW23" s="475"/>
      <c r="FX23" s="475">
        <v>5000000</v>
      </c>
      <c r="FY23" s="475">
        <v>0</v>
      </c>
      <c r="FZ23" s="475">
        <f t="shared" si="43"/>
        <v>5000000</v>
      </c>
      <c r="GA23" s="475"/>
      <c r="GB23" s="475">
        <v>100000000</v>
      </c>
      <c r="GC23" s="475">
        <v>0</v>
      </c>
      <c r="GD23" s="475">
        <f t="shared" si="44"/>
        <v>100000000</v>
      </c>
      <c r="GE23" s="475"/>
      <c r="GF23" s="475">
        <v>20000000</v>
      </c>
      <c r="GG23" s="475">
        <v>0</v>
      </c>
      <c r="GH23" s="475">
        <f t="shared" si="45"/>
        <v>20000000</v>
      </c>
      <c r="GI23" s="475"/>
      <c r="GJ23" s="475">
        <v>3000000</v>
      </c>
      <c r="GK23" s="475">
        <v>0</v>
      </c>
      <c r="GL23" s="475">
        <f t="shared" si="46"/>
        <v>3000000</v>
      </c>
      <c r="GM23" s="475"/>
      <c r="GN23" s="475">
        <v>15000000</v>
      </c>
      <c r="GO23" s="475">
        <v>0</v>
      </c>
      <c r="GP23" s="475">
        <f t="shared" si="47"/>
        <v>15000000</v>
      </c>
      <c r="GQ23" s="475"/>
      <c r="GR23" s="475">
        <v>3000000</v>
      </c>
      <c r="GS23" s="475">
        <v>0</v>
      </c>
      <c r="GT23" s="475">
        <f t="shared" si="48"/>
        <v>3000000</v>
      </c>
      <c r="GU23" s="475"/>
      <c r="GV23" s="468">
        <f t="shared" si="49"/>
        <v>1215490000</v>
      </c>
      <c r="GW23" s="468">
        <f t="shared" si="49"/>
        <v>840114845.53999996</v>
      </c>
      <c r="GX23" s="468">
        <f t="shared" si="50"/>
        <v>375375154.46000004</v>
      </c>
      <c r="GY23" s="472"/>
      <c r="HA23" s="468">
        <f>D23+H23+L23+X23+AN23+BD23+BX23+CR23+DT23+DL23+EN23+FH23+GB23</f>
        <v>810490000</v>
      </c>
      <c r="HB23" s="468">
        <f>E23+I23+M23+Y23+AO23+BE23+BY23+CS23+DU23+DM23+EO23+FI23+GC23</f>
        <v>645416598.53999996</v>
      </c>
      <c r="HC23" s="471">
        <f t="shared" si="51"/>
        <v>165073401.46000004</v>
      </c>
      <c r="HE23" s="471">
        <f>P23+AB23+AR23+BH23+CB23+CV23+DX23+ER23+FL23+GF23</f>
        <v>110500000</v>
      </c>
      <c r="HF23" s="471">
        <f>Q23+AC23+AS23+BI23+CC23+CW23+DY23+ES23+FM23+GG23</f>
        <v>16089489</v>
      </c>
      <c r="HG23" s="471">
        <f t="shared" si="52"/>
        <v>94410511</v>
      </c>
      <c r="HI23" s="471">
        <f>T23+AF23+AV23+BL23+CF23+CZ23+EB23+EV23+FP23+GJ23</f>
        <v>58000000</v>
      </c>
      <c r="HJ23" s="471">
        <f>U23+AG23+AW23+BM23+CG23+DA23+EC23+EW23+FQ23+GK23</f>
        <v>40128220</v>
      </c>
      <c r="HK23" s="471">
        <f t="shared" si="53"/>
        <v>17871780</v>
      </c>
      <c r="HM23" s="471">
        <f>AJ23+AZ23+BP23+CJ23+DD23+EF23+EZ23+FT23+GN23</f>
        <v>197500000</v>
      </c>
      <c r="HN23" s="471">
        <f>AK23+BA23+BQ23+CK23+DE23+EG23+FA23+FU23+GO23</f>
        <v>138480538</v>
      </c>
      <c r="HO23" s="471">
        <f t="shared" si="54"/>
        <v>59019462</v>
      </c>
      <c r="HP23" s="531"/>
      <c r="HQ23" s="471">
        <f>BT23+CN23+DH23+EJ23+FD23+FX23+GR23</f>
        <v>39000000</v>
      </c>
      <c r="HR23" s="471">
        <f>BU23+CO23+DI23+EK23+FE23+FY23+GS23</f>
        <v>0</v>
      </c>
      <c r="HS23" s="471">
        <f t="shared" si="55"/>
        <v>39000000</v>
      </c>
    </row>
    <row r="24" spans="1:227" x14ac:dyDescent="0.25">
      <c r="A24" s="107">
        <v>21</v>
      </c>
      <c r="B24" s="107" t="s">
        <v>220</v>
      </c>
      <c r="C24" s="631" t="s">
        <v>74</v>
      </c>
      <c r="D24" s="488">
        <v>1250000</v>
      </c>
      <c r="E24" s="488">
        <v>1250000</v>
      </c>
      <c r="F24" s="468">
        <f t="shared" si="12"/>
        <v>0</v>
      </c>
      <c r="G24" s="488"/>
      <c r="H24" s="468">
        <v>16555250</v>
      </c>
      <c r="I24" s="468">
        <f>3500000+9955250+3100000</f>
        <v>16555250</v>
      </c>
      <c r="J24" s="468">
        <f t="shared" si="13"/>
        <v>0</v>
      </c>
      <c r="K24" s="488"/>
      <c r="L24" s="468">
        <v>25000000</v>
      </c>
      <c r="M24" s="468">
        <v>25000000</v>
      </c>
      <c r="N24" s="468">
        <f t="shared" si="14"/>
        <v>0</v>
      </c>
      <c r="O24" s="488"/>
      <c r="P24" s="468">
        <v>2999850</v>
      </c>
      <c r="Q24" s="468">
        <v>2999850</v>
      </c>
      <c r="R24" s="468">
        <f t="shared" si="15"/>
        <v>0</v>
      </c>
      <c r="S24" s="488"/>
      <c r="T24" s="468">
        <v>850000</v>
      </c>
      <c r="U24" s="468">
        <v>850000</v>
      </c>
      <c r="V24" s="468">
        <f t="shared" si="16"/>
        <v>0</v>
      </c>
      <c r="W24" s="488"/>
      <c r="X24" s="468">
        <v>29108111</v>
      </c>
      <c r="Y24" s="468">
        <f>6469300+22638811</f>
        <v>29108111</v>
      </c>
      <c r="Z24" s="468">
        <f t="shared" si="17"/>
        <v>0</v>
      </c>
      <c r="AA24" s="488"/>
      <c r="AB24" s="468">
        <f>5000000-5000000</f>
        <v>0</v>
      </c>
      <c r="AC24" s="468">
        <v>0</v>
      </c>
      <c r="AD24" s="468">
        <f t="shared" si="18"/>
        <v>0</v>
      </c>
      <c r="AE24" s="488"/>
      <c r="AF24" s="468">
        <f>2000000-2000000</f>
        <v>0</v>
      </c>
      <c r="AG24" s="468">
        <v>0</v>
      </c>
      <c r="AH24" s="468">
        <f t="shared" si="19"/>
        <v>0</v>
      </c>
      <c r="AI24" s="488"/>
      <c r="AJ24" s="468">
        <v>7500000</v>
      </c>
      <c r="AK24" s="468">
        <v>7500000</v>
      </c>
      <c r="AL24" s="468">
        <f t="shared" si="20"/>
        <v>0</v>
      </c>
      <c r="AM24" s="468"/>
      <c r="AN24" s="468">
        <v>40000000</v>
      </c>
      <c r="AO24" s="468">
        <f>19449950+3689675+16860375</f>
        <v>40000000</v>
      </c>
      <c r="AP24" s="468">
        <f t="shared" si="0"/>
        <v>0</v>
      </c>
      <c r="AQ24" s="488"/>
      <c r="AR24" s="468">
        <v>3000000</v>
      </c>
      <c r="AS24" s="468">
        <f>3000000</f>
        <v>3000000</v>
      </c>
      <c r="AT24" s="468">
        <f t="shared" si="21"/>
        <v>0</v>
      </c>
      <c r="AU24" s="488"/>
      <c r="AV24" s="468">
        <v>2000000</v>
      </c>
      <c r="AW24" s="468">
        <v>121275</v>
      </c>
      <c r="AX24" s="468">
        <f t="shared" si="22"/>
        <v>1878725</v>
      </c>
      <c r="AY24" s="488"/>
      <c r="AZ24" s="468">
        <v>10000000</v>
      </c>
      <c r="BA24" s="468">
        <f>3322450+764000+268000+2064205+184000</f>
        <v>6602655</v>
      </c>
      <c r="BB24" s="468">
        <f t="shared" si="1"/>
        <v>3397345</v>
      </c>
      <c r="BC24" s="488"/>
      <c r="BD24" s="468">
        <v>64000000</v>
      </c>
      <c r="BE24" s="468">
        <f>25224000+19709175+19066825</f>
        <v>64000000</v>
      </c>
      <c r="BF24" s="468">
        <f t="shared" si="23"/>
        <v>0</v>
      </c>
      <c r="BG24" s="488"/>
      <c r="BH24" s="468">
        <v>9500000</v>
      </c>
      <c r="BI24" s="468">
        <f>9500000</f>
        <v>9500000</v>
      </c>
      <c r="BJ24" s="468">
        <f t="shared" si="24"/>
        <v>0</v>
      </c>
      <c r="BK24" s="488"/>
      <c r="BL24" s="468">
        <v>5000000</v>
      </c>
      <c r="BM24" s="468">
        <v>0</v>
      </c>
      <c r="BN24" s="468">
        <f t="shared" si="25"/>
        <v>5000000</v>
      </c>
      <c r="BO24" s="488"/>
      <c r="BP24" s="468">
        <v>20000000</v>
      </c>
      <c r="BQ24" s="468">
        <f>787500+717600+4071240+2642600+11781060</f>
        <v>20000000</v>
      </c>
      <c r="BR24" s="468">
        <f t="shared" si="2"/>
        <v>0</v>
      </c>
      <c r="BS24" s="488"/>
      <c r="BT24" s="468">
        <v>1000000</v>
      </c>
      <c r="BU24" s="468">
        <v>0</v>
      </c>
      <c r="BV24" s="468">
        <f t="shared" si="3"/>
        <v>1000000</v>
      </c>
      <c r="BW24" s="488"/>
      <c r="BX24" s="468">
        <v>80000000</v>
      </c>
      <c r="BY24" s="468">
        <f>2484975+4950000+4000000+11786780+6100000+24147200+26531045</f>
        <v>80000000</v>
      </c>
      <c r="BZ24" s="468">
        <f t="shared" si="26"/>
        <v>0</v>
      </c>
      <c r="CA24" s="488"/>
      <c r="CB24" s="468">
        <v>10000000</v>
      </c>
      <c r="CC24" s="468">
        <f>6908540+3091460</f>
        <v>10000000</v>
      </c>
      <c r="CD24" s="468">
        <f t="shared" si="4"/>
        <v>0</v>
      </c>
      <c r="CE24" s="488"/>
      <c r="CF24" s="468">
        <v>10000000</v>
      </c>
      <c r="CG24" s="468">
        <v>0</v>
      </c>
      <c r="CH24" s="468">
        <f t="shared" si="27"/>
        <v>10000000</v>
      </c>
      <c r="CI24" s="488"/>
      <c r="CJ24" s="468">
        <v>30000000</v>
      </c>
      <c r="CK24" s="468">
        <f>194700+6695540+6325700+2971400+11107628+2705032</f>
        <v>30000000</v>
      </c>
      <c r="CL24" s="468">
        <f t="shared" si="5"/>
        <v>0</v>
      </c>
      <c r="CM24" s="488"/>
      <c r="CN24" s="468">
        <v>10000000</v>
      </c>
      <c r="CO24" s="468">
        <v>0</v>
      </c>
      <c r="CP24" s="468">
        <f t="shared" si="6"/>
        <v>10000000</v>
      </c>
      <c r="CQ24" s="488"/>
      <c r="CR24" s="468">
        <v>100000000</v>
      </c>
      <c r="CS24" s="468">
        <f>1605165+600000+600000-600000+2852250+1200000</f>
        <v>6257415</v>
      </c>
      <c r="CT24" s="468">
        <f t="shared" si="7"/>
        <v>93742585</v>
      </c>
      <c r="CU24" s="488"/>
      <c r="CV24" s="468">
        <v>20000000</v>
      </c>
      <c r="CW24" s="469">
        <f>3887457.14+10472035.78</f>
        <v>14359492.92</v>
      </c>
      <c r="CX24" s="468">
        <f t="shared" si="8"/>
        <v>5640507.0800000001</v>
      </c>
      <c r="CY24" s="488"/>
      <c r="CZ24" s="468">
        <v>20000000</v>
      </c>
      <c r="DA24" s="468">
        <v>687225</v>
      </c>
      <c r="DB24" s="468">
        <f t="shared" si="9"/>
        <v>19312775</v>
      </c>
      <c r="DC24" s="488"/>
      <c r="DD24" s="468">
        <v>50000000</v>
      </c>
      <c r="DE24" s="468">
        <f>3802388+2452906+4372520+8375200+2070161+19109514+2216495</f>
        <v>42399184</v>
      </c>
      <c r="DF24" s="468">
        <f t="shared" si="10"/>
        <v>7600816</v>
      </c>
      <c r="DG24" s="488"/>
      <c r="DH24" s="468">
        <v>10000000</v>
      </c>
      <c r="DI24" s="468">
        <v>0</v>
      </c>
      <c r="DJ24" s="468">
        <f t="shared" si="11"/>
        <v>10000000</v>
      </c>
      <c r="DK24" s="488"/>
      <c r="DL24" s="471">
        <v>0</v>
      </c>
      <c r="DM24" s="471">
        <v>0</v>
      </c>
      <c r="DN24" s="471">
        <f t="shared" si="28"/>
        <v>0</v>
      </c>
      <c r="DO24" s="539"/>
      <c r="DP24" s="471"/>
      <c r="DQ24" s="471"/>
      <c r="DR24" s="471"/>
      <c r="DS24" s="473"/>
      <c r="DT24" s="471">
        <v>70000000</v>
      </c>
      <c r="DU24" s="471">
        <f>14000000+47504820.4+8495179.6</f>
        <v>70000000</v>
      </c>
      <c r="DV24" s="471">
        <f t="shared" si="29"/>
        <v>0</v>
      </c>
      <c r="DW24" s="473"/>
      <c r="DX24" s="471">
        <v>10000000</v>
      </c>
      <c r="DY24" s="471">
        <v>0</v>
      </c>
      <c r="DZ24" s="471">
        <f t="shared" si="30"/>
        <v>10000000</v>
      </c>
      <c r="EA24" s="473"/>
      <c r="EB24" s="471">
        <v>5000000</v>
      </c>
      <c r="EC24" s="471">
        <v>0</v>
      </c>
      <c r="ED24" s="471">
        <f t="shared" si="31"/>
        <v>5000000</v>
      </c>
      <c r="EE24" s="473"/>
      <c r="EF24" s="471">
        <v>20000000</v>
      </c>
      <c r="EG24" s="471">
        <f>9497356+10502644</f>
        <v>20000000</v>
      </c>
      <c r="EH24" s="471">
        <f t="shared" si="32"/>
        <v>0</v>
      </c>
      <c r="EI24" s="473"/>
      <c r="EJ24" s="471">
        <v>5000000</v>
      </c>
      <c r="EK24" s="471">
        <v>0</v>
      </c>
      <c r="EL24" s="471">
        <f t="shared" si="33"/>
        <v>5000000</v>
      </c>
      <c r="EM24" s="631" t="s">
        <v>74</v>
      </c>
      <c r="EN24" s="475">
        <v>200000000</v>
      </c>
      <c r="EO24" s="475">
        <f>19013775.4+13800000+18291522.4+87185139.55+49373915</f>
        <v>187664352.34999999</v>
      </c>
      <c r="EP24" s="475">
        <f t="shared" si="34"/>
        <v>12335647.650000006</v>
      </c>
      <c r="EQ24" s="475"/>
      <c r="ER24" s="475">
        <v>18000000</v>
      </c>
      <c r="ES24" s="475">
        <v>0</v>
      </c>
      <c r="ET24" s="475">
        <f t="shared" si="35"/>
        <v>18000000</v>
      </c>
      <c r="EU24" s="475"/>
      <c r="EV24" s="475">
        <v>5000000</v>
      </c>
      <c r="EW24" s="475">
        <v>0</v>
      </c>
      <c r="EX24" s="475">
        <f t="shared" si="36"/>
        <v>5000000</v>
      </c>
      <c r="EY24" s="475"/>
      <c r="EZ24" s="475">
        <v>25000000</v>
      </c>
      <c r="FA24" s="624">
        <f>2165116+3235135+3235135-3235135+11685830+4574811</f>
        <v>21660892</v>
      </c>
      <c r="FB24" s="475">
        <f t="shared" si="37"/>
        <v>3339108</v>
      </c>
      <c r="FC24" s="475"/>
      <c r="FD24" s="475">
        <v>5000000</v>
      </c>
      <c r="FE24" s="475">
        <v>0</v>
      </c>
      <c r="FF24" s="475">
        <f t="shared" si="38"/>
        <v>5000000</v>
      </c>
      <c r="FG24" s="107"/>
      <c r="FH24" s="475">
        <v>75000000</v>
      </c>
      <c r="FI24" s="475">
        <v>0</v>
      </c>
      <c r="FJ24" s="475">
        <f t="shared" si="39"/>
        <v>75000000</v>
      </c>
      <c r="FK24" s="475"/>
      <c r="FL24" s="475">
        <v>20000000</v>
      </c>
      <c r="FM24" s="475">
        <v>0</v>
      </c>
      <c r="FN24" s="475">
        <f t="shared" si="40"/>
        <v>20000000</v>
      </c>
      <c r="FO24" s="475"/>
      <c r="FP24" s="475">
        <v>5000000</v>
      </c>
      <c r="FQ24" s="475">
        <v>0</v>
      </c>
      <c r="FR24" s="475">
        <f t="shared" si="41"/>
        <v>5000000</v>
      </c>
      <c r="FS24" s="475"/>
      <c r="FT24" s="475">
        <v>20000000</v>
      </c>
      <c r="FU24" s="475">
        <v>0</v>
      </c>
      <c r="FV24" s="475">
        <f t="shared" si="42"/>
        <v>20000000</v>
      </c>
      <c r="FW24" s="475"/>
      <c r="FX24" s="475">
        <v>5000000</v>
      </c>
      <c r="FY24" s="475">
        <v>0</v>
      </c>
      <c r="FZ24" s="475">
        <f t="shared" si="43"/>
        <v>5000000</v>
      </c>
      <c r="GA24" s="475"/>
      <c r="GB24" s="475">
        <v>100000000</v>
      </c>
      <c r="GC24" s="475">
        <v>0</v>
      </c>
      <c r="GD24" s="475">
        <f t="shared" si="44"/>
        <v>100000000</v>
      </c>
      <c r="GE24" s="475"/>
      <c r="GF24" s="475">
        <v>20000000</v>
      </c>
      <c r="GG24" s="475">
        <v>0</v>
      </c>
      <c r="GH24" s="475">
        <f t="shared" si="45"/>
        <v>20000000</v>
      </c>
      <c r="GI24" s="475"/>
      <c r="GJ24" s="475">
        <v>3000000</v>
      </c>
      <c r="GK24" s="475">
        <v>0</v>
      </c>
      <c r="GL24" s="475">
        <f t="shared" si="46"/>
        <v>3000000</v>
      </c>
      <c r="GM24" s="475"/>
      <c r="GN24" s="475">
        <v>15000000</v>
      </c>
      <c r="GO24" s="475">
        <v>0</v>
      </c>
      <c r="GP24" s="475">
        <f t="shared" si="47"/>
        <v>15000000</v>
      </c>
      <c r="GQ24" s="475"/>
      <c r="GR24" s="475">
        <v>3000000</v>
      </c>
      <c r="GS24" s="475">
        <v>0</v>
      </c>
      <c r="GT24" s="475">
        <f t="shared" si="48"/>
        <v>3000000</v>
      </c>
      <c r="GU24" s="475"/>
      <c r="GV24" s="468">
        <f t="shared" si="49"/>
        <v>1206763211</v>
      </c>
      <c r="GW24" s="468">
        <f t="shared" si="49"/>
        <v>709515702.26999998</v>
      </c>
      <c r="GX24" s="468">
        <f t="shared" si="50"/>
        <v>497247508.73000002</v>
      </c>
      <c r="GY24" s="472"/>
      <c r="HA24" s="468">
        <f>D24+H24+L24+X24+AN24+BD24+BX24+CR24+DT24+DL24+EN24+FH24+GB24</f>
        <v>800913361</v>
      </c>
      <c r="HB24" s="468">
        <f>E24+I24+M24+Y24+AO24+BE24+BY24+CS24+DU24+DM24+EO24+FI24+GC24</f>
        <v>519835128.35000002</v>
      </c>
      <c r="HC24" s="471">
        <f t="shared" si="51"/>
        <v>281078232.64999998</v>
      </c>
      <c r="HE24" s="471">
        <f>P24+AB24+AR24+BH24+CB24+CV24+DX24+ER24+FL24+GF24</f>
        <v>113499850</v>
      </c>
      <c r="HF24" s="471">
        <f>Q24+AC24+AS24+BI24+CC24+CW24+DY24+ES24+FM24+GG24</f>
        <v>39859342.920000002</v>
      </c>
      <c r="HG24" s="471">
        <f t="shared" si="52"/>
        <v>73640507.079999998</v>
      </c>
      <c r="HI24" s="471">
        <f>T24+AF24+AV24+BL24+CF24+CZ24+EB24+EV24+FP24+GJ24</f>
        <v>55850000</v>
      </c>
      <c r="HJ24" s="471">
        <f>U24+AG24+AW24+BM24+CG24+DA24+EC24+EW24+FQ24+GK24</f>
        <v>1658500</v>
      </c>
      <c r="HK24" s="471">
        <f t="shared" si="53"/>
        <v>54191500</v>
      </c>
      <c r="HM24" s="471">
        <f>AJ24+AZ24+BP24+CJ24+DD24+EF24+EZ24+FT24+GN24</f>
        <v>197500000</v>
      </c>
      <c r="HN24" s="471">
        <f>AK24+BA24+BQ24+CK24+DE24+EG24+FA24+FU24+GO24</f>
        <v>148162731</v>
      </c>
      <c r="HO24" s="471">
        <f t="shared" si="54"/>
        <v>49337269</v>
      </c>
      <c r="HP24" s="531"/>
      <c r="HQ24" s="471">
        <f>BT24+CN24+DH24+EJ24+FD24+FX24+GR24</f>
        <v>39000000</v>
      </c>
      <c r="HR24" s="471">
        <f>BU24+CO24+DI24+EK24+FE24+FY24+GS24</f>
        <v>0</v>
      </c>
      <c r="HS24" s="471">
        <f t="shared" si="55"/>
        <v>39000000</v>
      </c>
    </row>
    <row r="25" spans="1:227" x14ac:dyDescent="0.25">
      <c r="A25" s="107">
        <v>22</v>
      </c>
      <c r="B25" s="107" t="s">
        <v>283</v>
      </c>
      <c r="C25" s="631" t="s">
        <v>65</v>
      </c>
      <c r="D25" s="468">
        <v>0</v>
      </c>
      <c r="E25" s="468">
        <v>0</v>
      </c>
      <c r="F25" s="468">
        <f t="shared" si="12"/>
        <v>0</v>
      </c>
      <c r="G25" s="468"/>
      <c r="H25" s="468">
        <v>25240000</v>
      </c>
      <c r="I25" s="468">
        <v>25240000</v>
      </c>
      <c r="J25" s="468">
        <f t="shared" si="13"/>
        <v>0</v>
      </c>
      <c r="K25" s="468"/>
      <c r="L25" s="468">
        <v>25000000</v>
      </c>
      <c r="M25" s="468">
        <v>25000000</v>
      </c>
      <c r="N25" s="468">
        <f t="shared" si="14"/>
        <v>0</v>
      </c>
      <c r="O25" s="468"/>
      <c r="P25" s="468">
        <v>1932000</v>
      </c>
      <c r="Q25" s="468">
        <v>1932000</v>
      </c>
      <c r="R25" s="468">
        <f t="shared" si="15"/>
        <v>0</v>
      </c>
      <c r="S25" s="468"/>
      <c r="T25" s="468">
        <f>1000000-1000000</f>
        <v>0</v>
      </c>
      <c r="U25" s="468">
        <v>0</v>
      </c>
      <c r="V25" s="468">
        <f t="shared" si="16"/>
        <v>0</v>
      </c>
      <c r="W25" s="468"/>
      <c r="X25" s="468">
        <v>30000000</v>
      </c>
      <c r="Y25" s="468">
        <v>30000000</v>
      </c>
      <c r="Z25" s="468">
        <f t="shared" si="17"/>
        <v>0</v>
      </c>
      <c r="AA25" s="468"/>
      <c r="AB25" s="468">
        <f>5000000-5000000</f>
        <v>0</v>
      </c>
      <c r="AC25" s="468">
        <v>0</v>
      </c>
      <c r="AD25" s="468">
        <f t="shared" si="18"/>
        <v>0</v>
      </c>
      <c r="AE25" s="468"/>
      <c r="AF25" s="468">
        <f>2000000-2000000</f>
        <v>0</v>
      </c>
      <c r="AG25" s="468">
        <v>0</v>
      </c>
      <c r="AH25" s="468">
        <f t="shared" si="19"/>
        <v>0</v>
      </c>
      <c r="AI25" s="468"/>
      <c r="AJ25" s="468">
        <v>7500000</v>
      </c>
      <c r="AK25" s="468">
        <v>7500000</v>
      </c>
      <c r="AL25" s="468">
        <f t="shared" si="20"/>
        <v>0</v>
      </c>
      <c r="AM25" s="468"/>
      <c r="AN25" s="468">
        <v>40000000</v>
      </c>
      <c r="AO25" s="468">
        <f>29084200+6400000+2200000+2315800</f>
        <v>40000000</v>
      </c>
      <c r="AP25" s="468">
        <f t="shared" si="0"/>
        <v>0</v>
      </c>
      <c r="AQ25" s="468"/>
      <c r="AR25" s="468">
        <v>3000000</v>
      </c>
      <c r="AS25" s="468">
        <v>3000000</v>
      </c>
      <c r="AT25" s="468">
        <f t="shared" si="21"/>
        <v>0</v>
      </c>
      <c r="AU25" s="468"/>
      <c r="AV25" s="468">
        <v>2000000</v>
      </c>
      <c r="AW25" s="468">
        <v>2000000</v>
      </c>
      <c r="AX25" s="468">
        <f t="shared" si="22"/>
        <v>0</v>
      </c>
      <c r="AY25" s="468"/>
      <c r="AZ25" s="468">
        <v>10000000</v>
      </c>
      <c r="BA25" s="468">
        <v>10000000</v>
      </c>
      <c r="BB25" s="468">
        <f t="shared" si="1"/>
        <v>0</v>
      </c>
      <c r="BC25" s="468"/>
      <c r="BD25" s="468">
        <v>64000000</v>
      </c>
      <c r="BE25" s="468">
        <f>1284200+700000+1750000+500000+3800000+3450000+2200000+2550000+10000000+200000</f>
        <v>26434200</v>
      </c>
      <c r="BF25" s="468">
        <f t="shared" si="23"/>
        <v>37565800</v>
      </c>
      <c r="BG25" s="542"/>
      <c r="BH25" s="468">
        <v>9500000</v>
      </c>
      <c r="BI25" s="468">
        <f>3395000+6105000</f>
        <v>9500000</v>
      </c>
      <c r="BJ25" s="468">
        <f t="shared" si="24"/>
        <v>0</v>
      </c>
      <c r="BK25" s="468"/>
      <c r="BL25" s="468">
        <v>5000000</v>
      </c>
      <c r="BM25" s="468">
        <v>5000000</v>
      </c>
      <c r="BN25" s="468">
        <f t="shared" si="25"/>
        <v>0</v>
      </c>
      <c r="BO25" s="468"/>
      <c r="BP25" s="468">
        <v>20000000</v>
      </c>
      <c r="BQ25" s="468">
        <f>2490000+9850170+3978820+3681010</f>
        <v>20000000</v>
      </c>
      <c r="BR25" s="468">
        <f t="shared" si="2"/>
        <v>0</v>
      </c>
      <c r="BS25" s="488"/>
      <c r="BT25" s="468">
        <v>1000000</v>
      </c>
      <c r="BU25" s="468">
        <v>0</v>
      </c>
      <c r="BV25" s="468">
        <f t="shared" si="3"/>
        <v>1000000</v>
      </c>
      <c r="BW25" s="468"/>
      <c r="BX25" s="468">
        <v>80000000</v>
      </c>
      <c r="BY25" s="490">
        <f>1900000+2000000+4000000+2250000+1400000+1700000+1050000+21000000+5700000</f>
        <v>41000000</v>
      </c>
      <c r="BZ25" s="468">
        <f t="shared" si="26"/>
        <v>39000000</v>
      </c>
      <c r="CA25" s="468"/>
      <c r="CB25" s="468">
        <v>10000000</v>
      </c>
      <c r="CC25" s="468">
        <f>8162520+65181</f>
        <v>8227701</v>
      </c>
      <c r="CD25" s="468">
        <f t="shared" si="4"/>
        <v>1772299</v>
      </c>
      <c r="CE25" s="468"/>
      <c r="CF25" s="468">
        <v>10000000</v>
      </c>
      <c r="CG25" s="468">
        <v>10000000</v>
      </c>
      <c r="CH25" s="468">
        <f t="shared" si="27"/>
        <v>0</v>
      </c>
      <c r="CI25" s="468"/>
      <c r="CJ25" s="468">
        <v>30000000</v>
      </c>
      <c r="CK25" s="468">
        <f>2877552+5345510+2584990+11325185+1606400+6260363</f>
        <v>30000000</v>
      </c>
      <c r="CL25" s="468">
        <f t="shared" si="5"/>
        <v>0</v>
      </c>
      <c r="CM25" s="488"/>
      <c r="CN25" s="468">
        <v>10000000</v>
      </c>
      <c r="CO25" s="468">
        <v>0</v>
      </c>
      <c r="CP25" s="468">
        <f t="shared" si="6"/>
        <v>10000000</v>
      </c>
      <c r="CQ25" s="468"/>
      <c r="CR25" s="468">
        <v>100000000</v>
      </c>
      <c r="CS25" s="468">
        <f>2800000+22500000</f>
        <v>25300000</v>
      </c>
      <c r="CT25" s="468">
        <f t="shared" si="7"/>
        <v>74700000</v>
      </c>
      <c r="CU25" s="468"/>
      <c r="CV25" s="468">
        <v>20000000</v>
      </c>
      <c r="CW25" s="468">
        <v>5750961</v>
      </c>
      <c r="CX25" s="468">
        <f t="shared" si="8"/>
        <v>14249039</v>
      </c>
      <c r="CY25" s="468"/>
      <c r="CZ25" s="468">
        <v>20000000</v>
      </c>
      <c r="DA25" s="489">
        <f>1981350+3349650+10915168.75</f>
        <v>16246168.75</v>
      </c>
      <c r="DB25" s="468">
        <f t="shared" si="9"/>
        <v>3753831.25</v>
      </c>
      <c r="DC25" s="468"/>
      <c r="DD25" s="468">
        <v>50000000</v>
      </c>
      <c r="DE25" s="490">
        <f>2521017+5206940+6079848+5167332+5999808+5047024+3859430+1407053.75+3449010.5+4206450-3449010.5+4485495</f>
        <v>43980397.75</v>
      </c>
      <c r="DF25" s="468">
        <f t="shared" si="10"/>
        <v>6019602.25</v>
      </c>
      <c r="DG25" s="468"/>
      <c r="DH25" s="468">
        <v>10000000</v>
      </c>
      <c r="DI25" s="468">
        <v>0</v>
      </c>
      <c r="DJ25" s="468">
        <f t="shared" si="11"/>
        <v>10000000</v>
      </c>
      <c r="DK25" s="468"/>
      <c r="DL25" s="471">
        <v>0</v>
      </c>
      <c r="DM25" s="471">
        <v>0</v>
      </c>
      <c r="DN25" s="471">
        <f t="shared" si="28"/>
        <v>0</v>
      </c>
      <c r="DO25" s="524"/>
      <c r="DP25" s="471"/>
      <c r="DQ25" s="471"/>
      <c r="DR25" s="471"/>
      <c r="DS25" s="473"/>
      <c r="DT25" s="471">
        <v>70000000</v>
      </c>
      <c r="DU25" s="471">
        <f>26392602.5+20700000+15600000</f>
        <v>62692602.5</v>
      </c>
      <c r="DV25" s="471">
        <f t="shared" si="29"/>
        <v>7307397.5</v>
      </c>
      <c r="DW25" s="473"/>
      <c r="DX25" s="471">
        <v>10000000</v>
      </c>
      <c r="DY25" s="471">
        <v>0</v>
      </c>
      <c r="DZ25" s="471">
        <f t="shared" si="30"/>
        <v>10000000</v>
      </c>
      <c r="EA25" s="473"/>
      <c r="EB25" s="471">
        <v>5000000</v>
      </c>
      <c r="EC25" s="471">
        <v>0</v>
      </c>
      <c r="ED25" s="471">
        <f t="shared" si="31"/>
        <v>5000000</v>
      </c>
      <c r="EE25" s="473"/>
      <c r="EF25" s="471">
        <v>20000000</v>
      </c>
      <c r="EG25" s="471">
        <f>7263700+9414100+3322200-9414100+1915955</f>
        <v>12501855</v>
      </c>
      <c r="EH25" s="471">
        <f t="shared" si="32"/>
        <v>7498145</v>
      </c>
      <c r="EI25" s="473"/>
      <c r="EJ25" s="471">
        <v>5000000</v>
      </c>
      <c r="EK25" s="471">
        <v>0</v>
      </c>
      <c r="EL25" s="471">
        <f t="shared" si="33"/>
        <v>5000000</v>
      </c>
      <c r="EM25" s="631" t="s">
        <v>65</v>
      </c>
      <c r="EN25" s="475">
        <v>200000000</v>
      </c>
      <c r="EO25" s="475">
        <v>0</v>
      </c>
      <c r="EP25" s="475">
        <f t="shared" si="34"/>
        <v>200000000</v>
      </c>
      <c r="EQ25" s="475"/>
      <c r="ER25" s="475">
        <v>18000000</v>
      </c>
      <c r="ES25" s="475">
        <v>0</v>
      </c>
      <c r="ET25" s="475">
        <f t="shared" si="35"/>
        <v>18000000</v>
      </c>
      <c r="EU25" s="475"/>
      <c r="EV25" s="475">
        <v>5000000</v>
      </c>
      <c r="EW25" s="475">
        <v>0</v>
      </c>
      <c r="EX25" s="475">
        <f t="shared" si="36"/>
        <v>5000000</v>
      </c>
      <c r="EY25" s="475"/>
      <c r="EZ25" s="475">
        <v>25000000</v>
      </c>
      <c r="FA25" s="475">
        <f>6091900+14450020</f>
        <v>20541920</v>
      </c>
      <c r="FB25" s="475">
        <f t="shared" si="37"/>
        <v>4458080</v>
      </c>
      <c r="FC25" s="475"/>
      <c r="FD25" s="475">
        <v>5000000</v>
      </c>
      <c r="FE25" s="475">
        <v>0</v>
      </c>
      <c r="FF25" s="475">
        <f t="shared" si="38"/>
        <v>5000000</v>
      </c>
      <c r="FG25" s="107"/>
      <c r="FH25" s="475">
        <v>75000000</v>
      </c>
      <c r="FI25" s="475">
        <v>0</v>
      </c>
      <c r="FJ25" s="475">
        <f t="shared" si="39"/>
        <v>75000000</v>
      </c>
      <c r="FK25" s="475"/>
      <c r="FL25" s="475">
        <v>20000000</v>
      </c>
      <c r="FM25" s="475">
        <v>0</v>
      </c>
      <c r="FN25" s="475">
        <f t="shared" si="40"/>
        <v>20000000</v>
      </c>
      <c r="FO25" s="475"/>
      <c r="FP25" s="475">
        <v>5000000</v>
      </c>
      <c r="FQ25" s="475">
        <v>0</v>
      </c>
      <c r="FR25" s="475">
        <f t="shared" si="41"/>
        <v>5000000</v>
      </c>
      <c r="FS25" s="475"/>
      <c r="FT25" s="475">
        <v>20000000</v>
      </c>
      <c r="FU25" s="475">
        <v>0</v>
      </c>
      <c r="FV25" s="475">
        <f t="shared" si="42"/>
        <v>20000000</v>
      </c>
      <c r="FW25" s="475"/>
      <c r="FX25" s="475">
        <v>5000000</v>
      </c>
      <c r="FY25" s="475">
        <v>0</v>
      </c>
      <c r="FZ25" s="475">
        <f t="shared" si="43"/>
        <v>5000000</v>
      </c>
      <c r="GA25" s="475"/>
      <c r="GB25" s="475">
        <v>100000000</v>
      </c>
      <c r="GC25" s="475">
        <v>0</v>
      </c>
      <c r="GD25" s="475">
        <f t="shared" si="44"/>
        <v>100000000</v>
      </c>
      <c r="GE25" s="475"/>
      <c r="GF25" s="475">
        <v>20000000</v>
      </c>
      <c r="GG25" s="475">
        <v>0</v>
      </c>
      <c r="GH25" s="475">
        <f t="shared" si="45"/>
        <v>20000000</v>
      </c>
      <c r="GI25" s="475"/>
      <c r="GJ25" s="475">
        <v>3000000</v>
      </c>
      <c r="GK25" s="475">
        <v>0</v>
      </c>
      <c r="GL25" s="475">
        <f t="shared" si="46"/>
        <v>3000000</v>
      </c>
      <c r="GM25" s="475"/>
      <c r="GN25" s="475">
        <v>15000000</v>
      </c>
      <c r="GO25" s="475">
        <v>0</v>
      </c>
      <c r="GP25" s="475">
        <f t="shared" si="47"/>
        <v>15000000</v>
      </c>
      <c r="GQ25" s="475"/>
      <c r="GR25" s="475">
        <v>3000000</v>
      </c>
      <c r="GS25" s="475">
        <v>0</v>
      </c>
      <c r="GT25" s="475">
        <f t="shared" si="48"/>
        <v>3000000</v>
      </c>
      <c r="GU25" s="475"/>
      <c r="GV25" s="468">
        <f t="shared" si="49"/>
        <v>1213172000</v>
      </c>
      <c r="GW25" s="468">
        <f t="shared" si="49"/>
        <v>481847806</v>
      </c>
      <c r="GX25" s="468">
        <f t="shared" si="50"/>
        <v>731324194</v>
      </c>
      <c r="GY25" s="472"/>
      <c r="HA25" s="468">
        <f>D25+H25+L25+X25+AN25+BD25+BX25+CR25+DT25+DL25+EN25+FH25+GB25</f>
        <v>809240000</v>
      </c>
      <c r="HB25" s="468">
        <f>E25+I25+M25+Y25+AO25+BE25+BY25+CS25+DU25+DM25+EO25+FI25+GC25</f>
        <v>275666802.5</v>
      </c>
      <c r="HC25" s="471">
        <f t="shared" si="51"/>
        <v>533573197.5</v>
      </c>
      <c r="HE25" s="471">
        <f>P25+AB25+AR25+BH25+CB25+CV25+DX25+ER25+FL25+GF25</f>
        <v>112432000</v>
      </c>
      <c r="HF25" s="471">
        <f>Q25+AC25+AS25+BI25+CC25+CW25+DY25+ES25+FM25+GG25</f>
        <v>28410662</v>
      </c>
      <c r="HG25" s="471">
        <f t="shared" si="52"/>
        <v>84021338</v>
      </c>
      <c r="HI25" s="471">
        <f>T25+AF25+AV25+BL25+CF25+CZ25+EB25+EV25+FP25+GJ25</f>
        <v>55000000</v>
      </c>
      <c r="HJ25" s="471">
        <f>U25+AG25+AW25+BM25+CG25+DA25+EC25+EW25+FQ25+GK25</f>
        <v>33246168.75</v>
      </c>
      <c r="HK25" s="471">
        <f t="shared" si="53"/>
        <v>21753831.25</v>
      </c>
      <c r="HM25" s="471">
        <f>AJ25+AZ25+BP25+CJ25+DD25+EF25+EZ25+FT25+GN25</f>
        <v>197500000</v>
      </c>
      <c r="HN25" s="471">
        <f>AK25+BA25+BQ25+CK25+DE25+EG25+FA25+FU25+GO25</f>
        <v>144524172.75</v>
      </c>
      <c r="HO25" s="471">
        <f t="shared" si="54"/>
        <v>52975827.25</v>
      </c>
      <c r="HP25" s="531"/>
      <c r="HQ25" s="471">
        <f>BT25+CN25+DH25+EJ25+FD25+FX25+GR25</f>
        <v>39000000</v>
      </c>
      <c r="HR25" s="471">
        <f>BU25+CO25+DI25+EK25+FE25+FY25+GS25</f>
        <v>0</v>
      </c>
      <c r="HS25" s="471">
        <f t="shared" si="55"/>
        <v>39000000</v>
      </c>
    </row>
    <row r="26" spans="1:227" x14ac:dyDescent="0.25">
      <c r="A26" s="107">
        <v>23</v>
      </c>
      <c r="B26" s="107" t="s">
        <v>222</v>
      </c>
      <c r="C26" s="631" t="s">
        <v>74</v>
      </c>
      <c r="D26" s="488">
        <v>1250000</v>
      </c>
      <c r="E26" s="488">
        <v>1250000</v>
      </c>
      <c r="F26" s="468">
        <f t="shared" si="12"/>
        <v>0</v>
      </c>
      <c r="G26" s="488"/>
      <c r="H26" s="468">
        <v>25240000</v>
      </c>
      <c r="I26" s="468">
        <f>10000000+6950000+8290000</f>
        <v>25240000</v>
      </c>
      <c r="J26" s="468">
        <f t="shared" si="13"/>
        <v>0</v>
      </c>
      <c r="K26" s="488"/>
      <c r="L26" s="468">
        <v>25000000</v>
      </c>
      <c r="M26" s="468">
        <f>13298500+11701500</f>
        <v>25000000</v>
      </c>
      <c r="N26" s="468">
        <f t="shared" si="14"/>
        <v>0</v>
      </c>
      <c r="O26" s="488"/>
      <c r="P26" s="468">
        <v>3000000</v>
      </c>
      <c r="Q26" s="468">
        <f>2500000+500000</f>
        <v>3000000</v>
      </c>
      <c r="R26" s="468">
        <f t="shared" si="15"/>
        <v>0</v>
      </c>
      <c r="S26" s="471"/>
      <c r="T26" s="468">
        <v>1000000</v>
      </c>
      <c r="U26" s="468">
        <v>1000000</v>
      </c>
      <c r="V26" s="468">
        <f t="shared" si="16"/>
        <v>0</v>
      </c>
      <c r="W26" s="488"/>
      <c r="X26" s="468">
        <v>30000000</v>
      </c>
      <c r="Y26" s="468">
        <f>3665580+6107854+9004800+11221766</f>
        <v>30000000</v>
      </c>
      <c r="Z26" s="468">
        <f t="shared" si="17"/>
        <v>0</v>
      </c>
      <c r="AA26" s="488"/>
      <c r="AB26" s="468">
        <v>5000000</v>
      </c>
      <c r="AC26" s="468">
        <f>1327120+3672880</f>
        <v>5000000</v>
      </c>
      <c r="AD26" s="468">
        <f t="shared" si="18"/>
        <v>0</v>
      </c>
      <c r="AE26" s="488"/>
      <c r="AF26" s="468">
        <v>2000000</v>
      </c>
      <c r="AG26" s="468">
        <v>2000000</v>
      </c>
      <c r="AH26" s="468">
        <f t="shared" si="19"/>
        <v>0</v>
      </c>
      <c r="AI26" s="488"/>
      <c r="AJ26" s="468">
        <v>7500000</v>
      </c>
      <c r="AK26" s="468">
        <f>1146740+621590+4383560+1348110</f>
        <v>7500000</v>
      </c>
      <c r="AL26" s="468">
        <f t="shared" si="20"/>
        <v>0</v>
      </c>
      <c r="AM26" s="468"/>
      <c r="AN26" s="468">
        <v>40000000</v>
      </c>
      <c r="AO26" s="468">
        <f>14160209+20909010+4930781</f>
        <v>40000000</v>
      </c>
      <c r="AP26" s="468">
        <f t="shared" si="0"/>
        <v>0</v>
      </c>
      <c r="AQ26" s="488"/>
      <c r="AR26" s="468">
        <v>3000000</v>
      </c>
      <c r="AS26" s="468">
        <f>327120+2672880</f>
        <v>3000000</v>
      </c>
      <c r="AT26" s="468">
        <f t="shared" si="21"/>
        <v>0</v>
      </c>
      <c r="AU26" s="488"/>
      <c r="AV26" s="468">
        <v>2000000</v>
      </c>
      <c r="AW26" s="468">
        <v>2000000</v>
      </c>
      <c r="AX26" s="468">
        <f t="shared" si="22"/>
        <v>0</v>
      </c>
      <c r="AY26" s="488"/>
      <c r="AZ26" s="468">
        <v>10000000</v>
      </c>
      <c r="BA26" s="468">
        <f>2128570+7381350+490080</f>
        <v>10000000</v>
      </c>
      <c r="BB26" s="468">
        <f t="shared" si="1"/>
        <v>0</v>
      </c>
      <c r="BC26" s="488"/>
      <c r="BD26" s="468">
        <v>64000000</v>
      </c>
      <c r="BE26" s="468">
        <f>64000000</f>
        <v>64000000</v>
      </c>
      <c r="BF26" s="468">
        <f t="shared" si="23"/>
        <v>0</v>
      </c>
      <c r="BG26" s="488"/>
      <c r="BH26" s="468">
        <v>9500000</v>
      </c>
      <c r="BI26" s="468">
        <f>1327120+8172880</f>
        <v>9500000</v>
      </c>
      <c r="BJ26" s="468">
        <f t="shared" si="24"/>
        <v>0</v>
      </c>
      <c r="BK26" s="488"/>
      <c r="BL26" s="468">
        <v>5000000</v>
      </c>
      <c r="BM26" s="468">
        <f>1460000+1140000+2400000</f>
        <v>5000000</v>
      </c>
      <c r="BN26" s="468">
        <f t="shared" si="25"/>
        <v>0</v>
      </c>
      <c r="BO26" s="488"/>
      <c r="BP26" s="468">
        <v>20000000</v>
      </c>
      <c r="BQ26" s="468">
        <f>3689370+7321360+8031620+957650</f>
        <v>20000000</v>
      </c>
      <c r="BR26" s="468">
        <f t="shared" si="2"/>
        <v>0</v>
      </c>
      <c r="BS26" s="488"/>
      <c r="BT26" s="468">
        <v>1000000</v>
      </c>
      <c r="BU26" s="468">
        <f>1000000</f>
        <v>1000000</v>
      </c>
      <c r="BV26" s="468">
        <f t="shared" si="3"/>
        <v>0</v>
      </c>
      <c r="BW26" s="488"/>
      <c r="BX26" s="468">
        <v>80000000</v>
      </c>
      <c r="BY26" s="468">
        <f>10416564+26064170+9206750+20376000+13936516</f>
        <v>80000000</v>
      </c>
      <c r="BZ26" s="468">
        <f t="shared" si="26"/>
        <v>0</v>
      </c>
      <c r="CA26" s="471"/>
      <c r="CB26" s="468">
        <v>10000000</v>
      </c>
      <c r="CC26" s="468">
        <v>10000000</v>
      </c>
      <c r="CD26" s="468">
        <f t="shared" si="4"/>
        <v>0</v>
      </c>
      <c r="CE26" s="488"/>
      <c r="CF26" s="468">
        <v>10000000</v>
      </c>
      <c r="CG26" s="468">
        <f>4462500+957500+592500</f>
        <v>6012500</v>
      </c>
      <c r="CH26" s="468">
        <f t="shared" si="27"/>
        <v>3987500</v>
      </c>
      <c r="CI26" s="488"/>
      <c r="CJ26" s="468">
        <v>30000000</v>
      </c>
      <c r="CK26" s="468">
        <f>11554290+11495950+5999835+949925</f>
        <v>30000000</v>
      </c>
      <c r="CL26" s="468">
        <f t="shared" si="5"/>
        <v>0</v>
      </c>
      <c r="CM26" s="488"/>
      <c r="CN26" s="468">
        <v>10000000</v>
      </c>
      <c r="CO26" s="468">
        <f>3080000+6920000</f>
        <v>10000000</v>
      </c>
      <c r="CP26" s="468">
        <f t="shared" si="6"/>
        <v>0</v>
      </c>
      <c r="CQ26" s="471"/>
      <c r="CR26" s="468">
        <v>100000000</v>
      </c>
      <c r="CS26" s="468">
        <f>49804359+35408400+6826900+7960341</f>
        <v>100000000</v>
      </c>
      <c r="CT26" s="468">
        <f t="shared" si="7"/>
        <v>0</v>
      </c>
      <c r="CU26" s="488"/>
      <c r="CV26" s="468">
        <v>20000000</v>
      </c>
      <c r="CW26" s="468">
        <f>5350120+14649880</f>
        <v>20000000</v>
      </c>
      <c r="CX26" s="468">
        <f t="shared" si="8"/>
        <v>0</v>
      </c>
      <c r="CY26" s="488"/>
      <c r="CZ26" s="468">
        <v>20000000</v>
      </c>
      <c r="DA26" s="468">
        <v>0</v>
      </c>
      <c r="DB26" s="468">
        <f t="shared" si="9"/>
        <v>20000000</v>
      </c>
      <c r="DC26" s="488"/>
      <c r="DD26" s="468">
        <v>50000000</v>
      </c>
      <c r="DE26" s="468">
        <f>15718875+18510976+15587954+182195</f>
        <v>50000000</v>
      </c>
      <c r="DF26" s="468">
        <f t="shared" si="10"/>
        <v>0</v>
      </c>
      <c r="DG26" s="468"/>
      <c r="DH26" s="468">
        <v>10000000</v>
      </c>
      <c r="DI26" s="468">
        <f>3777250+5100000+1122750</f>
        <v>10000000</v>
      </c>
      <c r="DJ26" s="468">
        <f t="shared" si="11"/>
        <v>0</v>
      </c>
      <c r="DK26" s="488"/>
      <c r="DL26" s="471">
        <v>0</v>
      </c>
      <c r="DM26" s="471">
        <v>0</v>
      </c>
      <c r="DN26" s="471">
        <f t="shared" si="28"/>
        <v>0</v>
      </c>
      <c r="DO26" s="539"/>
      <c r="DP26" s="471"/>
      <c r="DQ26" s="471"/>
      <c r="DR26" s="471"/>
      <c r="DS26" s="473"/>
      <c r="DT26" s="471">
        <v>70000000</v>
      </c>
      <c r="DU26" s="471">
        <f>32040449+15472400+22487151</f>
        <v>70000000</v>
      </c>
      <c r="DV26" s="471">
        <f t="shared" si="29"/>
        <v>0</v>
      </c>
      <c r="DW26" s="473"/>
      <c r="DX26" s="471">
        <v>10000000</v>
      </c>
      <c r="DY26" s="471">
        <f>9960870+1840000-1800870</f>
        <v>10000000</v>
      </c>
      <c r="DZ26" s="471">
        <f t="shared" si="30"/>
        <v>0</v>
      </c>
      <c r="EA26" s="473"/>
      <c r="EB26" s="471">
        <v>5000000</v>
      </c>
      <c r="EC26" s="471">
        <v>0</v>
      </c>
      <c r="ED26" s="471">
        <f t="shared" si="31"/>
        <v>5000000</v>
      </c>
      <c r="EE26" s="473"/>
      <c r="EF26" s="471">
        <v>20000000</v>
      </c>
      <c r="EG26" s="471">
        <f>14156587+3551108+2292305</f>
        <v>20000000</v>
      </c>
      <c r="EH26" s="471">
        <f t="shared" si="32"/>
        <v>0</v>
      </c>
      <c r="EI26" s="473"/>
      <c r="EJ26" s="471">
        <v>5000000</v>
      </c>
      <c r="EK26" s="471">
        <f>3127250+720000+1152750</f>
        <v>5000000</v>
      </c>
      <c r="EL26" s="471">
        <f t="shared" si="33"/>
        <v>0</v>
      </c>
      <c r="EM26" s="631" t="s">
        <v>74</v>
      </c>
      <c r="EN26" s="475">
        <v>200000000</v>
      </c>
      <c r="EO26" s="475">
        <f>41055196.5+49604121.25+92734809.65+16605872.6</f>
        <v>200000000</v>
      </c>
      <c r="EP26" s="475">
        <f t="shared" si="34"/>
        <v>0</v>
      </c>
      <c r="EQ26" s="475"/>
      <c r="ER26" s="475">
        <v>18000000</v>
      </c>
      <c r="ES26" s="475">
        <f>9810000+951000+1800870-1827120+2764050</f>
        <v>13498800</v>
      </c>
      <c r="ET26" s="475">
        <f t="shared" si="35"/>
        <v>4501200</v>
      </c>
      <c r="EU26" s="475"/>
      <c r="EV26" s="475">
        <v>5000000</v>
      </c>
      <c r="EW26" s="475">
        <v>0</v>
      </c>
      <c r="EX26" s="475">
        <f t="shared" si="36"/>
        <v>5000000</v>
      </c>
      <c r="EY26" s="475"/>
      <c r="EZ26" s="475">
        <v>25000000</v>
      </c>
      <c r="FA26" s="623">
        <f>2111005+5352160+3671550+11414295</f>
        <v>22549010</v>
      </c>
      <c r="FB26" s="475">
        <f t="shared" si="37"/>
        <v>2450990</v>
      </c>
      <c r="FC26" s="475"/>
      <c r="FD26" s="475">
        <v>5000000</v>
      </c>
      <c r="FE26" s="475">
        <f>735000</f>
        <v>735000</v>
      </c>
      <c r="FF26" s="475">
        <f t="shared" si="38"/>
        <v>4265000</v>
      </c>
      <c r="FG26" s="107"/>
      <c r="FH26" s="475">
        <v>75000000</v>
      </c>
      <c r="FI26" s="475">
        <f>21007892.1+4500000</f>
        <v>25507892.100000001</v>
      </c>
      <c r="FJ26" s="475">
        <f t="shared" si="39"/>
        <v>49492107.899999999</v>
      </c>
      <c r="FK26" s="475"/>
      <c r="FL26" s="475">
        <v>20000000</v>
      </c>
      <c r="FM26" s="475">
        <v>0</v>
      </c>
      <c r="FN26" s="475">
        <f t="shared" si="40"/>
        <v>20000000</v>
      </c>
      <c r="FO26" s="475"/>
      <c r="FP26" s="475">
        <v>5000000</v>
      </c>
      <c r="FQ26" s="475">
        <v>0</v>
      </c>
      <c r="FR26" s="475">
        <f t="shared" si="41"/>
        <v>5000000</v>
      </c>
      <c r="FS26" s="475"/>
      <c r="FT26" s="475">
        <v>20000000</v>
      </c>
      <c r="FU26" s="475">
        <v>0</v>
      </c>
      <c r="FV26" s="475">
        <f t="shared" si="42"/>
        <v>20000000</v>
      </c>
      <c r="FW26" s="475"/>
      <c r="FX26" s="475">
        <v>5000000</v>
      </c>
      <c r="FY26" s="475">
        <v>0</v>
      </c>
      <c r="FZ26" s="475">
        <f t="shared" si="43"/>
        <v>5000000</v>
      </c>
      <c r="GA26" s="475"/>
      <c r="GB26" s="475">
        <v>100000000</v>
      </c>
      <c r="GC26" s="475">
        <v>0</v>
      </c>
      <c r="GD26" s="475">
        <f t="shared" si="44"/>
        <v>100000000</v>
      </c>
      <c r="GE26" s="475"/>
      <c r="GF26" s="475">
        <v>20000000</v>
      </c>
      <c r="GG26" s="475">
        <v>0</v>
      </c>
      <c r="GH26" s="475">
        <f t="shared" si="45"/>
        <v>20000000</v>
      </c>
      <c r="GI26" s="475"/>
      <c r="GJ26" s="475">
        <v>3000000</v>
      </c>
      <c r="GK26" s="475">
        <v>0</v>
      </c>
      <c r="GL26" s="475">
        <f t="shared" si="46"/>
        <v>3000000</v>
      </c>
      <c r="GM26" s="475"/>
      <c r="GN26" s="475">
        <v>15000000</v>
      </c>
      <c r="GO26" s="475">
        <v>0</v>
      </c>
      <c r="GP26" s="475">
        <f t="shared" si="47"/>
        <v>15000000</v>
      </c>
      <c r="GQ26" s="475"/>
      <c r="GR26" s="475">
        <v>3000000</v>
      </c>
      <c r="GS26" s="475">
        <v>0</v>
      </c>
      <c r="GT26" s="475">
        <f t="shared" si="48"/>
        <v>3000000</v>
      </c>
      <c r="GU26" s="475"/>
      <c r="GV26" s="468">
        <f t="shared" si="49"/>
        <v>1223490000</v>
      </c>
      <c r="GW26" s="468">
        <f t="shared" si="49"/>
        <v>937793202.10000002</v>
      </c>
      <c r="GX26" s="468">
        <f t="shared" si="50"/>
        <v>285696797.89999998</v>
      </c>
      <c r="GY26" s="472"/>
      <c r="HA26" s="468">
        <f>D26+H26+L26+X26+AN26+BD26+BX26+CR26+DT26+DL26+EN26+FH26+GB26</f>
        <v>810490000</v>
      </c>
      <c r="HB26" s="468">
        <f>E26+I26+M26+Y26+AO26+BE26+BY26+CS26+DU26+DM26+EO26+FI26+GC26</f>
        <v>660997892.10000002</v>
      </c>
      <c r="HC26" s="471">
        <f t="shared" si="51"/>
        <v>149492107.89999998</v>
      </c>
      <c r="HE26" s="471">
        <f>P26+AB26+AR26+BH26+CB26+CV26+DX26+ER26+FL26+GF26</f>
        <v>118500000</v>
      </c>
      <c r="HF26" s="471">
        <f>Q26+AC26+AS26+BI26+CC26+CW26+DY26+ES26+FM26+GG26</f>
        <v>73998800</v>
      </c>
      <c r="HG26" s="471">
        <f t="shared" si="52"/>
        <v>44501200</v>
      </c>
      <c r="HI26" s="471">
        <f>T26+AF26+AV26+BL26+CF26+CZ26+EB26+EV26+FP26+GJ26</f>
        <v>58000000</v>
      </c>
      <c r="HJ26" s="471">
        <f>U26+AG26+AW26+BM26+CG26+DA26+EC26+EW26+FQ26+GK26</f>
        <v>16012500</v>
      </c>
      <c r="HK26" s="471">
        <f t="shared" si="53"/>
        <v>41987500</v>
      </c>
      <c r="HM26" s="471">
        <f>AJ26+AZ26+BP26+CJ26+DD26+EF26+EZ26+FT26+GN26</f>
        <v>197500000</v>
      </c>
      <c r="HN26" s="471">
        <f>AK26+BA26+BQ26+CK26+DE26+EG26+FA26+FU26+GO26</f>
        <v>160049010</v>
      </c>
      <c r="HO26" s="471">
        <f t="shared" si="54"/>
        <v>37450990</v>
      </c>
      <c r="HP26" s="531"/>
      <c r="HQ26" s="471">
        <f>BT26+CN26+DH26+EJ26+FD26+FX26+GR26</f>
        <v>39000000</v>
      </c>
      <c r="HR26" s="471">
        <f>BU26+CO26+DI26+EK26+FE26+FY26+GS26</f>
        <v>26735000</v>
      </c>
      <c r="HS26" s="471">
        <f t="shared" si="55"/>
        <v>12265000</v>
      </c>
    </row>
    <row r="27" spans="1:227" x14ac:dyDescent="0.25">
      <c r="A27" s="107">
        <v>24</v>
      </c>
      <c r="B27" s="107" t="s">
        <v>223</v>
      </c>
      <c r="C27" s="631" t="s">
        <v>61</v>
      </c>
      <c r="D27" s="488">
        <v>1250000</v>
      </c>
      <c r="E27" s="488">
        <v>1250000</v>
      </c>
      <c r="F27" s="468">
        <f t="shared" si="12"/>
        <v>0</v>
      </c>
      <c r="G27" s="488"/>
      <c r="H27" s="468">
        <v>25240000</v>
      </c>
      <c r="I27" s="468">
        <v>25240000</v>
      </c>
      <c r="J27" s="468">
        <f t="shared" si="13"/>
        <v>0</v>
      </c>
      <c r="K27" s="488"/>
      <c r="L27" s="468">
        <v>25000000</v>
      </c>
      <c r="M27" s="468">
        <v>25000000</v>
      </c>
      <c r="N27" s="468">
        <f t="shared" si="14"/>
        <v>0</v>
      </c>
      <c r="O27" s="488"/>
      <c r="P27" s="468">
        <v>3000000</v>
      </c>
      <c r="Q27" s="468">
        <f>2872100+127900</f>
        <v>3000000</v>
      </c>
      <c r="R27" s="468">
        <f t="shared" si="15"/>
        <v>0</v>
      </c>
      <c r="S27" s="488"/>
      <c r="T27" s="468">
        <v>1000000</v>
      </c>
      <c r="U27" s="468">
        <v>1000000</v>
      </c>
      <c r="V27" s="468">
        <f t="shared" si="16"/>
        <v>0</v>
      </c>
      <c r="W27" s="488"/>
      <c r="X27" s="468">
        <v>30000000</v>
      </c>
      <c r="Y27" s="468">
        <v>30000000</v>
      </c>
      <c r="Z27" s="468">
        <f t="shared" si="17"/>
        <v>0</v>
      </c>
      <c r="AA27" s="488"/>
      <c r="AB27" s="468">
        <v>5000000</v>
      </c>
      <c r="AC27" s="468">
        <f>5000000</f>
        <v>5000000</v>
      </c>
      <c r="AD27" s="468">
        <f t="shared" si="18"/>
        <v>0</v>
      </c>
      <c r="AE27" s="488"/>
      <c r="AF27" s="468">
        <v>2000000</v>
      </c>
      <c r="AG27" s="468">
        <v>2000000</v>
      </c>
      <c r="AH27" s="468">
        <f t="shared" si="19"/>
        <v>0</v>
      </c>
      <c r="AI27" s="488"/>
      <c r="AJ27" s="468">
        <v>7500000</v>
      </c>
      <c r="AK27" s="468">
        <v>7500000</v>
      </c>
      <c r="AL27" s="468">
        <f t="shared" si="20"/>
        <v>0</v>
      </c>
      <c r="AM27" s="468"/>
      <c r="AN27" s="468">
        <v>40000000</v>
      </c>
      <c r="AO27" s="468">
        <v>40000000</v>
      </c>
      <c r="AP27" s="468">
        <f t="shared" si="0"/>
        <v>0</v>
      </c>
      <c r="AQ27" s="488"/>
      <c r="AR27" s="468">
        <v>3000000</v>
      </c>
      <c r="AS27" s="468">
        <f>3000000</f>
        <v>3000000</v>
      </c>
      <c r="AT27" s="468">
        <f t="shared" si="21"/>
        <v>0</v>
      </c>
      <c r="AU27" s="488"/>
      <c r="AV27" s="468">
        <v>2000000</v>
      </c>
      <c r="AW27" s="468">
        <v>2000000</v>
      </c>
      <c r="AX27" s="468">
        <f t="shared" si="22"/>
        <v>0</v>
      </c>
      <c r="AY27" s="488"/>
      <c r="AZ27" s="468">
        <v>10000000</v>
      </c>
      <c r="BA27" s="468">
        <f>2679960+3392420+1884402</f>
        <v>7956782</v>
      </c>
      <c r="BB27" s="468">
        <f t="shared" si="1"/>
        <v>2043218</v>
      </c>
      <c r="BC27" s="488"/>
      <c r="BD27" s="468">
        <v>64000000</v>
      </c>
      <c r="BE27" s="468">
        <f>23946174+2000000+13072000+12674375+8719425+1500000+2088026</f>
        <v>64000000</v>
      </c>
      <c r="BF27" s="468">
        <f t="shared" si="23"/>
        <v>0</v>
      </c>
      <c r="BG27" s="488"/>
      <c r="BH27" s="468">
        <v>9500000</v>
      </c>
      <c r="BI27" s="468">
        <f>7647100+1852900</f>
        <v>9500000</v>
      </c>
      <c r="BJ27" s="468">
        <f t="shared" si="24"/>
        <v>0</v>
      </c>
      <c r="BK27" s="488"/>
      <c r="BL27" s="468">
        <v>5000000</v>
      </c>
      <c r="BM27" s="468">
        <f>100000+4900000</f>
        <v>5000000</v>
      </c>
      <c r="BN27" s="468">
        <f t="shared" si="25"/>
        <v>0</v>
      </c>
      <c r="BO27" s="488"/>
      <c r="BP27" s="468">
        <v>20000000</v>
      </c>
      <c r="BQ27" s="463">
        <f>500000+1908290+710390+5119206+3120306+1233552</f>
        <v>12591744</v>
      </c>
      <c r="BR27" s="468">
        <f t="shared" si="2"/>
        <v>7408256</v>
      </c>
      <c r="BS27" s="488"/>
      <c r="BT27" s="468">
        <v>1000000</v>
      </c>
      <c r="BU27" s="468">
        <v>1000000</v>
      </c>
      <c r="BV27" s="468">
        <f t="shared" si="3"/>
        <v>0</v>
      </c>
      <c r="BW27" s="488"/>
      <c r="BX27" s="468">
        <v>80000000</v>
      </c>
      <c r="BY27" s="468">
        <f>33023149+46976851</f>
        <v>80000000</v>
      </c>
      <c r="BZ27" s="468">
        <f t="shared" si="26"/>
        <v>0</v>
      </c>
      <c r="CA27" s="488"/>
      <c r="CB27" s="468">
        <v>10000000</v>
      </c>
      <c r="CC27" s="468">
        <f>10000000</f>
        <v>10000000</v>
      </c>
      <c r="CD27" s="468">
        <f t="shared" si="4"/>
        <v>0</v>
      </c>
      <c r="CE27" s="488"/>
      <c r="CF27" s="468">
        <v>10000000</v>
      </c>
      <c r="CG27" s="468">
        <f>10000000</f>
        <v>10000000</v>
      </c>
      <c r="CH27" s="468">
        <f t="shared" si="27"/>
        <v>0</v>
      </c>
      <c r="CI27" s="488"/>
      <c r="CJ27" s="468">
        <v>30000000</v>
      </c>
      <c r="CK27" s="491">
        <f>8186110+10397510+2437888+1004930+1612472+6361090</f>
        <v>30000000</v>
      </c>
      <c r="CL27" s="468">
        <f t="shared" si="5"/>
        <v>0</v>
      </c>
      <c r="CM27" s="488"/>
      <c r="CN27" s="468">
        <v>10000000</v>
      </c>
      <c r="CO27" s="468">
        <v>10000000</v>
      </c>
      <c r="CP27" s="468">
        <f t="shared" si="6"/>
        <v>0</v>
      </c>
      <c r="CQ27" s="488"/>
      <c r="CR27" s="468">
        <v>100000000</v>
      </c>
      <c r="CS27" s="468">
        <f>40482609.6+57171710+1146000+1199680.4</f>
        <v>100000000</v>
      </c>
      <c r="CT27" s="468">
        <f t="shared" si="7"/>
        <v>0</v>
      </c>
      <c r="CU27" s="488"/>
      <c r="CV27" s="468">
        <v>20000000</v>
      </c>
      <c r="CW27" s="468">
        <f>18300000+1700000</f>
        <v>20000000</v>
      </c>
      <c r="CX27" s="468">
        <f t="shared" si="8"/>
        <v>0</v>
      </c>
      <c r="CY27" s="488"/>
      <c r="CZ27" s="468">
        <v>20000000</v>
      </c>
      <c r="DA27" s="468">
        <f>11114250+8840000+45750</f>
        <v>20000000</v>
      </c>
      <c r="DB27" s="468">
        <f t="shared" si="9"/>
        <v>0</v>
      </c>
      <c r="DC27" s="488"/>
      <c r="DD27" s="468">
        <v>50000000</v>
      </c>
      <c r="DE27" s="468">
        <f>1570120+1815853.75+1502575</f>
        <v>4888548.75</v>
      </c>
      <c r="DF27" s="468">
        <f t="shared" si="10"/>
        <v>45111451.25</v>
      </c>
      <c r="DG27" s="488"/>
      <c r="DH27" s="468">
        <v>10000000</v>
      </c>
      <c r="DI27" s="468">
        <v>5915000</v>
      </c>
      <c r="DJ27" s="468">
        <f t="shared" si="11"/>
        <v>4085000</v>
      </c>
      <c r="DK27" s="488"/>
      <c r="DL27" s="471">
        <v>0</v>
      </c>
      <c r="DM27" s="471">
        <v>0</v>
      </c>
      <c r="DN27" s="471">
        <f t="shared" si="28"/>
        <v>0</v>
      </c>
      <c r="DO27" s="539"/>
      <c r="DP27" s="471"/>
      <c r="DQ27" s="471"/>
      <c r="DR27" s="471"/>
      <c r="DS27" s="473"/>
      <c r="DT27" s="471">
        <v>70000000</v>
      </c>
      <c r="DU27" s="471">
        <f>22675719.6+700000+28195800+3000000+1050000+3000000+11378480.4</f>
        <v>70000000</v>
      </c>
      <c r="DV27" s="471">
        <f t="shared" si="29"/>
        <v>0</v>
      </c>
      <c r="DW27" s="473"/>
      <c r="DX27" s="471">
        <v>10000000</v>
      </c>
      <c r="DY27" s="471">
        <f>11447100-1700000+252900</f>
        <v>10000000</v>
      </c>
      <c r="DZ27" s="471">
        <f t="shared" si="30"/>
        <v>0</v>
      </c>
      <c r="EA27" s="473"/>
      <c r="EB27" s="471">
        <v>5000000</v>
      </c>
      <c r="EC27" s="471">
        <f>1654250+2985000</f>
        <v>4639250</v>
      </c>
      <c r="ED27" s="471">
        <f t="shared" si="31"/>
        <v>360750</v>
      </c>
      <c r="EE27" s="473"/>
      <c r="EF27" s="471">
        <v>20000000</v>
      </c>
      <c r="EG27" s="471">
        <v>0</v>
      </c>
      <c r="EH27" s="471">
        <f t="shared" si="32"/>
        <v>20000000</v>
      </c>
      <c r="EI27" s="473"/>
      <c r="EJ27" s="471">
        <v>5000000</v>
      </c>
      <c r="EK27" s="471">
        <v>0</v>
      </c>
      <c r="EL27" s="471">
        <f t="shared" si="33"/>
        <v>5000000</v>
      </c>
      <c r="EM27" s="631" t="s">
        <v>61</v>
      </c>
      <c r="EN27" s="475">
        <v>200000000</v>
      </c>
      <c r="EO27" s="624">
        <f>30321519.6+23400000+67137250+20700000+36652625+21788605.4</f>
        <v>200000000</v>
      </c>
      <c r="EP27" s="475">
        <f t="shared" si="34"/>
        <v>0</v>
      </c>
      <c r="EQ27" s="475"/>
      <c r="ER27" s="475">
        <v>18000000</v>
      </c>
      <c r="ES27" s="475">
        <f>4115100</f>
        <v>4115100</v>
      </c>
      <c r="ET27" s="475">
        <f t="shared" si="35"/>
        <v>13884900</v>
      </c>
      <c r="EU27" s="475"/>
      <c r="EV27" s="475">
        <v>5000000</v>
      </c>
      <c r="EW27" s="475">
        <v>0</v>
      </c>
      <c r="EX27" s="475">
        <f t="shared" si="36"/>
        <v>5000000</v>
      </c>
      <c r="EY27" s="475"/>
      <c r="EZ27" s="475">
        <v>25000000</v>
      </c>
      <c r="FA27" s="475">
        <v>0</v>
      </c>
      <c r="FB27" s="475">
        <f t="shared" si="37"/>
        <v>25000000</v>
      </c>
      <c r="FC27" s="475"/>
      <c r="FD27" s="475">
        <v>5000000</v>
      </c>
      <c r="FE27" s="475">
        <v>0</v>
      </c>
      <c r="FF27" s="475">
        <f t="shared" si="38"/>
        <v>5000000</v>
      </c>
      <c r="FG27" s="107"/>
      <c r="FH27" s="475">
        <v>75000000</v>
      </c>
      <c r="FI27" s="624">
        <f>39183644.6</f>
        <v>39183644.600000001</v>
      </c>
      <c r="FJ27" s="475">
        <f t="shared" si="39"/>
        <v>35816355.399999999</v>
      </c>
      <c r="FK27" s="475"/>
      <c r="FL27" s="475">
        <v>20000000</v>
      </c>
      <c r="FM27" s="475">
        <v>0</v>
      </c>
      <c r="FN27" s="475">
        <f t="shared" si="40"/>
        <v>20000000</v>
      </c>
      <c r="FO27" s="475"/>
      <c r="FP27" s="475">
        <v>5000000</v>
      </c>
      <c r="FQ27" s="475">
        <v>0</v>
      </c>
      <c r="FR27" s="475">
        <f t="shared" si="41"/>
        <v>5000000</v>
      </c>
      <c r="FS27" s="475"/>
      <c r="FT27" s="475">
        <v>20000000</v>
      </c>
      <c r="FU27" s="475">
        <v>0</v>
      </c>
      <c r="FV27" s="475">
        <f t="shared" si="42"/>
        <v>20000000</v>
      </c>
      <c r="FW27" s="475"/>
      <c r="FX27" s="475">
        <v>5000000</v>
      </c>
      <c r="FY27" s="475">
        <v>0</v>
      </c>
      <c r="FZ27" s="475">
        <f t="shared" si="43"/>
        <v>5000000</v>
      </c>
      <c r="GA27" s="475"/>
      <c r="GB27" s="475">
        <v>100000000</v>
      </c>
      <c r="GC27" s="475">
        <v>0</v>
      </c>
      <c r="GD27" s="475">
        <f t="shared" si="44"/>
        <v>100000000</v>
      </c>
      <c r="GE27" s="475"/>
      <c r="GF27" s="475">
        <v>20000000</v>
      </c>
      <c r="GG27" s="475">
        <v>0</v>
      </c>
      <c r="GH27" s="475">
        <f t="shared" si="45"/>
        <v>20000000</v>
      </c>
      <c r="GI27" s="475"/>
      <c r="GJ27" s="475">
        <v>3000000</v>
      </c>
      <c r="GK27" s="475">
        <v>0</v>
      </c>
      <c r="GL27" s="475">
        <f t="shared" si="46"/>
        <v>3000000</v>
      </c>
      <c r="GM27" s="475"/>
      <c r="GN27" s="475">
        <v>15000000</v>
      </c>
      <c r="GO27" s="475">
        <v>0</v>
      </c>
      <c r="GP27" s="475">
        <f t="shared" si="47"/>
        <v>15000000</v>
      </c>
      <c r="GQ27" s="475"/>
      <c r="GR27" s="475">
        <v>3000000</v>
      </c>
      <c r="GS27" s="475">
        <v>0</v>
      </c>
      <c r="GT27" s="475">
        <f t="shared" si="48"/>
        <v>3000000</v>
      </c>
      <c r="GU27" s="475"/>
      <c r="GV27" s="468">
        <f t="shared" si="49"/>
        <v>1223490000</v>
      </c>
      <c r="GW27" s="468">
        <f t="shared" si="49"/>
        <v>863780069.35000002</v>
      </c>
      <c r="GX27" s="468">
        <f t="shared" si="50"/>
        <v>359709930.64999998</v>
      </c>
      <c r="GY27" s="472"/>
      <c r="HA27" s="468">
        <f>D27+H27+L27+X27+AN27+BD27+BX27+CR27+DT27+DL27+EN27+FH27+GB27</f>
        <v>810490000</v>
      </c>
      <c r="HB27" s="468">
        <f>E27+I27+M27+Y27+AO27+BE27+BY27+CS27+DU27+DM27+EO27+FI27+GC27</f>
        <v>674673644.60000002</v>
      </c>
      <c r="HC27" s="471">
        <f t="shared" si="51"/>
        <v>135816355.39999998</v>
      </c>
      <c r="HE27" s="471">
        <f>P27+AB27+AR27+BH27+CB27+CV27+DX27+ER27+FL27+GF27</f>
        <v>118500000</v>
      </c>
      <c r="HF27" s="471">
        <f>Q27+AC27+AS27+BI27+CC27+CW27+DY27+ES27+FM27+GG27</f>
        <v>64615100</v>
      </c>
      <c r="HG27" s="471">
        <f t="shared" si="52"/>
        <v>53884900</v>
      </c>
      <c r="HI27" s="471">
        <f>T27+AF27+AV27+BL27+CF27+CZ27+EB27+EV27+FP27+GJ27</f>
        <v>58000000</v>
      </c>
      <c r="HJ27" s="471">
        <f>U27+AG27+AW27+BM27+CG27+DA27+EC27+EW27+FQ27+GK27</f>
        <v>44639250</v>
      </c>
      <c r="HK27" s="471">
        <f t="shared" si="53"/>
        <v>13360750</v>
      </c>
      <c r="HM27" s="471">
        <f>AJ27+AZ27+BP27+CJ27+DD27+EF27+EZ27+FT27+GN27</f>
        <v>197500000</v>
      </c>
      <c r="HN27" s="471">
        <f>AK27+BA27+BQ27+CK27+DE27+EG27+FA27+FU27+GO27</f>
        <v>62937074.75</v>
      </c>
      <c r="HO27" s="471">
        <f t="shared" si="54"/>
        <v>134562925.25</v>
      </c>
      <c r="HP27" s="531"/>
      <c r="HQ27" s="471">
        <f>BT27+CN27+DH27+EJ27+FD27+FX27+GR27</f>
        <v>39000000</v>
      </c>
      <c r="HR27" s="471">
        <f>BU27+CO27+DI27+EK27+FE27+FY27+GS27</f>
        <v>16915000</v>
      </c>
      <c r="HS27" s="471">
        <f t="shared" si="55"/>
        <v>22085000</v>
      </c>
    </row>
    <row r="28" spans="1:227" x14ac:dyDescent="0.25">
      <c r="A28" s="107">
        <v>25</v>
      </c>
      <c r="B28" s="107" t="s">
        <v>224</v>
      </c>
      <c r="C28" s="631" t="s">
        <v>74</v>
      </c>
      <c r="D28" s="488">
        <v>1250000</v>
      </c>
      <c r="E28" s="488">
        <v>1250000</v>
      </c>
      <c r="F28" s="468">
        <f t="shared" si="12"/>
        <v>0</v>
      </c>
      <c r="G28" s="488"/>
      <c r="H28" s="468">
        <v>25240000</v>
      </c>
      <c r="I28" s="468">
        <v>25240000</v>
      </c>
      <c r="J28" s="468">
        <f t="shared" si="13"/>
        <v>0</v>
      </c>
      <c r="K28" s="488"/>
      <c r="L28" s="468">
        <v>25000000</v>
      </c>
      <c r="M28" s="468">
        <v>25000000</v>
      </c>
      <c r="N28" s="468">
        <f t="shared" si="14"/>
        <v>0</v>
      </c>
      <c r="O28" s="488"/>
      <c r="P28" s="468">
        <v>3000000</v>
      </c>
      <c r="Q28" s="468">
        <v>3000000</v>
      </c>
      <c r="R28" s="468">
        <f t="shared" si="15"/>
        <v>0</v>
      </c>
      <c r="S28" s="488"/>
      <c r="T28" s="468">
        <v>1000000</v>
      </c>
      <c r="U28" s="468">
        <v>1000000</v>
      </c>
      <c r="V28" s="468">
        <f t="shared" si="16"/>
        <v>0</v>
      </c>
      <c r="W28" s="488"/>
      <c r="X28" s="468">
        <v>30000000</v>
      </c>
      <c r="Y28" s="468">
        <v>30000000</v>
      </c>
      <c r="Z28" s="468">
        <f t="shared" si="17"/>
        <v>0</v>
      </c>
      <c r="AA28" s="488"/>
      <c r="AB28" s="468">
        <v>5000000</v>
      </c>
      <c r="AC28" s="468">
        <v>5000000</v>
      </c>
      <c r="AD28" s="468">
        <f t="shared" si="18"/>
        <v>0</v>
      </c>
      <c r="AE28" s="488"/>
      <c r="AF28" s="468">
        <v>2000000</v>
      </c>
      <c r="AG28" s="468">
        <v>2000000</v>
      </c>
      <c r="AH28" s="468">
        <f t="shared" si="19"/>
        <v>0</v>
      </c>
      <c r="AI28" s="488"/>
      <c r="AJ28" s="468">
        <v>7500000</v>
      </c>
      <c r="AK28" s="468">
        <v>7500000</v>
      </c>
      <c r="AL28" s="468">
        <f t="shared" si="20"/>
        <v>0</v>
      </c>
      <c r="AM28" s="468"/>
      <c r="AN28" s="468">
        <v>40000000</v>
      </c>
      <c r="AO28" s="468">
        <v>40000000</v>
      </c>
      <c r="AP28" s="468">
        <f t="shared" si="0"/>
        <v>0</v>
      </c>
      <c r="AQ28" s="488"/>
      <c r="AR28" s="468">
        <v>3000000</v>
      </c>
      <c r="AS28" s="468">
        <v>3000000</v>
      </c>
      <c r="AT28" s="468">
        <f t="shared" si="21"/>
        <v>0</v>
      </c>
      <c r="AU28" s="488"/>
      <c r="AV28" s="468">
        <v>2000000</v>
      </c>
      <c r="AW28" s="468">
        <f>2071159.5-71159.5</f>
        <v>2000000</v>
      </c>
      <c r="AX28" s="468">
        <f t="shared" si="22"/>
        <v>0</v>
      </c>
      <c r="AY28" s="488"/>
      <c r="AZ28" s="468">
        <v>10000000</v>
      </c>
      <c r="BA28" s="468">
        <v>10000000</v>
      </c>
      <c r="BB28" s="468">
        <f t="shared" si="1"/>
        <v>0</v>
      </c>
      <c r="BC28" s="488"/>
      <c r="BD28" s="468">
        <v>64000000</v>
      </c>
      <c r="BE28" s="468">
        <f>26205398+25832790+11961812</f>
        <v>64000000</v>
      </c>
      <c r="BF28" s="468">
        <f t="shared" si="23"/>
        <v>0</v>
      </c>
      <c r="BG28" s="488"/>
      <c r="BH28" s="468">
        <v>9500000</v>
      </c>
      <c r="BI28" s="468">
        <f>4831000+4669000</f>
        <v>9500000</v>
      </c>
      <c r="BJ28" s="468">
        <f t="shared" si="24"/>
        <v>0</v>
      </c>
      <c r="BK28" s="488"/>
      <c r="BL28" s="468">
        <v>5000000</v>
      </c>
      <c r="BM28" s="468">
        <v>5000000</v>
      </c>
      <c r="BN28" s="468">
        <f t="shared" si="25"/>
        <v>0</v>
      </c>
      <c r="BO28" s="488"/>
      <c r="BP28" s="468">
        <v>20000000</v>
      </c>
      <c r="BQ28" s="468">
        <f>2337054+8570670+7353230+1736210+2836</f>
        <v>20000000</v>
      </c>
      <c r="BR28" s="468">
        <f t="shared" si="2"/>
        <v>0</v>
      </c>
      <c r="BS28" s="554"/>
      <c r="BT28" s="468">
        <v>1000000</v>
      </c>
      <c r="BU28" s="468">
        <f>850000+150000</f>
        <v>1000000</v>
      </c>
      <c r="BV28" s="468">
        <f t="shared" si="3"/>
        <v>0</v>
      </c>
      <c r="BW28" s="488"/>
      <c r="BX28" s="468">
        <v>80000000</v>
      </c>
      <c r="BY28" s="468">
        <f>41603888+19030100+8139500+11226512</f>
        <v>80000000</v>
      </c>
      <c r="BZ28" s="468">
        <f t="shared" si="26"/>
        <v>0</v>
      </c>
      <c r="CA28" s="488"/>
      <c r="CB28" s="468">
        <v>10000000</v>
      </c>
      <c r="CC28" s="468">
        <f>7765350+2234650</f>
        <v>10000000</v>
      </c>
      <c r="CD28" s="468">
        <f t="shared" si="4"/>
        <v>0</v>
      </c>
      <c r="CE28" s="488"/>
      <c r="CF28" s="468">
        <v>10000000</v>
      </c>
      <c r="CG28" s="468">
        <f>8496064.5+71159.5+829300+603476</f>
        <v>10000000</v>
      </c>
      <c r="CH28" s="468">
        <f t="shared" si="27"/>
        <v>0</v>
      </c>
      <c r="CI28" s="488"/>
      <c r="CJ28" s="468">
        <v>30000000</v>
      </c>
      <c r="CK28" s="468">
        <f>5500895+11442528.7+7348440+5708136.3</f>
        <v>30000000</v>
      </c>
      <c r="CL28" s="468">
        <f t="shared" si="5"/>
        <v>0</v>
      </c>
      <c r="CM28" s="488"/>
      <c r="CN28" s="468">
        <v>10000000</v>
      </c>
      <c r="CO28" s="490">
        <f>1471350+5068050.2+3168460+143100+149039.8</f>
        <v>10000000</v>
      </c>
      <c r="CP28" s="468">
        <f t="shared" si="6"/>
        <v>0</v>
      </c>
      <c r="CQ28" s="488"/>
      <c r="CR28" s="468">
        <v>100000000</v>
      </c>
      <c r="CS28" s="468">
        <f>33689668+58615900+3562400+4132032</f>
        <v>100000000</v>
      </c>
      <c r="CT28" s="468">
        <f t="shared" si="7"/>
        <v>0</v>
      </c>
      <c r="CU28" s="488"/>
      <c r="CV28" s="468">
        <v>20000000</v>
      </c>
      <c r="CW28" s="468">
        <v>20000000</v>
      </c>
      <c r="CX28" s="468">
        <f t="shared" si="8"/>
        <v>0</v>
      </c>
      <c r="CY28" s="488"/>
      <c r="CZ28" s="468">
        <v>20000000</v>
      </c>
      <c r="DA28" s="468">
        <f>19389200+610800</f>
        <v>20000000</v>
      </c>
      <c r="DB28" s="468">
        <f t="shared" si="9"/>
        <v>0</v>
      </c>
      <c r="DC28" s="488"/>
      <c r="DD28" s="468">
        <v>50000000</v>
      </c>
      <c r="DE28" s="463">
        <f>9548360+28909130+5520329.7+5393188+616100</f>
        <v>49987107.700000003</v>
      </c>
      <c r="DF28" s="468">
        <f t="shared" si="10"/>
        <v>12892.29999999702</v>
      </c>
      <c r="DG28" s="488"/>
      <c r="DH28" s="468">
        <v>10000000</v>
      </c>
      <c r="DI28" s="490">
        <f>553546.25</f>
        <v>553546.25</v>
      </c>
      <c r="DJ28" s="468">
        <f t="shared" si="11"/>
        <v>9446453.75</v>
      </c>
      <c r="DK28" s="488"/>
      <c r="DL28" s="471">
        <v>0</v>
      </c>
      <c r="DM28" s="471">
        <v>0</v>
      </c>
      <c r="DN28" s="471">
        <f t="shared" si="28"/>
        <v>0</v>
      </c>
      <c r="DO28" s="539"/>
      <c r="DP28" s="471"/>
      <c r="DQ28" s="471"/>
      <c r="DR28" s="471"/>
      <c r="DS28" s="473"/>
      <c r="DT28" s="471">
        <v>70000000</v>
      </c>
      <c r="DU28" s="471">
        <f>50967168+3500000+7600000+7932832</f>
        <v>70000000</v>
      </c>
      <c r="DV28" s="471">
        <f t="shared" si="29"/>
        <v>0</v>
      </c>
      <c r="DW28" s="473"/>
      <c r="DX28" s="471">
        <v>10000000</v>
      </c>
      <c r="DY28" s="471">
        <f>6605990+3280545+113465</f>
        <v>10000000</v>
      </c>
      <c r="DZ28" s="471">
        <f t="shared" si="30"/>
        <v>0</v>
      </c>
      <c r="EA28" s="473"/>
      <c r="EB28" s="471">
        <v>5000000</v>
      </c>
      <c r="EC28" s="471">
        <v>3633632.5</v>
      </c>
      <c r="ED28" s="471">
        <f t="shared" si="31"/>
        <v>1366367.5</v>
      </c>
      <c r="EE28" s="473"/>
      <c r="EF28" s="471">
        <v>20000000</v>
      </c>
      <c r="EG28" s="471">
        <f>9274290+10725710</f>
        <v>20000000</v>
      </c>
      <c r="EH28" s="471">
        <f t="shared" si="32"/>
        <v>0</v>
      </c>
      <c r="EI28" s="473"/>
      <c r="EJ28" s="471">
        <v>5000000</v>
      </c>
      <c r="EK28" s="471">
        <v>0</v>
      </c>
      <c r="EL28" s="471">
        <f t="shared" si="33"/>
        <v>5000000</v>
      </c>
      <c r="EM28" s="631" t="s">
        <v>74</v>
      </c>
      <c r="EN28" s="475">
        <v>200000000</v>
      </c>
      <c r="EO28" s="475">
        <f>120268377.4+55794393+7500000+16437229.6</f>
        <v>200000000</v>
      </c>
      <c r="EP28" s="475">
        <f t="shared" si="34"/>
        <v>0</v>
      </c>
      <c r="EQ28" s="475"/>
      <c r="ER28" s="475">
        <v>18000000</v>
      </c>
      <c r="ES28" s="475">
        <f>9205859.8</f>
        <v>9205859.8000000007</v>
      </c>
      <c r="ET28" s="475">
        <f t="shared" si="35"/>
        <v>8794140.1999999993</v>
      </c>
      <c r="EU28" s="475"/>
      <c r="EV28" s="475">
        <v>5000000</v>
      </c>
      <c r="EW28" s="475">
        <v>0</v>
      </c>
      <c r="EX28" s="475">
        <f t="shared" si="36"/>
        <v>5000000</v>
      </c>
      <c r="EY28" s="475"/>
      <c r="EZ28" s="475">
        <v>25000000</v>
      </c>
      <c r="FA28" s="475">
        <f>1637156</f>
        <v>1637156</v>
      </c>
      <c r="FB28" s="475">
        <f t="shared" si="37"/>
        <v>23362844</v>
      </c>
      <c r="FC28" s="475"/>
      <c r="FD28" s="475">
        <v>5000000</v>
      </c>
      <c r="FE28" s="475">
        <v>0</v>
      </c>
      <c r="FF28" s="475">
        <f t="shared" si="38"/>
        <v>5000000</v>
      </c>
      <c r="FG28" s="107"/>
      <c r="FH28" s="475">
        <v>75000000</v>
      </c>
      <c r="FI28" s="624">
        <f>662770.4+45693250-18700000+18000000</f>
        <v>45656020.399999999</v>
      </c>
      <c r="FJ28" s="475">
        <f t="shared" si="39"/>
        <v>29343979.600000001</v>
      </c>
      <c r="FK28" s="475"/>
      <c r="FL28" s="475">
        <v>20000000</v>
      </c>
      <c r="FM28" s="475">
        <v>0</v>
      </c>
      <c r="FN28" s="475">
        <f t="shared" si="40"/>
        <v>20000000</v>
      </c>
      <c r="FO28" s="475"/>
      <c r="FP28" s="475">
        <v>5000000</v>
      </c>
      <c r="FQ28" s="475">
        <v>0</v>
      </c>
      <c r="FR28" s="475">
        <f t="shared" si="41"/>
        <v>5000000</v>
      </c>
      <c r="FS28" s="475"/>
      <c r="FT28" s="475">
        <v>20000000</v>
      </c>
      <c r="FU28" s="475">
        <v>0</v>
      </c>
      <c r="FV28" s="475">
        <f t="shared" si="42"/>
        <v>20000000</v>
      </c>
      <c r="FW28" s="475"/>
      <c r="FX28" s="475">
        <v>5000000</v>
      </c>
      <c r="FY28" s="475">
        <v>0</v>
      </c>
      <c r="FZ28" s="475">
        <f t="shared" si="43"/>
        <v>5000000</v>
      </c>
      <c r="GA28" s="475"/>
      <c r="GB28" s="475">
        <v>100000000</v>
      </c>
      <c r="GC28" s="475">
        <v>0</v>
      </c>
      <c r="GD28" s="475">
        <f t="shared" si="44"/>
        <v>100000000</v>
      </c>
      <c r="GE28" s="475"/>
      <c r="GF28" s="475">
        <v>20000000</v>
      </c>
      <c r="GG28" s="475">
        <v>0</v>
      </c>
      <c r="GH28" s="475">
        <f t="shared" si="45"/>
        <v>20000000</v>
      </c>
      <c r="GI28" s="475"/>
      <c r="GJ28" s="475">
        <v>3000000</v>
      </c>
      <c r="GK28" s="475">
        <v>0</v>
      </c>
      <c r="GL28" s="475">
        <f t="shared" si="46"/>
        <v>3000000</v>
      </c>
      <c r="GM28" s="475"/>
      <c r="GN28" s="475">
        <v>15000000</v>
      </c>
      <c r="GO28" s="475">
        <v>0</v>
      </c>
      <c r="GP28" s="475">
        <f t="shared" si="47"/>
        <v>15000000</v>
      </c>
      <c r="GQ28" s="475"/>
      <c r="GR28" s="475">
        <v>3000000</v>
      </c>
      <c r="GS28" s="475">
        <v>0</v>
      </c>
      <c r="GT28" s="475">
        <f t="shared" si="48"/>
        <v>3000000</v>
      </c>
      <c r="GU28" s="475"/>
      <c r="GV28" s="468">
        <f t="shared" si="49"/>
        <v>1223490000</v>
      </c>
      <c r="GW28" s="468">
        <f t="shared" si="49"/>
        <v>945163322.64999998</v>
      </c>
      <c r="GX28" s="468">
        <f t="shared" si="50"/>
        <v>278326677.35000002</v>
      </c>
      <c r="GY28" s="472"/>
      <c r="HA28" s="468">
        <f>D28+H28+L28+X28+AN28+BD28+BX28+CR28+DT28+DL28+EN28+FH28+GB28</f>
        <v>810490000</v>
      </c>
      <c r="HB28" s="468">
        <f>E28+I28+M28+Y28+AO28+BE28+BY28+CS28+DU28+DM28+EO28+FI28+GC28</f>
        <v>681146020.39999998</v>
      </c>
      <c r="HC28" s="471">
        <f t="shared" si="51"/>
        <v>129343979.60000002</v>
      </c>
      <c r="HE28" s="471">
        <f>P28+AB28+AR28+BH28+CB28+CV28+DX28+ER28+FL28+GF28</f>
        <v>118500000</v>
      </c>
      <c r="HF28" s="471">
        <f>Q28+AC28+AS28+BI28+CC28+CW28+DY28+ES28+FM28+GG28</f>
        <v>69705859.799999997</v>
      </c>
      <c r="HG28" s="471">
        <f t="shared" si="52"/>
        <v>48794140.200000003</v>
      </c>
      <c r="HI28" s="471">
        <f>T28+AF28+AV28+BL28+CF28+CZ28+EB28+EV28+FP28+GJ28</f>
        <v>58000000</v>
      </c>
      <c r="HJ28" s="471">
        <f>U28+AG28+AW28+BM28+CG28+DA28+EC28+EW28+FQ28+GK28</f>
        <v>43633632.5</v>
      </c>
      <c r="HK28" s="471">
        <f t="shared" si="53"/>
        <v>14366367.5</v>
      </c>
      <c r="HM28" s="471">
        <f>AJ28+AZ28+BP28+CJ28+DD28+EF28+EZ28+FT28+GN28</f>
        <v>197500000</v>
      </c>
      <c r="HN28" s="471">
        <f>AK28+BA28+BQ28+CK28+DE28+EG28+FA28+FU28+GO28</f>
        <v>139124263.69999999</v>
      </c>
      <c r="HO28" s="471">
        <f t="shared" si="54"/>
        <v>58375736.300000012</v>
      </c>
      <c r="HP28" s="531"/>
      <c r="HQ28" s="471">
        <f>BT28+CN28+DH28+EJ28+FD28+FX28+GR28</f>
        <v>39000000</v>
      </c>
      <c r="HR28" s="471">
        <f>BU28+CO28+DI28+EK28+FE28+FY28+GS28</f>
        <v>11553546.25</v>
      </c>
      <c r="HS28" s="471">
        <f t="shared" si="55"/>
        <v>27446453.75</v>
      </c>
    </row>
    <row r="29" spans="1:227" x14ac:dyDescent="0.25">
      <c r="A29" s="107">
        <v>26</v>
      </c>
      <c r="B29" s="107" t="s">
        <v>522</v>
      </c>
      <c r="C29" s="631" t="s">
        <v>76</v>
      </c>
      <c r="D29" s="468">
        <v>0</v>
      </c>
      <c r="E29" s="468">
        <v>0</v>
      </c>
      <c r="F29" s="468">
        <f t="shared" si="12"/>
        <v>0</v>
      </c>
      <c r="G29" s="468"/>
      <c r="H29" s="468">
        <f>25240000-25240000</f>
        <v>0</v>
      </c>
      <c r="I29" s="468">
        <v>0</v>
      </c>
      <c r="J29" s="468">
        <f t="shared" si="13"/>
        <v>0</v>
      </c>
      <c r="K29" s="468"/>
      <c r="L29" s="468">
        <f>25000000-25000000</f>
        <v>0</v>
      </c>
      <c r="M29" s="468">
        <v>0</v>
      </c>
      <c r="N29" s="468">
        <f t="shared" si="14"/>
        <v>0</v>
      </c>
      <c r="O29" s="468"/>
      <c r="P29" s="468">
        <f>3000000-3000000</f>
        <v>0</v>
      </c>
      <c r="Q29" s="468">
        <v>0</v>
      </c>
      <c r="R29" s="468">
        <f t="shared" si="15"/>
        <v>0</v>
      </c>
      <c r="S29" s="468"/>
      <c r="T29" s="468">
        <f>1000000-1000000</f>
        <v>0</v>
      </c>
      <c r="U29" s="468">
        <v>0</v>
      </c>
      <c r="V29" s="468">
        <f t="shared" si="16"/>
        <v>0</v>
      </c>
      <c r="W29" s="468"/>
      <c r="X29" s="468">
        <v>21573000</v>
      </c>
      <c r="Y29" s="468">
        <v>21573000</v>
      </c>
      <c r="Z29" s="468">
        <f t="shared" si="17"/>
        <v>0</v>
      </c>
      <c r="AA29" s="468"/>
      <c r="AB29" s="468">
        <f>5000000-5000000</f>
        <v>0</v>
      </c>
      <c r="AC29" s="468">
        <v>0</v>
      </c>
      <c r="AD29" s="468">
        <f t="shared" si="18"/>
        <v>0</v>
      </c>
      <c r="AE29" s="468"/>
      <c r="AF29" s="468">
        <f>2000000-2000000</f>
        <v>0</v>
      </c>
      <c r="AG29" s="468">
        <v>0</v>
      </c>
      <c r="AH29" s="468">
        <f t="shared" si="19"/>
        <v>0</v>
      </c>
      <c r="AI29" s="468"/>
      <c r="AJ29" s="468">
        <v>7500000</v>
      </c>
      <c r="AK29" s="468">
        <v>7500000</v>
      </c>
      <c r="AL29" s="468">
        <f t="shared" si="20"/>
        <v>0</v>
      </c>
      <c r="AM29" s="468"/>
      <c r="AN29" s="468">
        <v>40000000</v>
      </c>
      <c r="AO29" s="468">
        <f>6545850+4855875+26055900+2542375</f>
        <v>40000000</v>
      </c>
      <c r="AP29" s="468">
        <f t="shared" si="0"/>
        <v>0</v>
      </c>
      <c r="AQ29" s="542"/>
      <c r="AR29" s="468">
        <v>3000000</v>
      </c>
      <c r="AS29" s="468">
        <v>3000000</v>
      </c>
      <c r="AT29" s="468">
        <f t="shared" si="21"/>
        <v>0</v>
      </c>
      <c r="AU29" s="468"/>
      <c r="AV29" s="468">
        <v>2000000</v>
      </c>
      <c r="AW29" s="468">
        <f>2000000</f>
        <v>2000000</v>
      </c>
      <c r="AX29" s="468">
        <f t="shared" si="22"/>
        <v>0</v>
      </c>
      <c r="AY29" s="468"/>
      <c r="AZ29" s="468">
        <v>10000000</v>
      </c>
      <c r="BA29" s="468">
        <v>10000000</v>
      </c>
      <c r="BB29" s="468">
        <f t="shared" si="1"/>
        <v>0</v>
      </c>
      <c r="BC29" s="468"/>
      <c r="BD29" s="468">
        <v>64000000</v>
      </c>
      <c r="BE29" s="489">
        <f>17449050+17901000+9333000-9333000-9333000+9333000+25457625-9577305</f>
        <v>51230370</v>
      </c>
      <c r="BF29" s="468">
        <f t="shared" si="23"/>
        <v>12769630</v>
      </c>
      <c r="BG29" s="468"/>
      <c r="BH29" s="468">
        <v>9500000</v>
      </c>
      <c r="BI29" s="468">
        <v>9500000</v>
      </c>
      <c r="BJ29" s="468">
        <f t="shared" si="24"/>
        <v>0</v>
      </c>
      <c r="BK29" s="468"/>
      <c r="BL29" s="468">
        <v>5000000</v>
      </c>
      <c r="BM29" s="468">
        <f>5000000</f>
        <v>5000000</v>
      </c>
      <c r="BN29" s="468">
        <f t="shared" si="25"/>
        <v>0</v>
      </c>
      <c r="BO29" s="468"/>
      <c r="BP29" s="468">
        <v>20000000</v>
      </c>
      <c r="BQ29" s="468">
        <f>5668110+3480220+10846830+4840</f>
        <v>20000000</v>
      </c>
      <c r="BR29" s="468">
        <f t="shared" si="2"/>
        <v>0</v>
      </c>
      <c r="BS29" s="468"/>
      <c r="BT29" s="468">
        <v>1000000</v>
      </c>
      <c r="BU29" s="468">
        <v>1000000</v>
      </c>
      <c r="BV29" s="468">
        <f t="shared" si="3"/>
        <v>0</v>
      </c>
      <c r="BW29" s="468"/>
      <c r="BX29" s="468">
        <v>80000000</v>
      </c>
      <c r="BY29" s="468">
        <f>10000000+7200000</f>
        <v>17200000</v>
      </c>
      <c r="BZ29" s="468">
        <f t="shared" si="26"/>
        <v>62800000</v>
      </c>
      <c r="CA29" s="468"/>
      <c r="CB29" s="468">
        <v>10000000</v>
      </c>
      <c r="CC29" s="468">
        <f>9850000+150000</f>
        <v>10000000</v>
      </c>
      <c r="CD29" s="468">
        <f t="shared" si="4"/>
        <v>0</v>
      </c>
      <c r="CE29" s="468"/>
      <c r="CF29" s="468">
        <v>10000000</v>
      </c>
      <c r="CG29" s="468">
        <f>7450000+2550000</f>
        <v>10000000</v>
      </c>
      <c r="CH29" s="468">
        <f t="shared" si="27"/>
        <v>0</v>
      </c>
      <c r="CI29" s="468"/>
      <c r="CJ29" s="468">
        <v>30000000</v>
      </c>
      <c r="CK29" s="468">
        <f>6411993+8627710+12763910+1532545+663842</f>
        <v>30000000</v>
      </c>
      <c r="CL29" s="468">
        <f t="shared" si="5"/>
        <v>0</v>
      </c>
      <c r="CM29" s="468"/>
      <c r="CN29" s="468">
        <v>10000000</v>
      </c>
      <c r="CO29" s="468">
        <f>1944400</f>
        <v>1944400</v>
      </c>
      <c r="CP29" s="468">
        <f t="shared" si="6"/>
        <v>8055600</v>
      </c>
      <c r="CQ29" s="468"/>
      <c r="CR29" s="468">
        <v>100000000</v>
      </c>
      <c r="CS29" s="468">
        <f>10000000+28018750+57902500+4078750</f>
        <v>100000000</v>
      </c>
      <c r="CT29" s="468">
        <f t="shared" si="7"/>
        <v>0</v>
      </c>
      <c r="CU29" s="468"/>
      <c r="CV29" s="468">
        <v>20000000</v>
      </c>
      <c r="CW29" s="468">
        <f>3620400+9785715+1504946.4+3056097.6</f>
        <v>17967159</v>
      </c>
      <c r="CX29" s="468">
        <f t="shared" si="8"/>
        <v>2032841</v>
      </c>
      <c r="CY29" s="468"/>
      <c r="CZ29" s="468">
        <v>20000000</v>
      </c>
      <c r="DA29" s="468">
        <v>0</v>
      </c>
      <c r="DB29" s="468">
        <f t="shared" si="9"/>
        <v>20000000</v>
      </c>
      <c r="DC29" s="468"/>
      <c r="DD29" s="468">
        <v>50000000</v>
      </c>
      <c r="DE29" s="468">
        <f>9698123.25+30647725+725130+8456586+472435.75</f>
        <v>50000000</v>
      </c>
      <c r="DF29" s="468">
        <f t="shared" si="10"/>
        <v>0</v>
      </c>
      <c r="DG29" s="542"/>
      <c r="DH29" s="468">
        <v>10000000</v>
      </c>
      <c r="DI29" s="468">
        <v>0</v>
      </c>
      <c r="DJ29" s="468">
        <f t="shared" si="11"/>
        <v>10000000</v>
      </c>
      <c r="DK29" s="468"/>
      <c r="DL29" s="471">
        <v>0</v>
      </c>
      <c r="DM29" s="471">
        <v>0</v>
      </c>
      <c r="DN29" s="471">
        <f t="shared" si="28"/>
        <v>0</v>
      </c>
      <c r="DO29" s="524"/>
      <c r="DP29" s="471"/>
      <c r="DQ29" s="471"/>
      <c r="DR29" s="471"/>
      <c r="DS29" s="473"/>
      <c r="DT29" s="471">
        <v>70000000</v>
      </c>
      <c r="DU29" s="471">
        <f>25696250+44303750</f>
        <v>70000000</v>
      </c>
      <c r="DV29" s="471">
        <f t="shared" si="29"/>
        <v>0</v>
      </c>
      <c r="DW29" s="473"/>
      <c r="DX29" s="471">
        <v>10000000</v>
      </c>
      <c r="DY29" s="471">
        <v>10000000</v>
      </c>
      <c r="DZ29" s="471">
        <f t="shared" si="30"/>
        <v>0</v>
      </c>
      <c r="EA29" s="473"/>
      <c r="EB29" s="471">
        <v>5000000</v>
      </c>
      <c r="EC29" s="471">
        <v>0</v>
      </c>
      <c r="ED29" s="471">
        <f t="shared" si="31"/>
        <v>5000000</v>
      </c>
      <c r="EE29" s="473"/>
      <c r="EF29" s="471">
        <v>20000000</v>
      </c>
      <c r="EG29" s="471">
        <f>9568886.25+9603120+827993.75</f>
        <v>20000000</v>
      </c>
      <c r="EH29" s="471">
        <f t="shared" si="32"/>
        <v>0</v>
      </c>
      <c r="EI29" s="473"/>
      <c r="EJ29" s="471">
        <v>5000000</v>
      </c>
      <c r="EK29" s="471">
        <v>0</v>
      </c>
      <c r="EL29" s="471">
        <f t="shared" si="33"/>
        <v>5000000</v>
      </c>
      <c r="EM29" s="631" t="s">
        <v>76</v>
      </c>
      <c r="EN29" s="475">
        <v>200000000</v>
      </c>
      <c r="EO29" s="626">
        <f>41892950+136178000+15960000</f>
        <v>194030950</v>
      </c>
      <c r="EP29" s="475">
        <f t="shared" si="34"/>
        <v>5969050</v>
      </c>
      <c r="EQ29" s="475"/>
      <c r="ER29" s="475">
        <v>18000000</v>
      </c>
      <c r="ES29" s="475">
        <f>6328910</f>
        <v>6328910</v>
      </c>
      <c r="ET29" s="475">
        <f t="shared" si="35"/>
        <v>11671090</v>
      </c>
      <c r="EU29" s="475"/>
      <c r="EV29" s="475">
        <v>5000000</v>
      </c>
      <c r="EW29" s="475">
        <v>0</v>
      </c>
      <c r="EX29" s="475">
        <f t="shared" si="36"/>
        <v>5000000</v>
      </c>
      <c r="EY29" s="475"/>
      <c r="EZ29" s="475">
        <v>25000000</v>
      </c>
      <c r="FA29" s="626">
        <f>1087961.25+4372910+19299285+239843.75</f>
        <v>25000000</v>
      </c>
      <c r="FB29" s="475">
        <f t="shared" si="37"/>
        <v>0</v>
      </c>
      <c r="FC29" s="475"/>
      <c r="FD29" s="475">
        <v>5000000</v>
      </c>
      <c r="FE29" s="475">
        <v>0</v>
      </c>
      <c r="FF29" s="475">
        <f t="shared" si="38"/>
        <v>5000000</v>
      </c>
      <c r="FG29" s="107"/>
      <c r="FH29" s="475">
        <v>75000000</v>
      </c>
      <c r="FI29" s="475">
        <v>0</v>
      </c>
      <c r="FJ29" s="475">
        <f t="shared" si="39"/>
        <v>75000000</v>
      </c>
      <c r="FK29" s="475"/>
      <c r="FL29" s="475">
        <v>20000000</v>
      </c>
      <c r="FM29" s="475">
        <v>0</v>
      </c>
      <c r="FN29" s="475">
        <f t="shared" si="40"/>
        <v>20000000</v>
      </c>
      <c r="FO29" s="475"/>
      <c r="FP29" s="475">
        <v>5000000</v>
      </c>
      <c r="FQ29" s="475">
        <v>0</v>
      </c>
      <c r="FR29" s="475">
        <f t="shared" si="41"/>
        <v>5000000</v>
      </c>
      <c r="FS29" s="475"/>
      <c r="FT29" s="475">
        <v>20000000</v>
      </c>
      <c r="FU29" s="623">
        <f>7063856.25+11274405</f>
        <v>18338261.25</v>
      </c>
      <c r="FV29" s="475">
        <f t="shared" si="42"/>
        <v>1661738.75</v>
      </c>
      <c r="FW29" s="475"/>
      <c r="FX29" s="475">
        <v>5000000</v>
      </c>
      <c r="FY29" s="475">
        <v>0</v>
      </c>
      <c r="FZ29" s="475">
        <f t="shared" si="43"/>
        <v>5000000</v>
      </c>
      <c r="GA29" s="475"/>
      <c r="GB29" s="475">
        <v>100000000</v>
      </c>
      <c r="GC29" s="475">
        <v>0</v>
      </c>
      <c r="GD29" s="475">
        <f t="shared" si="44"/>
        <v>100000000</v>
      </c>
      <c r="GE29" s="475"/>
      <c r="GF29" s="475">
        <v>20000000</v>
      </c>
      <c r="GG29" s="475">
        <v>0</v>
      </c>
      <c r="GH29" s="475">
        <f t="shared" si="45"/>
        <v>20000000</v>
      </c>
      <c r="GI29" s="475"/>
      <c r="GJ29" s="475">
        <v>3000000</v>
      </c>
      <c r="GK29" s="475">
        <v>0</v>
      </c>
      <c r="GL29" s="475">
        <f t="shared" si="46"/>
        <v>3000000</v>
      </c>
      <c r="GM29" s="475"/>
      <c r="GN29" s="475">
        <v>15000000</v>
      </c>
      <c r="GO29" s="475">
        <v>0</v>
      </c>
      <c r="GP29" s="475">
        <f t="shared" si="47"/>
        <v>15000000</v>
      </c>
      <c r="GQ29" s="475"/>
      <c r="GR29" s="475">
        <v>3000000</v>
      </c>
      <c r="GS29" s="475">
        <v>0</v>
      </c>
      <c r="GT29" s="475">
        <f t="shared" si="48"/>
        <v>3000000</v>
      </c>
      <c r="GU29" s="475"/>
      <c r="GV29" s="468">
        <f t="shared" si="49"/>
        <v>1152573000</v>
      </c>
      <c r="GW29" s="468">
        <f t="shared" si="49"/>
        <v>751613050.25</v>
      </c>
      <c r="GX29" s="468">
        <f t="shared" si="50"/>
        <v>400959949.75</v>
      </c>
      <c r="GY29" s="472"/>
      <c r="HA29" s="468">
        <f>D29+H29+L29+X29+AN29+BD29+BX29+CR29+DT29+DL29+EN29+FH29+GB29</f>
        <v>750573000</v>
      </c>
      <c r="HB29" s="468">
        <f>E29+I29+M29+Y29+AO29+BE29+BY29+CS29+DU29+DM29+EO29+FI29+GC29</f>
        <v>494034320</v>
      </c>
      <c r="HC29" s="471">
        <f t="shared" si="51"/>
        <v>256538680</v>
      </c>
      <c r="HE29" s="471">
        <f>P29+AB29+AR29+BH29+CB29+CV29+DX29+ER29+FL29+GF29</f>
        <v>110500000</v>
      </c>
      <c r="HF29" s="471">
        <f>Q29+AC29+AS29+BI29+CC29+CW29+DY29+ES29+FM29+GG29</f>
        <v>56796069</v>
      </c>
      <c r="HG29" s="471">
        <f t="shared" si="52"/>
        <v>53703931</v>
      </c>
      <c r="HI29" s="471">
        <f>T29+AF29+AV29+BL29+CF29+CZ29+EB29+EV29+FP29+GJ29</f>
        <v>55000000</v>
      </c>
      <c r="HJ29" s="471">
        <f>U29+AG29+AW29+BM29+CG29+DA29+EC29+EW29+FQ29+GK29</f>
        <v>17000000</v>
      </c>
      <c r="HK29" s="471">
        <f t="shared" si="53"/>
        <v>38000000</v>
      </c>
      <c r="HM29" s="471">
        <f>AJ29+AZ29+BP29+CJ29+DD29+EF29+EZ29+FT29+GN29</f>
        <v>197500000</v>
      </c>
      <c r="HN29" s="471">
        <f>AK29+BA29+BQ29+CK29+DE29+EG29+FA29+FU29+GO29</f>
        <v>180838261.25</v>
      </c>
      <c r="HO29" s="471">
        <f t="shared" si="54"/>
        <v>16661738.75</v>
      </c>
      <c r="HP29" s="531"/>
      <c r="HQ29" s="471">
        <f>BT29+CN29+DH29+EJ29+FD29+FX29+GR29</f>
        <v>39000000</v>
      </c>
      <c r="HR29" s="471">
        <f>BU29+CO29+DI29+EK29+FE29+FY29+GS29</f>
        <v>2944400</v>
      </c>
      <c r="HS29" s="471">
        <f t="shared" si="55"/>
        <v>36055600</v>
      </c>
    </row>
    <row r="30" spans="1:227" x14ac:dyDescent="0.25">
      <c r="A30" s="107">
        <v>27</v>
      </c>
      <c r="B30" s="107" t="s">
        <v>226</v>
      </c>
      <c r="C30" s="631" t="s">
        <v>63</v>
      </c>
      <c r="D30" s="488">
        <v>1250000</v>
      </c>
      <c r="E30" s="488">
        <v>1250000</v>
      </c>
      <c r="F30" s="468">
        <f t="shared" si="12"/>
        <v>0</v>
      </c>
      <c r="G30" s="488"/>
      <c r="H30" s="468">
        <v>25240000</v>
      </c>
      <c r="I30" s="468">
        <v>25240000</v>
      </c>
      <c r="J30" s="468">
        <f t="shared" si="13"/>
        <v>0</v>
      </c>
      <c r="K30" s="488"/>
      <c r="L30" s="468">
        <v>25000000</v>
      </c>
      <c r="M30" s="468">
        <v>25000000</v>
      </c>
      <c r="N30" s="468">
        <f t="shared" si="14"/>
        <v>0</v>
      </c>
      <c r="O30" s="488"/>
      <c r="P30" s="468">
        <v>3000000</v>
      </c>
      <c r="Q30" s="468">
        <v>3000000</v>
      </c>
      <c r="R30" s="468">
        <f t="shared" si="15"/>
        <v>0</v>
      </c>
      <c r="S30" s="488"/>
      <c r="T30" s="468">
        <v>850000</v>
      </c>
      <c r="U30" s="468">
        <v>850000</v>
      </c>
      <c r="V30" s="468">
        <f t="shared" si="16"/>
        <v>0</v>
      </c>
      <c r="W30" s="488"/>
      <c r="X30" s="468">
        <v>30000000</v>
      </c>
      <c r="Y30" s="468">
        <v>30000000</v>
      </c>
      <c r="Z30" s="468">
        <f t="shared" si="17"/>
        <v>0</v>
      </c>
      <c r="AA30" s="488"/>
      <c r="AB30" s="468">
        <v>5000000</v>
      </c>
      <c r="AC30" s="468">
        <f>5000000</f>
        <v>5000000</v>
      </c>
      <c r="AD30" s="468">
        <f t="shared" si="18"/>
        <v>0</v>
      </c>
      <c r="AE30" s="488"/>
      <c r="AF30" s="468">
        <v>2000000</v>
      </c>
      <c r="AG30" s="468">
        <f>1700000+300000</f>
        <v>2000000</v>
      </c>
      <c r="AH30" s="468">
        <f t="shared" si="19"/>
        <v>0</v>
      </c>
      <c r="AI30" s="488"/>
      <c r="AJ30" s="468">
        <v>7500000</v>
      </c>
      <c r="AK30" s="468">
        <f>2555643+2167400+2776957</f>
        <v>7500000</v>
      </c>
      <c r="AL30" s="468">
        <f t="shared" si="20"/>
        <v>0</v>
      </c>
      <c r="AM30" s="468"/>
      <c r="AN30" s="468">
        <v>40000000</v>
      </c>
      <c r="AO30" s="468">
        <v>40000000</v>
      </c>
      <c r="AP30" s="468">
        <f t="shared" si="0"/>
        <v>0</v>
      </c>
      <c r="AQ30" s="488"/>
      <c r="AR30" s="468">
        <v>3000000</v>
      </c>
      <c r="AS30" s="468">
        <f>3000000</f>
        <v>3000000</v>
      </c>
      <c r="AT30" s="468">
        <f t="shared" si="21"/>
        <v>0</v>
      </c>
      <c r="AU30" s="488"/>
      <c r="AV30" s="468">
        <v>2000000</v>
      </c>
      <c r="AW30" s="468">
        <v>2000000</v>
      </c>
      <c r="AX30" s="468">
        <f t="shared" si="22"/>
        <v>0</v>
      </c>
      <c r="AY30" s="488"/>
      <c r="AZ30" s="468">
        <v>10000000</v>
      </c>
      <c r="BA30" s="468">
        <v>10000000</v>
      </c>
      <c r="BB30" s="468">
        <f t="shared" si="1"/>
        <v>0</v>
      </c>
      <c r="BC30" s="488"/>
      <c r="BD30" s="468">
        <v>64000000</v>
      </c>
      <c r="BE30" s="468">
        <f>22014936.45+38695050+3290013.55</f>
        <v>64000000</v>
      </c>
      <c r="BF30" s="468">
        <f t="shared" si="23"/>
        <v>0</v>
      </c>
      <c r="BG30" s="488"/>
      <c r="BH30" s="468">
        <v>9500000</v>
      </c>
      <c r="BI30" s="468">
        <f>2986370+3477714.9+3035915.1</f>
        <v>9500000</v>
      </c>
      <c r="BJ30" s="468">
        <f t="shared" si="24"/>
        <v>0</v>
      </c>
      <c r="BK30" s="488"/>
      <c r="BL30" s="468">
        <v>5000000</v>
      </c>
      <c r="BM30" s="468">
        <f>1950000+1500000</f>
        <v>3450000</v>
      </c>
      <c r="BN30" s="468">
        <f t="shared" si="25"/>
        <v>1550000</v>
      </c>
      <c r="BO30" s="488"/>
      <c r="BP30" s="468">
        <v>20000000</v>
      </c>
      <c r="BQ30" s="468">
        <f>288400+4363570+1385380+13962650</f>
        <v>20000000</v>
      </c>
      <c r="BR30" s="468">
        <f t="shared" si="2"/>
        <v>0</v>
      </c>
      <c r="BS30" s="488"/>
      <c r="BT30" s="468">
        <v>1000000</v>
      </c>
      <c r="BU30" s="468">
        <v>1000000</v>
      </c>
      <c r="BV30" s="468">
        <f t="shared" si="3"/>
        <v>0</v>
      </c>
      <c r="BW30" s="488"/>
      <c r="BX30" s="468">
        <v>80000000</v>
      </c>
      <c r="BY30" s="468">
        <f>49105711.45+23903500+6990788.55</f>
        <v>80000000</v>
      </c>
      <c r="BZ30" s="468">
        <f t="shared" si="26"/>
        <v>0</v>
      </c>
      <c r="CA30" s="471"/>
      <c r="CB30" s="468">
        <v>10000000</v>
      </c>
      <c r="CC30" s="468">
        <f>5750000+526090.9+478605+1510000+1735304.1</f>
        <v>10000000</v>
      </c>
      <c r="CD30" s="468">
        <f t="shared" si="4"/>
        <v>0</v>
      </c>
      <c r="CE30" s="488"/>
      <c r="CF30" s="468">
        <v>10000000</v>
      </c>
      <c r="CG30" s="468">
        <f>4250000+5750000</f>
        <v>10000000</v>
      </c>
      <c r="CH30" s="468">
        <f t="shared" si="27"/>
        <v>0</v>
      </c>
      <c r="CI30" s="488"/>
      <c r="CJ30" s="468">
        <v>30000000</v>
      </c>
      <c r="CK30" s="468">
        <f>10642635+19357365</f>
        <v>30000000</v>
      </c>
      <c r="CL30" s="468">
        <f t="shared" si="5"/>
        <v>0</v>
      </c>
      <c r="CM30" s="488"/>
      <c r="CN30" s="468">
        <v>10000000</v>
      </c>
      <c r="CO30" s="482">
        <f>2485000+3036200+1150800+3328000</f>
        <v>10000000</v>
      </c>
      <c r="CP30" s="468">
        <f t="shared" si="6"/>
        <v>0</v>
      </c>
      <c r="CQ30" s="488"/>
      <c r="CR30" s="468">
        <v>100000000</v>
      </c>
      <c r="CS30" s="468">
        <f>61456311.45+4284800+3962600+29660740+635548.55</f>
        <v>100000000</v>
      </c>
      <c r="CT30" s="468">
        <f t="shared" si="7"/>
        <v>0</v>
      </c>
      <c r="CU30" s="488"/>
      <c r="CV30" s="468">
        <v>20000000</v>
      </c>
      <c r="CW30" s="468">
        <v>20000000</v>
      </c>
      <c r="CX30" s="468">
        <f t="shared" si="8"/>
        <v>0</v>
      </c>
      <c r="CY30" s="488"/>
      <c r="CZ30" s="468">
        <v>20000000</v>
      </c>
      <c r="DA30" s="468">
        <v>2750000</v>
      </c>
      <c r="DB30" s="468">
        <f t="shared" si="9"/>
        <v>17250000</v>
      </c>
      <c r="DC30" s="488"/>
      <c r="DD30" s="468">
        <v>50000000</v>
      </c>
      <c r="DE30" s="468">
        <f>10871930+14588300+6835206+9744926+7959638</f>
        <v>50000000</v>
      </c>
      <c r="DF30" s="468">
        <f t="shared" si="10"/>
        <v>0</v>
      </c>
      <c r="DG30" s="488"/>
      <c r="DH30" s="468">
        <v>10000000</v>
      </c>
      <c r="DI30" s="482">
        <f>10000000</f>
        <v>10000000</v>
      </c>
      <c r="DJ30" s="468">
        <f t="shared" si="11"/>
        <v>0</v>
      </c>
      <c r="DK30" s="488"/>
      <c r="DL30" s="471">
        <v>0</v>
      </c>
      <c r="DM30" s="471">
        <v>0</v>
      </c>
      <c r="DN30" s="471">
        <f t="shared" si="28"/>
        <v>0</v>
      </c>
      <c r="DO30" s="539"/>
      <c r="DP30" s="471"/>
      <c r="DQ30" s="471"/>
      <c r="DR30" s="471"/>
      <c r="DS30" s="473"/>
      <c r="DT30" s="471">
        <v>70000000</v>
      </c>
      <c r="DU30" s="471">
        <f>4948851.45+33033600+32017548.55</f>
        <v>70000000</v>
      </c>
      <c r="DV30" s="471">
        <f t="shared" si="29"/>
        <v>0</v>
      </c>
      <c r="DW30" s="473"/>
      <c r="DX30" s="471">
        <v>10000000</v>
      </c>
      <c r="DY30" s="471">
        <f>9046025+953975</f>
        <v>10000000</v>
      </c>
      <c r="DZ30" s="471">
        <f t="shared" si="30"/>
        <v>0</v>
      </c>
      <c r="EA30" s="473"/>
      <c r="EB30" s="471">
        <v>5000000</v>
      </c>
      <c r="EC30" s="471">
        <v>0</v>
      </c>
      <c r="ED30" s="471">
        <f t="shared" si="31"/>
        <v>5000000</v>
      </c>
      <c r="EE30" s="473"/>
      <c r="EF30" s="471">
        <v>20000000</v>
      </c>
      <c r="EG30" s="471">
        <f>3263800+16736200</f>
        <v>20000000</v>
      </c>
      <c r="EH30" s="471">
        <f t="shared" si="32"/>
        <v>0</v>
      </c>
      <c r="EI30" s="473"/>
      <c r="EJ30" s="471">
        <v>5000000</v>
      </c>
      <c r="EK30" s="553">
        <f>5000000</f>
        <v>5000000</v>
      </c>
      <c r="EL30" s="471">
        <f t="shared" si="33"/>
        <v>0</v>
      </c>
      <c r="EM30" s="631" t="s">
        <v>63</v>
      </c>
      <c r="EN30" s="475">
        <v>200000000</v>
      </c>
      <c r="EO30" s="475">
        <f>89582451.45+3965617+19500000+1500000+85451931.55</f>
        <v>200000000</v>
      </c>
      <c r="EP30" s="475">
        <f t="shared" si="34"/>
        <v>0</v>
      </c>
      <c r="EQ30" s="475"/>
      <c r="ER30" s="475">
        <v>18000000</v>
      </c>
      <c r="ES30" s="475">
        <f>6362534.2+1260360+540000+6690000+3147105.8</f>
        <v>18000000</v>
      </c>
      <c r="ET30" s="475">
        <f t="shared" si="35"/>
        <v>0</v>
      </c>
      <c r="EU30" s="475"/>
      <c r="EV30" s="475">
        <v>5000000</v>
      </c>
      <c r="EW30" s="475">
        <v>0</v>
      </c>
      <c r="EX30" s="475">
        <f t="shared" si="36"/>
        <v>5000000</v>
      </c>
      <c r="EY30" s="475"/>
      <c r="EZ30" s="475">
        <v>25000000</v>
      </c>
      <c r="FA30" s="475">
        <f>9189267+2180360+2974160+5012540+5643673</f>
        <v>25000000</v>
      </c>
      <c r="FB30" s="475">
        <f t="shared" si="37"/>
        <v>0</v>
      </c>
      <c r="FC30" s="475"/>
      <c r="FD30" s="475">
        <v>5000000</v>
      </c>
      <c r="FE30" s="624">
        <f>1445273.75</f>
        <v>1445273.75</v>
      </c>
      <c r="FF30" s="475">
        <f t="shared" si="38"/>
        <v>3554726.25</v>
      </c>
      <c r="FG30" s="107"/>
      <c r="FH30" s="475">
        <v>75000000</v>
      </c>
      <c r="FI30" s="624">
        <f>25698630.45+1500000+3000000</f>
        <v>30198630.449999999</v>
      </c>
      <c r="FJ30" s="475">
        <f t="shared" si="39"/>
        <v>44801369.549999997</v>
      </c>
      <c r="FK30" s="475"/>
      <c r="FL30" s="475">
        <v>20000000</v>
      </c>
      <c r="FM30" s="625">
        <f>1552169.32+2298352+6377977.14</f>
        <v>10228498.460000001</v>
      </c>
      <c r="FN30" s="475">
        <f t="shared" si="40"/>
        <v>9771501.5399999991</v>
      </c>
      <c r="FO30" s="475"/>
      <c r="FP30" s="475">
        <v>5000000</v>
      </c>
      <c r="FQ30" s="475">
        <v>0</v>
      </c>
      <c r="FR30" s="475">
        <f t="shared" si="41"/>
        <v>5000000</v>
      </c>
      <c r="FS30" s="475"/>
      <c r="FT30" s="475">
        <v>20000000</v>
      </c>
      <c r="FU30" s="627">
        <f>3992752-2298352+2990465+740000</f>
        <v>5424865</v>
      </c>
      <c r="FV30" s="475">
        <f t="shared" si="42"/>
        <v>14575135</v>
      </c>
      <c r="FW30" s="475"/>
      <c r="FX30" s="475">
        <v>5000000</v>
      </c>
      <c r="FY30" s="475">
        <v>0</v>
      </c>
      <c r="FZ30" s="475">
        <f t="shared" si="43"/>
        <v>5000000</v>
      </c>
      <c r="GA30" s="475"/>
      <c r="GB30" s="475">
        <v>100000000</v>
      </c>
      <c r="GC30" s="475">
        <v>0</v>
      </c>
      <c r="GD30" s="475">
        <f t="shared" si="44"/>
        <v>100000000</v>
      </c>
      <c r="GE30" s="475"/>
      <c r="GF30" s="475">
        <v>20000000</v>
      </c>
      <c r="GG30" s="475">
        <v>0</v>
      </c>
      <c r="GH30" s="475">
        <f t="shared" si="45"/>
        <v>20000000</v>
      </c>
      <c r="GI30" s="475"/>
      <c r="GJ30" s="475">
        <v>3000000</v>
      </c>
      <c r="GK30" s="475">
        <v>0</v>
      </c>
      <c r="GL30" s="475">
        <f t="shared" si="46"/>
        <v>3000000</v>
      </c>
      <c r="GM30" s="475"/>
      <c r="GN30" s="475">
        <v>15000000</v>
      </c>
      <c r="GO30" s="475">
        <v>0</v>
      </c>
      <c r="GP30" s="475">
        <f t="shared" si="47"/>
        <v>15000000</v>
      </c>
      <c r="GQ30" s="475"/>
      <c r="GR30" s="475">
        <v>3000000</v>
      </c>
      <c r="GS30" s="475">
        <v>0</v>
      </c>
      <c r="GT30" s="475">
        <f t="shared" si="48"/>
        <v>3000000</v>
      </c>
      <c r="GU30" s="475"/>
      <c r="GV30" s="468">
        <f t="shared" si="49"/>
        <v>1223340000</v>
      </c>
      <c r="GW30" s="468">
        <f t="shared" si="49"/>
        <v>970837267.66000009</v>
      </c>
      <c r="GX30" s="468">
        <f t="shared" si="50"/>
        <v>252502732.33999991</v>
      </c>
      <c r="GY30" s="472"/>
      <c r="HA30" s="468">
        <f>D30+H30+L30+X30+AN30+BD30+BX30+CR30+DT30+DL30+EN30+FH30+GB30</f>
        <v>810490000</v>
      </c>
      <c r="HB30" s="468">
        <f>E30+I30+M30+Y30+AO30+BE30+BY30+CS30+DU30+DM30+EO30+FI30+GC30</f>
        <v>665688630.45000005</v>
      </c>
      <c r="HC30" s="471">
        <f t="shared" si="51"/>
        <v>144801369.54999995</v>
      </c>
      <c r="HE30" s="471">
        <f>P30+AB30+AR30+BH30+CB30+CV30+DX30+ER30+FL30+GF30</f>
        <v>118500000</v>
      </c>
      <c r="HF30" s="471">
        <f>Q30+AC30+AS30+BI30+CC30+CW30+DY30+ES30+FM30+GG30</f>
        <v>88728498.460000008</v>
      </c>
      <c r="HG30" s="471">
        <f t="shared" si="52"/>
        <v>29771501.539999992</v>
      </c>
      <c r="HI30" s="471">
        <f>T30+AF30+AV30+BL30+CF30+CZ30+EB30+EV30+FP30+GJ30</f>
        <v>57850000</v>
      </c>
      <c r="HJ30" s="471">
        <f>U30+AG30+AW30+BM30+CG30+DA30+EC30+EW30+FQ30+GK30</f>
        <v>21050000</v>
      </c>
      <c r="HK30" s="471">
        <f t="shared" si="53"/>
        <v>36800000</v>
      </c>
      <c r="HM30" s="471">
        <f>AJ30+AZ30+BP30+CJ30+DD30+EF30+EZ30+FT30+GN30</f>
        <v>197500000</v>
      </c>
      <c r="HN30" s="471">
        <f>AK30+BA30+BQ30+CK30+DE30+EG30+FA30+FU30+GO30</f>
        <v>167924865</v>
      </c>
      <c r="HO30" s="471">
        <f t="shared" si="54"/>
        <v>29575135</v>
      </c>
      <c r="HP30" s="531"/>
      <c r="HQ30" s="471">
        <f>BT30+CN30+DH30+EJ30+FD30+FX30+GR30</f>
        <v>39000000</v>
      </c>
      <c r="HR30" s="471">
        <f>BU30+CO30+DI30+EK30+FE30+FY30+GS30</f>
        <v>27445273.75</v>
      </c>
      <c r="HS30" s="471">
        <f t="shared" si="55"/>
        <v>11554726.25</v>
      </c>
    </row>
    <row r="31" spans="1:227" x14ac:dyDescent="0.25">
      <c r="A31" s="107">
        <v>28</v>
      </c>
      <c r="B31" s="107" t="s">
        <v>227</v>
      </c>
      <c r="C31" s="631" t="s">
        <v>63</v>
      </c>
      <c r="D31" s="488">
        <v>1250000</v>
      </c>
      <c r="E31" s="488">
        <v>1250000</v>
      </c>
      <c r="F31" s="468">
        <f t="shared" si="12"/>
        <v>0</v>
      </c>
      <c r="G31" s="488"/>
      <c r="H31" s="468">
        <v>25240000</v>
      </c>
      <c r="I31" s="468">
        <f>6100000+5700000+7300000+1400000+4740000</f>
        <v>25240000</v>
      </c>
      <c r="J31" s="468">
        <f t="shared" si="13"/>
        <v>0</v>
      </c>
      <c r="K31" s="488"/>
      <c r="L31" s="468">
        <v>25000000</v>
      </c>
      <c r="M31" s="463">
        <f>9414850+937430+14647720</f>
        <v>25000000</v>
      </c>
      <c r="N31" s="468">
        <f t="shared" si="14"/>
        <v>0</v>
      </c>
      <c r="O31" s="488"/>
      <c r="P31" s="468">
        <v>3000000</v>
      </c>
      <c r="Q31" s="468">
        <v>3000000</v>
      </c>
      <c r="R31" s="468">
        <f t="shared" si="15"/>
        <v>0</v>
      </c>
      <c r="S31" s="488"/>
      <c r="T31" s="468">
        <f>1000000-1000000</f>
        <v>0</v>
      </c>
      <c r="U31" s="468">
        <v>0</v>
      </c>
      <c r="V31" s="468">
        <f t="shared" si="16"/>
        <v>0</v>
      </c>
      <c r="W31" s="488"/>
      <c r="X31" s="468">
        <v>30000000</v>
      </c>
      <c r="Y31" s="468">
        <f>37642680-7642680</f>
        <v>30000000</v>
      </c>
      <c r="Z31" s="468">
        <f t="shared" si="17"/>
        <v>0</v>
      </c>
      <c r="AA31" s="488"/>
      <c r="AB31" s="468">
        <v>5000000</v>
      </c>
      <c r="AC31" s="468">
        <v>5000000</v>
      </c>
      <c r="AD31" s="468">
        <f t="shared" si="18"/>
        <v>0</v>
      </c>
      <c r="AE31" s="488"/>
      <c r="AF31" s="468">
        <f>2000000-2000000</f>
        <v>0</v>
      </c>
      <c r="AG31" s="468">
        <v>0</v>
      </c>
      <c r="AH31" s="468">
        <f t="shared" si="19"/>
        <v>0</v>
      </c>
      <c r="AI31" s="488"/>
      <c r="AJ31" s="468">
        <v>7500000</v>
      </c>
      <c r="AK31" s="468">
        <v>7500000</v>
      </c>
      <c r="AL31" s="468">
        <f t="shared" si="20"/>
        <v>0</v>
      </c>
      <c r="AM31" s="468"/>
      <c r="AN31" s="468">
        <v>40000000</v>
      </c>
      <c r="AO31" s="468">
        <f>7642680+3294750+29062570</f>
        <v>40000000</v>
      </c>
      <c r="AP31" s="468">
        <f t="shared" si="0"/>
        <v>0</v>
      </c>
      <c r="AQ31" s="488"/>
      <c r="AR31" s="468">
        <v>3000000</v>
      </c>
      <c r="AS31" s="468">
        <v>3000000</v>
      </c>
      <c r="AT31" s="468">
        <f t="shared" si="21"/>
        <v>0</v>
      </c>
      <c r="AU31" s="488"/>
      <c r="AV31" s="468">
        <v>2000000</v>
      </c>
      <c r="AW31" s="468">
        <f>2000000-2000000+2000000</f>
        <v>2000000</v>
      </c>
      <c r="AX31" s="468">
        <f t="shared" si="22"/>
        <v>0</v>
      </c>
      <c r="AY31" s="488"/>
      <c r="AZ31" s="468">
        <v>10000000</v>
      </c>
      <c r="BA31" s="468">
        <f>7563950+2436050</f>
        <v>10000000</v>
      </c>
      <c r="BB31" s="468">
        <f t="shared" si="1"/>
        <v>0</v>
      </c>
      <c r="BC31" s="488"/>
      <c r="BD31" s="468">
        <v>64000000</v>
      </c>
      <c r="BE31" s="468">
        <f>24932155+48752550-9684705</f>
        <v>64000000</v>
      </c>
      <c r="BF31" s="468">
        <f t="shared" si="23"/>
        <v>0</v>
      </c>
      <c r="BG31" s="488"/>
      <c r="BH31" s="468">
        <v>9500000</v>
      </c>
      <c r="BI31" s="468">
        <f>8977000+523000</f>
        <v>9500000</v>
      </c>
      <c r="BJ31" s="468">
        <f t="shared" si="24"/>
        <v>0</v>
      </c>
      <c r="BK31" s="488"/>
      <c r="BL31" s="468">
        <v>5000000</v>
      </c>
      <c r="BM31" s="468">
        <f>5000000-5000000+5000000</f>
        <v>5000000</v>
      </c>
      <c r="BN31" s="468">
        <f t="shared" si="25"/>
        <v>0</v>
      </c>
      <c r="BO31" s="488"/>
      <c r="BP31" s="468">
        <v>20000000</v>
      </c>
      <c r="BQ31" s="468">
        <f>10569760+5684100+29611810-25865670</f>
        <v>20000000</v>
      </c>
      <c r="BR31" s="468">
        <f t="shared" si="2"/>
        <v>0</v>
      </c>
      <c r="BS31" s="488"/>
      <c r="BT31" s="468">
        <v>1000000</v>
      </c>
      <c r="BU31" s="468">
        <f>850000+150000-850000+850000</f>
        <v>1000000</v>
      </c>
      <c r="BV31" s="468">
        <f t="shared" si="3"/>
        <v>0</v>
      </c>
      <c r="BW31" s="488"/>
      <c r="BX31" s="468">
        <v>80000000</v>
      </c>
      <c r="BY31" s="468">
        <f>55673600+9302562+9684705+5339133</f>
        <v>80000000</v>
      </c>
      <c r="BZ31" s="468">
        <f t="shared" si="26"/>
        <v>0</v>
      </c>
      <c r="CA31" s="471"/>
      <c r="CB31" s="468">
        <v>10000000</v>
      </c>
      <c r="CC31" s="468">
        <f>10000000</f>
        <v>10000000</v>
      </c>
      <c r="CD31" s="468">
        <f t="shared" si="4"/>
        <v>0</v>
      </c>
      <c r="CE31" s="488"/>
      <c r="CF31" s="468">
        <v>10000000</v>
      </c>
      <c r="CG31" s="468">
        <f>10000000-10000000+10000000</f>
        <v>10000000</v>
      </c>
      <c r="CH31" s="468">
        <f t="shared" si="27"/>
        <v>0</v>
      </c>
      <c r="CI31" s="488"/>
      <c r="CJ31" s="468">
        <v>30000000</v>
      </c>
      <c r="CK31" s="468">
        <f>3687000+25865670+447330</f>
        <v>30000000</v>
      </c>
      <c r="CL31" s="468">
        <f t="shared" si="5"/>
        <v>0</v>
      </c>
      <c r="CM31" s="488"/>
      <c r="CN31" s="468">
        <v>10000000</v>
      </c>
      <c r="CO31" s="468">
        <f>5375000+1275000+2500000-9350000+9350000+157500</f>
        <v>9307500</v>
      </c>
      <c r="CP31" s="468">
        <f t="shared" si="6"/>
        <v>692500</v>
      </c>
      <c r="CQ31" s="488"/>
      <c r="CR31" s="468">
        <v>100000000</v>
      </c>
      <c r="CS31" s="468">
        <f>74718367+10635000+9646633+5000000-5000000</f>
        <v>95000000</v>
      </c>
      <c r="CT31" s="468">
        <f t="shared" si="7"/>
        <v>5000000</v>
      </c>
      <c r="CU31" s="488"/>
      <c r="CV31" s="468">
        <v>20000000</v>
      </c>
      <c r="CW31" s="468">
        <f>17477000+2523000</f>
        <v>20000000</v>
      </c>
      <c r="CX31" s="468">
        <f t="shared" si="8"/>
        <v>0</v>
      </c>
      <c r="CY31" s="488"/>
      <c r="CZ31" s="468">
        <v>20000000</v>
      </c>
      <c r="DA31" s="489">
        <f>11687500-11687500+11687500+5062500</f>
        <v>16750000</v>
      </c>
      <c r="DB31" s="468">
        <f t="shared" si="9"/>
        <v>3250000</v>
      </c>
      <c r="DC31" s="488"/>
      <c r="DD31" s="468">
        <v>50000000</v>
      </c>
      <c r="DE31" s="468">
        <f>23903510+25664783+431707</f>
        <v>50000000</v>
      </c>
      <c r="DF31" s="468">
        <f t="shared" si="10"/>
        <v>0</v>
      </c>
      <c r="DG31" s="488"/>
      <c r="DH31" s="468">
        <v>10000000</v>
      </c>
      <c r="DI31" s="468">
        <f>6850000+2894250+255750</f>
        <v>10000000</v>
      </c>
      <c r="DJ31" s="468">
        <f t="shared" si="11"/>
        <v>0</v>
      </c>
      <c r="DK31" s="488"/>
      <c r="DL31" s="471">
        <v>0</v>
      </c>
      <c r="DM31" s="471">
        <v>0</v>
      </c>
      <c r="DN31" s="471">
        <f t="shared" si="28"/>
        <v>0</v>
      </c>
      <c r="DO31" s="539"/>
      <c r="DP31" s="471"/>
      <c r="DQ31" s="471"/>
      <c r="DR31" s="471"/>
      <c r="DS31" s="473"/>
      <c r="DT31" s="471">
        <v>70000000</v>
      </c>
      <c r="DU31" s="471">
        <f>200000+2000000+5952882+66934204-5087086-5952882+5952882</f>
        <v>70000000</v>
      </c>
      <c r="DV31" s="471">
        <f t="shared" si="29"/>
        <v>0</v>
      </c>
      <c r="DW31" s="473"/>
      <c r="DX31" s="471">
        <v>10000000</v>
      </c>
      <c r="DY31" s="471">
        <f>7477000+2058600+464400</f>
        <v>10000000</v>
      </c>
      <c r="DZ31" s="471">
        <f t="shared" si="30"/>
        <v>0</v>
      </c>
      <c r="EA31" s="473"/>
      <c r="EB31" s="471">
        <v>5000000</v>
      </c>
      <c r="EC31" s="471">
        <v>0</v>
      </c>
      <c r="ED31" s="471">
        <f t="shared" si="31"/>
        <v>5000000</v>
      </c>
      <c r="EE31" s="473"/>
      <c r="EF31" s="471">
        <v>20000000</v>
      </c>
      <c r="EG31" s="471">
        <f>2351943+10952882+6695175</f>
        <v>20000000</v>
      </c>
      <c r="EH31" s="471">
        <f t="shared" si="32"/>
        <v>0</v>
      </c>
      <c r="EI31" s="473"/>
      <c r="EJ31" s="471">
        <v>5000000</v>
      </c>
      <c r="EK31" s="471">
        <f>636750+510750</f>
        <v>1147500</v>
      </c>
      <c r="EL31" s="471">
        <f t="shared" si="33"/>
        <v>3852500</v>
      </c>
      <c r="EM31" s="631" t="s">
        <v>63</v>
      </c>
      <c r="EN31" s="475">
        <v>200000000</v>
      </c>
      <c r="EO31" s="475">
        <f>5087086+52200000+49839284+50640471+42233159</f>
        <v>200000000</v>
      </c>
      <c r="EP31" s="475">
        <f t="shared" si="34"/>
        <v>0</v>
      </c>
      <c r="EQ31" s="475"/>
      <c r="ER31" s="475">
        <v>18000000</v>
      </c>
      <c r="ES31" s="623">
        <f>1254600+3548880+744600+9675229.13+2022720</f>
        <v>17246029.130000003</v>
      </c>
      <c r="ET31" s="475">
        <f t="shared" si="35"/>
        <v>753970.86999999732</v>
      </c>
      <c r="EU31" s="475"/>
      <c r="EV31" s="475">
        <v>5000000</v>
      </c>
      <c r="EW31" s="475">
        <v>0</v>
      </c>
      <c r="EX31" s="475">
        <f t="shared" si="36"/>
        <v>5000000</v>
      </c>
      <c r="EY31" s="475"/>
      <c r="EZ31" s="475">
        <v>25000000</v>
      </c>
      <c r="FA31" s="475">
        <f>20275555+207000+198600+4318845</f>
        <v>25000000</v>
      </c>
      <c r="FB31" s="475">
        <f t="shared" si="37"/>
        <v>0</v>
      </c>
      <c r="FC31" s="475"/>
      <c r="FD31" s="475">
        <v>5000000</v>
      </c>
      <c r="FE31" s="475">
        <v>0</v>
      </c>
      <c r="FF31" s="475">
        <f t="shared" si="38"/>
        <v>5000000</v>
      </c>
      <c r="FG31" s="107"/>
      <c r="FH31" s="475">
        <v>75000000</v>
      </c>
      <c r="FI31" s="475">
        <f>21366841+13488117.35</f>
        <v>34854958.350000001</v>
      </c>
      <c r="FJ31" s="475">
        <f t="shared" si="39"/>
        <v>40145041.649999999</v>
      </c>
      <c r="FK31" s="475"/>
      <c r="FL31" s="475">
        <v>20000000</v>
      </c>
      <c r="FM31" s="475">
        <v>0</v>
      </c>
      <c r="FN31" s="475">
        <f t="shared" si="40"/>
        <v>20000000</v>
      </c>
      <c r="FO31" s="475"/>
      <c r="FP31" s="475">
        <v>5000000</v>
      </c>
      <c r="FQ31" s="475">
        <v>0</v>
      </c>
      <c r="FR31" s="475">
        <f t="shared" si="41"/>
        <v>5000000</v>
      </c>
      <c r="FS31" s="475"/>
      <c r="FT31" s="475">
        <v>20000000</v>
      </c>
      <c r="FU31" s="475">
        <f>14690255+2690000</f>
        <v>17380255</v>
      </c>
      <c r="FV31" s="475">
        <f t="shared" si="42"/>
        <v>2619745</v>
      </c>
      <c r="FW31" s="475"/>
      <c r="FX31" s="475">
        <v>5000000</v>
      </c>
      <c r="FY31" s="475">
        <v>0</v>
      </c>
      <c r="FZ31" s="475">
        <f t="shared" si="43"/>
        <v>5000000</v>
      </c>
      <c r="GA31" s="475"/>
      <c r="GB31" s="475">
        <v>100000000</v>
      </c>
      <c r="GC31" s="475">
        <v>0</v>
      </c>
      <c r="GD31" s="475">
        <f t="shared" si="44"/>
        <v>100000000</v>
      </c>
      <c r="GE31" s="475"/>
      <c r="GF31" s="475">
        <v>20000000</v>
      </c>
      <c r="GG31" s="475">
        <v>0</v>
      </c>
      <c r="GH31" s="475">
        <f t="shared" si="45"/>
        <v>20000000</v>
      </c>
      <c r="GI31" s="475"/>
      <c r="GJ31" s="475">
        <v>3000000</v>
      </c>
      <c r="GK31" s="475">
        <v>0</v>
      </c>
      <c r="GL31" s="475">
        <f t="shared" si="46"/>
        <v>3000000</v>
      </c>
      <c r="GM31" s="475"/>
      <c r="GN31" s="475">
        <v>15000000</v>
      </c>
      <c r="GO31" s="475">
        <v>0</v>
      </c>
      <c r="GP31" s="475">
        <f t="shared" si="47"/>
        <v>15000000</v>
      </c>
      <c r="GQ31" s="475"/>
      <c r="GR31" s="475">
        <v>3000000</v>
      </c>
      <c r="GS31" s="475">
        <v>0</v>
      </c>
      <c r="GT31" s="475">
        <f t="shared" si="48"/>
        <v>3000000</v>
      </c>
      <c r="GU31" s="475"/>
      <c r="GV31" s="468">
        <f t="shared" si="49"/>
        <v>1220490000</v>
      </c>
      <c r="GW31" s="468">
        <f t="shared" si="49"/>
        <v>978176242.48000002</v>
      </c>
      <c r="GX31" s="468">
        <f t="shared" si="50"/>
        <v>242313757.51999998</v>
      </c>
      <c r="GY31" s="472"/>
      <c r="HA31" s="468">
        <f>D31+H31+L31+X31+AN31+BD31+BX31+CR31+DT31+DL31+EN31+FH31+GB31</f>
        <v>810490000</v>
      </c>
      <c r="HB31" s="468">
        <f>E31+I31+M31+Y31+AO31+BE31+BY31+CS31+DU31+DM31+EO31+FI31+GC31</f>
        <v>665344958.35000002</v>
      </c>
      <c r="HC31" s="471">
        <f t="shared" si="51"/>
        <v>145145041.64999998</v>
      </c>
      <c r="HE31" s="471">
        <f>P31+AB31+AR31+BH31+CB31+CV31+DX31+ER31+FL31+GF31</f>
        <v>118500000</v>
      </c>
      <c r="HF31" s="471">
        <f>Q31+AC31+AS31+BI31+CC31+CW31+DY31+ES31+FM31+GG31</f>
        <v>77746029.129999995</v>
      </c>
      <c r="HG31" s="471">
        <f t="shared" si="52"/>
        <v>40753970.870000005</v>
      </c>
      <c r="HI31" s="471">
        <f>T31+AF31+AV31+BL31+CF31+CZ31+EB31+EV31+FP31+GJ31</f>
        <v>55000000</v>
      </c>
      <c r="HJ31" s="471">
        <f>U31+AG31+AW31+BM31+CG31+DA31+EC31+EW31+FQ31+GK31</f>
        <v>33750000</v>
      </c>
      <c r="HK31" s="471">
        <f t="shared" si="53"/>
        <v>21250000</v>
      </c>
      <c r="HM31" s="471">
        <f>AJ31+AZ31+BP31+CJ31+DD31+EF31+EZ31+FT31+GN31</f>
        <v>197500000</v>
      </c>
      <c r="HN31" s="471">
        <f>AK31+BA31+BQ31+CK31+DE31+EG31+FA31+FU31+GO31</f>
        <v>179880255</v>
      </c>
      <c r="HO31" s="471">
        <f t="shared" si="54"/>
        <v>17619745</v>
      </c>
      <c r="HP31" s="531"/>
      <c r="HQ31" s="471">
        <f>BT31+CN31+DH31+EJ31+FD31+FX31+GR31</f>
        <v>39000000</v>
      </c>
      <c r="HR31" s="471">
        <f>BU31+CO31+DI31+EK31+FE31+FY31+GS31</f>
        <v>21455000</v>
      </c>
      <c r="HS31" s="471">
        <f t="shared" si="55"/>
        <v>17545000</v>
      </c>
    </row>
    <row r="32" spans="1:227" x14ac:dyDescent="0.25">
      <c r="A32" s="107">
        <v>29</v>
      </c>
      <c r="B32" s="107" t="s">
        <v>228</v>
      </c>
      <c r="C32" s="631" t="s">
        <v>63</v>
      </c>
      <c r="D32" s="488">
        <v>1250000</v>
      </c>
      <c r="E32" s="488">
        <v>1250000</v>
      </c>
      <c r="F32" s="468">
        <f t="shared" si="12"/>
        <v>0</v>
      </c>
      <c r="G32" s="488"/>
      <c r="H32" s="468">
        <v>25240000</v>
      </c>
      <c r="I32" s="468">
        <v>25240000</v>
      </c>
      <c r="J32" s="468">
        <f t="shared" si="13"/>
        <v>0</v>
      </c>
      <c r="K32" s="488"/>
      <c r="L32" s="468">
        <v>25000000</v>
      </c>
      <c r="M32" s="468">
        <v>25000000</v>
      </c>
      <c r="N32" s="468">
        <f t="shared" si="14"/>
        <v>0</v>
      </c>
      <c r="O32" s="488"/>
      <c r="P32" s="468">
        <v>3000000</v>
      </c>
      <c r="Q32" s="468">
        <v>3000000</v>
      </c>
      <c r="R32" s="468">
        <f t="shared" si="15"/>
        <v>0</v>
      </c>
      <c r="S32" s="488"/>
      <c r="T32" s="468">
        <v>692852</v>
      </c>
      <c r="U32" s="468">
        <v>692852</v>
      </c>
      <c r="V32" s="468">
        <f t="shared" si="16"/>
        <v>0</v>
      </c>
      <c r="W32" s="488"/>
      <c r="X32" s="468">
        <v>30000000</v>
      </c>
      <c r="Y32" s="468">
        <v>30000000</v>
      </c>
      <c r="Z32" s="468">
        <f t="shared" si="17"/>
        <v>0</v>
      </c>
      <c r="AA32" s="488"/>
      <c r="AB32" s="468">
        <v>5000000</v>
      </c>
      <c r="AC32" s="468">
        <f>1125000+1958000+1917000</f>
        <v>5000000</v>
      </c>
      <c r="AD32" s="468">
        <f t="shared" si="18"/>
        <v>0</v>
      </c>
      <c r="AE32" s="488"/>
      <c r="AF32" s="468">
        <f>2000000-2000000</f>
        <v>0</v>
      </c>
      <c r="AG32" s="468">
        <v>0</v>
      </c>
      <c r="AH32" s="468">
        <f t="shared" si="19"/>
        <v>0</v>
      </c>
      <c r="AI32" s="488"/>
      <c r="AJ32" s="468">
        <v>7500000</v>
      </c>
      <c r="AK32" s="468">
        <v>7500000</v>
      </c>
      <c r="AL32" s="468">
        <f t="shared" si="20"/>
        <v>0</v>
      </c>
      <c r="AM32" s="468"/>
      <c r="AN32" s="468">
        <v>40000000</v>
      </c>
      <c r="AO32" s="468">
        <v>40000000</v>
      </c>
      <c r="AP32" s="468">
        <f t="shared" si="0"/>
        <v>0</v>
      </c>
      <c r="AQ32" s="488"/>
      <c r="AR32" s="468">
        <v>3000000</v>
      </c>
      <c r="AS32" s="468">
        <f>3000000</f>
        <v>3000000</v>
      </c>
      <c r="AT32" s="468">
        <f t="shared" si="21"/>
        <v>0</v>
      </c>
      <c r="AU32" s="488"/>
      <c r="AV32" s="468">
        <v>2000000</v>
      </c>
      <c r="AW32" s="468">
        <v>0</v>
      </c>
      <c r="AX32" s="468">
        <f t="shared" si="22"/>
        <v>2000000</v>
      </c>
      <c r="AY32" s="488"/>
      <c r="AZ32" s="468">
        <v>10000000</v>
      </c>
      <c r="BA32" s="468">
        <v>10000000</v>
      </c>
      <c r="BB32" s="468">
        <f t="shared" si="1"/>
        <v>0</v>
      </c>
      <c r="BC32" s="488"/>
      <c r="BD32" s="468">
        <v>64000000</v>
      </c>
      <c r="BE32" s="468">
        <f>23835100+6667400+33497500</f>
        <v>64000000</v>
      </c>
      <c r="BF32" s="468">
        <f t="shared" si="23"/>
        <v>0</v>
      </c>
      <c r="BG32" s="488"/>
      <c r="BH32" s="468">
        <v>9500000</v>
      </c>
      <c r="BI32" s="468">
        <f>2730950+5741500+1027550</f>
        <v>9500000</v>
      </c>
      <c r="BJ32" s="468">
        <f t="shared" si="24"/>
        <v>0</v>
      </c>
      <c r="BK32" s="488"/>
      <c r="BL32" s="468">
        <v>5000000</v>
      </c>
      <c r="BM32" s="468">
        <v>0</v>
      </c>
      <c r="BN32" s="468">
        <f t="shared" si="25"/>
        <v>5000000</v>
      </c>
      <c r="BO32" s="488"/>
      <c r="BP32" s="468">
        <v>20000000</v>
      </c>
      <c r="BQ32" s="468">
        <f>5568841+7281646+7149513</f>
        <v>20000000</v>
      </c>
      <c r="BR32" s="468">
        <f t="shared" si="2"/>
        <v>0</v>
      </c>
      <c r="BS32" s="488"/>
      <c r="BT32" s="468">
        <v>1000000</v>
      </c>
      <c r="BU32" s="468">
        <f>1000000</f>
        <v>1000000</v>
      </c>
      <c r="BV32" s="468">
        <f t="shared" si="3"/>
        <v>0</v>
      </c>
      <c r="BW32" s="488"/>
      <c r="BX32" s="468">
        <v>80000000</v>
      </c>
      <c r="BY32" s="468">
        <f>555970+37660379+1200000+40583651</f>
        <v>80000000</v>
      </c>
      <c r="BZ32" s="468">
        <f t="shared" si="26"/>
        <v>0</v>
      </c>
      <c r="CA32" s="471"/>
      <c r="CB32" s="468">
        <v>10000000</v>
      </c>
      <c r="CC32" s="468">
        <f>9888492+111508</f>
        <v>10000000</v>
      </c>
      <c r="CD32" s="468">
        <f t="shared" si="4"/>
        <v>0</v>
      </c>
      <c r="CE32" s="488"/>
      <c r="CF32" s="468">
        <v>10000000</v>
      </c>
      <c r="CG32" s="468">
        <v>0</v>
      </c>
      <c r="CH32" s="468">
        <f t="shared" si="27"/>
        <v>10000000</v>
      </c>
      <c r="CI32" s="488"/>
      <c r="CJ32" s="468">
        <v>30000000</v>
      </c>
      <c r="CK32" s="468">
        <f>5887432+28817335-4704767</f>
        <v>30000000</v>
      </c>
      <c r="CL32" s="468">
        <f t="shared" si="5"/>
        <v>0</v>
      </c>
      <c r="CM32" s="488"/>
      <c r="CN32" s="468">
        <v>10000000</v>
      </c>
      <c r="CO32" s="468">
        <f>1762500+487500+2082500-2082500+796575+2082500+4632500</f>
        <v>9761575</v>
      </c>
      <c r="CP32" s="468">
        <f t="shared" si="6"/>
        <v>238425</v>
      </c>
      <c r="CQ32" s="503"/>
      <c r="CR32" s="468">
        <v>100000000</v>
      </c>
      <c r="CS32" s="468">
        <f>52996009+5500000+393822+40000000+1110169</f>
        <v>100000000</v>
      </c>
      <c r="CT32" s="468">
        <f t="shared" si="7"/>
        <v>0</v>
      </c>
      <c r="CU32" s="488"/>
      <c r="CV32" s="468">
        <v>20000000</v>
      </c>
      <c r="CW32" s="468">
        <f>20000000</f>
        <v>20000000</v>
      </c>
      <c r="CX32" s="468">
        <f t="shared" si="8"/>
        <v>0</v>
      </c>
      <c r="CY32" s="488"/>
      <c r="CZ32" s="468">
        <v>20000000</v>
      </c>
      <c r="DA32" s="468">
        <v>0</v>
      </c>
      <c r="DB32" s="468">
        <f t="shared" si="9"/>
        <v>20000000</v>
      </c>
      <c r="DC32" s="488"/>
      <c r="DD32" s="468">
        <v>50000000</v>
      </c>
      <c r="DE32" s="468">
        <f>4704767+42608422+1117500+1569311</f>
        <v>50000000</v>
      </c>
      <c r="DF32" s="468">
        <f t="shared" si="10"/>
        <v>0</v>
      </c>
      <c r="DG32" s="488"/>
      <c r="DH32" s="468">
        <v>10000000</v>
      </c>
      <c r="DI32" s="468">
        <v>10000000</v>
      </c>
      <c r="DJ32" s="468">
        <f t="shared" si="11"/>
        <v>0</v>
      </c>
      <c r="DK32" s="488"/>
      <c r="DL32" s="471">
        <v>20000000</v>
      </c>
      <c r="DM32" s="471">
        <v>18295940</v>
      </c>
      <c r="DN32" s="471">
        <f t="shared" si="28"/>
        <v>1704060</v>
      </c>
      <c r="DO32" s="539"/>
      <c r="DP32" s="471"/>
      <c r="DQ32" s="471"/>
      <c r="DR32" s="471"/>
      <c r="DS32" s="473"/>
      <c r="DT32" s="471">
        <v>70000000</v>
      </c>
      <c r="DU32" s="471">
        <f>16889831+53110169</f>
        <v>70000000</v>
      </c>
      <c r="DV32" s="471">
        <f t="shared" si="29"/>
        <v>0</v>
      </c>
      <c r="DW32" s="473"/>
      <c r="DX32" s="471">
        <v>10000000</v>
      </c>
      <c r="DY32" s="471">
        <f>9660485.3+339514.7</f>
        <v>10000000</v>
      </c>
      <c r="DZ32" s="471">
        <f t="shared" si="30"/>
        <v>0</v>
      </c>
      <c r="EA32" s="473"/>
      <c r="EB32" s="471">
        <v>5000000</v>
      </c>
      <c r="EC32" s="471">
        <v>0</v>
      </c>
      <c r="ED32" s="471">
        <f t="shared" si="31"/>
        <v>5000000</v>
      </c>
      <c r="EE32" s="473"/>
      <c r="EF32" s="471">
        <v>20000000</v>
      </c>
      <c r="EG32" s="541">
        <f>1856770+18143230</f>
        <v>20000000</v>
      </c>
      <c r="EH32" s="471">
        <f t="shared" si="32"/>
        <v>0</v>
      </c>
      <c r="EI32" s="473"/>
      <c r="EJ32" s="471">
        <v>5000000</v>
      </c>
      <c r="EK32" s="471">
        <f>2138892.5+2082500+778607.5</f>
        <v>5000000</v>
      </c>
      <c r="EL32" s="471">
        <f t="shared" si="33"/>
        <v>0</v>
      </c>
      <c r="EM32" s="631" t="s">
        <v>63</v>
      </c>
      <c r="EN32" s="475">
        <v>200000000</v>
      </c>
      <c r="EO32" s="627">
        <f>23371343.8+4142750+135217690+37268216.2</f>
        <v>200000000</v>
      </c>
      <c r="EP32" s="475">
        <f t="shared" si="34"/>
        <v>0</v>
      </c>
      <c r="EQ32" s="475"/>
      <c r="ER32" s="475">
        <v>18000000</v>
      </c>
      <c r="ES32" s="475">
        <f>4975885.3+8496372+2154360</f>
        <v>15626617.300000001</v>
      </c>
      <c r="ET32" s="475">
        <f t="shared" si="35"/>
        <v>2373382.6999999993</v>
      </c>
      <c r="EU32" s="475"/>
      <c r="EV32" s="475">
        <v>5000000</v>
      </c>
      <c r="EW32" s="475">
        <v>0</v>
      </c>
      <c r="EX32" s="475">
        <f t="shared" si="36"/>
        <v>5000000</v>
      </c>
      <c r="EY32" s="475"/>
      <c r="EZ32" s="475">
        <v>25000000</v>
      </c>
      <c r="FA32" s="625">
        <f>3483954+1534504.1+5781281.08+14050912.85+149347.97-8000000-6796673</f>
        <v>10203327</v>
      </c>
      <c r="FB32" s="475">
        <f t="shared" si="37"/>
        <v>14796673</v>
      </c>
      <c r="FC32" s="475"/>
      <c r="FD32" s="475">
        <v>5000000</v>
      </c>
      <c r="FE32" s="475">
        <f>934475</f>
        <v>934475</v>
      </c>
      <c r="FF32" s="475">
        <f t="shared" si="38"/>
        <v>4065525</v>
      </c>
      <c r="FG32" s="107"/>
      <c r="FH32" s="475">
        <v>75000000</v>
      </c>
      <c r="FI32" s="623">
        <f>10336117.05+25883296</f>
        <v>36219413.049999997</v>
      </c>
      <c r="FJ32" s="475">
        <f t="shared" si="39"/>
        <v>38780586.950000003</v>
      </c>
      <c r="FK32" s="475"/>
      <c r="FL32" s="475">
        <v>20000000</v>
      </c>
      <c r="FM32" s="475">
        <v>0</v>
      </c>
      <c r="FN32" s="475">
        <f t="shared" si="40"/>
        <v>20000000</v>
      </c>
      <c r="FO32" s="475"/>
      <c r="FP32" s="475">
        <v>5000000</v>
      </c>
      <c r="FQ32" s="475">
        <v>0</v>
      </c>
      <c r="FR32" s="475">
        <f t="shared" si="41"/>
        <v>5000000</v>
      </c>
      <c r="FS32" s="475"/>
      <c r="FT32" s="475">
        <v>20000000</v>
      </c>
      <c r="FU32" s="626">
        <f>12403772.03-8000000</f>
        <v>4403772.0299999993</v>
      </c>
      <c r="FV32" s="475">
        <f t="shared" si="42"/>
        <v>15596227.970000001</v>
      </c>
      <c r="FW32" s="475"/>
      <c r="FX32" s="475">
        <v>5000000</v>
      </c>
      <c r="FY32" s="475">
        <v>0</v>
      </c>
      <c r="FZ32" s="475">
        <f t="shared" si="43"/>
        <v>5000000</v>
      </c>
      <c r="GA32" s="475"/>
      <c r="GB32" s="475">
        <v>100000000</v>
      </c>
      <c r="GC32" s="475">
        <v>0</v>
      </c>
      <c r="GD32" s="475">
        <f t="shared" si="44"/>
        <v>100000000</v>
      </c>
      <c r="GE32" s="475"/>
      <c r="GF32" s="475">
        <v>20000000</v>
      </c>
      <c r="GG32" s="475">
        <v>0</v>
      </c>
      <c r="GH32" s="475">
        <f t="shared" si="45"/>
        <v>20000000</v>
      </c>
      <c r="GI32" s="475"/>
      <c r="GJ32" s="475">
        <v>3000000</v>
      </c>
      <c r="GK32" s="475">
        <v>0</v>
      </c>
      <c r="GL32" s="475">
        <f t="shared" si="46"/>
        <v>3000000</v>
      </c>
      <c r="GM32" s="475"/>
      <c r="GN32" s="475">
        <v>15000000</v>
      </c>
      <c r="GO32" s="475">
        <v>0</v>
      </c>
      <c r="GP32" s="475">
        <f t="shared" si="47"/>
        <v>15000000</v>
      </c>
      <c r="GQ32" s="475"/>
      <c r="GR32" s="475">
        <v>3000000</v>
      </c>
      <c r="GS32" s="475">
        <v>0</v>
      </c>
      <c r="GT32" s="475">
        <f t="shared" si="48"/>
        <v>3000000</v>
      </c>
      <c r="GU32" s="475"/>
      <c r="GV32" s="468">
        <f t="shared" si="49"/>
        <v>1241182852</v>
      </c>
      <c r="GW32" s="468">
        <f t="shared" si="49"/>
        <v>945627971.37999988</v>
      </c>
      <c r="GX32" s="468">
        <f t="shared" si="50"/>
        <v>295554880.62000012</v>
      </c>
      <c r="GY32" s="472"/>
      <c r="HA32" s="468">
        <f>D32+H32+L32+X32+AN32+BD32+BX32+CR32+DT32+DL32+EN32+FH32+GB32</f>
        <v>830490000</v>
      </c>
      <c r="HB32" s="468">
        <f>E32+I32+M32+Y32+AO32+BE32+BY32+CS32+DU32+DM32+EO32+FI32+GC32</f>
        <v>690005353.04999995</v>
      </c>
      <c r="HC32" s="471">
        <f t="shared" si="51"/>
        <v>140484646.95000005</v>
      </c>
      <c r="HE32" s="471">
        <f>P32+AB32+AR32+BH32+CB32+CV32+DX32+ER32+FL32+GF32</f>
        <v>118500000</v>
      </c>
      <c r="HF32" s="471">
        <f>Q32+AC32+AS32+BI32+CC32+CW32+DY32+ES32+FM32+GG32</f>
        <v>76126617.299999997</v>
      </c>
      <c r="HG32" s="471">
        <f t="shared" si="52"/>
        <v>42373382.700000003</v>
      </c>
      <c r="HI32" s="471">
        <f>T32+AF32+AV32+BL32+CF32+CZ32+EB32+EV32+FP32+GJ32</f>
        <v>55692852</v>
      </c>
      <c r="HJ32" s="471">
        <f>U32+AG32+AW32+BM32+CG32+DA32+EC32+EW32+FQ32+GK32</f>
        <v>692852</v>
      </c>
      <c r="HK32" s="471">
        <f t="shared" si="53"/>
        <v>55000000</v>
      </c>
      <c r="HM32" s="471">
        <f>AJ32+AZ32+BP32+CJ32+DD32+EF32+EZ32+FT32+GN32</f>
        <v>197500000</v>
      </c>
      <c r="HN32" s="471">
        <f>AK32+BA32+BQ32+CK32+DE32+EG32+FA32+FU32+GO32</f>
        <v>152107099.03</v>
      </c>
      <c r="HO32" s="471">
        <f t="shared" si="54"/>
        <v>45392900.969999999</v>
      </c>
      <c r="HP32" s="531"/>
      <c r="HQ32" s="471">
        <f>BT32+CN32+DH32+EJ32+FD32+FX32+GR32</f>
        <v>39000000</v>
      </c>
      <c r="HR32" s="471">
        <f>BU32+CO32+DI32+EK32+FE32+FY32+GS32</f>
        <v>26696050</v>
      </c>
      <c r="HS32" s="471">
        <f t="shared" si="55"/>
        <v>12303950</v>
      </c>
    </row>
    <row r="33" spans="1:299" x14ac:dyDescent="0.25">
      <c r="A33" s="107">
        <v>30</v>
      </c>
      <c r="B33" s="107" t="s">
        <v>229</v>
      </c>
      <c r="C33" s="631" t="s">
        <v>63</v>
      </c>
      <c r="D33" s="468">
        <v>0</v>
      </c>
      <c r="E33" s="468">
        <v>0</v>
      </c>
      <c r="F33" s="468">
        <f t="shared" si="12"/>
        <v>0</v>
      </c>
      <c r="G33" s="468"/>
      <c r="H33" s="468">
        <v>25240000</v>
      </c>
      <c r="I33" s="468">
        <v>25240000</v>
      </c>
      <c r="J33" s="468">
        <f t="shared" si="13"/>
        <v>0</v>
      </c>
      <c r="K33" s="468"/>
      <c r="L33" s="468">
        <v>24923420.5</v>
      </c>
      <c r="M33" s="468">
        <v>24923420.5</v>
      </c>
      <c r="N33" s="468">
        <f t="shared" si="14"/>
        <v>0</v>
      </c>
      <c r="O33" s="468"/>
      <c r="P33" s="468">
        <v>3000000</v>
      </c>
      <c r="Q33" s="468">
        <v>3000000</v>
      </c>
      <c r="R33" s="468">
        <f t="shared" si="15"/>
        <v>0</v>
      </c>
      <c r="S33" s="468"/>
      <c r="T33" s="468">
        <v>1000000</v>
      </c>
      <c r="U33" s="468">
        <f>850000+150000</f>
        <v>1000000</v>
      </c>
      <c r="V33" s="468">
        <f t="shared" si="16"/>
        <v>0</v>
      </c>
      <c r="W33" s="468"/>
      <c r="X33" s="468">
        <v>30000000</v>
      </c>
      <c r="Y33" s="468">
        <v>30000000</v>
      </c>
      <c r="Z33" s="468">
        <f t="shared" si="17"/>
        <v>0</v>
      </c>
      <c r="AA33" s="468"/>
      <c r="AB33" s="468">
        <v>5000000</v>
      </c>
      <c r="AC33" s="468">
        <v>5000000</v>
      </c>
      <c r="AD33" s="468">
        <f t="shared" si="18"/>
        <v>0</v>
      </c>
      <c r="AE33" s="468"/>
      <c r="AF33" s="468">
        <v>2000000</v>
      </c>
      <c r="AG33" s="468">
        <v>2000000</v>
      </c>
      <c r="AH33" s="468">
        <f t="shared" si="19"/>
        <v>0</v>
      </c>
      <c r="AI33" s="468"/>
      <c r="AJ33" s="468">
        <v>7500000</v>
      </c>
      <c r="AK33" s="468">
        <v>7500000</v>
      </c>
      <c r="AL33" s="468">
        <f t="shared" si="20"/>
        <v>0</v>
      </c>
      <c r="AM33" s="468"/>
      <c r="AN33" s="468">
        <v>40000000</v>
      </c>
      <c r="AO33" s="468">
        <v>40000000</v>
      </c>
      <c r="AP33" s="468">
        <f t="shared" si="0"/>
        <v>0</v>
      </c>
      <c r="AQ33" s="468"/>
      <c r="AR33" s="468">
        <v>3000000</v>
      </c>
      <c r="AS33" s="468">
        <v>3000000</v>
      </c>
      <c r="AT33" s="468">
        <f t="shared" si="21"/>
        <v>0</v>
      </c>
      <c r="AU33" s="468"/>
      <c r="AV33" s="468">
        <v>2000000</v>
      </c>
      <c r="AW33" s="468">
        <v>2000000</v>
      </c>
      <c r="AX33" s="468">
        <f t="shared" si="22"/>
        <v>0</v>
      </c>
      <c r="AY33" s="468"/>
      <c r="AZ33" s="468">
        <v>10000000</v>
      </c>
      <c r="BA33" s="468">
        <v>10000000</v>
      </c>
      <c r="BB33" s="468">
        <f t="shared" si="1"/>
        <v>0</v>
      </c>
      <c r="BC33" s="468"/>
      <c r="BD33" s="468">
        <v>64000000</v>
      </c>
      <c r="BE33" s="468">
        <v>64000000</v>
      </c>
      <c r="BF33" s="468">
        <f t="shared" si="23"/>
        <v>0</v>
      </c>
      <c r="BG33" s="468"/>
      <c r="BH33" s="468">
        <v>9500000</v>
      </c>
      <c r="BI33" s="468">
        <f>9493491+6509</f>
        <v>9500000</v>
      </c>
      <c r="BJ33" s="468">
        <f t="shared" si="24"/>
        <v>0</v>
      </c>
      <c r="BK33" s="468"/>
      <c r="BL33" s="468">
        <v>5000000</v>
      </c>
      <c r="BM33" s="507">
        <f>1950000+1050000</f>
        <v>3000000</v>
      </c>
      <c r="BN33" s="468">
        <f t="shared" si="25"/>
        <v>2000000</v>
      </c>
      <c r="BO33" s="468"/>
      <c r="BP33" s="468">
        <v>20000000</v>
      </c>
      <c r="BQ33" s="468">
        <v>20000000</v>
      </c>
      <c r="BR33" s="468">
        <f t="shared" si="2"/>
        <v>0</v>
      </c>
      <c r="BS33" s="468"/>
      <c r="BT33" s="468">
        <v>1000000</v>
      </c>
      <c r="BU33" s="468">
        <v>1000000</v>
      </c>
      <c r="BV33" s="468">
        <f t="shared" si="3"/>
        <v>0</v>
      </c>
      <c r="BW33" s="468"/>
      <c r="BX33" s="468">
        <v>80000000</v>
      </c>
      <c r="BY33" s="468">
        <f>80061545-61545</f>
        <v>80000000</v>
      </c>
      <c r="BZ33" s="468">
        <f t="shared" si="26"/>
        <v>0</v>
      </c>
      <c r="CA33" s="468"/>
      <c r="CB33" s="468">
        <v>10000000</v>
      </c>
      <c r="CC33" s="468">
        <f>5201664+4798336</f>
        <v>10000000</v>
      </c>
      <c r="CD33" s="468">
        <f t="shared" si="4"/>
        <v>0</v>
      </c>
      <c r="CE33" s="468"/>
      <c r="CF33" s="468">
        <v>10000000</v>
      </c>
      <c r="CG33" s="468">
        <v>0</v>
      </c>
      <c r="CH33" s="468">
        <f t="shared" si="27"/>
        <v>10000000</v>
      </c>
      <c r="CI33" s="468"/>
      <c r="CJ33" s="468">
        <v>30000000</v>
      </c>
      <c r="CK33" s="468">
        <f>1105866+5984060+11837950+342200+10729924</f>
        <v>30000000</v>
      </c>
      <c r="CL33" s="468">
        <f t="shared" si="5"/>
        <v>0</v>
      </c>
      <c r="CM33" s="542"/>
      <c r="CN33" s="468">
        <v>10000000</v>
      </c>
      <c r="CO33" s="468">
        <f>5631700+3400000+968300</f>
        <v>10000000</v>
      </c>
      <c r="CP33" s="468">
        <f t="shared" si="6"/>
        <v>0</v>
      </c>
      <c r="CQ33" s="468"/>
      <c r="CR33" s="468">
        <v>100000000</v>
      </c>
      <c r="CS33" s="468">
        <f>61545+54354130+36139882.42+5054267+4390175.58</f>
        <v>100000000</v>
      </c>
      <c r="CT33" s="468">
        <f t="shared" si="7"/>
        <v>0</v>
      </c>
      <c r="CU33" s="488"/>
      <c r="CV33" s="468">
        <v>20000000</v>
      </c>
      <c r="CW33" s="468">
        <f>12288773.3+7711226.7</f>
        <v>20000000</v>
      </c>
      <c r="CX33" s="468">
        <f t="shared" si="8"/>
        <v>0</v>
      </c>
      <c r="CY33" s="468"/>
      <c r="CZ33" s="468">
        <v>20000000</v>
      </c>
      <c r="DA33" s="468">
        <v>0</v>
      </c>
      <c r="DB33" s="468">
        <f t="shared" si="9"/>
        <v>20000000</v>
      </c>
      <c r="DC33" s="468"/>
      <c r="DD33" s="468">
        <v>50000000</v>
      </c>
      <c r="DE33" s="468">
        <f>17456006+10557704+5103228+10892618+5990444</f>
        <v>50000000</v>
      </c>
      <c r="DF33" s="468">
        <f t="shared" si="10"/>
        <v>0</v>
      </c>
      <c r="DG33" s="468"/>
      <c r="DH33" s="468">
        <v>10000000</v>
      </c>
      <c r="DI33" s="490">
        <f>202000+1349000+600000</f>
        <v>2151000</v>
      </c>
      <c r="DJ33" s="468">
        <f t="shared" si="11"/>
        <v>7849000</v>
      </c>
      <c r="DK33" s="468"/>
      <c r="DL33" s="471">
        <v>0</v>
      </c>
      <c r="DM33" s="471">
        <v>0</v>
      </c>
      <c r="DN33" s="471">
        <f t="shared" si="28"/>
        <v>0</v>
      </c>
      <c r="DO33" s="524"/>
      <c r="DP33" s="471"/>
      <c r="DQ33" s="471"/>
      <c r="DR33" s="471"/>
      <c r="DS33" s="473"/>
      <c r="DT33" s="471">
        <v>70000000</v>
      </c>
      <c r="DU33" s="471">
        <f>36379424.42+33620575.58</f>
        <v>70000000</v>
      </c>
      <c r="DV33" s="471">
        <f t="shared" si="29"/>
        <v>0</v>
      </c>
      <c r="DW33" s="473"/>
      <c r="DX33" s="471">
        <v>10000000</v>
      </c>
      <c r="DY33" s="471">
        <f>130670.3+2688946.87+2623174.8+4557208.03</f>
        <v>10000000</v>
      </c>
      <c r="DZ33" s="471">
        <f t="shared" si="30"/>
        <v>0</v>
      </c>
      <c r="EA33" s="473"/>
      <c r="EB33" s="471">
        <v>5000000</v>
      </c>
      <c r="EC33" s="471">
        <v>0</v>
      </c>
      <c r="ED33" s="471">
        <f t="shared" si="31"/>
        <v>5000000</v>
      </c>
      <c r="EE33" s="473"/>
      <c r="EF33" s="471">
        <v>20000000</v>
      </c>
      <c r="EG33" s="471">
        <f>6870924+3901224+5046250+4181602</f>
        <v>20000000</v>
      </c>
      <c r="EH33" s="471">
        <f t="shared" si="32"/>
        <v>0</v>
      </c>
      <c r="EI33" s="473"/>
      <c r="EJ33" s="471">
        <v>5000000</v>
      </c>
      <c r="EK33" s="471">
        <v>0</v>
      </c>
      <c r="EL33" s="471">
        <f t="shared" si="33"/>
        <v>5000000</v>
      </c>
      <c r="EM33" s="631" t="s">
        <v>63</v>
      </c>
      <c r="EN33" s="475">
        <v>200000000</v>
      </c>
      <c r="EO33" s="475">
        <f>57579424.42+41313824.05+23400000+50225287.5-12000000</f>
        <v>160518535.97</v>
      </c>
      <c r="EP33" s="475">
        <f t="shared" si="34"/>
        <v>39481464.030000001</v>
      </c>
      <c r="EQ33" s="475"/>
      <c r="ER33" s="475">
        <v>18000000</v>
      </c>
      <c r="ES33" s="475">
        <f>2291671.97</f>
        <v>2291671.9700000002</v>
      </c>
      <c r="ET33" s="475">
        <f t="shared" si="35"/>
        <v>15708328.029999999</v>
      </c>
      <c r="EU33" s="475"/>
      <c r="EV33" s="475">
        <v>5000000</v>
      </c>
      <c r="EW33" s="475">
        <v>0</v>
      </c>
      <c r="EX33" s="475">
        <f t="shared" si="36"/>
        <v>5000000</v>
      </c>
      <c r="EY33" s="475"/>
      <c r="EZ33" s="475">
        <v>25000000</v>
      </c>
      <c r="FA33" s="626">
        <f>8885608+1389260+2036000-165607.98+8269134+4585605.98</f>
        <v>25000000</v>
      </c>
      <c r="FB33" s="475">
        <f t="shared" si="37"/>
        <v>0</v>
      </c>
      <c r="FC33" s="475"/>
      <c r="FD33" s="475">
        <v>5000000</v>
      </c>
      <c r="FE33" s="475">
        <v>0</v>
      </c>
      <c r="FF33" s="475">
        <f t="shared" si="38"/>
        <v>5000000</v>
      </c>
      <c r="FG33" s="107"/>
      <c r="FH33" s="475">
        <v>75000000</v>
      </c>
      <c r="FI33" s="475">
        <v>0</v>
      </c>
      <c r="FJ33" s="475">
        <f t="shared" si="39"/>
        <v>75000000</v>
      </c>
      <c r="FK33" s="475"/>
      <c r="FL33" s="475">
        <v>20000000</v>
      </c>
      <c r="FM33" s="475">
        <v>0</v>
      </c>
      <c r="FN33" s="475">
        <f t="shared" si="40"/>
        <v>20000000</v>
      </c>
      <c r="FO33" s="475"/>
      <c r="FP33" s="475">
        <v>5000000</v>
      </c>
      <c r="FQ33" s="475">
        <v>0</v>
      </c>
      <c r="FR33" s="475">
        <f t="shared" si="41"/>
        <v>5000000</v>
      </c>
      <c r="FS33" s="475"/>
      <c r="FT33" s="475">
        <v>20000000</v>
      </c>
      <c r="FU33" s="626">
        <f>18205067.02</f>
        <v>18205067.02</v>
      </c>
      <c r="FV33" s="475">
        <f t="shared" si="42"/>
        <v>1794932.9800000004</v>
      </c>
      <c r="FW33" s="475"/>
      <c r="FX33" s="475">
        <v>5000000</v>
      </c>
      <c r="FY33" s="475">
        <v>0</v>
      </c>
      <c r="FZ33" s="475">
        <f t="shared" si="43"/>
        <v>5000000</v>
      </c>
      <c r="GA33" s="475"/>
      <c r="GB33" s="475">
        <v>100000000</v>
      </c>
      <c r="GC33" s="475">
        <v>0</v>
      </c>
      <c r="GD33" s="475">
        <f t="shared" si="44"/>
        <v>100000000</v>
      </c>
      <c r="GE33" s="475"/>
      <c r="GF33" s="475">
        <v>20000000</v>
      </c>
      <c r="GG33" s="475">
        <v>0</v>
      </c>
      <c r="GH33" s="475">
        <f t="shared" si="45"/>
        <v>20000000</v>
      </c>
      <c r="GI33" s="475"/>
      <c r="GJ33" s="475">
        <v>3000000</v>
      </c>
      <c r="GK33" s="475">
        <v>0</v>
      </c>
      <c r="GL33" s="475">
        <f t="shared" si="46"/>
        <v>3000000</v>
      </c>
      <c r="GM33" s="475"/>
      <c r="GN33" s="475">
        <v>15000000</v>
      </c>
      <c r="GO33" s="475">
        <v>0</v>
      </c>
      <c r="GP33" s="475">
        <f t="shared" si="47"/>
        <v>15000000</v>
      </c>
      <c r="GQ33" s="475"/>
      <c r="GR33" s="475">
        <v>3000000</v>
      </c>
      <c r="GS33" s="475">
        <v>0</v>
      </c>
      <c r="GT33" s="475">
        <f t="shared" si="48"/>
        <v>3000000</v>
      </c>
      <c r="GU33" s="475"/>
      <c r="GV33" s="468">
        <f t="shared" si="49"/>
        <v>1222163420.5</v>
      </c>
      <c r="GW33" s="468">
        <f t="shared" si="49"/>
        <v>859329695.46000004</v>
      </c>
      <c r="GX33" s="468">
        <f t="shared" si="50"/>
        <v>362833725.03999996</v>
      </c>
      <c r="GY33" s="472"/>
      <c r="HA33" s="468">
        <f>D33+H33+L33+X33+AN33+BD33+BX33+CR33+DT33+DL33+EN33+FH33+GB33</f>
        <v>809163420.5</v>
      </c>
      <c r="HB33" s="468">
        <f>E33+I33+M33+Y33+AO33+BE33+BY33+CS33+DU33+DM33+EO33+FI33+GC33</f>
        <v>594681956.47000003</v>
      </c>
      <c r="HC33" s="471">
        <f t="shared" si="51"/>
        <v>214481464.02999997</v>
      </c>
      <c r="HE33" s="471">
        <f>P33+AB33+AR33+BH33+CB33+CV33+DX33+ER33+FL33+GF33</f>
        <v>118500000</v>
      </c>
      <c r="HF33" s="471">
        <f>Q33+AC33+AS33+BI33+CC33+CW33+DY33+ES33+FM33+GG33</f>
        <v>62791671.969999999</v>
      </c>
      <c r="HG33" s="471">
        <f t="shared" si="52"/>
        <v>55708328.030000001</v>
      </c>
      <c r="HI33" s="471">
        <f>T33+AF33+AV33+BL33+CF33+CZ33+EB33+EV33+FP33+GJ33</f>
        <v>58000000</v>
      </c>
      <c r="HJ33" s="471">
        <f>U33+AG33+AW33+BM33+CG33+DA33+EC33+EW33+FQ33+GK33</f>
        <v>8000000</v>
      </c>
      <c r="HK33" s="471">
        <f t="shared" si="53"/>
        <v>50000000</v>
      </c>
      <c r="HM33" s="471">
        <f>AJ33+AZ33+BP33+CJ33+DD33+EF33+EZ33+FT33+GN33</f>
        <v>197500000</v>
      </c>
      <c r="HN33" s="471">
        <f>AK33+BA33+BQ33+CK33+DE33+EG33+FA33+FU33+GO33</f>
        <v>180705067.02000001</v>
      </c>
      <c r="HO33" s="471">
        <f t="shared" si="54"/>
        <v>16794932.979999989</v>
      </c>
      <c r="HP33" s="531"/>
      <c r="HQ33" s="471">
        <f>BT33+CN33+DH33+EJ33+FD33+FX33+GR33</f>
        <v>39000000</v>
      </c>
      <c r="HR33" s="471">
        <f>BU33+CO33+DI33+EK33+FE33+FY33+GS33</f>
        <v>13151000</v>
      </c>
      <c r="HS33" s="471">
        <f t="shared" si="55"/>
        <v>25849000</v>
      </c>
    </row>
    <row r="34" spans="1:299" x14ac:dyDescent="0.25">
      <c r="A34" s="107">
        <v>31</v>
      </c>
      <c r="B34" s="107" t="s">
        <v>230</v>
      </c>
      <c r="C34" s="631" t="s">
        <v>61</v>
      </c>
      <c r="D34" s="488">
        <v>1250000</v>
      </c>
      <c r="E34" s="488">
        <v>1250000</v>
      </c>
      <c r="F34" s="468">
        <f t="shared" si="12"/>
        <v>0</v>
      </c>
      <c r="G34" s="488"/>
      <c r="H34" s="468">
        <v>25240000</v>
      </c>
      <c r="I34" s="468">
        <v>25240000</v>
      </c>
      <c r="J34" s="468">
        <f t="shared" si="13"/>
        <v>0</v>
      </c>
      <c r="K34" s="488"/>
      <c r="L34" s="468">
        <v>25000000</v>
      </c>
      <c r="M34" s="468">
        <v>25000000</v>
      </c>
      <c r="N34" s="468">
        <f t="shared" si="14"/>
        <v>0</v>
      </c>
      <c r="O34" s="488"/>
      <c r="P34" s="468">
        <v>3000000</v>
      </c>
      <c r="Q34" s="468">
        <f>3000000</f>
        <v>3000000</v>
      </c>
      <c r="R34" s="468">
        <f t="shared" si="15"/>
        <v>0</v>
      </c>
      <c r="S34" s="488"/>
      <c r="T34" s="468">
        <f>1000000-1000000</f>
        <v>0</v>
      </c>
      <c r="U34" s="468">
        <v>0</v>
      </c>
      <c r="V34" s="468">
        <f t="shared" si="16"/>
        <v>0</v>
      </c>
      <c r="W34" s="488"/>
      <c r="X34" s="468">
        <v>30000000</v>
      </c>
      <c r="Y34" s="468">
        <v>30000000</v>
      </c>
      <c r="Z34" s="468">
        <f t="shared" si="17"/>
        <v>0</v>
      </c>
      <c r="AA34" s="488"/>
      <c r="AB34" s="468">
        <v>5000000</v>
      </c>
      <c r="AC34" s="468">
        <f>1263000+3000000+737000</f>
        <v>5000000</v>
      </c>
      <c r="AD34" s="468">
        <f t="shared" si="18"/>
        <v>0</v>
      </c>
      <c r="AE34" s="488"/>
      <c r="AF34" s="468">
        <f>2000000-2000000</f>
        <v>0</v>
      </c>
      <c r="AG34" s="468">
        <v>0</v>
      </c>
      <c r="AH34" s="468">
        <f t="shared" si="19"/>
        <v>0</v>
      </c>
      <c r="AI34" s="488"/>
      <c r="AJ34" s="468">
        <v>7500000</v>
      </c>
      <c r="AK34" s="468">
        <v>7500000</v>
      </c>
      <c r="AL34" s="468">
        <f t="shared" si="20"/>
        <v>0</v>
      </c>
      <c r="AM34" s="468"/>
      <c r="AN34" s="468">
        <v>40000000</v>
      </c>
      <c r="AO34" s="468">
        <v>40000000</v>
      </c>
      <c r="AP34" s="468">
        <f t="shared" si="0"/>
        <v>0</v>
      </c>
      <c r="AQ34" s="488"/>
      <c r="AR34" s="468">
        <v>3000000</v>
      </c>
      <c r="AS34" s="468">
        <v>3000000</v>
      </c>
      <c r="AT34" s="468">
        <f t="shared" si="21"/>
        <v>0</v>
      </c>
      <c r="AU34" s="488"/>
      <c r="AV34" s="468">
        <v>2000000</v>
      </c>
      <c r="AW34" s="468">
        <v>2000000</v>
      </c>
      <c r="AX34" s="468">
        <f t="shared" si="22"/>
        <v>0</v>
      </c>
      <c r="AY34" s="488"/>
      <c r="AZ34" s="468">
        <v>10000000</v>
      </c>
      <c r="BA34" s="468">
        <v>10000000</v>
      </c>
      <c r="BB34" s="468">
        <f t="shared" si="1"/>
        <v>0</v>
      </c>
      <c r="BC34" s="488"/>
      <c r="BD34" s="468">
        <v>64000000</v>
      </c>
      <c r="BE34" s="468">
        <f>10996750+45319050+7684200</f>
        <v>64000000</v>
      </c>
      <c r="BF34" s="468">
        <f t="shared" si="23"/>
        <v>0</v>
      </c>
      <c r="BG34" s="488"/>
      <c r="BH34" s="468">
        <v>9500000</v>
      </c>
      <c r="BI34" s="468">
        <v>9500000</v>
      </c>
      <c r="BJ34" s="468">
        <f t="shared" si="24"/>
        <v>0</v>
      </c>
      <c r="BK34" s="488"/>
      <c r="BL34" s="468">
        <v>5000000</v>
      </c>
      <c r="BM34" s="468">
        <v>5000000</v>
      </c>
      <c r="BN34" s="468">
        <f t="shared" si="25"/>
        <v>0</v>
      </c>
      <c r="BO34" s="488"/>
      <c r="BP34" s="468">
        <v>20000000</v>
      </c>
      <c r="BQ34" s="468">
        <f>7933410+1668050+3311175+7087365</f>
        <v>20000000</v>
      </c>
      <c r="BR34" s="468">
        <f t="shared" si="2"/>
        <v>0</v>
      </c>
      <c r="BS34" s="488"/>
      <c r="BT34" s="468">
        <v>1000000</v>
      </c>
      <c r="BU34" s="468">
        <f>1000000</f>
        <v>1000000</v>
      </c>
      <c r="BV34" s="468">
        <f t="shared" si="3"/>
        <v>0</v>
      </c>
      <c r="BW34" s="488"/>
      <c r="BX34" s="468">
        <v>80000000</v>
      </c>
      <c r="BY34" s="468">
        <f>9222300+450000-123600+70451300</f>
        <v>80000000</v>
      </c>
      <c r="BZ34" s="468">
        <f t="shared" si="26"/>
        <v>0</v>
      </c>
      <c r="CA34" s="488"/>
      <c r="CB34" s="468">
        <v>10000000</v>
      </c>
      <c r="CC34" s="468">
        <v>10000000</v>
      </c>
      <c r="CD34" s="468">
        <f t="shared" si="4"/>
        <v>0</v>
      </c>
      <c r="CE34" s="488"/>
      <c r="CF34" s="468">
        <v>10000000</v>
      </c>
      <c r="CG34" s="468">
        <f>6605900+1954200+1439900</f>
        <v>10000000</v>
      </c>
      <c r="CH34" s="468">
        <f t="shared" si="27"/>
        <v>0</v>
      </c>
      <c r="CI34" s="488"/>
      <c r="CJ34" s="468">
        <v>30000000</v>
      </c>
      <c r="CK34" s="468">
        <f>2637435+12305600+15056965</f>
        <v>30000000</v>
      </c>
      <c r="CL34" s="468">
        <f t="shared" si="5"/>
        <v>0</v>
      </c>
      <c r="CM34" s="542"/>
      <c r="CN34" s="468">
        <v>10000000</v>
      </c>
      <c r="CO34" s="468">
        <f>10000000</f>
        <v>10000000</v>
      </c>
      <c r="CP34" s="468">
        <f t="shared" si="6"/>
        <v>0</v>
      </c>
      <c r="CQ34" s="468"/>
      <c r="CR34" s="468">
        <v>100000000</v>
      </c>
      <c r="CS34" s="468">
        <f>34198380+12500000+51016100+2285520</f>
        <v>100000000</v>
      </c>
      <c r="CT34" s="468">
        <f t="shared" si="7"/>
        <v>0</v>
      </c>
      <c r="CU34" s="468"/>
      <c r="CV34" s="468">
        <v>20000000</v>
      </c>
      <c r="CW34" s="468">
        <f>13554200+6445800</f>
        <v>20000000</v>
      </c>
      <c r="CX34" s="468">
        <f t="shared" si="8"/>
        <v>0</v>
      </c>
      <c r="CY34" s="488"/>
      <c r="CZ34" s="468">
        <v>20000000</v>
      </c>
      <c r="DA34" s="468">
        <f>1306000</f>
        <v>1306000</v>
      </c>
      <c r="DB34" s="468">
        <f t="shared" si="9"/>
        <v>18694000</v>
      </c>
      <c r="DC34" s="488"/>
      <c r="DD34" s="468">
        <v>50000000</v>
      </c>
      <c r="DE34" s="468">
        <f>12413355+7551320+16881973+459200+10775500+1918652</f>
        <v>50000000</v>
      </c>
      <c r="DF34" s="468">
        <f t="shared" si="10"/>
        <v>0</v>
      </c>
      <c r="DG34" s="488"/>
      <c r="DH34" s="468">
        <v>10000000</v>
      </c>
      <c r="DI34" s="468">
        <f>5320722.5+4122500+556777.5</f>
        <v>10000000</v>
      </c>
      <c r="DJ34" s="468">
        <f t="shared" si="11"/>
        <v>0</v>
      </c>
      <c r="DK34" s="488"/>
      <c r="DL34" s="471">
        <v>0</v>
      </c>
      <c r="DM34" s="471">
        <v>0</v>
      </c>
      <c r="DN34" s="471">
        <f t="shared" si="28"/>
        <v>0</v>
      </c>
      <c r="DO34" s="539"/>
      <c r="DP34" s="471"/>
      <c r="DQ34" s="471"/>
      <c r="DR34" s="471"/>
      <c r="DS34" s="473"/>
      <c r="DT34" s="471">
        <v>70000000</v>
      </c>
      <c r="DU34" s="471">
        <f>52767842+6650000+10582158</f>
        <v>70000000</v>
      </c>
      <c r="DV34" s="471">
        <f t="shared" si="29"/>
        <v>0</v>
      </c>
      <c r="DW34" s="473"/>
      <c r="DX34" s="471">
        <v>10000000</v>
      </c>
      <c r="DY34" s="471">
        <f>5554200+4000000+445800</f>
        <v>10000000</v>
      </c>
      <c r="DZ34" s="471">
        <f t="shared" si="30"/>
        <v>0</v>
      </c>
      <c r="EA34" s="473"/>
      <c r="EB34" s="471">
        <v>5000000</v>
      </c>
      <c r="EC34" s="471">
        <v>0</v>
      </c>
      <c r="ED34" s="471">
        <f t="shared" si="31"/>
        <v>5000000</v>
      </c>
      <c r="EE34" s="473"/>
      <c r="EF34" s="471">
        <v>20000000</v>
      </c>
      <c r="EG34" s="541">
        <f>6043438+7824050+6132512</f>
        <v>20000000</v>
      </c>
      <c r="EH34" s="471">
        <f t="shared" si="32"/>
        <v>0</v>
      </c>
      <c r="EI34" s="473"/>
      <c r="EJ34" s="471">
        <v>5000000</v>
      </c>
      <c r="EK34" s="471">
        <f>2323350</f>
        <v>2323350</v>
      </c>
      <c r="EL34" s="471">
        <f t="shared" si="33"/>
        <v>2676650</v>
      </c>
      <c r="EM34" s="631" t="s">
        <v>61</v>
      </c>
      <c r="EN34" s="475">
        <v>200000000</v>
      </c>
      <c r="EO34" s="475">
        <f>40617842+34116570+83002189.15+42263398.85</f>
        <v>200000000</v>
      </c>
      <c r="EP34" s="475">
        <f t="shared" si="34"/>
        <v>0</v>
      </c>
      <c r="EQ34" s="475"/>
      <c r="ER34" s="475">
        <v>18000000</v>
      </c>
      <c r="ES34" s="626">
        <f>4911000+5312670+2327700</f>
        <v>12551370</v>
      </c>
      <c r="ET34" s="475">
        <f t="shared" si="35"/>
        <v>5448630</v>
      </c>
      <c r="EU34" s="475"/>
      <c r="EV34" s="475">
        <v>5000000</v>
      </c>
      <c r="EW34" s="475">
        <v>0</v>
      </c>
      <c r="EX34" s="475">
        <f t="shared" si="36"/>
        <v>5000000</v>
      </c>
      <c r="EY34" s="475"/>
      <c r="EZ34" s="475">
        <v>25000000</v>
      </c>
      <c r="FA34" s="475">
        <v>25000000</v>
      </c>
      <c r="FB34" s="475">
        <f t="shared" si="37"/>
        <v>0</v>
      </c>
      <c r="FC34" s="475"/>
      <c r="FD34" s="475">
        <v>5000000</v>
      </c>
      <c r="FE34" s="475">
        <v>0</v>
      </c>
      <c r="FF34" s="475">
        <f t="shared" si="38"/>
        <v>5000000</v>
      </c>
      <c r="FG34" s="107"/>
      <c r="FH34" s="475">
        <v>75000000</v>
      </c>
      <c r="FI34" s="475">
        <f>54936383.65+19800000</f>
        <v>74736383.650000006</v>
      </c>
      <c r="FJ34" s="475">
        <f t="shared" si="39"/>
        <v>263616.34999999404</v>
      </c>
      <c r="FK34" s="475"/>
      <c r="FL34" s="475">
        <v>20000000</v>
      </c>
      <c r="FM34" s="475">
        <v>0</v>
      </c>
      <c r="FN34" s="475">
        <f t="shared" si="40"/>
        <v>20000000</v>
      </c>
      <c r="FO34" s="475"/>
      <c r="FP34" s="475">
        <v>5000000</v>
      </c>
      <c r="FQ34" s="475">
        <v>0</v>
      </c>
      <c r="FR34" s="475">
        <f t="shared" si="41"/>
        <v>5000000</v>
      </c>
      <c r="FS34" s="475"/>
      <c r="FT34" s="475">
        <v>20000000</v>
      </c>
      <c r="FU34" s="626">
        <f>4955940+206288</f>
        <v>5162228</v>
      </c>
      <c r="FV34" s="475">
        <f t="shared" si="42"/>
        <v>14837772</v>
      </c>
      <c r="FW34" s="475"/>
      <c r="FX34" s="475">
        <v>5000000</v>
      </c>
      <c r="FY34" s="475">
        <v>0</v>
      </c>
      <c r="FZ34" s="475">
        <f t="shared" si="43"/>
        <v>5000000</v>
      </c>
      <c r="GA34" s="475"/>
      <c r="GB34" s="475">
        <v>100000000</v>
      </c>
      <c r="GC34" s="475">
        <v>0</v>
      </c>
      <c r="GD34" s="475">
        <f t="shared" si="44"/>
        <v>100000000</v>
      </c>
      <c r="GE34" s="475"/>
      <c r="GF34" s="475">
        <v>20000000</v>
      </c>
      <c r="GG34" s="475">
        <v>0</v>
      </c>
      <c r="GH34" s="475">
        <f t="shared" si="45"/>
        <v>20000000</v>
      </c>
      <c r="GI34" s="475"/>
      <c r="GJ34" s="475">
        <v>3000000</v>
      </c>
      <c r="GK34" s="475">
        <v>0</v>
      </c>
      <c r="GL34" s="475">
        <f t="shared" si="46"/>
        <v>3000000</v>
      </c>
      <c r="GM34" s="475"/>
      <c r="GN34" s="475">
        <v>15000000</v>
      </c>
      <c r="GO34" s="475">
        <v>0</v>
      </c>
      <c r="GP34" s="475">
        <f t="shared" si="47"/>
        <v>15000000</v>
      </c>
      <c r="GQ34" s="475"/>
      <c r="GR34" s="475">
        <v>3000000</v>
      </c>
      <c r="GS34" s="475">
        <v>0</v>
      </c>
      <c r="GT34" s="475">
        <f t="shared" si="48"/>
        <v>3000000</v>
      </c>
      <c r="GU34" s="475"/>
      <c r="GV34" s="468">
        <f t="shared" si="49"/>
        <v>1220490000</v>
      </c>
      <c r="GW34" s="468">
        <f t="shared" si="49"/>
        <v>992569331.64999998</v>
      </c>
      <c r="GX34" s="468">
        <f t="shared" si="50"/>
        <v>227920668.35000002</v>
      </c>
      <c r="GY34" s="472"/>
      <c r="HA34" s="468">
        <f>D34+H34+L34+X34+AN34+BD34+BX34+CR34+DT34+DL34+EN34+FH34+GB34</f>
        <v>810490000</v>
      </c>
      <c r="HB34" s="468">
        <f>E34+I34+M34+Y34+AO34+BE34+BY34+CS34+DU34+DM34+EO34+FI34+GC34</f>
        <v>710226383.64999998</v>
      </c>
      <c r="HC34" s="471">
        <f t="shared" si="51"/>
        <v>100263616.35000002</v>
      </c>
      <c r="HE34" s="471">
        <f>P34+AB34+AR34+BH34+CB34+CV34+DX34+ER34+FL34+GF34</f>
        <v>118500000</v>
      </c>
      <c r="HF34" s="471">
        <f>Q34+AC34+AS34+BI34+CC34+CW34+DY34+ES34+FM34+GG34</f>
        <v>73051370</v>
      </c>
      <c r="HG34" s="471">
        <f t="shared" si="52"/>
        <v>45448630</v>
      </c>
      <c r="HI34" s="471">
        <f>T34+AF34+AV34+BL34+CF34+CZ34+EB34+EV34+FP34+GJ34</f>
        <v>55000000</v>
      </c>
      <c r="HJ34" s="471">
        <f>U34+AG34+AW34+BM34+CG34+DA34+EC34+EW34+FQ34+GK34</f>
        <v>18306000</v>
      </c>
      <c r="HK34" s="471">
        <f t="shared" si="53"/>
        <v>36694000</v>
      </c>
      <c r="HM34" s="471">
        <f>AJ34+AZ34+BP34+CJ34+DD34+EF34+EZ34+FT34+GN34</f>
        <v>197500000</v>
      </c>
      <c r="HN34" s="471">
        <f>AK34+BA34+BQ34+CK34+DE34+EG34+FA34+FU34+GO34</f>
        <v>167662228</v>
      </c>
      <c r="HO34" s="471">
        <f t="shared" si="54"/>
        <v>29837772</v>
      </c>
      <c r="HP34" s="531"/>
      <c r="HQ34" s="471">
        <f>BT34+CN34+DH34+EJ34+FD34+FX34+GR34</f>
        <v>39000000</v>
      </c>
      <c r="HR34" s="471">
        <f>BU34+CO34+DI34+EK34+FE34+FY34+GS34</f>
        <v>23323350</v>
      </c>
      <c r="HS34" s="471">
        <f t="shared" si="55"/>
        <v>15676650</v>
      </c>
    </row>
    <row r="35" spans="1:299" x14ac:dyDescent="0.25">
      <c r="A35" s="107">
        <v>32</v>
      </c>
      <c r="B35" s="107" t="s">
        <v>231</v>
      </c>
      <c r="C35" s="631" t="s">
        <v>61</v>
      </c>
      <c r="D35" s="488">
        <v>1250000</v>
      </c>
      <c r="E35" s="488">
        <v>1250000</v>
      </c>
      <c r="F35" s="468">
        <f t="shared" si="12"/>
        <v>0</v>
      </c>
      <c r="G35" s="488"/>
      <c r="H35" s="468">
        <v>25240000</v>
      </c>
      <c r="I35" s="468">
        <v>25240000</v>
      </c>
      <c r="J35" s="468">
        <f t="shared" si="13"/>
        <v>0</v>
      </c>
      <c r="K35" s="488"/>
      <c r="L35" s="468">
        <v>25000000</v>
      </c>
      <c r="M35" s="468">
        <v>25000000</v>
      </c>
      <c r="N35" s="468">
        <f t="shared" si="14"/>
        <v>0</v>
      </c>
      <c r="O35" s="488"/>
      <c r="P35" s="468">
        <v>3000000</v>
      </c>
      <c r="Q35" s="468">
        <v>3000000</v>
      </c>
      <c r="R35" s="468">
        <f t="shared" si="15"/>
        <v>0</v>
      </c>
      <c r="S35" s="488"/>
      <c r="T35" s="468">
        <f>1000000-1000000</f>
        <v>0</v>
      </c>
      <c r="U35" s="468">
        <v>0</v>
      </c>
      <c r="V35" s="468">
        <f t="shared" si="16"/>
        <v>0</v>
      </c>
      <c r="W35" s="488"/>
      <c r="X35" s="468">
        <v>30000000</v>
      </c>
      <c r="Y35" s="468">
        <f>5900000+655250+23444750</f>
        <v>30000000</v>
      </c>
      <c r="Z35" s="468">
        <f t="shared" si="17"/>
        <v>0</v>
      </c>
      <c r="AA35" s="488"/>
      <c r="AB35" s="468">
        <v>5000000</v>
      </c>
      <c r="AC35" s="468">
        <v>5000000</v>
      </c>
      <c r="AD35" s="468">
        <f t="shared" si="18"/>
        <v>0</v>
      </c>
      <c r="AE35" s="488"/>
      <c r="AF35" s="468">
        <f>2000000-2000000</f>
        <v>0</v>
      </c>
      <c r="AG35" s="468">
        <v>0</v>
      </c>
      <c r="AH35" s="468">
        <f t="shared" si="19"/>
        <v>0</v>
      </c>
      <c r="AI35" s="488"/>
      <c r="AJ35" s="468">
        <v>7500000</v>
      </c>
      <c r="AK35" s="468">
        <v>7500000</v>
      </c>
      <c r="AL35" s="468">
        <f t="shared" si="20"/>
        <v>0</v>
      </c>
      <c r="AN35" s="468">
        <v>40000000</v>
      </c>
      <c r="AO35" s="468">
        <f>6132750+33867250</f>
        <v>40000000</v>
      </c>
      <c r="AP35" s="468">
        <f t="shared" si="0"/>
        <v>0</v>
      </c>
      <c r="AQ35" s="488"/>
      <c r="AR35" s="468">
        <v>3000000</v>
      </c>
      <c r="AS35" s="468">
        <f>1545686+1155000+299314</f>
        <v>3000000</v>
      </c>
      <c r="AT35" s="468">
        <f t="shared" si="21"/>
        <v>0</v>
      </c>
      <c r="AU35" s="488"/>
      <c r="AV35" s="468">
        <v>2000000</v>
      </c>
      <c r="AW35" s="468">
        <v>0</v>
      </c>
      <c r="AX35" s="468">
        <f t="shared" si="22"/>
        <v>2000000</v>
      </c>
      <c r="AY35" s="488"/>
      <c r="AZ35" s="468">
        <v>10000000</v>
      </c>
      <c r="BA35" s="468">
        <v>10000000</v>
      </c>
      <c r="BB35" s="468">
        <f t="shared" si="1"/>
        <v>0</v>
      </c>
      <c r="BC35" s="488"/>
      <c r="BD35" s="468">
        <v>64000000</v>
      </c>
      <c r="BE35" s="468">
        <f>16981000+33777730+13241270</f>
        <v>64000000</v>
      </c>
      <c r="BF35" s="468">
        <f t="shared" si="23"/>
        <v>0</v>
      </c>
      <c r="BG35" s="488"/>
      <c r="BH35" s="468">
        <v>9500000</v>
      </c>
      <c r="BI35" s="468">
        <f>6406486+3093514</f>
        <v>9500000</v>
      </c>
      <c r="BJ35" s="468">
        <f t="shared" si="24"/>
        <v>0</v>
      </c>
      <c r="BK35" s="488"/>
      <c r="BL35" s="468">
        <v>5000000</v>
      </c>
      <c r="BM35" s="468">
        <v>0</v>
      </c>
      <c r="BN35" s="468">
        <f t="shared" si="25"/>
        <v>5000000</v>
      </c>
      <c r="BO35" s="488"/>
      <c r="BP35" s="468">
        <v>20000000</v>
      </c>
      <c r="BQ35" s="468">
        <f>6609145+8021040+5369815</f>
        <v>20000000</v>
      </c>
      <c r="BR35" s="468">
        <f t="shared" si="2"/>
        <v>0</v>
      </c>
      <c r="BS35" s="488"/>
      <c r="BT35" s="468">
        <v>1000000</v>
      </c>
      <c r="BU35" s="468">
        <v>0</v>
      </c>
      <c r="BV35" s="468">
        <f t="shared" si="3"/>
        <v>1000000</v>
      </c>
      <c r="BW35" s="488"/>
      <c r="BX35" s="468">
        <v>80000000</v>
      </c>
      <c r="BY35" s="468">
        <f>45788605+9508440+9496400+15206555</f>
        <v>80000000</v>
      </c>
      <c r="BZ35" s="468">
        <f t="shared" si="26"/>
        <v>0</v>
      </c>
      <c r="CA35" s="488"/>
      <c r="CB35" s="468">
        <v>10000000</v>
      </c>
      <c r="CC35" s="468">
        <f>6824986+2807375+367639</f>
        <v>10000000</v>
      </c>
      <c r="CD35" s="468">
        <f t="shared" si="4"/>
        <v>0</v>
      </c>
      <c r="CE35" s="488"/>
      <c r="CF35" s="468">
        <v>10000000</v>
      </c>
      <c r="CG35" s="468">
        <v>0</v>
      </c>
      <c r="CH35" s="468">
        <f t="shared" si="27"/>
        <v>10000000</v>
      </c>
      <c r="CI35" s="488"/>
      <c r="CJ35" s="468">
        <v>30000000</v>
      </c>
      <c r="CK35" s="468">
        <f>7422905+155600+20889350+1229100+303045</f>
        <v>30000000</v>
      </c>
      <c r="CL35" s="468">
        <f t="shared" si="5"/>
        <v>0</v>
      </c>
      <c r="CM35" s="488"/>
      <c r="CN35" s="468">
        <v>10000000</v>
      </c>
      <c r="CO35" s="468">
        <v>0</v>
      </c>
      <c r="CP35" s="468">
        <f t="shared" si="6"/>
        <v>10000000</v>
      </c>
      <c r="CQ35" s="488"/>
      <c r="CR35" s="468">
        <v>100000000</v>
      </c>
      <c r="CS35" s="468">
        <v>3379145</v>
      </c>
      <c r="CT35" s="468">
        <f t="shared" si="7"/>
        <v>96620855</v>
      </c>
      <c r="CU35" s="488"/>
      <c r="CV35" s="468">
        <v>20000000</v>
      </c>
      <c r="CW35" s="468">
        <f>9632361+9963730+403909</f>
        <v>20000000</v>
      </c>
      <c r="CX35" s="468">
        <f t="shared" si="8"/>
        <v>0</v>
      </c>
      <c r="CY35" s="488"/>
      <c r="CZ35" s="468">
        <v>20000000</v>
      </c>
      <c r="DA35" s="468">
        <v>0</v>
      </c>
      <c r="DB35" s="468">
        <f t="shared" si="9"/>
        <v>20000000</v>
      </c>
      <c r="DC35" s="488"/>
      <c r="DD35" s="468">
        <v>50000000</v>
      </c>
      <c r="DE35" s="490">
        <f>37135305+2607860+6277298.5-6129898+10109434.5</f>
        <v>50000000</v>
      </c>
      <c r="DF35" s="468">
        <f t="shared" si="10"/>
        <v>0</v>
      </c>
      <c r="DG35" s="488"/>
      <c r="DH35" s="468">
        <v>10000000</v>
      </c>
      <c r="DI35" s="468">
        <v>0</v>
      </c>
      <c r="DJ35" s="468">
        <f t="shared" si="11"/>
        <v>10000000</v>
      </c>
      <c r="DK35" s="488"/>
      <c r="DL35" s="471">
        <v>0</v>
      </c>
      <c r="DM35" s="471">
        <v>0</v>
      </c>
      <c r="DN35" s="471">
        <f t="shared" si="28"/>
        <v>0</v>
      </c>
      <c r="DO35" s="539"/>
      <c r="DP35" s="471"/>
      <c r="DQ35" s="471"/>
      <c r="DR35" s="471"/>
      <c r="DS35" s="473"/>
      <c r="DT35" s="471">
        <v>70000000</v>
      </c>
      <c r="DU35" s="471">
        <v>0</v>
      </c>
      <c r="DV35" s="471">
        <f t="shared" si="29"/>
        <v>70000000</v>
      </c>
      <c r="DW35" s="473"/>
      <c r="DX35" s="471">
        <v>10000000</v>
      </c>
      <c r="DY35" s="471">
        <f>9596091+403909</f>
        <v>10000000</v>
      </c>
      <c r="DZ35" s="471">
        <f t="shared" si="30"/>
        <v>0</v>
      </c>
      <c r="EA35" s="473"/>
      <c r="EB35" s="471">
        <v>5000000</v>
      </c>
      <c r="EC35" s="471">
        <v>0</v>
      </c>
      <c r="ED35" s="471">
        <f t="shared" si="31"/>
        <v>5000000</v>
      </c>
      <c r="EE35" s="473"/>
      <c r="EF35" s="471">
        <v>20000000</v>
      </c>
      <c r="EG35" s="541">
        <f>6494770+13505230</f>
        <v>20000000</v>
      </c>
      <c r="EH35" s="471">
        <f t="shared" si="32"/>
        <v>0</v>
      </c>
      <c r="EI35" s="473"/>
      <c r="EJ35" s="471">
        <v>5000000</v>
      </c>
      <c r="EK35" s="471">
        <v>0</v>
      </c>
      <c r="EL35" s="471">
        <f t="shared" si="33"/>
        <v>5000000</v>
      </c>
      <c r="EM35" s="631" t="s">
        <v>61</v>
      </c>
      <c r="EN35" s="475">
        <v>200000000</v>
      </c>
      <c r="EO35" s="475">
        <v>0</v>
      </c>
      <c r="EP35" s="475">
        <f t="shared" si="34"/>
        <v>200000000</v>
      </c>
      <c r="EQ35" s="475"/>
      <c r="ER35" s="475">
        <v>18000000</v>
      </c>
      <c r="ES35" s="627">
        <f>3699851+2145600+9790783.32</f>
        <v>15636234.32</v>
      </c>
      <c r="ET35" s="475">
        <f t="shared" si="35"/>
        <v>2363765.6799999997</v>
      </c>
      <c r="EU35" s="475"/>
      <c r="EV35" s="475">
        <v>5000000</v>
      </c>
      <c r="EW35" s="475">
        <v>0</v>
      </c>
      <c r="EX35" s="475">
        <f t="shared" si="36"/>
        <v>5000000</v>
      </c>
      <c r="EY35" s="475"/>
      <c r="EZ35" s="475">
        <v>25000000</v>
      </c>
      <c r="FA35" s="626">
        <f>2671405.5</f>
        <v>2671405.5</v>
      </c>
      <c r="FB35" s="475">
        <f t="shared" si="37"/>
        <v>22328594.5</v>
      </c>
      <c r="FC35" s="475"/>
      <c r="FD35" s="475">
        <v>5000000</v>
      </c>
      <c r="FE35" s="475">
        <v>0</v>
      </c>
      <c r="FF35" s="475">
        <f t="shared" si="38"/>
        <v>5000000</v>
      </c>
      <c r="FG35" s="107"/>
      <c r="FH35" s="475">
        <v>75000000</v>
      </c>
      <c r="FI35" s="475">
        <v>0</v>
      </c>
      <c r="FJ35" s="475">
        <f t="shared" si="39"/>
        <v>75000000</v>
      </c>
      <c r="FK35" s="475"/>
      <c r="FL35" s="475">
        <v>20000000</v>
      </c>
      <c r="FM35" s="475">
        <v>0</v>
      </c>
      <c r="FN35" s="475">
        <f t="shared" si="40"/>
        <v>20000000</v>
      </c>
      <c r="FO35" s="475"/>
      <c r="FP35" s="475">
        <v>5000000</v>
      </c>
      <c r="FQ35" s="475">
        <v>0</v>
      </c>
      <c r="FR35" s="475">
        <f t="shared" si="41"/>
        <v>5000000</v>
      </c>
      <c r="FS35" s="475"/>
      <c r="FT35" s="475">
        <v>20000000</v>
      </c>
      <c r="FU35" s="475">
        <v>0</v>
      </c>
      <c r="FV35" s="475">
        <f t="shared" si="42"/>
        <v>20000000</v>
      </c>
      <c r="FW35" s="475"/>
      <c r="FX35" s="475">
        <v>5000000</v>
      </c>
      <c r="FY35" s="475">
        <v>0</v>
      </c>
      <c r="FZ35" s="475">
        <f t="shared" si="43"/>
        <v>5000000</v>
      </c>
      <c r="GA35" s="475"/>
      <c r="GB35" s="475">
        <v>100000000</v>
      </c>
      <c r="GC35" s="475">
        <v>0</v>
      </c>
      <c r="GD35" s="475">
        <f t="shared" si="44"/>
        <v>100000000</v>
      </c>
      <c r="GE35" s="475"/>
      <c r="GF35" s="475">
        <v>20000000</v>
      </c>
      <c r="GG35" s="475">
        <v>0</v>
      </c>
      <c r="GH35" s="475">
        <f t="shared" si="45"/>
        <v>20000000</v>
      </c>
      <c r="GI35" s="475"/>
      <c r="GJ35" s="475">
        <v>3000000</v>
      </c>
      <c r="GK35" s="475">
        <v>0</v>
      </c>
      <c r="GL35" s="475">
        <f t="shared" si="46"/>
        <v>3000000</v>
      </c>
      <c r="GM35" s="475"/>
      <c r="GN35" s="475">
        <v>15000000</v>
      </c>
      <c r="GO35" s="475">
        <v>0</v>
      </c>
      <c r="GP35" s="475">
        <f t="shared" si="47"/>
        <v>15000000</v>
      </c>
      <c r="GQ35" s="475"/>
      <c r="GR35" s="475">
        <v>3000000</v>
      </c>
      <c r="GS35" s="475">
        <v>0</v>
      </c>
      <c r="GT35" s="475">
        <f t="shared" si="48"/>
        <v>3000000</v>
      </c>
      <c r="GU35" s="475"/>
      <c r="GV35" s="468">
        <f t="shared" si="49"/>
        <v>1220490000</v>
      </c>
      <c r="GW35" s="468">
        <f t="shared" si="49"/>
        <v>485176784.81999999</v>
      </c>
      <c r="GX35" s="468">
        <f t="shared" si="50"/>
        <v>735313215.18000007</v>
      </c>
      <c r="GY35" s="472"/>
      <c r="HA35" s="468">
        <f>D35+H35+L35+X35+AN35+BD35+BX35+CR35+DT35+DL35+EN35+FH35+GB35</f>
        <v>810490000</v>
      </c>
      <c r="HB35" s="468">
        <f>E35+I35+M35+Y35+AO35+BE35+BY35+CS35+DU35+DM35+EO35+FI35+GC35</f>
        <v>268869145</v>
      </c>
      <c r="HC35" s="471">
        <f t="shared" si="51"/>
        <v>541620855</v>
      </c>
      <c r="HE35" s="471">
        <f>P35+AB35+AR35+BH35+CB35+CV35+DX35+ER35+FL35+GF35</f>
        <v>118500000</v>
      </c>
      <c r="HF35" s="471">
        <f>Q35+AC35+AS35+BI35+CC35+CW35+DY35+ES35+FM35+GG35</f>
        <v>76136234.319999993</v>
      </c>
      <c r="HG35" s="471">
        <f t="shared" si="52"/>
        <v>42363765.680000007</v>
      </c>
      <c r="HI35" s="471">
        <f>T35+AF35+AV35+BL35+CF35+CZ35+EB35+EV35+FP35+GJ35</f>
        <v>55000000</v>
      </c>
      <c r="HJ35" s="471">
        <f>U35+AG35+AW35+BM35+CG35+DA35+EC35+EW35+FQ35+GK35</f>
        <v>0</v>
      </c>
      <c r="HK35" s="471">
        <f t="shared" si="53"/>
        <v>55000000</v>
      </c>
      <c r="HM35" s="471">
        <f>AJ35+AZ35+BP35+CJ35+DD35+EF35+EZ35+FT35+GN35</f>
        <v>197500000</v>
      </c>
      <c r="HN35" s="471">
        <f>AK35+BA35+BQ35+CK35+DE35+EG35+FA35+FU35+GO35</f>
        <v>140171405.5</v>
      </c>
      <c r="HO35" s="471">
        <f t="shared" si="54"/>
        <v>57328594.5</v>
      </c>
      <c r="HP35" s="531"/>
      <c r="HQ35" s="471">
        <f>BT35+CN35+DH35+EJ35+FD35+FX35+GR35</f>
        <v>39000000</v>
      </c>
      <c r="HR35" s="471">
        <f>BU35+CO35+DI35+EK35+FE35+FY35+GS35</f>
        <v>0</v>
      </c>
      <c r="HS35" s="471">
        <f t="shared" si="55"/>
        <v>39000000</v>
      </c>
    </row>
    <row r="36" spans="1:299" ht="15" customHeight="1" x14ac:dyDescent="0.25">
      <c r="A36" s="107">
        <v>33</v>
      </c>
      <c r="B36" s="107" t="s">
        <v>232</v>
      </c>
      <c r="C36" s="631" t="s">
        <v>61</v>
      </c>
      <c r="D36" s="488">
        <v>1250000</v>
      </c>
      <c r="E36" s="488">
        <v>1250000</v>
      </c>
      <c r="F36" s="468">
        <f t="shared" si="12"/>
        <v>0</v>
      </c>
      <c r="G36" s="488"/>
      <c r="H36" s="468">
        <v>25240000</v>
      </c>
      <c r="I36" s="468">
        <v>25240000</v>
      </c>
      <c r="J36" s="468">
        <f t="shared" si="13"/>
        <v>0</v>
      </c>
      <c r="K36" s="488"/>
      <c r="L36" s="468">
        <v>25000000</v>
      </c>
      <c r="M36" s="468">
        <v>25000000</v>
      </c>
      <c r="N36" s="468">
        <f t="shared" si="14"/>
        <v>0</v>
      </c>
      <c r="O36" s="488"/>
      <c r="P36" s="468">
        <v>3000000</v>
      </c>
      <c r="Q36" s="468">
        <f>3000000</f>
        <v>3000000</v>
      </c>
      <c r="R36" s="468">
        <f t="shared" si="15"/>
        <v>0</v>
      </c>
      <c r="S36" s="488"/>
      <c r="T36" s="468">
        <v>1000000</v>
      </c>
      <c r="U36" s="468">
        <v>1000000</v>
      </c>
      <c r="V36" s="468">
        <f t="shared" si="16"/>
        <v>0</v>
      </c>
      <c r="W36" s="488"/>
      <c r="X36" s="468">
        <v>15160050.6</v>
      </c>
      <c r="Y36" s="468">
        <f>13216712.6+1943338</f>
        <v>15160050.6</v>
      </c>
      <c r="Z36" s="468">
        <f t="shared" si="17"/>
        <v>0</v>
      </c>
      <c r="AA36" s="488"/>
      <c r="AB36" s="468">
        <v>5000000</v>
      </c>
      <c r="AC36" s="468">
        <f>1000000+4000000</f>
        <v>5000000</v>
      </c>
      <c r="AD36" s="468">
        <f t="shared" si="18"/>
        <v>0</v>
      </c>
      <c r="AE36" s="488"/>
      <c r="AF36" s="468">
        <v>2000000</v>
      </c>
      <c r="AG36" s="468">
        <v>2000000</v>
      </c>
      <c r="AH36" s="468">
        <f t="shared" si="19"/>
        <v>0</v>
      </c>
      <c r="AI36" s="488"/>
      <c r="AJ36" s="468">
        <v>7500000</v>
      </c>
      <c r="AK36" s="468">
        <v>7500000</v>
      </c>
      <c r="AL36" s="468">
        <f t="shared" si="20"/>
        <v>0</v>
      </c>
      <c r="AM36" s="468"/>
      <c r="AN36" s="468">
        <v>40000000</v>
      </c>
      <c r="AO36" s="468">
        <f>2500000+14068405.5+14802750+8628844.5</f>
        <v>40000000</v>
      </c>
      <c r="AP36" s="468">
        <f t="shared" si="0"/>
        <v>0</v>
      </c>
      <c r="AQ36" s="488"/>
      <c r="AR36" s="468">
        <v>3000000</v>
      </c>
      <c r="AS36" s="468">
        <f>3000000</f>
        <v>3000000</v>
      </c>
      <c r="AT36" s="468">
        <f t="shared" si="21"/>
        <v>0</v>
      </c>
      <c r="AU36" s="488"/>
      <c r="AV36" s="468">
        <v>2000000</v>
      </c>
      <c r="AW36" s="468">
        <v>2000000</v>
      </c>
      <c r="AX36" s="468">
        <f t="shared" si="22"/>
        <v>0</v>
      </c>
      <c r="AY36" s="488"/>
      <c r="AZ36" s="468">
        <v>10000000</v>
      </c>
      <c r="BA36" s="468">
        <v>10000000</v>
      </c>
      <c r="BB36" s="468">
        <f t="shared" si="1"/>
        <v>0</v>
      </c>
      <c r="BC36" s="488"/>
      <c r="BD36" s="468">
        <v>64000000</v>
      </c>
      <c r="BE36" s="468">
        <f>15758045.5+21442900+20873950+5925104.5</f>
        <v>64000000</v>
      </c>
      <c r="BF36" s="468">
        <f t="shared" si="23"/>
        <v>0</v>
      </c>
      <c r="BG36" s="488"/>
      <c r="BH36" s="468">
        <v>9500000</v>
      </c>
      <c r="BI36" s="468">
        <f>9500000</f>
        <v>9500000</v>
      </c>
      <c r="BJ36" s="468">
        <f t="shared" si="24"/>
        <v>0</v>
      </c>
      <c r="BK36" s="488"/>
      <c r="BL36" s="468">
        <v>5000000</v>
      </c>
      <c r="BM36" s="468">
        <f>100000+750000</f>
        <v>850000</v>
      </c>
      <c r="BN36" s="468">
        <f t="shared" si="25"/>
        <v>4150000</v>
      </c>
      <c r="BO36" s="488"/>
      <c r="BP36" s="468">
        <v>20000000</v>
      </c>
      <c r="BQ36" s="468">
        <f>14045445.2+977000+3777260+14068405.5-14068405.5+1200294.8</f>
        <v>20000000</v>
      </c>
      <c r="BR36" s="468">
        <f t="shared" si="2"/>
        <v>0</v>
      </c>
      <c r="BS36" s="488"/>
      <c r="BT36" s="468">
        <v>1000000</v>
      </c>
      <c r="BU36" s="468">
        <f>1000000</f>
        <v>1000000</v>
      </c>
      <c r="BV36" s="468">
        <f t="shared" si="3"/>
        <v>0</v>
      </c>
      <c r="BW36" s="488"/>
      <c r="BX36" s="468">
        <v>80000000</v>
      </c>
      <c r="BY36" s="468">
        <f>4936450+12414600+41672959.5+20650160+325830.5</f>
        <v>80000000</v>
      </c>
      <c r="BZ36" s="468">
        <f t="shared" si="26"/>
        <v>0</v>
      </c>
      <c r="CA36" s="488"/>
      <c r="CB36" s="468">
        <v>10000000</v>
      </c>
      <c r="CC36" s="468">
        <f>10000000</f>
        <v>10000000</v>
      </c>
      <c r="CD36" s="468">
        <f t="shared" si="4"/>
        <v>0</v>
      </c>
      <c r="CE36" s="488"/>
      <c r="CF36" s="468">
        <v>10000000</v>
      </c>
      <c r="CG36" s="468">
        <v>0</v>
      </c>
      <c r="CH36" s="468">
        <f t="shared" si="27"/>
        <v>10000000</v>
      </c>
      <c r="CI36" s="488"/>
      <c r="CJ36" s="468">
        <v>30000000</v>
      </c>
      <c r="CK36" s="468">
        <f>8949865+21018990+31145</f>
        <v>30000000</v>
      </c>
      <c r="CL36" s="468">
        <f t="shared" si="5"/>
        <v>0</v>
      </c>
      <c r="CM36" s="488"/>
      <c r="CN36" s="468">
        <v>10000000</v>
      </c>
      <c r="CO36" s="490">
        <f>1040000+5312500</f>
        <v>6352500</v>
      </c>
      <c r="CP36" s="468">
        <f t="shared" si="6"/>
        <v>3647500</v>
      </c>
      <c r="CQ36" s="488"/>
      <c r="CR36" s="468">
        <v>100000000</v>
      </c>
      <c r="CS36" s="468">
        <f>27261090.5+39861812+19500000+13377097.5</f>
        <v>100000000</v>
      </c>
      <c r="CT36" s="468">
        <f t="shared" si="7"/>
        <v>0</v>
      </c>
      <c r="CU36" s="488"/>
      <c r="CV36" s="468">
        <v>20000000</v>
      </c>
      <c r="CW36" s="468">
        <f>6000000+13485500+514500</f>
        <v>20000000</v>
      </c>
      <c r="CX36" s="468">
        <f t="shared" si="8"/>
        <v>0</v>
      </c>
      <c r="CY36" s="488"/>
      <c r="CZ36" s="468">
        <v>20000000</v>
      </c>
      <c r="DA36" s="468">
        <v>0</v>
      </c>
      <c r="DB36" s="468">
        <f t="shared" si="9"/>
        <v>20000000</v>
      </c>
      <c r="DC36" s="488"/>
      <c r="DD36" s="468">
        <v>50000000</v>
      </c>
      <c r="DE36" s="468">
        <f>7827420+5177806+5222166.2+26901095+1494300+1523475+881950</f>
        <v>49028212.200000003</v>
      </c>
      <c r="DF36" s="468">
        <f t="shared" si="10"/>
        <v>971787.79999999702</v>
      </c>
      <c r="DG36" s="488"/>
      <c r="DH36" s="468">
        <v>10000000</v>
      </c>
      <c r="DI36" s="468">
        <v>0</v>
      </c>
      <c r="DJ36" s="468">
        <f t="shared" si="11"/>
        <v>10000000</v>
      </c>
      <c r="DK36" s="488"/>
      <c r="DL36" s="471">
        <v>0</v>
      </c>
      <c r="DM36" s="471">
        <v>0</v>
      </c>
      <c r="DN36" s="471">
        <f t="shared" si="28"/>
        <v>0</v>
      </c>
      <c r="DO36" s="539"/>
      <c r="DP36" s="471"/>
      <c r="DQ36" s="471"/>
      <c r="DR36" s="471"/>
      <c r="DS36" s="473"/>
      <c r="DT36" s="471">
        <v>70000000</v>
      </c>
      <c r="DU36" s="471">
        <f>51010807.5+18989192.5</f>
        <v>70000000</v>
      </c>
      <c r="DV36" s="471">
        <f t="shared" si="29"/>
        <v>0</v>
      </c>
      <c r="DW36" s="473"/>
      <c r="DX36" s="471">
        <v>10000000</v>
      </c>
      <c r="DY36" s="471">
        <f>10000000</f>
        <v>10000000</v>
      </c>
      <c r="DZ36" s="471">
        <f t="shared" si="30"/>
        <v>0</v>
      </c>
      <c r="EA36" s="473"/>
      <c r="EB36" s="471">
        <v>5000000</v>
      </c>
      <c r="EC36" s="471">
        <v>0</v>
      </c>
      <c r="ED36" s="471">
        <f t="shared" si="31"/>
        <v>5000000</v>
      </c>
      <c r="EE36" s="473"/>
      <c r="EF36" s="471">
        <v>20000000</v>
      </c>
      <c r="EG36" s="471">
        <v>5332400</v>
      </c>
      <c r="EH36" s="471">
        <f t="shared" si="32"/>
        <v>14667600</v>
      </c>
      <c r="EI36" s="473"/>
      <c r="EJ36" s="471">
        <v>5000000</v>
      </c>
      <c r="EK36" s="471">
        <v>0</v>
      </c>
      <c r="EL36" s="471">
        <f t="shared" si="33"/>
        <v>5000000</v>
      </c>
      <c r="EM36" s="631" t="s">
        <v>61</v>
      </c>
      <c r="EN36" s="475">
        <v>200000000</v>
      </c>
      <c r="EO36" s="475">
        <f>42210807.5+51352220+20700000+1500000+52654205.45</f>
        <v>168417232.94999999</v>
      </c>
      <c r="EP36" s="475">
        <f t="shared" si="34"/>
        <v>31582767.050000012</v>
      </c>
      <c r="EQ36" s="475"/>
      <c r="ER36" s="475">
        <v>18000000</v>
      </c>
      <c r="ES36" s="475">
        <f>2298728</f>
        <v>2298728</v>
      </c>
      <c r="ET36" s="475">
        <f t="shared" si="35"/>
        <v>15701272</v>
      </c>
      <c r="EU36" s="475"/>
      <c r="EV36" s="475">
        <v>5000000</v>
      </c>
      <c r="EW36" s="475">
        <v>0</v>
      </c>
      <c r="EX36" s="475">
        <f t="shared" si="36"/>
        <v>5000000</v>
      </c>
      <c r="EY36" s="475"/>
      <c r="EZ36" s="475">
        <v>25000000</v>
      </c>
      <c r="FA36" s="475">
        <v>0</v>
      </c>
      <c r="FB36" s="475">
        <f t="shared" si="37"/>
        <v>25000000</v>
      </c>
      <c r="FC36" s="475"/>
      <c r="FD36" s="475">
        <v>5000000</v>
      </c>
      <c r="FE36" s="475">
        <v>0</v>
      </c>
      <c r="FF36" s="475">
        <f t="shared" si="38"/>
        <v>5000000</v>
      </c>
      <c r="FG36" s="107"/>
      <c r="FH36" s="475">
        <v>75000000</v>
      </c>
      <c r="FI36" s="475">
        <v>0</v>
      </c>
      <c r="FJ36" s="475">
        <f t="shared" si="39"/>
        <v>75000000</v>
      </c>
      <c r="FK36" s="475"/>
      <c r="FL36" s="475">
        <v>20000000</v>
      </c>
      <c r="FM36" s="475">
        <v>0</v>
      </c>
      <c r="FN36" s="475">
        <f t="shared" si="40"/>
        <v>20000000</v>
      </c>
      <c r="FO36" s="475"/>
      <c r="FP36" s="475">
        <v>5000000</v>
      </c>
      <c r="FQ36" s="475">
        <v>0</v>
      </c>
      <c r="FR36" s="475">
        <f t="shared" si="41"/>
        <v>5000000</v>
      </c>
      <c r="FS36" s="475"/>
      <c r="FT36" s="475">
        <v>20000000</v>
      </c>
      <c r="FU36" s="475">
        <v>0</v>
      </c>
      <c r="FV36" s="475">
        <f t="shared" si="42"/>
        <v>20000000</v>
      </c>
      <c r="FW36" s="475"/>
      <c r="FX36" s="475">
        <v>5000000</v>
      </c>
      <c r="FY36" s="475">
        <v>0</v>
      </c>
      <c r="FZ36" s="475">
        <f t="shared" si="43"/>
        <v>5000000</v>
      </c>
      <c r="GA36" s="475"/>
      <c r="GB36" s="475">
        <v>100000000</v>
      </c>
      <c r="GC36" s="475">
        <v>0</v>
      </c>
      <c r="GD36" s="475">
        <f t="shared" si="44"/>
        <v>100000000</v>
      </c>
      <c r="GE36" s="475"/>
      <c r="GF36" s="475">
        <v>20000000</v>
      </c>
      <c r="GG36" s="475">
        <v>0</v>
      </c>
      <c r="GH36" s="475">
        <f t="shared" si="45"/>
        <v>20000000</v>
      </c>
      <c r="GI36" s="475"/>
      <c r="GJ36" s="475">
        <v>3000000</v>
      </c>
      <c r="GK36" s="475">
        <v>0</v>
      </c>
      <c r="GL36" s="475">
        <f t="shared" si="46"/>
        <v>3000000</v>
      </c>
      <c r="GM36" s="475"/>
      <c r="GN36" s="475">
        <v>15000000</v>
      </c>
      <c r="GO36" s="475">
        <v>0</v>
      </c>
      <c r="GP36" s="475">
        <f t="shared" si="47"/>
        <v>15000000</v>
      </c>
      <c r="GQ36" s="475"/>
      <c r="GR36" s="475">
        <v>3000000</v>
      </c>
      <c r="GS36" s="475">
        <v>0</v>
      </c>
      <c r="GT36" s="475">
        <f t="shared" si="48"/>
        <v>3000000</v>
      </c>
      <c r="GU36" s="475"/>
      <c r="GV36" s="468">
        <f t="shared" si="49"/>
        <v>1208650050.5999999</v>
      </c>
      <c r="GW36" s="468">
        <f t="shared" si="49"/>
        <v>786929123.75</v>
      </c>
      <c r="GX36" s="468">
        <f t="shared" si="50"/>
        <v>421720926.8499999</v>
      </c>
      <c r="GY36" s="523"/>
      <c r="GZ36" s="523"/>
      <c r="HA36" s="468">
        <f>D36+H36+L36+X36+AN36+BD36+BX36+CR36+DT36+DL36+EN36+FH36+GB36</f>
        <v>795650050.60000002</v>
      </c>
      <c r="HB36" s="468">
        <f>E36+I36+M36+Y36+AO36+BE36+BY36+CS36+DU36+DM36+EO36+FI36+GC36</f>
        <v>589067283.54999995</v>
      </c>
      <c r="HC36" s="471">
        <f t="shared" si="51"/>
        <v>206582767.05000007</v>
      </c>
      <c r="HE36" s="471">
        <f>P36+AB36+AR36+BH36+CB36+CV36+DX36+ER36+FL36+GF36</f>
        <v>118500000</v>
      </c>
      <c r="HF36" s="471">
        <f>Q36+AC36+AS36+BI36+CC36+CW36+DY36+ES36+FM36+GG36</f>
        <v>62798728</v>
      </c>
      <c r="HG36" s="471">
        <f t="shared" si="52"/>
        <v>55701272</v>
      </c>
      <c r="HI36" s="471">
        <f>T36+AF36+AV36+BL36+CF36+CZ36+EB36+EV36+FP36+GJ36</f>
        <v>58000000</v>
      </c>
      <c r="HJ36" s="471">
        <f>U36+AG36+AW36+BM36+CG36+DA36+EC36+EW36+FQ36+GK36</f>
        <v>5850000</v>
      </c>
      <c r="HK36" s="471">
        <f t="shared" si="53"/>
        <v>52150000</v>
      </c>
      <c r="HM36" s="471">
        <f>AJ36+AZ36+BP36+CJ36+DD36+EF36+EZ36+FT36+GN36</f>
        <v>197500000</v>
      </c>
      <c r="HN36" s="471">
        <f>AK36+BA36+BQ36+CK36+DE36+EG36+FA36+FU36+GO36</f>
        <v>121860612.2</v>
      </c>
      <c r="HO36" s="471">
        <f t="shared" si="54"/>
        <v>75639387.799999997</v>
      </c>
      <c r="HP36" s="531"/>
      <c r="HQ36" s="471">
        <f>BT36+CN36+DH36+EJ36+FD36+FX36+GR36</f>
        <v>39000000</v>
      </c>
      <c r="HR36" s="471">
        <f>BU36+CO36+DI36+EK36+FE36+FY36+GS36</f>
        <v>7352500</v>
      </c>
      <c r="HS36" s="471">
        <f t="shared" si="55"/>
        <v>31647500</v>
      </c>
    </row>
    <row r="37" spans="1:299" x14ac:dyDescent="0.25">
      <c r="A37" s="107">
        <v>34</v>
      </c>
      <c r="B37" s="555" t="s">
        <v>233</v>
      </c>
      <c r="C37" s="631" t="s">
        <v>69</v>
      </c>
      <c r="D37" s="556">
        <v>1250000</v>
      </c>
      <c r="E37" s="556">
        <v>1250000</v>
      </c>
      <c r="F37" s="468">
        <f t="shared" si="12"/>
        <v>0</v>
      </c>
      <c r="G37" s="556"/>
      <c r="H37" s="557">
        <v>25240000</v>
      </c>
      <c r="I37" s="557">
        <v>25240000</v>
      </c>
      <c r="J37" s="468">
        <f t="shared" si="13"/>
        <v>0</v>
      </c>
      <c r="K37" s="556"/>
      <c r="L37" s="557">
        <v>25000000</v>
      </c>
      <c r="M37" s="557">
        <v>25000000</v>
      </c>
      <c r="N37" s="468">
        <f t="shared" si="14"/>
        <v>0</v>
      </c>
      <c r="O37" s="556"/>
      <c r="P37" s="557">
        <v>3000000</v>
      </c>
      <c r="Q37" s="557">
        <v>3000000</v>
      </c>
      <c r="R37" s="468">
        <f t="shared" si="15"/>
        <v>0</v>
      </c>
      <c r="S37" s="556"/>
      <c r="T37" s="557">
        <f>1000000-1000000</f>
        <v>0</v>
      </c>
      <c r="U37" s="557">
        <v>0</v>
      </c>
      <c r="V37" s="468">
        <f t="shared" si="16"/>
        <v>0</v>
      </c>
      <c r="W37" s="556"/>
      <c r="X37" s="557">
        <v>30000000</v>
      </c>
      <c r="Y37" s="557">
        <v>30000000</v>
      </c>
      <c r="Z37" s="468">
        <f t="shared" si="17"/>
        <v>0</v>
      </c>
      <c r="AA37" s="556"/>
      <c r="AB37" s="557">
        <v>5000000</v>
      </c>
      <c r="AC37" s="557">
        <f>3130960+1869040</f>
        <v>5000000</v>
      </c>
      <c r="AD37" s="468">
        <f t="shared" si="18"/>
        <v>0</v>
      </c>
      <c r="AE37" s="488"/>
      <c r="AF37" s="557">
        <f>2000000-2000000</f>
        <v>0</v>
      </c>
      <c r="AG37" s="557">
        <v>0</v>
      </c>
      <c r="AH37" s="468">
        <f t="shared" si="19"/>
        <v>0</v>
      </c>
      <c r="AI37" s="556"/>
      <c r="AJ37" s="557">
        <v>7500000</v>
      </c>
      <c r="AK37" s="557">
        <v>7500000</v>
      </c>
      <c r="AL37" s="468">
        <f t="shared" si="20"/>
        <v>0</v>
      </c>
      <c r="AM37" s="557"/>
      <c r="AN37" s="557">
        <v>40000000</v>
      </c>
      <c r="AO37" s="557">
        <v>40000000</v>
      </c>
      <c r="AP37" s="468">
        <f t="shared" si="0"/>
        <v>0</v>
      </c>
      <c r="AQ37" s="556"/>
      <c r="AR37" s="557">
        <v>3000000</v>
      </c>
      <c r="AS37" s="557">
        <f>3000000</f>
        <v>3000000</v>
      </c>
      <c r="AT37" s="468">
        <f t="shared" si="21"/>
        <v>0</v>
      </c>
      <c r="AU37" s="556"/>
      <c r="AV37" s="557">
        <v>2000000</v>
      </c>
      <c r="AW37" s="557">
        <v>1743750</v>
      </c>
      <c r="AX37" s="468">
        <f t="shared" si="22"/>
        <v>256250</v>
      </c>
      <c r="AY37" s="556"/>
      <c r="AZ37" s="557">
        <v>10000000</v>
      </c>
      <c r="BA37" s="557">
        <v>10000000</v>
      </c>
      <c r="BB37" s="468">
        <f t="shared" si="1"/>
        <v>0</v>
      </c>
      <c r="BC37" s="556"/>
      <c r="BD37" s="557">
        <v>64000000</v>
      </c>
      <c r="BE37" s="557">
        <f>16974669.08+43755275+3270055.92</f>
        <v>64000000</v>
      </c>
      <c r="BF37" s="468">
        <f t="shared" si="23"/>
        <v>0</v>
      </c>
      <c r="BG37" s="556"/>
      <c r="BH37" s="557">
        <v>9500000</v>
      </c>
      <c r="BI37" s="557">
        <f>683450+8816550</f>
        <v>9500000</v>
      </c>
      <c r="BJ37" s="468">
        <f t="shared" si="24"/>
        <v>0</v>
      </c>
      <c r="BK37" s="556"/>
      <c r="BL37" s="557">
        <v>5000000</v>
      </c>
      <c r="BM37" s="557">
        <v>0</v>
      </c>
      <c r="BN37" s="468">
        <f t="shared" si="25"/>
        <v>5000000</v>
      </c>
      <c r="BO37" s="556"/>
      <c r="BP37" s="557">
        <v>20000000</v>
      </c>
      <c r="BQ37" s="557">
        <f>2460749.57999952+3863224+7578829+4002400+2094797.42</f>
        <v>19999999.999999523</v>
      </c>
      <c r="BR37" s="468">
        <f t="shared" si="2"/>
        <v>4.76837158203125E-7</v>
      </c>
      <c r="BS37" s="556"/>
      <c r="BT37" s="557">
        <v>1000000</v>
      </c>
      <c r="BU37" s="557">
        <v>1000000</v>
      </c>
      <c r="BV37" s="468">
        <f t="shared" si="3"/>
        <v>0</v>
      </c>
      <c r="BW37" s="556"/>
      <c r="BX37" s="468">
        <v>80000000</v>
      </c>
      <c r="BY37" s="468">
        <f>18349319.08+55063225+403650+6183805.92</f>
        <v>80000000</v>
      </c>
      <c r="BZ37" s="468">
        <f t="shared" si="26"/>
        <v>0</v>
      </c>
      <c r="CA37" s="556"/>
      <c r="CB37" s="468">
        <v>10000000</v>
      </c>
      <c r="CC37" s="468">
        <f>1183450+7361108+1455442</f>
        <v>10000000</v>
      </c>
      <c r="CD37" s="468">
        <f t="shared" si="4"/>
        <v>0</v>
      </c>
      <c r="CE37" s="556"/>
      <c r="CF37" s="468">
        <v>10000000</v>
      </c>
      <c r="CG37" s="468">
        <v>9881250</v>
      </c>
      <c r="CH37" s="468">
        <f t="shared" si="27"/>
        <v>118750</v>
      </c>
      <c r="CI37" s="556"/>
      <c r="CJ37" s="468">
        <v>30000000</v>
      </c>
      <c r="CK37" s="468">
        <f>7748987.58+15371350+5111346.43+1768315.99</f>
        <v>29999999.999999996</v>
      </c>
      <c r="CL37" s="468">
        <f t="shared" si="5"/>
        <v>0</v>
      </c>
      <c r="CM37" s="556"/>
      <c r="CN37" s="468">
        <v>10000000</v>
      </c>
      <c r="CO37" s="468">
        <f>9965000+35000</f>
        <v>10000000</v>
      </c>
      <c r="CP37" s="468">
        <f t="shared" si="6"/>
        <v>0</v>
      </c>
      <c r="CQ37" s="556"/>
      <c r="CR37" s="468">
        <v>100000000</v>
      </c>
      <c r="CS37" s="468">
        <f>42071194.08+51570759+4729957.16+1628089.76</f>
        <v>100000000</v>
      </c>
      <c r="CT37" s="468">
        <f t="shared" si="7"/>
        <v>0</v>
      </c>
      <c r="CU37" s="556"/>
      <c r="CV37" s="468">
        <v>20000000</v>
      </c>
      <c r="CW37" s="468">
        <f>11183450+2033008+6783542</f>
        <v>20000000</v>
      </c>
      <c r="CX37" s="468">
        <f t="shared" si="8"/>
        <v>0</v>
      </c>
      <c r="CY37" s="556"/>
      <c r="CZ37" s="468">
        <v>20000000</v>
      </c>
      <c r="DA37" s="468">
        <v>0</v>
      </c>
      <c r="DB37" s="468">
        <f t="shared" si="9"/>
        <v>20000000</v>
      </c>
      <c r="DC37" s="556"/>
      <c r="DD37" s="468">
        <v>50000000</v>
      </c>
      <c r="DE37" s="468">
        <f>9520120+31332545+4749784.01+2617956+1779594.99</f>
        <v>50000000</v>
      </c>
      <c r="DF37" s="468">
        <f t="shared" si="10"/>
        <v>0</v>
      </c>
      <c r="DG37" s="556"/>
      <c r="DH37" s="468">
        <v>10000000</v>
      </c>
      <c r="DI37" s="468">
        <v>10000000</v>
      </c>
      <c r="DJ37" s="468">
        <f t="shared" si="11"/>
        <v>0</v>
      </c>
      <c r="DK37" s="556"/>
      <c r="DL37" s="471">
        <v>0</v>
      </c>
      <c r="DM37" s="471">
        <v>0</v>
      </c>
      <c r="DN37" s="471">
        <f t="shared" si="28"/>
        <v>0</v>
      </c>
      <c r="DO37" s="539"/>
      <c r="DP37" s="471"/>
      <c r="DQ37" s="471"/>
      <c r="DR37" s="471"/>
      <c r="DS37" s="473"/>
      <c r="DT37" s="471">
        <v>70000000</v>
      </c>
      <c r="DU37" s="471">
        <f>5159410.24+44913600+1900000+2000000+16026989.76</f>
        <v>70000000</v>
      </c>
      <c r="DV37" s="471">
        <f t="shared" si="29"/>
        <v>0</v>
      </c>
      <c r="DW37" s="473"/>
      <c r="DX37" s="471">
        <v>10000000</v>
      </c>
      <c r="DY37" s="471">
        <f>1365986.2+4444066.2+4189947.6</f>
        <v>10000000</v>
      </c>
      <c r="DZ37" s="471">
        <f t="shared" si="30"/>
        <v>0</v>
      </c>
      <c r="EA37" s="473"/>
      <c r="EB37" s="471">
        <v>5000000</v>
      </c>
      <c r="EC37" s="471">
        <v>0</v>
      </c>
      <c r="ED37" s="471">
        <f t="shared" si="31"/>
        <v>5000000</v>
      </c>
      <c r="EE37" s="473"/>
      <c r="EF37" s="471">
        <v>20000000</v>
      </c>
      <c r="EG37" s="471">
        <f>539923.01+7088840+180600-4129259</f>
        <v>3680104.01</v>
      </c>
      <c r="EH37" s="471">
        <f t="shared" si="32"/>
        <v>16319895.99</v>
      </c>
      <c r="EI37" s="473"/>
      <c r="EJ37" s="471">
        <v>5000000</v>
      </c>
      <c r="EK37" s="471">
        <f>1440000+3560000</f>
        <v>5000000</v>
      </c>
      <c r="EL37" s="471">
        <f t="shared" si="33"/>
        <v>0</v>
      </c>
      <c r="EM37" s="631" t="s">
        <v>69</v>
      </c>
      <c r="EN37" s="475">
        <v>200000000</v>
      </c>
      <c r="EO37" s="626">
        <f>17510510.24+38103946+12600000</f>
        <v>68214456.239999995</v>
      </c>
      <c r="EP37" s="475">
        <f t="shared" si="34"/>
        <v>131785543.76000001</v>
      </c>
      <c r="EQ37" s="475"/>
      <c r="ER37" s="475">
        <v>18000000</v>
      </c>
      <c r="ES37" s="475">
        <f>6955051.18</f>
        <v>6955051.1799999997</v>
      </c>
      <c r="ET37" s="475">
        <f t="shared" si="35"/>
        <v>11044948.82</v>
      </c>
      <c r="EU37" s="475"/>
      <c r="EV37" s="475">
        <v>5000000</v>
      </c>
      <c r="EW37" s="475">
        <v>0</v>
      </c>
      <c r="EX37" s="475">
        <f t="shared" si="36"/>
        <v>5000000</v>
      </c>
      <c r="EY37" s="475"/>
      <c r="EZ37" s="475">
        <v>25000000</v>
      </c>
      <c r="FA37" s="475">
        <v>0</v>
      </c>
      <c r="FB37" s="475">
        <f t="shared" si="37"/>
        <v>25000000</v>
      </c>
      <c r="FC37" s="475"/>
      <c r="FD37" s="475">
        <v>5000000</v>
      </c>
      <c r="FE37" s="475">
        <f>400000</f>
        <v>400000</v>
      </c>
      <c r="FF37" s="475">
        <f t="shared" si="38"/>
        <v>4600000</v>
      </c>
      <c r="FG37" s="107"/>
      <c r="FH37" s="475">
        <v>75000000</v>
      </c>
      <c r="FI37" s="475">
        <v>0</v>
      </c>
      <c r="FJ37" s="475">
        <f t="shared" si="39"/>
        <v>75000000</v>
      </c>
      <c r="FK37" s="475"/>
      <c r="FL37" s="475">
        <v>20000000</v>
      </c>
      <c r="FM37" s="475">
        <v>0</v>
      </c>
      <c r="FN37" s="475">
        <f t="shared" si="40"/>
        <v>20000000</v>
      </c>
      <c r="FO37" s="475"/>
      <c r="FP37" s="475">
        <v>5000000</v>
      </c>
      <c r="FQ37" s="475">
        <v>0</v>
      </c>
      <c r="FR37" s="475">
        <f t="shared" si="41"/>
        <v>5000000</v>
      </c>
      <c r="FS37" s="475"/>
      <c r="FT37" s="475">
        <v>20000000</v>
      </c>
      <c r="FU37" s="475">
        <v>0</v>
      </c>
      <c r="FV37" s="475">
        <f t="shared" si="42"/>
        <v>20000000</v>
      </c>
      <c r="FW37" s="475"/>
      <c r="FX37" s="475">
        <v>5000000</v>
      </c>
      <c r="FY37" s="475">
        <v>0</v>
      </c>
      <c r="FZ37" s="475">
        <f t="shared" si="43"/>
        <v>5000000</v>
      </c>
      <c r="GA37" s="475"/>
      <c r="GB37" s="475">
        <v>100000000</v>
      </c>
      <c r="GC37" s="475">
        <v>0</v>
      </c>
      <c r="GD37" s="475">
        <f t="shared" si="44"/>
        <v>100000000</v>
      </c>
      <c r="GE37" s="475"/>
      <c r="GF37" s="475">
        <v>20000000</v>
      </c>
      <c r="GG37" s="475">
        <v>0</v>
      </c>
      <c r="GH37" s="475">
        <f t="shared" si="45"/>
        <v>20000000</v>
      </c>
      <c r="GI37" s="475"/>
      <c r="GJ37" s="475">
        <v>3000000</v>
      </c>
      <c r="GK37" s="475">
        <v>0</v>
      </c>
      <c r="GL37" s="475">
        <f t="shared" si="46"/>
        <v>3000000</v>
      </c>
      <c r="GM37" s="475"/>
      <c r="GN37" s="475">
        <v>15000000</v>
      </c>
      <c r="GO37" s="475">
        <v>0</v>
      </c>
      <c r="GP37" s="475">
        <f t="shared" si="47"/>
        <v>15000000</v>
      </c>
      <c r="GQ37" s="475"/>
      <c r="GR37" s="475">
        <v>3000000</v>
      </c>
      <c r="GS37" s="475">
        <v>0</v>
      </c>
      <c r="GT37" s="475">
        <f t="shared" si="48"/>
        <v>3000000</v>
      </c>
      <c r="GU37" s="475"/>
      <c r="GV37" s="468">
        <f t="shared" si="49"/>
        <v>1220490000</v>
      </c>
      <c r="GW37" s="468">
        <f t="shared" si="49"/>
        <v>730364611.42999947</v>
      </c>
      <c r="GX37" s="468">
        <f t="shared" si="50"/>
        <v>490125388.57000053</v>
      </c>
      <c r="GY37" s="523"/>
      <c r="GZ37" s="523"/>
      <c r="HA37" s="468">
        <f>D37+H37+L37+X37+AN37+BD37+BX37+CR37+DT37+DL37+EN37+FH37+GB37</f>
        <v>810490000</v>
      </c>
      <c r="HB37" s="468">
        <f>E37+I37+M37+Y37+AO37+BE37+BY37+CS37+DU37+DM37+EO37+FI37+GC37</f>
        <v>503704456.24000001</v>
      </c>
      <c r="HC37" s="471">
        <f t="shared" si="51"/>
        <v>306785543.75999999</v>
      </c>
      <c r="HE37" s="471">
        <f>P37+AB37+AR37+BH37+CB37+CV37+DX37+ER37+FL37+GF37</f>
        <v>118500000</v>
      </c>
      <c r="HF37" s="471">
        <f>Q37+AC37+AS37+BI37+CC37+CW37+DY37+ES37+FM37+GG37</f>
        <v>67455051.180000007</v>
      </c>
      <c r="HG37" s="471">
        <f t="shared" si="52"/>
        <v>51044948.819999993</v>
      </c>
      <c r="HI37" s="471">
        <f>T37+AF37+AV37+BL37+CF37+CZ37+EB37+EV37+FP37+GJ37</f>
        <v>55000000</v>
      </c>
      <c r="HJ37" s="471">
        <f>U37+AG37+AW37+BM37+CG37+DA37+EC37+EW37+FQ37+GK37</f>
        <v>11625000</v>
      </c>
      <c r="HK37" s="471">
        <f t="shared" si="53"/>
        <v>43375000</v>
      </c>
      <c r="HM37" s="471">
        <f>AJ37+AZ37+BP37+CJ37+DD37+EF37+EZ37+FT37+GN37</f>
        <v>197500000</v>
      </c>
      <c r="HN37" s="471">
        <f>AK37+BA37+BQ37+CK37+DE37+EG37+FA37+FU37+GO37</f>
        <v>121180104.00999953</v>
      </c>
      <c r="HO37" s="471">
        <f t="shared" si="54"/>
        <v>76319895.990000471</v>
      </c>
      <c r="HP37" s="531"/>
      <c r="HQ37" s="471">
        <f>BT37+CN37+DH37+EJ37+FD37+FX37+GR37</f>
        <v>39000000</v>
      </c>
      <c r="HR37" s="471">
        <f>BU37+CO37+DI37+EK37+FE37+FY37+GS37</f>
        <v>26400000</v>
      </c>
      <c r="HS37" s="471">
        <f t="shared" si="55"/>
        <v>12600000</v>
      </c>
    </row>
    <row r="38" spans="1:299" s="475" customFormat="1" x14ac:dyDescent="0.25">
      <c r="A38" s="107">
        <v>35</v>
      </c>
      <c r="B38" s="558" t="s">
        <v>234</v>
      </c>
      <c r="C38" s="631" t="s">
        <v>69</v>
      </c>
      <c r="D38" s="488">
        <v>1250000</v>
      </c>
      <c r="E38" s="468">
        <v>1250000</v>
      </c>
      <c r="F38" s="468">
        <f t="shared" si="12"/>
        <v>0</v>
      </c>
      <c r="G38" s="468"/>
      <c r="H38" s="468">
        <v>25240000</v>
      </c>
      <c r="I38" s="468">
        <v>25240000</v>
      </c>
      <c r="J38" s="468">
        <f t="shared" si="13"/>
        <v>0</v>
      </c>
      <c r="K38" s="468"/>
      <c r="L38" s="468">
        <v>25000000</v>
      </c>
      <c r="M38" s="468">
        <v>25000000</v>
      </c>
      <c r="N38" s="468">
        <f t="shared" si="14"/>
        <v>0</v>
      </c>
      <c r="O38" s="468"/>
      <c r="P38" s="468">
        <v>3000000</v>
      </c>
      <c r="Q38" s="468">
        <v>3000000</v>
      </c>
      <c r="R38" s="468">
        <f t="shared" si="15"/>
        <v>0</v>
      </c>
      <c r="S38" s="468"/>
      <c r="T38" s="468">
        <v>1000000</v>
      </c>
      <c r="U38" s="468">
        <v>1000000</v>
      </c>
      <c r="V38" s="468">
        <f t="shared" si="16"/>
        <v>0</v>
      </c>
      <c r="W38" s="468"/>
      <c r="X38" s="468">
        <v>30000000</v>
      </c>
      <c r="Y38" s="468">
        <v>30000000</v>
      </c>
      <c r="Z38" s="468">
        <f t="shared" si="17"/>
        <v>0</v>
      </c>
      <c r="AA38" s="468"/>
      <c r="AB38" s="468">
        <v>5000000</v>
      </c>
      <c r="AC38" s="468">
        <f>3012700+1987300</f>
        <v>5000000</v>
      </c>
      <c r="AD38" s="468">
        <f t="shared" si="18"/>
        <v>0</v>
      </c>
      <c r="AE38" s="468"/>
      <c r="AF38" s="468">
        <v>2000000</v>
      </c>
      <c r="AG38" s="468">
        <v>2000000</v>
      </c>
      <c r="AH38" s="468">
        <f t="shared" si="19"/>
        <v>0</v>
      </c>
      <c r="AI38" s="468"/>
      <c r="AJ38" s="468">
        <v>7500000</v>
      </c>
      <c r="AK38" s="468">
        <v>7500000</v>
      </c>
      <c r="AL38" s="468">
        <f t="shared" si="20"/>
        <v>0</v>
      </c>
      <c r="AM38" s="468"/>
      <c r="AN38" s="468">
        <v>40000000</v>
      </c>
      <c r="AO38" s="468">
        <f>40000000+40000000-40000000</f>
        <v>40000000</v>
      </c>
      <c r="AP38" s="468">
        <f t="shared" si="0"/>
        <v>0</v>
      </c>
      <c r="AQ38" s="468"/>
      <c r="AR38" s="468">
        <v>3000000</v>
      </c>
      <c r="AS38" s="468">
        <v>3000000</v>
      </c>
      <c r="AT38" s="468">
        <f t="shared" si="21"/>
        <v>0</v>
      </c>
      <c r="AU38" s="468"/>
      <c r="AV38" s="468">
        <v>2000000</v>
      </c>
      <c r="AW38" s="468">
        <f>39685</f>
        <v>39685</v>
      </c>
      <c r="AX38" s="468">
        <f t="shared" si="22"/>
        <v>1960315</v>
      </c>
      <c r="AY38" s="468"/>
      <c r="AZ38" s="468">
        <v>10000000</v>
      </c>
      <c r="BA38" s="468">
        <v>10000000</v>
      </c>
      <c r="BB38" s="468">
        <f t="shared" si="1"/>
        <v>0</v>
      </c>
      <c r="BC38" s="468"/>
      <c r="BD38" s="468">
        <v>64000000</v>
      </c>
      <c r="BE38" s="468">
        <f>43294095+19381505+1324400</f>
        <v>64000000</v>
      </c>
      <c r="BF38" s="468">
        <f t="shared" si="23"/>
        <v>0</v>
      </c>
      <c r="BG38" s="468"/>
      <c r="BH38" s="468">
        <v>9500000</v>
      </c>
      <c r="BI38" s="468">
        <f>5069656+4430344</f>
        <v>9500000</v>
      </c>
      <c r="BJ38" s="468">
        <f t="shared" si="24"/>
        <v>0</v>
      </c>
      <c r="BK38" s="468"/>
      <c r="BL38" s="468">
        <v>5000000</v>
      </c>
      <c r="BM38" s="468">
        <f>716100+536415</f>
        <v>1252515</v>
      </c>
      <c r="BN38" s="468">
        <f t="shared" si="25"/>
        <v>3747485</v>
      </c>
      <c r="BO38" s="468"/>
      <c r="BP38" s="468">
        <v>20000000</v>
      </c>
      <c r="BQ38" s="468">
        <f>7728923+12269240+1837</f>
        <v>20000000</v>
      </c>
      <c r="BR38" s="468">
        <f t="shared" si="2"/>
        <v>0</v>
      </c>
      <c r="BS38" s="468"/>
      <c r="BT38" s="468">
        <v>1000000</v>
      </c>
      <c r="BU38" s="468">
        <v>0</v>
      </c>
      <c r="BV38" s="468">
        <f t="shared" si="3"/>
        <v>1000000</v>
      </c>
      <c r="BW38" s="468"/>
      <c r="BX38" s="468">
        <v>80000000</v>
      </c>
      <c r="BY38" s="468">
        <f>39022050+13056250+27921700</f>
        <v>80000000</v>
      </c>
      <c r="BZ38" s="468">
        <f t="shared" si="26"/>
        <v>0</v>
      </c>
      <c r="CA38" s="556"/>
      <c r="CB38" s="468">
        <v>10000000</v>
      </c>
      <c r="CC38" s="468">
        <f>4147896+5852104</f>
        <v>10000000</v>
      </c>
      <c r="CD38" s="468">
        <f t="shared" si="4"/>
        <v>0</v>
      </c>
      <c r="CE38" s="468"/>
      <c r="CF38" s="468">
        <v>10000000</v>
      </c>
      <c r="CG38" s="468">
        <f>3995000+4057900+705000</f>
        <v>8757900</v>
      </c>
      <c r="CH38" s="468">
        <f t="shared" si="27"/>
        <v>1242100</v>
      </c>
      <c r="CI38" s="468"/>
      <c r="CJ38" s="468">
        <v>30000000</v>
      </c>
      <c r="CK38" s="468">
        <f>4687348+19045160+1520055+4747437</f>
        <v>30000000</v>
      </c>
      <c r="CL38" s="468">
        <f t="shared" si="5"/>
        <v>0</v>
      </c>
      <c r="CM38" s="468"/>
      <c r="CN38" s="468">
        <v>10000000</v>
      </c>
      <c r="CO38" s="468">
        <v>0</v>
      </c>
      <c r="CP38" s="468">
        <f t="shared" si="6"/>
        <v>10000000</v>
      </c>
      <c r="CQ38" s="468"/>
      <c r="CR38" s="468">
        <v>100000000</v>
      </c>
      <c r="CS38" s="468">
        <f>43099300+7450000-7450000+18249250+7450000-8798550+28565700+8798550+2635750</f>
        <v>100000000</v>
      </c>
      <c r="CT38" s="468">
        <f t="shared" si="7"/>
        <v>0</v>
      </c>
      <c r="CU38" s="468"/>
      <c r="CV38" s="468">
        <v>20000000</v>
      </c>
      <c r="CW38" s="468">
        <f>9275846-4057900+5733600+9048454</f>
        <v>20000000</v>
      </c>
      <c r="CX38" s="468">
        <f t="shared" si="8"/>
        <v>0</v>
      </c>
      <c r="CY38" s="468"/>
      <c r="CZ38" s="468">
        <v>20000000</v>
      </c>
      <c r="DA38" s="468">
        <v>0</v>
      </c>
      <c r="DB38" s="468">
        <f t="shared" si="9"/>
        <v>20000000</v>
      </c>
      <c r="DC38" s="468"/>
      <c r="DD38" s="468">
        <v>50000000</v>
      </c>
      <c r="DE38" s="468">
        <f>852178+14745190+14745190-14745190-14745190+14745190+17370305+11141136+1914018+1637825+2339348</f>
        <v>50000000</v>
      </c>
      <c r="DF38" s="468">
        <f t="shared" si="10"/>
        <v>0</v>
      </c>
      <c r="DG38" s="468"/>
      <c r="DH38" s="468">
        <v>10000000</v>
      </c>
      <c r="DI38" s="468">
        <v>0</v>
      </c>
      <c r="DJ38" s="468">
        <f t="shared" si="11"/>
        <v>10000000</v>
      </c>
      <c r="DL38" s="471">
        <v>0</v>
      </c>
      <c r="DM38" s="471">
        <v>0</v>
      </c>
      <c r="DN38" s="471">
        <f t="shared" si="28"/>
        <v>0</v>
      </c>
      <c r="DO38" s="539"/>
      <c r="DP38" s="471"/>
      <c r="DQ38" s="471"/>
      <c r="DR38" s="471"/>
      <c r="DS38" s="473"/>
      <c r="DT38" s="471">
        <v>0</v>
      </c>
      <c r="DU38" s="471">
        <v>0</v>
      </c>
      <c r="DV38" s="471">
        <f t="shared" si="29"/>
        <v>0</v>
      </c>
      <c r="DW38" s="473"/>
      <c r="DX38" s="471">
        <v>0</v>
      </c>
      <c r="DY38" s="471">
        <v>0</v>
      </c>
      <c r="DZ38" s="471">
        <f t="shared" si="30"/>
        <v>0</v>
      </c>
      <c r="EA38" s="473"/>
      <c r="EB38" s="471">
        <v>0</v>
      </c>
      <c r="EC38" s="471">
        <v>0</v>
      </c>
      <c r="ED38" s="471">
        <f t="shared" si="31"/>
        <v>0</v>
      </c>
      <c r="EE38" s="473"/>
      <c r="EF38" s="471">
        <v>0</v>
      </c>
      <c r="EG38" s="471">
        <v>0</v>
      </c>
      <c r="EH38" s="471">
        <f t="shared" si="32"/>
        <v>0</v>
      </c>
      <c r="EI38" s="473"/>
      <c r="EJ38" s="471">
        <v>0</v>
      </c>
      <c r="EK38" s="471">
        <v>0</v>
      </c>
      <c r="EL38" s="471">
        <f t="shared" si="33"/>
        <v>0</v>
      </c>
      <c r="EM38" s="631" t="s">
        <v>69</v>
      </c>
      <c r="EN38" s="475">
        <v>200000000</v>
      </c>
      <c r="EO38" s="625">
        <f>19562250+17100000+3600000+11400000+87590860+12600000+3600000+10500000+1500000+6000000</f>
        <v>173453110</v>
      </c>
      <c r="EP38" s="475">
        <f t="shared" si="34"/>
        <v>26546890</v>
      </c>
      <c r="ER38" s="475">
        <v>18000000</v>
      </c>
      <c r="ES38" s="475">
        <f>2341346</f>
        <v>2341346</v>
      </c>
      <c r="ET38" s="475">
        <f t="shared" si="35"/>
        <v>15658654</v>
      </c>
      <c r="EV38" s="475">
        <v>5000000</v>
      </c>
      <c r="EW38" s="475">
        <v>0</v>
      </c>
      <c r="EX38" s="475">
        <f t="shared" si="36"/>
        <v>5000000</v>
      </c>
      <c r="EZ38" s="475">
        <v>25000000</v>
      </c>
      <c r="FA38" s="626">
        <f>9616580+4100600+3407415+657979.25-1645286+4039350</f>
        <v>20176638.25</v>
      </c>
      <c r="FB38" s="475">
        <f t="shared" si="37"/>
        <v>4823361.75</v>
      </c>
      <c r="FD38" s="475">
        <v>5000000</v>
      </c>
      <c r="FE38" s="475">
        <v>0</v>
      </c>
      <c r="FF38" s="475">
        <f t="shared" si="38"/>
        <v>5000000</v>
      </c>
      <c r="FG38" s="107"/>
      <c r="FJ38" s="475">
        <f t="shared" si="39"/>
        <v>0</v>
      </c>
      <c r="GB38" s="475">
        <v>100000000</v>
      </c>
      <c r="GC38" s="475">
        <v>0</v>
      </c>
      <c r="GD38" s="475">
        <f t="shared" si="44"/>
        <v>100000000</v>
      </c>
      <c r="GF38" s="475">
        <v>20000000</v>
      </c>
      <c r="GG38" s="475">
        <v>0</v>
      </c>
      <c r="GH38" s="475">
        <f t="shared" si="45"/>
        <v>20000000</v>
      </c>
      <c r="GJ38" s="475">
        <v>3000000</v>
      </c>
      <c r="GK38" s="475">
        <v>0</v>
      </c>
      <c r="GL38" s="475">
        <f t="shared" si="46"/>
        <v>3000000</v>
      </c>
      <c r="GN38" s="475">
        <v>15000000</v>
      </c>
      <c r="GO38" s="475">
        <v>0</v>
      </c>
      <c r="GP38" s="475">
        <f t="shared" si="47"/>
        <v>15000000</v>
      </c>
      <c r="GR38" s="475">
        <v>3000000</v>
      </c>
      <c r="GS38" s="475">
        <v>0</v>
      </c>
      <c r="GT38" s="475">
        <f t="shared" si="48"/>
        <v>3000000</v>
      </c>
      <c r="GV38" s="468">
        <f t="shared" si="49"/>
        <v>988490000</v>
      </c>
      <c r="GW38" s="468">
        <f t="shared" si="49"/>
        <v>742511194.25</v>
      </c>
      <c r="GX38" s="468">
        <f t="shared" si="50"/>
        <v>245978805.75</v>
      </c>
      <c r="GY38" s="476"/>
      <c r="GZ38" s="476"/>
      <c r="HA38" s="468">
        <f>D38+H38+L38+X38+AN38+BD38+BX38+CR38+DT38+DL38+EN38+FH38+GB38</f>
        <v>665490000</v>
      </c>
      <c r="HB38" s="468">
        <f>E38+I38+M38+Y38+AO38+BE38+BY38+CS38+DU38+DM38+EO38+FI38+GC38</f>
        <v>538943110</v>
      </c>
      <c r="HC38" s="471">
        <f t="shared" si="51"/>
        <v>126546890</v>
      </c>
      <c r="HD38" s="472"/>
      <c r="HE38" s="471">
        <f>P38+AB38+AR38+BH38+CB38+CV38+DX38+ER38+FL38+GF38</f>
        <v>88500000</v>
      </c>
      <c r="HF38" s="471">
        <f>Q38+AC38+AS38+BI38+CC38+CW38+DY38+ES38+FM38+GG38</f>
        <v>52841346</v>
      </c>
      <c r="HG38" s="471">
        <f t="shared" si="52"/>
        <v>35658654</v>
      </c>
      <c r="HI38" s="471">
        <f>T38+AF38+AV38+BL38+CF38+CZ38+EB38+EV38+FP38+GJ38</f>
        <v>48000000</v>
      </c>
      <c r="HJ38" s="471">
        <f>U38+AG38+AW38+BM38+CG38+DA38+EC38+EW38+FQ38+GK38</f>
        <v>13050100</v>
      </c>
      <c r="HK38" s="471">
        <f t="shared" si="53"/>
        <v>34949900</v>
      </c>
      <c r="HM38" s="471">
        <f>AJ38+AZ38+BP38+CJ38+DD38+EF38+EZ38+FT38+GN38</f>
        <v>157500000</v>
      </c>
      <c r="HN38" s="471">
        <f>AK38+BA38+BQ38+CK38+DE38+EG38+FA38+FU38+GO38</f>
        <v>137676638.25</v>
      </c>
      <c r="HO38" s="471">
        <f t="shared" si="54"/>
        <v>19823361.75</v>
      </c>
      <c r="HP38" s="531"/>
      <c r="HQ38" s="471">
        <f>BT38+CN38+DH38+EJ38+FD38+FX38+GR38</f>
        <v>29000000</v>
      </c>
      <c r="HR38" s="471">
        <f>BU38+CO38+DI38+EK38+FE38+FY38+GS38</f>
        <v>0</v>
      </c>
      <c r="HS38" s="471">
        <f t="shared" si="55"/>
        <v>29000000</v>
      </c>
      <c r="HT38" s="476"/>
      <c r="HU38" s="476"/>
      <c r="HV38" s="476"/>
      <c r="HW38" s="476"/>
      <c r="HX38" s="476"/>
      <c r="HY38" s="476"/>
      <c r="HZ38" s="476"/>
      <c r="IA38" s="476"/>
      <c r="IB38" s="476"/>
      <c r="IC38" s="476"/>
      <c r="ID38" s="476"/>
      <c r="IE38" s="476"/>
      <c r="IF38" s="476"/>
      <c r="IG38" s="476"/>
      <c r="IH38" s="476"/>
      <c r="II38" s="476"/>
      <c r="IJ38" s="476"/>
      <c r="IK38" s="476"/>
      <c r="IL38" s="476"/>
      <c r="IM38" s="476"/>
      <c r="IN38" s="476"/>
      <c r="IO38" s="476"/>
      <c r="IP38" s="476"/>
      <c r="IQ38" s="476"/>
      <c r="IR38" s="476"/>
      <c r="IS38" s="476"/>
      <c r="IT38" s="476"/>
      <c r="IU38" s="476"/>
      <c r="IV38" s="476"/>
      <c r="IW38" s="476"/>
      <c r="IX38" s="476"/>
      <c r="IY38" s="476"/>
      <c r="IZ38" s="476"/>
      <c r="JA38" s="476"/>
      <c r="JB38" s="476"/>
      <c r="JC38" s="476"/>
      <c r="JD38" s="476"/>
      <c r="JE38" s="476"/>
      <c r="JF38" s="476"/>
      <c r="JG38" s="476"/>
      <c r="JH38" s="476"/>
      <c r="JI38" s="476"/>
      <c r="JJ38" s="476"/>
      <c r="JK38" s="476"/>
      <c r="JL38" s="476"/>
      <c r="JM38" s="476"/>
      <c r="JN38" s="476"/>
      <c r="JO38" s="476"/>
      <c r="JP38" s="476"/>
      <c r="JQ38" s="476"/>
      <c r="JR38" s="476"/>
      <c r="JS38" s="476"/>
      <c r="JT38" s="476"/>
      <c r="JU38" s="476"/>
      <c r="JV38" s="476"/>
      <c r="JW38" s="476"/>
      <c r="JX38" s="476"/>
      <c r="JY38" s="476"/>
      <c r="JZ38" s="476"/>
      <c r="KA38" s="476"/>
      <c r="KB38" s="476"/>
      <c r="KC38" s="476"/>
      <c r="KD38" s="476"/>
      <c r="KE38" s="476"/>
      <c r="KF38" s="476"/>
      <c r="KG38" s="476"/>
      <c r="KH38" s="476"/>
      <c r="KI38" s="476"/>
      <c r="KJ38" s="476"/>
      <c r="KK38" s="476"/>
      <c r="KL38" s="476"/>
      <c r="KM38" s="476"/>
    </row>
    <row r="39" spans="1:299" x14ac:dyDescent="0.25">
      <c r="A39" s="107">
        <v>36</v>
      </c>
      <c r="B39" s="559" t="s">
        <v>235</v>
      </c>
      <c r="C39" s="631" t="s">
        <v>69</v>
      </c>
      <c r="D39" s="560">
        <v>0</v>
      </c>
      <c r="E39" s="560">
        <v>0</v>
      </c>
      <c r="F39" s="468">
        <f t="shared" si="12"/>
        <v>0</v>
      </c>
      <c r="G39" s="560"/>
      <c r="H39" s="560">
        <v>25240000</v>
      </c>
      <c r="I39" s="560">
        <v>25240000</v>
      </c>
      <c r="J39" s="468">
        <f t="shared" si="13"/>
        <v>0</v>
      </c>
      <c r="K39" s="560"/>
      <c r="L39" s="560">
        <v>25000000</v>
      </c>
      <c r="M39" s="560">
        <v>25000000</v>
      </c>
      <c r="N39" s="468">
        <f t="shared" si="14"/>
        <v>0</v>
      </c>
      <c r="O39" s="560"/>
      <c r="P39" s="560">
        <v>3000000</v>
      </c>
      <c r="Q39" s="560">
        <f>3000000</f>
        <v>3000000</v>
      </c>
      <c r="R39" s="468">
        <f t="shared" si="15"/>
        <v>0</v>
      </c>
      <c r="S39" s="560"/>
      <c r="T39" s="560">
        <v>850000</v>
      </c>
      <c r="U39" s="560">
        <v>850000</v>
      </c>
      <c r="V39" s="468">
        <f t="shared" si="16"/>
        <v>0</v>
      </c>
      <c r="W39" s="560"/>
      <c r="X39" s="560">
        <v>30000000</v>
      </c>
      <c r="Y39" s="560">
        <v>30000000</v>
      </c>
      <c r="Z39" s="468">
        <f t="shared" si="17"/>
        <v>0</v>
      </c>
      <c r="AA39" s="560"/>
      <c r="AB39" s="560">
        <v>3631380</v>
      </c>
      <c r="AC39" s="560">
        <f>3631380</f>
        <v>3631380</v>
      </c>
      <c r="AD39" s="468">
        <f t="shared" si="18"/>
        <v>0</v>
      </c>
      <c r="AE39" s="560"/>
      <c r="AF39" s="560">
        <f>2000000-2000000</f>
        <v>0</v>
      </c>
      <c r="AG39" s="560">
        <v>0</v>
      </c>
      <c r="AH39" s="468">
        <f t="shared" si="19"/>
        <v>0</v>
      </c>
      <c r="AI39" s="560"/>
      <c r="AJ39" s="560">
        <v>2437280</v>
      </c>
      <c r="AK39" s="560">
        <f>3496600+753840+1683440-3496600</f>
        <v>2437280</v>
      </c>
      <c r="AL39" s="468">
        <f t="shared" si="20"/>
        <v>0</v>
      </c>
      <c r="AM39" s="560"/>
      <c r="AN39" s="560">
        <v>40000000</v>
      </c>
      <c r="AO39" s="560">
        <f>3496600+22751320+10895175+6353505-3496600</f>
        <v>40000000</v>
      </c>
      <c r="AP39" s="468">
        <f t="shared" si="0"/>
        <v>0</v>
      </c>
      <c r="AQ39" s="560"/>
      <c r="AR39" s="560">
        <v>3000000</v>
      </c>
      <c r="AS39" s="560">
        <v>0</v>
      </c>
      <c r="AT39" s="468">
        <f t="shared" si="21"/>
        <v>3000000</v>
      </c>
      <c r="AU39" s="560"/>
      <c r="AV39" s="560">
        <v>2000000</v>
      </c>
      <c r="AW39" s="560">
        <v>0</v>
      </c>
      <c r="AX39" s="468">
        <f t="shared" si="22"/>
        <v>2000000</v>
      </c>
      <c r="AY39" s="560"/>
      <c r="AZ39" s="560">
        <v>10000000</v>
      </c>
      <c r="BA39" s="560">
        <f>5680960+201030</f>
        <v>5881990</v>
      </c>
      <c r="BB39" s="468">
        <f t="shared" si="1"/>
        <v>4118010</v>
      </c>
      <c r="BC39" s="560"/>
      <c r="BD39" s="560">
        <v>64000000</v>
      </c>
      <c r="BE39" s="560">
        <f>2189255+11104100+50706645</f>
        <v>64000000</v>
      </c>
      <c r="BF39" s="468">
        <f t="shared" si="23"/>
        <v>0</v>
      </c>
      <c r="BG39" s="560"/>
      <c r="BH39" s="560">
        <v>9500000</v>
      </c>
      <c r="BI39" s="560">
        <v>0</v>
      </c>
      <c r="BJ39" s="468">
        <f t="shared" si="24"/>
        <v>9500000</v>
      </c>
      <c r="BK39" s="560"/>
      <c r="BL39" s="560">
        <v>5000000</v>
      </c>
      <c r="BM39" s="560">
        <v>0</v>
      </c>
      <c r="BN39" s="468">
        <f t="shared" si="25"/>
        <v>5000000</v>
      </c>
      <c r="BO39" s="560"/>
      <c r="BP39" s="560">
        <v>20000000</v>
      </c>
      <c r="BQ39" s="560">
        <f>6348610+13651390</f>
        <v>20000000</v>
      </c>
      <c r="BR39" s="468">
        <f t="shared" si="2"/>
        <v>0</v>
      </c>
      <c r="BS39" s="560"/>
      <c r="BT39" s="560">
        <v>1000000</v>
      </c>
      <c r="BU39" s="468">
        <v>0</v>
      </c>
      <c r="BV39" s="468">
        <f t="shared" si="3"/>
        <v>1000000</v>
      </c>
      <c r="BW39" s="560"/>
      <c r="BX39" s="468">
        <v>80000000</v>
      </c>
      <c r="BY39" s="468">
        <f>36181535+38869625+4948840</f>
        <v>80000000</v>
      </c>
      <c r="BZ39" s="468">
        <f t="shared" si="26"/>
        <v>0</v>
      </c>
      <c r="CA39" s="556"/>
      <c r="CB39" s="468">
        <v>10000000</v>
      </c>
      <c r="CC39" s="468">
        <f>9330920+669080</f>
        <v>10000000</v>
      </c>
      <c r="CD39" s="468">
        <f t="shared" si="4"/>
        <v>0</v>
      </c>
      <c r="CE39" s="560"/>
      <c r="CF39" s="468">
        <v>10000000</v>
      </c>
      <c r="CG39" s="468">
        <v>0</v>
      </c>
      <c r="CH39" s="468">
        <f t="shared" si="27"/>
        <v>10000000</v>
      </c>
      <c r="CI39" s="560"/>
      <c r="CJ39" s="468">
        <v>30000000</v>
      </c>
      <c r="CK39" s="468">
        <f>12419235+17580765</f>
        <v>30000000</v>
      </c>
      <c r="CL39" s="468">
        <f t="shared" si="5"/>
        <v>0</v>
      </c>
      <c r="CM39" s="560"/>
      <c r="CN39" s="468">
        <v>10000000</v>
      </c>
      <c r="CO39" s="468">
        <v>0</v>
      </c>
      <c r="CP39" s="468">
        <f t="shared" si="6"/>
        <v>10000000</v>
      </c>
      <c r="CQ39" s="560"/>
      <c r="CR39" s="468">
        <v>100000000</v>
      </c>
      <c r="CS39" s="468">
        <f>61609266+38390734</f>
        <v>100000000</v>
      </c>
      <c r="CT39" s="468">
        <f t="shared" si="7"/>
        <v>0</v>
      </c>
      <c r="CU39" s="560"/>
      <c r="CV39" s="468">
        <v>20000000</v>
      </c>
      <c r="CW39" s="468">
        <f>10958885+6482121+2558994</f>
        <v>20000000</v>
      </c>
      <c r="CX39" s="468">
        <f t="shared" si="8"/>
        <v>0</v>
      </c>
      <c r="CY39" s="560"/>
      <c r="CZ39" s="468">
        <v>20000000</v>
      </c>
      <c r="DA39" s="468">
        <v>0</v>
      </c>
      <c r="DB39" s="468">
        <f t="shared" si="9"/>
        <v>20000000</v>
      </c>
      <c r="DC39" s="560"/>
      <c r="DD39" s="468">
        <v>50000000</v>
      </c>
      <c r="DE39" s="468">
        <f>7064155+14362514+11567340</f>
        <v>32994009</v>
      </c>
      <c r="DF39" s="468">
        <f t="shared" si="10"/>
        <v>17005991</v>
      </c>
      <c r="DG39" s="560"/>
      <c r="DH39" s="468">
        <v>10000000</v>
      </c>
      <c r="DI39" s="468">
        <v>0</v>
      </c>
      <c r="DJ39" s="468">
        <f t="shared" si="11"/>
        <v>10000000</v>
      </c>
      <c r="DK39" s="560"/>
      <c r="DL39" s="471">
        <v>0</v>
      </c>
      <c r="DM39" s="471">
        <v>0</v>
      </c>
      <c r="DN39" s="471">
        <f t="shared" si="28"/>
        <v>0</v>
      </c>
      <c r="DO39" s="539"/>
      <c r="DP39" s="471"/>
      <c r="DQ39" s="471"/>
      <c r="DR39" s="471"/>
      <c r="DS39" s="531"/>
      <c r="DT39" s="471">
        <v>70000000</v>
      </c>
      <c r="DU39" s="471">
        <f>3496600+9078606+8100000+49324794</f>
        <v>70000000</v>
      </c>
      <c r="DV39" s="471">
        <f t="shared" si="29"/>
        <v>0</v>
      </c>
      <c r="DW39" s="531"/>
      <c r="DX39" s="471">
        <v>10000000</v>
      </c>
      <c r="DY39" s="552">
        <f>1581120+8418880</f>
        <v>10000000</v>
      </c>
      <c r="DZ39" s="471">
        <f t="shared" si="30"/>
        <v>0</v>
      </c>
      <c r="EA39" s="531"/>
      <c r="EB39" s="471">
        <v>5000000</v>
      </c>
      <c r="EC39" s="471">
        <v>0</v>
      </c>
      <c r="ED39" s="471">
        <f t="shared" si="31"/>
        <v>5000000</v>
      </c>
      <c r="EE39" s="531"/>
      <c r="EF39" s="471">
        <v>20000000</v>
      </c>
      <c r="EG39" s="471">
        <v>0</v>
      </c>
      <c r="EH39" s="471">
        <f t="shared" si="32"/>
        <v>20000000</v>
      </c>
      <c r="EI39" s="473"/>
      <c r="EJ39" s="471">
        <v>5000000</v>
      </c>
      <c r="EK39" s="471">
        <v>0</v>
      </c>
      <c r="EL39" s="471">
        <f t="shared" si="33"/>
        <v>5000000</v>
      </c>
      <c r="EM39" s="631" t="s">
        <v>69</v>
      </c>
      <c r="EN39" s="475">
        <v>200000000</v>
      </c>
      <c r="EO39" s="624">
        <f>3175206+138620275+58204519-10000000-6695457.5</f>
        <v>183304542.5</v>
      </c>
      <c r="EP39" s="475">
        <f t="shared" si="34"/>
        <v>16695457.5</v>
      </c>
      <c r="EQ39" s="475"/>
      <c r="ER39" s="475">
        <v>18000000</v>
      </c>
      <c r="ES39" s="627">
        <f>7717100</f>
        <v>7717100</v>
      </c>
      <c r="ET39" s="475">
        <f t="shared" si="35"/>
        <v>10282900</v>
      </c>
      <c r="EU39" s="475"/>
      <c r="EV39" s="475">
        <v>5000000</v>
      </c>
      <c r="EW39" s="475">
        <v>0</v>
      </c>
      <c r="EX39" s="475">
        <f t="shared" si="36"/>
        <v>5000000</v>
      </c>
      <c r="EY39" s="475"/>
      <c r="EZ39" s="475">
        <v>25000000</v>
      </c>
      <c r="FA39" s="475">
        <v>0</v>
      </c>
      <c r="FB39" s="475">
        <f t="shared" si="37"/>
        <v>25000000</v>
      </c>
      <c r="FC39" s="475"/>
      <c r="FD39" s="475">
        <v>5000000</v>
      </c>
      <c r="FE39" s="475">
        <v>0</v>
      </c>
      <c r="FF39" s="475">
        <f t="shared" si="38"/>
        <v>5000000</v>
      </c>
      <c r="FG39" s="107"/>
      <c r="FH39" s="475">
        <v>75000000</v>
      </c>
      <c r="FI39" s="475">
        <f>2229231</f>
        <v>2229231</v>
      </c>
      <c r="FJ39" s="475">
        <f t="shared" si="39"/>
        <v>72770769</v>
      </c>
      <c r="FK39" s="475"/>
      <c r="FL39" s="475">
        <v>20000000</v>
      </c>
      <c r="FM39" s="475">
        <v>0</v>
      </c>
      <c r="FN39" s="475">
        <f>FL39-FM39</f>
        <v>20000000</v>
      </c>
      <c r="FO39" s="475"/>
      <c r="FP39" s="475">
        <v>5000000</v>
      </c>
      <c r="FQ39" s="475">
        <v>0</v>
      </c>
      <c r="FR39" s="475">
        <f>FP39-FQ39</f>
        <v>5000000</v>
      </c>
      <c r="FS39" s="475"/>
      <c r="FT39" s="475">
        <v>20000000</v>
      </c>
      <c r="FU39" s="475">
        <v>0</v>
      </c>
      <c r="FV39" s="475">
        <f>FT39-FU39</f>
        <v>20000000</v>
      </c>
      <c r="FW39" s="475"/>
      <c r="FX39" s="475">
        <v>5000000</v>
      </c>
      <c r="FY39" s="475">
        <v>0</v>
      </c>
      <c r="FZ39" s="475">
        <f>FX39-FY39</f>
        <v>5000000</v>
      </c>
      <c r="GA39" s="475"/>
      <c r="GB39" s="475">
        <v>100000000</v>
      </c>
      <c r="GC39" s="475">
        <v>0</v>
      </c>
      <c r="GD39" s="475">
        <f t="shared" si="44"/>
        <v>100000000</v>
      </c>
      <c r="GE39" s="475"/>
      <c r="GF39" s="475">
        <v>20000000</v>
      </c>
      <c r="GG39" s="475">
        <v>0</v>
      </c>
      <c r="GH39" s="475">
        <f t="shared" si="45"/>
        <v>20000000</v>
      </c>
      <c r="GI39" s="475"/>
      <c r="GJ39" s="475">
        <v>3000000</v>
      </c>
      <c r="GK39" s="475">
        <v>0</v>
      </c>
      <c r="GL39" s="475">
        <f t="shared" si="46"/>
        <v>3000000</v>
      </c>
      <c r="GM39" s="475"/>
      <c r="GN39" s="475">
        <v>15000000</v>
      </c>
      <c r="GO39" s="475">
        <v>0</v>
      </c>
      <c r="GP39" s="475">
        <f t="shared" si="47"/>
        <v>15000000</v>
      </c>
      <c r="GQ39" s="475"/>
      <c r="GR39" s="475">
        <v>3000000</v>
      </c>
      <c r="GS39" s="475">
        <v>0</v>
      </c>
      <c r="GT39" s="475">
        <f t="shared" si="48"/>
        <v>3000000</v>
      </c>
      <c r="GU39" s="475"/>
      <c r="GV39" s="468">
        <f t="shared" si="49"/>
        <v>1213658660</v>
      </c>
      <c r="GW39" s="468">
        <f t="shared" si="49"/>
        <v>766285532.5</v>
      </c>
      <c r="GX39" s="468">
        <f t="shared" si="50"/>
        <v>447373127.5</v>
      </c>
      <c r="GY39" s="523"/>
      <c r="GZ39" s="523"/>
      <c r="HA39" s="468">
        <f>D39+H39+L39+X39+AN39+BD39+BX39+CR39+DT39+DL39+EN39+FH39+GB39</f>
        <v>809240000</v>
      </c>
      <c r="HB39" s="468">
        <f>E39+I39+M39+Y39+AO39+BE39+BY39+CS39+DU39+DM39+EO39+FI39+GC39</f>
        <v>619773773.5</v>
      </c>
      <c r="HC39" s="471">
        <f t="shared" si="51"/>
        <v>189466226.5</v>
      </c>
      <c r="HE39" s="471">
        <f>P39+AB39+AR39+BH39+CB39+CV39+DX39+ER39+FL39+GF39</f>
        <v>117131380</v>
      </c>
      <c r="HF39" s="471">
        <f>Q39+AC39+AS39+BI39+CC39+CW39+DY39+ES39+FM39+GG39</f>
        <v>54348480</v>
      </c>
      <c r="HG39" s="471">
        <f t="shared" si="52"/>
        <v>62782900</v>
      </c>
      <c r="HI39" s="471">
        <f>T39+AF39+AV39+BL39+CF39+CZ39+EB39+EV39+FP39+GJ39</f>
        <v>55850000</v>
      </c>
      <c r="HJ39" s="471">
        <f>U39+AG39+AW39+BM39+CG39+DA39+EC39+EW39+FQ39+GK39</f>
        <v>850000</v>
      </c>
      <c r="HK39" s="471">
        <f t="shared" si="53"/>
        <v>55000000</v>
      </c>
      <c r="HM39" s="471">
        <f>AJ39+AZ39+BP39+CJ39+DD39+EF39+EZ39+FT39+GN39</f>
        <v>192437280</v>
      </c>
      <c r="HN39" s="471">
        <f>AK39+BA39+BQ39+CK39+DE39+EG39+FA39+FU39+GO39</f>
        <v>91313279</v>
      </c>
      <c r="HO39" s="471">
        <f t="shared" si="54"/>
        <v>101124001</v>
      </c>
      <c r="HP39" s="531"/>
      <c r="HQ39" s="471">
        <f>BT39+CN39+DH39+EJ39+FD39+FX39+GR39</f>
        <v>39000000</v>
      </c>
      <c r="HR39" s="471">
        <f>BU39+CO39+DI39+EK39+FE39+FY39+GS39</f>
        <v>0</v>
      </c>
      <c r="HS39" s="471">
        <f t="shared" si="55"/>
        <v>39000000</v>
      </c>
    </row>
    <row r="40" spans="1:299" x14ac:dyDescent="0.25">
      <c r="A40" s="107">
        <v>37</v>
      </c>
      <c r="B40" s="107" t="s">
        <v>236</v>
      </c>
      <c r="C40" s="631" t="s">
        <v>69</v>
      </c>
      <c r="D40" s="488">
        <v>1250000</v>
      </c>
      <c r="E40" s="488">
        <v>1250000</v>
      </c>
      <c r="F40" s="468">
        <f t="shared" si="12"/>
        <v>0</v>
      </c>
      <c r="G40" s="488"/>
      <c r="H40" s="468">
        <v>25240000</v>
      </c>
      <c r="I40" s="468">
        <v>25240000</v>
      </c>
      <c r="J40" s="468">
        <f t="shared" si="13"/>
        <v>0</v>
      </c>
      <c r="K40" s="488"/>
      <c r="L40" s="468">
        <v>25000000</v>
      </c>
      <c r="M40" s="468">
        <v>25000000</v>
      </c>
      <c r="N40" s="468">
        <f t="shared" si="14"/>
        <v>0</v>
      </c>
      <c r="O40" s="488"/>
      <c r="P40" s="468">
        <v>2000000</v>
      </c>
      <c r="Q40" s="468">
        <v>2000000</v>
      </c>
      <c r="R40" s="468">
        <f t="shared" si="15"/>
        <v>0</v>
      </c>
      <c r="S40" s="488"/>
      <c r="T40" s="468">
        <f>1000000-1000000</f>
        <v>0</v>
      </c>
      <c r="U40" s="468">
        <v>0</v>
      </c>
      <c r="V40" s="468">
        <f t="shared" si="16"/>
        <v>0</v>
      </c>
      <c r="W40" s="488"/>
      <c r="X40" s="468">
        <v>30000000</v>
      </c>
      <c r="Y40" s="468">
        <v>30000000</v>
      </c>
      <c r="Z40" s="468">
        <f t="shared" si="17"/>
        <v>0</v>
      </c>
      <c r="AA40" s="488"/>
      <c r="AB40" s="468">
        <f>5000000-5000000</f>
        <v>0</v>
      </c>
      <c r="AC40" s="468">
        <v>0</v>
      </c>
      <c r="AD40" s="468">
        <f t="shared" si="18"/>
        <v>0</v>
      </c>
      <c r="AE40" s="488"/>
      <c r="AF40" s="560">
        <f t="shared" ref="AF40:AF46" si="56">2000000-2000000</f>
        <v>0</v>
      </c>
      <c r="AG40" s="468">
        <v>0</v>
      </c>
      <c r="AH40" s="468">
        <f t="shared" si="19"/>
        <v>0</v>
      </c>
      <c r="AI40" s="488"/>
      <c r="AJ40" s="468">
        <v>7500000</v>
      </c>
      <c r="AK40" s="468">
        <v>7500000</v>
      </c>
      <c r="AL40" s="468">
        <f t="shared" si="20"/>
        <v>0</v>
      </c>
      <c r="AM40" s="520"/>
      <c r="AN40" s="468">
        <v>0</v>
      </c>
      <c r="AO40" s="468">
        <f>40000000-40000000</f>
        <v>0</v>
      </c>
      <c r="AP40" s="468">
        <f t="shared" si="0"/>
        <v>0</v>
      </c>
      <c r="AQ40" s="488"/>
      <c r="AR40" s="560">
        <v>0</v>
      </c>
      <c r="AS40" s="468">
        <v>0</v>
      </c>
      <c r="AT40" s="468">
        <f t="shared" si="21"/>
        <v>0</v>
      </c>
      <c r="AU40" s="488"/>
      <c r="AV40" s="560">
        <v>0</v>
      </c>
      <c r="AW40" s="468">
        <v>0</v>
      </c>
      <c r="AX40" s="468">
        <f t="shared" si="22"/>
        <v>0</v>
      </c>
      <c r="AY40" s="488"/>
      <c r="AZ40" s="468">
        <v>0</v>
      </c>
      <c r="BA40" s="468">
        <f>10000000-10000000</f>
        <v>0</v>
      </c>
      <c r="BB40" s="468">
        <f t="shared" si="1"/>
        <v>0</v>
      </c>
      <c r="BC40" s="488"/>
      <c r="BD40" s="468">
        <v>64000000</v>
      </c>
      <c r="BE40" s="468">
        <f>18864025+6368000+1797060+36970915-1797060</f>
        <v>62202940</v>
      </c>
      <c r="BF40" s="468">
        <f t="shared" si="23"/>
        <v>1797060</v>
      </c>
      <c r="BG40" s="560"/>
      <c r="BH40" s="468">
        <v>9500000</v>
      </c>
      <c r="BI40" s="468">
        <v>9500000</v>
      </c>
      <c r="BJ40" s="468">
        <f t="shared" si="24"/>
        <v>0</v>
      </c>
      <c r="BK40" s="488"/>
      <c r="BL40" s="468">
        <v>5000000</v>
      </c>
      <c r="BM40" s="468">
        <f>5000000</f>
        <v>5000000</v>
      </c>
      <c r="BN40" s="468">
        <f t="shared" si="25"/>
        <v>0</v>
      </c>
      <c r="BO40" s="488"/>
      <c r="BP40" s="468">
        <v>20000000</v>
      </c>
      <c r="BQ40" s="469">
        <f>1032995+8722359+235600+10000000+9046</f>
        <v>20000000</v>
      </c>
      <c r="BR40" s="468">
        <f t="shared" si="2"/>
        <v>0</v>
      </c>
      <c r="BS40" s="488"/>
      <c r="BT40" s="468">
        <v>1000000</v>
      </c>
      <c r="BU40" s="468">
        <v>1000000</v>
      </c>
      <c r="BV40" s="468">
        <f t="shared" si="3"/>
        <v>0</v>
      </c>
      <c r="BW40" s="488"/>
      <c r="BX40" s="468">
        <v>0</v>
      </c>
      <c r="BY40" s="468">
        <v>0</v>
      </c>
      <c r="BZ40" s="468">
        <f t="shared" si="26"/>
        <v>0</v>
      </c>
      <c r="CA40" s="488"/>
      <c r="CB40" s="468">
        <v>0</v>
      </c>
      <c r="CC40" s="468">
        <v>0</v>
      </c>
      <c r="CD40" s="468">
        <f t="shared" si="4"/>
        <v>0</v>
      </c>
      <c r="CE40" s="488"/>
      <c r="CF40" s="468">
        <v>0</v>
      </c>
      <c r="CG40" s="468">
        <v>0</v>
      </c>
      <c r="CH40" s="468">
        <f t="shared" si="27"/>
        <v>0</v>
      </c>
      <c r="CI40" s="488"/>
      <c r="CJ40" s="468">
        <v>0</v>
      </c>
      <c r="CK40" s="468">
        <v>0</v>
      </c>
      <c r="CL40" s="468">
        <f t="shared" si="5"/>
        <v>0</v>
      </c>
      <c r="CM40" s="488"/>
      <c r="CN40" s="468">
        <v>0</v>
      </c>
      <c r="CO40" s="468">
        <v>0</v>
      </c>
      <c r="CP40" s="468">
        <f t="shared" si="6"/>
        <v>0</v>
      </c>
      <c r="CQ40" s="488"/>
      <c r="CR40" s="468">
        <v>100000000</v>
      </c>
      <c r="CS40" s="468">
        <f>19764600+36440654.52+40000000</f>
        <v>96205254.520000011</v>
      </c>
      <c r="CT40" s="468">
        <f t="shared" si="7"/>
        <v>3794745.4799999893</v>
      </c>
      <c r="CU40" s="488"/>
      <c r="CV40" s="468">
        <v>20000000</v>
      </c>
      <c r="CW40" s="504">
        <f>3000000+601250+10000000+1679250+780000+3939500</f>
        <v>20000000</v>
      </c>
      <c r="CX40" s="468">
        <f t="shared" si="8"/>
        <v>0</v>
      </c>
      <c r="CY40" s="488"/>
      <c r="CZ40" s="468">
        <v>20000000</v>
      </c>
      <c r="DA40" s="490">
        <f>2000000+13296300+3581700+1122000</f>
        <v>20000000</v>
      </c>
      <c r="DB40" s="468">
        <f t="shared" si="9"/>
        <v>0</v>
      </c>
      <c r="DC40" s="488"/>
      <c r="DD40" s="468">
        <v>50000000</v>
      </c>
      <c r="DE40" s="468">
        <f>33797608+16202392</f>
        <v>50000000</v>
      </c>
      <c r="DF40" s="468">
        <f t="shared" si="10"/>
        <v>0</v>
      </c>
      <c r="DG40" s="488"/>
      <c r="DH40" s="468">
        <v>10000000</v>
      </c>
      <c r="DI40" s="468">
        <v>10000000</v>
      </c>
      <c r="DJ40" s="468">
        <f t="shared" si="11"/>
        <v>0</v>
      </c>
      <c r="DK40" s="488"/>
      <c r="DL40" s="471">
        <v>0</v>
      </c>
      <c r="DM40" s="471">
        <v>0</v>
      </c>
      <c r="DN40" s="471">
        <f t="shared" si="28"/>
        <v>0</v>
      </c>
      <c r="DO40" s="539"/>
      <c r="DP40" s="471"/>
      <c r="DQ40" s="471"/>
      <c r="DR40" s="471"/>
      <c r="DS40" s="473"/>
      <c r="DT40" s="471">
        <v>0</v>
      </c>
      <c r="DU40" s="471">
        <v>0</v>
      </c>
      <c r="DV40" s="471">
        <f t="shared" si="29"/>
        <v>0</v>
      </c>
      <c r="DW40" s="473"/>
      <c r="DX40" s="471">
        <v>0</v>
      </c>
      <c r="DY40" s="471">
        <v>0</v>
      </c>
      <c r="DZ40" s="471">
        <f t="shared" si="30"/>
        <v>0</v>
      </c>
      <c r="EA40" s="473"/>
      <c r="EB40" s="471">
        <v>0</v>
      </c>
      <c r="EC40" s="471">
        <v>0</v>
      </c>
      <c r="ED40" s="471">
        <f t="shared" si="31"/>
        <v>0</v>
      </c>
      <c r="EE40" s="473"/>
      <c r="EF40" s="471">
        <v>0</v>
      </c>
      <c r="EG40" s="471">
        <v>0</v>
      </c>
      <c r="EH40" s="471">
        <f t="shared" si="32"/>
        <v>0</v>
      </c>
      <c r="EI40" s="473"/>
      <c r="EJ40" s="471">
        <v>0</v>
      </c>
      <c r="EK40" s="471">
        <v>0</v>
      </c>
      <c r="EL40" s="471">
        <f t="shared" si="33"/>
        <v>0</v>
      </c>
      <c r="EM40" s="631" t="s">
        <v>69</v>
      </c>
      <c r="EN40" s="475">
        <v>200000000</v>
      </c>
      <c r="EO40" s="475">
        <f>9600000+10800000+53805000</f>
        <v>74205000</v>
      </c>
      <c r="EP40" s="475">
        <f t="shared" si="34"/>
        <v>125795000</v>
      </c>
      <c r="EQ40" s="475"/>
      <c r="ER40" s="475">
        <v>18000000</v>
      </c>
      <c r="ES40" s="627">
        <f>4011432.14</f>
        <v>4011432.14</v>
      </c>
      <c r="ET40" s="475">
        <f t="shared" si="35"/>
        <v>13988567.859999999</v>
      </c>
      <c r="EU40" s="475"/>
      <c r="EV40" s="475">
        <v>5000000</v>
      </c>
      <c r="EW40" s="626">
        <f>2958000</f>
        <v>2958000</v>
      </c>
      <c r="EX40" s="475">
        <f t="shared" si="36"/>
        <v>2042000</v>
      </c>
      <c r="EY40" s="475"/>
      <c r="EZ40" s="475">
        <v>25000000</v>
      </c>
      <c r="FA40" s="623">
        <f>12621408+1797060+4046750+1895955+4638827</f>
        <v>25000000</v>
      </c>
      <c r="FB40" s="475">
        <f t="shared" si="37"/>
        <v>0</v>
      </c>
      <c r="FC40" s="475"/>
      <c r="FD40" s="475">
        <v>5000000</v>
      </c>
      <c r="FE40" s="626">
        <f>2600000+2400000</f>
        <v>5000000</v>
      </c>
      <c r="FF40" s="475">
        <f t="shared" si="38"/>
        <v>0</v>
      </c>
      <c r="FG40" s="107"/>
      <c r="FH40" s="475"/>
      <c r="FI40" s="475"/>
      <c r="FJ40" s="475">
        <f t="shared" si="39"/>
        <v>0</v>
      </c>
      <c r="FK40" s="475"/>
      <c r="FL40" s="475"/>
      <c r="FM40" s="475"/>
      <c r="FN40" s="475"/>
      <c r="FO40" s="475"/>
      <c r="FP40" s="475"/>
      <c r="FQ40" s="475"/>
      <c r="FR40" s="475"/>
      <c r="FS40" s="475"/>
      <c r="FT40" s="475"/>
      <c r="FU40" s="475"/>
      <c r="FV40" s="475"/>
      <c r="FW40" s="475"/>
      <c r="FX40" s="475"/>
      <c r="FY40" s="475"/>
      <c r="FZ40" s="475"/>
      <c r="GA40" s="475"/>
      <c r="GB40" s="475">
        <v>100000000</v>
      </c>
      <c r="GC40" s="475">
        <v>0</v>
      </c>
      <c r="GD40" s="475">
        <f t="shared" si="44"/>
        <v>100000000</v>
      </c>
      <c r="GE40" s="475"/>
      <c r="GF40" s="475">
        <v>20000000</v>
      </c>
      <c r="GG40" s="475">
        <v>0</v>
      </c>
      <c r="GH40" s="475">
        <f t="shared" si="45"/>
        <v>20000000</v>
      </c>
      <c r="GI40" s="475"/>
      <c r="GJ40" s="475">
        <v>3000000</v>
      </c>
      <c r="GK40" s="475">
        <v>0</v>
      </c>
      <c r="GL40" s="475">
        <f t="shared" si="46"/>
        <v>3000000</v>
      </c>
      <c r="GM40" s="475"/>
      <c r="GN40" s="475">
        <v>15000000</v>
      </c>
      <c r="GO40" s="623">
        <f>3853182</f>
        <v>3853182</v>
      </c>
      <c r="GP40" s="475">
        <f t="shared" si="47"/>
        <v>11146818</v>
      </c>
      <c r="GQ40" s="475"/>
      <c r="GR40" s="475">
        <v>3000000</v>
      </c>
      <c r="GS40" s="475">
        <v>0</v>
      </c>
      <c r="GT40" s="475">
        <f t="shared" si="48"/>
        <v>3000000</v>
      </c>
      <c r="GU40" s="475"/>
      <c r="GV40" s="468">
        <f t="shared" si="49"/>
        <v>784490000</v>
      </c>
      <c r="GW40" s="468">
        <f t="shared" si="49"/>
        <v>499925808.65999997</v>
      </c>
      <c r="GX40" s="468">
        <f t="shared" si="50"/>
        <v>284564191.34000003</v>
      </c>
      <c r="GY40" s="472"/>
      <c r="HA40" s="468">
        <f>D40+H40+L40+X40+AN40+BD40+BX40+CR40+DT40+DL40+EN40+FH40+GB40</f>
        <v>545490000</v>
      </c>
      <c r="HB40" s="468">
        <f>E40+I40+M40+Y40+AO40+BE40+BY40+CS40+DU40+DM40+EO40+FI40+GC40</f>
        <v>314103194.51999998</v>
      </c>
      <c r="HC40" s="471">
        <f t="shared" si="51"/>
        <v>231386805.48000002</v>
      </c>
      <c r="HE40" s="471">
        <f>P40+AB40+AR40+BH40+CB40+CV40+DX40+ER40+FL40+GF40</f>
        <v>69500000</v>
      </c>
      <c r="HF40" s="471">
        <f>Q40+AC40+AS40+BI40+CC40+CW40+DY40+ES40+FM40+GG40</f>
        <v>35511432.140000001</v>
      </c>
      <c r="HG40" s="471">
        <f t="shared" si="52"/>
        <v>33988567.859999999</v>
      </c>
      <c r="HI40" s="471">
        <f>T40+AF40+AV40+BL40+CF40+CZ40+EB40+EV40+FP40+GJ40</f>
        <v>33000000</v>
      </c>
      <c r="HJ40" s="471">
        <f>U40+AG40+AW40+BM40+CG40+DA40+EC40+EW40+FQ40+GK40</f>
        <v>27958000</v>
      </c>
      <c r="HK40" s="471">
        <f t="shared" si="53"/>
        <v>5042000</v>
      </c>
      <c r="HM40" s="471">
        <f>AJ40+AZ40+BP40+CJ40+DD40+EF40+EZ40+FT40+GN40</f>
        <v>117500000</v>
      </c>
      <c r="HN40" s="471">
        <f>AK40+BA40+BQ40+CK40+DE40+EG40+FA40+FU40+GO40</f>
        <v>106353182</v>
      </c>
      <c r="HO40" s="471">
        <f t="shared" si="54"/>
        <v>11146818</v>
      </c>
      <c r="HP40" s="531"/>
      <c r="HQ40" s="471">
        <f>BT40+CN40+DH40+EJ40+FD40+FX40+GR40</f>
        <v>19000000</v>
      </c>
      <c r="HR40" s="471">
        <f>BU40+CO40+DI40+EK40+FE40+FY40+GS40</f>
        <v>16000000</v>
      </c>
      <c r="HS40" s="471">
        <f t="shared" si="55"/>
        <v>3000000</v>
      </c>
    </row>
    <row r="41" spans="1:299" x14ac:dyDescent="0.25">
      <c r="A41" s="107">
        <v>38</v>
      </c>
      <c r="B41" s="107" t="s">
        <v>237</v>
      </c>
      <c r="C41" s="631" t="s">
        <v>69</v>
      </c>
      <c r="D41" s="468">
        <v>0</v>
      </c>
      <c r="E41" s="468">
        <v>0</v>
      </c>
      <c r="F41" s="468">
        <f t="shared" si="12"/>
        <v>0</v>
      </c>
      <c r="G41" s="468"/>
      <c r="H41" s="468">
        <v>25240000</v>
      </c>
      <c r="I41" s="468">
        <v>25240000</v>
      </c>
      <c r="J41" s="468">
        <f t="shared" si="13"/>
        <v>0</v>
      </c>
      <c r="K41" s="468"/>
      <c r="L41" s="468">
        <v>25000000</v>
      </c>
      <c r="M41" s="468">
        <v>25000000</v>
      </c>
      <c r="N41" s="468">
        <f t="shared" si="14"/>
        <v>0</v>
      </c>
      <c r="O41" s="468"/>
      <c r="P41" s="468">
        <f>3000000-3000000</f>
        <v>0</v>
      </c>
      <c r="Q41" s="468">
        <v>0</v>
      </c>
      <c r="R41" s="468">
        <f t="shared" si="15"/>
        <v>0</v>
      </c>
      <c r="S41" s="468"/>
      <c r="T41" s="468">
        <f>1000000-1000000</f>
        <v>0</v>
      </c>
      <c r="U41" s="468">
        <v>0</v>
      </c>
      <c r="V41" s="468">
        <f t="shared" si="16"/>
        <v>0</v>
      </c>
      <c r="W41" s="468"/>
      <c r="X41" s="468">
        <v>0</v>
      </c>
      <c r="Y41" s="468">
        <v>0</v>
      </c>
      <c r="Z41" s="468">
        <f t="shared" si="17"/>
        <v>0</v>
      </c>
      <c r="AA41" s="468"/>
      <c r="AB41" s="468">
        <f>5000000-5000000</f>
        <v>0</v>
      </c>
      <c r="AC41" s="468">
        <v>0</v>
      </c>
      <c r="AD41" s="468">
        <f t="shared" si="18"/>
        <v>0</v>
      </c>
      <c r="AE41" s="468"/>
      <c r="AF41" s="560">
        <f t="shared" si="56"/>
        <v>0</v>
      </c>
      <c r="AG41" s="468">
        <v>0</v>
      </c>
      <c r="AH41" s="468">
        <f t="shared" si="19"/>
        <v>0</v>
      </c>
      <c r="AI41" s="468"/>
      <c r="AJ41" s="468">
        <v>0</v>
      </c>
      <c r="AK41" s="468">
        <v>0</v>
      </c>
      <c r="AL41" s="468">
        <f t="shared" si="20"/>
        <v>0</v>
      </c>
      <c r="AN41" s="468">
        <v>40000000</v>
      </c>
      <c r="AO41" s="468">
        <v>30000000</v>
      </c>
      <c r="AP41" s="468">
        <f t="shared" si="0"/>
        <v>10000000</v>
      </c>
      <c r="AQ41" s="468"/>
      <c r="AR41" s="560">
        <v>3000000</v>
      </c>
      <c r="AS41" s="468">
        <v>3000000</v>
      </c>
      <c r="AT41" s="468">
        <f t="shared" si="21"/>
        <v>0</v>
      </c>
      <c r="AU41" s="468"/>
      <c r="AV41" s="560">
        <v>2000000</v>
      </c>
      <c r="AW41" s="468">
        <v>0</v>
      </c>
      <c r="AX41" s="468">
        <f t="shared" si="22"/>
        <v>2000000</v>
      </c>
      <c r="AY41" s="468"/>
      <c r="AZ41" s="468">
        <v>10000000</v>
      </c>
      <c r="BA41" s="468">
        <f>117348+1907500+7975152</f>
        <v>10000000</v>
      </c>
      <c r="BB41" s="468">
        <f t="shared" si="1"/>
        <v>0</v>
      </c>
      <c r="BC41" s="468"/>
      <c r="BD41" s="468">
        <v>0</v>
      </c>
      <c r="BE41" s="468">
        <v>0</v>
      </c>
      <c r="BF41" s="468">
        <f t="shared" si="23"/>
        <v>0</v>
      </c>
      <c r="BG41" s="560"/>
      <c r="BH41" s="468">
        <v>0</v>
      </c>
      <c r="BI41" s="468"/>
      <c r="BJ41" s="468">
        <f t="shared" si="24"/>
        <v>0</v>
      </c>
      <c r="BK41" s="468"/>
      <c r="BL41" s="468">
        <v>0</v>
      </c>
      <c r="BM41" s="468">
        <v>0</v>
      </c>
      <c r="BN41" s="468">
        <f t="shared" si="25"/>
        <v>0</v>
      </c>
      <c r="BO41" s="468"/>
      <c r="BP41" s="468">
        <v>0</v>
      </c>
      <c r="BQ41" s="468">
        <v>0</v>
      </c>
      <c r="BR41" s="468">
        <f t="shared" si="2"/>
        <v>0</v>
      </c>
      <c r="BS41" s="468"/>
      <c r="BT41" s="468">
        <v>0</v>
      </c>
      <c r="BU41" s="468">
        <v>0</v>
      </c>
      <c r="BV41" s="468">
        <f t="shared" si="3"/>
        <v>0</v>
      </c>
      <c r="BW41" s="468"/>
      <c r="BX41" s="468">
        <v>80000000</v>
      </c>
      <c r="BY41" s="468">
        <f>7568280.46+3300000+69131719.54</f>
        <v>80000000</v>
      </c>
      <c r="BZ41" s="468">
        <f t="shared" si="26"/>
        <v>0</v>
      </c>
      <c r="CA41" s="471"/>
      <c r="CB41" s="468">
        <v>10000000</v>
      </c>
      <c r="CC41" s="468">
        <v>10000000</v>
      </c>
      <c r="CD41" s="468">
        <f t="shared" si="4"/>
        <v>0</v>
      </c>
      <c r="CE41" s="468"/>
      <c r="CF41" s="468">
        <v>10000000</v>
      </c>
      <c r="CG41" s="468">
        <f>5000000+5000000</f>
        <v>10000000</v>
      </c>
      <c r="CH41" s="468">
        <f t="shared" si="27"/>
        <v>0</v>
      </c>
      <c r="CI41" s="468"/>
      <c r="CJ41" s="468">
        <v>30000000</v>
      </c>
      <c r="CK41" s="468">
        <f>14424325+15575675</f>
        <v>30000000</v>
      </c>
      <c r="CL41" s="468">
        <f t="shared" si="5"/>
        <v>0</v>
      </c>
      <c r="CM41" s="471"/>
      <c r="CN41" s="468">
        <v>10000000</v>
      </c>
      <c r="CO41" s="468">
        <v>0</v>
      </c>
      <c r="CP41" s="468">
        <f t="shared" si="6"/>
        <v>10000000</v>
      </c>
      <c r="CQ41" s="468"/>
      <c r="CR41" s="468">
        <v>0</v>
      </c>
      <c r="CS41" s="468">
        <v>0</v>
      </c>
      <c r="CT41" s="468">
        <f t="shared" si="7"/>
        <v>0</v>
      </c>
      <c r="CU41" s="468"/>
      <c r="CV41" s="468">
        <v>0</v>
      </c>
      <c r="CW41" s="468">
        <v>0</v>
      </c>
      <c r="CX41" s="468">
        <f t="shared" si="8"/>
        <v>0</v>
      </c>
      <c r="CY41" s="468"/>
      <c r="CZ41" s="468">
        <v>0</v>
      </c>
      <c r="DA41" s="468">
        <v>0</v>
      </c>
      <c r="DB41" s="468">
        <f t="shared" si="9"/>
        <v>0</v>
      </c>
      <c r="DC41" s="468"/>
      <c r="DD41" s="468">
        <v>0</v>
      </c>
      <c r="DE41" s="468">
        <v>0</v>
      </c>
      <c r="DF41" s="468">
        <f t="shared" si="10"/>
        <v>0</v>
      </c>
      <c r="DG41" s="468"/>
      <c r="DH41" s="468">
        <v>0</v>
      </c>
      <c r="DI41" s="468">
        <v>0</v>
      </c>
      <c r="DJ41" s="468">
        <f t="shared" si="11"/>
        <v>0</v>
      </c>
      <c r="DK41" s="468"/>
      <c r="DL41" s="471">
        <v>0</v>
      </c>
      <c r="DM41" s="471">
        <v>0</v>
      </c>
      <c r="DN41" s="471">
        <f t="shared" si="28"/>
        <v>0</v>
      </c>
      <c r="DO41" s="524"/>
      <c r="DP41" s="471"/>
      <c r="DQ41" s="471"/>
      <c r="DR41" s="471"/>
      <c r="DS41" s="473"/>
      <c r="DT41" s="471">
        <v>70000000</v>
      </c>
      <c r="DU41" s="552">
        <f>2775580.46+12600000+4387812.5</f>
        <v>19763392.960000001</v>
      </c>
      <c r="DV41" s="471">
        <f t="shared" si="29"/>
        <v>50236607.039999999</v>
      </c>
      <c r="DW41" s="473"/>
      <c r="DX41" s="471">
        <v>10000000</v>
      </c>
      <c r="DY41" s="471">
        <f>321830</f>
        <v>321830</v>
      </c>
      <c r="DZ41" s="471">
        <f t="shared" si="30"/>
        <v>9678170</v>
      </c>
      <c r="EA41" s="473"/>
      <c r="EB41" s="471">
        <v>5000000</v>
      </c>
      <c r="EC41" s="471">
        <f>885950</f>
        <v>885950</v>
      </c>
      <c r="ED41" s="471">
        <f t="shared" si="31"/>
        <v>4114050</v>
      </c>
      <c r="EE41" s="473"/>
      <c r="EF41" s="471">
        <v>20000000</v>
      </c>
      <c r="EG41" s="471">
        <f>5537718+50000+2304330+7500000+4375290+232662</f>
        <v>20000000</v>
      </c>
      <c r="EH41" s="471">
        <f t="shared" si="32"/>
        <v>0</v>
      </c>
      <c r="EI41" s="473"/>
      <c r="EJ41" s="471">
        <v>5000000</v>
      </c>
      <c r="EK41" s="471">
        <v>0</v>
      </c>
      <c r="EL41" s="471">
        <f t="shared" si="33"/>
        <v>5000000</v>
      </c>
      <c r="EM41" s="631"/>
      <c r="EN41" s="475"/>
      <c r="EO41" s="475">
        <v>0</v>
      </c>
      <c r="EP41" s="475">
        <f t="shared" si="34"/>
        <v>0</v>
      </c>
      <c r="EQ41" s="475"/>
      <c r="ER41" s="475"/>
      <c r="ES41" s="475">
        <v>0</v>
      </c>
      <c r="ET41" s="475">
        <f t="shared" si="35"/>
        <v>0</v>
      </c>
      <c r="EU41" s="475"/>
      <c r="EV41" s="475">
        <v>0</v>
      </c>
      <c r="EW41" s="475">
        <v>0</v>
      </c>
      <c r="EX41" s="475">
        <f t="shared" si="36"/>
        <v>0</v>
      </c>
      <c r="EY41" s="475"/>
      <c r="EZ41" s="475">
        <v>0</v>
      </c>
      <c r="FA41" s="475">
        <v>0</v>
      </c>
      <c r="FB41" s="475">
        <f t="shared" si="37"/>
        <v>0</v>
      </c>
      <c r="FC41" s="475"/>
      <c r="FD41" s="475">
        <v>0</v>
      </c>
      <c r="FE41" s="475">
        <v>0</v>
      </c>
      <c r="FF41" s="475">
        <f t="shared" si="38"/>
        <v>0</v>
      </c>
      <c r="FG41" s="107"/>
      <c r="FH41" s="475">
        <v>75000000</v>
      </c>
      <c r="FI41" s="475">
        <v>0</v>
      </c>
      <c r="FJ41" s="475">
        <f t="shared" si="39"/>
        <v>75000000</v>
      </c>
      <c r="FK41" s="475"/>
      <c r="FL41" s="475">
        <v>20000000</v>
      </c>
      <c r="FM41" s="475">
        <v>0</v>
      </c>
      <c r="FN41" s="475">
        <f>FL41-FM41</f>
        <v>20000000</v>
      </c>
      <c r="FO41" s="475"/>
      <c r="FP41" s="475">
        <v>5000000</v>
      </c>
      <c r="FQ41" s="475">
        <v>0</v>
      </c>
      <c r="FR41" s="475">
        <f>FP41-FQ41</f>
        <v>5000000</v>
      </c>
      <c r="FS41" s="475"/>
      <c r="FT41" s="475">
        <v>20000000</v>
      </c>
      <c r="FU41" s="632">
        <f>10414963+5655175+1699875</f>
        <v>17770013</v>
      </c>
      <c r="FV41" s="475">
        <f>FT41-FU41</f>
        <v>2229987</v>
      </c>
      <c r="FW41" s="475"/>
      <c r="FX41" s="475">
        <v>5000000</v>
      </c>
      <c r="FY41" s="475">
        <v>0</v>
      </c>
      <c r="FZ41" s="475">
        <f>FX41-FY41</f>
        <v>5000000</v>
      </c>
      <c r="GA41" s="475"/>
      <c r="GB41" s="628"/>
      <c r="GC41" s="628"/>
      <c r="GD41" s="628"/>
      <c r="GE41" s="628"/>
      <c r="GF41" s="628"/>
      <c r="GG41" s="628"/>
      <c r="GH41" s="628"/>
      <c r="GI41" s="628"/>
      <c r="GJ41" s="628"/>
      <c r="GK41" s="628"/>
      <c r="GL41" s="628"/>
      <c r="GM41" s="628"/>
      <c r="GN41" s="628"/>
      <c r="GO41" s="628"/>
      <c r="GP41" s="628"/>
      <c r="GQ41" s="628"/>
      <c r="GR41" s="628"/>
      <c r="GS41" s="628"/>
      <c r="GT41" s="628"/>
      <c r="GU41" s="475"/>
      <c r="GV41" s="468">
        <f t="shared" si="49"/>
        <v>480240000</v>
      </c>
      <c r="GW41" s="468">
        <f t="shared" si="49"/>
        <v>281981185.96000004</v>
      </c>
      <c r="GX41" s="468">
        <f t="shared" si="50"/>
        <v>198258814.03999996</v>
      </c>
      <c r="GY41" s="472"/>
      <c r="HA41" s="468">
        <f>D41+H41+L41+X41+AN41+BD41+BX41+CR41+DT41+DL41+EN41+FH41+GB41</f>
        <v>315240000</v>
      </c>
      <c r="HB41" s="468">
        <f>E41+I41+M41+Y41+AO41+BE41+BY41+CS41+DU41+DM41+EO41+FI41+GC41</f>
        <v>180003392.96000001</v>
      </c>
      <c r="HC41" s="471">
        <f t="shared" si="51"/>
        <v>135236607.03999999</v>
      </c>
      <c r="HE41" s="471">
        <f>P41+AB41+AR41+BH41+CB41+CV41+DX41+ER41+FL41+GF41</f>
        <v>43000000</v>
      </c>
      <c r="HF41" s="471">
        <f>Q41+AC41+AS41+BI41+CC41+CW41+DY41+ES41+FM41+GG41</f>
        <v>13321830</v>
      </c>
      <c r="HG41" s="471">
        <f t="shared" si="52"/>
        <v>29678170</v>
      </c>
      <c r="HI41" s="471">
        <f>T41+AF41+AV41+BL41+CF41+CZ41+EB41+EV41+FP41+GJ41</f>
        <v>22000000</v>
      </c>
      <c r="HJ41" s="471">
        <f>U41+AG41+AW41+BM41+CG41+DA41+EC41+EW41+FQ41+GK41</f>
        <v>10885950</v>
      </c>
      <c r="HK41" s="471">
        <f t="shared" si="53"/>
        <v>11114050</v>
      </c>
      <c r="HM41" s="471">
        <f>AJ41+AZ41+BP41+CJ41+DD41+EF41+EZ41+FT41+GN41</f>
        <v>80000000</v>
      </c>
      <c r="HN41" s="471">
        <f>AK41+BA41+BQ41+CK41+DE41+EG41+FA41+FU41+GO41</f>
        <v>77770013</v>
      </c>
      <c r="HO41" s="471">
        <f t="shared" si="54"/>
        <v>2229987</v>
      </c>
      <c r="HP41" s="531"/>
      <c r="HQ41" s="471">
        <f>BT41+CN41+DH41+EJ41+FD41+FX41+GR41</f>
        <v>20000000</v>
      </c>
      <c r="HR41" s="471">
        <f>BU41+CO41+DI41+EK41+FE41+FY41+GS41</f>
        <v>0</v>
      </c>
      <c r="HS41" s="471">
        <f t="shared" si="55"/>
        <v>20000000</v>
      </c>
    </row>
    <row r="42" spans="1:299" x14ac:dyDescent="0.25">
      <c r="A42" s="107">
        <v>39</v>
      </c>
      <c r="B42" s="107" t="s">
        <v>238</v>
      </c>
      <c r="C42" s="631" t="s">
        <v>61</v>
      </c>
      <c r="D42" s="468">
        <v>1250000</v>
      </c>
      <c r="E42" s="468">
        <v>1250000</v>
      </c>
      <c r="F42" s="468">
        <f t="shared" si="12"/>
        <v>0</v>
      </c>
      <c r="G42" s="468"/>
      <c r="H42" s="468">
        <v>25240000</v>
      </c>
      <c r="I42" s="468">
        <v>25240000</v>
      </c>
      <c r="J42" s="468">
        <f t="shared" si="13"/>
        <v>0</v>
      </c>
      <c r="K42" s="468"/>
      <c r="L42" s="468">
        <v>25000000</v>
      </c>
      <c r="M42" s="468">
        <v>25000000</v>
      </c>
      <c r="N42" s="468">
        <f t="shared" si="14"/>
        <v>0</v>
      </c>
      <c r="O42" s="468"/>
      <c r="P42" s="468">
        <f>3000000-3000000</f>
        <v>0</v>
      </c>
      <c r="Q42" s="468">
        <v>0</v>
      </c>
      <c r="R42" s="468">
        <f t="shared" si="15"/>
        <v>0</v>
      </c>
      <c r="S42" s="468"/>
      <c r="T42" s="468">
        <f>1000000-1000000</f>
        <v>0</v>
      </c>
      <c r="U42" s="468">
        <v>0</v>
      </c>
      <c r="V42" s="468">
        <f t="shared" si="16"/>
        <v>0</v>
      </c>
      <c r="W42" s="468"/>
      <c r="X42" s="468">
        <v>7769000</v>
      </c>
      <c r="Y42" s="468">
        <f>3247000+2000000+2522000</f>
        <v>7769000</v>
      </c>
      <c r="Z42" s="468">
        <f t="shared" si="17"/>
        <v>0</v>
      </c>
      <c r="AA42" s="468"/>
      <c r="AB42" s="468">
        <f>5000000-5000000</f>
        <v>0</v>
      </c>
      <c r="AC42" s="468">
        <v>0</v>
      </c>
      <c r="AD42" s="468">
        <f t="shared" si="18"/>
        <v>0</v>
      </c>
      <c r="AE42" s="468"/>
      <c r="AF42" s="560">
        <f t="shared" si="56"/>
        <v>0</v>
      </c>
      <c r="AG42" s="468">
        <v>0</v>
      </c>
      <c r="AH42" s="468">
        <f t="shared" si="19"/>
        <v>0</v>
      </c>
      <c r="AI42" s="468"/>
      <c r="AJ42" s="468">
        <v>7500000</v>
      </c>
      <c r="AK42" s="468">
        <v>7500000</v>
      </c>
      <c r="AL42" s="468">
        <f t="shared" si="20"/>
        <v>0</v>
      </c>
      <c r="AM42" s="468"/>
      <c r="AN42" s="468">
        <v>40000000</v>
      </c>
      <c r="AO42" s="468">
        <f>25144822+8387500+6467678</f>
        <v>40000000</v>
      </c>
      <c r="AP42" s="468">
        <f t="shared" si="0"/>
        <v>0</v>
      </c>
      <c r="AQ42" s="468"/>
      <c r="AR42" s="468">
        <v>3000000</v>
      </c>
      <c r="AS42" s="468">
        <f>1710000+1290000</f>
        <v>3000000</v>
      </c>
      <c r="AT42" s="468">
        <f t="shared" si="21"/>
        <v>0</v>
      </c>
      <c r="AU42" s="468"/>
      <c r="AV42" s="468">
        <v>2000000</v>
      </c>
      <c r="AW42" s="468">
        <v>0</v>
      </c>
      <c r="AX42" s="468">
        <f t="shared" si="22"/>
        <v>2000000</v>
      </c>
      <c r="AY42" s="468"/>
      <c r="AZ42" s="468">
        <v>10000000</v>
      </c>
      <c r="BA42" s="468">
        <v>10000000</v>
      </c>
      <c r="BB42" s="468">
        <f t="shared" si="1"/>
        <v>0</v>
      </c>
      <c r="BC42" s="468"/>
      <c r="BD42" s="468">
        <v>64000000</v>
      </c>
      <c r="BE42" s="468">
        <f>32172322+9363600+22464078</f>
        <v>64000000</v>
      </c>
      <c r="BF42" s="468">
        <f t="shared" si="23"/>
        <v>0</v>
      </c>
      <c r="BG42" s="468"/>
      <c r="BH42" s="468">
        <v>9500000</v>
      </c>
      <c r="BI42" s="468">
        <f>9500000</f>
        <v>9500000</v>
      </c>
      <c r="BJ42" s="468">
        <f t="shared" si="24"/>
        <v>0</v>
      </c>
      <c r="BK42" s="468"/>
      <c r="BL42" s="468">
        <v>5000000</v>
      </c>
      <c r="BM42" s="468">
        <v>0</v>
      </c>
      <c r="BN42" s="468">
        <f t="shared" si="25"/>
        <v>5000000</v>
      </c>
      <c r="BO42" s="468"/>
      <c r="BP42" s="468">
        <v>20000000</v>
      </c>
      <c r="BQ42" s="468">
        <f>516170+4589040+14894790</f>
        <v>20000000</v>
      </c>
      <c r="BR42" s="468">
        <f t="shared" si="2"/>
        <v>0</v>
      </c>
      <c r="BS42" s="468"/>
      <c r="BT42" s="468">
        <v>1000000</v>
      </c>
      <c r="BU42" s="468">
        <v>0</v>
      </c>
      <c r="BV42" s="468">
        <f t="shared" si="3"/>
        <v>1000000</v>
      </c>
      <c r="BW42" s="468"/>
      <c r="BX42" s="468">
        <v>80000000</v>
      </c>
      <c r="BY42" s="468">
        <f>10656760+29496940+6000000+33846300</f>
        <v>80000000</v>
      </c>
      <c r="BZ42" s="468">
        <f t="shared" si="26"/>
        <v>0</v>
      </c>
      <c r="CA42" s="468"/>
      <c r="CB42" s="468">
        <v>10000000</v>
      </c>
      <c r="CC42" s="468">
        <f>3575890</f>
        <v>3575890</v>
      </c>
      <c r="CD42" s="468">
        <f t="shared" si="4"/>
        <v>6424110</v>
      </c>
      <c r="CE42" s="468"/>
      <c r="CF42" s="468">
        <v>10000000</v>
      </c>
      <c r="CG42" s="468">
        <v>0</v>
      </c>
      <c r="CH42" s="468">
        <f t="shared" si="27"/>
        <v>10000000</v>
      </c>
      <c r="CI42" s="468"/>
      <c r="CJ42" s="468">
        <v>30000000</v>
      </c>
      <c r="CK42" s="468">
        <f>2077405+27922595</f>
        <v>30000000</v>
      </c>
      <c r="CL42" s="468">
        <f t="shared" si="5"/>
        <v>0</v>
      </c>
      <c r="CM42" s="468"/>
      <c r="CN42" s="468">
        <v>10000000</v>
      </c>
      <c r="CO42" s="468">
        <v>0</v>
      </c>
      <c r="CP42" s="468">
        <f t="shared" si="6"/>
        <v>10000000</v>
      </c>
      <c r="CQ42" s="468"/>
      <c r="CR42" s="468">
        <v>100000000</v>
      </c>
      <c r="CS42" s="468">
        <f>46553700+44984950-15234672-29511795</f>
        <v>46792183</v>
      </c>
      <c r="CT42" s="468">
        <f t="shared" si="7"/>
        <v>53207817</v>
      </c>
      <c r="CU42" s="468"/>
      <c r="CV42" s="468">
        <v>20000000</v>
      </c>
      <c r="CW42" s="468">
        <f>18872154+1127846</f>
        <v>20000000</v>
      </c>
      <c r="CX42" s="468">
        <f t="shared" si="8"/>
        <v>0</v>
      </c>
      <c r="CY42" s="468"/>
      <c r="CZ42" s="468">
        <v>20000000</v>
      </c>
      <c r="DA42" s="468">
        <v>0</v>
      </c>
      <c r="DB42" s="468">
        <f t="shared" si="9"/>
        <v>20000000</v>
      </c>
      <c r="DC42" s="468"/>
      <c r="DD42" s="468">
        <v>50000000</v>
      </c>
      <c r="DE42" s="468">
        <f>175707+34407247+29511795-14094749</f>
        <v>50000000</v>
      </c>
      <c r="DF42" s="468">
        <f t="shared" si="10"/>
        <v>0</v>
      </c>
      <c r="DG42" s="468"/>
      <c r="DH42" s="468">
        <v>10000000</v>
      </c>
      <c r="DI42" s="468">
        <v>0</v>
      </c>
      <c r="DJ42" s="468">
        <f t="shared" si="11"/>
        <v>10000000</v>
      </c>
      <c r="DK42" s="468"/>
      <c r="DL42" s="471">
        <v>0</v>
      </c>
      <c r="DM42" s="471">
        <v>0</v>
      </c>
      <c r="DN42" s="471">
        <f t="shared" si="28"/>
        <v>0</v>
      </c>
      <c r="DO42" s="524"/>
      <c r="DP42" s="471"/>
      <c r="DQ42" s="471"/>
      <c r="DR42" s="471"/>
      <c r="DS42" s="473"/>
      <c r="DT42" s="471">
        <v>70000000</v>
      </c>
      <c r="DU42" s="471">
        <f>67313935.4+2686064.6</f>
        <v>70000000</v>
      </c>
      <c r="DV42" s="471">
        <f t="shared" si="29"/>
        <v>0</v>
      </c>
      <c r="DW42" s="473"/>
      <c r="DX42" s="471">
        <v>10000000</v>
      </c>
      <c r="DY42" s="471">
        <f>7085562.4</f>
        <v>7085562.4000000004</v>
      </c>
      <c r="DZ42" s="471">
        <f t="shared" si="30"/>
        <v>2914437.5999999996</v>
      </c>
      <c r="EA42" s="473"/>
      <c r="EB42" s="471">
        <v>5000000</v>
      </c>
      <c r="EC42" s="471">
        <v>0</v>
      </c>
      <c r="ED42" s="471">
        <f t="shared" si="31"/>
        <v>5000000</v>
      </c>
      <c r="EE42" s="473"/>
      <c r="EF42" s="471">
        <v>20000000</v>
      </c>
      <c r="EG42" s="541">
        <f>5567410+2965400+11094790+372400</f>
        <v>20000000</v>
      </c>
      <c r="EH42" s="471">
        <f t="shared" si="32"/>
        <v>0</v>
      </c>
      <c r="EI42" s="473"/>
      <c r="EJ42" s="471">
        <v>5000000</v>
      </c>
      <c r="EK42" s="471">
        <v>0</v>
      </c>
      <c r="EL42" s="471">
        <f t="shared" si="33"/>
        <v>5000000</v>
      </c>
      <c r="EM42" s="631" t="s">
        <v>61</v>
      </c>
      <c r="EN42" s="475">
        <v>200000000</v>
      </c>
      <c r="EO42" s="475">
        <f>73684497.1+53274852.75</f>
        <v>126959349.84999999</v>
      </c>
      <c r="EP42" s="475">
        <f t="shared" si="34"/>
        <v>73040650.150000006</v>
      </c>
      <c r="EQ42" s="475"/>
      <c r="ER42" s="475">
        <v>18000000</v>
      </c>
      <c r="ES42" s="475">
        <v>0</v>
      </c>
      <c r="ET42" s="475">
        <f t="shared" si="35"/>
        <v>18000000</v>
      </c>
      <c r="EU42" s="475"/>
      <c r="EV42" s="475">
        <v>5000000</v>
      </c>
      <c r="EW42" s="475">
        <v>0</v>
      </c>
      <c r="EX42" s="475">
        <f t="shared" si="36"/>
        <v>5000000</v>
      </c>
      <c r="EY42" s="475"/>
      <c r="EZ42" s="475">
        <v>25000000</v>
      </c>
      <c r="FA42" s="626">
        <f>14094749-1129085+12034336</f>
        <v>25000000</v>
      </c>
      <c r="FB42" s="475">
        <f t="shared" si="37"/>
        <v>0</v>
      </c>
      <c r="FC42" s="475"/>
      <c r="FD42" s="475">
        <v>5000000</v>
      </c>
      <c r="FE42" s="475">
        <v>0</v>
      </c>
      <c r="FF42" s="475">
        <f t="shared" si="38"/>
        <v>5000000</v>
      </c>
      <c r="FG42" s="107"/>
      <c r="FH42" s="475">
        <v>75000000</v>
      </c>
      <c r="FI42" s="475">
        <v>0</v>
      </c>
      <c r="FJ42" s="475">
        <f t="shared" si="39"/>
        <v>75000000</v>
      </c>
      <c r="FK42" s="475"/>
      <c r="FL42" s="475">
        <v>20000000</v>
      </c>
      <c r="FM42" s="475">
        <v>0</v>
      </c>
      <c r="FN42" s="475">
        <f t="shared" ref="FN42:FN47" si="57">FL42-FM42</f>
        <v>20000000</v>
      </c>
      <c r="FO42" s="475"/>
      <c r="FP42" s="475">
        <v>5000000</v>
      </c>
      <c r="FQ42" s="475">
        <v>0</v>
      </c>
      <c r="FR42" s="475">
        <f t="shared" ref="FR42:FR47" si="58">FP42-FQ42</f>
        <v>5000000</v>
      </c>
      <c r="FS42" s="475"/>
      <c r="FT42" s="475">
        <v>20000000</v>
      </c>
      <c r="FU42" s="626">
        <f>728424</f>
        <v>728424</v>
      </c>
      <c r="FV42" s="475">
        <f t="shared" ref="FV42:FV47" si="59">FT42-FU42</f>
        <v>19271576</v>
      </c>
      <c r="FW42" s="475"/>
      <c r="FX42" s="475">
        <v>5000000</v>
      </c>
      <c r="FY42" s="475">
        <v>0</v>
      </c>
      <c r="FZ42" s="475">
        <f t="shared" ref="FZ42:FZ47" si="60">FX42-FY42</f>
        <v>5000000</v>
      </c>
      <c r="GA42" s="475"/>
      <c r="GB42" s="475">
        <v>100000000</v>
      </c>
      <c r="GC42" s="475">
        <v>0</v>
      </c>
      <c r="GD42" s="475">
        <f t="shared" ref="GD42:GD47" si="61">GB42-GC42</f>
        <v>100000000</v>
      </c>
      <c r="GE42" s="475"/>
      <c r="GF42" s="475">
        <v>20000000</v>
      </c>
      <c r="GG42" s="475">
        <v>0</v>
      </c>
      <c r="GH42" s="475">
        <f t="shared" ref="GH42:GH47" si="62">GF42-GG42</f>
        <v>20000000</v>
      </c>
      <c r="GI42" s="475"/>
      <c r="GJ42" s="475">
        <v>3000000</v>
      </c>
      <c r="GK42" s="475">
        <v>0</v>
      </c>
      <c r="GL42" s="475">
        <f t="shared" ref="GL42:GL46" si="63">GJ42-GK42</f>
        <v>3000000</v>
      </c>
      <c r="GM42" s="475"/>
      <c r="GN42" s="475">
        <v>15000000</v>
      </c>
      <c r="GO42" s="475">
        <v>0</v>
      </c>
      <c r="GP42" s="475">
        <f t="shared" ref="GP42:GP46" si="64">GN42-GO42</f>
        <v>15000000</v>
      </c>
      <c r="GQ42" s="475"/>
      <c r="GR42" s="475">
        <v>3000000</v>
      </c>
      <c r="GS42" s="475">
        <v>0</v>
      </c>
      <c r="GT42" s="475">
        <f>GR42-GS42</f>
        <v>3000000</v>
      </c>
      <c r="GU42" s="475"/>
      <c r="GV42" s="468">
        <f t="shared" si="49"/>
        <v>1190259000</v>
      </c>
      <c r="GW42" s="468">
        <f t="shared" si="49"/>
        <v>693400409.25</v>
      </c>
      <c r="GX42" s="468">
        <f t="shared" si="50"/>
        <v>496858590.75</v>
      </c>
      <c r="GY42" s="472"/>
      <c r="HA42" s="468">
        <f>D42+H42+L42+X42+AN42+BD42+BX42+CR42+DT42+DL42+EN42+FH42+GB42</f>
        <v>788259000</v>
      </c>
      <c r="HB42" s="468">
        <f>E42+I42+M42+Y42+AO42+BE42+BY42+CS42+DU42+DM42+EO42+FI42+GC42</f>
        <v>487010532.85000002</v>
      </c>
      <c r="HC42" s="471">
        <f t="shared" si="51"/>
        <v>301248467.14999998</v>
      </c>
      <c r="HE42" s="471">
        <f>P42+AB42+AR42+BH42+CB42+CV42+DX42+ER42+FL42+GF42</f>
        <v>110500000</v>
      </c>
      <c r="HF42" s="471">
        <f>Q42+AC42+AS42+BI42+CC42+CW42+DY42+ES42+FM42+GG42</f>
        <v>43161452.399999999</v>
      </c>
      <c r="HG42" s="471">
        <f t="shared" si="52"/>
        <v>67338547.599999994</v>
      </c>
      <c r="HI42" s="471">
        <f>T42+AF42+AV42+BL42+CF42+CZ42+EB42+EV42+FP42+GJ42</f>
        <v>55000000</v>
      </c>
      <c r="HJ42" s="471">
        <f>U42+AG42+AW42+BM42+CG42+DA42+EC42+EW42+FQ42+GK42</f>
        <v>0</v>
      </c>
      <c r="HK42" s="471">
        <f t="shared" si="53"/>
        <v>55000000</v>
      </c>
      <c r="HM42" s="471">
        <f>AJ42+AZ42+BP42+CJ42+DD42+EF42+EZ42+FT42+GN42</f>
        <v>197500000</v>
      </c>
      <c r="HN42" s="471">
        <f>AK42+BA42+BQ42+CK42+DE42+EG42+FA42+FU42+GO42</f>
        <v>163228424</v>
      </c>
      <c r="HO42" s="471">
        <f t="shared" si="54"/>
        <v>34271576</v>
      </c>
      <c r="HP42" s="531"/>
      <c r="HQ42" s="471">
        <f>BT42+CN42+DH42+EJ42+FD42+FX42+GR42</f>
        <v>39000000</v>
      </c>
      <c r="HR42" s="471">
        <f>BU42+CO42+DI42+EK42+FE42+FY42+GS42</f>
        <v>0</v>
      </c>
      <c r="HS42" s="471">
        <f t="shared" si="55"/>
        <v>39000000</v>
      </c>
    </row>
    <row r="43" spans="1:299" x14ac:dyDescent="0.25">
      <c r="A43" s="107">
        <v>40</v>
      </c>
      <c r="B43" s="107" t="s">
        <v>523</v>
      </c>
      <c r="C43" s="282" t="s">
        <v>65</v>
      </c>
      <c r="D43" s="468">
        <v>0</v>
      </c>
      <c r="E43" s="468">
        <v>0</v>
      </c>
      <c r="F43" s="468">
        <f t="shared" si="12"/>
        <v>0</v>
      </c>
      <c r="G43" s="468"/>
      <c r="H43" s="468">
        <v>25240000</v>
      </c>
      <c r="I43" s="468">
        <v>25240000</v>
      </c>
      <c r="J43" s="468">
        <f t="shared" si="13"/>
        <v>0</v>
      </c>
      <c r="K43" s="468"/>
      <c r="L43" s="468">
        <v>25000000</v>
      </c>
      <c r="M43" s="468">
        <v>25000000</v>
      </c>
      <c r="N43" s="468">
        <f t="shared" si="14"/>
        <v>0</v>
      </c>
      <c r="O43" s="468"/>
      <c r="P43" s="468">
        <v>3000000</v>
      </c>
      <c r="Q43" s="468">
        <f>3000000</f>
        <v>3000000</v>
      </c>
      <c r="R43" s="468">
        <f t="shared" si="15"/>
        <v>0</v>
      </c>
      <c r="S43" s="468"/>
      <c r="T43" s="468">
        <v>850000</v>
      </c>
      <c r="U43" s="468">
        <v>850000</v>
      </c>
      <c r="V43" s="468">
        <f t="shared" si="16"/>
        <v>0</v>
      </c>
      <c r="W43" s="468"/>
      <c r="X43" s="468">
        <v>30000000</v>
      </c>
      <c r="Y43" s="468">
        <v>30000000</v>
      </c>
      <c r="Z43" s="468">
        <f t="shared" si="17"/>
        <v>0</v>
      </c>
      <c r="AA43" s="468"/>
      <c r="AB43" s="468">
        <v>5000000</v>
      </c>
      <c r="AC43" s="468">
        <v>5000000</v>
      </c>
      <c r="AD43" s="468">
        <f t="shared" si="18"/>
        <v>0</v>
      </c>
      <c r="AE43" s="468"/>
      <c r="AF43" s="560">
        <f t="shared" si="56"/>
        <v>0</v>
      </c>
      <c r="AG43" s="468">
        <v>0</v>
      </c>
      <c r="AH43" s="468">
        <f t="shared" si="19"/>
        <v>0</v>
      </c>
      <c r="AI43" s="468"/>
      <c r="AJ43" s="468">
        <v>7500000</v>
      </c>
      <c r="AK43" s="468">
        <f>1274730+1409280+1443490+2871305+501195</f>
        <v>7500000</v>
      </c>
      <c r="AL43" s="468">
        <f t="shared" si="20"/>
        <v>0</v>
      </c>
      <c r="AM43" s="468"/>
      <c r="AN43" s="468">
        <v>40000000</v>
      </c>
      <c r="AO43" s="468">
        <f>14721900+24112800+1165300</f>
        <v>40000000</v>
      </c>
      <c r="AP43" s="468">
        <f t="shared" si="0"/>
        <v>0</v>
      </c>
      <c r="AQ43" s="468"/>
      <c r="AR43" s="468">
        <v>3000000</v>
      </c>
      <c r="AS43" s="468">
        <f>2934000</f>
        <v>2934000</v>
      </c>
      <c r="AT43" s="468">
        <f t="shared" si="21"/>
        <v>66000</v>
      </c>
      <c r="AU43" s="468"/>
      <c r="AV43" s="468">
        <v>2000000</v>
      </c>
      <c r="AW43" s="468">
        <f>2000000</f>
        <v>2000000</v>
      </c>
      <c r="AX43" s="468">
        <f t="shared" si="22"/>
        <v>0</v>
      </c>
      <c r="AY43" s="468"/>
      <c r="AZ43" s="468">
        <v>10000000</v>
      </c>
      <c r="BA43" s="468">
        <f>3982695</f>
        <v>3982695</v>
      </c>
      <c r="BB43" s="468">
        <f t="shared" si="1"/>
        <v>6017305</v>
      </c>
      <c r="BC43" s="468"/>
      <c r="BD43" s="468">
        <v>64000000</v>
      </c>
      <c r="BE43" s="468">
        <f>36484100+8517000+9130000+9868900</f>
        <v>64000000</v>
      </c>
      <c r="BF43" s="468">
        <f t="shared" si="23"/>
        <v>0</v>
      </c>
      <c r="BG43" s="468"/>
      <c r="BH43" s="468">
        <v>9500000</v>
      </c>
      <c r="BI43" s="468">
        <v>0</v>
      </c>
      <c r="BJ43" s="468">
        <f t="shared" si="24"/>
        <v>9500000</v>
      </c>
      <c r="BK43" s="468"/>
      <c r="BL43" s="468">
        <v>5000000</v>
      </c>
      <c r="BM43" s="468">
        <f>5000000</f>
        <v>5000000</v>
      </c>
      <c r="BN43" s="468">
        <f t="shared" si="25"/>
        <v>0</v>
      </c>
      <c r="BO43" s="468"/>
      <c r="BP43" s="468">
        <v>20000000</v>
      </c>
      <c r="BQ43" s="468">
        <f>4879500+5328350+6034468+3757682</f>
        <v>20000000</v>
      </c>
      <c r="BR43" s="468">
        <f t="shared" si="2"/>
        <v>0</v>
      </c>
      <c r="BS43" s="468"/>
      <c r="BT43" s="468">
        <v>1000000</v>
      </c>
      <c r="BU43" s="482">
        <v>1000000</v>
      </c>
      <c r="BV43" s="468">
        <f t="shared" si="3"/>
        <v>0</v>
      </c>
      <c r="BW43" s="468"/>
      <c r="BX43" s="468">
        <v>80000000</v>
      </c>
      <c r="BY43" s="468">
        <f>25171500+54828500</f>
        <v>80000000</v>
      </c>
      <c r="BZ43" s="468">
        <f t="shared" si="26"/>
        <v>0</v>
      </c>
      <c r="CA43" s="468"/>
      <c r="CB43" s="468">
        <v>10000000</v>
      </c>
      <c r="CC43" s="468">
        <v>10000000</v>
      </c>
      <c r="CD43" s="468">
        <f t="shared" si="4"/>
        <v>0</v>
      </c>
      <c r="CE43" s="468"/>
      <c r="CF43" s="468">
        <v>10000000</v>
      </c>
      <c r="CG43" s="468">
        <f>10000000</f>
        <v>10000000</v>
      </c>
      <c r="CH43" s="468">
        <f t="shared" si="27"/>
        <v>0</v>
      </c>
      <c r="CI43" s="468"/>
      <c r="CJ43" s="468">
        <v>30000000</v>
      </c>
      <c r="CK43" s="489">
        <f>2803751+2284074+2480554+2480554-2480554-2480554+1860986-1860986+1860986+7904000+15147189</f>
        <v>30000000</v>
      </c>
      <c r="CL43" s="468">
        <f t="shared" si="5"/>
        <v>0</v>
      </c>
      <c r="CM43" s="468"/>
      <c r="CN43" s="468">
        <v>10000000</v>
      </c>
      <c r="CO43" s="482">
        <f>7925000</f>
        <v>7925000</v>
      </c>
      <c r="CP43" s="468">
        <f t="shared" si="6"/>
        <v>2075000</v>
      </c>
      <c r="CQ43" s="468"/>
      <c r="CR43" s="468">
        <v>100000000</v>
      </c>
      <c r="CS43" s="468">
        <f>5344618+19371000-19371000+19371000+1550000+73734382</f>
        <v>100000000</v>
      </c>
      <c r="CT43" s="468">
        <f t="shared" si="7"/>
        <v>0</v>
      </c>
      <c r="CU43" s="468"/>
      <c r="CV43" s="468">
        <v>20000000</v>
      </c>
      <c r="CW43" s="468">
        <f>18805400+1194600</f>
        <v>20000000</v>
      </c>
      <c r="CX43" s="468">
        <f t="shared" si="8"/>
        <v>0</v>
      </c>
      <c r="CY43" s="468"/>
      <c r="CZ43" s="468">
        <v>20000000</v>
      </c>
      <c r="DA43" s="468">
        <v>14450000</v>
      </c>
      <c r="DB43" s="468">
        <f t="shared" si="9"/>
        <v>5550000</v>
      </c>
      <c r="DC43" s="468"/>
      <c r="DD43" s="468">
        <v>50000000</v>
      </c>
      <c r="DE43" s="489">
        <f>5296675+5296675-5296675+15204945+7187436</f>
        <v>27689056</v>
      </c>
      <c r="DF43" s="468">
        <f t="shared" si="10"/>
        <v>22310944</v>
      </c>
      <c r="DG43" s="468"/>
      <c r="DH43" s="468">
        <v>10000000</v>
      </c>
      <c r="DI43" s="468">
        <v>0</v>
      </c>
      <c r="DJ43" s="468">
        <f t="shared" si="11"/>
        <v>10000000</v>
      </c>
      <c r="DK43" s="468"/>
      <c r="DL43" s="471">
        <v>0</v>
      </c>
      <c r="DM43" s="471">
        <v>0</v>
      </c>
      <c r="DN43" s="471">
        <f t="shared" si="28"/>
        <v>0</v>
      </c>
      <c r="DO43" s="524"/>
      <c r="DP43" s="471"/>
      <c r="DQ43" s="471"/>
      <c r="DR43" s="471"/>
      <c r="DS43" s="473"/>
      <c r="DT43" s="471">
        <v>70000000</v>
      </c>
      <c r="DU43" s="471">
        <f>20453118+49546882</f>
        <v>70000000</v>
      </c>
      <c r="DV43" s="471">
        <f t="shared" si="29"/>
        <v>0</v>
      </c>
      <c r="DW43" s="473"/>
      <c r="DX43" s="471">
        <v>10000000</v>
      </c>
      <c r="DY43" s="471">
        <f>5450520</f>
        <v>5450520</v>
      </c>
      <c r="DZ43" s="471">
        <f t="shared" si="30"/>
        <v>4549480</v>
      </c>
      <c r="EA43" s="473"/>
      <c r="EB43" s="471">
        <v>5000000</v>
      </c>
      <c r="EC43" s="471">
        <v>0</v>
      </c>
      <c r="ED43" s="471">
        <f t="shared" si="31"/>
        <v>5000000</v>
      </c>
      <c r="EE43" s="473"/>
      <c r="EF43" s="471">
        <v>20000000</v>
      </c>
      <c r="EG43" s="471">
        <v>0</v>
      </c>
      <c r="EH43" s="471">
        <f t="shared" si="32"/>
        <v>20000000</v>
      </c>
      <c r="EI43" s="473"/>
      <c r="EJ43" s="471">
        <v>5000000</v>
      </c>
      <c r="EK43" s="471">
        <v>0</v>
      </c>
      <c r="EL43" s="471">
        <f t="shared" si="33"/>
        <v>5000000</v>
      </c>
      <c r="EM43" s="282" t="s">
        <v>65</v>
      </c>
      <c r="EN43" s="475">
        <v>200000000</v>
      </c>
      <c r="EO43" s="475">
        <f>35353118+78790000</f>
        <v>114143118</v>
      </c>
      <c r="EP43" s="475">
        <f t="shared" si="34"/>
        <v>85856882</v>
      </c>
      <c r="EQ43" s="475"/>
      <c r="ER43" s="475">
        <v>18000000</v>
      </c>
      <c r="ES43" s="475">
        <v>0</v>
      </c>
      <c r="ET43" s="475">
        <f t="shared" si="35"/>
        <v>18000000</v>
      </c>
      <c r="EU43" s="475"/>
      <c r="EV43" s="475">
        <v>5000000</v>
      </c>
      <c r="EW43" s="475">
        <v>0</v>
      </c>
      <c r="EX43" s="475">
        <f t="shared" si="36"/>
        <v>5000000</v>
      </c>
      <c r="EY43" s="475"/>
      <c r="EZ43" s="475">
        <v>25000000</v>
      </c>
      <c r="FA43" s="475">
        <v>0</v>
      </c>
      <c r="FB43" s="475">
        <f t="shared" si="37"/>
        <v>25000000</v>
      </c>
      <c r="FC43" s="475"/>
      <c r="FD43" s="475">
        <v>5000000</v>
      </c>
      <c r="FE43" s="475">
        <v>0</v>
      </c>
      <c r="FF43" s="475">
        <f t="shared" si="38"/>
        <v>5000000</v>
      </c>
      <c r="FG43" s="107"/>
      <c r="FH43" s="475">
        <v>75000000</v>
      </c>
      <c r="FI43" s="475">
        <v>0</v>
      </c>
      <c r="FJ43" s="475">
        <f t="shared" si="39"/>
        <v>75000000</v>
      </c>
      <c r="FK43" s="475"/>
      <c r="FL43" s="475">
        <v>20000000</v>
      </c>
      <c r="FM43" s="475">
        <v>0</v>
      </c>
      <c r="FN43" s="475">
        <f t="shared" si="57"/>
        <v>20000000</v>
      </c>
      <c r="FO43" s="475"/>
      <c r="FP43" s="475">
        <v>5000000</v>
      </c>
      <c r="FQ43" s="475">
        <v>0</v>
      </c>
      <c r="FR43" s="475">
        <f t="shared" si="58"/>
        <v>5000000</v>
      </c>
      <c r="FS43" s="475"/>
      <c r="FT43" s="475">
        <v>20000000</v>
      </c>
      <c r="FU43" s="475">
        <v>0</v>
      </c>
      <c r="FV43" s="475">
        <f t="shared" si="59"/>
        <v>20000000</v>
      </c>
      <c r="FW43" s="475"/>
      <c r="FX43" s="475">
        <v>5000000</v>
      </c>
      <c r="FY43" s="475">
        <v>0</v>
      </c>
      <c r="FZ43" s="475">
        <f t="shared" si="60"/>
        <v>5000000</v>
      </c>
      <c r="GA43" s="475"/>
      <c r="GB43" s="475">
        <v>100000000</v>
      </c>
      <c r="GC43" s="475">
        <v>0</v>
      </c>
      <c r="GD43" s="475">
        <f t="shared" si="61"/>
        <v>100000000</v>
      </c>
      <c r="GE43" s="475"/>
      <c r="GF43" s="475">
        <v>20000000</v>
      </c>
      <c r="GG43" s="475">
        <v>0</v>
      </c>
      <c r="GH43" s="475">
        <f t="shared" si="62"/>
        <v>20000000</v>
      </c>
      <c r="GI43" s="475"/>
      <c r="GJ43" s="475">
        <v>3000000</v>
      </c>
      <c r="GK43" s="475">
        <v>0</v>
      </c>
      <c r="GL43" s="475">
        <f t="shared" si="63"/>
        <v>3000000</v>
      </c>
      <c r="GM43" s="475"/>
      <c r="GN43" s="475">
        <v>15000000</v>
      </c>
      <c r="GO43" s="475">
        <v>0</v>
      </c>
      <c r="GP43" s="475">
        <f t="shared" si="64"/>
        <v>15000000</v>
      </c>
      <c r="GQ43" s="475"/>
      <c r="GR43" s="475">
        <v>3000000</v>
      </c>
      <c r="GS43" s="475">
        <v>0</v>
      </c>
      <c r="GT43" s="475">
        <f t="shared" ref="GT43:GT47" si="65">GR43-GS43</f>
        <v>3000000</v>
      </c>
      <c r="GU43" s="475"/>
      <c r="GV43" s="468">
        <f t="shared" si="49"/>
        <v>1220090000</v>
      </c>
      <c r="GW43" s="468">
        <f t="shared" si="49"/>
        <v>725164389</v>
      </c>
      <c r="GX43" s="468">
        <f t="shared" si="50"/>
        <v>494925611</v>
      </c>
      <c r="GY43" s="472"/>
      <c r="HA43" s="468">
        <f>D43+H43+L43+X43+AN43+BD43+BX43+CR43+DT43+DL43+EN43+FH43+GB43</f>
        <v>809240000</v>
      </c>
      <c r="HB43" s="468">
        <f>E43+I43+M43+Y43+AO43+BE43+BY43+CS43+DU43+DM43+EO43+FI43+GC43</f>
        <v>548383118</v>
      </c>
      <c r="HC43" s="471">
        <f t="shared" si="51"/>
        <v>260856882</v>
      </c>
      <c r="HE43" s="471">
        <f>P43+AB43+AR43+BH43+CB43+CV43+DX43+ER43+FL43+GF43</f>
        <v>118500000</v>
      </c>
      <c r="HF43" s="471">
        <f>Q43+AC43+AS43+BI43+CC43+CW43+DY43+ES43+FM43+GG43</f>
        <v>46384520</v>
      </c>
      <c r="HG43" s="471">
        <f t="shared" si="52"/>
        <v>72115480</v>
      </c>
      <c r="HI43" s="471">
        <f>T43+AF43+AV43+BL43+CF43+CZ43+EB43+EV43+FP43+GJ43</f>
        <v>55850000</v>
      </c>
      <c r="HJ43" s="471">
        <f>U43+AG43+AW43+BM43+CG43+DA43+EC43+EW43+FQ43+GK43</f>
        <v>32300000</v>
      </c>
      <c r="HK43" s="471">
        <f t="shared" si="53"/>
        <v>23550000</v>
      </c>
      <c r="HM43" s="471">
        <f>AJ43+AZ43+BP43+CJ43+DD43+EF43+EZ43+FT43+GN43</f>
        <v>197500000</v>
      </c>
      <c r="HN43" s="471">
        <f>AK43+BA43+BQ43+CK43+DE43+EG43+FA43+FU43+GO43</f>
        <v>89171751</v>
      </c>
      <c r="HO43" s="471">
        <f t="shared" si="54"/>
        <v>108328249</v>
      </c>
      <c r="HP43" s="531"/>
      <c r="HQ43" s="471">
        <f>BT43+CN43+DH43+EJ43+FD43+FX43+GR43</f>
        <v>39000000</v>
      </c>
      <c r="HR43" s="471">
        <f>BU43+CO43+DI43+EK43+FE43+FY43+GS43</f>
        <v>8925000</v>
      </c>
      <c r="HS43" s="471">
        <f t="shared" si="55"/>
        <v>30075000</v>
      </c>
    </row>
    <row r="44" spans="1:299" x14ac:dyDescent="0.25">
      <c r="A44" s="107">
        <v>41</v>
      </c>
      <c r="B44" s="107" t="s">
        <v>524</v>
      </c>
      <c r="C44" s="282" t="s">
        <v>63</v>
      </c>
      <c r="D44" s="468">
        <v>0</v>
      </c>
      <c r="E44" s="468">
        <v>0</v>
      </c>
      <c r="F44" s="468">
        <f t="shared" si="12"/>
        <v>0</v>
      </c>
      <c r="G44" s="468"/>
      <c r="H44" s="468">
        <v>25240000</v>
      </c>
      <c r="I44" s="468">
        <v>25240000</v>
      </c>
      <c r="J44" s="468">
        <f t="shared" si="13"/>
        <v>0</v>
      </c>
      <c r="K44" s="468"/>
      <c r="L44" s="468">
        <v>25000000</v>
      </c>
      <c r="M44" s="468">
        <v>25000000</v>
      </c>
      <c r="N44" s="468">
        <f t="shared" si="14"/>
        <v>0</v>
      </c>
      <c r="O44" s="468"/>
      <c r="P44" s="468">
        <f>3000000-3000000</f>
        <v>0</v>
      </c>
      <c r="Q44" s="468">
        <v>0</v>
      </c>
      <c r="R44" s="468">
        <f t="shared" si="15"/>
        <v>0</v>
      </c>
      <c r="S44" s="468"/>
      <c r="T44" s="468">
        <f>1000000-1000000</f>
        <v>0</v>
      </c>
      <c r="U44" s="468">
        <v>0</v>
      </c>
      <c r="V44" s="468">
        <f t="shared" si="16"/>
        <v>0</v>
      </c>
      <c r="W44" s="468"/>
      <c r="X44" s="468">
        <v>30000000</v>
      </c>
      <c r="Y44" s="468">
        <v>30000000</v>
      </c>
      <c r="Z44" s="468">
        <f t="shared" si="17"/>
        <v>0</v>
      </c>
      <c r="AA44" s="468"/>
      <c r="AB44" s="468">
        <v>0</v>
      </c>
      <c r="AC44" s="468">
        <v>0</v>
      </c>
      <c r="AD44" s="468">
        <f t="shared" si="18"/>
        <v>0</v>
      </c>
      <c r="AE44" s="543"/>
      <c r="AF44" s="560">
        <f t="shared" si="56"/>
        <v>0</v>
      </c>
      <c r="AG44" s="468">
        <v>0</v>
      </c>
      <c r="AH44" s="468">
        <f t="shared" si="19"/>
        <v>0</v>
      </c>
      <c r="AI44" s="468"/>
      <c r="AJ44" s="468">
        <v>7500000</v>
      </c>
      <c r="AK44" s="468">
        <v>7500000</v>
      </c>
      <c r="AL44" s="468">
        <f t="shared" si="20"/>
        <v>0</v>
      </c>
      <c r="AM44" s="468"/>
      <c r="AN44" s="468">
        <v>40000000</v>
      </c>
      <c r="AO44" s="468">
        <v>40000000</v>
      </c>
      <c r="AP44" s="468">
        <f t="shared" si="0"/>
        <v>0</v>
      </c>
      <c r="AQ44" s="468"/>
      <c r="AR44" s="468">
        <v>3000000</v>
      </c>
      <c r="AS44" s="468">
        <f>3000000</f>
        <v>3000000</v>
      </c>
      <c r="AT44" s="468">
        <f t="shared" si="21"/>
        <v>0</v>
      </c>
      <c r="AU44" s="468"/>
      <c r="AV44" s="468">
        <v>2000000</v>
      </c>
      <c r="AW44" s="468">
        <v>2000000</v>
      </c>
      <c r="AX44" s="468">
        <f t="shared" si="22"/>
        <v>0</v>
      </c>
      <c r="AY44" s="468"/>
      <c r="AZ44" s="468">
        <v>10000000</v>
      </c>
      <c r="BA44" s="468">
        <v>10000000</v>
      </c>
      <c r="BB44" s="468">
        <f t="shared" si="1"/>
        <v>0</v>
      </c>
      <c r="BC44" s="468"/>
      <c r="BD44" s="468">
        <v>64000000</v>
      </c>
      <c r="BE44" s="468">
        <f>39660999+23965625+373376</f>
        <v>64000000</v>
      </c>
      <c r="BF44" s="468">
        <f t="shared" si="23"/>
        <v>0</v>
      </c>
      <c r="BG44" s="468"/>
      <c r="BH44" s="468">
        <v>9500000</v>
      </c>
      <c r="BI44" s="468">
        <f>9500000</f>
        <v>9500000</v>
      </c>
      <c r="BJ44" s="468">
        <f t="shared" si="24"/>
        <v>0</v>
      </c>
      <c r="BK44" s="468"/>
      <c r="BL44" s="468">
        <v>5000000</v>
      </c>
      <c r="BM44" s="468">
        <v>5000000</v>
      </c>
      <c r="BN44" s="468">
        <f t="shared" si="25"/>
        <v>0</v>
      </c>
      <c r="BO44" s="468"/>
      <c r="BP44" s="468">
        <v>20000000</v>
      </c>
      <c r="BQ44" s="468">
        <f>13466633.55+4424155+2109211.45</f>
        <v>20000000</v>
      </c>
      <c r="BR44" s="468">
        <f t="shared" si="2"/>
        <v>0</v>
      </c>
      <c r="BS44" s="468"/>
      <c r="BT44" s="468">
        <v>1000000</v>
      </c>
      <c r="BU44" s="468">
        <f>1000000</f>
        <v>1000000</v>
      </c>
      <c r="BV44" s="468">
        <f t="shared" si="3"/>
        <v>0</v>
      </c>
      <c r="BW44" s="468"/>
      <c r="BX44" s="468">
        <v>80000000</v>
      </c>
      <c r="BY44" s="468">
        <f>79020364+1000+978636</f>
        <v>80000000</v>
      </c>
      <c r="BZ44" s="468">
        <f t="shared" si="26"/>
        <v>0</v>
      </c>
      <c r="CA44" s="468"/>
      <c r="CB44" s="468">
        <v>10000000</v>
      </c>
      <c r="CC44" s="468">
        <f>10000000</f>
        <v>10000000</v>
      </c>
      <c r="CD44" s="468">
        <f t="shared" si="4"/>
        <v>0</v>
      </c>
      <c r="CE44" s="468"/>
      <c r="CF44" s="468">
        <v>10000000</v>
      </c>
      <c r="CG44" s="468">
        <f>3153250+6846750</f>
        <v>10000000</v>
      </c>
      <c r="CH44" s="468">
        <f t="shared" si="27"/>
        <v>0</v>
      </c>
      <c r="CI44" s="488"/>
      <c r="CJ44" s="468">
        <v>30000000</v>
      </c>
      <c r="CK44" s="468">
        <f>29439408.55+560591.45</f>
        <v>30000000</v>
      </c>
      <c r="CL44" s="468">
        <f t="shared" si="5"/>
        <v>0</v>
      </c>
      <c r="CM44" s="468"/>
      <c r="CN44" s="468">
        <v>10000000</v>
      </c>
      <c r="CO44" s="468">
        <f>700000+300000+9000000</f>
        <v>10000000</v>
      </c>
      <c r="CP44" s="468">
        <f t="shared" si="6"/>
        <v>0</v>
      </c>
      <c r="CQ44" s="543"/>
      <c r="CR44" s="468">
        <v>100000000</v>
      </c>
      <c r="CS44" s="468">
        <f>57518238.34+41848319+633442.66</f>
        <v>100000000</v>
      </c>
      <c r="CT44" s="468">
        <f t="shared" si="7"/>
        <v>0</v>
      </c>
      <c r="CU44" s="468"/>
      <c r="CV44" s="468">
        <v>20000000</v>
      </c>
      <c r="CW44" s="468">
        <f>8037848+5938000+6024152</f>
        <v>20000000</v>
      </c>
      <c r="CX44" s="468">
        <f t="shared" si="8"/>
        <v>0</v>
      </c>
      <c r="CY44" s="468"/>
      <c r="CZ44" s="468">
        <v>20000000</v>
      </c>
      <c r="DA44" s="489">
        <f>6838250+1791750+2125000+2415000+375000</f>
        <v>13545000</v>
      </c>
      <c r="DB44" s="468">
        <f t="shared" si="9"/>
        <v>6455000</v>
      </c>
      <c r="DC44" s="468"/>
      <c r="DD44" s="468">
        <v>50000000</v>
      </c>
      <c r="DE44" s="468">
        <f>49385098.55+614901.45</f>
        <v>50000000</v>
      </c>
      <c r="DF44" s="468">
        <f t="shared" si="10"/>
        <v>0</v>
      </c>
      <c r="DG44" s="468"/>
      <c r="DH44" s="468">
        <v>10000000</v>
      </c>
      <c r="DI44" s="504">
        <f>5022450+3466725+1270750+224250+15825</f>
        <v>10000000</v>
      </c>
      <c r="DJ44" s="468">
        <f t="shared" si="11"/>
        <v>0</v>
      </c>
      <c r="DK44" s="468"/>
      <c r="DL44" s="471">
        <v>0</v>
      </c>
      <c r="DM44" s="471">
        <v>0</v>
      </c>
      <c r="DN44" s="471">
        <f t="shared" si="28"/>
        <v>0</v>
      </c>
      <c r="DO44" s="524"/>
      <c r="DP44" s="471"/>
      <c r="DQ44" s="471"/>
      <c r="DR44" s="471"/>
      <c r="DS44" s="473"/>
      <c r="DT44" s="471">
        <v>70000000</v>
      </c>
      <c r="DU44" s="471">
        <f>48423491.34+18000000+3576508.66</f>
        <v>70000000</v>
      </c>
      <c r="DV44" s="471">
        <f t="shared" si="29"/>
        <v>0</v>
      </c>
      <c r="DW44" s="473"/>
      <c r="DX44" s="471">
        <v>10000000</v>
      </c>
      <c r="DY44" s="471">
        <f>188848+9900000+5830000-5918848</f>
        <v>10000000</v>
      </c>
      <c r="DZ44" s="471">
        <f t="shared" si="30"/>
        <v>0</v>
      </c>
      <c r="EA44" s="473"/>
      <c r="EB44" s="471">
        <v>5000000</v>
      </c>
      <c r="EC44" s="471">
        <v>0</v>
      </c>
      <c r="ED44" s="471">
        <f t="shared" si="31"/>
        <v>5000000</v>
      </c>
      <c r="EE44" s="473"/>
      <c r="EF44" s="471">
        <v>20000000</v>
      </c>
      <c r="EG44" s="471">
        <f>15308234.55+2997122+1694643.45</f>
        <v>20000000</v>
      </c>
      <c r="EH44" s="471">
        <f t="shared" si="32"/>
        <v>0</v>
      </c>
      <c r="EI44" s="473"/>
      <c r="EJ44" s="471">
        <v>5000000</v>
      </c>
      <c r="EK44" s="471">
        <f>1700000+3086325+213675</f>
        <v>5000000</v>
      </c>
      <c r="EL44" s="471">
        <f t="shared" si="33"/>
        <v>0</v>
      </c>
      <c r="EM44" s="282" t="s">
        <v>63</v>
      </c>
      <c r="EN44" s="475">
        <v>200000000</v>
      </c>
      <c r="EO44" s="626">
        <f>20483491.34+82858820.3+4200000+22200000+37057997.5+4500000+11400000-15110255+20626675.6</f>
        <v>188216729.73999998</v>
      </c>
      <c r="EP44" s="475">
        <f t="shared" si="34"/>
        <v>11783270.26000002</v>
      </c>
      <c r="EQ44" s="475"/>
      <c r="ER44" s="475">
        <v>18000000</v>
      </c>
      <c r="ES44" s="629">
        <f>5918848+2932920+4007850+5140382</f>
        <v>18000000</v>
      </c>
      <c r="ET44" s="475">
        <f t="shared" si="35"/>
        <v>0</v>
      </c>
      <c r="EU44" s="475"/>
      <c r="EV44" s="475">
        <v>5000000</v>
      </c>
      <c r="EW44" s="475">
        <v>0</v>
      </c>
      <c r="EX44" s="475">
        <f t="shared" si="36"/>
        <v>5000000</v>
      </c>
      <c r="EY44" s="475"/>
      <c r="EZ44" s="475">
        <v>25000000</v>
      </c>
      <c r="FA44" s="475">
        <f>10108481.55+2675200+7389785.22+4826533.23</f>
        <v>25000000</v>
      </c>
      <c r="FB44" s="475">
        <f t="shared" si="37"/>
        <v>0</v>
      </c>
      <c r="FC44" s="475"/>
      <c r="FD44" s="475">
        <v>5000000</v>
      </c>
      <c r="FE44" s="627">
        <f>2081325+1870000+1035000+13675</f>
        <v>5000000</v>
      </c>
      <c r="FF44" s="475">
        <f t="shared" si="38"/>
        <v>0</v>
      </c>
      <c r="FG44" s="107"/>
      <c r="FH44" s="475">
        <v>75000000</v>
      </c>
      <c r="FI44" s="475">
        <v>0</v>
      </c>
      <c r="FJ44" s="475">
        <f t="shared" si="39"/>
        <v>75000000</v>
      </c>
      <c r="FK44" s="475"/>
      <c r="FL44" s="475">
        <v>20000000</v>
      </c>
      <c r="FM44" s="627">
        <f>4830196.9+562000</f>
        <v>5392196.9000000004</v>
      </c>
      <c r="FN44" s="475">
        <f t="shared" si="57"/>
        <v>14607803.1</v>
      </c>
      <c r="FO44" s="475"/>
      <c r="FP44" s="475">
        <v>5000000</v>
      </c>
      <c r="FQ44" s="475">
        <v>0</v>
      </c>
      <c r="FR44" s="475">
        <f t="shared" si="58"/>
        <v>5000000</v>
      </c>
      <c r="FS44" s="475"/>
      <c r="FT44" s="475">
        <v>20000000</v>
      </c>
      <c r="FU44" s="623">
        <f>6536911.72+11798270+1664818.28</f>
        <v>20000000</v>
      </c>
      <c r="FV44" s="475">
        <f t="shared" si="59"/>
        <v>0</v>
      </c>
      <c r="FW44" s="475"/>
      <c r="FX44" s="475">
        <v>5000000</v>
      </c>
      <c r="FY44" s="627">
        <f>1286746.25</f>
        <v>1286746.25</v>
      </c>
      <c r="FZ44" s="475">
        <f t="shared" si="60"/>
        <v>3713253.75</v>
      </c>
      <c r="GA44" s="475"/>
      <c r="GB44" s="475">
        <v>100000000</v>
      </c>
      <c r="GC44" s="475">
        <v>0</v>
      </c>
      <c r="GD44" s="475">
        <f t="shared" si="61"/>
        <v>100000000</v>
      </c>
      <c r="GE44" s="475"/>
      <c r="GF44" s="475">
        <v>20000000</v>
      </c>
      <c r="GG44" s="475">
        <v>0</v>
      </c>
      <c r="GH44" s="475">
        <f t="shared" si="62"/>
        <v>20000000</v>
      </c>
      <c r="GI44" s="475"/>
      <c r="GJ44" s="475">
        <v>3000000</v>
      </c>
      <c r="GK44" s="475">
        <v>0</v>
      </c>
      <c r="GL44" s="475">
        <f t="shared" si="63"/>
        <v>3000000</v>
      </c>
      <c r="GM44" s="475"/>
      <c r="GN44" s="475">
        <v>15000000</v>
      </c>
      <c r="GO44" s="623">
        <f>12322346.72</f>
        <v>12322346.720000001</v>
      </c>
      <c r="GP44" s="475">
        <f t="shared" si="64"/>
        <v>2677653.2799999993</v>
      </c>
      <c r="GQ44" s="475"/>
      <c r="GR44" s="475">
        <v>3000000</v>
      </c>
      <c r="GS44" s="475">
        <v>0</v>
      </c>
      <c r="GT44" s="475">
        <f t="shared" si="65"/>
        <v>3000000</v>
      </c>
      <c r="GU44" s="475"/>
      <c r="GV44" s="468">
        <f t="shared" si="49"/>
        <v>1211240000</v>
      </c>
      <c r="GW44" s="468">
        <f t="shared" si="49"/>
        <v>956003019.61000001</v>
      </c>
      <c r="GX44" s="468">
        <f t="shared" si="50"/>
        <v>255236980.38999999</v>
      </c>
      <c r="GY44" s="472"/>
      <c r="HA44" s="468">
        <f>D44+H44+L44+X44+AN44+BD44+BX44+CR44+DT44+DL44+EN44+FH44+GB44</f>
        <v>809240000</v>
      </c>
      <c r="HB44" s="468">
        <f>E44+I44+M44+Y44+AO44+BE44+BY44+CS44+DU44+DM44+EO44+FI44+GC44</f>
        <v>622456729.74000001</v>
      </c>
      <c r="HC44" s="471">
        <f t="shared" si="51"/>
        <v>186783270.25999999</v>
      </c>
      <c r="HE44" s="471">
        <f>P44+AB44+AR44+BH44+CB44+CV44+DX44+ER44+FL44+GF44</f>
        <v>110500000</v>
      </c>
      <c r="HF44" s="471">
        <f>Q44+AC44+AS44+BI44+CC44+CW44+DY44+ES44+FM44+GG44</f>
        <v>75892196.900000006</v>
      </c>
      <c r="HG44" s="471">
        <f t="shared" si="52"/>
        <v>34607803.099999994</v>
      </c>
      <c r="HI44" s="471">
        <f>T44+AF44+AV44+BL44+CF44+CZ44+EB44+EV44+FP44+GJ44</f>
        <v>55000000</v>
      </c>
      <c r="HJ44" s="471">
        <f>U44+AG44+AW44+BM44+CG44+DA44+EC44+EW44+FQ44+GK44</f>
        <v>30545000</v>
      </c>
      <c r="HK44" s="471">
        <f t="shared" si="53"/>
        <v>24455000</v>
      </c>
      <c r="HM44" s="471">
        <f>AJ44+AZ44+BP44+CJ44+DD44+EF44+EZ44+FT44+GN44</f>
        <v>197500000</v>
      </c>
      <c r="HN44" s="471">
        <f>AK44+BA44+BQ44+CK44+DE44+EG44+FA44+FU44+GO44</f>
        <v>194822346.72</v>
      </c>
      <c r="HO44" s="471">
        <f t="shared" si="54"/>
        <v>2677653.2800000012</v>
      </c>
      <c r="HP44" s="531"/>
      <c r="HQ44" s="471">
        <f>BT44+CN44+DH44+EJ44+FD44+FX44+GR44</f>
        <v>39000000</v>
      </c>
      <c r="HR44" s="471">
        <f>BU44+CO44+DI44+EK44+FE44+FY44+GS44</f>
        <v>32286746.25</v>
      </c>
      <c r="HS44" s="471">
        <f t="shared" si="55"/>
        <v>6713253.75</v>
      </c>
    </row>
    <row r="45" spans="1:299" x14ac:dyDescent="0.25">
      <c r="A45" s="107">
        <v>42</v>
      </c>
      <c r="B45" s="107" t="s">
        <v>241</v>
      </c>
      <c r="C45" s="631" t="s">
        <v>61</v>
      </c>
      <c r="D45" s="468">
        <v>0</v>
      </c>
      <c r="E45" s="468">
        <v>0</v>
      </c>
      <c r="F45" s="468">
        <f t="shared" si="12"/>
        <v>0</v>
      </c>
      <c r="G45" s="468"/>
      <c r="H45" s="468">
        <v>25240000</v>
      </c>
      <c r="I45" s="468">
        <v>25240000</v>
      </c>
      <c r="J45" s="468">
        <f t="shared" si="13"/>
        <v>0</v>
      </c>
      <c r="K45" s="468"/>
      <c r="L45" s="468">
        <v>25000000</v>
      </c>
      <c r="M45" s="468">
        <v>25000000</v>
      </c>
      <c r="N45" s="468">
        <f t="shared" si="14"/>
        <v>0</v>
      </c>
      <c r="O45" s="468"/>
      <c r="P45" s="468">
        <v>3000000</v>
      </c>
      <c r="Q45" s="468">
        <v>3000000</v>
      </c>
      <c r="R45" s="468">
        <f t="shared" si="15"/>
        <v>0</v>
      </c>
      <c r="S45" s="468"/>
      <c r="T45" s="468">
        <f>1000000-1000000</f>
        <v>0</v>
      </c>
      <c r="U45" s="468">
        <v>0</v>
      </c>
      <c r="V45" s="468">
        <f t="shared" si="16"/>
        <v>0</v>
      </c>
      <c r="W45" s="468"/>
      <c r="X45" s="468">
        <v>30000000</v>
      </c>
      <c r="Y45" s="468">
        <v>30000000</v>
      </c>
      <c r="Z45" s="468">
        <f t="shared" si="17"/>
        <v>0</v>
      </c>
      <c r="AA45" s="468"/>
      <c r="AB45" s="468">
        <v>5000000</v>
      </c>
      <c r="AC45" s="468">
        <v>5000000</v>
      </c>
      <c r="AD45" s="468">
        <f t="shared" si="18"/>
        <v>0</v>
      </c>
      <c r="AE45" s="543"/>
      <c r="AF45" s="560">
        <f t="shared" si="56"/>
        <v>0</v>
      </c>
      <c r="AG45" s="468">
        <v>0</v>
      </c>
      <c r="AH45" s="468">
        <f t="shared" si="19"/>
        <v>0</v>
      </c>
      <c r="AI45" s="468"/>
      <c r="AJ45" s="468">
        <v>7500000</v>
      </c>
      <c r="AK45" s="468">
        <v>7500000</v>
      </c>
      <c r="AL45" s="468">
        <f t="shared" si="20"/>
        <v>0</v>
      </c>
      <c r="AM45" s="468"/>
      <c r="AN45" s="468">
        <v>40000000</v>
      </c>
      <c r="AO45" s="468">
        <v>40000000</v>
      </c>
      <c r="AP45" s="468">
        <f t="shared" si="0"/>
        <v>0</v>
      </c>
      <c r="AQ45" s="468"/>
      <c r="AR45" s="468">
        <v>3000000</v>
      </c>
      <c r="AS45" s="468">
        <v>3000000</v>
      </c>
      <c r="AT45" s="468">
        <f t="shared" si="21"/>
        <v>0</v>
      </c>
      <c r="AU45" s="468"/>
      <c r="AV45" s="468">
        <v>2000000</v>
      </c>
      <c r="AW45" s="468">
        <v>0</v>
      </c>
      <c r="AX45" s="468">
        <f t="shared" si="22"/>
        <v>2000000</v>
      </c>
      <c r="AY45" s="468"/>
      <c r="AZ45" s="468">
        <v>10000000</v>
      </c>
      <c r="BA45" s="468">
        <v>10000000</v>
      </c>
      <c r="BB45" s="468">
        <f t="shared" si="1"/>
        <v>0</v>
      </c>
      <c r="BC45" s="468"/>
      <c r="BD45" s="468">
        <v>64000000</v>
      </c>
      <c r="BE45" s="468">
        <f>33936883+10720000+19343117</f>
        <v>64000000</v>
      </c>
      <c r="BF45" s="468">
        <f t="shared" si="23"/>
        <v>0</v>
      </c>
      <c r="BG45" s="468"/>
      <c r="BH45" s="468">
        <v>9500000</v>
      </c>
      <c r="BI45" s="468">
        <f>1379051+6000000+2120949</f>
        <v>9500000</v>
      </c>
      <c r="BJ45" s="468">
        <f t="shared" si="24"/>
        <v>0</v>
      </c>
      <c r="BK45" s="468"/>
      <c r="BL45" s="468">
        <v>5000000</v>
      </c>
      <c r="BM45" s="468">
        <v>0</v>
      </c>
      <c r="BN45" s="468">
        <f t="shared" si="25"/>
        <v>5000000</v>
      </c>
      <c r="BO45" s="468"/>
      <c r="BP45" s="468">
        <v>20000000</v>
      </c>
      <c r="BQ45" s="468">
        <f>8101066.42+3054775+8844158.58</f>
        <v>20000000</v>
      </c>
      <c r="BR45" s="468">
        <f t="shared" si="2"/>
        <v>0</v>
      </c>
      <c r="BS45" s="468"/>
      <c r="BT45" s="468">
        <v>1000000</v>
      </c>
      <c r="BU45" s="468">
        <f>1000000</f>
        <v>1000000</v>
      </c>
      <c r="BV45" s="468">
        <f t="shared" si="3"/>
        <v>0</v>
      </c>
      <c r="BW45" s="468"/>
      <c r="BX45" s="468">
        <v>80000000</v>
      </c>
      <c r="BY45" s="468">
        <f>7968233+4550000+36264174+22007000+9210593</f>
        <v>80000000</v>
      </c>
      <c r="BZ45" s="468">
        <f t="shared" si="26"/>
        <v>0</v>
      </c>
      <c r="CA45" s="468"/>
      <c r="CB45" s="468">
        <v>10000000</v>
      </c>
      <c r="CC45" s="468">
        <f>1644051+8355949</f>
        <v>10000000</v>
      </c>
      <c r="CD45" s="468">
        <f t="shared" si="4"/>
        <v>0</v>
      </c>
      <c r="CE45" s="468"/>
      <c r="CF45" s="468">
        <v>10000000</v>
      </c>
      <c r="CG45" s="468">
        <v>0</v>
      </c>
      <c r="CH45" s="468">
        <f t="shared" si="27"/>
        <v>10000000</v>
      </c>
      <c r="CI45" s="468"/>
      <c r="CJ45" s="468">
        <v>30000000</v>
      </c>
      <c r="CK45" s="468">
        <f>10269931.42+4061690+1810360+6029795+7828223.58</f>
        <v>30000000</v>
      </c>
      <c r="CL45" s="468">
        <f t="shared" si="5"/>
        <v>0</v>
      </c>
      <c r="CM45" s="468"/>
      <c r="CN45" s="468">
        <v>10000000</v>
      </c>
      <c r="CO45" s="468">
        <f>5205000+4795000</f>
        <v>10000000</v>
      </c>
      <c r="CP45" s="468">
        <f t="shared" si="6"/>
        <v>0</v>
      </c>
      <c r="CQ45" s="468"/>
      <c r="CR45" s="468">
        <v>100000000</v>
      </c>
      <c r="CS45" s="468">
        <f>41786890+30000000+28213110</f>
        <v>100000000</v>
      </c>
      <c r="CT45" s="468">
        <f t="shared" si="7"/>
        <v>0</v>
      </c>
      <c r="CU45" s="468"/>
      <c r="CV45" s="468">
        <v>20000000</v>
      </c>
      <c r="CW45" s="468">
        <f>6607351+5070000+8322649</f>
        <v>20000000</v>
      </c>
      <c r="CX45" s="468">
        <f t="shared" si="8"/>
        <v>0</v>
      </c>
      <c r="CY45" s="468"/>
      <c r="CZ45" s="468">
        <v>20000000</v>
      </c>
      <c r="DA45" s="468">
        <v>0</v>
      </c>
      <c r="DB45" s="468">
        <f t="shared" si="9"/>
        <v>20000000</v>
      </c>
      <c r="DC45" s="468"/>
      <c r="DD45" s="468">
        <v>50000000</v>
      </c>
      <c r="DE45" s="468">
        <f>11955755.42+24247170+4654206+188600+8954268.58</f>
        <v>50000000</v>
      </c>
      <c r="DF45" s="468">
        <f t="shared" si="10"/>
        <v>0</v>
      </c>
      <c r="DG45" s="468"/>
      <c r="DH45" s="468">
        <v>10000000</v>
      </c>
      <c r="DI45" s="468">
        <f>1521500+4979320+1993380+1505800</f>
        <v>10000000</v>
      </c>
      <c r="DJ45" s="468">
        <f t="shared" si="11"/>
        <v>0</v>
      </c>
      <c r="DK45" s="468"/>
      <c r="DL45" s="471">
        <v>0</v>
      </c>
      <c r="DM45" s="471">
        <v>0</v>
      </c>
      <c r="DN45" s="471">
        <f t="shared" si="28"/>
        <v>0</v>
      </c>
      <c r="DO45" s="524"/>
      <c r="DP45" s="471"/>
      <c r="DQ45" s="471"/>
      <c r="DR45" s="471"/>
      <c r="DS45" s="473"/>
      <c r="DT45" s="471">
        <v>70000000</v>
      </c>
      <c r="DU45" s="471">
        <f>38184447+31815553</f>
        <v>70000000</v>
      </c>
      <c r="DV45" s="471">
        <f t="shared" si="29"/>
        <v>0</v>
      </c>
      <c r="DW45" s="473"/>
      <c r="DX45" s="471">
        <v>10000000</v>
      </c>
      <c r="DY45" s="471">
        <f>1777351+8050000+172649</f>
        <v>10000000</v>
      </c>
      <c r="DZ45" s="471">
        <f t="shared" si="30"/>
        <v>0</v>
      </c>
      <c r="EA45" s="473"/>
      <c r="EB45" s="471">
        <v>5000000</v>
      </c>
      <c r="EC45" s="471">
        <v>0</v>
      </c>
      <c r="ED45" s="471">
        <f t="shared" si="31"/>
        <v>5000000</v>
      </c>
      <c r="EE45" s="473"/>
      <c r="EF45" s="471">
        <v>20000000</v>
      </c>
      <c r="EG45" s="471">
        <f>6291215.42+13708784.58</f>
        <v>20000000</v>
      </c>
      <c r="EH45" s="471">
        <f t="shared" si="32"/>
        <v>0</v>
      </c>
      <c r="EI45" s="473"/>
      <c r="EJ45" s="471">
        <v>5000000</v>
      </c>
      <c r="EK45" s="471">
        <f>3271200+1728800</f>
        <v>5000000</v>
      </c>
      <c r="EL45" s="471">
        <f t="shared" si="33"/>
        <v>0</v>
      </c>
      <c r="EM45" s="631" t="s">
        <v>61</v>
      </c>
      <c r="EN45" s="475">
        <v>200000000</v>
      </c>
      <c r="EO45" s="626">
        <f>15094197+78766500+25925000+42244000</f>
        <v>162029697</v>
      </c>
      <c r="EP45" s="475">
        <f t="shared" si="34"/>
        <v>37970303</v>
      </c>
      <c r="EQ45" s="475"/>
      <c r="ER45" s="475">
        <v>18000000</v>
      </c>
      <c r="ES45" s="625">
        <f>835351+5919600+3300000+450000+3949635</f>
        <v>14454586</v>
      </c>
      <c r="ET45" s="475">
        <f t="shared" si="35"/>
        <v>3545414</v>
      </c>
      <c r="EU45" s="475"/>
      <c r="EV45" s="475">
        <v>5000000</v>
      </c>
      <c r="EW45" s="475">
        <v>0</v>
      </c>
      <c r="EX45" s="475">
        <f t="shared" si="36"/>
        <v>5000000</v>
      </c>
      <c r="EY45" s="475"/>
      <c r="EZ45" s="475">
        <v>25000000</v>
      </c>
      <c r="FA45" s="475">
        <f>9196265.42+10295865+3194180+1062260+1251429.58</f>
        <v>25000000</v>
      </c>
      <c r="FB45" s="475">
        <f t="shared" si="37"/>
        <v>0</v>
      </c>
      <c r="FC45" s="475"/>
      <c r="FD45" s="475">
        <v>5000000</v>
      </c>
      <c r="FE45" s="625">
        <f>641000+1300500+843000+647700</f>
        <v>3432200</v>
      </c>
      <c r="FF45" s="475">
        <f t="shared" si="38"/>
        <v>1567800</v>
      </c>
      <c r="FG45" s="107"/>
      <c r="FH45" s="475">
        <v>75000000</v>
      </c>
      <c r="FI45" s="475">
        <v>0</v>
      </c>
      <c r="FJ45" s="475">
        <f t="shared" si="39"/>
        <v>75000000</v>
      </c>
      <c r="FK45" s="475"/>
      <c r="FL45" s="475">
        <v>20000000</v>
      </c>
      <c r="FM45" s="475">
        <v>0</v>
      </c>
      <c r="FN45" s="475">
        <f t="shared" si="57"/>
        <v>20000000</v>
      </c>
      <c r="FO45" s="475"/>
      <c r="FP45" s="475">
        <v>5000000</v>
      </c>
      <c r="FQ45" s="475">
        <v>0</v>
      </c>
      <c r="FR45" s="475">
        <f t="shared" si="58"/>
        <v>5000000</v>
      </c>
      <c r="FS45" s="475"/>
      <c r="FT45" s="475">
        <v>20000000</v>
      </c>
      <c r="FU45" s="626">
        <f>2284315.42+11226235-4323790+6232690</f>
        <v>15419450.42</v>
      </c>
      <c r="FV45" s="475">
        <f t="shared" si="59"/>
        <v>4580549.58</v>
      </c>
      <c r="FW45" s="475"/>
      <c r="FX45" s="475">
        <v>5000000</v>
      </c>
      <c r="FY45" s="475">
        <v>0</v>
      </c>
      <c r="FZ45" s="475">
        <f t="shared" si="60"/>
        <v>5000000</v>
      </c>
      <c r="GA45" s="475"/>
      <c r="GB45" s="475">
        <v>100000000</v>
      </c>
      <c r="GC45" s="475">
        <v>0</v>
      </c>
      <c r="GD45" s="475">
        <f t="shared" si="61"/>
        <v>100000000</v>
      </c>
      <c r="GE45" s="475"/>
      <c r="GF45" s="475">
        <v>20000000</v>
      </c>
      <c r="GG45" s="475">
        <v>0</v>
      </c>
      <c r="GH45" s="475">
        <f t="shared" si="62"/>
        <v>20000000</v>
      </c>
      <c r="GI45" s="475"/>
      <c r="GJ45" s="475">
        <v>3000000</v>
      </c>
      <c r="GK45" s="475">
        <v>0</v>
      </c>
      <c r="GL45" s="475">
        <f t="shared" si="63"/>
        <v>3000000</v>
      </c>
      <c r="GM45" s="475"/>
      <c r="GN45" s="475">
        <v>15000000</v>
      </c>
      <c r="GO45" s="475">
        <v>0</v>
      </c>
      <c r="GP45" s="475">
        <f t="shared" si="64"/>
        <v>15000000</v>
      </c>
      <c r="GQ45" s="475"/>
      <c r="GR45" s="475">
        <v>3000000</v>
      </c>
      <c r="GS45" s="475">
        <v>0</v>
      </c>
      <c r="GT45" s="475">
        <f t="shared" si="65"/>
        <v>3000000</v>
      </c>
      <c r="GU45" s="475"/>
      <c r="GV45" s="468">
        <f t="shared" si="49"/>
        <v>1219240000</v>
      </c>
      <c r="GW45" s="468">
        <f t="shared" si="49"/>
        <v>878575933.41999996</v>
      </c>
      <c r="GX45" s="468">
        <f t="shared" si="50"/>
        <v>340664066.58000004</v>
      </c>
      <c r="GY45" s="472"/>
      <c r="HA45" s="468">
        <f>D45+H45+L45+X45+AN45+BD45+BX45+CR45+DT45+DL45+EN45+FH45+GB45</f>
        <v>809240000</v>
      </c>
      <c r="HB45" s="468">
        <f>E45+I45+M45+Y45+AO45+BE45+BY45+CS45+DU45+DM45+EO45+FI45+GC45</f>
        <v>596269697</v>
      </c>
      <c r="HC45" s="471">
        <f t="shared" si="51"/>
        <v>212970303</v>
      </c>
      <c r="HE45" s="471">
        <f>P45+AB45+AR45+BH45+CB45+CV45+DX45+ER45+FL45+GF45</f>
        <v>118500000</v>
      </c>
      <c r="HF45" s="471">
        <f>Q45+AC45+AS45+BI45+CC45+CW45+DY45+ES45+FM45+GG45</f>
        <v>74954586</v>
      </c>
      <c r="HG45" s="471">
        <f t="shared" si="52"/>
        <v>43545414</v>
      </c>
      <c r="HI45" s="471">
        <f>T45+AF45+AV45+BL45+CF45+CZ45+EB45+EV45+FP45+GJ45</f>
        <v>55000000</v>
      </c>
      <c r="HJ45" s="471">
        <f>U45+AG45+AW45+BM45+CG45+DA45+EC45+EW45+FQ45+GK45</f>
        <v>0</v>
      </c>
      <c r="HK45" s="471">
        <f t="shared" si="53"/>
        <v>55000000</v>
      </c>
      <c r="HM45" s="471">
        <f>AJ45+AZ45+BP45+CJ45+DD45+EF45+EZ45+FT45+GN45</f>
        <v>197500000</v>
      </c>
      <c r="HN45" s="471">
        <f>AK45+BA45+BQ45+CK45+DE45+EG45+FA45+FU45+GO45</f>
        <v>177919450.41999999</v>
      </c>
      <c r="HO45" s="471">
        <f t="shared" si="54"/>
        <v>19580549.580000013</v>
      </c>
      <c r="HP45" s="531"/>
      <c r="HQ45" s="471">
        <f>BT45+CN45+DH45+EJ45+FD45+FX45+GR45</f>
        <v>39000000</v>
      </c>
      <c r="HR45" s="471">
        <f>BU45+CO45+DI45+EK45+FE45+FY45+GS45</f>
        <v>29432200</v>
      </c>
      <c r="HS45" s="471">
        <f t="shared" si="55"/>
        <v>9567800</v>
      </c>
    </row>
    <row r="46" spans="1:299" x14ac:dyDescent="0.25">
      <c r="A46" s="107">
        <v>43</v>
      </c>
      <c r="B46" s="107" t="s">
        <v>242</v>
      </c>
      <c r="C46" s="631" t="s">
        <v>74</v>
      </c>
      <c r="D46" s="488">
        <v>1250000</v>
      </c>
      <c r="E46" s="488">
        <v>1250000</v>
      </c>
      <c r="F46" s="468">
        <f t="shared" si="12"/>
        <v>0</v>
      </c>
      <c r="G46" s="488"/>
      <c r="H46" s="468">
        <v>25240000</v>
      </c>
      <c r="I46" s="468">
        <v>25240000</v>
      </c>
      <c r="J46" s="468">
        <f t="shared" si="13"/>
        <v>0</v>
      </c>
      <c r="K46" s="488"/>
      <c r="L46" s="468">
        <v>13352438</v>
      </c>
      <c r="M46" s="468">
        <f>10602438+2750000</f>
        <v>13352438</v>
      </c>
      <c r="N46" s="468">
        <f t="shared" si="14"/>
        <v>0</v>
      </c>
      <c r="O46" s="488"/>
      <c r="P46" s="468">
        <f>3000000-3000000</f>
        <v>0</v>
      </c>
      <c r="Q46" s="468">
        <v>0</v>
      </c>
      <c r="R46" s="468">
        <f t="shared" si="15"/>
        <v>0</v>
      </c>
      <c r="S46" s="488"/>
      <c r="T46" s="468">
        <f>1000000-1000000</f>
        <v>0</v>
      </c>
      <c r="U46" s="468">
        <v>0</v>
      </c>
      <c r="V46" s="468">
        <f t="shared" si="16"/>
        <v>0</v>
      </c>
      <c r="W46" s="488"/>
      <c r="X46" s="468">
        <v>1550000</v>
      </c>
      <c r="Y46" s="468">
        <v>1550000</v>
      </c>
      <c r="Z46" s="468">
        <f t="shared" si="17"/>
        <v>0</v>
      </c>
      <c r="AA46" s="488"/>
      <c r="AB46" s="468">
        <f>5000000-5000000</f>
        <v>0</v>
      </c>
      <c r="AC46" s="468">
        <v>0</v>
      </c>
      <c r="AD46" s="468">
        <f t="shared" si="18"/>
        <v>0</v>
      </c>
      <c r="AE46" s="488"/>
      <c r="AF46" s="560">
        <f t="shared" si="56"/>
        <v>0</v>
      </c>
      <c r="AG46" s="468">
        <v>0</v>
      </c>
      <c r="AH46" s="468">
        <f t="shared" si="19"/>
        <v>0</v>
      </c>
      <c r="AI46" s="488"/>
      <c r="AJ46" s="468">
        <v>7500000</v>
      </c>
      <c r="AK46" s="468">
        <v>7500000</v>
      </c>
      <c r="AL46" s="468">
        <f t="shared" si="20"/>
        <v>0</v>
      </c>
      <c r="AM46" s="468"/>
      <c r="AN46" s="468">
        <v>40000000</v>
      </c>
      <c r="AO46" s="468">
        <f>20940800+8350000</f>
        <v>29290800</v>
      </c>
      <c r="AP46" s="468">
        <f t="shared" si="0"/>
        <v>10709200</v>
      </c>
      <c r="AQ46" s="488"/>
      <c r="AR46" s="468">
        <v>3000000</v>
      </c>
      <c r="AS46" s="468">
        <f>3000000-3000000+3000000</f>
        <v>3000000</v>
      </c>
      <c r="AT46" s="468">
        <f t="shared" si="21"/>
        <v>0</v>
      </c>
      <c r="AU46" s="488"/>
      <c r="AV46" s="468">
        <v>2000000</v>
      </c>
      <c r="AW46" s="468">
        <v>2000000</v>
      </c>
      <c r="AX46" s="468">
        <f t="shared" si="22"/>
        <v>0</v>
      </c>
      <c r="AY46" s="488"/>
      <c r="AZ46" s="468">
        <v>10000000</v>
      </c>
      <c r="BA46" s="468">
        <v>10000000</v>
      </c>
      <c r="BB46" s="468">
        <f t="shared" si="1"/>
        <v>0</v>
      </c>
      <c r="BC46" s="488"/>
      <c r="BD46" s="468">
        <v>64000000</v>
      </c>
      <c r="BE46" s="468">
        <f>22584625+41415375</f>
        <v>64000000</v>
      </c>
      <c r="BF46" s="468">
        <f t="shared" si="23"/>
        <v>0</v>
      </c>
      <c r="BG46" s="488"/>
      <c r="BH46" s="468">
        <v>9500000</v>
      </c>
      <c r="BI46" s="468">
        <f>9500000-9500000+9500000</f>
        <v>9500000</v>
      </c>
      <c r="BJ46" s="468">
        <f t="shared" si="24"/>
        <v>0</v>
      </c>
      <c r="BK46" s="488"/>
      <c r="BL46" s="468">
        <v>5000000</v>
      </c>
      <c r="BM46" s="504">
        <f>2925750+869250+1205000</f>
        <v>5000000</v>
      </c>
      <c r="BN46" s="468">
        <f t="shared" si="25"/>
        <v>0</v>
      </c>
      <c r="BO46" s="488"/>
      <c r="BP46" s="468">
        <v>20000000</v>
      </c>
      <c r="BQ46" s="468">
        <f>9873668.98+6789030+3337301.02</f>
        <v>20000000</v>
      </c>
      <c r="BR46" s="468">
        <f t="shared" si="2"/>
        <v>0</v>
      </c>
      <c r="BS46" s="488"/>
      <c r="BT46" s="468">
        <v>1000000</v>
      </c>
      <c r="BU46" s="468">
        <v>1000000</v>
      </c>
      <c r="BV46" s="468">
        <f t="shared" si="3"/>
        <v>0</v>
      </c>
      <c r="BW46" s="488"/>
      <c r="BX46" s="468">
        <v>80000000</v>
      </c>
      <c r="BY46" s="468">
        <f>2657015+29874400+47468585</f>
        <v>80000000</v>
      </c>
      <c r="BZ46" s="468">
        <f t="shared" si="26"/>
        <v>0</v>
      </c>
      <c r="CA46" s="488"/>
      <c r="CB46" s="468">
        <v>10000000</v>
      </c>
      <c r="CC46" s="468">
        <f>10000000-10000000+10000000</f>
        <v>10000000</v>
      </c>
      <c r="CD46" s="468">
        <f t="shared" si="4"/>
        <v>0</v>
      </c>
      <c r="CE46" s="488"/>
      <c r="CF46" s="468">
        <v>10000000</v>
      </c>
      <c r="CG46" s="504">
        <v>10000000</v>
      </c>
      <c r="CH46" s="468">
        <f t="shared" si="27"/>
        <v>0</v>
      </c>
      <c r="CI46" s="488"/>
      <c r="CJ46" s="468">
        <v>30000000</v>
      </c>
      <c r="CK46" s="468">
        <f>23408978.98+4478550+2112471.02</f>
        <v>30000000</v>
      </c>
      <c r="CL46" s="468">
        <f t="shared" si="5"/>
        <v>0</v>
      </c>
      <c r="CM46" s="471"/>
      <c r="CN46" s="468">
        <v>10000000</v>
      </c>
      <c r="CO46" s="468">
        <f>9819491.65+180508.35</f>
        <v>10000000</v>
      </c>
      <c r="CP46" s="468">
        <f t="shared" si="6"/>
        <v>0</v>
      </c>
      <c r="CQ46" s="488"/>
      <c r="CR46" s="468">
        <v>100000000</v>
      </c>
      <c r="CS46" s="468">
        <f>19629129+11016000+69354871</f>
        <v>100000000</v>
      </c>
      <c r="CT46" s="468">
        <f t="shared" si="7"/>
        <v>0</v>
      </c>
      <c r="CU46" s="488"/>
      <c r="CV46" s="468">
        <v>20000000</v>
      </c>
      <c r="CW46" s="468">
        <f>9390060+6000000+1500000-1500000+1500000+3109940</f>
        <v>20000000</v>
      </c>
      <c r="CX46" s="468">
        <f t="shared" si="8"/>
        <v>0</v>
      </c>
      <c r="CY46" s="488"/>
      <c r="CZ46" s="468">
        <v>20000000</v>
      </c>
      <c r="DA46" s="504">
        <f>1545000</f>
        <v>1545000</v>
      </c>
      <c r="DB46" s="468">
        <f t="shared" si="9"/>
        <v>18455000</v>
      </c>
      <c r="DC46" s="488"/>
      <c r="DD46" s="468">
        <v>50000000</v>
      </c>
      <c r="DE46" s="463">
        <f>37582088.98+10045808+1326800+1045303.02</f>
        <v>50000000</v>
      </c>
      <c r="DF46" s="468">
        <f t="shared" si="10"/>
        <v>0</v>
      </c>
      <c r="DG46" s="468"/>
      <c r="DH46" s="468">
        <v>10000000</v>
      </c>
      <c r="DI46" s="468">
        <f>8261691.65+1738308.35</f>
        <v>10000000</v>
      </c>
      <c r="DJ46" s="468">
        <f t="shared" si="11"/>
        <v>0</v>
      </c>
      <c r="DK46" s="488"/>
      <c r="DL46" s="471">
        <v>0</v>
      </c>
      <c r="DM46" s="471">
        <v>0</v>
      </c>
      <c r="DN46" s="471">
        <f t="shared" si="28"/>
        <v>0</v>
      </c>
      <c r="DO46" s="539"/>
      <c r="DP46" s="471"/>
      <c r="DQ46" s="471"/>
      <c r="DR46" s="471"/>
      <c r="DS46" s="473"/>
      <c r="DT46" s="471">
        <v>70000000</v>
      </c>
      <c r="DU46" s="471">
        <f>58817762+11182238</f>
        <v>70000000</v>
      </c>
      <c r="DV46" s="471">
        <f t="shared" si="29"/>
        <v>0</v>
      </c>
      <c r="DW46" s="473"/>
      <c r="DX46" s="471">
        <v>10000000</v>
      </c>
      <c r="DY46" s="471">
        <f>374946.4+1689300+7935753.6</f>
        <v>10000000</v>
      </c>
      <c r="DZ46" s="471">
        <f t="shared" si="30"/>
        <v>0</v>
      </c>
      <c r="EA46" s="473"/>
      <c r="EB46" s="471">
        <v>5000000</v>
      </c>
      <c r="EC46" s="471">
        <v>0</v>
      </c>
      <c r="ED46" s="471">
        <f t="shared" si="31"/>
        <v>5000000</v>
      </c>
      <c r="EE46" s="473"/>
      <c r="EF46" s="471">
        <v>20000000</v>
      </c>
      <c r="EG46" s="471">
        <v>20000000</v>
      </c>
      <c r="EH46" s="471">
        <f t="shared" si="32"/>
        <v>0</v>
      </c>
      <c r="EI46" s="473"/>
      <c r="EJ46" s="471">
        <v>5000000</v>
      </c>
      <c r="EK46" s="471">
        <f>171013.7+1489800+3339186.3</f>
        <v>5000000</v>
      </c>
      <c r="EL46" s="471">
        <f t="shared" si="33"/>
        <v>0</v>
      </c>
      <c r="EM46" s="631" t="s">
        <v>74</v>
      </c>
      <c r="EN46" s="475">
        <v>200000000</v>
      </c>
      <c r="EO46" s="627">
        <f>24391491+35540224.25</f>
        <v>59931715.25</v>
      </c>
      <c r="EP46" s="475">
        <f t="shared" si="34"/>
        <v>140068284.75</v>
      </c>
      <c r="EQ46" s="475"/>
      <c r="ER46" s="475">
        <v>18000000</v>
      </c>
      <c r="ES46" s="475">
        <f>558440.23+3576600</f>
        <v>4135040.23</v>
      </c>
      <c r="ET46" s="475">
        <f t="shared" si="35"/>
        <v>13864959.77</v>
      </c>
      <c r="EU46" s="475"/>
      <c r="EV46" s="475">
        <v>5000000</v>
      </c>
      <c r="EW46" s="475">
        <v>0</v>
      </c>
      <c r="EX46" s="475">
        <f t="shared" si="36"/>
        <v>5000000</v>
      </c>
      <c r="EY46" s="475"/>
      <c r="EZ46" s="475">
        <v>25000000</v>
      </c>
      <c r="FA46" s="475">
        <f>585900+3451276.98+9085900</f>
        <v>13123076.98</v>
      </c>
      <c r="FB46" s="475">
        <f t="shared" si="37"/>
        <v>11876923.02</v>
      </c>
      <c r="FC46" s="475"/>
      <c r="FD46" s="475">
        <v>5000000</v>
      </c>
      <c r="FE46" s="475">
        <f>1522813.7+858000</f>
        <v>2380813.7000000002</v>
      </c>
      <c r="FF46" s="475">
        <f t="shared" si="38"/>
        <v>2619186.2999999998</v>
      </c>
      <c r="FG46" s="107"/>
      <c r="FH46" s="475">
        <v>75000000</v>
      </c>
      <c r="FI46" s="475">
        <v>0</v>
      </c>
      <c r="FJ46" s="475">
        <f t="shared" si="39"/>
        <v>75000000</v>
      </c>
      <c r="FK46" s="475"/>
      <c r="FL46" s="475">
        <v>20000000</v>
      </c>
      <c r="FM46" s="475">
        <v>0</v>
      </c>
      <c r="FN46" s="475">
        <f t="shared" si="57"/>
        <v>20000000</v>
      </c>
      <c r="FO46" s="475"/>
      <c r="FP46" s="475">
        <v>5000000</v>
      </c>
      <c r="FQ46" s="475">
        <v>0</v>
      </c>
      <c r="FR46" s="475">
        <f t="shared" si="58"/>
        <v>5000000</v>
      </c>
      <c r="FS46" s="475"/>
      <c r="FT46" s="475">
        <v>20000000</v>
      </c>
      <c r="FU46" s="475">
        <v>0</v>
      </c>
      <c r="FV46" s="475">
        <f t="shared" si="59"/>
        <v>20000000</v>
      </c>
      <c r="FW46" s="475"/>
      <c r="FX46" s="475">
        <v>5000000</v>
      </c>
      <c r="FY46" s="475">
        <v>0</v>
      </c>
      <c r="FZ46" s="475">
        <f t="shared" si="60"/>
        <v>5000000</v>
      </c>
      <c r="GA46" s="475"/>
      <c r="GB46" s="475">
        <v>100000000</v>
      </c>
      <c r="GC46" s="475">
        <v>0</v>
      </c>
      <c r="GD46" s="475">
        <f t="shared" si="61"/>
        <v>100000000</v>
      </c>
      <c r="GE46" s="475"/>
      <c r="GF46" s="475">
        <v>20000000</v>
      </c>
      <c r="GG46" s="475">
        <v>0</v>
      </c>
      <c r="GH46" s="475">
        <f t="shared" si="62"/>
        <v>20000000</v>
      </c>
      <c r="GI46" s="475"/>
      <c r="GJ46" s="475">
        <v>3000000</v>
      </c>
      <c r="GK46" s="475">
        <v>0</v>
      </c>
      <c r="GL46" s="475">
        <f t="shared" si="63"/>
        <v>3000000</v>
      </c>
      <c r="GM46" s="475"/>
      <c r="GN46" s="475">
        <v>15000000</v>
      </c>
      <c r="GO46" s="475">
        <v>0</v>
      </c>
      <c r="GP46" s="475">
        <f t="shared" si="64"/>
        <v>15000000</v>
      </c>
      <c r="GQ46" s="475"/>
      <c r="GR46" s="475">
        <v>3000000</v>
      </c>
      <c r="GS46" s="475">
        <v>0</v>
      </c>
      <c r="GT46" s="475">
        <f t="shared" si="65"/>
        <v>3000000</v>
      </c>
      <c r="GU46" s="475"/>
      <c r="GV46" s="468">
        <f t="shared" si="49"/>
        <v>1172392438</v>
      </c>
      <c r="GW46" s="468">
        <f t="shared" si="49"/>
        <v>698798884.16000009</v>
      </c>
      <c r="GX46" s="468">
        <f t="shared" si="50"/>
        <v>473593553.83999991</v>
      </c>
      <c r="GY46" s="472"/>
      <c r="HA46" s="468">
        <f>D46+H46+L46+X46+AN46+BD46+BX46+CR46+DT46+DL46+EN46+FH46+GB46</f>
        <v>770392438</v>
      </c>
      <c r="HB46" s="468">
        <f>E46+I46+M46+Y46+AO46+BE46+BY46+CS46+DU46+DM46+EO46+FI46+GC46</f>
        <v>444614953.25</v>
      </c>
      <c r="HC46" s="471">
        <f t="shared" si="51"/>
        <v>325777484.75</v>
      </c>
      <c r="HE46" s="471">
        <f>P46+AB46+AR46+BH46+CB46+CV46+DX46+ER46+FL46+GF46</f>
        <v>110500000</v>
      </c>
      <c r="HF46" s="471">
        <f>Q46+AC46+AS46+BI46+CC46+CW46+DY46+ES46+FM46+GG46</f>
        <v>56635040.229999997</v>
      </c>
      <c r="HG46" s="471">
        <f t="shared" si="52"/>
        <v>53864959.770000003</v>
      </c>
      <c r="HI46" s="471">
        <f>T46+AF46+AV46+BL46+CF46+CZ46+EB46+EV46+FP46+GJ46</f>
        <v>55000000</v>
      </c>
      <c r="HJ46" s="471">
        <f>U46+AG46+AW46+BM46+CG46+DA46+EC46+EW46+FQ46+GK46</f>
        <v>18545000</v>
      </c>
      <c r="HK46" s="471">
        <f t="shared" si="53"/>
        <v>36455000</v>
      </c>
      <c r="HM46" s="471">
        <f>AJ46+AZ46+BP46+CJ46+DD46+EF46+EZ46+FT46+GN46</f>
        <v>197500000</v>
      </c>
      <c r="HN46" s="471">
        <f>AK46+BA46+BQ46+CK46+DE46+EG46+FA46+FU46+GO46</f>
        <v>150623076.97999999</v>
      </c>
      <c r="HO46" s="471">
        <f t="shared" si="54"/>
        <v>46876923.020000011</v>
      </c>
      <c r="HP46" s="531"/>
      <c r="HQ46" s="471">
        <f>BT46+CN46+DH46+EJ46+FD46+FX46+GR46</f>
        <v>39000000</v>
      </c>
      <c r="HR46" s="471">
        <f>BU46+CO46+DI46+EK46+FE46+FY46+GS46</f>
        <v>28380813.699999999</v>
      </c>
      <c r="HS46" s="471">
        <f t="shared" si="55"/>
        <v>10619186.300000001</v>
      </c>
    </row>
    <row r="47" spans="1:299" s="564" customFormat="1" x14ac:dyDescent="0.25">
      <c r="A47" s="107">
        <v>44</v>
      </c>
      <c r="B47" s="107" t="s">
        <v>243</v>
      </c>
      <c r="C47" s="631" t="s">
        <v>63</v>
      </c>
      <c r="D47" s="488">
        <v>1250000</v>
      </c>
      <c r="E47" s="488">
        <v>1250000</v>
      </c>
      <c r="F47" s="468">
        <f t="shared" si="12"/>
        <v>0</v>
      </c>
      <c r="G47" s="543"/>
      <c r="H47" s="463">
        <v>25240000</v>
      </c>
      <c r="I47" s="543">
        <v>25240000</v>
      </c>
      <c r="J47" s="468">
        <f t="shared" si="13"/>
        <v>0</v>
      </c>
      <c r="K47" s="543"/>
      <c r="L47" s="543">
        <v>25000000</v>
      </c>
      <c r="M47" s="543">
        <v>25000000</v>
      </c>
      <c r="N47" s="468">
        <f t="shared" si="14"/>
        <v>0</v>
      </c>
      <c r="O47" s="543"/>
      <c r="P47" s="543">
        <v>3000000</v>
      </c>
      <c r="Q47" s="543">
        <v>3000000</v>
      </c>
      <c r="R47" s="468">
        <f t="shared" si="15"/>
        <v>0</v>
      </c>
      <c r="S47" s="543"/>
      <c r="T47" s="543">
        <v>1000000</v>
      </c>
      <c r="U47" s="543">
        <v>1000000</v>
      </c>
      <c r="V47" s="468">
        <f t="shared" si="16"/>
        <v>0</v>
      </c>
      <c r="W47" s="543"/>
      <c r="X47" s="543">
        <v>30000000</v>
      </c>
      <c r="Y47" s="543">
        <v>30000000</v>
      </c>
      <c r="Z47" s="468">
        <f t="shared" si="17"/>
        <v>0</v>
      </c>
      <c r="AA47" s="543"/>
      <c r="AB47" s="543">
        <v>5000000</v>
      </c>
      <c r="AC47" s="543">
        <f>3533650+1466350</f>
        <v>5000000</v>
      </c>
      <c r="AD47" s="468">
        <f t="shared" si="18"/>
        <v>0</v>
      </c>
      <c r="AE47" s="543"/>
      <c r="AF47" s="543">
        <v>5000000</v>
      </c>
      <c r="AG47" s="543">
        <f>2000000+1428000+1572000</f>
        <v>5000000</v>
      </c>
      <c r="AH47" s="468">
        <f t="shared" si="19"/>
        <v>0</v>
      </c>
      <c r="AI47" s="543"/>
      <c r="AJ47" s="543">
        <v>7500000</v>
      </c>
      <c r="AK47" s="463">
        <f>7495030+4970</f>
        <v>7500000</v>
      </c>
      <c r="AL47" s="468">
        <f t="shared" si="20"/>
        <v>0</v>
      </c>
      <c r="AM47" s="463"/>
      <c r="AN47" s="543">
        <v>40000000</v>
      </c>
      <c r="AO47" s="543">
        <v>40000000</v>
      </c>
      <c r="AP47" s="468">
        <f t="shared" si="0"/>
        <v>0</v>
      </c>
      <c r="AQ47" s="543"/>
      <c r="AR47" s="543">
        <v>3000000</v>
      </c>
      <c r="AS47" s="543">
        <f>1447750+1552250</f>
        <v>3000000</v>
      </c>
      <c r="AT47" s="468">
        <f t="shared" si="21"/>
        <v>0</v>
      </c>
      <c r="AU47" s="543"/>
      <c r="AV47" s="543">
        <v>2000000</v>
      </c>
      <c r="AW47" s="543">
        <f>1250000+3187500-2437500</f>
        <v>2000000</v>
      </c>
      <c r="AX47" s="468">
        <f t="shared" si="22"/>
        <v>0</v>
      </c>
      <c r="AY47" s="543"/>
      <c r="AZ47" s="543">
        <v>10000000</v>
      </c>
      <c r="BA47" s="543">
        <f>10000000</f>
        <v>10000000</v>
      </c>
      <c r="BB47" s="468">
        <f t="shared" si="1"/>
        <v>0</v>
      </c>
      <c r="BC47" s="543"/>
      <c r="BD47" s="543">
        <v>64000000</v>
      </c>
      <c r="BE47" s="543">
        <f>63740947+259053</f>
        <v>64000000</v>
      </c>
      <c r="BF47" s="468">
        <f t="shared" si="23"/>
        <v>0</v>
      </c>
      <c r="BG47" s="543"/>
      <c r="BH47" s="543">
        <v>9500000</v>
      </c>
      <c r="BI47" s="543">
        <f>4447750+1300000+3205000+547250</f>
        <v>9500000</v>
      </c>
      <c r="BJ47" s="468">
        <f t="shared" si="24"/>
        <v>0</v>
      </c>
      <c r="BK47" s="543"/>
      <c r="BL47" s="543">
        <v>5000000</v>
      </c>
      <c r="BM47" s="543">
        <f>3187500+1812500</f>
        <v>5000000</v>
      </c>
      <c r="BN47" s="468">
        <f t="shared" si="25"/>
        <v>0</v>
      </c>
      <c r="BO47" s="543"/>
      <c r="BP47" s="543">
        <v>20000000</v>
      </c>
      <c r="BQ47" s="543">
        <f>14732500+5155170+112330</f>
        <v>20000000</v>
      </c>
      <c r="BR47" s="468">
        <f t="shared" si="2"/>
        <v>0</v>
      </c>
      <c r="BS47" s="543"/>
      <c r="BT47" s="543">
        <v>1000000</v>
      </c>
      <c r="BU47" s="543">
        <f>850000+150000</f>
        <v>1000000</v>
      </c>
      <c r="BV47" s="468">
        <f t="shared" si="3"/>
        <v>0</v>
      </c>
      <c r="BW47" s="543"/>
      <c r="BX47" s="468">
        <v>80000000</v>
      </c>
      <c r="BY47" s="468">
        <f>79147720+852280</f>
        <v>80000000</v>
      </c>
      <c r="BZ47" s="468">
        <f t="shared" si="26"/>
        <v>0</v>
      </c>
      <c r="CA47" s="543"/>
      <c r="CB47" s="468">
        <v>10000000</v>
      </c>
      <c r="CC47" s="468">
        <f>8712270+920000+367730</f>
        <v>10000000</v>
      </c>
      <c r="CD47" s="468">
        <f t="shared" si="4"/>
        <v>0</v>
      </c>
      <c r="CE47" s="562"/>
      <c r="CF47" s="468">
        <v>10000000</v>
      </c>
      <c r="CG47" s="468">
        <f>6279500+1700000+2020500</f>
        <v>10000000</v>
      </c>
      <c r="CH47" s="468">
        <f t="shared" si="27"/>
        <v>0</v>
      </c>
      <c r="CI47" s="488"/>
      <c r="CJ47" s="468">
        <v>30000000</v>
      </c>
      <c r="CK47" s="468">
        <f>27757000+2220840+22160</f>
        <v>30000000</v>
      </c>
      <c r="CL47" s="468">
        <f t="shared" si="5"/>
        <v>0</v>
      </c>
      <c r="CM47" s="543"/>
      <c r="CN47" s="468">
        <v>10000000</v>
      </c>
      <c r="CO47" s="468">
        <f>8265000+1735000</f>
        <v>10000000</v>
      </c>
      <c r="CP47" s="468">
        <f t="shared" si="6"/>
        <v>0</v>
      </c>
      <c r="CQ47" s="543"/>
      <c r="CR47" s="468">
        <v>100000000</v>
      </c>
      <c r="CS47" s="468">
        <f>100000000</f>
        <v>100000000</v>
      </c>
      <c r="CT47" s="468">
        <f t="shared" si="7"/>
        <v>0</v>
      </c>
      <c r="CU47" s="543"/>
      <c r="CV47" s="468">
        <v>20000000</v>
      </c>
      <c r="CW47" s="468">
        <f>15082270+4900000</f>
        <v>19982270</v>
      </c>
      <c r="CX47" s="468">
        <f t="shared" si="8"/>
        <v>17730</v>
      </c>
      <c r="CY47" s="543"/>
      <c r="CZ47" s="468">
        <v>20000000</v>
      </c>
      <c r="DA47" s="468">
        <f>417000+12750000+4250000+2250000+333000</f>
        <v>20000000</v>
      </c>
      <c r="DB47" s="468">
        <f t="shared" si="9"/>
        <v>0</v>
      </c>
      <c r="DC47" s="562"/>
      <c r="DD47" s="468">
        <v>50000000</v>
      </c>
      <c r="DE47" s="468">
        <f>38723770+9891000+1385230</f>
        <v>50000000</v>
      </c>
      <c r="DF47" s="468">
        <f t="shared" si="10"/>
        <v>0</v>
      </c>
      <c r="DG47" s="468"/>
      <c r="DH47" s="468">
        <v>10000000</v>
      </c>
      <c r="DI47" s="468">
        <f>6765000+3235000</f>
        <v>10000000</v>
      </c>
      <c r="DJ47" s="468">
        <f t="shared" si="11"/>
        <v>0</v>
      </c>
      <c r="DK47" s="526"/>
      <c r="DL47" s="471">
        <v>0</v>
      </c>
      <c r="DM47" s="471">
        <v>0</v>
      </c>
      <c r="DN47" s="471">
        <f t="shared" si="28"/>
        <v>0</v>
      </c>
      <c r="DO47" s="563"/>
      <c r="DP47" s="526"/>
      <c r="DQ47" s="526"/>
      <c r="DR47" s="526"/>
      <c r="DT47" s="471">
        <v>70000000</v>
      </c>
      <c r="DU47" s="471">
        <f>63986160+638098+3740947+321120+1313675</f>
        <v>70000000</v>
      </c>
      <c r="DV47" s="471">
        <f t="shared" si="29"/>
        <v>0</v>
      </c>
      <c r="DX47" s="471">
        <v>10000000</v>
      </c>
      <c r="DY47" s="471">
        <f>10000000</f>
        <v>10000000</v>
      </c>
      <c r="DZ47" s="471">
        <f t="shared" si="30"/>
        <v>0</v>
      </c>
      <c r="EB47" s="471">
        <v>5000000</v>
      </c>
      <c r="EC47" s="471">
        <f>4250000+815000-65000</f>
        <v>5000000</v>
      </c>
      <c r="ED47" s="471">
        <f t="shared" si="31"/>
        <v>0</v>
      </c>
      <c r="EF47" s="471">
        <v>20000000</v>
      </c>
      <c r="EG47" s="471">
        <f>10815020+5200114+2228818+490450+1265598</f>
        <v>20000000</v>
      </c>
      <c r="EH47" s="471">
        <f t="shared" si="32"/>
        <v>0</v>
      </c>
      <c r="EI47" s="473"/>
      <c r="EJ47" s="471">
        <v>5000000</v>
      </c>
      <c r="EK47" s="471">
        <f>3565000</f>
        <v>3565000</v>
      </c>
      <c r="EL47" s="471">
        <f t="shared" si="33"/>
        <v>1435000</v>
      </c>
      <c r="EM47" s="631" t="s">
        <v>63</v>
      </c>
      <c r="EN47" s="475">
        <v>200000000</v>
      </c>
      <c r="EO47" s="625">
        <f>4686325+8100000-4700377+98953500+9000000+51383750+4964000-12311157.5+39923959.5</f>
        <v>200000000</v>
      </c>
      <c r="EP47" s="475">
        <f t="shared" si="34"/>
        <v>0</v>
      </c>
      <c r="EQ47" s="526"/>
      <c r="ER47" s="475">
        <v>18000000</v>
      </c>
      <c r="ES47" s="475">
        <f>6173400+660000+543900+7275912</f>
        <v>14653212</v>
      </c>
      <c r="ET47" s="475">
        <f t="shared" si="35"/>
        <v>3346788</v>
      </c>
      <c r="EU47" s="526"/>
      <c r="EV47" s="475">
        <v>5000000</v>
      </c>
      <c r="EW47" s="475">
        <f>65000</f>
        <v>65000</v>
      </c>
      <c r="EX47" s="475">
        <f t="shared" si="36"/>
        <v>4935000</v>
      </c>
      <c r="EY47" s="526"/>
      <c r="EZ47" s="475">
        <v>25000000</v>
      </c>
      <c r="FA47" s="625">
        <f>8198122+4422350+1947380+1445822.73+1175250+5569158</f>
        <v>22758082.73</v>
      </c>
      <c r="FB47" s="475">
        <f t="shared" si="37"/>
        <v>2241917.2699999996</v>
      </c>
      <c r="FC47" s="526"/>
      <c r="FD47" s="526">
        <v>5000000</v>
      </c>
      <c r="FE47" s="526">
        <v>0</v>
      </c>
      <c r="FF47" s="475">
        <f t="shared" si="38"/>
        <v>5000000</v>
      </c>
      <c r="FG47" s="526"/>
      <c r="FH47" s="475">
        <v>75000000</v>
      </c>
      <c r="FI47" s="623">
        <f>28839990.5+5700000</f>
        <v>34539990.5</v>
      </c>
      <c r="FJ47" s="475">
        <f t="shared" si="39"/>
        <v>40460009.5</v>
      </c>
      <c r="FK47" s="475"/>
      <c r="FL47" s="475">
        <v>20000000</v>
      </c>
      <c r="FM47" s="475">
        <v>0</v>
      </c>
      <c r="FN47" s="475">
        <f t="shared" si="57"/>
        <v>20000000</v>
      </c>
      <c r="FO47" s="475"/>
      <c r="FP47" s="475">
        <v>5000000</v>
      </c>
      <c r="FQ47" s="475">
        <v>0</v>
      </c>
      <c r="FR47" s="475">
        <f t="shared" si="58"/>
        <v>5000000</v>
      </c>
      <c r="FS47" s="475"/>
      <c r="FT47" s="475">
        <v>20000000</v>
      </c>
      <c r="FU47" s="475">
        <v>0</v>
      </c>
      <c r="FV47" s="475">
        <f t="shared" si="59"/>
        <v>20000000</v>
      </c>
      <c r="FW47" s="475"/>
      <c r="FX47" s="475">
        <v>5000000</v>
      </c>
      <c r="FY47" s="475">
        <v>0</v>
      </c>
      <c r="FZ47" s="475">
        <f t="shared" si="60"/>
        <v>5000000</v>
      </c>
      <c r="GA47" s="526"/>
      <c r="GB47" s="475">
        <v>100000000</v>
      </c>
      <c r="GC47" s="475">
        <v>0</v>
      </c>
      <c r="GD47" s="475">
        <f t="shared" si="61"/>
        <v>100000000</v>
      </c>
      <c r="GE47" s="526"/>
      <c r="GF47" s="475">
        <v>20000000</v>
      </c>
      <c r="GG47" s="475">
        <v>0</v>
      </c>
      <c r="GH47" s="475">
        <f t="shared" si="62"/>
        <v>20000000</v>
      </c>
      <c r="GI47" s="526"/>
      <c r="GJ47" s="475">
        <v>3000000</v>
      </c>
      <c r="GK47" s="475">
        <v>0</v>
      </c>
      <c r="GL47" s="475">
        <f>GJ47-GK47</f>
        <v>3000000</v>
      </c>
      <c r="GM47" s="526"/>
      <c r="GN47" s="475">
        <v>15000000</v>
      </c>
      <c r="GO47" s="475">
        <v>0</v>
      </c>
      <c r="GP47" s="475">
        <f>GN47-GO47</f>
        <v>15000000</v>
      </c>
      <c r="GQ47" s="526"/>
      <c r="GR47" s="475">
        <v>3000000</v>
      </c>
      <c r="GS47" s="475">
        <v>0</v>
      </c>
      <c r="GT47" s="475">
        <f t="shared" si="65"/>
        <v>3000000</v>
      </c>
      <c r="GU47" s="526"/>
      <c r="GV47" s="468">
        <f t="shared" si="49"/>
        <v>1226490000</v>
      </c>
      <c r="GW47" s="468">
        <f t="shared" si="49"/>
        <v>978053555.23000002</v>
      </c>
      <c r="GX47" s="468">
        <f t="shared" si="50"/>
        <v>248436444.76999998</v>
      </c>
      <c r="HA47" s="468">
        <f>D47+H47+L47+X47+AN47+BD47+BX47+CR47+DT47+DL47+EN47+FH47+GB47</f>
        <v>810490000</v>
      </c>
      <c r="HB47" s="468">
        <f>E47+I47+M47+Y47+AO47+BE47+BY47+CS47+DU47+DM47+EO47+FI47+GC47</f>
        <v>670029990.5</v>
      </c>
      <c r="HC47" s="471">
        <f t="shared" si="51"/>
        <v>140460009.5</v>
      </c>
      <c r="HE47" s="471">
        <f>P47+AB47+AR47+BH47+CB47+CV47+DX47+ER47+FL47+GF47</f>
        <v>118500000</v>
      </c>
      <c r="HF47" s="471">
        <f>Q47+AC47+AS47+BI47+CC47+CW47+DY47+ES47+FM47+GG47</f>
        <v>75135482</v>
      </c>
      <c r="HG47" s="471">
        <f t="shared" si="52"/>
        <v>43364518</v>
      </c>
      <c r="HI47" s="471">
        <f>T47+AF47+AV47+BL47+CF47+CZ47+EB47+EV47+FP47+GJ47</f>
        <v>61000000</v>
      </c>
      <c r="HJ47" s="471">
        <f>U47+AG47+AW47+BM47+CG47+DA47+EC47+EW47+FQ47+GK47</f>
        <v>48065000</v>
      </c>
      <c r="HK47" s="471">
        <f t="shared" si="53"/>
        <v>12935000</v>
      </c>
      <c r="HM47" s="471">
        <f>AJ47+AZ47+BP47+CJ47+DD47+EF47+EZ47+FT47+GN47</f>
        <v>197500000</v>
      </c>
      <c r="HN47" s="471">
        <f>AK47+BA47+BQ47+CK47+DE47+EG47+FA47+FU47+GO47</f>
        <v>160258082.72999999</v>
      </c>
      <c r="HO47" s="471">
        <f t="shared" si="54"/>
        <v>37241917.270000011</v>
      </c>
      <c r="HP47" s="531"/>
      <c r="HQ47" s="471">
        <f>BT47+CN47+DH47+EJ47+FD47+FX47+GR47</f>
        <v>39000000</v>
      </c>
      <c r="HR47" s="471">
        <f>BU47+CO47+DI47+EK47+FE47+FY47+GS47</f>
        <v>24565000</v>
      </c>
      <c r="HS47" s="471">
        <f t="shared" si="55"/>
        <v>14435000</v>
      </c>
    </row>
    <row r="48" spans="1:299" x14ac:dyDescent="0.25">
      <c r="A48" s="107">
        <v>45</v>
      </c>
      <c r="B48" s="107" t="s">
        <v>244</v>
      </c>
      <c r="C48" s="631" t="s">
        <v>65</v>
      </c>
      <c r="D48" s="488">
        <v>1250000</v>
      </c>
      <c r="E48" s="488">
        <v>1250000</v>
      </c>
      <c r="F48" s="468">
        <f t="shared" si="12"/>
        <v>0</v>
      </c>
      <c r="G48" s="488"/>
      <c r="H48" s="468">
        <v>25240000</v>
      </c>
      <c r="I48" s="468">
        <v>25240000</v>
      </c>
      <c r="J48" s="468">
        <f t="shared" si="13"/>
        <v>0</v>
      </c>
      <c r="K48" s="488"/>
      <c r="L48" s="468">
        <v>23432873.050000001</v>
      </c>
      <c r="M48" s="468">
        <v>23432873.050000001</v>
      </c>
      <c r="N48" s="468">
        <f t="shared" si="14"/>
        <v>0</v>
      </c>
      <c r="O48" s="488"/>
      <c r="P48" s="468">
        <f>3000000-3000000</f>
        <v>0</v>
      </c>
      <c r="Q48" s="468">
        <v>0</v>
      </c>
      <c r="R48" s="468">
        <f t="shared" si="15"/>
        <v>0</v>
      </c>
      <c r="S48" s="488"/>
      <c r="T48" s="468">
        <v>850000</v>
      </c>
      <c r="U48" s="468">
        <v>850000</v>
      </c>
      <c r="V48" s="468">
        <f t="shared" si="16"/>
        <v>0</v>
      </c>
      <c r="W48" s="488"/>
      <c r="X48" s="468">
        <v>29231166.600000001</v>
      </c>
      <c r="Y48" s="468">
        <f>29231166.6</f>
        <v>29231166.600000001</v>
      </c>
      <c r="Z48" s="468">
        <f t="shared" si="17"/>
        <v>0</v>
      </c>
      <c r="AA48" s="488"/>
      <c r="AB48" s="468">
        <f>5000000-5000000</f>
        <v>0</v>
      </c>
      <c r="AC48" s="468">
        <v>0</v>
      </c>
      <c r="AD48" s="468">
        <f t="shared" si="18"/>
        <v>0</v>
      </c>
      <c r="AE48" s="488"/>
      <c r="AF48" s="468">
        <f>2000000-2000000</f>
        <v>0</v>
      </c>
      <c r="AG48" s="468">
        <v>0</v>
      </c>
      <c r="AH48" s="468">
        <f t="shared" si="19"/>
        <v>0</v>
      </c>
      <c r="AI48" s="488"/>
      <c r="AJ48" s="468">
        <f>7500000-7500000</f>
        <v>0</v>
      </c>
      <c r="AK48" s="468">
        <v>0</v>
      </c>
      <c r="AL48" s="468">
        <f t="shared" si="20"/>
        <v>0</v>
      </c>
      <c r="AM48" s="468"/>
      <c r="AN48" s="468">
        <v>0</v>
      </c>
      <c r="AO48" s="468">
        <v>0</v>
      </c>
      <c r="AP48" s="468">
        <f t="shared" si="0"/>
        <v>0</v>
      </c>
      <c r="AQ48" s="488"/>
      <c r="AR48" s="468">
        <v>0</v>
      </c>
      <c r="AS48" s="468">
        <v>0</v>
      </c>
      <c r="AT48" s="468">
        <f t="shared" si="21"/>
        <v>0</v>
      </c>
      <c r="AU48" s="488"/>
      <c r="AV48" s="468">
        <f>AT48-AU48</f>
        <v>0</v>
      </c>
      <c r="AW48" s="468">
        <v>0</v>
      </c>
      <c r="AX48" s="468">
        <f t="shared" si="22"/>
        <v>0</v>
      </c>
      <c r="AY48" s="488"/>
      <c r="AZ48" s="468">
        <f>AX48-AY48</f>
        <v>0</v>
      </c>
      <c r="BA48" s="468">
        <v>0</v>
      </c>
      <c r="BB48" s="468">
        <f t="shared" si="1"/>
        <v>0</v>
      </c>
      <c r="BC48" s="488"/>
      <c r="BD48" s="468">
        <v>0</v>
      </c>
      <c r="BE48" s="468">
        <v>0</v>
      </c>
      <c r="BF48" s="468">
        <f t="shared" si="23"/>
        <v>0</v>
      </c>
      <c r="BG48" s="488"/>
      <c r="BH48" s="468">
        <v>0</v>
      </c>
      <c r="BI48" s="468">
        <v>0</v>
      </c>
      <c r="BJ48" s="468">
        <f t="shared" si="24"/>
        <v>0</v>
      </c>
      <c r="BK48" s="488"/>
      <c r="BL48" s="468">
        <v>0</v>
      </c>
      <c r="BM48" s="468">
        <v>0</v>
      </c>
      <c r="BN48" s="468">
        <f t="shared" si="25"/>
        <v>0</v>
      </c>
      <c r="BO48" s="488"/>
      <c r="BP48" s="468">
        <v>0</v>
      </c>
      <c r="BQ48" s="468">
        <v>0</v>
      </c>
      <c r="BR48" s="468">
        <f t="shared" si="2"/>
        <v>0</v>
      </c>
      <c r="BS48" s="488"/>
      <c r="BT48" s="468">
        <v>0</v>
      </c>
      <c r="BU48" s="468">
        <v>0</v>
      </c>
      <c r="BV48" s="468">
        <f t="shared" si="3"/>
        <v>0</v>
      </c>
      <c r="BW48" s="488"/>
      <c r="BX48" s="468">
        <v>80000000</v>
      </c>
      <c r="BY48" s="468">
        <f>1050000+24900000+3600000+44100000+6350000</f>
        <v>80000000</v>
      </c>
      <c r="BZ48" s="468">
        <f t="shared" si="26"/>
        <v>0</v>
      </c>
      <c r="CA48" s="488"/>
      <c r="CB48" s="468">
        <v>10000000</v>
      </c>
      <c r="CC48" s="469">
        <f>1857900+1825558.8+1140000</f>
        <v>4823458.8</v>
      </c>
      <c r="CD48" s="468">
        <f t="shared" si="4"/>
        <v>5176541.2</v>
      </c>
      <c r="CE48" s="488"/>
      <c r="CF48" s="468">
        <v>10000000</v>
      </c>
      <c r="CG48" s="468">
        <v>0</v>
      </c>
      <c r="CH48" s="468">
        <f t="shared" si="27"/>
        <v>10000000</v>
      </c>
      <c r="CI48" s="488"/>
      <c r="CJ48" s="468">
        <v>30000000</v>
      </c>
      <c r="CK48" s="468">
        <f>3629400+25455956+914644</f>
        <v>30000000</v>
      </c>
      <c r="CL48" s="468">
        <f t="shared" si="5"/>
        <v>0</v>
      </c>
      <c r="CM48" s="488"/>
      <c r="CN48" s="468">
        <v>10000000</v>
      </c>
      <c r="CO48" s="468">
        <v>0</v>
      </c>
      <c r="CP48" s="468">
        <f t="shared" si="6"/>
        <v>10000000</v>
      </c>
      <c r="CQ48" s="488"/>
      <c r="CR48" s="468">
        <v>0</v>
      </c>
      <c r="CS48" s="468">
        <v>0</v>
      </c>
      <c r="CT48" s="468">
        <f t="shared" si="7"/>
        <v>0</v>
      </c>
      <c r="CU48" s="488"/>
      <c r="CV48" s="468">
        <v>0</v>
      </c>
      <c r="CW48" s="468">
        <v>0</v>
      </c>
      <c r="CX48" s="468">
        <f t="shared" si="8"/>
        <v>0</v>
      </c>
      <c r="CY48" s="488"/>
      <c r="CZ48" s="468">
        <v>0</v>
      </c>
      <c r="DA48" s="468">
        <v>0</v>
      </c>
      <c r="DB48" s="468">
        <f t="shared" si="9"/>
        <v>0</v>
      </c>
      <c r="DC48" s="488"/>
      <c r="DD48" s="468">
        <v>0</v>
      </c>
      <c r="DE48" s="468">
        <v>0</v>
      </c>
      <c r="DF48" s="468">
        <f t="shared" si="10"/>
        <v>0</v>
      </c>
      <c r="DG48" s="488"/>
      <c r="DH48" s="468">
        <v>0</v>
      </c>
      <c r="DI48" s="468">
        <v>0</v>
      </c>
      <c r="DJ48" s="468">
        <f t="shared" si="11"/>
        <v>0</v>
      </c>
      <c r="DK48" s="488"/>
      <c r="DL48" s="471">
        <v>0</v>
      </c>
      <c r="DM48" s="471">
        <v>0</v>
      </c>
      <c r="DN48" s="471">
        <f t="shared" si="28"/>
        <v>0</v>
      </c>
      <c r="DO48" s="539"/>
      <c r="DP48" s="471"/>
      <c r="DQ48" s="471"/>
      <c r="DR48" s="471"/>
      <c r="DS48" s="473"/>
      <c r="DT48" s="471">
        <v>0</v>
      </c>
      <c r="DU48" s="471">
        <v>0</v>
      </c>
      <c r="DV48" s="471">
        <f t="shared" si="29"/>
        <v>0</v>
      </c>
      <c r="DW48" s="473"/>
      <c r="DX48" s="471">
        <v>0</v>
      </c>
      <c r="DY48" s="471">
        <v>0</v>
      </c>
      <c r="DZ48" s="471">
        <f t="shared" si="30"/>
        <v>0</v>
      </c>
      <c r="EA48" s="473"/>
      <c r="EB48" s="471">
        <v>0</v>
      </c>
      <c r="EC48" s="471">
        <v>0</v>
      </c>
      <c r="ED48" s="471">
        <f t="shared" si="31"/>
        <v>0</v>
      </c>
      <c r="EE48" s="473"/>
      <c r="EF48" s="471">
        <v>0</v>
      </c>
      <c r="EG48" s="471">
        <v>0</v>
      </c>
      <c r="EH48" s="471">
        <f t="shared" si="32"/>
        <v>0</v>
      </c>
      <c r="EI48" s="473"/>
      <c r="EJ48" s="471">
        <v>0</v>
      </c>
      <c r="EK48" s="471">
        <v>0</v>
      </c>
      <c r="EL48" s="471">
        <f t="shared" si="33"/>
        <v>0</v>
      </c>
      <c r="EM48" s="631" t="s">
        <v>65</v>
      </c>
      <c r="EN48" s="475">
        <v>200000000</v>
      </c>
      <c r="EO48" s="626">
        <f>5650000+18300000+8700000</f>
        <v>32650000</v>
      </c>
      <c r="EP48" s="475">
        <f t="shared" si="34"/>
        <v>167350000</v>
      </c>
      <c r="EQ48" s="475"/>
      <c r="ER48" s="475">
        <v>18000000</v>
      </c>
      <c r="ES48" s="475">
        <v>0</v>
      </c>
      <c r="ET48" s="475">
        <f t="shared" si="35"/>
        <v>18000000</v>
      </c>
      <c r="EU48" s="475"/>
      <c r="EV48" s="475">
        <v>5000000</v>
      </c>
      <c r="EW48" s="475">
        <v>0</v>
      </c>
      <c r="EX48" s="475">
        <f t="shared" si="36"/>
        <v>5000000</v>
      </c>
      <c r="EY48" s="475"/>
      <c r="EZ48" s="475">
        <v>25000000</v>
      </c>
      <c r="FA48" s="625">
        <f>1760816+238600+2221790+1756890+4955565+4247030+4247030-4247030+3070235</f>
        <v>18250926</v>
      </c>
      <c r="FB48" s="475">
        <f t="shared" si="37"/>
        <v>6749074</v>
      </c>
      <c r="FC48" s="475"/>
      <c r="FD48" s="475">
        <v>5000000</v>
      </c>
      <c r="FE48" s="475">
        <v>0</v>
      </c>
      <c r="FF48" s="475">
        <f t="shared" si="38"/>
        <v>5000000</v>
      </c>
      <c r="FG48" s="107"/>
      <c r="FH48" s="475"/>
      <c r="FI48" s="475"/>
      <c r="FJ48" s="475">
        <f t="shared" si="39"/>
        <v>0</v>
      </c>
      <c r="FK48" s="475"/>
      <c r="FL48" s="475"/>
      <c r="FM48" s="475"/>
      <c r="FN48" s="475"/>
      <c r="FO48" s="475"/>
      <c r="FP48" s="475"/>
      <c r="FQ48" s="475"/>
      <c r="FR48" s="475"/>
      <c r="FS48" s="475"/>
      <c r="FT48" s="475"/>
      <c r="FU48" s="475"/>
      <c r="FV48" s="475"/>
      <c r="FW48" s="475"/>
      <c r="FX48" s="475"/>
      <c r="FY48" s="475"/>
      <c r="FZ48" s="475"/>
      <c r="GA48" s="475"/>
      <c r="GB48" s="628"/>
      <c r="GC48" s="628"/>
      <c r="GD48" s="628"/>
      <c r="GE48" s="628"/>
      <c r="GF48" s="628"/>
      <c r="GG48" s="628"/>
      <c r="GH48" s="628"/>
      <c r="GI48" s="628"/>
      <c r="GJ48" s="628"/>
      <c r="GK48" s="628"/>
      <c r="GL48" s="628"/>
      <c r="GM48" s="628"/>
      <c r="GN48" s="628"/>
      <c r="GO48" s="628"/>
      <c r="GP48" s="628"/>
      <c r="GQ48" s="628"/>
      <c r="GR48" s="628"/>
      <c r="GS48" s="628"/>
      <c r="GT48" s="628"/>
      <c r="GU48" s="475"/>
      <c r="GV48" s="468">
        <f t="shared" si="49"/>
        <v>473004039.64999998</v>
      </c>
      <c r="GW48" s="468">
        <f t="shared" si="49"/>
        <v>245728424.45000002</v>
      </c>
      <c r="GX48" s="468">
        <f t="shared" si="50"/>
        <v>227275615.19999996</v>
      </c>
      <c r="GY48" s="472"/>
      <c r="HA48" s="468">
        <f>D48+H48+L48+X48+AN48+BD48+BX48+CR48+DT48+DL48+EN48+FH48+GB48</f>
        <v>359154039.64999998</v>
      </c>
      <c r="HB48" s="468">
        <f>E48+I48+M48+Y48+AO48+BE48+BY48+CS48+DU48+DM48+EO48+FI48+GC48</f>
        <v>191804039.65000001</v>
      </c>
      <c r="HC48" s="471">
        <f t="shared" si="51"/>
        <v>167349999.99999997</v>
      </c>
      <c r="HE48" s="471">
        <f>P48+AB48+AR48+BH48+CB48+CV48+DX48+ER48+FL48+GF48</f>
        <v>28000000</v>
      </c>
      <c r="HF48" s="471">
        <f>Q48+AC48+AS48+BI48+CC48+CW48+DY48+ES48+FM48+GG48</f>
        <v>4823458.8</v>
      </c>
      <c r="HG48" s="471">
        <f t="shared" si="52"/>
        <v>23176541.199999999</v>
      </c>
      <c r="HI48" s="471">
        <f>T48+AF48+AV48+BL48+CF48+CZ48+EB48+EV48+FP48+GJ48</f>
        <v>15850000</v>
      </c>
      <c r="HJ48" s="471">
        <f>U48+AG48+AW48+BM48+CG48+DA48+EC48+EW48+FQ48+GK48</f>
        <v>850000</v>
      </c>
      <c r="HK48" s="471">
        <f t="shared" si="53"/>
        <v>15000000</v>
      </c>
      <c r="HM48" s="471">
        <f>AJ48+AZ48+BP48+CJ48+DD48+EF48+EZ48+FT48+GN48</f>
        <v>55000000</v>
      </c>
      <c r="HN48" s="471">
        <f>AK48+BA48+BQ48+CK48+DE48+EG48+FA48+FU48+GO48</f>
        <v>48250926</v>
      </c>
      <c r="HO48" s="471">
        <f t="shared" si="54"/>
        <v>6749074</v>
      </c>
      <c r="HP48" s="531"/>
      <c r="HQ48" s="471">
        <f>BT48+CN48+DH48+EJ48+FD48+FX48+GR48</f>
        <v>15000000</v>
      </c>
      <c r="HR48" s="471">
        <f>BU48+CO48+DI48+EK48+FE48+FY48+GS48</f>
        <v>0</v>
      </c>
      <c r="HS48" s="471">
        <f t="shared" si="55"/>
        <v>15000000</v>
      </c>
    </row>
    <row r="49" spans="1:227" x14ac:dyDescent="0.25">
      <c r="A49" s="107">
        <v>46</v>
      </c>
      <c r="B49" s="107" t="s">
        <v>245</v>
      </c>
      <c r="C49" s="631" t="s">
        <v>65</v>
      </c>
      <c r="D49" s="468">
        <v>0</v>
      </c>
      <c r="E49" s="468">
        <v>0</v>
      </c>
      <c r="F49" s="468">
        <f t="shared" si="12"/>
        <v>0</v>
      </c>
      <c r="G49" s="468"/>
      <c r="H49" s="468">
        <v>25240000</v>
      </c>
      <c r="I49" s="468">
        <v>25240000</v>
      </c>
      <c r="J49" s="468">
        <f t="shared" si="13"/>
        <v>0</v>
      </c>
      <c r="K49" s="468"/>
      <c r="L49" s="468">
        <v>25000000</v>
      </c>
      <c r="M49" s="468">
        <f>24938846.6+61153.4</f>
        <v>25000000</v>
      </c>
      <c r="N49" s="468">
        <f t="shared" si="14"/>
        <v>0</v>
      </c>
      <c r="O49" s="468"/>
      <c r="P49" s="468">
        <f>3000000-3000000</f>
        <v>0</v>
      </c>
      <c r="Q49" s="468"/>
      <c r="R49" s="468">
        <f t="shared" si="15"/>
        <v>0</v>
      </c>
      <c r="S49" s="468"/>
      <c r="T49" s="468">
        <f>1000000-1000000</f>
        <v>0</v>
      </c>
      <c r="U49" s="468">
        <v>0</v>
      </c>
      <c r="V49" s="468">
        <f t="shared" si="16"/>
        <v>0</v>
      </c>
      <c r="W49" s="468"/>
      <c r="X49" s="468">
        <v>0</v>
      </c>
      <c r="Y49" s="468">
        <v>0</v>
      </c>
      <c r="Z49" s="468">
        <f t="shared" si="17"/>
        <v>0</v>
      </c>
      <c r="AA49" s="468"/>
      <c r="AB49" s="468">
        <v>0</v>
      </c>
      <c r="AC49" s="468">
        <v>0</v>
      </c>
      <c r="AD49" s="468">
        <f t="shared" si="18"/>
        <v>0</v>
      </c>
      <c r="AE49" s="468"/>
      <c r="AF49" s="468">
        <v>0</v>
      </c>
      <c r="AG49" s="468">
        <v>0</v>
      </c>
      <c r="AH49" s="468">
        <f t="shared" si="19"/>
        <v>0</v>
      </c>
      <c r="AI49" s="468"/>
      <c r="AJ49" s="468">
        <v>0</v>
      </c>
      <c r="AK49" s="468">
        <v>0</v>
      </c>
      <c r="AL49" s="468">
        <f t="shared" si="20"/>
        <v>0</v>
      </c>
      <c r="AM49" s="468"/>
      <c r="AN49" s="468">
        <v>40000000</v>
      </c>
      <c r="AO49" s="565">
        <v>10800000</v>
      </c>
      <c r="AP49" s="468">
        <f t="shared" si="0"/>
        <v>29200000</v>
      </c>
      <c r="AQ49" s="468"/>
      <c r="AR49" s="468">
        <v>3000000</v>
      </c>
      <c r="AS49" s="468">
        <v>3000000</v>
      </c>
      <c r="AT49" s="468">
        <f t="shared" si="21"/>
        <v>0</v>
      </c>
      <c r="AU49" s="468"/>
      <c r="AV49" s="468">
        <v>2000000</v>
      </c>
      <c r="AW49" s="468">
        <v>0</v>
      </c>
      <c r="AX49" s="468">
        <f t="shared" si="22"/>
        <v>2000000</v>
      </c>
      <c r="AY49" s="468"/>
      <c r="AZ49" s="468">
        <v>10000000</v>
      </c>
      <c r="BA49" s="468">
        <f>4073480+5926520</f>
        <v>10000000</v>
      </c>
      <c r="BB49" s="468">
        <f t="shared" si="1"/>
        <v>0</v>
      </c>
      <c r="BC49" s="542"/>
      <c r="BD49" s="468">
        <v>0</v>
      </c>
      <c r="BE49" s="468">
        <v>0</v>
      </c>
      <c r="BF49" s="468">
        <f t="shared" si="23"/>
        <v>0</v>
      </c>
      <c r="BG49" s="468"/>
      <c r="BH49" s="468">
        <v>0</v>
      </c>
      <c r="BI49" s="468">
        <v>0</v>
      </c>
      <c r="BJ49" s="468">
        <f t="shared" si="24"/>
        <v>0</v>
      </c>
      <c r="BK49" s="468"/>
      <c r="BL49" s="468">
        <v>0</v>
      </c>
      <c r="BM49" s="468">
        <v>0</v>
      </c>
      <c r="BN49" s="468">
        <f t="shared" si="25"/>
        <v>0</v>
      </c>
      <c r="BO49" s="468"/>
      <c r="BP49" s="468">
        <v>0</v>
      </c>
      <c r="BQ49" s="468">
        <v>0</v>
      </c>
      <c r="BR49" s="468">
        <f t="shared" si="2"/>
        <v>0</v>
      </c>
      <c r="BS49" s="468"/>
      <c r="BT49" s="468">
        <v>0</v>
      </c>
      <c r="BU49" s="468">
        <v>0</v>
      </c>
      <c r="BV49" s="468">
        <f t="shared" si="3"/>
        <v>0</v>
      </c>
      <c r="BW49" s="468"/>
      <c r="BX49" s="468">
        <v>0</v>
      </c>
      <c r="BY49" s="468">
        <v>0</v>
      </c>
      <c r="BZ49" s="468">
        <f t="shared" si="26"/>
        <v>0</v>
      </c>
      <c r="CA49" s="468"/>
      <c r="CB49" s="468">
        <v>0</v>
      </c>
      <c r="CC49" s="468">
        <v>0</v>
      </c>
      <c r="CD49" s="468">
        <f t="shared" si="4"/>
        <v>0</v>
      </c>
      <c r="CE49" s="468"/>
      <c r="CF49" s="468">
        <v>0</v>
      </c>
      <c r="CG49" s="468">
        <v>0</v>
      </c>
      <c r="CH49" s="468">
        <f t="shared" si="27"/>
        <v>0</v>
      </c>
      <c r="CI49" s="468"/>
      <c r="CJ49" s="468">
        <v>0</v>
      </c>
      <c r="CK49" s="468">
        <v>0</v>
      </c>
      <c r="CL49" s="468">
        <f t="shared" si="5"/>
        <v>0</v>
      </c>
      <c r="CM49" s="488"/>
      <c r="CN49" s="468">
        <v>0</v>
      </c>
      <c r="CO49" s="468">
        <v>0</v>
      </c>
      <c r="CP49" s="468">
        <f t="shared" si="6"/>
        <v>0</v>
      </c>
      <c r="CQ49" s="468"/>
      <c r="CR49" s="468">
        <v>100000000</v>
      </c>
      <c r="CS49" s="468">
        <f>9500000+13475666-10000000-3475666+12000000+72600000+1200000+1200000+3500000</f>
        <v>100000000</v>
      </c>
      <c r="CT49" s="468">
        <f t="shared" si="7"/>
        <v>0</v>
      </c>
      <c r="CU49" s="468"/>
      <c r="CV49" s="468">
        <v>20000000</v>
      </c>
      <c r="CW49" s="468">
        <f>19411420+353100</f>
        <v>19764520</v>
      </c>
      <c r="CX49" s="468">
        <f t="shared" si="8"/>
        <v>235480</v>
      </c>
      <c r="CY49" s="468"/>
      <c r="CZ49" s="468">
        <v>20000000</v>
      </c>
      <c r="DA49" s="468">
        <f>9384000+1656000</f>
        <v>11040000</v>
      </c>
      <c r="DB49" s="468">
        <f t="shared" si="9"/>
        <v>8960000</v>
      </c>
      <c r="DC49" s="468"/>
      <c r="DD49" s="468">
        <v>50000000</v>
      </c>
      <c r="DE49" s="468">
        <f>752880+15906696+1129572+19923408+213000+6048290+2966860+1522850-1522850+1522850+1536444</f>
        <v>50000000</v>
      </c>
      <c r="DF49" s="468">
        <f t="shared" si="10"/>
        <v>0</v>
      </c>
      <c r="DG49" s="468"/>
      <c r="DH49" s="468">
        <v>10000000</v>
      </c>
      <c r="DI49" s="468">
        <f>7144250+1347250+1498500</f>
        <v>9990000</v>
      </c>
      <c r="DJ49" s="468">
        <f t="shared" si="11"/>
        <v>10000</v>
      </c>
      <c r="DK49" s="468"/>
      <c r="DL49" s="471">
        <v>0</v>
      </c>
      <c r="DM49" s="471">
        <v>0</v>
      </c>
      <c r="DN49" s="471">
        <f t="shared" si="28"/>
        <v>0</v>
      </c>
      <c r="DO49" s="524"/>
      <c r="DP49" s="471"/>
      <c r="DQ49" s="471"/>
      <c r="DR49" s="471"/>
      <c r="DS49" s="473"/>
      <c r="DT49" s="471">
        <v>0</v>
      </c>
      <c r="DU49" s="471">
        <v>0</v>
      </c>
      <c r="DV49" s="471">
        <f t="shared" si="29"/>
        <v>0</v>
      </c>
      <c r="DW49" s="473"/>
      <c r="DX49" s="471">
        <v>0</v>
      </c>
      <c r="DY49" s="471">
        <v>0</v>
      </c>
      <c r="DZ49" s="471">
        <f t="shared" si="30"/>
        <v>0</v>
      </c>
      <c r="EA49" s="473"/>
      <c r="EB49" s="471">
        <v>0</v>
      </c>
      <c r="EC49" s="471">
        <v>0</v>
      </c>
      <c r="ED49" s="471">
        <f t="shared" si="31"/>
        <v>0</v>
      </c>
      <c r="EE49" s="473"/>
      <c r="EF49" s="471">
        <v>0</v>
      </c>
      <c r="EG49" s="471">
        <v>0</v>
      </c>
      <c r="EH49" s="471">
        <f t="shared" si="32"/>
        <v>0</v>
      </c>
      <c r="EI49" s="473"/>
      <c r="EJ49" s="471">
        <v>0</v>
      </c>
      <c r="EK49" s="471">
        <v>0</v>
      </c>
      <c r="EL49" s="471">
        <f t="shared" si="33"/>
        <v>0</v>
      </c>
      <c r="EM49" s="631"/>
      <c r="EN49" s="475"/>
      <c r="EO49" s="475">
        <v>0</v>
      </c>
      <c r="EP49" s="475">
        <f t="shared" si="34"/>
        <v>0</v>
      </c>
      <c r="EQ49" s="475"/>
      <c r="ER49" s="475"/>
      <c r="ES49" s="475">
        <v>0</v>
      </c>
      <c r="ET49" s="475">
        <f t="shared" si="35"/>
        <v>0</v>
      </c>
      <c r="EU49" s="475"/>
      <c r="EV49" s="475">
        <v>0</v>
      </c>
      <c r="EW49" s="475">
        <v>0</v>
      </c>
      <c r="EX49" s="475">
        <f t="shared" si="36"/>
        <v>0</v>
      </c>
      <c r="EY49" s="475"/>
      <c r="EZ49" s="475">
        <v>0</v>
      </c>
      <c r="FA49" s="475">
        <v>0</v>
      </c>
      <c r="FB49" s="475">
        <f t="shared" si="37"/>
        <v>0</v>
      </c>
      <c r="FC49" s="475"/>
      <c r="FD49" s="475">
        <v>0</v>
      </c>
      <c r="FE49" s="475">
        <v>0</v>
      </c>
      <c r="FF49" s="475">
        <f t="shared" si="38"/>
        <v>0</v>
      </c>
      <c r="FG49" s="107"/>
      <c r="FH49" s="475">
        <v>75000000</v>
      </c>
      <c r="FI49" s="625">
        <f>21700000+34200000</f>
        <v>55900000</v>
      </c>
      <c r="FJ49" s="475">
        <f t="shared" si="39"/>
        <v>19100000</v>
      </c>
      <c r="FK49" s="475"/>
      <c r="FL49" s="475">
        <v>20000000</v>
      </c>
      <c r="FM49" s="475">
        <v>0</v>
      </c>
      <c r="FN49" s="475">
        <f>FL49-FM49</f>
        <v>20000000</v>
      </c>
      <c r="FO49" s="475"/>
      <c r="FP49" s="475">
        <v>5000000</v>
      </c>
      <c r="FQ49" s="475">
        <v>0</v>
      </c>
      <c r="FR49" s="475">
        <f>FP49-FQ49</f>
        <v>5000000</v>
      </c>
      <c r="FS49" s="475"/>
      <c r="FT49" s="475">
        <v>20000000</v>
      </c>
      <c r="FU49" s="629">
        <f>57581+6500715</f>
        <v>6558296</v>
      </c>
      <c r="FV49" s="475">
        <f>FT49-FU49</f>
        <v>13441704</v>
      </c>
      <c r="FW49" s="475"/>
      <c r="FX49" s="475">
        <v>5000000</v>
      </c>
      <c r="FY49" s="475">
        <v>0</v>
      </c>
      <c r="FZ49" s="475">
        <f>FX49-FY49</f>
        <v>5000000</v>
      </c>
      <c r="GA49" s="475"/>
      <c r="GB49" s="628"/>
      <c r="GC49" s="628"/>
      <c r="GD49" s="628"/>
      <c r="GE49" s="628"/>
      <c r="GF49" s="628"/>
      <c r="GG49" s="628"/>
      <c r="GH49" s="628"/>
      <c r="GI49" s="628"/>
      <c r="GJ49" s="628"/>
      <c r="GK49" s="628"/>
      <c r="GL49" s="628"/>
      <c r="GM49" s="628"/>
      <c r="GN49" s="628"/>
      <c r="GO49" s="628"/>
      <c r="GP49" s="628"/>
      <c r="GQ49" s="628"/>
      <c r="GR49" s="628"/>
      <c r="GS49" s="628"/>
      <c r="GT49" s="628"/>
      <c r="GU49" s="475"/>
      <c r="GV49" s="468">
        <f t="shared" si="49"/>
        <v>430240000</v>
      </c>
      <c r="GW49" s="468">
        <f t="shared" si="49"/>
        <v>327292816</v>
      </c>
      <c r="GX49" s="468">
        <f t="shared" si="50"/>
        <v>102947184</v>
      </c>
      <c r="GY49" s="472"/>
      <c r="HA49" s="468">
        <f>D49+H49+L49+X49+AN49+BD49+BX49+CR49+DT49+DL49+EN49+FH49+GB49</f>
        <v>265240000</v>
      </c>
      <c r="HB49" s="468">
        <f>E49+I49+M49+Y49+AO49+BE49+BY49+CS49+DU49+DM49+EO49+FI49+GC49</f>
        <v>216940000</v>
      </c>
      <c r="HC49" s="471">
        <f t="shared" si="51"/>
        <v>48300000</v>
      </c>
      <c r="HE49" s="471">
        <f>P49+AB49+AR49+BH49+CB49+CV49+DX49+ER49+FL49+GF49</f>
        <v>43000000</v>
      </c>
      <c r="HF49" s="471">
        <f>Q49+AC49+AS49+BI49+CC49+CW49+DY49+ES49+FM49+GG49</f>
        <v>22764520</v>
      </c>
      <c r="HG49" s="471">
        <f t="shared" si="52"/>
        <v>20235480</v>
      </c>
      <c r="HI49" s="471">
        <f>T49+AF49+AV49+BL49+CF49+CZ49+EB49+EV49+FP49+GJ49</f>
        <v>27000000</v>
      </c>
      <c r="HJ49" s="471">
        <f>U49+AG49+AW49+BM49+CG49+DA49+EC49+EW49+FQ49+GK49</f>
        <v>11040000</v>
      </c>
      <c r="HK49" s="471">
        <f t="shared" si="53"/>
        <v>15960000</v>
      </c>
      <c r="HM49" s="471">
        <f>AJ49+AZ49+BP49+CJ49+DD49+EF49+EZ49+FT49+GN49</f>
        <v>80000000</v>
      </c>
      <c r="HN49" s="471">
        <f>AK49+BA49+BQ49+CK49+DE49+EG49+FA49+FU49+GO49</f>
        <v>66558296</v>
      </c>
      <c r="HO49" s="471">
        <f t="shared" si="54"/>
        <v>13441704</v>
      </c>
      <c r="HP49" s="531"/>
      <c r="HQ49" s="471">
        <f>BT49+CN49+DH49+EJ49+FD49+FX49+GR49</f>
        <v>15000000</v>
      </c>
      <c r="HR49" s="471">
        <f>BU49+CO49+DI49+EK49+FE49+FY49+GS49</f>
        <v>9990000</v>
      </c>
      <c r="HS49" s="471">
        <f t="shared" si="55"/>
        <v>5010000</v>
      </c>
    </row>
    <row r="50" spans="1:227" x14ac:dyDescent="0.25">
      <c r="A50" s="107">
        <v>47</v>
      </c>
      <c r="B50" s="107" t="s">
        <v>246</v>
      </c>
      <c r="C50" s="631" t="s">
        <v>65</v>
      </c>
      <c r="D50" s="468">
        <v>0</v>
      </c>
      <c r="E50" s="468">
        <v>0</v>
      </c>
      <c r="F50" s="468">
        <f t="shared" si="12"/>
        <v>0</v>
      </c>
      <c r="G50" s="468"/>
      <c r="H50" s="468">
        <v>25240000</v>
      </c>
      <c r="I50" s="468">
        <f>19102970+5900000+237030</f>
        <v>25240000</v>
      </c>
      <c r="J50" s="468">
        <f t="shared" si="13"/>
        <v>0</v>
      </c>
      <c r="K50" s="468"/>
      <c r="L50" s="468">
        <v>25000000</v>
      </c>
      <c r="M50" s="468">
        <f>5312970+19687030</f>
        <v>25000000</v>
      </c>
      <c r="N50" s="468">
        <f t="shared" si="14"/>
        <v>0</v>
      </c>
      <c r="O50" s="468"/>
      <c r="P50" s="468">
        <v>2927000</v>
      </c>
      <c r="Q50" s="468">
        <v>2927000</v>
      </c>
      <c r="R50" s="468">
        <f t="shared" si="15"/>
        <v>0</v>
      </c>
      <c r="S50" s="468"/>
      <c r="T50" s="468">
        <f>1000000-1000000</f>
        <v>0</v>
      </c>
      <c r="U50" s="468">
        <v>0</v>
      </c>
      <c r="V50" s="468">
        <f t="shared" si="16"/>
        <v>0</v>
      </c>
      <c r="W50" s="468"/>
      <c r="X50" s="468">
        <v>0</v>
      </c>
      <c r="Y50" s="468">
        <v>0</v>
      </c>
      <c r="Z50" s="468">
        <f t="shared" si="17"/>
        <v>0</v>
      </c>
      <c r="AA50" s="468"/>
      <c r="AB50" s="468">
        <v>0</v>
      </c>
      <c r="AC50" s="468">
        <v>0</v>
      </c>
      <c r="AD50" s="468">
        <f t="shared" si="18"/>
        <v>0</v>
      </c>
      <c r="AE50" s="468"/>
      <c r="AF50" s="468">
        <v>0</v>
      </c>
      <c r="AG50" s="468">
        <v>0</v>
      </c>
      <c r="AH50" s="468">
        <f t="shared" si="19"/>
        <v>0</v>
      </c>
      <c r="AI50" s="468"/>
      <c r="AJ50" s="468">
        <v>0</v>
      </c>
      <c r="AK50" s="468">
        <v>0</v>
      </c>
      <c r="AL50" s="468">
        <f t="shared" si="20"/>
        <v>0</v>
      </c>
      <c r="AM50" s="468"/>
      <c r="AN50" s="468">
        <v>0</v>
      </c>
      <c r="AO50" s="468">
        <v>0</v>
      </c>
      <c r="AP50" s="468">
        <f t="shared" si="0"/>
        <v>0</v>
      </c>
      <c r="AQ50" s="468"/>
      <c r="AR50" s="468">
        <v>0</v>
      </c>
      <c r="AS50" s="468">
        <v>0</v>
      </c>
      <c r="AT50" s="468">
        <f t="shared" si="21"/>
        <v>0</v>
      </c>
      <c r="AU50" s="468"/>
      <c r="AV50" s="468">
        <v>0</v>
      </c>
      <c r="AW50" s="468">
        <v>0</v>
      </c>
      <c r="AX50" s="468">
        <f t="shared" si="22"/>
        <v>0</v>
      </c>
      <c r="AY50" s="468"/>
      <c r="AZ50" s="468">
        <v>0</v>
      </c>
      <c r="BA50" s="468">
        <v>0</v>
      </c>
      <c r="BB50" s="468">
        <f t="shared" si="1"/>
        <v>0</v>
      </c>
      <c r="BC50" s="468"/>
      <c r="BD50" s="468">
        <v>64000000</v>
      </c>
      <c r="BE50" s="468">
        <f>12770000+12330750+6964920+30000000+1500000+434330</f>
        <v>64000000</v>
      </c>
      <c r="BF50" s="468">
        <f t="shared" si="23"/>
        <v>0</v>
      </c>
      <c r="BG50" s="468"/>
      <c r="BH50" s="468">
        <v>9500000</v>
      </c>
      <c r="BI50" s="468">
        <v>5841720</v>
      </c>
      <c r="BJ50" s="468">
        <f t="shared" si="24"/>
        <v>3658280</v>
      </c>
      <c r="BK50" s="468"/>
      <c r="BL50" s="468">
        <v>5000000</v>
      </c>
      <c r="BM50" s="468">
        <v>0</v>
      </c>
      <c r="BN50" s="468">
        <f t="shared" si="25"/>
        <v>5000000</v>
      </c>
      <c r="BO50" s="468"/>
      <c r="BP50" s="468">
        <v>20000000</v>
      </c>
      <c r="BQ50" s="468">
        <f>2501440+7978460+7787980+1732120</f>
        <v>20000000</v>
      </c>
      <c r="BR50" s="468">
        <f t="shared" si="2"/>
        <v>0</v>
      </c>
      <c r="BS50" s="468"/>
      <c r="BT50" s="468">
        <v>1000000</v>
      </c>
      <c r="BU50" s="468">
        <v>0</v>
      </c>
      <c r="BV50" s="468">
        <f t="shared" si="3"/>
        <v>1000000</v>
      </c>
      <c r="BW50" s="468"/>
      <c r="BX50" s="468">
        <v>0</v>
      </c>
      <c r="BY50" s="468">
        <v>0</v>
      </c>
      <c r="BZ50" s="468">
        <f t="shared" si="26"/>
        <v>0</v>
      </c>
      <c r="CA50" s="468"/>
      <c r="CB50" s="468">
        <v>0</v>
      </c>
      <c r="CC50" s="468">
        <v>0</v>
      </c>
      <c r="CD50" s="468">
        <f t="shared" si="4"/>
        <v>0</v>
      </c>
      <c r="CE50" s="468"/>
      <c r="CF50" s="468">
        <v>0</v>
      </c>
      <c r="CG50" s="468">
        <v>0</v>
      </c>
      <c r="CH50" s="468">
        <f t="shared" si="27"/>
        <v>0</v>
      </c>
      <c r="CI50" s="468"/>
      <c r="CJ50" s="468">
        <v>0</v>
      </c>
      <c r="CK50" s="468">
        <v>0</v>
      </c>
      <c r="CL50" s="468">
        <f t="shared" si="5"/>
        <v>0</v>
      </c>
      <c r="CM50" s="488"/>
      <c r="CN50" s="468">
        <v>0</v>
      </c>
      <c r="CO50" s="468">
        <v>0</v>
      </c>
      <c r="CP50" s="468">
        <f t="shared" si="6"/>
        <v>0</v>
      </c>
      <c r="CQ50" s="468"/>
      <c r="CR50" s="468">
        <v>0</v>
      </c>
      <c r="CS50" s="468">
        <v>0</v>
      </c>
      <c r="CT50" s="468">
        <f t="shared" si="7"/>
        <v>0</v>
      </c>
      <c r="CU50" s="468"/>
      <c r="CV50" s="468">
        <v>0</v>
      </c>
      <c r="CW50" s="468">
        <v>0</v>
      </c>
      <c r="CX50" s="468">
        <f t="shared" si="8"/>
        <v>0</v>
      </c>
      <c r="CY50" s="468"/>
      <c r="CZ50" s="468">
        <v>0</v>
      </c>
      <c r="DA50" s="468">
        <v>0</v>
      </c>
      <c r="DB50" s="468">
        <f t="shared" si="9"/>
        <v>0</v>
      </c>
      <c r="DC50" s="468"/>
      <c r="DD50" s="468">
        <v>0</v>
      </c>
      <c r="DE50" s="468">
        <v>0</v>
      </c>
      <c r="DF50" s="468">
        <f t="shared" si="10"/>
        <v>0</v>
      </c>
      <c r="DG50" s="468"/>
      <c r="DH50" s="468">
        <v>0</v>
      </c>
      <c r="DI50" s="468">
        <v>0</v>
      </c>
      <c r="DJ50" s="468">
        <f t="shared" si="11"/>
        <v>0</v>
      </c>
      <c r="DK50" s="468"/>
      <c r="DL50" s="471">
        <v>0</v>
      </c>
      <c r="DM50" s="471">
        <v>0</v>
      </c>
      <c r="DN50" s="471">
        <f t="shared" si="28"/>
        <v>0</v>
      </c>
      <c r="DO50" s="524"/>
      <c r="DP50" s="471"/>
      <c r="DQ50" s="471"/>
      <c r="DR50" s="471"/>
      <c r="DS50" s="473"/>
      <c r="DT50" s="471">
        <v>70000000</v>
      </c>
      <c r="DU50" s="549">
        <f>8735358+42926441-42936441+42492111+4800000+13200000-7920000</f>
        <v>61297469</v>
      </c>
      <c r="DV50" s="471">
        <f t="shared" si="29"/>
        <v>8702531</v>
      </c>
      <c r="DW50" s="473"/>
      <c r="DX50" s="471">
        <v>10000000</v>
      </c>
      <c r="DY50" s="471"/>
      <c r="DZ50" s="471">
        <f t="shared" si="30"/>
        <v>10000000</v>
      </c>
      <c r="EA50" s="473"/>
      <c r="EB50" s="471">
        <v>5000000</v>
      </c>
      <c r="EC50" s="471">
        <v>0</v>
      </c>
      <c r="ED50" s="471">
        <f t="shared" si="31"/>
        <v>5000000</v>
      </c>
      <c r="EE50" s="473"/>
      <c r="EF50" s="471">
        <v>20000000</v>
      </c>
      <c r="EG50" s="471">
        <f>526684+3691910+1963450</f>
        <v>6182044</v>
      </c>
      <c r="EH50" s="471">
        <f t="shared" si="32"/>
        <v>13817956</v>
      </c>
      <c r="EI50" s="473"/>
      <c r="EJ50" s="471">
        <v>5000000</v>
      </c>
      <c r="EK50" s="471">
        <v>0</v>
      </c>
      <c r="EL50" s="471">
        <f t="shared" si="33"/>
        <v>5000000</v>
      </c>
      <c r="EM50" s="631"/>
      <c r="EN50" s="475"/>
      <c r="EO50" s="475">
        <v>0</v>
      </c>
      <c r="EP50" s="475">
        <f t="shared" si="34"/>
        <v>0</v>
      </c>
      <c r="EQ50" s="475"/>
      <c r="ER50" s="475"/>
      <c r="ES50" s="475">
        <v>0</v>
      </c>
      <c r="ET50" s="475">
        <f t="shared" si="35"/>
        <v>0</v>
      </c>
      <c r="EU50" s="475"/>
      <c r="EV50" s="475">
        <v>0</v>
      </c>
      <c r="EW50" s="475">
        <v>0</v>
      </c>
      <c r="EX50" s="475">
        <f t="shared" si="36"/>
        <v>0</v>
      </c>
      <c r="EY50" s="475"/>
      <c r="EZ50" s="475">
        <v>0</v>
      </c>
      <c r="FA50" s="475">
        <v>0</v>
      </c>
      <c r="FB50" s="475">
        <f t="shared" si="37"/>
        <v>0</v>
      </c>
      <c r="FC50" s="475"/>
      <c r="FD50" s="475">
        <v>0</v>
      </c>
      <c r="FE50" s="475">
        <v>0</v>
      </c>
      <c r="FF50" s="475">
        <f t="shared" si="38"/>
        <v>0</v>
      </c>
      <c r="FG50" s="107"/>
      <c r="FH50" s="475">
        <v>0</v>
      </c>
      <c r="FI50" s="475">
        <v>0</v>
      </c>
      <c r="FJ50" s="475">
        <f t="shared" si="39"/>
        <v>0</v>
      </c>
      <c r="FK50" s="475"/>
      <c r="FL50" s="475">
        <v>0</v>
      </c>
      <c r="FM50" s="475">
        <v>0</v>
      </c>
      <c r="FN50" s="475">
        <f t="shared" ref="FN50:FN58" si="66">FL50-FM50</f>
        <v>0</v>
      </c>
      <c r="FO50" s="475"/>
      <c r="FP50" s="475">
        <v>0</v>
      </c>
      <c r="FQ50" s="475">
        <v>0</v>
      </c>
      <c r="FR50" s="475">
        <f t="shared" ref="FR50:FR58" si="67">FP50-FQ50</f>
        <v>0</v>
      </c>
      <c r="FS50" s="475"/>
      <c r="FT50" s="475">
        <v>0</v>
      </c>
      <c r="FU50" s="475">
        <v>0</v>
      </c>
      <c r="FV50" s="475">
        <f t="shared" ref="FV50:FV58" si="68">FT50-FU50</f>
        <v>0</v>
      </c>
      <c r="FW50" s="475"/>
      <c r="FX50" s="475">
        <v>0</v>
      </c>
      <c r="FY50" s="475">
        <v>0</v>
      </c>
      <c r="FZ50" s="475">
        <f t="shared" ref="FZ50:FZ58" si="69">FX50-FY50</f>
        <v>0</v>
      </c>
      <c r="GA50" s="475"/>
      <c r="GB50" s="475">
        <v>100000000</v>
      </c>
      <c r="GC50" s="475">
        <v>0</v>
      </c>
      <c r="GD50" s="475">
        <f t="shared" ref="GD50:GD60" si="70">GB50-GC50</f>
        <v>100000000</v>
      </c>
      <c r="GE50" s="475"/>
      <c r="GF50" s="475">
        <v>20000000</v>
      </c>
      <c r="GG50" s="475">
        <v>0</v>
      </c>
      <c r="GH50" s="475">
        <f t="shared" ref="GH50:GH60" si="71">GF50-GG50</f>
        <v>20000000</v>
      </c>
      <c r="GI50" s="475"/>
      <c r="GJ50" s="475">
        <v>3000000</v>
      </c>
      <c r="GK50" s="475">
        <v>0</v>
      </c>
      <c r="GL50" s="475">
        <f t="shared" ref="GL50:GL60" si="72">GJ50-GK50</f>
        <v>3000000</v>
      </c>
      <c r="GM50" s="475"/>
      <c r="GN50" s="475">
        <v>15000000</v>
      </c>
      <c r="GO50" s="475">
        <v>0</v>
      </c>
      <c r="GP50" s="475">
        <f t="shared" ref="GP50:GP60" si="73">GN50-GO50</f>
        <v>15000000</v>
      </c>
      <c r="GQ50" s="475"/>
      <c r="GR50" s="475">
        <v>3000000</v>
      </c>
      <c r="GS50" s="475">
        <v>0</v>
      </c>
      <c r="GT50" s="475">
        <f>GR50-GS50</f>
        <v>3000000</v>
      </c>
      <c r="GU50" s="475"/>
      <c r="GV50" s="468">
        <f t="shared" si="49"/>
        <v>403667000</v>
      </c>
      <c r="GW50" s="468">
        <f t="shared" si="49"/>
        <v>210488233</v>
      </c>
      <c r="GX50" s="468">
        <f t="shared" si="50"/>
        <v>193178767</v>
      </c>
      <c r="GY50" s="472"/>
      <c r="HA50" s="468">
        <f>D50+H50+L50+X50+AN50+BD50+BX50+CR50+DT50+DL50+EN50+FH50+GB50</f>
        <v>284240000</v>
      </c>
      <c r="HB50" s="468">
        <f>E50+I50+M50+Y50+AO50+BE50+BY50+CS50+DU50+DM50+EO50+FI50+GC50</f>
        <v>175537469</v>
      </c>
      <c r="HC50" s="471">
        <f t="shared" si="51"/>
        <v>108702531</v>
      </c>
      <c r="HE50" s="471">
        <f>P50+AB50+AR50+BH50+CB50+CV50+DX50+ER50+FL50+GF50</f>
        <v>42427000</v>
      </c>
      <c r="HF50" s="471">
        <f>Q50+AC50+AS50+BI50+CC50+CW50+DY50+ES50+FM50+GG50</f>
        <v>8768720</v>
      </c>
      <c r="HG50" s="471">
        <f t="shared" si="52"/>
        <v>33658280</v>
      </c>
      <c r="HI50" s="471">
        <f>T50+AF50+AV50+BL50+CF50+CZ50+EB50+EV50+FP50+GJ50</f>
        <v>13000000</v>
      </c>
      <c r="HJ50" s="471">
        <f>U50+AG50+AW50+BM50+CG50+DA50+EC50+EW50+FQ50+GK50</f>
        <v>0</v>
      </c>
      <c r="HK50" s="471">
        <f t="shared" si="53"/>
        <v>13000000</v>
      </c>
      <c r="HM50" s="471">
        <f>AJ50+AZ50+BP50+CJ50+DD50+EF50+EZ50+FT50+GN50</f>
        <v>55000000</v>
      </c>
      <c r="HN50" s="471">
        <f>AK50+BA50+BQ50+CK50+DE50+EG50+FA50+FU50+GO50</f>
        <v>26182044</v>
      </c>
      <c r="HO50" s="471">
        <f t="shared" si="54"/>
        <v>28817956</v>
      </c>
      <c r="HP50" s="531"/>
      <c r="HQ50" s="471">
        <f>BT50+CN50+DH50+EJ50+FD50+FX50+GR50</f>
        <v>9000000</v>
      </c>
      <c r="HR50" s="471">
        <f>BU50+CO50+DI50+EK50+FE50+FY50+GS50</f>
        <v>0</v>
      </c>
      <c r="HS50" s="471">
        <f t="shared" si="55"/>
        <v>9000000</v>
      </c>
    </row>
    <row r="51" spans="1:227" x14ac:dyDescent="0.25">
      <c r="A51" s="107">
        <v>48</v>
      </c>
      <c r="B51" s="107" t="s">
        <v>292</v>
      </c>
      <c r="C51" s="631" t="s">
        <v>74</v>
      </c>
      <c r="D51" s="468">
        <v>0</v>
      </c>
      <c r="E51" s="468">
        <v>0</v>
      </c>
      <c r="F51" s="468">
        <f t="shared" si="12"/>
        <v>0</v>
      </c>
      <c r="G51" s="468"/>
      <c r="H51" s="468">
        <v>25240000</v>
      </c>
      <c r="I51" s="468">
        <v>25240000</v>
      </c>
      <c r="J51" s="468">
        <f t="shared" si="13"/>
        <v>0</v>
      </c>
      <c r="K51" s="468"/>
      <c r="L51" s="468">
        <v>25000000</v>
      </c>
      <c r="M51" s="468">
        <v>25000000</v>
      </c>
      <c r="N51" s="468">
        <f t="shared" si="14"/>
        <v>0</v>
      </c>
      <c r="O51" s="468"/>
      <c r="P51" s="468">
        <v>3000000</v>
      </c>
      <c r="Q51" s="468">
        <v>3000000</v>
      </c>
      <c r="R51" s="468">
        <f t="shared" si="15"/>
        <v>0</v>
      </c>
      <c r="S51" s="468"/>
      <c r="T51" s="468">
        <v>1000000</v>
      </c>
      <c r="U51" s="468">
        <v>1000000</v>
      </c>
      <c r="V51" s="468">
        <f t="shared" si="16"/>
        <v>0</v>
      </c>
      <c r="W51" s="468"/>
      <c r="X51" s="468">
        <v>30000000</v>
      </c>
      <c r="Y51" s="468">
        <v>30000000</v>
      </c>
      <c r="Z51" s="468">
        <f t="shared" si="17"/>
        <v>0</v>
      </c>
      <c r="AA51" s="468"/>
      <c r="AB51" s="468">
        <v>5000000</v>
      </c>
      <c r="AC51" s="468">
        <v>5000000</v>
      </c>
      <c r="AD51" s="468">
        <f t="shared" si="18"/>
        <v>0</v>
      </c>
      <c r="AE51" s="468"/>
      <c r="AF51" s="468">
        <v>2000000</v>
      </c>
      <c r="AG51" s="468">
        <v>2000000</v>
      </c>
      <c r="AH51" s="468">
        <f t="shared" si="19"/>
        <v>0</v>
      </c>
      <c r="AI51" s="468"/>
      <c r="AJ51" s="468">
        <v>7500000</v>
      </c>
      <c r="AK51" s="468">
        <v>7500000</v>
      </c>
      <c r="AL51" s="468">
        <f t="shared" si="20"/>
        <v>0</v>
      </c>
      <c r="AM51" s="468"/>
      <c r="AN51" s="468">
        <v>40000000</v>
      </c>
      <c r="AO51" s="468">
        <f>12325000+5316750+15883950+6474300</f>
        <v>40000000</v>
      </c>
      <c r="AP51" s="468">
        <f t="shared" si="0"/>
        <v>0</v>
      </c>
      <c r="AQ51" s="468"/>
      <c r="AR51" s="468">
        <v>3000000</v>
      </c>
      <c r="AS51" s="468">
        <v>3000000</v>
      </c>
      <c r="AT51" s="468">
        <f t="shared" si="21"/>
        <v>0</v>
      </c>
      <c r="AU51" s="468"/>
      <c r="AV51" s="468">
        <v>2000000</v>
      </c>
      <c r="AW51" s="468">
        <f>1832250+167750</f>
        <v>2000000</v>
      </c>
      <c r="AX51" s="468">
        <f t="shared" si="22"/>
        <v>0</v>
      </c>
      <c r="AY51" s="468"/>
      <c r="AZ51" s="468">
        <v>10000000</v>
      </c>
      <c r="BA51" s="468">
        <f>5576115+4423885</f>
        <v>10000000</v>
      </c>
      <c r="BB51" s="468">
        <f t="shared" si="1"/>
        <v>0</v>
      </c>
      <c r="BC51" s="468"/>
      <c r="BD51" s="468">
        <v>64000000</v>
      </c>
      <c r="BE51" s="468">
        <f>48172887+4758593+990000+10078520</f>
        <v>64000000</v>
      </c>
      <c r="BF51" s="468">
        <f t="shared" si="23"/>
        <v>0</v>
      </c>
      <c r="BG51" s="468"/>
      <c r="BH51" s="468">
        <v>9500000</v>
      </c>
      <c r="BI51" s="468">
        <f>4616136+4883864</f>
        <v>9500000</v>
      </c>
      <c r="BJ51" s="468">
        <f t="shared" si="24"/>
        <v>0</v>
      </c>
      <c r="BK51" s="468"/>
      <c r="BL51" s="468">
        <v>5000000</v>
      </c>
      <c r="BM51" s="468">
        <v>5000000</v>
      </c>
      <c r="BN51" s="468">
        <f t="shared" si="25"/>
        <v>0</v>
      </c>
      <c r="BO51" s="468"/>
      <c r="BP51" s="468">
        <v>20000000</v>
      </c>
      <c r="BQ51" s="468">
        <f>10216993.04+4140080+5642926.96</f>
        <v>20000000</v>
      </c>
      <c r="BR51" s="468">
        <f t="shared" si="2"/>
        <v>0</v>
      </c>
      <c r="BS51" s="468"/>
      <c r="BT51" s="468">
        <v>1000000</v>
      </c>
      <c r="BU51" s="468">
        <v>1000000</v>
      </c>
      <c r="BV51" s="468">
        <f t="shared" si="3"/>
        <v>0</v>
      </c>
      <c r="BW51" s="468"/>
      <c r="BX51" s="468">
        <v>80000000</v>
      </c>
      <c r="BY51" s="468">
        <f>20728380+7704375+5038600+950100+45578545</f>
        <v>80000000</v>
      </c>
      <c r="BZ51" s="468">
        <f t="shared" si="26"/>
        <v>0</v>
      </c>
      <c r="CA51" s="468"/>
      <c r="CB51" s="468">
        <v>10000000</v>
      </c>
      <c r="CC51" s="468">
        <f>4117136+5882864</f>
        <v>10000000</v>
      </c>
      <c r="CD51" s="468">
        <f t="shared" si="4"/>
        <v>0</v>
      </c>
      <c r="CE51" s="468"/>
      <c r="CF51" s="468">
        <v>10000000</v>
      </c>
      <c r="CG51" s="489">
        <f>2068300+562500</f>
        <v>2630800</v>
      </c>
      <c r="CH51" s="468">
        <f t="shared" si="27"/>
        <v>7369200</v>
      </c>
      <c r="CI51" s="468"/>
      <c r="CJ51" s="468">
        <v>30000000</v>
      </c>
      <c r="CK51" s="468">
        <f>16529158.04+5016700+4241670+2378700+1833771.96</f>
        <v>30000000</v>
      </c>
      <c r="CL51" s="468">
        <f t="shared" si="5"/>
        <v>0</v>
      </c>
      <c r="CM51" s="468"/>
      <c r="CN51" s="468">
        <v>10000000</v>
      </c>
      <c r="CO51" s="468">
        <f>1312340+1156170+3187500+204030</f>
        <v>5860040</v>
      </c>
      <c r="CP51" s="468">
        <f t="shared" si="6"/>
        <v>4139960</v>
      </c>
      <c r="CQ51" s="468"/>
      <c r="CR51" s="468">
        <v>100000000</v>
      </c>
      <c r="CS51" s="468">
        <f>6511155+36953230+7200000-9058474.55</f>
        <v>41605910.450000003</v>
      </c>
      <c r="CT51" s="468">
        <f t="shared" si="7"/>
        <v>58394089.549999997</v>
      </c>
      <c r="CU51" s="468"/>
      <c r="CV51" s="468">
        <v>20000000</v>
      </c>
      <c r="CW51" s="468">
        <f>1560136+11676908+6590000</f>
        <v>19827044</v>
      </c>
      <c r="CX51" s="468">
        <f t="shared" si="8"/>
        <v>172956</v>
      </c>
      <c r="CY51" s="468"/>
      <c r="CZ51" s="468">
        <v>20000000</v>
      </c>
      <c r="DA51" s="468">
        <v>0</v>
      </c>
      <c r="DB51" s="468">
        <f t="shared" si="9"/>
        <v>20000000</v>
      </c>
      <c r="DC51" s="468"/>
      <c r="DD51" s="468">
        <v>50000000</v>
      </c>
      <c r="DE51" s="468">
        <f>29940558.04+12670448</f>
        <v>42611006.039999999</v>
      </c>
      <c r="DF51" s="468">
        <f t="shared" si="10"/>
        <v>7388993.9600000009</v>
      </c>
      <c r="DG51" s="468"/>
      <c r="DH51" s="468">
        <v>10000000</v>
      </c>
      <c r="DI51" s="468">
        <v>0</v>
      </c>
      <c r="DJ51" s="468">
        <f t="shared" si="11"/>
        <v>10000000</v>
      </c>
      <c r="DK51" s="468"/>
      <c r="DL51" s="471">
        <v>0</v>
      </c>
      <c r="DM51" s="471">
        <v>0</v>
      </c>
      <c r="DN51" s="471">
        <f t="shared" si="28"/>
        <v>0</v>
      </c>
      <c r="DO51" s="524"/>
      <c r="DP51" s="471"/>
      <c r="DQ51" s="471"/>
      <c r="DR51" s="471"/>
      <c r="DS51" s="473"/>
      <c r="DT51" s="471">
        <v>70000000</v>
      </c>
      <c r="DU51" s="471">
        <v>70000000</v>
      </c>
      <c r="DV51" s="471">
        <f t="shared" si="29"/>
        <v>0</v>
      </c>
      <c r="DW51" s="473"/>
      <c r="DX51" s="471">
        <v>10000000</v>
      </c>
      <c r="DY51" s="471">
        <f>9088000+912000</f>
        <v>10000000</v>
      </c>
      <c r="DZ51" s="471">
        <f t="shared" si="30"/>
        <v>0</v>
      </c>
      <c r="EA51" s="473"/>
      <c r="EB51" s="471">
        <v>5000000</v>
      </c>
      <c r="EC51" s="471">
        <v>0</v>
      </c>
      <c r="ED51" s="471">
        <f t="shared" si="31"/>
        <v>5000000</v>
      </c>
      <c r="EE51" s="473"/>
      <c r="EF51" s="471">
        <v>20000000</v>
      </c>
      <c r="EG51" s="471">
        <v>20000000</v>
      </c>
      <c r="EH51" s="471">
        <f t="shared" si="32"/>
        <v>0</v>
      </c>
      <c r="EI51" s="473"/>
      <c r="EJ51" s="471">
        <v>5000000</v>
      </c>
      <c r="EK51" s="471">
        <v>0</v>
      </c>
      <c r="EL51" s="471">
        <f t="shared" si="33"/>
        <v>5000000</v>
      </c>
      <c r="EM51" s="631" t="s">
        <v>74</v>
      </c>
      <c r="EN51" s="475">
        <v>200000000</v>
      </c>
      <c r="EO51" s="475">
        <f>79787271.4+4271544.7+68238123.3+1200000+7993500</f>
        <v>161490439.40000001</v>
      </c>
      <c r="EP51" s="475">
        <f t="shared" si="34"/>
        <v>38509560.599999994</v>
      </c>
      <c r="EQ51" s="475"/>
      <c r="ER51" s="475">
        <v>18000000</v>
      </c>
      <c r="ES51" s="475">
        <f>912960</f>
        <v>912960</v>
      </c>
      <c r="ET51" s="475">
        <f t="shared" si="35"/>
        <v>17087040</v>
      </c>
      <c r="EU51" s="475"/>
      <c r="EV51" s="475">
        <v>5000000</v>
      </c>
      <c r="EW51" s="475">
        <v>0</v>
      </c>
      <c r="EX51" s="475">
        <f t="shared" si="36"/>
        <v>5000000</v>
      </c>
      <c r="EY51" s="475"/>
      <c r="EZ51" s="475">
        <v>25000000</v>
      </c>
      <c r="FA51" s="475">
        <f>2035280+2926710+14823095</f>
        <v>19785085</v>
      </c>
      <c r="FB51" s="475">
        <f t="shared" si="37"/>
        <v>5214915</v>
      </c>
      <c r="FC51" s="475"/>
      <c r="FD51" s="475">
        <v>5000000</v>
      </c>
      <c r="FE51" s="475">
        <v>0</v>
      </c>
      <c r="FF51" s="475">
        <f t="shared" si="38"/>
        <v>5000000</v>
      </c>
      <c r="FG51" s="107"/>
      <c r="FH51" s="475">
        <v>75000000</v>
      </c>
      <c r="FI51" s="475">
        <v>0</v>
      </c>
      <c r="FJ51" s="475">
        <f t="shared" si="39"/>
        <v>75000000</v>
      </c>
      <c r="FK51" s="475"/>
      <c r="FL51" s="475">
        <v>20000000</v>
      </c>
      <c r="FM51" s="475">
        <v>0</v>
      </c>
      <c r="FN51" s="475">
        <f t="shared" si="66"/>
        <v>20000000</v>
      </c>
      <c r="FO51" s="475"/>
      <c r="FP51" s="475">
        <v>5000000</v>
      </c>
      <c r="FQ51" s="475">
        <v>0</v>
      </c>
      <c r="FR51" s="475">
        <f t="shared" si="67"/>
        <v>5000000</v>
      </c>
      <c r="FS51" s="475"/>
      <c r="FT51" s="475">
        <v>20000000</v>
      </c>
      <c r="FU51" s="475">
        <v>13360485</v>
      </c>
      <c r="FV51" s="475">
        <f t="shared" si="68"/>
        <v>6639515</v>
      </c>
      <c r="FW51" s="475"/>
      <c r="FX51" s="475">
        <v>5000000</v>
      </c>
      <c r="FY51" s="475">
        <v>0</v>
      </c>
      <c r="FZ51" s="475">
        <f t="shared" si="69"/>
        <v>5000000</v>
      </c>
      <c r="GA51" s="475"/>
      <c r="GB51" s="475">
        <v>100000000</v>
      </c>
      <c r="GC51" s="475">
        <v>0</v>
      </c>
      <c r="GD51" s="475">
        <f t="shared" si="70"/>
        <v>100000000</v>
      </c>
      <c r="GE51" s="475"/>
      <c r="GF51" s="475">
        <v>20000000</v>
      </c>
      <c r="GG51" s="475">
        <v>0</v>
      </c>
      <c r="GH51" s="475">
        <f t="shared" si="71"/>
        <v>20000000</v>
      </c>
      <c r="GI51" s="475"/>
      <c r="GJ51" s="475">
        <v>3000000</v>
      </c>
      <c r="GK51" s="475">
        <v>0</v>
      </c>
      <c r="GL51" s="475">
        <f t="shared" si="72"/>
        <v>3000000</v>
      </c>
      <c r="GM51" s="475"/>
      <c r="GN51" s="475">
        <v>15000000</v>
      </c>
      <c r="GO51" s="475">
        <v>0</v>
      </c>
      <c r="GP51" s="475">
        <f t="shared" si="73"/>
        <v>15000000</v>
      </c>
      <c r="GQ51" s="475"/>
      <c r="GR51" s="475">
        <v>3000000</v>
      </c>
      <c r="GS51" s="475">
        <v>0</v>
      </c>
      <c r="GT51" s="475">
        <f t="shared" ref="GT51:GT60" si="74">GR51-GS51</f>
        <v>3000000</v>
      </c>
      <c r="GU51" s="475"/>
      <c r="GV51" s="468">
        <f t="shared" si="49"/>
        <v>1222240000</v>
      </c>
      <c r="GW51" s="468">
        <f t="shared" si="49"/>
        <v>781323769.88999999</v>
      </c>
      <c r="GX51" s="468">
        <f t="shared" si="50"/>
        <v>440916230.11000001</v>
      </c>
      <c r="GY51" s="472"/>
      <c r="HA51" s="468">
        <f>D51+H51+L51+X51+AN51+BD51+BX51+CR51+DT51+DL51+EN51+FH51+GB51</f>
        <v>809240000</v>
      </c>
      <c r="HB51" s="468">
        <f>E51+I51+M51+Y51+AO51+BE51+BY51+CS51+DU51+DM51+EO51+FI51+GC51</f>
        <v>537336349.85000002</v>
      </c>
      <c r="HC51" s="471">
        <f t="shared" si="51"/>
        <v>271903650.14999998</v>
      </c>
      <c r="HE51" s="471">
        <f>P51+AB51+AR51+BH51+CB51+CV51+DX51+ER51+FL51+GF51</f>
        <v>118500000</v>
      </c>
      <c r="HF51" s="471">
        <f>Q51+AC51+AS51+BI51+CC51+CW51+DY51+ES51+FM51+GG51</f>
        <v>61240004</v>
      </c>
      <c r="HG51" s="471">
        <f t="shared" si="52"/>
        <v>57259996</v>
      </c>
      <c r="HI51" s="471">
        <f>T51+AF51+AV51+BL51+CF51+CZ51+EB51+EV51+FP51+GJ51</f>
        <v>58000000</v>
      </c>
      <c r="HJ51" s="471">
        <f>U51+AG51+AW51+BM51+CG51+DA51+EC51+EW51+FQ51+GK51</f>
        <v>12630800</v>
      </c>
      <c r="HK51" s="471">
        <f t="shared" si="53"/>
        <v>45369200</v>
      </c>
      <c r="HM51" s="471">
        <f>AJ51+AZ51+BP51+CJ51+DD51+EF51+EZ51+FT51+GN51</f>
        <v>197500000</v>
      </c>
      <c r="HN51" s="471">
        <f>AK51+BA51+BQ51+CK51+DE51+EG51+FA51+FU51+GO51</f>
        <v>163256576.03999999</v>
      </c>
      <c r="HO51" s="471">
        <f t="shared" si="54"/>
        <v>34243423.960000008</v>
      </c>
      <c r="HP51" s="531"/>
      <c r="HQ51" s="471">
        <f>BT51+CN51+DH51+EJ51+FD51+FX51+GR51</f>
        <v>39000000</v>
      </c>
      <c r="HR51" s="471">
        <f>BU51+CO51+DI51+EK51+FE51+FY51+GS51</f>
        <v>6860040</v>
      </c>
      <c r="HS51" s="471">
        <f t="shared" si="55"/>
        <v>32139960</v>
      </c>
    </row>
    <row r="52" spans="1:227" x14ac:dyDescent="0.25">
      <c r="A52" s="107">
        <v>49</v>
      </c>
      <c r="B52" s="107" t="s">
        <v>248</v>
      </c>
      <c r="C52" s="633" t="s">
        <v>63</v>
      </c>
      <c r="D52" s="468">
        <v>0</v>
      </c>
      <c r="E52" s="468">
        <v>0</v>
      </c>
      <c r="F52" s="468">
        <f t="shared" si="12"/>
        <v>0</v>
      </c>
      <c r="G52" s="468"/>
      <c r="H52" s="468">
        <v>0</v>
      </c>
      <c r="I52" s="468">
        <v>0</v>
      </c>
      <c r="J52" s="468">
        <f t="shared" si="13"/>
        <v>0</v>
      </c>
      <c r="K52" s="468"/>
      <c r="L52" s="468">
        <v>25000000</v>
      </c>
      <c r="M52" s="468">
        <v>25000000</v>
      </c>
      <c r="N52" s="468">
        <f t="shared" si="14"/>
        <v>0</v>
      </c>
      <c r="O52" s="468"/>
      <c r="P52" s="468">
        <f>3000000-3000000</f>
        <v>0</v>
      </c>
      <c r="Q52" s="468">
        <v>0</v>
      </c>
      <c r="R52" s="468">
        <f t="shared" si="15"/>
        <v>0</v>
      </c>
      <c r="S52" s="468"/>
      <c r="T52" s="468">
        <v>850000</v>
      </c>
      <c r="U52" s="468">
        <v>850000</v>
      </c>
      <c r="V52" s="468">
        <f t="shared" si="16"/>
        <v>0</v>
      </c>
      <c r="W52" s="468"/>
      <c r="X52" s="468">
        <v>30000000</v>
      </c>
      <c r="Y52" s="468">
        <v>30000000</v>
      </c>
      <c r="Z52" s="468">
        <f t="shared" si="17"/>
        <v>0</v>
      </c>
      <c r="AA52" s="468"/>
      <c r="AB52" s="468">
        <f>5000000-5000000</f>
        <v>0</v>
      </c>
      <c r="AC52" s="468">
        <v>0</v>
      </c>
      <c r="AD52" s="468">
        <f t="shared" si="18"/>
        <v>0</v>
      </c>
      <c r="AE52" s="468"/>
      <c r="AF52" s="468">
        <f>2000000-2000000</f>
        <v>0</v>
      </c>
      <c r="AG52" s="468">
        <v>0</v>
      </c>
      <c r="AH52" s="468">
        <f t="shared" si="19"/>
        <v>0</v>
      </c>
      <c r="AI52" s="468"/>
      <c r="AJ52" s="468">
        <v>7500000</v>
      </c>
      <c r="AK52" s="468">
        <v>7500000</v>
      </c>
      <c r="AL52" s="468">
        <f t="shared" si="20"/>
        <v>0</v>
      </c>
      <c r="AN52" s="468">
        <v>40000000</v>
      </c>
      <c r="AO52" s="468">
        <v>40000000</v>
      </c>
      <c r="AP52" s="468">
        <f t="shared" si="0"/>
        <v>0</v>
      </c>
      <c r="AQ52" s="468"/>
      <c r="AR52" s="468">
        <v>3000000</v>
      </c>
      <c r="AS52" s="468">
        <f>1977500+1022500</f>
        <v>3000000</v>
      </c>
      <c r="AT52" s="468">
        <f t="shared" si="21"/>
        <v>0</v>
      </c>
      <c r="AU52" s="468"/>
      <c r="AV52" s="468">
        <v>2000000</v>
      </c>
      <c r="AW52" s="468">
        <f>1977500-1977500</f>
        <v>0</v>
      </c>
      <c r="AX52" s="468">
        <f t="shared" si="22"/>
        <v>2000000</v>
      </c>
      <c r="AY52" s="468"/>
      <c r="AZ52" s="468">
        <v>10000000</v>
      </c>
      <c r="BA52" s="468">
        <v>810404.44000000041</v>
      </c>
      <c r="BB52" s="468">
        <f t="shared" si="1"/>
        <v>9189595.5599999987</v>
      </c>
      <c r="BC52" s="468"/>
      <c r="BD52" s="468">
        <v>64000000</v>
      </c>
      <c r="BE52" s="468">
        <f>4037086.55+59916300+46613.45</f>
        <v>64000000</v>
      </c>
      <c r="BF52" s="468">
        <f t="shared" si="23"/>
        <v>0</v>
      </c>
      <c r="BG52" s="468"/>
      <c r="BH52" s="468">
        <v>9500000</v>
      </c>
      <c r="BI52" s="468">
        <f>2175666.67+4202729+1450444.44+1671159.89</f>
        <v>9500000</v>
      </c>
      <c r="BJ52" s="468">
        <f t="shared" si="24"/>
        <v>0</v>
      </c>
      <c r="BK52" s="468"/>
      <c r="BL52" s="468">
        <v>5000000</v>
      </c>
      <c r="BM52" s="468">
        <v>0</v>
      </c>
      <c r="BN52" s="468">
        <f t="shared" si="25"/>
        <v>5000000</v>
      </c>
      <c r="BO52" s="468"/>
      <c r="BP52" s="468">
        <v>20000000</v>
      </c>
      <c r="BQ52" s="468">
        <v>1218640</v>
      </c>
      <c r="BR52" s="468">
        <f t="shared" si="2"/>
        <v>18781360</v>
      </c>
      <c r="BS52" s="468"/>
      <c r="BT52" s="468">
        <v>1000000</v>
      </c>
      <c r="BU52" s="468">
        <v>1000000</v>
      </c>
      <c r="BV52" s="468">
        <f t="shared" si="3"/>
        <v>0</v>
      </c>
      <c r="BW52" s="468"/>
      <c r="BX52" s="468">
        <v>80000000</v>
      </c>
      <c r="BY52" s="468">
        <f>75854474.55+4145525.45</f>
        <v>80000000</v>
      </c>
      <c r="BZ52" s="468">
        <f t="shared" si="26"/>
        <v>0</v>
      </c>
      <c r="CA52" s="468"/>
      <c r="CB52" s="468">
        <v>10000000</v>
      </c>
      <c r="CC52" s="469">
        <f>1644740.11+1239480+1874056.8</f>
        <v>4758276.91</v>
      </c>
      <c r="CD52" s="468">
        <f t="shared" si="4"/>
        <v>5241723.09</v>
      </c>
      <c r="CE52" s="468"/>
      <c r="CF52" s="468">
        <v>10000000</v>
      </c>
      <c r="CG52" s="468">
        <v>0</v>
      </c>
      <c r="CH52" s="468">
        <f t="shared" si="27"/>
        <v>10000000</v>
      </c>
      <c r="CI52" s="468"/>
      <c r="CJ52" s="468">
        <v>30000000</v>
      </c>
      <c r="CK52" s="491">
        <f>12149740+4383746+6562368+3384320+1413455+2106371</f>
        <v>30000000</v>
      </c>
      <c r="CL52" s="468">
        <f t="shared" si="5"/>
        <v>0</v>
      </c>
      <c r="CM52" s="468"/>
      <c r="CN52" s="468">
        <v>10000000</v>
      </c>
      <c r="CO52" s="504">
        <f>3315000+585000+2995000+3105000</f>
        <v>10000000</v>
      </c>
      <c r="CP52" s="468">
        <f t="shared" si="6"/>
        <v>0</v>
      </c>
      <c r="CQ52" s="468"/>
      <c r="CR52" s="468">
        <v>100000000</v>
      </c>
      <c r="CS52" s="468">
        <f>6276474.55+8431830+79030830+1387504.98+4873360.47</f>
        <v>100000000</v>
      </c>
      <c r="CT52" s="468">
        <f t="shared" si="7"/>
        <v>0</v>
      </c>
      <c r="CU52" s="468"/>
      <c r="CV52" s="468">
        <v>20000000</v>
      </c>
      <c r="CW52" s="468">
        <v>0</v>
      </c>
      <c r="CX52" s="468">
        <f t="shared" si="8"/>
        <v>20000000</v>
      </c>
      <c r="CY52" s="468"/>
      <c r="CZ52" s="468">
        <v>20000000</v>
      </c>
      <c r="DA52" s="468">
        <v>0</v>
      </c>
      <c r="DB52" s="468">
        <f t="shared" si="9"/>
        <v>20000000</v>
      </c>
      <c r="DC52" s="468"/>
      <c r="DD52" s="468">
        <v>50000000</v>
      </c>
      <c r="DE52" s="490">
        <f>30210350+3558075+6035869+10195706</f>
        <v>50000000</v>
      </c>
      <c r="DF52" s="468">
        <f t="shared" si="10"/>
        <v>0</v>
      </c>
      <c r="DG52" s="468"/>
      <c r="DH52" s="468">
        <v>10000000</v>
      </c>
      <c r="DI52" s="504">
        <v>677500</v>
      </c>
      <c r="DJ52" s="468">
        <f t="shared" si="11"/>
        <v>9322500</v>
      </c>
      <c r="DK52" s="468"/>
      <c r="DL52" s="471">
        <v>0</v>
      </c>
      <c r="DM52" s="471">
        <v>0</v>
      </c>
      <c r="DN52" s="471">
        <f t="shared" si="28"/>
        <v>0</v>
      </c>
      <c r="DO52" s="524"/>
      <c r="DP52" s="471"/>
      <c r="DQ52" s="471"/>
      <c r="DR52" s="471"/>
      <c r="DS52" s="473"/>
      <c r="DT52" s="471">
        <v>70000000</v>
      </c>
      <c r="DU52" s="471">
        <f>17426639.53+13500000+31000000+8073360.47</f>
        <v>70000000</v>
      </c>
      <c r="DV52" s="471">
        <f t="shared" si="29"/>
        <v>0</v>
      </c>
      <c r="DW52" s="473"/>
      <c r="DX52" s="471">
        <v>10000000</v>
      </c>
      <c r="DY52" s="471">
        <v>0</v>
      </c>
      <c r="DZ52" s="471">
        <f t="shared" si="30"/>
        <v>10000000</v>
      </c>
      <c r="EA52" s="473"/>
      <c r="EB52" s="471">
        <v>5000000</v>
      </c>
      <c r="EC52" s="471">
        <v>0</v>
      </c>
      <c r="ED52" s="471">
        <f t="shared" si="31"/>
        <v>5000000</v>
      </c>
      <c r="EE52" s="473"/>
      <c r="EF52" s="471">
        <v>20000000</v>
      </c>
      <c r="EG52" s="541">
        <f>14830069</f>
        <v>14830069</v>
      </c>
      <c r="EH52" s="471">
        <f t="shared" si="32"/>
        <v>5169931</v>
      </c>
      <c r="EI52" s="473"/>
      <c r="EJ52" s="471">
        <v>5000000</v>
      </c>
      <c r="EK52" s="471">
        <v>0</v>
      </c>
      <c r="EL52" s="471">
        <f t="shared" si="33"/>
        <v>5000000</v>
      </c>
      <c r="EM52" s="633" t="s">
        <v>63</v>
      </c>
      <c r="EN52" s="475">
        <v>200000000</v>
      </c>
      <c r="EO52" s="475">
        <f>96126639.53+1500000+47390493.5+54982866.97-8138450+8138450</f>
        <v>200000000</v>
      </c>
      <c r="EP52" s="475">
        <f t="shared" si="34"/>
        <v>0</v>
      </c>
      <c r="EQ52" s="475"/>
      <c r="ER52" s="475">
        <v>18000000</v>
      </c>
      <c r="ES52" s="475">
        <v>0</v>
      </c>
      <c r="ET52" s="475">
        <f t="shared" si="35"/>
        <v>18000000</v>
      </c>
      <c r="EU52" s="475"/>
      <c r="EV52" s="475">
        <v>5000000</v>
      </c>
      <c r="EW52" s="475">
        <v>0</v>
      </c>
      <c r="EX52" s="475">
        <f t="shared" si="36"/>
        <v>5000000</v>
      </c>
      <c r="EY52" s="475"/>
      <c r="EZ52" s="475">
        <v>25000000</v>
      </c>
      <c r="FA52" s="475">
        <v>0</v>
      </c>
      <c r="FB52" s="475">
        <f t="shared" si="37"/>
        <v>25000000</v>
      </c>
      <c r="FC52" s="475"/>
      <c r="FD52" s="475">
        <v>5000000</v>
      </c>
      <c r="FE52" s="475">
        <v>0</v>
      </c>
      <c r="FF52" s="475">
        <f t="shared" si="38"/>
        <v>5000000</v>
      </c>
      <c r="FG52" s="107"/>
      <c r="FH52" s="475">
        <v>75000000</v>
      </c>
      <c r="FI52" s="475">
        <f>1762653.03+5270188.5</f>
        <v>7032841.5300000003</v>
      </c>
      <c r="FJ52" s="475">
        <f t="shared" si="39"/>
        <v>67967158.469999999</v>
      </c>
      <c r="FK52" s="475"/>
      <c r="FL52" s="475">
        <v>20000000</v>
      </c>
      <c r="FM52" s="475">
        <v>0</v>
      </c>
      <c r="FN52" s="475">
        <f t="shared" si="66"/>
        <v>20000000</v>
      </c>
      <c r="FO52" s="475"/>
      <c r="FP52" s="475">
        <v>5000000</v>
      </c>
      <c r="FQ52" s="475">
        <v>0</v>
      </c>
      <c r="FR52" s="475">
        <f t="shared" si="67"/>
        <v>5000000</v>
      </c>
      <c r="FS52" s="475"/>
      <c r="FT52" s="475">
        <v>20000000</v>
      </c>
      <c r="FU52" s="475">
        <v>0</v>
      </c>
      <c r="FV52" s="475">
        <f t="shared" si="68"/>
        <v>20000000</v>
      </c>
      <c r="FW52" s="475"/>
      <c r="FX52" s="475">
        <v>5000000</v>
      </c>
      <c r="FY52" s="475">
        <v>0</v>
      </c>
      <c r="FZ52" s="475">
        <f t="shared" si="69"/>
        <v>5000000</v>
      </c>
      <c r="GA52" s="475"/>
      <c r="GB52" s="475">
        <v>100000000</v>
      </c>
      <c r="GC52" s="475">
        <v>0</v>
      </c>
      <c r="GD52" s="475">
        <f t="shared" si="70"/>
        <v>100000000</v>
      </c>
      <c r="GE52" s="475"/>
      <c r="GF52" s="475">
        <v>20000000</v>
      </c>
      <c r="GG52" s="475">
        <v>0</v>
      </c>
      <c r="GH52" s="475">
        <f t="shared" si="71"/>
        <v>20000000</v>
      </c>
      <c r="GI52" s="475"/>
      <c r="GJ52" s="475">
        <v>3000000</v>
      </c>
      <c r="GK52" s="475">
        <v>0</v>
      </c>
      <c r="GL52" s="475">
        <f t="shared" si="72"/>
        <v>3000000</v>
      </c>
      <c r="GM52" s="475"/>
      <c r="GN52" s="475">
        <v>15000000</v>
      </c>
      <c r="GO52" s="475">
        <v>0</v>
      </c>
      <c r="GP52" s="475">
        <f t="shared" si="73"/>
        <v>15000000</v>
      </c>
      <c r="GQ52" s="475"/>
      <c r="GR52" s="475">
        <v>3000000</v>
      </c>
      <c r="GS52" s="475">
        <v>0</v>
      </c>
      <c r="GT52" s="475">
        <f t="shared" si="74"/>
        <v>3000000</v>
      </c>
      <c r="GU52" s="475"/>
      <c r="GV52" s="468">
        <f t="shared" si="49"/>
        <v>1186850000</v>
      </c>
      <c r="GW52" s="468">
        <f t="shared" si="49"/>
        <v>750177731.88</v>
      </c>
      <c r="GX52" s="468">
        <f t="shared" si="50"/>
        <v>436672268.12</v>
      </c>
      <c r="GY52" s="472"/>
      <c r="HA52" s="468">
        <f>D52+H52+L52+X52+AN52+BD52+BX52+CR52+DT52+DL52+EN52+FH52+GB52</f>
        <v>784000000</v>
      </c>
      <c r="HB52" s="468">
        <f>E52+I52+M52+Y52+AO52+BE52+BY52+CS52+DU52+DM52+EO52+FI52+GC52</f>
        <v>616032841.52999997</v>
      </c>
      <c r="HC52" s="471">
        <f t="shared" si="51"/>
        <v>167967158.47000003</v>
      </c>
      <c r="HE52" s="471">
        <f>P52+AB52+AR52+BH52+CB52+CV52+DX52+ER52+FL52+GF52</f>
        <v>110500000</v>
      </c>
      <c r="HF52" s="471">
        <f>Q52+AC52+AS52+BI52+CC52+CW52+DY52+ES52+FM52+GG52</f>
        <v>17258276.91</v>
      </c>
      <c r="HG52" s="471">
        <f t="shared" si="52"/>
        <v>93241723.090000004</v>
      </c>
      <c r="HI52" s="471">
        <f>T52+AF52+AV52+BL52+CF52+CZ52+EB52+EV52+FP52+GJ52</f>
        <v>55850000</v>
      </c>
      <c r="HJ52" s="471">
        <f>U52+AG52+AW52+BM52+CG52+DA52+EC52+EW52+FQ52+GK52</f>
        <v>850000</v>
      </c>
      <c r="HK52" s="471">
        <f t="shared" si="53"/>
        <v>55000000</v>
      </c>
      <c r="HM52" s="471">
        <f>AJ52+AZ52+BP52+CJ52+DD52+EF52+EZ52+FT52+GN52</f>
        <v>197500000</v>
      </c>
      <c r="HN52" s="471">
        <f>AK52+BA52+BQ52+CK52+DE52+EG52+FA52+FU52+GO52</f>
        <v>104359113.44</v>
      </c>
      <c r="HO52" s="471">
        <f t="shared" si="54"/>
        <v>93140886.560000002</v>
      </c>
      <c r="HP52" s="531"/>
      <c r="HQ52" s="471">
        <f>BT52+CN52+DH52+EJ52+FD52+FX52+GR52</f>
        <v>39000000</v>
      </c>
      <c r="HR52" s="471">
        <f>BU52+CO52+DI52+EK52+FE52+FY52+GS52</f>
        <v>11677500</v>
      </c>
      <c r="HS52" s="471">
        <f t="shared" si="55"/>
        <v>27322500</v>
      </c>
    </row>
    <row r="53" spans="1:227" x14ac:dyDescent="0.25">
      <c r="A53" s="107">
        <v>50</v>
      </c>
      <c r="B53" s="107" t="s">
        <v>249</v>
      </c>
      <c r="C53" s="634" t="s">
        <v>76</v>
      </c>
      <c r="D53" s="468">
        <v>0</v>
      </c>
      <c r="E53" s="468">
        <v>0</v>
      </c>
      <c r="F53" s="468">
        <f t="shared" si="12"/>
        <v>0</v>
      </c>
      <c r="G53" s="468"/>
      <c r="H53" s="468">
        <v>0</v>
      </c>
      <c r="I53" s="468">
        <v>0</v>
      </c>
      <c r="J53" s="468">
        <f t="shared" si="13"/>
        <v>0</v>
      </c>
      <c r="K53" s="468"/>
      <c r="L53" s="468">
        <v>0</v>
      </c>
      <c r="M53" s="468">
        <v>0</v>
      </c>
      <c r="N53" s="468">
        <f t="shared" si="14"/>
        <v>0</v>
      </c>
      <c r="O53" s="468"/>
      <c r="P53" s="468">
        <v>0</v>
      </c>
      <c r="Q53" s="468">
        <v>0</v>
      </c>
      <c r="R53" s="468">
        <f t="shared" si="15"/>
        <v>0</v>
      </c>
      <c r="S53" s="468"/>
      <c r="T53" s="468">
        <v>1000000</v>
      </c>
      <c r="U53" s="468">
        <v>1000000</v>
      </c>
      <c r="V53" s="468">
        <f t="shared" si="16"/>
        <v>0</v>
      </c>
      <c r="W53" s="468"/>
      <c r="X53" s="468">
        <v>26600000</v>
      </c>
      <c r="Y53" s="468">
        <f>14450000+9150000+3000000</f>
        <v>26600000</v>
      </c>
      <c r="Z53" s="468">
        <f t="shared" si="17"/>
        <v>0</v>
      </c>
      <c r="AA53" s="468"/>
      <c r="AB53" s="468">
        <v>5000000</v>
      </c>
      <c r="AC53" s="468">
        <v>5000000</v>
      </c>
      <c r="AD53" s="468">
        <f t="shared" si="18"/>
        <v>0</v>
      </c>
      <c r="AE53" s="468"/>
      <c r="AF53" s="468">
        <v>4750000</v>
      </c>
      <c r="AG53" s="468">
        <f>3250000+750000+750000</f>
        <v>4750000</v>
      </c>
      <c r="AH53" s="468">
        <f t="shared" si="19"/>
        <v>0</v>
      </c>
      <c r="AI53" s="468"/>
      <c r="AJ53" s="468">
        <v>7500000</v>
      </c>
      <c r="AK53" s="468">
        <v>7500000</v>
      </c>
      <c r="AL53" s="468">
        <f t="shared" si="20"/>
        <v>0</v>
      </c>
      <c r="AN53" s="468">
        <v>40000000</v>
      </c>
      <c r="AO53" s="468">
        <f>40000000</f>
        <v>40000000</v>
      </c>
      <c r="AP53" s="468">
        <f t="shared" si="0"/>
        <v>0</v>
      </c>
      <c r="AQ53" s="468"/>
      <c r="AR53" s="468">
        <v>3000000</v>
      </c>
      <c r="AS53" s="468">
        <f>2837000+163000</f>
        <v>3000000</v>
      </c>
      <c r="AT53" s="468">
        <f t="shared" si="21"/>
        <v>0</v>
      </c>
      <c r="AU53" s="468"/>
      <c r="AV53" s="468">
        <v>2000000</v>
      </c>
      <c r="AW53" s="468">
        <f>2000000</f>
        <v>2000000</v>
      </c>
      <c r="AX53" s="468">
        <f t="shared" si="22"/>
        <v>0</v>
      </c>
      <c r="AY53" s="468"/>
      <c r="AZ53" s="468">
        <v>10000000</v>
      </c>
      <c r="BA53" s="468">
        <f>2283900+1020040+2873100+3822960</f>
        <v>10000000</v>
      </c>
      <c r="BB53" s="468">
        <f t="shared" si="1"/>
        <v>0</v>
      </c>
      <c r="BC53" s="468"/>
      <c r="BD53" s="468">
        <v>64000000</v>
      </c>
      <c r="BE53" s="468">
        <f>389500+18636000+2900000+10550000+12263910+19260590</f>
        <v>64000000</v>
      </c>
      <c r="BF53" s="468">
        <f t="shared" si="23"/>
        <v>0</v>
      </c>
      <c r="BG53" s="468"/>
      <c r="BH53" s="468">
        <v>9500000</v>
      </c>
      <c r="BI53" s="468">
        <f>1837000+7663000</f>
        <v>9500000</v>
      </c>
      <c r="BJ53" s="468">
        <f t="shared" si="24"/>
        <v>0</v>
      </c>
      <c r="BK53" s="468"/>
      <c r="BL53" s="468">
        <v>5000000</v>
      </c>
      <c r="BM53" s="468">
        <f>2250000+750000</f>
        <v>3000000</v>
      </c>
      <c r="BN53" s="468">
        <f t="shared" si="25"/>
        <v>2000000</v>
      </c>
      <c r="BO53" s="468"/>
      <c r="BP53" s="468">
        <v>20000000</v>
      </c>
      <c r="BQ53" s="468">
        <f>165360+3783800+8025035+6169155+1856650</f>
        <v>20000000</v>
      </c>
      <c r="BR53" s="468">
        <f t="shared" si="2"/>
        <v>0</v>
      </c>
      <c r="BS53" s="468"/>
      <c r="BT53" s="468">
        <v>1000000</v>
      </c>
      <c r="BU53" s="468">
        <f>850000+150000</f>
        <v>1000000</v>
      </c>
      <c r="BV53" s="468">
        <f t="shared" si="3"/>
        <v>0</v>
      </c>
      <c r="BW53" s="468"/>
      <c r="BX53" s="468">
        <v>80000000</v>
      </c>
      <c r="BY53" s="468">
        <f>60739410+6250000</f>
        <v>66989410</v>
      </c>
      <c r="BZ53" s="468">
        <f t="shared" si="26"/>
        <v>13010590</v>
      </c>
      <c r="CA53" s="468"/>
      <c r="CB53" s="468">
        <v>10000000</v>
      </c>
      <c r="CC53" s="468">
        <f>4337000+5663000</f>
        <v>10000000</v>
      </c>
      <c r="CD53" s="468">
        <f t="shared" si="4"/>
        <v>0</v>
      </c>
      <c r="CE53" s="468"/>
      <c r="CF53" s="468">
        <v>10000000</v>
      </c>
      <c r="CG53" s="468">
        <v>10000000</v>
      </c>
      <c r="CH53" s="468">
        <f t="shared" si="27"/>
        <v>0</v>
      </c>
      <c r="CI53" s="468"/>
      <c r="CJ53" s="468">
        <v>30000000</v>
      </c>
      <c r="CK53" s="468">
        <f>9652655+8623870+3910550+7812925</f>
        <v>30000000</v>
      </c>
      <c r="CL53" s="468">
        <f t="shared" si="5"/>
        <v>0</v>
      </c>
      <c r="CM53" s="468"/>
      <c r="CN53" s="468">
        <v>10000000</v>
      </c>
      <c r="CO53" s="468">
        <v>10000000</v>
      </c>
      <c r="CP53" s="468">
        <f t="shared" si="6"/>
        <v>0</v>
      </c>
      <c r="CQ53" s="468"/>
      <c r="CR53" s="468">
        <v>100000000</v>
      </c>
      <c r="CS53" s="468">
        <f>78300000+21700000</f>
        <v>100000000</v>
      </c>
      <c r="CT53" s="468">
        <f t="shared" si="7"/>
        <v>0</v>
      </c>
      <c r="CU53" s="468"/>
      <c r="CV53" s="468">
        <v>20000000</v>
      </c>
      <c r="CW53" s="468">
        <f>10337000+4000000+3314100+832260+1516640</f>
        <v>20000000</v>
      </c>
      <c r="CX53" s="468">
        <f t="shared" si="8"/>
        <v>0</v>
      </c>
      <c r="CY53" s="468"/>
      <c r="CZ53" s="468">
        <v>20000000</v>
      </c>
      <c r="DA53" s="468">
        <f>2706862.5</f>
        <v>2706862.5</v>
      </c>
      <c r="DB53" s="468">
        <f t="shared" si="9"/>
        <v>17293137.5</v>
      </c>
      <c r="DC53" s="468"/>
      <c r="DD53" s="468">
        <v>50000000</v>
      </c>
      <c r="DE53" s="468">
        <f>537378+26170996+15518190+7773436</f>
        <v>50000000</v>
      </c>
      <c r="DF53" s="468">
        <f t="shared" si="10"/>
        <v>0</v>
      </c>
      <c r="DG53" s="468"/>
      <c r="DH53" s="468">
        <v>10000000</v>
      </c>
      <c r="DI53" s="468">
        <f>6991160+2848440+160400</f>
        <v>10000000</v>
      </c>
      <c r="DJ53" s="468">
        <f t="shared" si="11"/>
        <v>0</v>
      </c>
      <c r="DK53" s="468"/>
      <c r="DL53" s="471">
        <v>0</v>
      </c>
      <c r="DM53" s="471">
        <v>0</v>
      </c>
      <c r="DN53" s="471">
        <f t="shared" si="28"/>
        <v>0</v>
      </c>
      <c r="DO53" s="524"/>
      <c r="DP53" s="471"/>
      <c r="DQ53" s="471"/>
      <c r="DR53" s="471"/>
      <c r="DS53" s="473"/>
      <c r="DT53" s="471">
        <v>70000000</v>
      </c>
      <c r="DU53" s="552">
        <f>500000+54173271.75+15326728.25</f>
        <v>70000000</v>
      </c>
      <c r="DV53" s="471">
        <f t="shared" si="29"/>
        <v>0</v>
      </c>
      <c r="DW53" s="473"/>
      <c r="DX53" s="471">
        <v>10000000</v>
      </c>
      <c r="DY53" s="471">
        <f>6007480+3073260+919260</f>
        <v>10000000</v>
      </c>
      <c r="DZ53" s="471">
        <f t="shared" si="30"/>
        <v>0</v>
      </c>
      <c r="EA53" s="473"/>
      <c r="EB53" s="471">
        <v>5000000</v>
      </c>
      <c r="EC53" s="471">
        <v>0</v>
      </c>
      <c r="ED53" s="471">
        <f t="shared" si="31"/>
        <v>5000000</v>
      </c>
      <c r="EE53" s="473"/>
      <c r="EF53" s="471">
        <v>20000000</v>
      </c>
      <c r="EG53" s="471">
        <f>5440098+1213800+4867540+3238500+655800+4584262</f>
        <v>20000000</v>
      </c>
      <c r="EH53" s="471">
        <f t="shared" si="32"/>
        <v>0</v>
      </c>
      <c r="EI53" s="473"/>
      <c r="EJ53" s="471">
        <v>5000000</v>
      </c>
      <c r="EK53" s="541">
        <f>4518850+481150</f>
        <v>5000000</v>
      </c>
      <c r="EL53" s="471">
        <f t="shared" si="33"/>
        <v>0</v>
      </c>
      <c r="EM53" s="634" t="s">
        <v>76</v>
      </c>
      <c r="EN53" s="475">
        <v>200000000</v>
      </c>
      <c r="EO53" s="627">
        <f>3288521.75</f>
        <v>3288521.75</v>
      </c>
      <c r="EP53" s="475">
        <f t="shared" si="34"/>
        <v>196711478.25</v>
      </c>
      <c r="EQ53" s="475"/>
      <c r="ER53" s="475">
        <v>18000000</v>
      </c>
      <c r="ES53" s="626">
        <f>3819120+4623870+5264334.57+4292675.43</f>
        <v>18000000</v>
      </c>
      <c r="ET53" s="475">
        <f t="shared" si="35"/>
        <v>0</v>
      </c>
      <c r="EU53" s="475"/>
      <c r="EV53" s="475">
        <v>5000000</v>
      </c>
      <c r="EW53" s="475">
        <v>0</v>
      </c>
      <c r="EX53" s="475">
        <f t="shared" si="36"/>
        <v>5000000</v>
      </c>
      <c r="EY53" s="475"/>
      <c r="EZ53" s="475">
        <v>25000000</v>
      </c>
      <c r="FA53" s="626">
        <f>3510833+1291075+8713220+5817635+5667237</f>
        <v>25000000</v>
      </c>
      <c r="FB53" s="475">
        <f t="shared" si="37"/>
        <v>0</v>
      </c>
      <c r="FC53" s="475"/>
      <c r="FD53" s="475">
        <v>5000000</v>
      </c>
      <c r="FE53" s="626">
        <f>344600</f>
        <v>344600</v>
      </c>
      <c r="FF53" s="475">
        <f t="shared" si="38"/>
        <v>4655400</v>
      </c>
      <c r="FG53" s="107"/>
      <c r="FH53" s="475">
        <v>75000000</v>
      </c>
      <c r="FI53" s="475">
        <v>0</v>
      </c>
      <c r="FJ53" s="475">
        <f t="shared" si="39"/>
        <v>75000000</v>
      </c>
      <c r="FK53" s="475"/>
      <c r="FL53" s="475">
        <v>20000000</v>
      </c>
      <c r="FM53" s="626">
        <f>1230849.42</f>
        <v>1230849.42</v>
      </c>
      <c r="FN53" s="475">
        <f t="shared" si="66"/>
        <v>18769150.579999998</v>
      </c>
      <c r="FO53" s="475"/>
      <c r="FP53" s="475">
        <v>5000000</v>
      </c>
      <c r="FQ53" s="475">
        <v>0</v>
      </c>
      <c r="FR53" s="475">
        <f t="shared" si="67"/>
        <v>5000000</v>
      </c>
      <c r="FS53" s="475"/>
      <c r="FT53" s="475">
        <v>20000000</v>
      </c>
      <c r="FU53" s="626">
        <f>11603023</f>
        <v>11603023</v>
      </c>
      <c r="FV53" s="475">
        <f t="shared" si="68"/>
        <v>8396977</v>
      </c>
      <c r="FW53" s="475"/>
      <c r="FX53" s="475">
        <v>5000000</v>
      </c>
      <c r="FY53" s="475">
        <v>0</v>
      </c>
      <c r="FZ53" s="475">
        <f t="shared" si="69"/>
        <v>5000000</v>
      </c>
      <c r="GA53" s="475"/>
      <c r="GB53" s="475">
        <v>100000000</v>
      </c>
      <c r="GC53" s="475">
        <v>0</v>
      </c>
      <c r="GD53" s="475">
        <f t="shared" si="70"/>
        <v>100000000</v>
      </c>
      <c r="GE53" s="475"/>
      <c r="GF53" s="475">
        <v>20000000</v>
      </c>
      <c r="GG53" s="475">
        <v>0</v>
      </c>
      <c r="GH53" s="475">
        <f t="shared" si="71"/>
        <v>20000000</v>
      </c>
      <c r="GI53" s="475"/>
      <c r="GJ53" s="475">
        <v>3000000</v>
      </c>
      <c r="GK53" s="475">
        <v>0</v>
      </c>
      <c r="GL53" s="475">
        <f t="shared" si="72"/>
        <v>3000000</v>
      </c>
      <c r="GM53" s="475"/>
      <c r="GN53" s="475">
        <v>15000000</v>
      </c>
      <c r="GO53" s="475">
        <v>0</v>
      </c>
      <c r="GP53" s="475">
        <f t="shared" si="73"/>
        <v>15000000</v>
      </c>
      <c r="GQ53" s="475"/>
      <c r="GR53" s="475">
        <v>3000000</v>
      </c>
      <c r="GS53" s="475">
        <v>0</v>
      </c>
      <c r="GT53" s="475">
        <f t="shared" si="74"/>
        <v>3000000</v>
      </c>
      <c r="GU53" s="475"/>
      <c r="GV53" s="468">
        <f t="shared" si="49"/>
        <v>1168350000</v>
      </c>
      <c r="GW53" s="468">
        <f t="shared" si="49"/>
        <v>671513266.66999996</v>
      </c>
      <c r="GX53" s="468">
        <f t="shared" si="50"/>
        <v>496836733.33000004</v>
      </c>
      <c r="GY53" s="472"/>
      <c r="HA53" s="468">
        <f>D53+H53+L53+X53+AN53+BD53+BX53+CR53+DT53+DL53+EN53+FH53+GB53</f>
        <v>755600000</v>
      </c>
      <c r="HB53" s="468">
        <f>E53+I53+M53+Y53+AO53+BE53+BY53+CS53+DU53+DM53+EO53+FI53+GC53</f>
        <v>370877931.75</v>
      </c>
      <c r="HC53" s="471">
        <f t="shared" si="51"/>
        <v>384722068.25</v>
      </c>
      <c r="HE53" s="471">
        <f>P53+AB53+AR53+BH53+CB53+CV53+DX53+ER53+FL53+GF53</f>
        <v>115500000</v>
      </c>
      <c r="HF53" s="471">
        <f>Q53+AC53+AS53+BI53+CC53+CW53+DY53+ES53+FM53+GG53</f>
        <v>76730849.420000002</v>
      </c>
      <c r="HG53" s="471">
        <f t="shared" si="52"/>
        <v>38769150.579999998</v>
      </c>
      <c r="HI53" s="471">
        <f>T53+AF53+AV53+BL53+CF53+CZ53+EB53+EV53+FP53+GJ53</f>
        <v>60750000</v>
      </c>
      <c r="HJ53" s="471">
        <f>U53+AG53+AW53+BM53+CG53+DA53+EC53+EW53+FQ53+GK53</f>
        <v>23456862.5</v>
      </c>
      <c r="HK53" s="471">
        <f t="shared" si="53"/>
        <v>37293137.5</v>
      </c>
      <c r="HM53" s="471">
        <f>AJ53+AZ53+BP53+CJ53+DD53+EF53+EZ53+FT53+GN53</f>
        <v>197500000</v>
      </c>
      <c r="HN53" s="471">
        <f>AK53+BA53+BQ53+CK53+DE53+EG53+FA53+FU53+GO53</f>
        <v>174103023</v>
      </c>
      <c r="HO53" s="471">
        <f t="shared" si="54"/>
        <v>23396977</v>
      </c>
      <c r="HP53" s="531"/>
      <c r="HQ53" s="471">
        <f>BT53+CN53+DH53+EJ53+FD53+FX53+GR53</f>
        <v>39000000</v>
      </c>
      <c r="HR53" s="471">
        <f>BU53+CO53+DI53+EK53+FE53+FY53+GS53</f>
        <v>26344600</v>
      </c>
      <c r="HS53" s="471">
        <f t="shared" si="55"/>
        <v>12655400</v>
      </c>
    </row>
    <row r="54" spans="1:227" x14ac:dyDescent="0.25">
      <c r="A54" s="107">
        <v>51</v>
      </c>
      <c r="B54" s="107" t="s">
        <v>525</v>
      </c>
      <c r="C54" s="286" t="s">
        <v>65</v>
      </c>
      <c r="D54" s="468">
        <v>0</v>
      </c>
      <c r="E54" s="468">
        <v>0</v>
      </c>
      <c r="F54" s="468">
        <f t="shared" si="12"/>
        <v>0</v>
      </c>
      <c r="G54" s="468"/>
      <c r="H54" s="468">
        <v>0</v>
      </c>
      <c r="I54" s="468">
        <v>0</v>
      </c>
      <c r="J54" s="468">
        <f t="shared" si="13"/>
        <v>0</v>
      </c>
      <c r="K54" s="468"/>
      <c r="L54" s="468">
        <v>0</v>
      </c>
      <c r="M54" s="468">
        <v>0</v>
      </c>
      <c r="N54" s="468">
        <f t="shared" si="14"/>
        <v>0</v>
      </c>
      <c r="O54" s="468"/>
      <c r="P54" s="468">
        <v>0</v>
      </c>
      <c r="Q54" s="468">
        <v>0</v>
      </c>
      <c r="R54" s="468">
        <f t="shared" si="15"/>
        <v>0</v>
      </c>
      <c r="S54" s="468"/>
      <c r="T54" s="468">
        <f>0</f>
        <v>0</v>
      </c>
      <c r="U54" s="468">
        <f>0</f>
        <v>0</v>
      </c>
      <c r="V54" s="468">
        <f t="shared" si="16"/>
        <v>0</v>
      </c>
      <c r="W54" s="468"/>
      <c r="X54" s="468">
        <f>0</f>
        <v>0</v>
      </c>
      <c r="Y54" s="468"/>
      <c r="Z54" s="468">
        <f t="shared" si="17"/>
        <v>0</v>
      </c>
      <c r="AA54" s="468"/>
      <c r="AB54" s="468">
        <f>0</f>
        <v>0</v>
      </c>
      <c r="AC54" s="468"/>
      <c r="AD54" s="468">
        <f t="shared" si="18"/>
        <v>0</v>
      </c>
      <c r="AE54" s="468"/>
      <c r="AF54" s="468">
        <f>0</f>
        <v>0</v>
      </c>
      <c r="AG54" s="468"/>
      <c r="AH54" s="468">
        <f t="shared" si="19"/>
        <v>0</v>
      </c>
      <c r="AI54" s="468"/>
      <c r="AJ54" s="468">
        <f>0</f>
        <v>0</v>
      </c>
      <c r="AK54" s="468"/>
      <c r="AL54" s="468">
        <f t="shared" si="20"/>
        <v>0</v>
      </c>
      <c r="AM54" s="566"/>
      <c r="AN54" s="543">
        <v>40000000</v>
      </c>
      <c r="AO54" s="543">
        <f>22976570</f>
        <v>22976570</v>
      </c>
      <c r="AP54" s="468">
        <f t="shared" si="0"/>
        <v>17023430</v>
      </c>
      <c r="AQ54" s="468"/>
      <c r="AR54" s="543">
        <v>3000000</v>
      </c>
      <c r="AS54" s="543">
        <v>1991200</v>
      </c>
      <c r="AT54" s="468">
        <f t="shared" si="21"/>
        <v>1008800</v>
      </c>
      <c r="AU54" s="468"/>
      <c r="AV54" s="544">
        <v>2000000</v>
      </c>
      <c r="AW54" s="543">
        <v>2000000</v>
      </c>
      <c r="AX54" s="468">
        <f t="shared" si="22"/>
        <v>0</v>
      </c>
      <c r="AY54" s="468"/>
      <c r="AZ54" s="544">
        <v>10000000</v>
      </c>
      <c r="BA54" s="544">
        <f>1823600+939150+5729479+1507771</f>
        <v>10000000</v>
      </c>
      <c r="BB54" s="468">
        <f t="shared" si="1"/>
        <v>0</v>
      </c>
      <c r="BC54" s="468"/>
      <c r="BD54" s="468">
        <v>64000000</v>
      </c>
      <c r="BE54" s="468">
        <v>0</v>
      </c>
      <c r="BF54" s="468">
        <f t="shared" si="23"/>
        <v>64000000</v>
      </c>
      <c r="BG54" s="468"/>
      <c r="BH54" s="468">
        <v>9500000</v>
      </c>
      <c r="BI54" s="468">
        <v>0</v>
      </c>
      <c r="BJ54" s="468">
        <f t="shared" si="24"/>
        <v>9500000</v>
      </c>
      <c r="BK54" s="468"/>
      <c r="BL54" s="468">
        <v>5000000</v>
      </c>
      <c r="BM54" s="468">
        <v>5000000</v>
      </c>
      <c r="BN54" s="468">
        <f t="shared" si="25"/>
        <v>0</v>
      </c>
      <c r="BO54" s="468"/>
      <c r="BP54" s="468">
        <v>20000000</v>
      </c>
      <c r="BQ54" s="473">
        <f>12324174+7675826</f>
        <v>20000000</v>
      </c>
      <c r="BR54" s="468">
        <f t="shared" si="2"/>
        <v>0</v>
      </c>
      <c r="BS54" s="468"/>
      <c r="BT54" s="468">
        <v>1000000</v>
      </c>
      <c r="BU54" s="468">
        <v>1000000</v>
      </c>
      <c r="BV54" s="468">
        <f t="shared" si="3"/>
        <v>0</v>
      </c>
      <c r="BW54" s="468"/>
      <c r="BX54" s="468">
        <v>80000000</v>
      </c>
      <c r="BY54" s="482">
        <f>14606400+8500000+13200000+43693600</f>
        <v>80000000</v>
      </c>
      <c r="BZ54" s="468">
        <f t="shared" si="26"/>
        <v>0</v>
      </c>
      <c r="CA54" s="468"/>
      <c r="CB54" s="468">
        <v>10000000</v>
      </c>
      <c r="CC54" s="468">
        <v>0</v>
      </c>
      <c r="CD54" s="468">
        <f t="shared" si="4"/>
        <v>10000000</v>
      </c>
      <c r="CE54" s="468"/>
      <c r="CF54" s="468">
        <v>10000000</v>
      </c>
      <c r="CG54" s="468">
        <v>7807000</v>
      </c>
      <c r="CH54" s="468">
        <f t="shared" si="27"/>
        <v>2193000</v>
      </c>
      <c r="CI54" s="468"/>
      <c r="CJ54" s="468">
        <v>30000000</v>
      </c>
      <c r="CK54" s="468">
        <f>23367044+6632956</f>
        <v>30000000</v>
      </c>
      <c r="CL54" s="468">
        <f t="shared" si="5"/>
        <v>0</v>
      </c>
      <c r="CM54" s="468"/>
      <c r="CN54" s="468">
        <v>10000000</v>
      </c>
      <c r="CO54" s="468">
        <f>3034142.5</f>
        <v>3034142.5</v>
      </c>
      <c r="CP54" s="468">
        <f t="shared" si="6"/>
        <v>6965857.5</v>
      </c>
      <c r="CQ54" s="468"/>
      <c r="CR54" s="468">
        <v>100000000</v>
      </c>
      <c r="CS54" s="482">
        <f>5759662.75</f>
        <v>5759662.75</v>
      </c>
      <c r="CT54" s="468">
        <f t="shared" si="7"/>
        <v>94240337.25</v>
      </c>
      <c r="CU54" s="468"/>
      <c r="CV54" s="468">
        <v>20000000</v>
      </c>
      <c r="CW54" s="468">
        <v>0</v>
      </c>
      <c r="CX54" s="468">
        <f t="shared" si="8"/>
        <v>20000000</v>
      </c>
      <c r="CY54" s="468"/>
      <c r="CZ54" s="468">
        <v>20000000</v>
      </c>
      <c r="DA54" s="468">
        <v>0</v>
      </c>
      <c r="DB54" s="468">
        <f t="shared" si="9"/>
        <v>20000000</v>
      </c>
      <c r="DC54" s="468"/>
      <c r="DD54" s="468">
        <v>50000000</v>
      </c>
      <c r="DE54" s="514">
        <f>8868294+9443500</f>
        <v>18311794</v>
      </c>
      <c r="DF54" s="468">
        <f t="shared" si="10"/>
        <v>31688206</v>
      </c>
      <c r="DG54" s="468"/>
      <c r="DH54" s="468">
        <v>10000000</v>
      </c>
      <c r="DI54" s="468">
        <v>0</v>
      </c>
      <c r="DJ54" s="468">
        <f t="shared" si="11"/>
        <v>10000000</v>
      </c>
      <c r="DK54" s="468"/>
      <c r="DL54" s="471">
        <v>0</v>
      </c>
      <c r="DM54" s="471">
        <v>0</v>
      </c>
      <c r="DN54" s="471">
        <f t="shared" si="28"/>
        <v>0</v>
      </c>
      <c r="DO54" s="524"/>
      <c r="DP54" s="471"/>
      <c r="DQ54" s="471"/>
      <c r="DR54" s="471"/>
      <c r="DS54" s="473"/>
      <c r="DT54" s="471">
        <v>70000000</v>
      </c>
      <c r="DU54" s="471">
        <v>0</v>
      </c>
      <c r="DV54" s="471">
        <f t="shared" si="29"/>
        <v>70000000</v>
      </c>
      <c r="DW54" s="473"/>
      <c r="DX54" s="471">
        <v>10000000</v>
      </c>
      <c r="DY54" s="471">
        <v>0</v>
      </c>
      <c r="DZ54" s="471">
        <f t="shared" si="30"/>
        <v>10000000</v>
      </c>
      <c r="EA54" s="473"/>
      <c r="EB54" s="471">
        <v>5000000</v>
      </c>
      <c r="EC54" s="471">
        <v>0</v>
      </c>
      <c r="ED54" s="471">
        <f t="shared" si="31"/>
        <v>5000000</v>
      </c>
      <c r="EE54" s="473"/>
      <c r="EF54" s="471">
        <v>20000000</v>
      </c>
      <c r="EG54" s="471">
        <v>18791285</v>
      </c>
      <c r="EH54" s="471">
        <f t="shared" si="32"/>
        <v>1208715</v>
      </c>
      <c r="EI54" s="473"/>
      <c r="EJ54" s="471">
        <v>5000000</v>
      </c>
      <c r="EK54" s="471">
        <v>0</v>
      </c>
      <c r="EL54" s="471">
        <f t="shared" si="33"/>
        <v>5000000</v>
      </c>
      <c r="EM54" s="286" t="s">
        <v>65</v>
      </c>
      <c r="EN54" s="475">
        <v>200000000</v>
      </c>
      <c r="EO54" s="475">
        <v>0</v>
      </c>
      <c r="EP54" s="475">
        <f t="shared" si="34"/>
        <v>200000000</v>
      </c>
      <c r="EQ54" s="475"/>
      <c r="ER54" s="475">
        <v>18000000</v>
      </c>
      <c r="ES54" s="475">
        <v>0</v>
      </c>
      <c r="ET54" s="475">
        <f t="shared" si="35"/>
        <v>18000000</v>
      </c>
      <c r="EU54" s="475"/>
      <c r="EV54" s="475">
        <v>5000000</v>
      </c>
      <c r="EW54" s="475">
        <v>0</v>
      </c>
      <c r="EX54" s="475">
        <f t="shared" si="36"/>
        <v>5000000</v>
      </c>
      <c r="EY54" s="475"/>
      <c r="EZ54" s="475">
        <v>25000000</v>
      </c>
      <c r="FA54" s="475">
        <v>0</v>
      </c>
      <c r="FB54" s="475">
        <f t="shared" si="37"/>
        <v>25000000</v>
      </c>
      <c r="FC54" s="475"/>
      <c r="FD54" s="475">
        <v>5000000</v>
      </c>
      <c r="FE54" s="475">
        <v>0</v>
      </c>
      <c r="FF54" s="475">
        <f t="shared" si="38"/>
        <v>5000000</v>
      </c>
      <c r="FG54" s="107"/>
      <c r="FH54" s="475">
        <v>75000000</v>
      </c>
      <c r="FI54" s="475">
        <v>0</v>
      </c>
      <c r="FJ54" s="475">
        <f t="shared" si="39"/>
        <v>75000000</v>
      </c>
      <c r="FK54" s="475"/>
      <c r="FL54" s="475">
        <v>20000000</v>
      </c>
      <c r="FM54" s="475">
        <v>0</v>
      </c>
      <c r="FN54" s="475">
        <f t="shared" si="66"/>
        <v>20000000</v>
      </c>
      <c r="FO54" s="475"/>
      <c r="FP54" s="475">
        <v>5000000</v>
      </c>
      <c r="FQ54" s="475">
        <v>0</v>
      </c>
      <c r="FR54" s="475">
        <f t="shared" si="67"/>
        <v>5000000</v>
      </c>
      <c r="FS54" s="475"/>
      <c r="FT54" s="475">
        <v>20000000</v>
      </c>
      <c r="FU54" s="475">
        <v>0</v>
      </c>
      <c r="FV54" s="475">
        <f t="shared" si="68"/>
        <v>20000000</v>
      </c>
      <c r="FW54" s="475"/>
      <c r="FX54" s="475">
        <v>5000000</v>
      </c>
      <c r="FY54" s="475">
        <v>0</v>
      </c>
      <c r="FZ54" s="475">
        <f t="shared" si="69"/>
        <v>5000000</v>
      </c>
      <c r="GA54" s="475"/>
      <c r="GB54" s="475">
        <v>100000000</v>
      </c>
      <c r="GC54" s="475">
        <v>0</v>
      </c>
      <c r="GD54" s="475">
        <f t="shared" si="70"/>
        <v>100000000</v>
      </c>
      <c r="GE54" s="475"/>
      <c r="GF54" s="475">
        <v>20000000</v>
      </c>
      <c r="GG54" s="475">
        <v>0</v>
      </c>
      <c r="GH54" s="475">
        <f t="shared" si="71"/>
        <v>20000000</v>
      </c>
      <c r="GI54" s="475"/>
      <c r="GJ54" s="475">
        <v>3000000</v>
      </c>
      <c r="GK54" s="475">
        <v>0</v>
      </c>
      <c r="GL54" s="475">
        <f t="shared" si="72"/>
        <v>3000000</v>
      </c>
      <c r="GM54" s="475"/>
      <c r="GN54" s="475">
        <v>15000000</v>
      </c>
      <c r="GO54" s="475">
        <v>0</v>
      </c>
      <c r="GP54" s="475">
        <f t="shared" si="73"/>
        <v>15000000</v>
      </c>
      <c r="GQ54" s="475"/>
      <c r="GR54" s="475">
        <v>3000000</v>
      </c>
      <c r="GS54" s="475">
        <v>0</v>
      </c>
      <c r="GT54" s="475">
        <f t="shared" si="74"/>
        <v>3000000</v>
      </c>
      <c r="GU54" s="475"/>
      <c r="GV54" s="468">
        <f t="shared" si="49"/>
        <v>1123500000</v>
      </c>
      <c r="GW54" s="468">
        <f t="shared" si="49"/>
        <v>226671654.25</v>
      </c>
      <c r="GX54" s="468">
        <f t="shared" si="50"/>
        <v>896828345.75</v>
      </c>
      <c r="GY54" s="472"/>
      <c r="HA54" s="468">
        <f>D54+H54+L54+X54+AN54+BD54+BX54+CR54+DT54+DL54+EN54+FH54+GB54</f>
        <v>729000000</v>
      </c>
      <c r="HB54" s="468">
        <f>E54+I54+M54+Y54+AO54+BE54+BY54+CS54+DU54+DM54+EO54+FI54+GC54</f>
        <v>108736232.75</v>
      </c>
      <c r="HC54" s="471">
        <f t="shared" si="51"/>
        <v>620263767.25</v>
      </c>
      <c r="HE54" s="471">
        <f>P54+AB54+AR54+BH54+CB54+CV54+DX54+ER54+FL54+GF54</f>
        <v>110500000</v>
      </c>
      <c r="HF54" s="471">
        <f>Q54+AC54+AS54+BI54+CC54+CW54+DY54+ES54+FM54+GG54</f>
        <v>1991200</v>
      </c>
      <c r="HG54" s="471">
        <f t="shared" si="52"/>
        <v>108508800</v>
      </c>
      <c r="HI54" s="471">
        <f>T54+AF54+AV54+BL54+CF54+CZ54+EB54+EV54+FP54+GJ54</f>
        <v>55000000</v>
      </c>
      <c r="HJ54" s="471">
        <f>U54+AG54+AW54+BM54+CG54+DA54+EC54+EW54+FQ54+GK54</f>
        <v>14807000</v>
      </c>
      <c r="HK54" s="471">
        <f t="shared" si="53"/>
        <v>40193000</v>
      </c>
      <c r="HM54" s="471">
        <f>AJ54+AZ54+BP54+CJ54+DD54+EF54+EZ54+FT54+GN54</f>
        <v>190000000</v>
      </c>
      <c r="HN54" s="471">
        <f>AK54+BA54+BQ54+CK54+DE54+EG54+FA54+FU54+GO54</f>
        <v>97103079</v>
      </c>
      <c r="HO54" s="471">
        <f t="shared" si="54"/>
        <v>92896921</v>
      </c>
      <c r="HP54" s="531"/>
      <c r="HQ54" s="471">
        <f>BT54+CN54+DH54+EJ54+FD54+FX54+GR54</f>
        <v>39000000</v>
      </c>
      <c r="HR54" s="471">
        <f>BU54+CO54+DI54+EK54+FE54+FY54+GS54</f>
        <v>4034142.5</v>
      </c>
      <c r="HS54" s="471">
        <f t="shared" si="55"/>
        <v>34965857.5</v>
      </c>
    </row>
    <row r="55" spans="1:227" x14ac:dyDescent="0.25">
      <c r="A55" s="107">
        <v>52</v>
      </c>
      <c r="B55" s="107" t="s">
        <v>526</v>
      </c>
      <c r="C55" s="631" t="s">
        <v>65</v>
      </c>
      <c r="D55" s="468">
        <v>0</v>
      </c>
      <c r="E55" s="468">
        <v>0</v>
      </c>
      <c r="F55" s="468">
        <f t="shared" si="12"/>
        <v>0</v>
      </c>
      <c r="G55" s="468"/>
      <c r="H55" s="468">
        <v>0</v>
      </c>
      <c r="I55" s="468">
        <v>0</v>
      </c>
      <c r="J55" s="468">
        <f t="shared" si="13"/>
        <v>0</v>
      </c>
      <c r="K55" s="468"/>
      <c r="L55" s="468">
        <v>0</v>
      </c>
      <c r="M55" s="468">
        <v>0</v>
      </c>
      <c r="N55" s="468">
        <f t="shared" si="14"/>
        <v>0</v>
      </c>
      <c r="O55" s="468"/>
      <c r="P55" s="468">
        <v>0</v>
      </c>
      <c r="Q55" s="468">
        <v>0</v>
      </c>
      <c r="R55" s="468">
        <f t="shared" si="15"/>
        <v>0</v>
      </c>
      <c r="S55" s="468"/>
      <c r="T55" s="468">
        <v>0</v>
      </c>
      <c r="U55" s="468">
        <v>0</v>
      </c>
      <c r="V55" s="468">
        <f t="shared" si="16"/>
        <v>0</v>
      </c>
      <c r="W55" s="468"/>
      <c r="X55" s="468">
        <v>0</v>
      </c>
      <c r="Y55" s="468">
        <v>0</v>
      </c>
      <c r="Z55" s="468">
        <f t="shared" si="17"/>
        <v>0</v>
      </c>
      <c r="AA55" s="468"/>
      <c r="AB55" s="468">
        <f>0</f>
        <v>0</v>
      </c>
      <c r="AC55" s="468"/>
      <c r="AD55" s="468">
        <f t="shared" si="18"/>
        <v>0</v>
      </c>
      <c r="AE55" s="468"/>
      <c r="AF55" s="468">
        <v>0</v>
      </c>
      <c r="AG55" s="468">
        <v>0</v>
      </c>
      <c r="AH55" s="468">
        <f t="shared" si="19"/>
        <v>0</v>
      </c>
      <c r="AI55" s="468"/>
      <c r="AJ55" s="468">
        <v>0</v>
      </c>
      <c r="AK55" s="468">
        <v>0</v>
      </c>
      <c r="AL55" s="468">
        <f t="shared" si="20"/>
        <v>0</v>
      </c>
      <c r="AM55" s="468"/>
      <c r="AN55" s="468">
        <v>40000000</v>
      </c>
      <c r="AO55" s="468">
        <f>34928750+4751275+319975</f>
        <v>40000000</v>
      </c>
      <c r="AP55" s="468">
        <f t="shared" si="0"/>
        <v>0</v>
      </c>
      <c r="AQ55" s="468"/>
      <c r="AR55" s="468">
        <v>3000000</v>
      </c>
      <c r="AS55" s="468">
        <v>2954000</v>
      </c>
      <c r="AT55" s="468">
        <f t="shared" si="21"/>
        <v>46000</v>
      </c>
      <c r="AU55" s="468"/>
      <c r="AV55" s="468">
        <v>2000000</v>
      </c>
      <c r="AW55" s="468">
        <v>0</v>
      </c>
      <c r="AX55" s="468">
        <f t="shared" si="22"/>
        <v>2000000</v>
      </c>
      <c r="AY55" s="468"/>
      <c r="AZ55" s="468">
        <v>10000000</v>
      </c>
      <c r="BA55" s="468">
        <f>9938808+61192</f>
        <v>10000000</v>
      </c>
      <c r="BB55" s="468">
        <f t="shared" si="1"/>
        <v>0</v>
      </c>
      <c r="BC55" s="468"/>
      <c r="BD55" s="468">
        <v>64000000</v>
      </c>
      <c r="BE55" s="468">
        <f>5730025+10342500+1690630.69+1203325+30811600+5100000+9121919.31</f>
        <v>64000000</v>
      </c>
      <c r="BF55" s="468">
        <f t="shared" si="23"/>
        <v>0</v>
      </c>
      <c r="BG55" s="468"/>
      <c r="BH55" s="468">
        <v>9500000</v>
      </c>
      <c r="BI55" s="468">
        <v>9500000</v>
      </c>
      <c r="BJ55" s="468">
        <f t="shared" si="24"/>
        <v>0</v>
      </c>
      <c r="BK55" s="468"/>
      <c r="BL55" s="468">
        <v>5000000</v>
      </c>
      <c r="BM55" s="468">
        <v>0</v>
      </c>
      <c r="BN55" s="468">
        <f t="shared" si="25"/>
        <v>5000000</v>
      </c>
      <c r="BO55" s="468"/>
      <c r="BP55" s="468">
        <v>20000000</v>
      </c>
      <c r="BQ55" s="468">
        <f>8126958+6693749+5179293</f>
        <v>20000000</v>
      </c>
      <c r="BR55" s="468">
        <f t="shared" si="2"/>
        <v>0</v>
      </c>
      <c r="BS55" s="468"/>
      <c r="BT55" s="468">
        <v>1000000</v>
      </c>
      <c r="BU55" s="468">
        <v>0</v>
      </c>
      <c r="BV55" s="468">
        <f t="shared" si="3"/>
        <v>1000000</v>
      </c>
      <c r="BW55" s="468"/>
      <c r="BX55" s="468">
        <v>80000000</v>
      </c>
      <c r="BY55" s="468">
        <f>211080.69+975000-9333000+2200000+9333000+2550000+13800000+34915005</f>
        <v>54651085.689999998</v>
      </c>
      <c r="BZ55" s="468">
        <f t="shared" si="26"/>
        <v>25348914.310000002</v>
      </c>
      <c r="CA55" s="468"/>
      <c r="CB55" s="468">
        <v>10000000</v>
      </c>
      <c r="CC55" s="468">
        <v>10000000</v>
      </c>
      <c r="CD55" s="468">
        <f t="shared" si="4"/>
        <v>0</v>
      </c>
      <c r="CE55" s="468"/>
      <c r="CF55" s="468">
        <v>10000000</v>
      </c>
      <c r="CG55" s="468">
        <v>0</v>
      </c>
      <c r="CH55" s="468">
        <f t="shared" si="27"/>
        <v>10000000</v>
      </c>
      <c r="CI55" s="468"/>
      <c r="CJ55" s="468">
        <v>30000000</v>
      </c>
      <c r="CK55" s="468">
        <f>18726202+7148360+4125438</f>
        <v>30000000</v>
      </c>
      <c r="CL55" s="468">
        <f t="shared" si="5"/>
        <v>0</v>
      </c>
      <c r="CM55" s="468"/>
      <c r="CN55" s="468">
        <v>10000000</v>
      </c>
      <c r="CO55" s="468">
        <v>0</v>
      </c>
      <c r="CP55" s="468">
        <f t="shared" si="6"/>
        <v>10000000</v>
      </c>
      <c r="CQ55" s="468"/>
      <c r="CR55" s="468">
        <v>100000000</v>
      </c>
      <c r="CS55" s="468">
        <v>13800000</v>
      </c>
      <c r="CT55" s="468">
        <f t="shared" si="7"/>
        <v>86200000</v>
      </c>
      <c r="CU55" s="468"/>
      <c r="CV55" s="468">
        <v>20000000</v>
      </c>
      <c r="CW55" s="468">
        <f>9314550+10685450</f>
        <v>20000000</v>
      </c>
      <c r="CX55" s="468">
        <f t="shared" si="8"/>
        <v>0</v>
      </c>
      <c r="CY55" s="468"/>
      <c r="CZ55" s="468">
        <v>20000000</v>
      </c>
      <c r="DA55" s="468">
        <v>0</v>
      </c>
      <c r="DB55" s="468">
        <f t="shared" si="9"/>
        <v>20000000</v>
      </c>
      <c r="DC55" s="468"/>
      <c r="DD55" s="468">
        <v>50000000</v>
      </c>
      <c r="DE55" s="468">
        <f>40023217+5826542+4150241</f>
        <v>50000000</v>
      </c>
      <c r="DF55" s="468">
        <f t="shared" si="10"/>
        <v>0</v>
      </c>
      <c r="DG55" s="468"/>
      <c r="DH55" s="468">
        <v>10000000</v>
      </c>
      <c r="DI55" s="468">
        <v>0</v>
      </c>
      <c r="DJ55" s="468">
        <f t="shared" si="11"/>
        <v>10000000</v>
      </c>
      <c r="DK55" s="468"/>
      <c r="DL55" s="471">
        <v>0</v>
      </c>
      <c r="DM55" s="471">
        <v>0</v>
      </c>
      <c r="DN55" s="471">
        <f t="shared" si="28"/>
        <v>0</v>
      </c>
      <c r="DO55" s="524"/>
      <c r="DP55" s="471"/>
      <c r="DQ55" s="471"/>
      <c r="DR55" s="471"/>
      <c r="DS55" s="473"/>
      <c r="DT55" s="471">
        <v>70000000</v>
      </c>
      <c r="DU55" s="553">
        <f>57172555+4883200+7944245</f>
        <v>70000000</v>
      </c>
      <c r="DV55" s="471">
        <f t="shared" si="29"/>
        <v>0</v>
      </c>
      <c r="DW55" s="473"/>
      <c r="DX55" s="471">
        <v>10000000</v>
      </c>
      <c r="DY55" s="471">
        <f>942250+5213580+3844170</f>
        <v>10000000</v>
      </c>
      <c r="DZ55" s="471">
        <f t="shared" si="30"/>
        <v>0</v>
      </c>
      <c r="EA55" s="473"/>
      <c r="EB55" s="471">
        <v>5000000</v>
      </c>
      <c r="EC55" s="471">
        <v>0</v>
      </c>
      <c r="ED55" s="471">
        <f t="shared" si="31"/>
        <v>5000000</v>
      </c>
      <c r="EE55" s="473"/>
      <c r="EF55" s="471">
        <v>20000000</v>
      </c>
      <c r="EG55" s="471">
        <f>4297000+926050+7680010-7680010+7680010+4819717.5+2240150+37072.5</f>
        <v>20000000</v>
      </c>
      <c r="EH55" s="471">
        <f t="shared" si="32"/>
        <v>0</v>
      </c>
      <c r="EI55" s="473"/>
      <c r="EJ55" s="471">
        <v>5000000</v>
      </c>
      <c r="EK55" s="471">
        <v>0</v>
      </c>
      <c r="EL55" s="471">
        <f t="shared" si="33"/>
        <v>5000000</v>
      </c>
      <c r="EM55" s="631" t="s">
        <v>65</v>
      </c>
      <c r="EN55" s="475">
        <v>200000000</v>
      </c>
      <c r="EO55" s="624">
        <f>11496020</f>
        <v>11496020</v>
      </c>
      <c r="EP55" s="475">
        <f t="shared" si="34"/>
        <v>188503980</v>
      </c>
      <c r="EQ55" s="475"/>
      <c r="ER55" s="475">
        <v>18000000</v>
      </c>
      <c r="ES55" s="627">
        <f>1466004+5061900</f>
        <v>6527904</v>
      </c>
      <c r="ET55" s="475">
        <f t="shared" si="35"/>
        <v>11472096</v>
      </c>
      <c r="EU55" s="475"/>
      <c r="EV55" s="475">
        <v>5000000</v>
      </c>
      <c r="EW55" s="475">
        <v>0</v>
      </c>
      <c r="EX55" s="475">
        <f t="shared" si="36"/>
        <v>5000000</v>
      </c>
      <c r="EY55" s="475"/>
      <c r="EZ55" s="475">
        <v>25000000</v>
      </c>
      <c r="FA55" s="627">
        <f>6028899.5+731700</f>
        <v>6760599.5</v>
      </c>
      <c r="FB55" s="475">
        <f t="shared" si="37"/>
        <v>18239400.5</v>
      </c>
      <c r="FC55" s="475"/>
      <c r="FD55" s="475">
        <v>5000000</v>
      </c>
      <c r="FE55" s="475">
        <v>0</v>
      </c>
      <c r="FF55" s="475">
        <f t="shared" si="38"/>
        <v>5000000</v>
      </c>
      <c r="FG55" s="107"/>
      <c r="FH55" s="475">
        <v>75000000</v>
      </c>
      <c r="FI55" s="475">
        <v>0</v>
      </c>
      <c r="FJ55" s="475">
        <f t="shared" si="39"/>
        <v>75000000</v>
      </c>
      <c r="FK55" s="475"/>
      <c r="FL55" s="475">
        <v>20000000</v>
      </c>
      <c r="FM55" s="475">
        <v>0</v>
      </c>
      <c r="FN55" s="475">
        <f t="shared" si="66"/>
        <v>20000000</v>
      </c>
      <c r="FO55" s="475"/>
      <c r="FP55" s="475">
        <v>5000000</v>
      </c>
      <c r="FQ55" s="475">
        <v>0</v>
      </c>
      <c r="FR55" s="475">
        <f t="shared" si="67"/>
        <v>5000000</v>
      </c>
      <c r="FS55" s="475"/>
      <c r="FT55" s="475">
        <v>20000000</v>
      </c>
      <c r="FU55" s="475">
        <v>0</v>
      </c>
      <c r="FV55" s="475">
        <f t="shared" si="68"/>
        <v>20000000</v>
      </c>
      <c r="FW55" s="475"/>
      <c r="FX55" s="475">
        <v>5000000</v>
      </c>
      <c r="FY55" s="475">
        <v>0</v>
      </c>
      <c r="FZ55" s="475">
        <f t="shared" si="69"/>
        <v>5000000</v>
      </c>
      <c r="GA55" s="475"/>
      <c r="GB55" s="475">
        <v>100000000</v>
      </c>
      <c r="GC55" s="475">
        <v>0</v>
      </c>
      <c r="GD55" s="475">
        <f t="shared" si="70"/>
        <v>100000000</v>
      </c>
      <c r="GE55" s="475"/>
      <c r="GF55" s="475">
        <v>20000000</v>
      </c>
      <c r="GG55" s="475">
        <v>0</v>
      </c>
      <c r="GH55" s="475">
        <f t="shared" si="71"/>
        <v>20000000</v>
      </c>
      <c r="GI55" s="475"/>
      <c r="GJ55" s="475">
        <v>3000000</v>
      </c>
      <c r="GK55" s="475">
        <v>0</v>
      </c>
      <c r="GL55" s="475">
        <f t="shared" si="72"/>
        <v>3000000</v>
      </c>
      <c r="GM55" s="475"/>
      <c r="GN55" s="475">
        <v>15000000</v>
      </c>
      <c r="GO55" s="475">
        <v>0</v>
      </c>
      <c r="GP55" s="475">
        <f t="shared" si="73"/>
        <v>15000000</v>
      </c>
      <c r="GQ55" s="475"/>
      <c r="GR55" s="475">
        <v>3000000</v>
      </c>
      <c r="GS55" s="475">
        <v>0</v>
      </c>
      <c r="GT55" s="475">
        <f t="shared" si="74"/>
        <v>3000000</v>
      </c>
      <c r="GU55" s="475"/>
      <c r="GV55" s="468">
        <f t="shared" si="49"/>
        <v>1123500000</v>
      </c>
      <c r="GW55" s="468">
        <f t="shared" si="49"/>
        <v>449689609.19</v>
      </c>
      <c r="GX55" s="468">
        <f t="shared" si="50"/>
        <v>673810390.80999994</v>
      </c>
      <c r="GY55" s="472"/>
      <c r="HA55" s="468">
        <f>D55+H55+L55+X55+AN55+BD55+BX55+CR55+DT55+DL55+EN55+FH55+GB55</f>
        <v>729000000</v>
      </c>
      <c r="HB55" s="468">
        <f>E55+I55+M55+Y55+AO55+BE55+BY55+CS55+DU55+DM55+EO55+FI55+GC55</f>
        <v>253947105.69</v>
      </c>
      <c r="HC55" s="471">
        <f t="shared" si="51"/>
        <v>475052894.31</v>
      </c>
      <c r="HE55" s="471">
        <f>P55+AB55+AR55+BH55+CB55+CV55+DX55+ER55+FL55+GF55</f>
        <v>110500000</v>
      </c>
      <c r="HF55" s="471">
        <f>Q55+AC55+AS55+BI55+CC55+CW55+DY55+ES55+FM55+GG55</f>
        <v>58981904</v>
      </c>
      <c r="HG55" s="471">
        <f t="shared" si="52"/>
        <v>51518096</v>
      </c>
      <c r="HI55" s="471">
        <f>T55+AF55+AV55+BL55+CF55+CZ55+EB55+EV55+FP55+GJ55</f>
        <v>55000000</v>
      </c>
      <c r="HJ55" s="471">
        <f>U55+AG55+AW55+BM55+CG55+DA55+EC55+EW55+FQ55+GK55</f>
        <v>0</v>
      </c>
      <c r="HK55" s="471">
        <f t="shared" si="53"/>
        <v>55000000</v>
      </c>
      <c r="HM55" s="471">
        <f>AJ55+AZ55+BP55+CJ55+DD55+EF55+EZ55+FT55+GN55</f>
        <v>190000000</v>
      </c>
      <c r="HN55" s="471">
        <f>AK55+BA55+BQ55+CK55+DE55+EG55+FA55+FU55+GO55</f>
        <v>136760599.5</v>
      </c>
      <c r="HO55" s="471">
        <f t="shared" si="54"/>
        <v>53239400.5</v>
      </c>
      <c r="HP55" s="531"/>
      <c r="HQ55" s="471">
        <f>BT55+CN55+DH55+EJ55+FD55+FX55+GR55</f>
        <v>39000000</v>
      </c>
      <c r="HR55" s="471">
        <f>BU55+CO55+DI55+EK55+FE55+FY55+GS55</f>
        <v>0</v>
      </c>
      <c r="HS55" s="471">
        <f t="shared" si="55"/>
        <v>39000000</v>
      </c>
    </row>
    <row r="56" spans="1:227" x14ac:dyDescent="0.25">
      <c r="A56" s="107">
        <v>53</v>
      </c>
      <c r="B56" s="107" t="s">
        <v>527</v>
      </c>
      <c r="C56" s="631" t="s">
        <v>74</v>
      </c>
      <c r="D56" s="468">
        <v>0</v>
      </c>
      <c r="E56" s="468">
        <v>0</v>
      </c>
      <c r="F56" s="468">
        <f t="shared" si="12"/>
        <v>0</v>
      </c>
      <c r="G56" s="468"/>
      <c r="H56" s="468">
        <v>0</v>
      </c>
      <c r="I56" s="468">
        <v>0</v>
      </c>
      <c r="J56" s="468">
        <f t="shared" si="13"/>
        <v>0</v>
      </c>
      <c r="K56" s="468"/>
      <c r="L56" s="468">
        <v>0</v>
      </c>
      <c r="M56" s="468">
        <v>0</v>
      </c>
      <c r="N56" s="468">
        <f t="shared" si="14"/>
        <v>0</v>
      </c>
      <c r="O56" s="468"/>
      <c r="P56" s="468">
        <v>0</v>
      </c>
      <c r="Q56" s="468">
        <v>0</v>
      </c>
      <c r="R56" s="468">
        <f t="shared" si="15"/>
        <v>0</v>
      </c>
      <c r="S56" s="468"/>
      <c r="T56" s="468">
        <v>0</v>
      </c>
      <c r="U56" s="468">
        <v>0</v>
      </c>
      <c r="V56" s="468">
        <f t="shared" si="16"/>
        <v>0</v>
      </c>
      <c r="W56" s="468"/>
      <c r="X56" s="468">
        <v>0</v>
      </c>
      <c r="Y56" s="468">
        <v>0</v>
      </c>
      <c r="Z56" s="468">
        <f t="shared" si="17"/>
        <v>0</v>
      </c>
      <c r="AA56" s="468"/>
      <c r="AB56" s="468">
        <v>0</v>
      </c>
      <c r="AC56" s="468">
        <v>0</v>
      </c>
      <c r="AD56" s="468">
        <f t="shared" si="18"/>
        <v>0</v>
      </c>
      <c r="AE56" s="468"/>
      <c r="AF56" s="468">
        <v>0</v>
      </c>
      <c r="AG56" s="468">
        <v>0</v>
      </c>
      <c r="AH56" s="468">
        <f t="shared" si="19"/>
        <v>0</v>
      </c>
      <c r="AI56" s="468"/>
      <c r="AJ56" s="468">
        <v>0</v>
      </c>
      <c r="AK56" s="468">
        <v>0</v>
      </c>
      <c r="AL56" s="468">
        <f t="shared" si="20"/>
        <v>0</v>
      </c>
      <c r="AM56" s="473"/>
      <c r="AN56" s="468">
        <v>40000000</v>
      </c>
      <c r="AO56" s="468">
        <f>4356304.4+5176500+700000+500000+14500250+14766945.6</f>
        <v>40000000</v>
      </c>
      <c r="AP56" s="468">
        <f t="shared" si="0"/>
        <v>0</v>
      </c>
      <c r="AQ56" s="468"/>
      <c r="AR56" s="468">
        <v>3000000</v>
      </c>
      <c r="AS56" s="468">
        <f>3000000</f>
        <v>3000000</v>
      </c>
      <c r="AT56" s="468">
        <f t="shared" si="21"/>
        <v>0</v>
      </c>
      <c r="AU56" s="468"/>
      <c r="AV56" s="468">
        <v>2000000</v>
      </c>
      <c r="AW56" s="468">
        <v>0</v>
      </c>
      <c r="AX56" s="468">
        <f t="shared" si="22"/>
        <v>2000000</v>
      </c>
      <c r="AY56" s="468"/>
      <c r="AZ56" s="468">
        <v>10000000</v>
      </c>
      <c r="BA56" s="468">
        <f>978600+832654+4452460+2006240+1730046</f>
        <v>10000000</v>
      </c>
      <c r="BB56" s="468">
        <f t="shared" si="1"/>
        <v>0</v>
      </c>
      <c r="BC56" s="468"/>
      <c r="BD56" s="468">
        <v>64000000</v>
      </c>
      <c r="BE56" s="468">
        <f>23347229.4+7331250+23033625+548375+9739520.6</f>
        <v>64000000</v>
      </c>
      <c r="BF56" s="468">
        <f t="shared" si="23"/>
        <v>0</v>
      </c>
      <c r="BG56" s="468"/>
      <c r="BH56" s="468">
        <v>9500000</v>
      </c>
      <c r="BI56" s="468">
        <f>6824808+2675192</f>
        <v>9500000</v>
      </c>
      <c r="BJ56" s="468">
        <f t="shared" si="24"/>
        <v>0</v>
      </c>
      <c r="BK56" s="468"/>
      <c r="BL56" s="468">
        <v>5000000</v>
      </c>
      <c r="BM56" s="468">
        <v>0</v>
      </c>
      <c r="BN56" s="468">
        <f t="shared" si="25"/>
        <v>5000000</v>
      </c>
      <c r="BO56" s="468"/>
      <c r="BP56" s="468">
        <v>20000000</v>
      </c>
      <c r="BQ56" s="567">
        <f>5040314+3972480+13792327+3904960+950905-7660986</f>
        <v>20000000</v>
      </c>
      <c r="BR56" s="468">
        <f t="shared" si="2"/>
        <v>0</v>
      </c>
      <c r="BS56" s="468"/>
      <c r="BT56" s="468">
        <v>1000000</v>
      </c>
      <c r="BU56" s="468">
        <v>0</v>
      </c>
      <c r="BV56" s="468">
        <f t="shared" si="3"/>
        <v>1000000</v>
      </c>
      <c r="BW56" s="468"/>
      <c r="BX56" s="468">
        <v>80000000</v>
      </c>
      <c r="BY56" s="468">
        <f>145479.4+48146525+19574980+12133015.6</f>
        <v>80000000</v>
      </c>
      <c r="BZ56" s="468">
        <f t="shared" si="26"/>
        <v>0</v>
      </c>
      <c r="CA56" s="468"/>
      <c r="CB56" s="468">
        <v>10000000</v>
      </c>
      <c r="CC56" s="468">
        <v>10000000</v>
      </c>
      <c r="CD56" s="468">
        <f t="shared" si="4"/>
        <v>0</v>
      </c>
      <c r="CE56" s="468"/>
      <c r="CF56" s="468">
        <v>10000000</v>
      </c>
      <c r="CG56" s="468">
        <v>0</v>
      </c>
      <c r="CH56" s="468">
        <f t="shared" si="27"/>
        <v>10000000</v>
      </c>
      <c r="CI56" s="468"/>
      <c r="CJ56" s="468">
        <v>30000000</v>
      </c>
      <c r="CK56" s="468">
        <f>5618239.05+4257637.5+6313380+5324150+7660986+825607.449999999</f>
        <v>30000000</v>
      </c>
      <c r="CL56" s="468">
        <f t="shared" si="5"/>
        <v>0</v>
      </c>
      <c r="CM56" s="468"/>
      <c r="CN56" s="468">
        <v>10000000</v>
      </c>
      <c r="CO56" s="468">
        <v>0</v>
      </c>
      <c r="CP56" s="468">
        <f t="shared" si="6"/>
        <v>10000000</v>
      </c>
      <c r="CQ56" s="468"/>
      <c r="CR56" s="468">
        <v>100000000</v>
      </c>
      <c r="CS56" s="468">
        <f>44695158.4+49619720+1702890+3982231.6</f>
        <v>100000000</v>
      </c>
      <c r="CT56" s="468">
        <f t="shared" si="7"/>
        <v>0</v>
      </c>
      <c r="CU56" s="468"/>
      <c r="CV56" s="468">
        <v>20000000</v>
      </c>
      <c r="CW56" s="489">
        <f>2540148+6019804.8</f>
        <v>8559952.8000000007</v>
      </c>
      <c r="CX56" s="468">
        <f t="shared" si="8"/>
        <v>11440047.199999999</v>
      </c>
      <c r="CY56" s="468"/>
      <c r="CZ56" s="468">
        <v>20000000</v>
      </c>
      <c r="DA56" s="468">
        <v>0</v>
      </c>
      <c r="DB56" s="468">
        <f t="shared" si="9"/>
        <v>20000000</v>
      </c>
      <c r="DC56" s="468"/>
      <c r="DD56" s="468">
        <v>50000000</v>
      </c>
      <c r="DE56" s="504">
        <f>2008152.55+9608080+28115426+1404142+3892000+578400+4393799.45</f>
        <v>50000000</v>
      </c>
      <c r="DF56" s="468">
        <f t="shared" si="10"/>
        <v>0</v>
      </c>
      <c r="DG56" s="468"/>
      <c r="DH56" s="468">
        <v>10000000</v>
      </c>
      <c r="DI56" s="468">
        <v>0</v>
      </c>
      <c r="DJ56" s="468">
        <f t="shared" si="11"/>
        <v>10000000</v>
      </c>
      <c r="DK56" s="468"/>
      <c r="DL56" s="471">
        <v>0</v>
      </c>
      <c r="DM56" s="471">
        <v>0</v>
      </c>
      <c r="DN56" s="471">
        <f t="shared" si="28"/>
        <v>0</v>
      </c>
      <c r="DO56" s="524"/>
      <c r="DP56" s="471"/>
      <c r="DQ56" s="471"/>
      <c r="DR56" s="471"/>
      <c r="DS56" s="473"/>
      <c r="DT56" s="471">
        <v>70000000</v>
      </c>
      <c r="DU56" s="471">
        <f>65559136.4+4440863.6</f>
        <v>70000000</v>
      </c>
      <c r="DV56" s="471">
        <f t="shared" si="29"/>
        <v>0</v>
      </c>
      <c r="DW56" s="473"/>
      <c r="DX56" s="475">
        <v>10000000</v>
      </c>
      <c r="DY56" s="471">
        <v>0</v>
      </c>
      <c r="DZ56" s="471">
        <f t="shared" si="30"/>
        <v>10000000</v>
      </c>
      <c r="EA56" s="473"/>
      <c r="EB56" s="471">
        <v>5000000</v>
      </c>
      <c r="EC56" s="471">
        <v>0</v>
      </c>
      <c r="ED56" s="471">
        <f t="shared" si="31"/>
        <v>5000000</v>
      </c>
      <c r="EE56" s="473"/>
      <c r="EF56" s="471">
        <v>20000000</v>
      </c>
      <c r="EG56" s="552">
        <f>5745550+2621400+3416638+2694100.55</f>
        <v>14477688.550000001</v>
      </c>
      <c r="EH56" s="471">
        <f t="shared" si="32"/>
        <v>5522311.4499999993</v>
      </c>
      <c r="EI56" s="473"/>
      <c r="EJ56" s="471">
        <v>5000000</v>
      </c>
      <c r="EK56" s="471">
        <v>0</v>
      </c>
      <c r="EL56" s="471">
        <f t="shared" si="33"/>
        <v>5000000</v>
      </c>
      <c r="EM56" s="631" t="s">
        <v>74</v>
      </c>
      <c r="EN56" s="475">
        <v>200000000</v>
      </c>
      <c r="EO56" s="627">
        <f>43629136.4+8100000+37491225+24415000+9000000+36052500+5731511.5+4500000</f>
        <v>168919372.90000001</v>
      </c>
      <c r="EP56" s="475">
        <f t="shared" si="34"/>
        <v>31080627.099999994</v>
      </c>
      <c r="EQ56" s="475"/>
      <c r="ER56" s="475">
        <v>18000000</v>
      </c>
      <c r="ES56" s="475">
        <v>0</v>
      </c>
      <c r="ET56" s="475">
        <f t="shared" si="35"/>
        <v>18000000</v>
      </c>
      <c r="EU56" s="475"/>
      <c r="EV56" s="475">
        <v>5000000</v>
      </c>
      <c r="EW56" s="475">
        <v>0</v>
      </c>
      <c r="EX56" s="475">
        <f t="shared" si="36"/>
        <v>5000000</v>
      </c>
      <c r="EY56" s="475"/>
      <c r="EZ56" s="475">
        <v>25000000</v>
      </c>
      <c r="FA56" s="475">
        <v>0</v>
      </c>
      <c r="FB56" s="475">
        <f t="shared" si="37"/>
        <v>25000000</v>
      </c>
      <c r="FC56" s="475"/>
      <c r="FD56" s="475">
        <v>5000000</v>
      </c>
      <c r="FE56" s="475">
        <v>0</v>
      </c>
      <c r="FF56" s="475">
        <f t="shared" si="38"/>
        <v>5000000</v>
      </c>
      <c r="FG56" s="107"/>
      <c r="FH56" s="475">
        <v>75000000</v>
      </c>
      <c r="FI56" s="475">
        <v>0</v>
      </c>
      <c r="FJ56" s="475">
        <f t="shared" si="39"/>
        <v>75000000</v>
      </c>
      <c r="FK56" s="475"/>
      <c r="FL56" s="475">
        <v>20000000</v>
      </c>
      <c r="FM56" s="475">
        <v>0</v>
      </c>
      <c r="FN56" s="475">
        <f t="shared" si="66"/>
        <v>20000000</v>
      </c>
      <c r="FO56" s="475"/>
      <c r="FP56" s="475">
        <v>5000000</v>
      </c>
      <c r="FQ56" s="475">
        <v>0</v>
      </c>
      <c r="FR56" s="475">
        <f t="shared" si="67"/>
        <v>5000000</v>
      </c>
      <c r="FS56" s="475"/>
      <c r="FT56" s="475">
        <v>20000000</v>
      </c>
      <c r="FU56" s="475">
        <v>0</v>
      </c>
      <c r="FV56" s="475">
        <f t="shared" si="68"/>
        <v>20000000</v>
      </c>
      <c r="FW56" s="475"/>
      <c r="FX56" s="475">
        <v>5000000</v>
      </c>
      <c r="FY56" s="475">
        <v>0</v>
      </c>
      <c r="FZ56" s="475">
        <f t="shared" si="69"/>
        <v>5000000</v>
      </c>
      <c r="GA56" s="475"/>
      <c r="GB56" s="475">
        <v>100000000</v>
      </c>
      <c r="GC56" s="475">
        <v>0</v>
      </c>
      <c r="GD56" s="475">
        <f t="shared" si="70"/>
        <v>100000000</v>
      </c>
      <c r="GE56" s="475"/>
      <c r="GF56" s="475">
        <v>20000000</v>
      </c>
      <c r="GG56" s="475">
        <v>0</v>
      </c>
      <c r="GH56" s="475">
        <f t="shared" si="71"/>
        <v>20000000</v>
      </c>
      <c r="GI56" s="475"/>
      <c r="GJ56" s="475">
        <v>3000000</v>
      </c>
      <c r="GK56" s="475">
        <v>0</v>
      </c>
      <c r="GL56" s="475">
        <f t="shared" si="72"/>
        <v>3000000</v>
      </c>
      <c r="GM56" s="475"/>
      <c r="GN56" s="475">
        <v>15000000</v>
      </c>
      <c r="GO56" s="475">
        <v>0</v>
      </c>
      <c r="GP56" s="475">
        <f t="shared" si="73"/>
        <v>15000000</v>
      </c>
      <c r="GQ56" s="475"/>
      <c r="GR56" s="475">
        <v>3000000</v>
      </c>
      <c r="GS56" s="475">
        <v>0</v>
      </c>
      <c r="GT56" s="475">
        <f t="shared" si="74"/>
        <v>3000000</v>
      </c>
      <c r="GU56" s="475"/>
      <c r="GV56" s="468">
        <f t="shared" si="49"/>
        <v>1123500000</v>
      </c>
      <c r="GW56" s="468">
        <f t="shared" si="49"/>
        <v>678457014.25</v>
      </c>
      <c r="GX56" s="468">
        <f t="shared" si="50"/>
        <v>445042985.75</v>
      </c>
      <c r="GY56" s="472"/>
      <c r="HA56" s="468">
        <f>D56+H56+L56+X56+AN56+BD56+BX56+CR56+DT56+DL56+EN56+FH56+GB56</f>
        <v>729000000</v>
      </c>
      <c r="HB56" s="468">
        <f>E56+I56+M56+Y56+AO56+BE56+BY56+CS56+DU56+DM56+EO56+FI56+GC56</f>
        <v>522919372.89999998</v>
      </c>
      <c r="HC56" s="471">
        <f t="shared" si="51"/>
        <v>206080627.10000002</v>
      </c>
      <c r="HE56" s="471">
        <f>P56+AB56+AR56+BH56+CB56+CV56+DX56+ER56+FL56+GF56</f>
        <v>110500000</v>
      </c>
      <c r="HF56" s="471">
        <f>Q56+AC56+AS56+BI56+CC56+CW56+DY56+ES56+FM56+GG56</f>
        <v>31059952.800000001</v>
      </c>
      <c r="HG56" s="471">
        <f t="shared" si="52"/>
        <v>79440047.200000003</v>
      </c>
      <c r="HI56" s="471">
        <f>T56+AF56+AV56+BL56+CF56+CZ56+EB56+EV56+FP56+GJ56</f>
        <v>55000000</v>
      </c>
      <c r="HJ56" s="471">
        <f>U56+AG56+AW56+BM56+CG56+DA56+EC56+EW56+FQ56+GK56</f>
        <v>0</v>
      </c>
      <c r="HK56" s="471">
        <f t="shared" si="53"/>
        <v>55000000</v>
      </c>
      <c r="HM56" s="471">
        <f>AJ56+AZ56+BP56+CJ56+DD56+EF56+EZ56+FT56+GN56</f>
        <v>190000000</v>
      </c>
      <c r="HN56" s="471">
        <f>AK56+BA56+BQ56+CK56+DE56+EG56+FA56+FU56+GO56</f>
        <v>124477688.55</v>
      </c>
      <c r="HO56" s="471">
        <f t="shared" si="54"/>
        <v>65522311.450000003</v>
      </c>
      <c r="HP56" s="531"/>
      <c r="HQ56" s="471">
        <f>BT56+CN56+DH56+EJ56+FD56+FX56+GR56</f>
        <v>39000000</v>
      </c>
      <c r="HR56" s="471">
        <f>BU56+CO56+DI56+EK56+FE56+FY56+GS56</f>
        <v>0</v>
      </c>
      <c r="HS56" s="471">
        <f t="shared" si="55"/>
        <v>39000000</v>
      </c>
    </row>
    <row r="57" spans="1:227" x14ac:dyDescent="0.25">
      <c r="A57" s="107">
        <v>54</v>
      </c>
      <c r="B57" s="107" t="s">
        <v>253</v>
      </c>
      <c r="C57" s="288" t="s">
        <v>65</v>
      </c>
      <c r="D57" s="468">
        <v>0</v>
      </c>
      <c r="E57" s="468">
        <v>0</v>
      </c>
      <c r="F57" s="468">
        <f t="shared" si="12"/>
        <v>0</v>
      </c>
      <c r="G57" s="468"/>
      <c r="H57" s="468">
        <v>0</v>
      </c>
      <c r="I57" s="468">
        <v>0</v>
      </c>
      <c r="J57" s="468">
        <f t="shared" si="13"/>
        <v>0</v>
      </c>
      <c r="K57" s="468"/>
      <c r="L57" s="468">
        <v>0</v>
      </c>
      <c r="M57" s="468">
        <v>0</v>
      </c>
      <c r="N57" s="468">
        <f t="shared" si="14"/>
        <v>0</v>
      </c>
      <c r="O57" s="468"/>
      <c r="P57" s="468">
        <v>0</v>
      </c>
      <c r="Q57" s="468">
        <v>0</v>
      </c>
      <c r="R57" s="468">
        <f t="shared" si="15"/>
        <v>0</v>
      </c>
      <c r="S57" s="468"/>
      <c r="T57" s="468">
        <v>0</v>
      </c>
      <c r="U57" s="468">
        <v>0</v>
      </c>
      <c r="V57" s="468">
        <f t="shared" si="16"/>
        <v>0</v>
      </c>
      <c r="W57" s="468"/>
      <c r="X57" s="468">
        <v>0</v>
      </c>
      <c r="Y57" s="468">
        <v>0</v>
      </c>
      <c r="Z57" s="468">
        <f t="shared" si="17"/>
        <v>0</v>
      </c>
      <c r="AA57" s="468"/>
      <c r="AB57" s="468">
        <v>0</v>
      </c>
      <c r="AC57" s="468">
        <v>0</v>
      </c>
      <c r="AD57" s="468">
        <f t="shared" si="18"/>
        <v>0</v>
      </c>
      <c r="AE57" s="468"/>
      <c r="AF57" s="468">
        <v>0</v>
      </c>
      <c r="AG57" s="468">
        <v>0</v>
      </c>
      <c r="AH57" s="468">
        <f t="shared" si="19"/>
        <v>0</v>
      </c>
      <c r="AI57" s="468"/>
      <c r="AJ57" s="468">
        <v>0</v>
      </c>
      <c r="AK57" s="468">
        <v>0</v>
      </c>
      <c r="AL57" s="468">
        <f t="shared" si="20"/>
        <v>0</v>
      </c>
      <c r="AM57" s="473"/>
      <c r="AN57" s="468">
        <v>0</v>
      </c>
      <c r="AO57" s="468">
        <v>0</v>
      </c>
      <c r="AP57" s="468">
        <f t="shared" si="0"/>
        <v>0</v>
      </c>
      <c r="AQ57" s="468"/>
      <c r="AR57" s="468">
        <v>0</v>
      </c>
      <c r="AS57" s="468">
        <v>0</v>
      </c>
      <c r="AT57" s="468">
        <f t="shared" si="21"/>
        <v>0</v>
      </c>
      <c r="AU57" s="468"/>
      <c r="AV57" s="468">
        <v>0</v>
      </c>
      <c r="AW57" s="468">
        <v>0</v>
      </c>
      <c r="AX57" s="468">
        <f t="shared" si="22"/>
        <v>0</v>
      </c>
      <c r="AY57" s="468"/>
      <c r="AZ57" s="468">
        <v>0</v>
      </c>
      <c r="BA57" s="468">
        <v>0</v>
      </c>
      <c r="BB57" s="468">
        <f t="shared" si="1"/>
        <v>0</v>
      </c>
      <c r="BC57" s="468"/>
      <c r="BD57" s="468">
        <v>0</v>
      </c>
      <c r="BE57" s="468">
        <v>0</v>
      </c>
      <c r="BF57" s="468">
        <f t="shared" si="23"/>
        <v>0</v>
      </c>
      <c r="BG57" s="468"/>
      <c r="BH57" s="468">
        <v>0</v>
      </c>
      <c r="BI57" s="468">
        <v>0</v>
      </c>
      <c r="BJ57" s="468">
        <f t="shared" si="24"/>
        <v>0</v>
      </c>
      <c r="BK57" s="468"/>
      <c r="BL57" s="468">
        <v>0</v>
      </c>
      <c r="BM57" s="468">
        <v>0</v>
      </c>
      <c r="BN57" s="468">
        <f t="shared" si="25"/>
        <v>0</v>
      </c>
      <c r="BO57" s="468"/>
      <c r="BP57" s="468">
        <v>0</v>
      </c>
      <c r="BQ57" s="468">
        <v>0</v>
      </c>
      <c r="BR57" s="468">
        <f t="shared" si="2"/>
        <v>0</v>
      </c>
      <c r="BS57" s="468"/>
      <c r="BT57" s="468">
        <v>0</v>
      </c>
      <c r="BU57" s="468">
        <v>0</v>
      </c>
      <c r="BV57" s="468">
        <f t="shared" si="3"/>
        <v>0</v>
      </c>
      <c r="BW57" s="468"/>
      <c r="BX57" s="468">
        <v>0</v>
      </c>
      <c r="BY57" s="468">
        <v>0</v>
      </c>
      <c r="BZ57" s="468">
        <f t="shared" si="26"/>
        <v>0</v>
      </c>
      <c r="CA57" s="468"/>
      <c r="CB57" s="468">
        <v>0</v>
      </c>
      <c r="CC57" s="468">
        <v>0</v>
      </c>
      <c r="CD57" s="468">
        <f t="shared" si="4"/>
        <v>0</v>
      </c>
      <c r="CE57" s="468"/>
      <c r="CF57" s="468">
        <v>0</v>
      </c>
      <c r="CG57" s="468">
        <v>0</v>
      </c>
      <c r="CH57" s="468">
        <f t="shared" si="27"/>
        <v>0</v>
      </c>
      <c r="CI57" s="468"/>
      <c r="CJ57" s="468">
        <v>0</v>
      </c>
      <c r="CK57" s="468">
        <v>0</v>
      </c>
      <c r="CL57" s="468">
        <f t="shared" si="5"/>
        <v>0</v>
      </c>
      <c r="CM57" s="468"/>
      <c r="CN57" s="468">
        <v>0</v>
      </c>
      <c r="CO57" s="468">
        <v>0</v>
      </c>
      <c r="CP57" s="468">
        <f t="shared" si="6"/>
        <v>0</v>
      </c>
      <c r="CQ57" s="468"/>
      <c r="CR57" s="468">
        <v>0</v>
      </c>
      <c r="CS57" s="468">
        <v>0</v>
      </c>
      <c r="CT57" s="468">
        <f t="shared" si="7"/>
        <v>0</v>
      </c>
      <c r="CU57" s="468"/>
      <c r="CV57" s="468">
        <v>0</v>
      </c>
      <c r="CW57" s="468">
        <v>0</v>
      </c>
      <c r="CX57" s="468">
        <f t="shared" si="8"/>
        <v>0</v>
      </c>
      <c r="CY57" s="468"/>
      <c r="CZ57" s="468">
        <v>0</v>
      </c>
      <c r="DA57" s="468">
        <v>0</v>
      </c>
      <c r="DB57" s="468">
        <f t="shared" si="9"/>
        <v>0</v>
      </c>
      <c r="DC57" s="468"/>
      <c r="DD57" s="468">
        <v>0</v>
      </c>
      <c r="DE57" s="468">
        <v>0</v>
      </c>
      <c r="DF57" s="468">
        <f t="shared" si="10"/>
        <v>0</v>
      </c>
      <c r="DG57" s="468"/>
      <c r="DH57" s="468">
        <v>0</v>
      </c>
      <c r="DI57" s="468">
        <v>0</v>
      </c>
      <c r="DJ57" s="468">
        <f t="shared" si="11"/>
        <v>0</v>
      </c>
      <c r="DK57" s="468"/>
      <c r="DL57" s="471">
        <v>0</v>
      </c>
      <c r="DM57" s="471">
        <v>0</v>
      </c>
      <c r="DN57" s="471">
        <f t="shared" si="28"/>
        <v>0</v>
      </c>
      <c r="DO57" s="524"/>
      <c r="DP57" s="471"/>
      <c r="DQ57" s="471"/>
      <c r="DR57" s="471"/>
      <c r="DS57" s="473"/>
      <c r="DT57" s="471">
        <v>0</v>
      </c>
      <c r="DU57" s="471">
        <v>0</v>
      </c>
      <c r="DV57" s="471">
        <f t="shared" si="29"/>
        <v>0</v>
      </c>
      <c r="DW57" s="473"/>
      <c r="DX57" s="471">
        <v>0</v>
      </c>
      <c r="DY57" s="471">
        <v>0</v>
      </c>
      <c r="DZ57" s="471">
        <f t="shared" si="30"/>
        <v>0</v>
      </c>
      <c r="EA57" s="473"/>
      <c r="EB57" s="471">
        <v>0</v>
      </c>
      <c r="EC57" s="471">
        <v>0</v>
      </c>
      <c r="ED57" s="471">
        <f t="shared" si="31"/>
        <v>0</v>
      </c>
      <c r="EE57" s="473"/>
      <c r="EF57" s="471">
        <v>0</v>
      </c>
      <c r="EG57" s="471">
        <v>0</v>
      </c>
      <c r="EH57" s="471">
        <f t="shared" si="32"/>
        <v>0</v>
      </c>
      <c r="EI57" s="473"/>
      <c r="EJ57" s="471">
        <v>0</v>
      </c>
      <c r="EK57" s="471">
        <v>0</v>
      </c>
      <c r="EL57" s="471">
        <f t="shared" si="33"/>
        <v>0</v>
      </c>
      <c r="EM57" s="288" t="s">
        <v>65</v>
      </c>
      <c r="EN57" s="475">
        <v>200000000</v>
      </c>
      <c r="EO57" s="475">
        <v>0</v>
      </c>
      <c r="EP57" s="475">
        <f t="shared" si="34"/>
        <v>200000000</v>
      </c>
      <c r="EQ57" s="475"/>
      <c r="ER57" s="475">
        <v>18000000</v>
      </c>
      <c r="ES57" s="475">
        <v>0</v>
      </c>
      <c r="ET57" s="475">
        <f t="shared" si="35"/>
        <v>18000000</v>
      </c>
      <c r="EU57" s="475"/>
      <c r="EV57" s="475">
        <v>5000000</v>
      </c>
      <c r="EW57" s="475">
        <v>0</v>
      </c>
      <c r="EX57" s="475">
        <f t="shared" si="36"/>
        <v>5000000</v>
      </c>
      <c r="EY57" s="475"/>
      <c r="EZ57" s="475">
        <v>25000000</v>
      </c>
      <c r="FA57" s="475">
        <v>0</v>
      </c>
      <c r="FB57" s="475">
        <f t="shared" si="37"/>
        <v>25000000</v>
      </c>
      <c r="FC57" s="475"/>
      <c r="FD57" s="475">
        <v>5000000</v>
      </c>
      <c r="FE57" s="475">
        <v>0</v>
      </c>
      <c r="FF57" s="475">
        <f t="shared" si="38"/>
        <v>5000000</v>
      </c>
      <c r="FG57" s="107"/>
      <c r="FH57" s="475">
        <v>75000000</v>
      </c>
      <c r="FI57" s="475">
        <v>0</v>
      </c>
      <c r="FJ57" s="475">
        <f t="shared" si="39"/>
        <v>75000000</v>
      </c>
      <c r="FK57" s="475"/>
      <c r="FL57" s="475">
        <v>20000000</v>
      </c>
      <c r="FM57" s="475">
        <v>0</v>
      </c>
      <c r="FN57" s="475">
        <f t="shared" si="66"/>
        <v>20000000</v>
      </c>
      <c r="FO57" s="475"/>
      <c r="FP57" s="475">
        <v>5000000</v>
      </c>
      <c r="FQ57" s="475">
        <v>0</v>
      </c>
      <c r="FR57" s="475">
        <f t="shared" si="67"/>
        <v>5000000</v>
      </c>
      <c r="FS57" s="475"/>
      <c r="FT57" s="475">
        <v>20000000</v>
      </c>
      <c r="FU57" s="475">
        <v>0</v>
      </c>
      <c r="FV57" s="475">
        <f t="shared" si="68"/>
        <v>20000000</v>
      </c>
      <c r="FW57" s="475"/>
      <c r="FX57" s="475">
        <v>5000000</v>
      </c>
      <c r="FY57" s="475">
        <v>0</v>
      </c>
      <c r="FZ57" s="475">
        <f t="shared" si="69"/>
        <v>5000000</v>
      </c>
      <c r="GA57" s="475"/>
      <c r="GB57" s="475">
        <v>100000000</v>
      </c>
      <c r="GC57" s="475">
        <v>0</v>
      </c>
      <c r="GD57" s="475">
        <f t="shared" si="70"/>
        <v>100000000</v>
      </c>
      <c r="GE57" s="475"/>
      <c r="GF57" s="475">
        <v>20000000</v>
      </c>
      <c r="GG57" s="475">
        <v>0</v>
      </c>
      <c r="GH57" s="475">
        <f t="shared" si="71"/>
        <v>20000000</v>
      </c>
      <c r="GI57" s="475"/>
      <c r="GJ57" s="475">
        <v>3000000</v>
      </c>
      <c r="GK57" s="475">
        <v>0</v>
      </c>
      <c r="GL57" s="475">
        <f t="shared" si="72"/>
        <v>3000000</v>
      </c>
      <c r="GM57" s="475"/>
      <c r="GN57" s="475">
        <v>15000000</v>
      </c>
      <c r="GO57" s="475">
        <v>0</v>
      </c>
      <c r="GP57" s="475">
        <f t="shared" si="73"/>
        <v>15000000</v>
      </c>
      <c r="GQ57" s="475"/>
      <c r="GR57" s="475">
        <v>3000000</v>
      </c>
      <c r="GS57" s="475">
        <v>0</v>
      </c>
      <c r="GT57" s="475">
        <f t="shared" si="74"/>
        <v>3000000</v>
      </c>
      <c r="GU57" s="475"/>
      <c r="GV57" s="468">
        <f t="shared" si="49"/>
        <v>519000000</v>
      </c>
      <c r="GW57" s="468">
        <f t="shared" si="49"/>
        <v>0</v>
      </c>
      <c r="GX57" s="468">
        <f t="shared" si="50"/>
        <v>519000000</v>
      </c>
      <c r="GY57" s="472"/>
      <c r="HA57" s="468">
        <f>D57+H57+L57+X57+AN57+BD57+BX57+CR57+DT57+DL57+EN57+FH57+GB57</f>
        <v>375000000</v>
      </c>
      <c r="HB57" s="468">
        <f>E57+I57+M57+Y57+AO57+BE57+BY57+CS57+DU57+DM57+EO57+FI57+GC57</f>
        <v>0</v>
      </c>
      <c r="HC57" s="471">
        <f t="shared" si="51"/>
        <v>375000000</v>
      </c>
      <c r="HE57" s="471">
        <f>P57+AB57+AR57+BH57+CB57+CV57+DX57+ER57+FL57+GF57</f>
        <v>58000000</v>
      </c>
      <c r="HF57" s="471">
        <f>Q57+AC57+AS57+BI57+CC57+CW57+DY57+ES57+FM57+GG57</f>
        <v>0</v>
      </c>
      <c r="HG57" s="471">
        <f t="shared" si="52"/>
        <v>58000000</v>
      </c>
      <c r="HI57" s="471">
        <f>T57+AF57+AV57+BL57+CF57+CZ57+EB57+EV57+FP57+GJ57</f>
        <v>13000000</v>
      </c>
      <c r="HJ57" s="471">
        <f>U57+AG57+AW57+BM57+CG57+DA57+EC57+EW57+FQ57+GK57</f>
        <v>0</v>
      </c>
      <c r="HK57" s="471">
        <f t="shared" si="53"/>
        <v>13000000</v>
      </c>
      <c r="HM57" s="471">
        <f>AJ57+AZ57+BP57+CJ57+DD57+EF57+EZ57+FT57+GN57</f>
        <v>60000000</v>
      </c>
      <c r="HN57" s="471">
        <f>AK57+BA57+BQ57+CK57+DE57+EG57+FA57+FU57+GO57</f>
        <v>0</v>
      </c>
      <c r="HO57" s="471">
        <f t="shared" si="54"/>
        <v>60000000</v>
      </c>
      <c r="HP57" s="531"/>
      <c r="HQ57" s="471">
        <f>BT57+CN57+DH57+EJ57+FD57+FX57+GR57</f>
        <v>13000000</v>
      </c>
      <c r="HR57" s="471">
        <f>BU57+CO57+DI57+EK57+FE57+FY57+GS57</f>
        <v>0</v>
      </c>
      <c r="HS57" s="471">
        <f t="shared" si="55"/>
        <v>13000000</v>
      </c>
    </row>
    <row r="58" spans="1:227" x14ac:dyDescent="0.25">
      <c r="A58" s="107">
        <v>55</v>
      </c>
      <c r="B58" s="107" t="s">
        <v>528</v>
      </c>
      <c r="C58" s="631" t="s">
        <v>69</v>
      </c>
      <c r="D58" s="468">
        <v>0</v>
      </c>
      <c r="E58" s="468">
        <v>0</v>
      </c>
      <c r="F58" s="468">
        <f t="shared" si="12"/>
        <v>0</v>
      </c>
      <c r="G58" s="468"/>
      <c r="H58" s="468">
        <v>0</v>
      </c>
      <c r="I58" s="468">
        <v>0</v>
      </c>
      <c r="J58" s="468">
        <f t="shared" si="13"/>
        <v>0</v>
      </c>
      <c r="K58" s="468"/>
      <c r="L58" s="468">
        <v>0</v>
      </c>
      <c r="M58" s="468">
        <v>0</v>
      </c>
      <c r="N58" s="468">
        <f t="shared" si="14"/>
        <v>0</v>
      </c>
      <c r="O58" s="468"/>
      <c r="P58" s="468">
        <v>0</v>
      </c>
      <c r="Q58" s="468">
        <v>0</v>
      </c>
      <c r="R58" s="468">
        <f t="shared" si="15"/>
        <v>0</v>
      </c>
      <c r="S58" s="468"/>
      <c r="T58" s="468">
        <v>0</v>
      </c>
      <c r="U58" s="468">
        <v>0</v>
      </c>
      <c r="V58" s="468">
        <f t="shared" si="16"/>
        <v>0</v>
      </c>
      <c r="W58" s="468"/>
      <c r="X58" s="468">
        <v>0</v>
      </c>
      <c r="Y58" s="468">
        <v>0</v>
      </c>
      <c r="Z58" s="468">
        <f t="shared" si="17"/>
        <v>0</v>
      </c>
      <c r="AA58" s="468"/>
      <c r="AB58" s="468">
        <v>0</v>
      </c>
      <c r="AC58" s="468">
        <v>0</v>
      </c>
      <c r="AD58" s="468">
        <f t="shared" si="18"/>
        <v>0</v>
      </c>
      <c r="AE58" s="468"/>
      <c r="AF58" s="468">
        <v>0</v>
      </c>
      <c r="AG58" s="468">
        <v>0</v>
      </c>
      <c r="AH58" s="468">
        <f t="shared" si="19"/>
        <v>0</v>
      </c>
      <c r="AI58" s="468"/>
      <c r="AJ58" s="468">
        <v>0</v>
      </c>
      <c r="AK58" s="468">
        <v>0</v>
      </c>
      <c r="AL58" s="468">
        <f>AJ58-AK58</f>
        <v>0</v>
      </c>
      <c r="AM58" s="473"/>
      <c r="AN58" s="468">
        <v>0</v>
      </c>
      <c r="AO58" s="468">
        <v>0</v>
      </c>
      <c r="AP58" s="468">
        <f t="shared" si="0"/>
        <v>0</v>
      </c>
      <c r="AQ58" s="468"/>
      <c r="AR58" s="468">
        <v>0</v>
      </c>
      <c r="AS58" s="468">
        <v>0</v>
      </c>
      <c r="AT58" s="468">
        <f t="shared" si="21"/>
        <v>0</v>
      </c>
      <c r="AU58" s="468"/>
      <c r="AV58" s="468">
        <v>0</v>
      </c>
      <c r="AW58" s="468">
        <v>0</v>
      </c>
      <c r="AX58" s="468">
        <f t="shared" si="22"/>
        <v>0</v>
      </c>
      <c r="AY58" s="468"/>
      <c r="AZ58" s="468">
        <v>0</v>
      </c>
      <c r="BA58" s="468">
        <v>0</v>
      </c>
      <c r="BB58" s="468">
        <f t="shared" si="1"/>
        <v>0</v>
      </c>
      <c r="BC58" s="468"/>
      <c r="BD58" s="468">
        <v>0</v>
      </c>
      <c r="BE58" s="468">
        <v>0</v>
      </c>
      <c r="BF58" s="468">
        <f t="shared" si="23"/>
        <v>0</v>
      </c>
      <c r="BG58" s="468"/>
      <c r="BH58" s="468">
        <v>0</v>
      </c>
      <c r="BI58" s="468">
        <v>0</v>
      </c>
      <c r="BJ58" s="468">
        <f t="shared" si="24"/>
        <v>0</v>
      </c>
      <c r="BK58" s="468"/>
      <c r="BL58" s="468">
        <v>0</v>
      </c>
      <c r="BM58" s="468">
        <v>0</v>
      </c>
      <c r="BN58" s="468">
        <f t="shared" si="25"/>
        <v>0</v>
      </c>
      <c r="BO58" s="468"/>
      <c r="BP58" s="468">
        <v>0</v>
      </c>
      <c r="BQ58" s="468">
        <v>0</v>
      </c>
      <c r="BR58" s="468">
        <f t="shared" si="2"/>
        <v>0</v>
      </c>
      <c r="BS58" s="468"/>
      <c r="BT58" s="468">
        <v>0</v>
      </c>
      <c r="BU58" s="468">
        <v>0</v>
      </c>
      <c r="BV58" s="468">
        <f t="shared" si="3"/>
        <v>0</v>
      </c>
      <c r="BW58" s="468"/>
      <c r="BX58" s="468">
        <v>0</v>
      </c>
      <c r="BY58" s="468">
        <v>0</v>
      </c>
      <c r="BZ58" s="468">
        <f t="shared" si="26"/>
        <v>0</v>
      </c>
      <c r="CA58" s="468"/>
      <c r="CB58" s="468">
        <v>0</v>
      </c>
      <c r="CC58" s="468">
        <v>0</v>
      </c>
      <c r="CD58" s="468">
        <f t="shared" si="4"/>
        <v>0</v>
      </c>
      <c r="CE58" s="468"/>
      <c r="CF58" s="468">
        <v>0</v>
      </c>
      <c r="CG58" s="468">
        <v>0</v>
      </c>
      <c r="CH58" s="468">
        <f t="shared" si="27"/>
        <v>0</v>
      </c>
      <c r="CI58" s="468"/>
      <c r="CJ58" s="468">
        <v>0</v>
      </c>
      <c r="CK58" s="468">
        <v>0</v>
      </c>
      <c r="CL58" s="468">
        <f t="shared" si="5"/>
        <v>0</v>
      </c>
      <c r="CM58" s="468"/>
      <c r="CN58" s="468">
        <v>0</v>
      </c>
      <c r="CO58" s="468">
        <v>0</v>
      </c>
      <c r="CP58" s="468">
        <f t="shared" si="6"/>
        <v>0</v>
      </c>
      <c r="CQ58" s="468"/>
      <c r="CR58" s="468">
        <v>0</v>
      </c>
      <c r="CS58" s="468">
        <v>0</v>
      </c>
      <c r="CT58" s="468">
        <f t="shared" si="7"/>
        <v>0</v>
      </c>
      <c r="CU58" s="468"/>
      <c r="CV58" s="468">
        <v>0</v>
      </c>
      <c r="CW58" s="468">
        <v>0</v>
      </c>
      <c r="CX58" s="468">
        <f t="shared" si="8"/>
        <v>0</v>
      </c>
      <c r="CY58" s="468"/>
      <c r="CZ58" s="468">
        <v>0</v>
      </c>
      <c r="DA58" s="468">
        <v>0</v>
      </c>
      <c r="DB58" s="468">
        <f t="shared" si="9"/>
        <v>0</v>
      </c>
      <c r="DC58" s="468"/>
      <c r="DD58" s="468">
        <v>0</v>
      </c>
      <c r="DE58" s="468">
        <v>0</v>
      </c>
      <c r="DF58" s="468">
        <f t="shared" si="10"/>
        <v>0</v>
      </c>
      <c r="DG58" s="468"/>
      <c r="DH58" s="468">
        <v>0</v>
      </c>
      <c r="DI58" s="468">
        <v>0</v>
      </c>
      <c r="DJ58" s="468">
        <f t="shared" si="11"/>
        <v>0</v>
      </c>
      <c r="DK58" s="468"/>
      <c r="DL58" s="471">
        <v>0</v>
      </c>
      <c r="DM58" s="471">
        <v>0</v>
      </c>
      <c r="DN58" s="471">
        <f t="shared" si="28"/>
        <v>0</v>
      </c>
      <c r="DO58" s="524"/>
      <c r="DP58" s="471"/>
      <c r="DQ58" s="471"/>
      <c r="DR58" s="471"/>
      <c r="DS58" s="473"/>
      <c r="DT58" s="471">
        <v>0</v>
      </c>
      <c r="DU58" s="471">
        <v>0</v>
      </c>
      <c r="DV58" s="471">
        <f t="shared" si="29"/>
        <v>0</v>
      </c>
      <c r="DW58" s="473"/>
      <c r="DX58" s="471">
        <v>0</v>
      </c>
      <c r="DY58" s="471">
        <v>0</v>
      </c>
      <c r="DZ58" s="471">
        <f t="shared" si="30"/>
        <v>0</v>
      </c>
      <c r="EA58" s="473"/>
      <c r="EB58" s="471">
        <v>0</v>
      </c>
      <c r="EC58" s="471">
        <v>0</v>
      </c>
      <c r="ED58" s="471">
        <f t="shared" si="31"/>
        <v>0</v>
      </c>
      <c r="EE58" s="473"/>
      <c r="EF58" s="471">
        <v>0</v>
      </c>
      <c r="EG58" s="471">
        <v>0</v>
      </c>
      <c r="EH58" s="471">
        <f t="shared" si="32"/>
        <v>0</v>
      </c>
      <c r="EI58" s="473"/>
      <c r="EJ58" s="471">
        <v>0</v>
      </c>
      <c r="EK58" s="471">
        <v>0</v>
      </c>
      <c r="EL58" s="471">
        <f t="shared" si="33"/>
        <v>0</v>
      </c>
      <c r="EM58" s="631" t="s">
        <v>69</v>
      </c>
      <c r="EN58" s="475">
        <v>200000000</v>
      </c>
      <c r="EO58" s="475">
        <v>0</v>
      </c>
      <c r="EP58" s="475">
        <f t="shared" si="34"/>
        <v>200000000</v>
      </c>
      <c r="EQ58" s="475"/>
      <c r="ER58" s="475">
        <v>18000000</v>
      </c>
      <c r="ES58" s="475">
        <v>0</v>
      </c>
      <c r="ET58" s="475">
        <f t="shared" si="35"/>
        <v>18000000</v>
      </c>
      <c r="EU58" s="475"/>
      <c r="EV58" s="475">
        <v>5000000</v>
      </c>
      <c r="EW58" s="475">
        <v>0</v>
      </c>
      <c r="EX58" s="475">
        <f t="shared" si="36"/>
        <v>5000000</v>
      </c>
      <c r="EY58" s="475"/>
      <c r="EZ58" s="475">
        <v>25000000</v>
      </c>
      <c r="FA58" s="475">
        <v>0</v>
      </c>
      <c r="FB58" s="475">
        <f t="shared" si="37"/>
        <v>25000000</v>
      </c>
      <c r="FC58" s="475"/>
      <c r="FD58" s="475">
        <v>5000000</v>
      </c>
      <c r="FE58" s="475">
        <v>0</v>
      </c>
      <c r="FF58" s="475">
        <f t="shared" si="38"/>
        <v>5000000</v>
      </c>
      <c r="FG58" s="107"/>
      <c r="FH58" s="475">
        <v>75000000</v>
      </c>
      <c r="FI58" s="475">
        <v>0</v>
      </c>
      <c r="FJ58" s="475">
        <f t="shared" si="39"/>
        <v>75000000</v>
      </c>
      <c r="FK58" s="475"/>
      <c r="FL58" s="475">
        <v>20000000</v>
      </c>
      <c r="FM58" s="475">
        <v>0</v>
      </c>
      <c r="FN58" s="475">
        <f t="shared" si="66"/>
        <v>20000000</v>
      </c>
      <c r="FO58" s="475"/>
      <c r="FP58" s="475">
        <v>5000000</v>
      </c>
      <c r="FQ58" s="475">
        <v>0</v>
      </c>
      <c r="FR58" s="475">
        <f t="shared" si="67"/>
        <v>5000000</v>
      </c>
      <c r="FS58" s="475"/>
      <c r="FT58" s="475">
        <v>20000000</v>
      </c>
      <c r="FU58" s="475">
        <v>0</v>
      </c>
      <c r="FV58" s="475">
        <f t="shared" si="68"/>
        <v>20000000</v>
      </c>
      <c r="FW58" s="475"/>
      <c r="FX58" s="475">
        <v>5000000</v>
      </c>
      <c r="FY58" s="475">
        <v>0</v>
      </c>
      <c r="FZ58" s="475">
        <f t="shared" si="69"/>
        <v>5000000</v>
      </c>
      <c r="GA58" s="475"/>
      <c r="GB58" s="475">
        <v>100000000</v>
      </c>
      <c r="GC58" s="475">
        <v>0</v>
      </c>
      <c r="GD58" s="475">
        <f t="shared" si="70"/>
        <v>100000000</v>
      </c>
      <c r="GE58" s="475"/>
      <c r="GF58" s="475">
        <v>20000000</v>
      </c>
      <c r="GG58" s="475">
        <v>0</v>
      </c>
      <c r="GH58" s="475">
        <f t="shared" si="71"/>
        <v>20000000</v>
      </c>
      <c r="GI58" s="475"/>
      <c r="GJ58" s="475">
        <v>3000000</v>
      </c>
      <c r="GK58" s="475">
        <v>0</v>
      </c>
      <c r="GL58" s="475">
        <f t="shared" si="72"/>
        <v>3000000</v>
      </c>
      <c r="GM58" s="475"/>
      <c r="GN58" s="475">
        <v>15000000</v>
      </c>
      <c r="GO58" s="475">
        <v>0</v>
      </c>
      <c r="GP58" s="475">
        <f t="shared" si="73"/>
        <v>15000000</v>
      </c>
      <c r="GQ58" s="475"/>
      <c r="GR58" s="475">
        <v>3000000</v>
      </c>
      <c r="GS58" s="475">
        <v>0</v>
      </c>
      <c r="GT58" s="475">
        <f t="shared" si="74"/>
        <v>3000000</v>
      </c>
      <c r="GU58" s="475"/>
      <c r="GV58" s="468">
        <f t="shared" si="49"/>
        <v>519000000</v>
      </c>
      <c r="GW58" s="468">
        <f t="shared" si="49"/>
        <v>0</v>
      </c>
      <c r="GX58" s="468">
        <f t="shared" si="50"/>
        <v>519000000</v>
      </c>
      <c r="GY58" s="472"/>
      <c r="HA58" s="468">
        <f>D58+H58+L58+X58+AN58+BD58+BX58+CR58+DT58+DL58+EN58+FH58+GB58</f>
        <v>375000000</v>
      </c>
      <c r="HB58" s="468">
        <f>E58+I58+M58+Y58+AO58+BE58+BY58+CS58+DU58+DM58+EO58+FI58+GC58</f>
        <v>0</v>
      </c>
      <c r="HC58" s="471">
        <f t="shared" si="51"/>
        <v>375000000</v>
      </c>
      <c r="HE58" s="471">
        <f>P58+AB58+AR58+BH58+CB58+CV58+DX58+ER58+FL58+GF58</f>
        <v>58000000</v>
      </c>
      <c r="HF58" s="471">
        <f>Q58+AC58+AS58+BI58+CC58+CW58+DY58+ES58+FM58+GG58</f>
        <v>0</v>
      </c>
      <c r="HG58" s="471">
        <f t="shared" si="52"/>
        <v>58000000</v>
      </c>
      <c r="HI58" s="471">
        <f>T58+AF58+AV58+BL58+CF58+CZ58+EB58+EV58+FP58+GJ58</f>
        <v>13000000</v>
      </c>
      <c r="HJ58" s="471">
        <f>U58+AG58+AW58+BM58+CG58+DA58+EC58+EW58+FQ58+GK58</f>
        <v>0</v>
      </c>
      <c r="HK58" s="471">
        <f t="shared" si="53"/>
        <v>13000000</v>
      </c>
      <c r="HM58" s="471">
        <f>AJ58+AZ58+BP58+CJ58+DD58+EF58+EZ58+FT58+GN58</f>
        <v>60000000</v>
      </c>
      <c r="HN58" s="471">
        <f>AK58+BA58+BQ58+CK58+DE58+EG58+FA58+FU58+GO58</f>
        <v>0</v>
      </c>
      <c r="HO58" s="471">
        <f t="shared" si="54"/>
        <v>60000000</v>
      </c>
      <c r="HP58" s="531"/>
      <c r="HQ58" s="471">
        <f>BT58+CN58+DH58+EJ58+FD58+FX58+GR58</f>
        <v>13000000</v>
      </c>
      <c r="HR58" s="471">
        <f>BU58+CO58+DI58+EK58+FE58+FY58+GS58</f>
        <v>0</v>
      </c>
      <c r="HS58" s="471">
        <f t="shared" si="55"/>
        <v>13000000</v>
      </c>
    </row>
    <row r="59" spans="1:227" x14ac:dyDescent="0.25">
      <c r="A59" s="107">
        <v>56</v>
      </c>
      <c r="B59" s="107" t="s">
        <v>529</v>
      </c>
      <c r="C59" s="290" t="s">
        <v>65</v>
      </c>
      <c r="D59" s="468"/>
      <c r="E59" s="468"/>
      <c r="F59" s="468"/>
      <c r="G59" s="468"/>
      <c r="H59" s="468"/>
      <c r="I59" s="468"/>
      <c r="J59" s="468"/>
      <c r="K59" s="468"/>
      <c r="L59" s="468"/>
      <c r="M59" s="468"/>
      <c r="N59" s="468"/>
      <c r="O59" s="468"/>
      <c r="P59" s="468"/>
      <c r="Q59" s="468"/>
      <c r="R59" s="468"/>
      <c r="S59" s="468"/>
      <c r="T59" s="468"/>
      <c r="U59" s="468"/>
      <c r="V59" s="468"/>
      <c r="W59" s="468"/>
      <c r="X59" s="468"/>
      <c r="Y59" s="468"/>
      <c r="Z59" s="468"/>
      <c r="AA59" s="468"/>
      <c r="AB59" s="468"/>
      <c r="AC59" s="468"/>
      <c r="AD59" s="468"/>
      <c r="AE59" s="468"/>
      <c r="AF59" s="468"/>
      <c r="AG59" s="468"/>
      <c r="AH59" s="468"/>
      <c r="AI59" s="468"/>
      <c r="AJ59" s="468"/>
      <c r="AK59" s="468"/>
      <c r="AL59" s="468"/>
      <c r="AM59" s="473"/>
      <c r="AN59" s="468"/>
      <c r="AO59" s="468"/>
      <c r="AP59" s="468"/>
      <c r="AQ59" s="468"/>
      <c r="AR59" s="468"/>
      <c r="AS59" s="468"/>
      <c r="AT59" s="468"/>
      <c r="AU59" s="468"/>
      <c r="AV59" s="468"/>
      <c r="AW59" s="468"/>
      <c r="AX59" s="468"/>
      <c r="AY59" s="468"/>
      <c r="AZ59" s="468"/>
      <c r="BA59" s="468"/>
      <c r="BB59" s="468"/>
      <c r="BC59" s="468"/>
      <c r="BD59" s="468"/>
      <c r="BE59" s="468"/>
      <c r="BF59" s="468"/>
      <c r="BG59" s="468"/>
      <c r="BH59" s="468"/>
      <c r="BI59" s="468"/>
      <c r="BJ59" s="468"/>
      <c r="BK59" s="468"/>
      <c r="BL59" s="468"/>
      <c r="BM59" s="468"/>
      <c r="BN59" s="468"/>
      <c r="BO59" s="468"/>
      <c r="BP59" s="468"/>
      <c r="BQ59" s="468"/>
      <c r="BR59" s="468"/>
      <c r="BS59" s="468"/>
      <c r="BT59" s="468"/>
      <c r="BU59" s="468"/>
      <c r="BV59" s="468"/>
      <c r="BW59" s="468"/>
      <c r="BX59" s="468"/>
      <c r="BY59" s="468"/>
      <c r="BZ59" s="468"/>
      <c r="CA59" s="468"/>
      <c r="CB59" s="468"/>
      <c r="CC59" s="468"/>
      <c r="CD59" s="468"/>
      <c r="CE59" s="468"/>
      <c r="CF59" s="468"/>
      <c r="CG59" s="468"/>
      <c r="CH59" s="468"/>
      <c r="CI59" s="468"/>
      <c r="CJ59" s="468"/>
      <c r="CK59" s="468"/>
      <c r="CL59" s="468"/>
      <c r="CM59" s="468"/>
      <c r="CN59" s="468"/>
      <c r="CO59" s="468"/>
      <c r="CP59" s="468"/>
      <c r="CQ59" s="468"/>
      <c r="CR59" s="468"/>
      <c r="CS59" s="468"/>
      <c r="CT59" s="468"/>
      <c r="CU59" s="468"/>
      <c r="CV59" s="468"/>
      <c r="CW59" s="468"/>
      <c r="CX59" s="468"/>
      <c r="CY59" s="468"/>
      <c r="CZ59" s="468"/>
      <c r="DA59" s="468"/>
      <c r="DB59" s="468"/>
      <c r="DC59" s="468"/>
      <c r="DD59" s="468"/>
      <c r="DE59" s="468"/>
      <c r="DF59" s="468"/>
      <c r="DG59" s="468"/>
      <c r="DH59" s="468"/>
      <c r="DI59" s="468"/>
      <c r="DJ59" s="468"/>
      <c r="DK59" s="468"/>
      <c r="DL59" s="471"/>
      <c r="DM59" s="471"/>
      <c r="DN59" s="471"/>
      <c r="DO59" s="524"/>
      <c r="DP59" s="471"/>
      <c r="DQ59" s="471"/>
      <c r="DR59" s="471"/>
      <c r="DS59" s="473"/>
      <c r="DT59" s="471"/>
      <c r="DU59" s="471"/>
      <c r="DV59" s="471"/>
      <c r="DW59" s="473"/>
      <c r="DX59" s="471"/>
      <c r="DY59" s="471"/>
      <c r="DZ59" s="471"/>
      <c r="EA59" s="473"/>
      <c r="EB59" s="471"/>
      <c r="EC59" s="471"/>
      <c r="ED59" s="471"/>
      <c r="EE59" s="473"/>
      <c r="EF59" s="471"/>
      <c r="EG59" s="471"/>
      <c r="EH59" s="471"/>
      <c r="EI59" s="473"/>
      <c r="EJ59" s="471"/>
      <c r="EK59" s="471"/>
      <c r="EL59" s="471"/>
      <c r="EM59" s="290" t="s">
        <v>65</v>
      </c>
      <c r="EN59" s="475">
        <v>200000000</v>
      </c>
      <c r="EO59" s="475">
        <v>0</v>
      </c>
      <c r="EP59" s="475">
        <f t="shared" si="34"/>
        <v>200000000</v>
      </c>
      <c r="EQ59" s="475"/>
      <c r="ER59" s="475">
        <v>18000000</v>
      </c>
      <c r="ES59" s="475">
        <v>0</v>
      </c>
      <c r="ET59" s="475">
        <f t="shared" si="35"/>
        <v>18000000</v>
      </c>
      <c r="EU59" s="475"/>
      <c r="EV59" s="475">
        <v>5000000</v>
      </c>
      <c r="EW59" s="475">
        <v>0</v>
      </c>
      <c r="EX59" s="475">
        <f t="shared" si="36"/>
        <v>5000000</v>
      </c>
      <c r="EY59" s="475"/>
      <c r="EZ59" s="475">
        <v>25000000</v>
      </c>
      <c r="FA59" s="475">
        <v>0</v>
      </c>
      <c r="FB59" s="475">
        <f t="shared" si="37"/>
        <v>25000000</v>
      </c>
      <c r="FC59" s="475"/>
      <c r="FD59" s="475">
        <v>5000000</v>
      </c>
      <c r="FE59" s="475">
        <v>0</v>
      </c>
      <c r="FF59" s="475">
        <f t="shared" si="38"/>
        <v>5000000</v>
      </c>
      <c r="FG59" s="107"/>
      <c r="FH59" s="475"/>
      <c r="FI59" s="475"/>
      <c r="FJ59" s="475">
        <f t="shared" si="39"/>
        <v>0</v>
      </c>
      <c r="FK59" s="475"/>
      <c r="FL59" s="475"/>
      <c r="FM59" s="475"/>
      <c r="FN59" s="475"/>
      <c r="FO59" s="475"/>
      <c r="FP59" s="475"/>
      <c r="FQ59" s="475"/>
      <c r="FR59" s="475"/>
      <c r="FS59" s="475"/>
      <c r="FT59" s="475"/>
      <c r="FU59" s="475"/>
      <c r="FV59" s="475"/>
      <c r="FW59" s="475"/>
      <c r="FX59" s="475"/>
      <c r="FY59" s="475"/>
      <c r="FZ59" s="475"/>
      <c r="GA59" s="475"/>
      <c r="GB59" s="475">
        <v>100000000</v>
      </c>
      <c r="GC59" s="475">
        <v>0</v>
      </c>
      <c r="GD59" s="475">
        <f t="shared" si="70"/>
        <v>100000000</v>
      </c>
      <c r="GE59" s="475"/>
      <c r="GF59" s="475">
        <v>20000000</v>
      </c>
      <c r="GG59" s="475">
        <v>0</v>
      </c>
      <c r="GH59" s="475">
        <f t="shared" si="71"/>
        <v>20000000</v>
      </c>
      <c r="GI59" s="475"/>
      <c r="GJ59" s="475">
        <v>3000000</v>
      </c>
      <c r="GK59" s="475">
        <v>0</v>
      </c>
      <c r="GL59" s="475">
        <f t="shared" si="72"/>
        <v>3000000</v>
      </c>
      <c r="GM59" s="475"/>
      <c r="GN59" s="475">
        <v>15000000</v>
      </c>
      <c r="GO59" s="475">
        <v>0</v>
      </c>
      <c r="GP59" s="475">
        <f t="shared" si="73"/>
        <v>15000000</v>
      </c>
      <c r="GQ59" s="475"/>
      <c r="GR59" s="475">
        <v>3000000</v>
      </c>
      <c r="GS59" s="475">
        <v>0</v>
      </c>
      <c r="GT59" s="475">
        <f t="shared" si="74"/>
        <v>3000000</v>
      </c>
      <c r="GU59" s="475"/>
      <c r="GV59" s="468">
        <f t="shared" si="49"/>
        <v>394000000</v>
      </c>
      <c r="GW59" s="468">
        <f t="shared" si="49"/>
        <v>0</v>
      </c>
      <c r="GX59" s="468">
        <f t="shared" si="50"/>
        <v>394000000</v>
      </c>
      <c r="GY59" s="472"/>
      <c r="HA59" s="468">
        <f>D59+H59+L59+X59+AN59+BD59+BX59+CR59+DT59+DL59+EN59+FH59+GB59</f>
        <v>300000000</v>
      </c>
      <c r="HB59" s="468">
        <f>E59+I59+M59+Y59+AO59+BE59+BY59+CS59+DU59+DM59+EO59+FI59+GC59</f>
        <v>0</v>
      </c>
      <c r="HC59" s="471">
        <f t="shared" si="51"/>
        <v>300000000</v>
      </c>
      <c r="HE59" s="471">
        <f>P59+AB59+AR59+BH59+CB59+CV59+DX59+ER59+FL59+GF59</f>
        <v>38000000</v>
      </c>
      <c r="HF59" s="471">
        <f>Q59+AC59+AS59+BI59+CC59+CW59+DY59+ES59+FM59+GG59</f>
        <v>0</v>
      </c>
      <c r="HG59" s="471">
        <f t="shared" si="52"/>
        <v>38000000</v>
      </c>
      <c r="HI59" s="471">
        <f>T59+AF59+AV59+BL59+CF59+CZ59+EB59+EV59+FP59+GJ59</f>
        <v>8000000</v>
      </c>
      <c r="HJ59" s="471">
        <f>U59+AG59+AW59+BM59+CG59+DA59+EC59+EW59+FQ59+GK59</f>
        <v>0</v>
      </c>
      <c r="HK59" s="471">
        <f t="shared" si="53"/>
        <v>8000000</v>
      </c>
      <c r="HM59" s="471">
        <f>AJ59+AZ59+BP59+CJ59+DD59+EF59+EZ59+FT59+GN59</f>
        <v>40000000</v>
      </c>
      <c r="HN59" s="471">
        <f>AK59+BA59+BQ59+CK59+DE59+EG59+FA59+FU59+GO59</f>
        <v>0</v>
      </c>
      <c r="HO59" s="471">
        <f t="shared" si="54"/>
        <v>40000000</v>
      </c>
      <c r="HP59" s="531"/>
      <c r="HQ59" s="471">
        <f>BT59+CN59+DH59+EJ59+FD59+FX59+GR59</f>
        <v>8000000</v>
      </c>
      <c r="HR59" s="471">
        <f>BU59+CO59+DI59+EK59+FE59+FY59+GS59</f>
        <v>0</v>
      </c>
      <c r="HS59" s="471">
        <f t="shared" si="55"/>
        <v>8000000</v>
      </c>
    </row>
    <row r="60" spans="1:227" x14ac:dyDescent="0.25">
      <c r="A60" s="107">
        <v>57</v>
      </c>
      <c r="B60" s="107" t="s">
        <v>530</v>
      </c>
      <c r="C60" s="631" t="s">
        <v>65</v>
      </c>
      <c r="D60" s="468"/>
      <c r="E60" s="468"/>
      <c r="F60" s="468"/>
      <c r="G60" s="468"/>
      <c r="H60" s="468"/>
      <c r="I60" s="468"/>
      <c r="J60" s="468"/>
      <c r="K60" s="468"/>
      <c r="L60" s="468"/>
      <c r="M60" s="468"/>
      <c r="N60" s="468"/>
      <c r="O60" s="468"/>
      <c r="P60" s="468"/>
      <c r="Q60" s="468"/>
      <c r="R60" s="468"/>
      <c r="S60" s="468"/>
      <c r="T60" s="468"/>
      <c r="U60" s="468"/>
      <c r="V60" s="468"/>
      <c r="W60" s="468"/>
      <c r="X60" s="468"/>
      <c r="Y60" s="468"/>
      <c r="Z60" s="468"/>
      <c r="AA60" s="468"/>
      <c r="AB60" s="468"/>
      <c r="AC60" s="468"/>
      <c r="AD60" s="468"/>
      <c r="AE60" s="468"/>
      <c r="AF60" s="468"/>
      <c r="AG60" s="468"/>
      <c r="AH60" s="468"/>
      <c r="AI60" s="468"/>
      <c r="AJ60" s="468"/>
      <c r="AK60" s="468"/>
      <c r="AL60" s="468"/>
      <c r="AM60" s="473"/>
      <c r="AN60" s="468"/>
      <c r="AO60" s="468"/>
      <c r="AP60" s="468"/>
      <c r="AQ60" s="468"/>
      <c r="AR60" s="468"/>
      <c r="AS60" s="468"/>
      <c r="AT60" s="468"/>
      <c r="AU60" s="468"/>
      <c r="AV60" s="468"/>
      <c r="AW60" s="468"/>
      <c r="AX60" s="468"/>
      <c r="AY60" s="468"/>
      <c r="AZ60" s="468"/>
      <c r="BA60" s="468"/>
      <c r="BB60" s="468"/>
      <c r="BC60" s="468"/>
      <c r="BD60" s="468"/>
      <c r="BE60" s="468"/>
      <c r="BF60" s="468"/>
      <c r="BG60" s="468"/>
      <c r="BH60" s="468"/>
      <c r="BI60" s="468"/>
      <c r="BJ60" s="468"/>
      <c r="BK60" s="468"/>
      <c r="BL60" s="468"/>
      <c r="BM60" s="468"/>
      <c r="BN60" s="468"/>
      <c r="BO60" s="468"/>
      <c r="BP60" s="468"/>
      <c r="BQ60" s="468"/>
      <c r="BR60" s="468"/>
      <c r="BS60" s="468"/>
      <c r="BT60" s="468"/>
      <c r="BU60" s="468"/>
      <c r="BV60" s="468"/>
      <c r="BW60" s="468"/>
      <c r="BX60" s="468"/>
      <c r="BY60" s="468"/>
      <c r="BZ60" s="468"/>
      <c r="CA60" s="468"/>
      <c r="CB60" s="468"/>
      <c r="CC60" s="468"/>
      <c r="CD60" s="468"/>
      <c r="CE60" s="468"/>
      <c r="CF60" s="468"/>
      <c r="CG60" s="468"/>
      <c r="CH60" s="468"/>
      <c r="CI60" s="468"/>
      <c r="CJ60" s="468"/>
      <c r="CK60" s="468"/>
      <c r="CL60" s="468"/>
      <c r="CM60" s="468"/>
      <c r="CN60" s="468"/>
      <c r="CO60" s="468"/>
      <c r="CP60" s="468"/>
      <c r="CQ60" s="468"/>
      <c r="CR60" s="468"/>
      <c r="CS60" s="468"/>
      <c r="CT60" s="468"/>
      <c r="CU60" s="468"/>
      <c r="CV60" s="468"/>
      <c r="CW60" s="468"/>
      <c r="CX60" s="468"/>
      <c r="CY60" s="468"/>
      <c r="CZ60" s="468"/>
      <c r="DA60" s="468"/>
      <c r="DB60" s="468"/>
      <c r="DC60" s="468"/>
      <c r="DD60" s="468"/>
      <c r="DE60" s="468"/>
      <c r="DF60" s="468"/>
      <c r="DG60" s="468"/>
      <c r="DH60" s="468"/>
      <c r="DI60" s="468"/>
      <c r="DJ60" s="468"/>
      <c r="DK60" s="468"/>
      <c r="DL60" s="471"/>
      <c r="DM60" s="471"/>
      <c r="DN60" s="471"/>
      <c r="DO60" s="524"/>
      <c r="DP60" s="471"/>
      <c r="DQ60" s="471"/>
      <c r="DR60" s="471"/>
      <c r="DS60" s="473"/>
      <c r="DT60" s="471"/>
      <c r="DU60" s="471"/>
      <c r="DV60" s="471"/>
      <c r="DW60" s="473"/>
      <c r="DX60" s="471"/>
      <c r="DY60" s="471"/>
      <c r="DZ60" s="471"/>
      <c r="EA60" s="473"/>
      <c r="EB60" s="471"/>
      <c r="EC60" s="471"/>
      <c r="ED60" s="471"/>
      <c r="EE60" s="473"/>
      <c r="EF60" s="471"/>
      <c r="EG60" s="471"/>
      <c r="EH60" s="471"/>
      <c r="EI60" s="473"/>
      <c r="EJ60" s="471"/>
      <c r="EK60" s="471"/>
      <c r="EL60" s="471"/>
      <c r="EM60" s="631" t="s">
        <v>65</v>
      </c>
      <c r="EN60" s="475">
        <v>200000000</v>
      </c>
      <c r="EO60" s="475">
        <v>0</v>
      </c>
      <c r="EP60" s="475">
        <f t="shared" si="34"/>
        <v>200000000</v>
      </c>
      <c r="EQ60" s="475"/>
      <c r="ER60" s="475">
        <v>18000000</v>
      </c>
      <c r="ES60" s="475">
        <v>0</v>
      </c>
      <c r="ET60" s="475">
        <f t="shared" si="35"/>
        <v>18000000</v>
      </c>
      <c r="EU60" s="475"/>
      <c r="EV60" s="475">
        <v>5000000</v>
      </c>
      <c r="EW60" s="475">
        <v>0</v>
      </c>
      <c r="EX60" s="475">
        <f t="shared" si="36"/>
        <v>5000000</v>
      </c>
      <c r="EY60" s="475"/>
      <c r="EZ60" s="475">
        <v>25000000</v>
      </c>
      <c r="FA60" s="475">
        <v>0</v>
      </c>
      <c r="FB60" s="475">
        <f t="shared" si="37"/>
        <v>25000000</v>
      </c>
      <c r="FC60" s="475"/>
      <c r="FD60" s="475">
        <v>5000000</v>
      </c>
      <c r="FE60" s="475">
        <v>0</v>
      </c>
      <c r="FF60" s="475">
        <f t="shared" si="38"/>
        <v>5000000</v>
      </c>
      <c r="FG60" s="107"/>
      <c r="FH60" s="475">
        <v>75000000</v>
      </c>
      <c r="FI60" s="475">
        <v>0</v>
      </c>
      <c r="FJ60" s="475">
        <f t="shared" si="39"/>
        <v>75000000</v>
      </c>
      <c r="FK60" s="475"/>
      <c r="FL60" s="475">
        <v>20000000</v>
      </c>
      <c r="FM60" s="475">
        <v>0</v>
      </c>
      <c r="FN60" s="475">
        <f>FL60-FM60</f>
        <v>20000000</v>
      </c>
      <c r="FO60" s="475"/>
      <c r="FP60" s="475">
        <v>5000000</v>
      </c>
      <c r="FQ60" s="475">
        <v>0</v>
      </c>
      <c r="FR60" s="475">
        <f>FP60-FQ60</f>
        <v>5000000</v>
      </c>
      <c r="FS60" s="475"/>
      <c r="FT60" s="475">
        <v>20000000</v>
      </c>
      <c r="FU60" s="475">
        <v>0</v>
      </c>
      <c r="FV60" s="475">
        <f>FT60-FU60</f>
        <v>20000000</v>
      </c>
      <c r="FW60" s="475"/>
      <c r="FX60" s="475">
        <v>5000000</v>
      </c>
      <c r="FY60" s="475">
        <v>0</v>
      </c>
      <c r="FZ60" s="475">
        <f>FX60-FY60</f>
        <v>5000000</v>
      </c>
      <c r="GA60" s="475"/>
      <c r="GB60" s="475">
        <v>100000000</v>
      </c>
      <c r="GC60" s="475">
        <v>0</v>
      </c>
      <c r="GD60" s="475">
        <f t="shared" si="70"/>
        <v>100000000</v>
      </c>
      <c r="GE60" s="475"/>
      <c r="GF60" s="475">
        <v>20000000</v>
      </c>
      <c r="GG60" s="475">
        <v>0</v>
      </c>
      <c r="GH60" s="475">
        <f t="shared" si="71"/>
        <v>20000000</v>
      </c>
      <c r="GI60" s="475"/>
      <c r="GJ60" s="475">
        <v>3000000</v>
      </c>
      <c r="GK60" s="475">
        <v>0</v>
      </c>
      <c r="GL60" s="475">
        <f t="shared" si="72"/>
        <v>3000000</v>
      </c>
      <c r="GM60" s="475"/>
      <c r="GN60" s="475">
        <v>15000000</v>
      </c>
      <c r="GO60" s="475">
        <v>0</v>
      </c>
      <c r="GP60" s="475">
        <f t="shared" si="73"/>
        <v>15000000</v>
      </c>
      <c r="GQ60" s="475"/>
      <c r="GR60" s="475">
        <v>3000000</v>
      </c>
      <c r="GS60" s="475">
        <v>0</v>
      </c>
      <c r="GT60" s="475">
        <f t="shared" si="74"/>
        <v>3000000</v>
      </c>
      <c r="GU60" s="475"/>
      <c r="GV60" s="468">
        <f t="shared" si="49"/>
        <v>519000000</v>
      </c>
      <c r="GW60" s="468">
        <f t="shared" si="49"/>
        <v>0</v>
      </c>
      <c r="GX60" s="468">
        <f t="shared" si="50"/>
        <v>519000000</v>
      </c>
      <c r="GY60" s="472"/>
      <c r="HA60" s="468">
        <f>D60+H60+L60+X60+AN60+BD60+BX60+CR60+DT60+DL60+EN60+FH60+GB60</f>
        <v>375000000</v>
      </c>
      <c r="HB60" s="468">
        <f>E60+I60+M60+Y60+AO60+BE60+BY60+CS60+DU60+DM60+EO60+FI60+GC60</f>
        <v>0</v>
      </c>
      <c r="HC60" s="471">
        <f t="shared" si="51"/>
        <v>375000000</v>
      </c>
      <c r="HE60" s="471">
        <f>P60+AB60+AR60+BH60+CB60+CV60+DX60+ER60+FL60+GF60</f>
        <v>58000000</v>
      </c>
      <c r="HF60" s="471">
        <f>Q60+AC60+AS60+BI60+CC60+CW60+DY60+ES60+FM60+GG60</f>
        <v>0</v>
      </c>
      <c r="HG60" s="471">
        <f t="shared" si="52"/>
        <v>58000000</v>
      </c>
      <c r="HI60" s="471">
        <f>T60+AF60+AV60+BL60+CF60+CZ60+EB60+EV60+FP60+GJ60</f>
        <v>13000000</v>
      </c>
      <c r="HJ60" s="471">
        <f>U60+AG60+AW60+BM60+CG60+DA60+EC60+EW60+FQ60+GK60</f>
        <v>0</v>
      </c>
      <c r="HK60" s="471">
        <f t="shared" si="53"/>
        <v>13000000</v>
      </c>
      <c r="HM60" s="471">
        <f>AJ60+AZ60+BP60+CJ60+DD60+EF60+EZ60+FT60+GN60</f>
        <v>60000000</v>
      </c>
      <c r="HN60" s="471">
        <f>AK60+BA60+BQ60+CK60+DE60+EG60+FA60+FU60+GO60</f>
        <v>0</v>
      </c>
      <c r="HO60" s="471">
        <f t="shared" si="54"/>
        <v>60000000</v>
      </c>
      <c r="HP60" s="531"/>
      <c r="HQ60" s="471">
        <f>BT60+CN60+DH60+EJ60+FD60+FX60+GR60</f>
        <v>13000000</v>
      </c>
      <c r="HR60" s="471">
        <f>BU60+CO60+DI60+EK60+FE60+FY60+GS60</f>
        <v>0</v>
      </c>
      <c r="HS60" s="471">
        <f t="shared" si="55"/>
        <v>13000000</v>
      </c>
    </row>
    <row r="61" spans="1:227" x14ac:dyDescent="0.25">
      <c r="A61" s="107">
        <v>58</v>
      </c>
      <c r="B61" s="107" t="s">
        <v>531</v>
      </c>
      <c r="C61" s="282" t="s">
        <v>69</v>
      </c>
      <c r="D61" s="468"/>
      <c r="E61" s="468"/>
      <c r="F61" s="468"/>
      <c r="G61" s="468"/>
      <c r="H61" s="468"/>
      <c r="I61" s="468"/>
      <c r="J61" s="468"/>
      <c r="K61" s="468"/>
      <c r="L61" s="468"/>
      <c r="M61" s="468"/>
      <c r="N61" s="468"/>
      <c r="O61" s="468"/>
      <c r="P61" s="468"/>
      <c r="Q61" s="468"/>
      <c r="R61" s="468"/>
      <c r="S61" s="468"/>
      <c r="T61" s="468"/>
      <c r="U61" s="468"/>
      <c r="V61" s="468"/>
      <c r="W61" s="468"/>
      <c r="X61" s="468"/>
      <c r="Y61" s="468"/>
      <c r="Z61" s="468"/>
      <c r="AA61" s="468"/>
      <c r="AB61" s="468"/>
      <c r="AC61" s="468"/>
      <c r="AD61" s="468"/>
      <c r="AE61" s="468"/>
      <c r="AF61" s="468"/>
      <c r="AG61" s="468"/>
      <c r="AH61" s="468"/>
      <c r="AI61" s="468"/>
      <c r="AJ61" s="468"/>
      <c r="AK61" s="468"/>
      <c r="AL61" s="468"/>
      <c r="AM61" s="473"/>
      <c r="AN61" s="468"/>
      <c r="AO61" s="468"/>
      <c r="AP61" s="468"/>
      <c r="AQ61" s="468"/>
      <c r="AR61" s="468"/>
      <c r="AS61" s="468"/>
      <c r="AT61" s="468"/>
      <c r="AU61" s="468"/>
      <c r="AV61" s="468"/>
      <c r="AW61" s="468"/>
      <c r="AX61" s="468"/>
      <c r="AY61" s="468"/>
      <c r="AZ61" s="468"/>
      <c r="BA61" s="468"/>
      <c r="BB61" s="468"/>
      <c r="BC61" s="468"/>
      <c r="BD61" s="468"/>
      <c r="BE61" s="468"/>
      <c r="BF61" s="468"/>
      <c r="BG61" s="468"/>
      <c r="BH61" s="468"/>
      <c r="BI61" s="468"/>
      <c r="BJ61" s="468"/>
      <c r="BK61" s="468"/>
      <c r="BL61" s="468"/>
      <c r="BM61" s="468"/>
      <c r="BN61" s="468"/>
      <c r="BO61" s="468"/>
      <c r="BP61" s="468"/>
      <c r="BQ61" s="468"/>
      <c r="BR61" s="468"/>
      <c r="BS61" s="468"/>
      <c r="BT61" s="468"/>
      <c r="BU61" s="468"/>
      <c r="BV61" s="468"/>
      <c r="BW61" s="468"/>
      <c r="BX61" s="468"/>
      <c r="BY61" s="468"/>
      <c r="BZ61" s="468"/>
      <c r="CA61" s="468"/>
      <c r="CB61" s="468"/>
      <c r="CC61" s="468"/>
      <c r="CD61" s="468"/>
      <c r="CE61" s="468"/>
      <c r="CF61" s="468"/>
      <c r="CG61" s="468"/>
      <c r="CH61" s="468"/>
      <c r="CI61" s="468"/>
      <c r="CJ61" s="468"/>
      <c r="CK61" s="468"/>
      <c r="CL61" s="468"/>
      <c r="CM61" s="468"/>
      <c r="CN61" s="468"/>
      <c r="CO61" s="468"/>
      <c r="CP61" s="468"/>
      <c r="CQ61" s="468"/>
      <c r="CR61" s="468"/>
      <c r="CS61" s="468"/>
      <c r="CT61" s="468"/>
      <c r="CU61" s="468"/>
      <c r="CV61" s="468"/>
      <c r="CW61" s="468"/>
      <c r="CX61" s="468"/>
      <c r="CY61" s="468"/>
      <c r="CZ61" s="468"/>
      <c r="DA61" s="468"/>
      <c r="DB61" s="468"/>
      <c r="DC61" s="468"/>
      <c r="DD61" s="468"/>
      <c r="DE61" s="468"/>
      <c r="DF61" s="468"/>
      <c r="DG61" s="468"/>
      <c r="DH61" s="468"/>
      <c r="DI61" s="468"/>
      <c r="DJ61" s="468"/>
      <c r="DK61" s="468"/>
      <c r="DL61" s="471"/>
      <c r="DM61" s="471"/>
      <c r="DN61" s="471"/>
      <c r="DO61" s="524"/>
      <c r="DP61" s="471"/>
      <c r="DQ61" s="471"/>
      <c r="DR61" s="471"/>
      <c r="DS61" s="473"/>
      <c r="DT61" s="471">
        <v>70000000</v>
      </c>
      <c r="DU61" s="552">
        <f>3600000+12600000+3600000-3600000+9000000-3600000+3600000</f>
        <v>25200000</v>
      </c>
      <c r="DV61" s="471">
        <f>DT61-DU61</f>
        <v>44800000</v>
      </c>
      <c r="DW61" s="473"/>
      <c r="DX61" s="471">
        <v>10000000</v>
      </c>
      <c r="DY61" s="471"/>
      <c r="DZ61" s="471">
        <f>DX61-DY61</f>
        <v>10000000</v>
      </c>
      <c r="EA61" s="473"/>
      <c r="EB61" s="471">
        <v>5000000</v>
      </c>
      <c r="EC61" s="471"/>
      <c r="ED61" s="471">
        <f>EB61-EC61</f>
        <v>5000000</v>
      </c>
      <c r="EE61" s="473"/>
      <c r="EF61" s="471">
        <v>20000000</v>
      </c>
      <c r="EG61" s="471">
        <f>4541000+6544440-2502200+2239580+5036615-1756890</f>
        <v>14102545</v>
      </c>
      <c r="EH61" s="471">
        <f>EF61-EG61</f>
        <v>5897455</v>
      </c>
      <c r="EI61" s="473"/>
      <c r="EJ61" s="471">
        <v>5000000</v>
      </c>
      <c r="EK61" s="471"/>
      <c r="EL61" s="471">
        <f>EJ61-EK61</f>
        <v>5000000</v>
      </c>
      <c r="EM61" s="107"/>
      <c r="EN61" s="475"/>
      <c r="EO61" s="475"/>
      <c r="EP61" s="475"/>
      <c r="EQ61" s="475"/>
      <c r="ER61" s="475"/>
      <c r="ES61" s="475">
        <v>0</v>
      </c>
      <c r="ET61" s="475">
        <f t="shared" si="35"/>
        <v>0</v>
      </c>
      <c r="EU61" s="475"/>
      <c r="EV61" s="475">
        <v>0</v>
      </c>
      <c r="EW61" s="475">
        <v>0</v>
      </c>
      <c r="EX61" s="475">
        <f t="shared" si="36"/>
        <v>0</v>
      </c>
      <c r="EY61" s="475"/>
      <c r="EZ61" s="475">
        <v>0</v>
      </c>
      <c r="FA61" s="475">
        <v>0</v>
      </c>
      <c r="FB61" s="475">
        <f t="shared" si="37"/>
        <v>0</v>
      </c>
      <c r="FC61" s="475"/>
      <c r="FD61" s="475">
        <v>0</v>
      </c>
      <c r="FE61" s="475">
        <v>0</v>
      </c>
      <c r="FF61" s="475">
        <f t="shared" si="38"/>
        <v>0</v>
      </c>
      <c r="FG61" s="107"/>
      <c r="FH61" s="475">
        <v>75000000</v>
      </c>
      <c r="FI61" s="475">
        <v>0</v>
      </c>
      <c r="FJ61" s="475">
        <f t="shared" si="39"/>
        <v>75000000</v>
      </c>
      <c r="FK61" s="475"/>
      <c r="FL61" s="475">
        <v>20000000</v>
      </c>
      <c r="FM61" s="475">
        <v>0</v>
      </c>
      <c r="FN61" s="475">
        <f>FL61-FM61</f>
        <v>20000000</v>
      </c>
      <c r="FO61" s="475"/>
      <c r="FP61" s="475">
        <v>5000000</v>
      </c>
      <c r="FQ61" s="475">
        <v>0</v>
      </c>
      <c r="FR61" s="475">
        <f>FP61-FQ61</f>
        <v>5000000</v>
      </c>
      <c r="FS61" s="475"/>
      <c r="FT61" s="475">
        <v>20000000</v>
      </c>
      <c r="FU61" s="475">
        <v>0</v>
      </c>
      <c r="FV61" s="475">
        <f>FT61-FU61</f>
        <v>20000000</v>
      </c>
      <c r="FW61" s="475"/>
      <c r="FX61" s="475">
        <v>5000000</v>
      </c>
      <c r="FY61" s="475">
        <v>0</v>
      </c>
      <c r="FZ61" s="475">
        <f>FX61-FY61</f>
        <v>5000000</v>
      </c>
      <c r="GA61" s="475"/>
      <c r="GB61" s="628"/>
      <c r="GC61" s="628"/>
      <c r="GD61" s="628"/>
      <c r="GE61" s="628"/>
      <c r="GF61" s="628"/>
      <c r="GG61" s="628"/>
      <c r="GH61" s="628"/>
      <c r="GI61" s="628"/>
      <c r="GJ61" s="628"/>
      <c r="GK61" s="628"/>
      <c r="GL61" s="628"/>
      <c r="GM61" s="628"/>
      <c r="GN61" s="628"/>
      <c r="GO61" s="628"/>
      <c r="GP61" s="628"/>
      <c r="GQ61" s="628"/>
      <c r="GR61" s="628"/>
      <c r="GS61" s="628"/>
      <c r="GT61" s="628"/>
      <c r="GU61" s="475"/>
      <c r="GV61" s="468">
        <f t="shared" si="49"/>
        <v>235000000</v>
      </c>
      <c r="GW61" s="468">
        <f>I61+M61+Q61+U61+Y61+AC61+AG61+AK61+AO61+AS61+AW61+BA61+BE61+BI61+BM61+BQ61+BU61+E61+BY61+CC61+CG61+CK61+CO61+CS61+CW61+DA61+DE61+DI61+DU61+DY61+EC61+EG61+EK61+DM61+EO61+ES61+EW61+FA61+FE61+FI61+FM61+FQ61+FU61+FY61+GC61+GG61+GK61+GO61+GS61</f>
        <v>39302545</v>
      </c>
      <c r="GX61" s="468">
        <f t="shared" si="50"/>
        <v>195697455</v>
      </c>
      <c r="GY61" s="472"/>
      <c r="HA61" s="468">
        <f>D61+H61+L61+X61+AN61+BD61+BX61+CR61+DT61+DL61+EN61+FH61+GB61</f>
        <v>145000000</v>
      </c>
      <c r="HB61" s="468">
        <f>E61+I61+M61+Y61+AO61+BE61+BY61+CS61+DU61+DM61+EO61+FI61+GC61</f>
        <v>25200000</v>
      </c>
      <c r="HC61" s="471">
        <f t="shared" si="51"/>
        <v>119800000</v>
      </c>
      <c r="HE61" s="471">
        <f>P61+AB61+AR61+BH61+CB61+CV61+DX61+ER61+FL61+GF61</f>
        <v>30000000</v>
      </c>
      <c r="HF61" s="471">
        <f>Q61+AC61+AS61+BI61+CC61+CW61+DY61+ES61+FM61+GG61</f>
        <v>0</v>
      </c>
      <c r="HG61" s="471">
        <f t="shared" si="52"/>
        <v>30000000</v>
      </c>
      <c r="HI61" s="471">
        <f>T61+AF61+AV61+BL61+CF61+CZ61+EB61+EV61+FP61+GJ61</f>
        <v>10000000</v>
      </c>
      <c r="HJ61" s="471">
        <f>U61+AG61+AW61+BM61+CG61+DA61+EC61+EW61+FQ61+GK61</f>
        <v>0</v>
      </c>
      <c r="HK61" s="471">
        <f t="shared" si="53"/>
        <v>10000000</v>
      </c>
      <c r="HM61" s="471">
        <f>AJ61+AZ61+BP61+CJ61+DD61+EF61+EZ61+FT61+GN61</f>
        <v>40000000</v>
      </c>
      <c r="HN61" s="471">
        <f>AK61+BA61+BQ61+CK61+DE61+EG61+FA61+FU61+GO61</f>
        <v>14102545</v>
      </c>
      <c r="HO61" s="471">
        <f t="shared" si="54"/>
        <v>25897455</v>
      </c>
      <c r="HP61" s="531"/>
      <c r="HQ61" s="471">
        <f>BT61+CN61+DH61+EJ61+FD61+FX61+GR61</f>
        <v>10000000</v>
      </c>
      <c r="HR61" s="471">
        <f>BU61+CO61+DI61+EK61+FE61+FY61+GS61</f>
        <v>0</v>
      </c>
      <c r="HS61" s="471">
        <f t="shared" si="55"/>
        <v>10000000</v>
      </c>
    </row>
    <row r="62" spans="1:227" x14ac:dyDescent="0.25">
      <c r="A62" s="107"/>
      <c r="B62" s="107" t="s">
        <v>532</v>
      </c>
      <c r="C62" s="107"/>
      <c r="D62" s="468">
        <f t="shared" ref="D62:AI62" si="75">SUM(D4:D61)</f>
        <v>35000000</v>
      </c>
      <c r="E62" s="468">
        <f t="shared" si="75"/>
        <v>35000000</v>
      </c>
      <c r="F62" s="468">
        <f t="shared" si="75"/>
        <v>0</v>
      </c>
      <c r="G62" s="468">
        <f t="shared" si="75"/>
        <v>0</v>
      </c>
      <c r="H62" s="468">
        <f t="shared" si="75"/>
        <v>1177595250</v>
      </c>
      <c r="I62" s="468">
        <f t="shared" si="75"/>
        <v>1177595250</v>
      </c>
      <c r="J62" s="468">
        <f t="shared" si="75"/>
        <v>0</v>
      </c>
      <c r="K62" s="468">
        <f t="shared" si="75"/>
        <v>0</v>
      </c>
      <c r="L62" s="468">
        <f t="shared" si="75"/>
        <v>1186708731.55</v>
      </c>
      <c r="M62" s="468">
        <f t="shared" si="75"/>
        <v>1186708731.55</v>
      </c>
      <c r="N62" s="468">
        <f t="shared" si="75"/>
        <v>0</v>
      </c>
      <c r="O62" s="468">
        <f t="shared" si="75"/>
        <v>0</v>
      </c>
      <c r="P62" s="468">
        <f t="shared" si="75"/>
        <v>98874150</v>
      </c>
      <c r="Q62" s="468">
        <f t="shared" si="75"/>
        <v>98874150</v>
      </c>
      <c r="R62" s="468">
        <f t="shared" si="75"/>
        <v>0</v>
      </c>
      <c r="S62" s="468">
        <f t="shared" si="75"/>
        <v>0</v>
      </c>
      <c r="T62" s="468">
        <f t="shared" si="75"/>
        <v>27992852</v>
      </c>
      <c r="U62" s="468">
        <f t="shared" si="75"/>
        <v>27992852</v>
      </c>
      <c r="V62" s="468">
        <f t="shared" si="75"/>
        <v>0</v>
      </c>
      <c r="W62" s="468">
        <f t="shared" si="75"/>
        <v>0</v>
      </c>
      <c r="X62" s="468">
        <f t="shared" si="75"/>
        <v>1316259220.1999998</v>
      </c>
      <c r="Y62" s="468">
        <f t="shared" si="75"/>
        <v>1316259220.1999998</v>
      </c>
      <c r="Z62" s="468">
        <f t="shared" si="75"/>
        <v>0</v>
      </c>
      <c r="AA62" s="468">
        <f t="shared" si="75"/>
        <v>0</v>
      </c>
      <c r="AB62" s="468">
        <f t="shared" si="75"/>
        <v>144073213</v>
      </c>
      <c r="AC62" s="468">
        <f t="shared" si="75"/>
        <v>144073213</v>
      </c>
      <c r="AD62" s="468">
        <f t="shared" si="75"/>
        <v>0</v>
      </c>
      <c r="AE62" s="468">
        <f t="shared" si="75"/>
        <v>0</v>
      </c>
      <c r="AF62" s="468">
        <f t="shared" si="75"/>
        <v>49321650</v>
      </c>
      <c r="AG62" s="468">
        <f t="shared" si="75"/>
        <v>49321650</v>
      </c>
      <c r="AH62" s="468">
        <f t="shared" si="75"/>
        <v>0</v>
      </c>
      <c r="AI62" s="468">
        <f t="shared" si="75"/>
        <v>0</v>
      </c>
      <c r="AJ62" s="468">
        <f t="shared" ref="AJ62:CU62" si="76">SUM(AJ4:AJ61)</f>
        <v>339937280</v>
      </c>
      <c r="AK62" s="468">
        <f t="shared" si="76"/>
        <v>339937280</v>
      </c>
      <c r="AL62" s="468">
        <f t="shared" si="76"/>
        <v>0</v>
      </c>
      <c r="AM62" s="468">
        <f t="shared" si="76"/>
        <v>0</v>
      </c>
      <c r="AN62" s="468">
        <f t="shared" si="76"/>
        <v>2000000000</v>
      </c>
      <c r="AO62" s="468">
        <f t="shared" si="76"/>
        <v>1933067370</v>
      </c>
      <c r="AP62" s="468">
        <f t="shared" si="76"/>
        <v>66932630</v>
      </c>
      <c r="AQ62" s="468">
        <f t="shared" si="76"/>
        <v>0</v>
      </c>
      <c r="AR62" s="468">
        <f t="shared" si="76"/>
        <v>150000000</v>
      </c>
      <c r="AS62" s="468">
        <f t="shared" si="76"/>
        <v>142865700</v>
      </c>
      <c r="AT62" s="468">
        <f t="shared" si="76"/>
        <v>7134300</v>
      </c>
      <c r="AU62" s="468">
        <f t="shared" si="76"/>
        <v>0</v>
      </c>
      <c r="AV62" s="468">
        <f t="shared" si="76"/>
        <v>100000000</v>
      </c>
      <c r="AW62" s="468">
        <f t="shared" si="76"/>
        <v>56807710</v>
      </c>
      <c r="AX62" s="468">
        <f t="shared" si="76"/>
        <v>43192290</v>
      </c>
      <c r="AY62" s="468">
        <f t="shared" si="76"/>
        <v>0</v>
      </c>
      <c r="AZ62" s="468">
        <f t="shared" si="76"/>
        <v>500000000</v>
      </c>
      <c r="BA62" s="468">
        <f t="shared" si="76"/>
        <v>474414501.44</v>
      </c>
      <c r="BB62" s="468">
        <f t="shared" si="76"/>
        <v>25585498.559999999</v>
      </c>
      <c r="BC62" s="468">
        <f t="shared" si="76"/>
        <v>0</v>
      </c>
      <c r="BD62" s="468">
        <f t="shared" si="76"/>
        <v>3200000000</v>
      </c>
      <c r="BE62" s="468">
        <f t="shared" si="76"/>
        <v>3051941195.5599999</v>
      </c>
      <c r="BF62" s="468">
        <f t="shared" si="76"/>
        <v>148058804.44</v>
      </c>
      <c r="BG62" s="468">
        <f t="shared" si="76"/>
        <v>0</v>
      </c>
      <c r="BH62" s="468">
        <f t="shared" si="76"/>
        <v>475000000</v>
      </c>
      <c r="BI62" s="468">
        <f t="shared" si="76"/>
        <v>430027395.39999998</v>
      </c>
      <c r="BJ62" s="468">
        <f t="shared" si="76"/>
        <v>44972604.600000001</v>
      </c>
      <c r="BK62" s="468">
        <f t="shared" si="76"/>
        <v>0</v>
      </c>
      <c r="BL62" s="468">
        <f t="shared" si="76"/>
        <v>250000000</v>
      </c>
      <c r="BM62" s="468">
        <f t="shared" si="76"/>
        <v>118802515</v>
      </c>
      <c r="BN62" s="468">
        <f t="shared" si="76"/>
        <v>131197485</v>
      </c>
      <c r="BO62" s="468">
        <f t="shared" si="76"/>
        <v>0</v>
      </c>
      <c r="BP62" s="468">
        <f t="shared" si="76"/>
        <v>1000000000</v>
      </c>
      <c r="BQ62" s="468">
        <f t="shared" si="76"/>
        <v>973810383.99999952</v>
      </c>
      <c r="BR62" s="468">
        <f t="shared" si="76"/>
        <v>26189616.000000477</v>
      </c>
      <c r="BS62" s="468">
        <f t="shared" si="76"/>
        <v>0</v>
      </c>
      <c r="BT62" s="468">
        <f t="shared" si="76"/>
        <v>50000000</v>
      </c>
      <c r="BU62" s="468">
        <f t="shared" si="76"/>
        <v>33000000</v>
      </c>
      <c r="BV62" s="468">
        <f t="shared" si="76"/>
        <v>17000000</v>
      </c>
      <c r="BW62" s="468">
        <f t="shared" si="76"/>
        <v>0</v>
      </c>
      <c r="BX62" s="468">
        <f t="shared" si="76"/>
        <v>4000000000</v>
      </c>
      <c r="BY62" s="468">
        <f t="shared" si="76"/>
        <v>3750797063.6900001</v>
      </c>
      <c r="BZ62" s="468">
        <f t="shared" si="76"/>
        <v>249202936.31</v>
      </c>
      <c r="CA62" s="468">
        <f t="shared" si="76"/>
        <v>0</v>
      </c>
      <c r="CB62" s="468">
        <f t="shared" si="76"/>
        <v>500000000</v>
      </c>
      <c r="CC62" s="468">
        <f t="shared" si="76"/>
        <v>403214551.12</v>
      </c>
      <c r="CD62" s="468">
        <f t="shared" si="76"/>
        <v>96785448.88000001</v>
      </c>
      <c r="CE62" s="468">
        <f t="shared" si="76"/>
        <v>0</v>
      </c>
      <c r="CF62" s="468">
        <f t="shared" si="76"/>
        <v>500000000</v>
      </c>
      <c r="CG62" s="468">
        <f t="shared" si="76"/>
        <v>208382150</v>
      </c>
      <c r="CH62" s="468">
        <f t="shared" si="76"/>
        <v>291617850</v>
      </c>
      <c r="CI62" s="468">
        <f t="shared" si="76"/>
        <v>0</v>
      </c>
      <c r="CJ62" s="468">
        <f t="shared" si="76"/>
        <v>1500000000</v>
      </c>
      <c r="CK62" s="468">
        <f t="shared" si="76"/>
        <v>1499138830.8</v>
      </c>
      <c r="CL62" s="468">
        <f t="shared" si="76"/>
        <v>861169.19999999925</v>
      </c>
      <c r="CM62" s="468">
        <f t="shared" si="76"/>
        <v>0</v>
      </c>
      <c r="CN62" s="468">
        <f t="shared" si="76"/>
        <v>500000000</v>
      </c>
      <c r="CO62" s="468">
        <f t="shared" si="76"/>
        <v>257350307.5</v>
      </c>
      <c r="CP62" s="468">
        <f t="shared" si="76"/>
        <v>242649692.5</v>
      </c>
      <c r="CQ62" s="468">
        <f t="shared" si="76"/>
        <v>0</v>
      </c>
      <c r="CR62" s="468">
        <f t="shared" si="76"/>
        <v>5000000000</v>
      </c>
      <c r="CS62" s="468">
        <f t="shared" si="76"/>
        <v>4301751445.2700005</v>
      </c>
      <c r="CT62" s="468">
        <f t="shared" si="76"/>
        <v>698248554.73000002</v>
      </c>
      <c r="CU62" s="468">
        <f t="shared" si="76"/>
        <v>0</v>
      </c>
      <c r="CV62" s="468">
        <f t="shared" ref="CV62:FF62" si="77">SUM(CV4:CV61)</f>
        <v>1000000000</v>
      </c>
      <c r="CW62" s="468">
        <f t="shared" si="77"/>
        <v>741790088.21999991</v>
      </c>
      <c r="CX62" s="468">
        <f t="shared" si="77"/>
        <v>258209911.78</v>
      </c>
      <c r="CY62" s="468">
        <f t="shared" si="77"/>
        <v>0</v>
      </c>
      <c r="CZ62" s="468">
        <f t="shared" si="77"/>
        <v>1000000000</v>
      </c>
      <c r="DA62" s="468">
        <f t="shared" si="77"/>
        <v>201678756.25</v>
      </c>
      <c r="DB62" s="468">
        <f t="shared" si="77"/>
        <v>798321243.75</v>
      </c>
      <c r="DC62" s="468">
        <f t="shared" si="77"/>
        <v>0</v>
      </c>
      <c r="DD62" s="468">
        <f t="shared" si="77"/>
        <v>2500000000</v>
      </c>
      <c r="DE62" s="468">
        <f t="shared" si="77"/>
        <v>2272656758.1900001</v>
      </c>
      <c r="DF62" s="468">
        <f t="shared" si="77"/>
        <v>227343241.81000003</v>
      </c>
      <c r="DG62" s="468">
        <f t="shared" si="77"/>
        <v>0</v>
      </c>
      <c r="DH62" s="468">
        <f t="shared" si="77"/>
        <v>500000000</v>
      </c>
      <c r="DI62" s="468">
        <f t="shared" si="77"/>
        <v>198585171.25</v>
      </c>
      <c r="DJ62" s="468">
        <f t="shared" si="77"/>
        <v>301414828.75</v>
      </c>
      <c r="DK62" s="468">
        <f t="shared" si="77"/>
        <v>0</v>
      </c>
      <c r="DL62" s="468">
        <f t="shared" si="77"/>
        <v>40000000</v>
      </c>
      <c r="DM62" s="468">
        <f t="shared" si="77"/>
        <v>38295940</v>
      </c>
      <c r="DN62" s="468">
        <f t="shared" si="77"/>
        <v>1704060</v>
      </c>
      <c r="DO62" s="468">
        <f t="shared" si="77"/>
        <v>0</v>
      </c>
      <c r="DP62" s="468">
        <f t="shared" si="77"/>
        <v>0</v>
      </c>
      <c r="DQ62" s="468">
        <f t="shared" si="77"/>
        <v>0</v>
      </c>
      <c r="DR62" s="468">
        <f t="shared" si="77"/>
        <v>0</v>
      </c>
      <c r="DS62" s="468">
        <f t="shared" si="77"/>
        <v>0</v>
      </c>
      <c r="DT62" s="468">
        <f t="shared" si="77"/>
        <v>3500000000</v>
      </c>
      <c r="DU62" s="468">
        <f t="shared" si="77"/>
        <v>3229003794.7600002</v>
      </c>
      <c r="DV62" s="468">
        <f t="shared" si="77"/>
        <v>270996205.24000001</v>
      </c>
      <c r="DW62" s="468">
        <f t="shared" si="77"/>
        <v>0</v>
      </c>
      <c r="DX62" s="468">
        <f t="shared" si="77"/>
        <v>500000000</v>
      </c>
      <c r="DY62" s="468">
        <f t="shared" si="77"/>
        <v>300504727.27999997</v>
      </c>
      <c r="DZ62" s="468">
        <f t="shared" si="77"/>
        <v>199495272.72</v>
      </c>
      <c r="EA62" s="468">
        <f t="shared" si="77"/>
        <v>0</v>
      </c>
      <c r="EB62" s="468">
        <f t="shared" si="77"/>
        <v>250000000</v>
      </c>
      <c r="EC62" s="468">
        <f t="shared" si="77"/>
        <v>16087052.5</v>
      </c>
      <c r="ED62" s="468">
        <f t="shared" si="77"/>
        <v>233912947.5</v>
      </c>
      <c r="EE62" s="468">
        <f t="shared" si="77"/>
        <v>0</v>
      </c>
      <c r="EF62" s="468">
        <f t="shared" si="77"/>
        <v>1000000000</v>
      </c>
      <c r="EG62" s="468">
        <f t="shared" si="77"/>
        <v>803157157.3599999</v>
      </c>
      <c r="EH62" s="468">
        <f t="shared" si="77"/>
        <v>196842842.63999999</v>
      </c>
      <c r="EI62" s="468">
        <f t="shared" si="77"/>
        <v>0</v>
      </c>
      <c r="EJ62" s="468">
        <f t="shared" si="77"/>
        <v>250000000</v>
      </c>
      <c r="EK62" s="468">
        <f t="shared" si="77"/>
        <v>57257887</v>
      </c>
      <c r="EL62" s="468">
        <f t="shared" si="77"/>
        <v>192742113</v>
      </c>
      <c r="EM62" s="468">
        <f t="shared" si="77"/>
        <v>0</v>
      </c>
      <c r="EN62" s="468">
        <f t="shared" si="77"/>
        <v>10800000000</v>
      </c>
      <c r="EO62" s="468">
        <f t="shared" si="77"/>
        <v>7362996138.4099998</v>
      </c>
      <c r="EP62" s="468">
        <f t="shared" si="77"/>
        <v>3437003861.5899997</v>
      </c>
      <c r="EQ62" s="468">
        <f t="shared" si="77"/>
        <v>0</v>
      </c>
      <c r="ER62" s="468">
        <f t="shared" si="77"/>
        <v>972000000</v>
      </c>
      <c r="ES62" s="468">
        <f t="shared" si="77"/>
        <v>285736811.06999999</v>
      </c>
      <c r="ET62" s="468">
        <f t="shared" si="77"/>
        <v>686263188.92999995</v>
      </c>
      <c r="EU62" s="468">
        <f t="shared" si="77"/>
        <v>0</v>
      </c>
      <c r="EV62" s="468">
        <f t="shared" si="77"/>
        <v>270000000</v>
      </c>
      <c r="EW62" s="468">
        <f t="shared" si="77"/>
        <v>3023000</v>
      </c>
      <c r="EX62" s="468">
        <f t="shared" si="77"/>
        <v>266977000</v>
      </c>
      <c r="EY62" s="468">
        <f t="shared" si="77"/>
        <v>0</v>
      </c>
      <c r="EZ62" s="468">
        <f t="shared" si="77"/>
        <v>1350000000</v>
      </c>
      <c r="FA62" s="468">
        <f t="shared" si="77"/>
        <v>755648865.56000006</v>
      </c>
      <c r="FB62" s="468">
        <f t="shared" si="77"/>
        <v>594351134.43999994</v>
      </c>
      <c r="FC62" s="468">
        <f t="shared" si="77"/>
        <v>0</v>
      </c>
      <c r="FD62" s="468">
        <f t="shared" si="77"/>
        <v>270000000</v>
      </c>
      <c r="FE62" s="468">
        <f t="shared" si="77"/>
        <v>24255920.449999999</v>
      </c>
      <c r="FF62" s="468">
        <f t="shared" si="77"/>
        <v>245744079.55000001</v>
      </c>
      <c r="FG62" s="468"/>
      <c r="FH62" s="475">
        <f t="shared" ref="FH62:FZ62" si="78">SUM(FH4:FH61)</f>
        <v>3975000000</v>
      </c>
      <c r="FI62" s="475">
        <f t="shared" si="78"/>
        <v>795365051.31000006</v>
      </c>
      <c r="FJ62" s="475">
        <f t="shared" si="78"/>
        <v>3179634948.6900001</v>
      </c>
      <c r="FK62" s="475">
        <f t="shared" si="78"/>
        <v>0</v>
      </c>
      <c r="FL62" s="475">
        <f t="shared" si="78"/>
        <v>1060000000</v>
      </c>
      <c r="FM62" s="475">
        <f t="shared" si="78"/>
        <v>16851544.780000001</v>
      </c>
      <c r="FN62" s="475">
        <f t="shared" si="78"/>
        <v>1043148455.22</v>
      </c>
      <c r="FO62" s="475">
        <f t="shared" si="78"/>
        <v>0</v>
      </c>
      <c r="FP62" s="475">
        <f t="shared" si="78"/>
        <v>265000000</v>
      </c>
      <c r="FQ62" s="475">
        <f t="shared" si="78"/>
        <v>0</v>
      </c>
      <c r="FR62" s="475">
        <f t="shared" si="78"/>
        <v>265000000</v>
      </c>
      <c r="FS62" s="475">
        <f t="shared" si="78"/>
        <v>0</v>
      </c>
      <c r="FT62" s="475">
        <f t="shared" si="78"/>
        <v>1060000000</v>
      </c>
      <c r="FU62" s="475">
        <f t="shared" si="78"/>
        <v>281552338.48000002</v>
      </c>
      <c r="FV62" s="475">
        <f t="shared" si="78"/>
        <v>778447661.5200001</v>
      </c>
      <c r="FW62" s="475">
        <f t="shared" si="78"/>
        <v>0</v>
      </c>
      <c r="FX62" s="475">
        <f t="shared" si="78"/>
        <v>265000000</v>
      </c>
      <c r="FY62" s="475">
        <f t="shared" si="78"/>
        <v>1286746.25</v>
      </c>
      <c r="FZ62" s="475">
        <f t="shared" si="78"/>
        <v>263713253.75</v>
      </c>
      <c r="GA62" s="475"/>
      <c r="GB62" s="475">
        <f>SUM(GB4:GB61)</f>
        <v>5400000000</v>
      </c>
      <c r="GC62" s="475">
        <f>SUM(GC4:GC61)</f>
        <v>12904690.16</v>
      </c>
      <c r="GD62" s="475">
        <f>SUM(GD4:GD61)</f>
        <v>5387095309.8400002</v>
      </c>
      <c r="GE62" s="475"/>
      <c r="GF62" s="475">
        <f>SUM(GF4:GF61)</f>
        <v>1080000000</v>
      </c>
      <c r="GG62" s="475">
        <f>SUM(GG4:GG61)</f>
        <v>0</v>
      </c>
      <c r="GH62" s="475">
        <f>SUM(GH4:GH61)</f>
        <v>1080000000</v>
      </c>
      <c r="GI62" s="475"/>
      <c r="GJ62" s="475">
        <f>SUM(GJ4:GJ61)</f>
        <v>162000000</v>
      </c>
      <c r="GK62" s="475">
        <f>SUM(GK4:GK61)</f>
        <v>0</v>
      </c>
      <c r="GL62" s="475">
        <f>SUM(GL4:GL61)</f>
        <v>162000000</v>
      </c>
      <c r="GM62" s="475"/>
      <c r="GN62" s="475">
        <f>SUM(GN4:GN61)</f>
        <v>810000000</v>
      </c>
      <c r="GO62" s="475">
        <f>SUM(GO4:GO61)</f>
        <v>21792247.380000003</v>
      </c>
      <c r="GP62" s="475">
        <f>SUM(GP4:GP61)</f>
        <v>788207752.62</v>
      </c>
      <c r="GQ62" s="475"/>
      <c r="GR62" s="475">
        <f>SUM(GR4:GR61)</f>
        <v>162000000</v>
      </c>
      <c r="GS62" s="475">
        <f>SUM(GS4:GS61)</f>
        <v>0</v>
      </c>
      <c r="GT62" s="475">
        <f>SUM(GT4:GT61)</f>
        <v>162000000</v>
      </c>
      <c r="GU62" s="475"/>
      <c r="GV62" s="468">
        <f>SUM(GV4:GV61)</f>
        <v>62541762346.75</v>
      </c>
      <c r="GW62" s="468">
        <f>SUM(GW4:GW61)</f>
        <v>39431564153.189995</v>
      </c>
      <c r="GX62" s="468">
        <f>GV62-GW62</f>
        <v>23110198193.560005</v>
      </c>
      <c r="GY62" s="472"/>
      <c r="HA62" s="468">
        <f>SUM(HA4:HA61)</f>
        <v>41630563201.75</v>
      </c>
      <c r="HB62" s="468">
        <f>SUM(HB4:HB61)</f>
        <v>28191685890.910004</v>
      </c>
      <c r="HC62" s="471">
        <f>HA62-HB62</f>
        <v>13438877310.839996</v>
      </c>
      <c r="HE62" s="471">
        <f>SUM(HE4:HE61)</f>
        <v>5979947363</v>
      </c>
      <c r="HF62" s="471">
        <f>SUM(HF4:HF61)</f>
        <v>2563938180.8700004</v>
      </c>
      <c r="HG62" s="471">
        <f>HE62-HF62</f>
        <v>3416009182.1299996</v>
      </c>
      <c r="HI62" s="471">
        <f>SUM(HI4:HI61)</f>
        <v>2874314502</v>
      </c>
      <c r="HJ62" s="471">
        <f>SUM(HJ4:HJ61)</f>
        <v>682095685.75</v>
      </c>
      <c r="HK62" s="471">
        <f t="shared" si="53"/>
        <v>2192218816.25</v>
      </c>
      <c r="HM62" s="471">
        <f>SUM(HM4:HM61)</f>
        <v>10059937280</v>
      </c>
      <c r="HN62" s="471">
        <f>SUM(HN4:HN61)</f>
        <v>7422108363.2099981</v>
      </c>
      <c r="HO62" s="471">
        <f>HM62-HN62</f>
        <v>2637828916.7900019</v>
      </c>
      <c r="HP62" s="531"/>
      <c r="HQ62" s="471">
        <f>SUM(HQ4:HQ61)</f>
        <v>1997000000</v>
      </c>
      <c r="HR62" s="471">
        <f>SUM(HR4:HR61)</f>
        <v>571736032.45000005</v>
      </c>
      <c r="HS62" s="471">
        <f>HQ62-HR62</f>
        <v>1425263967.55</v>
      </c>
    </row>
    <row r="63" spans="1:227" x14ac:dyDescent="0.25">
      <c r="FH63" s="474"/>
      <c r="FI63" s="474"/>
      <c r="FJ63" s="474"/>
      <c r="FK63" s="474"/>
      <c r="FL63" s="474"/>
      <c r="FM63" s="474"/>
      <c r="FN63" s="474"/>
      <c r="FO63" s="474"/>
      <c r="FP63" s="474"/>
      <c r="FQ63" s="474"/>
      <c r="FR63" s="474"/>
      <c r="FS63" s="474"/>
      <c r="FT63" s="474"/>
      <c r="FU63" s="474"/>
      <c r="FV63" s="474"/>
      <c r="FW63" s="474"/>
      <c r="FX63" s="474"/>
      <c r="FY63" s="474"/>
      <c r="FZ63" s="474"/>
      <c r="GA63" s="474"/>
      <c r="GB63" s="474"/>
      <c r="GC63" s="474"/>
      <c r="GD63" s="474"/>
      <c r="GE63" s="474"/>
      <c r="GF63" s="474"/>
      <c r="GG63" s="474"/>
      <c r="GH63" s="474"/>
      <c r="GI63" s="474"/>
      <c r="GJ63" s="474"/>
      <c r="GK63" s="474"/>
      <c r="GL63" s="474"/>
      <c r="GM63" s="474"/>
      <c r="GN63" s="474"/>
      <c r="GO63" s="474"/>
      <c r="GP63" s="474"/>
      <c r="GQ63" s="474"/>
      <c r="GR63" s="474"/>
      <c r="GS63" s="474"/>
      <c r="GT63" s="474"/>
      <c r="GU63" s="474"/>
    </row>
    <row r="64" spans="1:227" x14ac:dyDescent="0.25">
      <c r="FH64" s="474">
        <v>29888809</v>
      </c>
      <c r="FI64" s="474"/>
      <c r="FJ64" s="474"/>
      <c r="FK64" s="474"/>
      <c r="FL64" s="474"/>
      <c r="FM64" s="474"/>
      <c r="FN64" s="474"/>
      <c r="FO64" s="474"/>
      <c r="FP64" s="474"/>
      <c r="FQ64" s="474"/>
      <c r="FR64" s="474"/>
      <c r="FS64" s="474"/>
      <c r="FT64" s="474"/>
      <c r="FU64" s="474"/>
      <c r="FV64" s="474"/>
      <c r="FW64" s="474"/>
      <c r="FX64" s="474"/>
      <c r="FY64" s="474"/>
      <c r="FZ64" s="474"/>
      <c r="GA64" s="474"/>
      <c r="GB64" s="474"/>
      <c r="GC64" s="474"/>
      <c r="GD64" s="474"/>
      <c r="GE64" s="474"/>
      <c r="GF64" s="474"/>
      <c r="GG64" s="474"/>
      <c r="GH64" s="474"/>
      <c r="GI64" s="474"/>
      <c r="GJ64" s="474"/>
      <c r="GK64" s="474"/>
      <c r="GL64" s="474"/>
      <c r="GM64" s="474"/>
      <c r="GN64" s="474"/>
      <c r="GO64" s="474"/>
      <c r="GP64" s="474"/>
      <c r="GQ64" s="474"/>
      <c r="GR64" s="474"/>
      <c r="GS64" s="474"/>
      <c r="GT64" s="474"/>
      <c r="GU64" s="474"/>
    </row>
    <row r="65" spans="164:203" x14ac:dyDescent="0.25">
      <c r="FH65" s="474"/>
      <c r="FI65" s="474"/>
      <c r="FJ65" s="474"/>
      <c r="FK65" s="474"/>
      <c r="FL65" s="474"/>
      <c r="FM65" s="474"/>
      <c r="FN65" s="474"/>
      <c r="FO65" s="474"/>
      <c r="FP65" s="474"/>
      <c r="FQ65" s="474"/>
      <c r="FR65" s="474"/>
      <c r="FS65" s="474"/>
      <c r="FT65" s="474"/>
      <c r="FU65" s="474"/>
      <c r="FV65" s="474"/>
      <c r="FW65" s="474"/>
      <c r="FX65" s="474"/>
      <c r="FY65" s="474"/>
      <c r="FZ65" s="474"/>
      <c r="GA65" s="474"/>
      <c r="GB65" s="474"/>
      <c r="GC65" s="474"/>
      <c r="GD65" s="474"/>
      <c r="GE65" s="474"/>
      <c r="GF65" s="474"/>
      <c r="GG65" s="474"/>
      <c r="GH65" s="474"/>
      <c r="GI65" s="474"/>
      <c r="GJ65" s="474"/>
      <c r="GK65" s="474"/>
      <c r="GL65" s="474"/>
      <c r="GM65" s="474"/>
      <c r="GN65" s="474"/>
      <c r="GO65" s="474"/>
      <c r="GP65" s="474"/>
      <c r="GQ65" s="474"/>
      <c r="GR65" s="474"/>
      <c r="GS65" s="474"/>
      <c r="GT65" s="474"/>
      <c r="GU65" s="474"/>
    </row>
  </sheetData>
  <mergeCells count="31">
    <mergeCell ref="HA2:HC2"/>
    <mergeCell ref="HE2:HG2"/>
    <mergeCell ref="HI2:HK2"/>
    <mergeCell ref="HM2:HO2"/>
    <mergeCell ref="HQ2:HS2"/>
    <mergeCell ref="GB1:GD1"/>
    <mergeCell ref="GF1:GH1"/>
    <mergeCell ref="GJ1:GL1"/>
    <mergeCell ref="GN1:GP1"/>
    <mergeCell ref="GR1:GT1"/>
    <mergeCell ref="DL2:DN2"/>
    <mergeCell ref="DP2:DR2"/>
    <mergeCell ref="FD1:FF1"/>
    <mergeCell ref="FH1:FJ1"/>
    <mergeCell ref="FL1:FN1"/>
    <mergeCell ref="FP1:FR1"/>
    <mergeCell ref="FT1:FV1"/>
    <mergeCell ref="FX1:FZ1"/>
    <mergeCell ref="EF1:EH1"/>
    <mergeCell ref="EJ1:EL1"/>
    <mergeCell ref="EN1:EP1"/>
    <mergeCell ref="ER1:ET1"/>
    <mergeCell ref="EV1:EX1"/>
    <mergeCell ref="EZ1:FB1"/>
    <mergeCell ref="AJ1:AM1"/>
    <mergeCell ref="AN1:AP1"/>
    <mergeCell ref="BX1:BZ1"/>
    <mergeCell ref="CR1:CT1"/>
    <mergeCell ref="DT1:DV1"/>
    <mergeCell ref="DX1:DZ1"/>
    <mergeCell ref="EB1:ED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T160"/>
  <sheetViews>
    <sheetView topLeftCell="GG1" workbookViewId="0">
      <selection activeCell="GZ1" sqref="GZ1:HA1048576"/>
    </sheetView>
  </sheetViews>
  <sheetFormatPr defaultColWidth="9.140625" defaultRowHeight="15.75" x14ac:dyDescent="0.25"/>
  <cols>
    <col min="1" max="1" width="5.28515625" style="472" customWidth="1"/>
    <col min="2" max="2" width="64.5703125" style="568" customWidth="1"/>
    <col min="3" max="3" width="8" style="568" customWidth="1"/>
    <col min="4" max="4" width="24.85546875" style="519" customWidth="1"/>
    <col min="5" max="5" width="28.28515625" style="519" customWidth="1"/>
    <col min="6" max="6" width="16.5703125" style="519" customWidth="1"/>
    <col min="7" max="7" width="1.28515625" style="519" customWidth="1"/>
    <col min="8" max="8" width="20.5703125" style="472" bestFit="1" customWidth="1"/>
    <col min="9" max="9" width="19.28515625" style="472" bestFit="1" customWidth="1"/>
    <col min="10" max="10" width="17.7109375" style="472" bestFit="1" customWidth="1"/>
    <col min="11" max="11" width="1.28515625" style="519" customWidth="1"/>
    <col min="12" max="13" width="19.28515625" style="472" bestFit="1" customWidth="1"/>
    <col min="14" max="14" width="18.85546875" style="472" bestFit="1" customWidth="1"/>
    <col min="15" max="15" width="4.85546875" style="519" customWidth="1"/>
    <col min="16" max="16" width="18.7109375" style="472" bestFit="1" customWidth="1"/>
    <col min="17" max="17" width="19.5703125" style="472" customWidth="1"/>
    <col min="18" max="18" width="23" style="472" bestFit="1" customWidth="1"/>
    <col min="19" max="19" width="8.42578125" style="519" customWidth="1"/>
    <col min="20" max="20" width="19" style="472" customWidth="1"/>
    <col min="21" max="21" width="22.7109375" style="472" customWidth="1"/>
    <col min="22" max="22" width="21.85546875" style="472" customWidth="1"/>
    <col min="23" max="23" width="3.42578125" style="519" customWidth="1"/>
    <col min="24" max="24" width="22.5703125" style="472" customWidth="1"/>
    <col min="25" max="25" width="24.42578125" style="472" bestFit="1" customWidth="1"/>
    <col min="26" max="26" width="20.7109375" style="472" bestFit="1" customWidth="1"/>
    <col min="27" max="27" width="4.42578125" style="519" customWidth="1"/>
    <col min="28" max="28" width="20.42578125" style="472" bestFit="1" customWidth="1"/>
    <col min="29" max="29" width="17.42578125" style="472" bestFit="1" customWidth="1"/>
    <col min="30" max="30" width="17.5703125" style="472" bestFit="1" customWidth="1"/>
    <col min="31" max="31" width="5" style="519" customWidth="1"/>
    <col min="32" max="32" width="17.42578125" style="472" bestFit="1" customWidth="1"/>
    <col min="33" max="33" width="17.140625" style="472" customWidth="1"/>
    <col min="34" max="34" width="17.5703125" style="472" bestFit="1" customWidth="1"/>
    <col min="35" max="35" width="8.28515625" style="519" customWidth="1"/>
    <col min="36" max="37" width="17.42578125" style="472" bestFit="1" customWidth="1"/>
    <col min="38" max="38" width="16.5703125" style="472" customWidth="1"/>
    <col min="39" max="39" width="8" style="472" customWidth="1"/>
    <col min="40" max="40" width="19.28515625" style="472" bestFit="1" customWidth="1"/>
    <col min="41" max="41" width="25.85546875" style="472" bestFit="1" customWidth="1"/>
    <col min="42" max="42" width="19.42578125" style="472" bestFit="1" customWidth="1"/>
    <col min="43" max="43" width="4.42578125" style="519" customWidth="1"/>
    <col min="44" max="45" width="17.42578125" style="472" bestFit="1" customWidth="1"/>
    <col min="46" max="46" width="17.5703125" style="472" bestFit="1" customWidth="1"/>
    <col min="47" max="47" width="6.140625" style="519" customWidth="1"/>
    <col min="48" max="48" width="17.42578125" style="472" bestFit="1" customWidth="1"/>
    <col min="49" max="49" width="22.28515625" style="472" bestFit="1" customWidth="1"/>
    <col min="50" max="50" width="17.5703125" style="472" bestFit="1" customWidth="1"/>
    <col min="51" max="51" width="3.140625" style="519" customWidth="1"/>
    <col min="52" max="52" width="19.28515625" style="472" bestFit="1" customWidth="1"/>
    <col min="53" max="53" width="19.140625" style="472" customWidth="1"/>
    <col min="54" max="54" width="16.140625" style="472" customWidth="1"/>
    <col min="55" max="55" width="3.85546875" style="519" customWidth="1"/>
    <col min="56" max="56" width="18.42578125" style="472" customWidth="1"/>
    <col min="57" max="57" width="19.140625" style="472" customWidth="1"/>
    <col min="58" max="58" width="20" style="472" customWidth="1"/>
    <col min="59" max="59" width="4.140625" style="519" customWidth="1"/>
    <col min="60" max="61" width="19.28515625" style="472" bestFit="1" customWidth="1"/>
    <col min="62" max="62" width="19.7109375" style="472" bestFit="1" customWidth="1"/>
    <col min="63" max="63" width="4.5703125" style="519" customWidth="1"/>
    <col min="64" max="64" width="19.28515625" style="472" bestFit="1" customWidth="1"/>
    <col min="65" max="65" width="20.28515625" style="472" customWidth="1"/>
    <col min="66" max="66" width="19.28515625" style="472" customWidth="1"/>
    <col min="67" max="67" width="18.85546875" style="519" customWidth="1"/>
    <col min="68" max="68" width="18.7109375" style="472" customWidth="1"/>
    <col min="69" max="69" width="23.7109375" style="472" customWidth="1"/>
    <col min="70" max="70" width="17.5703125" style="472" bestFit="1" customWidth="1"/>
    <col min="71" max="71" width="16" style="519" bestFit="1" customWidth="1"/>
    <col min="72" max="72" width="19.28515625" style="472" bestFit="1" customWidth="1"/>
    <col min="73" max="73" width="22.28515625" style="472" bestFit="1" customWidth="1"/>
    <col min="74" max="74" width="19.42578125" style="472" bestFit="1" customWidth="1"/>
    <col min="75" max="75" width="7.140625" style="519" customWidth="1"/>
    <col min="76" max="76" width="19.140625" style="472" customWidth="1"/>
    <col min="77" max="77" width="19.5703125" style="472" customWidth="1"/>
    <col min="78" max="78" width="20" style="472" customWidth="1"/>
    <col min="79" max="79" width="5.85546875" style="519" customWidth="1"/>
    <col min="80" max="80" width="19.85546875" style="472" customWidth="1"/>
    <col min="81" max="81" width="18.28515625" style="472" customWidth="1"/>
    <col min="82" max="82" width="21.28515625" style="472" customWidth="1"/>
    <col min="83" max="83" width="6.5703125" style="519" customWidth="1"/>
    <col min="84" max="84" width="18.28515625" style="472" customWidth="1"/>
    <col min="85" max="85" width="19.5703125" style="472" customWidth="1"/>
    <col min="86" max="86" width="20.5703125" style="472" customWidth="1"/>
    <col min="87" max="87" width="5.5703125" style="519" customWidth="1"/>
    <col min="88" max="89" width="20.5703125" style="472" customWidth="1"/>
    <col min="90" max="90" width="22" style="472" customWidth="1"/>
    <col min="91" max="91" width="4.140625" style="519" customWidth="1"/>
    <col min="92" max="92" width="19.7109375" style="472" customWidth="1"/>
    <col min="93" max="93" width="20.28515625" style="472" customWidth="1"/>
    <col min="94" max="94" width="21.42578125" style="472" customWidth="1"/>
    <col min="95" max="95" width="4.5703125" style="519" customWidth="1"/>
    <col min="96" max="96" width="22.28515625" style="472" customWidth="1"/>
    <col min="97" max="97" width="20.5703125" style="472" customWidth="1"/>
    <col min="98" max="98" width="26.42578125" style="472" customWidth="1"/>
    <col min="99" max="99" width="4" style="519" customWidth="1"/>
    <col min="100" max="100" width="23.28515625" style="472" customWidth="1"/>
    <col min="101" max="101" width="19.5703125" style="472" customWidth="1"/>
    <col min="102" max="102" width="26.42578125" style="472" customWidth="1"/>
    <col min="103" max="103" width="5.85546875" style="519" customWidth="1"/>
    <col min="104" max="104" width="25.5703125" style="472" customWidth="1"/>
    <col min="105" max="105" width="24" style="472" customWidth="1"/>
    <col min="106" max="106" width="23.42578125" style="472" customWidth="1"/>
    <col min="107" max="107" width="21.5703125" style="519" customWidth="1"/>
    <col min="108" max="109" width="20.28515625" style="472" bestFit="1" customWidth="1"/>
    <col min="110" max="110" width="24" style="472" customWidth="1"/>
    <col min="111" max="111" width="2.140625" style="519" customWidth="1"/>
    <col min="112" max="113" width="19.5703125" style="472" customWidth="1"/>
    <col min="114" max="114" width="19.140625" style="472" bestFit="1" customWidth="1"/>
    <col min="115" max="115" width="6.28515625" style="519" customWidth="1"/>
    <col min="116" max="116" width="20.5703125" style="472" customWidth="1"/>
    <col min="117" max="117" width="22.140625" style="472" bestFit="1" customWidth="1"/>
    <col min="118" max="118" width="20.28515625" style="472" bestFit="1" customWidth="1"/>
    <col min="119" max="119" width="5.42578125" style="519" customWidth="1"/>
    <col min="120" max="120" width="20.28515625" style="472" bestFit="1" customWidth="1"/>
    <col min="121" max="121" width="22.140625" style="472" bestFit="1" customWidth="1"/>
    <col min="122" max="122" width="20.5703125" style="472" customWidth="1"/>
    <col min="123" max="123" width="6.5703125" style="472" customWidth="1"/>
    <col min="124" max="126" width="20.5703125" style="472" customWidth="1"/>
    <col min="127" max="127" width="16.140625" style="472" customWidth="1"/>
    <col min="128" max="128" width="20" style="472" customWidth="1"/>
    <col min="129" max="130" width="20.5703125" style="472" customWidth="1"/>
    <col min="131" max="131" width="5.5703125" style="472" customWidth="1"/>
    <col min="132" max="134" width="20.5703125" style="472" customWidth="1"/>
    <col min="135" max="135" width="3.7109375" style="472" customWidth="1"/>
    <col min="136" max="138" width="20.5703125" style="472" customWidth="1"/>
    <col min="139" max="139" width="20" style="472" customWidth="1"/>
    <col min="140" max="142" width="21.7109375" style="472" customWidth="1"/>
    <col min="143" max="143" width="4.42578125" style="519" customWidth="1"/>
    <col min="144" max="146" width="23.7109375" style="519" customWidth="1"/>
    <col min="147" max="147" width="5.42578125" style="519" customWidth="1"/>
    <col min="148" max="150" width="23.7109375" style="519" customWidth="1"/>
    <col min="151" max="151" width="6.42578125" style="519" customWidth="1"/>
    <col min="152" max="152" width="23.7109375" style="519" customWidth="1"/>
    <col min="153" max="153" width="20.7109375" style="519" customWidth="1"/>
    <col min="154" max="154" width="23.7109375" style="519" customWidth="1"/>
    <col min="155" max="155" width="6.28515625" style="519" customWidth="1"/>
    <col min="156" max="158" width="23.7109375" style="519" customWidth="1"/>
    <col min="159" max="159" width="5.7109375" style="519" customWidth="1"/>
    <col min="160" max="162" width="23.7109375" style="519" customWidth="1"/>
    <col min="163" max="163" width="5.28515625" style="519" customWidth="1"/>
    <col min="164" max="166" width="20.7109375" style="519" customWidth="1"/>
    <col min="167" max="167" width="4.7109375" style="519" customWidth="1"/>
    <col min="168" max="170" width="20.7109375" style="519" customWidth="1"/>
    <col min="171" max="171" width="4.42578125" style="519" customWidth="1"/>
    <col min="172" max="174" width="20.7109375" style="519" customWidth="1"/>
    <col min="175" max="175" width="4.85546875" style="519" customWidth="1"/>
    <col min="176" max="178" width="20.7109375" style="519" customWidth="1"/>
    <col min="179" max="179" width="5.140625" style="519" customWidth="1"/>
    <col min="180" max="182" width="20.7109375" style="519" customWidth="1"/>
    <col min="183" max="183" width="5.7109375" style="519" customWidth="1"/>
    <col min="184" max="184" width="19.7109375" style="519" customWidth="1"/>
    <col min="185" max="185" width="17" style="519" customWidth="1"/>
    <col min="186" max="186" width="19.5703125" style="519" customWidth="1"/>
    <col min="187" max="187" width="5.7109375" style="519" customWidth="1"/>
    <col min="188" max="188" width="19.85546875" style="519" customWidth="1"/>
    <col min="189" max="189" width="17.28515625" style="519" customWidth="1"/>
    <col min="190" max="190" width="19.28515625" style="519" customWidth="1"/>
    <col min="191" max="191" width="5.7109375" style="519" customWidth="1"/>
    <col min="192" max="192" width="18.28515625" style="519" customWidth="1"/>
    <col min="193" max="193" width="15.28515625" style="519" customWidth="1"/>
    <col min="194" max="194" width="17.42578125" style="519" customWidth="1"/>
    <col min="195" max="195" width="5.7109375" style="519" customWidth="1"/>
    <col min="196" max="196" width="20" style="519" customWidth="1"/>
    <col min="197" max="197" width="17" style="519" customWidth="1"/>
    <col min="198" max="198" width="18.85546875" style="519" customWidth="1"/>
    <col min="199" max="199" width="5.7109375" style="519" customWidth="1"/>
    <col min="200" max="200" width="18" style="519" customWidth="1"/>
    <col min="201" max="201" width="18.85546875" style="519" customWidth="1"/>
    <col min="202" max="202" width="17.42578125" style="519" customWidth="1"/>
    <col min="203" max="203" width="5.7109375" style="519" customWidth="1"/>
    <col min="204" max="204" width="26" style="472" customWidth="1"/>
    <col min="205" max="205" width="21.5703125" style="472" customWidth="1"/>
    <col min="206" max="206" width="20.42578125" style="472" customWidth="1"/>
    <col min="207" max="207" width="5" style="519" customWidth="1"/>
    <col min="208" max="208" width="22.85546875" style="472" customWidth="1"/>
    <col min="209" max="209" width="22.7109375" style="472" customWidth="1"/>
    <col min="210" max="210" width="22.28515625" style="472" customWidth="1"/>
    <col min="211" max="211" width="20.5703125" style="472" customWidth="1"/>
    <col min="212" max="212" width="6.28515625" style="472" customWidth="1"/>
    <col min="213" max="213" width="22.5703125" style="472" customWidth="1"/>
    <col min="214" max="214" width="22.85546875" style="472" customWidth="1"/>
    <col min="215" max="215" width="20.85546875" style="472" customWidth="1"/>
    <col min="216" max="216" width="4.5703125" style="472" customWidth="1"/>
    <col min="217" max="217" width="24.42578125" style="472" customWidth="1"/>
    <col min="218" max="218" width="23.140625" style="472" customWidth="1"/>
    <col min="219" max="219" width="19.7109375" style="472" customWidth="1"/>
    <col min="220" max="220" width="17.42578125" style="472" customWidth="1"/>
    <col min="221" max="221" width="11.42578125" style="472" customWidth="1"/>
    <col min="222" max="222" width="19.7109375" style="472" customWidth="1"/>
    <col min="223" max="223" width="23.140625" style="472" customWidth="1"/>
    <col min="224" max="224" width="22.85546875" style="472" customWidth="1"/>
    <col min="225" max="225" width="6.140625" style="472" customWidth="1"/>
    <col min="226" max="226" width="19.42578125" style="472" customWidth="1"/>
    <col min="227" max="227" width="20" style="472" customWidth="1"/>
    <col min="228" max="228" width="19.140625" style="472" customWidth="1"/>
    <col min="229" max="229" width="21.28515625" style="472" customWidth="1"/>
    <col min="230" max="230" width="21.42578125" style="472" customWidth="1"/>
    <col min="231" max="231" width="15.42578125" style="472" customWidth="1"/>
    <col min="232" max="232" width="22.85546875" style="472" customWidth="1"/>
    <col min="233" max="233" width="20.5703125" style="472" customWidth="1"/>
    <col min="234" max="234" width="17.42578125" style="472" customWidth="1"/>
    <col min="235" max="235" width="21.42578125" style="472" customWidth="1"/>
    <col min="236" max="237" width="21" style="472" customWidth="1"/>
    <col min="238" max="238" width="18.28515625" style="472" customWidth="1"/>
    <col min="239" max="239" width="21.140625" style="472" customWidth="1"/>
    <col min="240" max="240" width="9.140625" style="472"/>
    <col min="241" max="241" width="9.28515625" style="472" bestFit="1" customWidth="1"/>
    <col min="242" max="242" width="20.42578125" style="472" customWidth="1"/>
    <col min="243" max="244" width="9.140625" style="472"/>
    <col min="245" max="247" width="16.85546875" style="472" bestFit="1" customWidth="1"/>
    <col min="248" max="248" width="9.140625" style="472"/>
    <col min="249" max="249" width="15.7109375" style="472" bestFit="1" customWidth="1"/>
    <col min="250" max="250" width="16.85546875" style="472" bestFit="1" customWidth="1"/>
    <col min="251" max="251" width="9.140625" style="472"/>
    <col min="252" max="252" width="19.85546875" style="472" bestFit="1" customWidth="1"/>
    <col min="253" max="253" width="18.7109375" style="472" bestFit="1" customWidth="1"/>
    <col min="254" max="16384" width="9.140625" style="472"/>
  </cols>
  <sheetData>
    <row r="1" spans="1:240" s="445" customFormat="1" x14ac:dyDescent="0.25">
      <c r="A1" s="569"/>
      <c r="B1" s="570"/>
      <c r="C1" s="570"/>
      <c r="D1" s="447" t="s">
        <v>411</v>
      </c>
      <c r="E1" s="447"/>
      <c r="F1" s="571"/>
      <c r="G1" s="571"/>
      <c r="H1" s="449" t="s">
        <v>412</v>
      </c>
      <c r="I1" s="449"/>
      <c r="J1" s="572"/>
      <c r="K1" s="571"/>
      <c r="L1" s="573" t="s">
        <v>413</v>
      </c>
      <c r="M1" s="573"/>
      <c r="N1" s="573"/>
      <c r="O1" s="571"/>
      <c r="P1" s="460" t="s">
        <v>414</v>
      </c>
      <c r="Q1" s="460"/>
      <c r="R1" s="460"/>
      <c r="S1" s="571"/>
      <c r="T1" s="460" t="s">
        <v>415</v>
      </c>
      <c r="U1" s="460"/>
      <c r="V1" s="460"/>
      <c r="W1" s="571"/>
      <c r="X1" s="460" t="s">
        <v>507</v>
      </c>
      <c r="Y1" s="460"/>
      <c r="Z1" s="460"/>
      <c r="AA1" s="571"/>
      <c r="AB1" s="460" t="s">
        <v>508</v>
      </c>
      <c r="AC1" s="460"/>
      <c r="AD1" s="460"/>
      <c r="AE1" s="571"/>
      <c r="AF1" s="574" t="s">
        <v>509</v>
      </c>
      <c r="AG1" s="574"/>
      <c r="AH1" s="574"/>
      <c r="AI1" s="571"/>
      <c r="AJ1" s="574" t="s">
        <v>533</v>
      </c>
      <c r="AK1" s="574"/>
      <c r="AL1" s="574"/>
      <c r="AM1" s="575"/>
      <c r="AN1" s="460" t="s">
        <v>511</v>
      </c>
      <c r="AO1" s="460"/>
      <c r="AP1" s="460"/>
      <c r="AQ1" s="571"/>
      <c r="AR1" s="460" t="s">
        <v>421</v>
      </c>
      <c r="AS1" s="460"/>
      <c r="AT1" s="460"/>
      <c r="AU1" s="571"/>
      <c r="AV1" s="574" t="s">
        <v>534</v>
      </c>
      <c r="AW1" s="574"/>
      <c r="AX1" s="574"/>
      <c r="AY1" s="571"/>
      <c r="AZ1" s="574" t="s">
        <v>535</v>
      </c>
      <c r="BA1" s="574"/>
      <c r="BB1" s="574"/>
      <c r="BC1" s="571"/>
      <c r="BD1" s="460" t="s">
        <v>536</v>
      </c>
      <c r="BE1" s="460"/>
      <c r="BF1" s="460"/>
      <c r="BG1" s="571"/>
      <c r="BH1" s="460" t="s">
        <v>425</v>
      </c>
      <c r="BI1" s="460"/>
      <c r="BJ1" s="460"/>
      <c r="BK1" s="571"/>
      <c r="BL1" s="460" t="s">
        <v>537</v>
      </c>
      <c r="BM1" s="460"/>
      <c r="BN1" s="460"/>
      <c r="BO1" s="571"/>
      <c r="BP1" s="460" t="s">
        <v>538</v>
      </c>
      <c r="BQ1" s="460"/>
      <c r="BR1" s="460"/>
      <c r="BS1" s="571"/>
      <c r="BT1" s="460" t="s">
        <v>539</v>
      </c>
      <c r="BU1" s="460"/>
      <c r="BV1" s="460"/>
      <c r="BW1" s="571"/>
      <c r="BX1" s="460" t="s">
        <v>540</v>
      </c>
      <c r="BY1" s="460"/>
      <c r="BZ1" s="460"/>
      <c r="CA1" s="571"/>
      <c r="CB1" s="537" t="s">
        <v>541</v>
      </c>
      <c r="CC1" s="537"/>
      <c r="CD1" s="537"/>
      <c r="CE1" s="571"/>
      <c r="CF1" s="460" t="s">
        <v>432</v>
      </c>
      <c r="CG1" s="460"/>
      <c r="CH1" s="460"/>
      <c r="CI1" s="571"/>
      <c r="CJ1" s="460" t="s">
        <v>433</v>
      </c>
      <c r="CK1" s="460"/>
      <c r="CL1" s="460"/>
      <c r="CM1" s="571"/>
      <c r="CN1" s="460" t="s">
        <v>434</v>
      </c>
      <c r="CO1" s="460"/>
      <c r="CP1" s="460"/>
      <c r="CQ1" s="571"/>
      <c r="CR1" s="537" t="s">
        <v>514</v>
      </c>
      <c r="CS1" s="537"/>
      <c r="CT1" s="537"/>
      <c r="CU1" s="571"/>
      <c r="CV1" s="464" t="s">
        <v>542</v>
      </c>
      <c r="CY1" s="571"/>
      <c r="CZ1" s="449" t="s">
        <v>436</v>
      </c>
      <c r="DA1" s="449"/>
      <c r="DB1" s="449"/>
      <c r="DC1" s="571"/>
      <c r="DD1" s="449" t="s">
        <v>437</v>
      </c>
      <c r="DE1" s="449"/>
      <c r="DF1" s="449"/>
      <c r="DG1" s="571"/>
      <c r="DH1" s="449" t="s">
        <v>438</v>
      </c>
      <c r="DI1" s="449"/>
      <c r="DJ1" s="449"/>
      <c r="DK1" s="571"/>
      <c r="DL1" s="453" t="s">
        <v>439</v>
      </c>
      <c r="DM1" s="453"/>
      <c r="DN1" s="453"/>
      <c r="DO1" s="571"/>
      <c r="DP1" s="460" t="s">
        <v>543</v>
      </c>
      <c r="DQ1" s="460"/>
      <c r="DR1" s="460"/>
      <c r="DS1" s="474"/>
      <c r="DT1" s="453" t="s">
        <v>441</v>
      </c>
      <c r="DU1" s="453"/>
      <c r="DV1" s="453"/>
      <c r="DW1" s="448"/>
      <c r="DX1" s="453" t="s">
        <v>442</v>
      </c>
      <c r="DY1" s="453"/>
      <c r="DZ1" s="453"/>
      <c r="EA1" s="454"/>
      <c r="EB1" s="453" t="s">
        <v>443</v>
      </c>
      <c r="EC1" s="453"/>
      <c r="ED1" s="453"/>
      <c r="EE1" s="448"/>
      <c r="EF1" s="453" t="s">
        <v>444</v>
      </c>
      <c r="EG1" s="453"/>
      <c r="EH1" s="453"/>
      <c r="EI1" s="448"/>
      <c r="EJ1" s="453" t="s">
        <v>445</v>
      </c>
      <c r="EK1" s="453"/>
      <c r="EL1" s="453"/>
      <c r="EM1" s="576"/>
      <c r="EN1" s="453" t="s">
        <v>446</v>
      </c>
      <c r="EO1" s="453"/>
      <c r="EP1" s="453"/>
      <c r="EQ1" s="448"/>
      <c r="ER1" s="453" t="s">
        <v>447</v>
      </c>
      <c r="ES1" s="453"/>
      <c r="ET1" s="453"/>
      <c r="EU1" s="454"/>
      <c r="EV1" s="453" t="s">
        <v>448</v>
      </c>
      <c r="EW1" s="453"/>
      <c r="EX1" s="453"/>
      <c r="EY1" s="448"/>
      <c r="EZ1" s="453" t="s">
        <v>449</v>
      </c>
      <c r="FA1" s="453"/>
      <c r="FB1" s="453"/>
      <c r="FC1" s="448"/>
      <c r="FD1" s="453" t="s">
        <v>450</v>
      </c>
      <c r="FE1" s="453"/>
      <c r="FF1" s="453"/>
      <c r="FG1" s="576"/>
      <c r="FH1" s="453" t="s">
        <v>451</v>
      </c>
      <c r="FI1" s="453"/>
      <c r="FJ1" s="453"/>
      <c r="FK1" s="448"/>
      <c r="FL1" s="453" t="s">
        <v>452</v>
      </c>
      <c r="FM1" s="453"/>
      <c r="FN1" s="453"/>
      <c r="FO1" s="454"/>
      <c r="FP1" s="453" t="s">
        <v>453</v>
      </c>
      <c r="FQ1" s="453"/>
      <c r="FR1" s="453"/>
      <c r="FS1" s="448"/>
      <c r="FT1" s="453" t="s">
        <v>454</v>
      </c>
      <c r="FU1" s="453"/>
      <c r="FV1" s="453"/>
      <c r="FW1" s="448"/>
      <c r="FX1" s="453" t="s">
        <v>455</v>
      </c>
      <c r="FY1" s="453"/>
      <c r="FZ1" s="453"/>
      <c r="GA1" s="635"/>
      <c r="GB1" s="453" t="s">
        <v>456</v>
      </c>
      <c r="GC1" s="453"/>
      <c r="GD1" s="453"/>
      <c r="GE1" s="454"/>
      <c r="GF1" s="453" t="s">
        <v>457</v>
      </c>
      <c r="GG1" s="453"/>
      <c r="GH1" s="453"/>
      <c r="GI1" s="454"/>
      <c r="GJ1" s="453" t="s">
        <v>458</v>
      </c>
      <c r="GK1" s="453"/>
      <c r="GL1" s="453"/>
      <c r="GM1" s="454"/>
      <c r="GN1" s="453" t="s">
        <v>459</v>
      </c>
      <c r="GO1" s="453"/>
      <c r="GP1" s="453"/>
      <c r="GQ1" s="454"/>
      <c r="GR1" s="453" t="s">
        <v>460</v>
      </c>
      <c r="GS1" s="453"/>
      <c r="GT1" s="453"/>
      <c r="GU1" s="635"/>
      <c r="GY1" s="576"/>
    </row>
    <row r="2" spans="1:240" s="445" customFormat="1" ht="63" x14ac:dyDescent="0.25">
      <c r="A2" s="575"/>
      <c r="B2" s="577"/>
      <c r="C2" s="577"/>
      <c r="D2" s="575" t="s">
        <v>54</v>
      </c>
      <c r="E2" s="575" t="s">
        <v>462</v>
      </c>
      <c r="F2" s="575"/>
      <c r="G2" s="575"/>
      <c r="H2" s="575" t="s">
        <v>54</v>
      </c>
      <c r="I2" s="575" t="s">
        <v>462</v>
      </c>
      <c r="J2" s="575" t="s">
        <v>56</v>
      </c>
      <c r="K2" s="575"/>
      <c r="L2" s="575" t="s">
        <v>54</v>
      </c>
      <c r="M2" s="575" t="s">
        <v>462</v>
      </c>
      <c r="N2" s="575" t="s">
        <v>56</v>
      </c>
      <c r="O2" s="575"/>
      <c r="P2" s="575" t="s">
        <v>54</v>
      </c>
      <c r="Q2" s="575" t="s">
        <v>462</v>
      </c>
      <c r="R2" s="575" t="s">
        <v>56</v>
      </c>
      <c r="S2" s="575"/>
      <c r="T2" s="575" t="s">
        <v>54</v>
      </c>
      <c r="U2" s="575" t="s">
        <v>462</v>
      </c>
      <c r="V2" s="575" t="s">
        <v>56</v>
      </c>
      <c r="W2" s="575"/>
      <c r="X2" s="575" t="s">
        <v>54</v>
      </c>
      <c r="Y2" s="575" t="s">
        <v>462</v>
      </c>
      <c r="Z2" s="575" t="s">
        <v>56</v>
      </c>
      <c r="AA2" s="575"/>
      <c r="AB2" s="575" t="s">
        <v>54</v>
      </c>
      <c r="AC2" s="575" t="s">
        <v>462</v>
      </c>
      <c r="AD2" s="575" t="s">
        <v>56</v>
      </c>
      <c r="AE2" s="575"/>
      <c r="AF2" s="575" t="s">
        <v>54</v>
      </c>
      <c r="AG2" s="575" t="s">
        <v>462</v>
      </c>
      <c r="AH2" s="575" t="s">
        <v>56</v>
      </c>
      <c r="AI2" s="575"/>
      <c r="AJ2" s="575" t="s">
        <v>54</v>
      </c>
      <c r="AK2" s="575" t="s">
        <v>462</v>
      </c>
      <c r="AL2" s="575" t="s">
        <v>56</v>
      </c>
      <c r="AM2" s="575"/>
      <c r="AN2" s="575" t="s">
        <v>54</v>
      </c>
      <c r="AO2" s="575" t="s">
        <v>462</v>
      </c>
      <c r="AP2" s="575" t="s">
        <v>56</v>
      </c>
      <c r="AQ2" s="575"/>
      <c r="AR2" s="575" t="s">
        <v>54</v>
      </c>
      <c r="AS2" s="575" t="s">
        <v>462</v>
      </c>
      <c r="AT2" s="575" t="s">
        <v>56</v>
      </c>
      <c r="AU2" s="575"/>
      <c r="AV2" s="575" t="s">
        <v>54</v>
      </c>
      <c r="AW2" s="575" t="s">
        <v>462</v>
      </c>
      <c r="AX2" s="575" t="s">
        <v>56</v>
      </c>
      <c r="AY2" s="575"/>
      <c r="AZ2" s="575" t="s">
        <v>54</v>
      </c>
      <c r="BA2" s="575" t="s">
        <v>462</v>
      </c>
      <c r="BB2" s="575" t="s">
        <v>56</v>
      </c>
      <c r="BC2" s="575"/>
      <c r="BD2" s="575" t="s">
        <v>54</v>
      </c>
      <c r="BE2" s="575" t="s">
        <v>462</v>
      </c>
      <c r="BF2" s="575" t="s">
        <v>56</v>
      </c>
      <c r="BG2" s="575"/>
      <c r="BH2" s="575" t="s">
        <v>54</v>
      </c>
      <c r="BI2" s="575" t="s">
        <v>462</v>
      </c>
      <c r="BJ2" s="575" t="s">
        <v>56</v>
      </c>
      <c r="BK2" s="575"/>
      <c r="BL2" s="575" t="s">
        <v>54</v>
      </c>
      <c r="BM2" s="575" t="s">
        <v>462</v>
      </c>
      <c r="BN2" s="575" t="s">
        <v>56</v>
      </c>
      <c r="BO2" s="575"/>
      <c r="BP2" s="575" t="s">
        <v>54</v>
      </c>
      <c r="BQ2" s="575" t="s">
        <v>462</v>
      </c>
      <c r="BR2" s="575" t="s">
        <v>56</v>
      </c>
      <c r="BS2" s="575"/>
      <c r="BT2" s="575" t="s">
        <v>54</v>
      </c>
      <c r="BU2" s="575" t="s">
        <v>462</v>
      </c>
      <c r="BV2" s="575" t="s">
        <v>56</v>
      </c>
      <c r="BW2" s="575"/>
      <c r="BX2" s="575" t="s">
        <v>54</v>
      </c>
      <c r="BY2" s="575" t="s">
        <v>462</v>
      </c>
      <c r="BZ2" s="575" t="s">
        <v>56</v>
      </c>
      <c r="CA2" s="575"/>
      <c r="CB2" s="575" t="s">
        <v>54</v>
      </c>
      <c r="CC2" s="575" t="s">
        <v>462</v>
      </c>
      <c r="CD2" s="575" t="s">
        <v>56</v>
      </c>
      <c r="CE2" s="575"/>
      <c r="CF2" s="575" t="s">
        <v>54</v>
      </c>
      <c r="CG2" s="575" t="s">
        <v>462</v>
      </c>
      <c r="CH2" s="575" t="s">
        <v>56</v>
      </c>
      <c r="CI2" s="575"/>
      <c r="CJ2" s="575" t="s">
        <v>54</v>
      </c>
      <c r="CK2" s="575" t="s">
        <v>462</v>
      </c>
      <c r="CL2" s="575" t="s">
        <v>56</v>
      </c>
      <c r="CM2" s="575"/>
      <c r="CN2" s="575" t="s">
        <v>54</v>
      </c>
      <c r="CO2" s="575" t="s">
        <v>462</v>
      </c>
      <c r="CP2" s="575" t="s">
        <v>56</v>
      </c>
      <c r="CQ2" s="575"/>
      <c r="CR2" s="530" t="s">
        <v>54</v>
      </c>
      <c r="CS2" s="530" t="s">
        <v>462</v>
      </c>
      <c r="CT2" s="530" t="s">
        <v>56</v>
      </c>
      <c r="CU2" s="575"/>
      <c r="CV2" s="575" t="s">
        <v>54</v>
      </c>
      <c r="CW2" s="575" t="s">
        <v>462</v>
      </c>
      <c r="CX2" s="575" t="s">
        <v>56</v>
      </c>
      <c r="CY2" s="575"/>
      <c r="CZ2" s="575" t="s">
        <v>54</v>
      </c>
      <c r="DA2" s="575" t="s">
        <v>462</v>
      </c>
      <c r="DB2" s="575" t="s">
        <v>56</v>
      </c>
      <c r="DC2" s="575"/>
      <c r="DD2" s="575" t="s">
        <v>54</v>
      </c>
      <c r="DE2" s="575" t="s">
        <v>462</v>
      </c>
      <c r="DF2" s="575" t="s">
        <v>56</v>
      </c>
      <c r="DG2" s="575"/>
      <c r="DH2" s="575" t="s">
        <v>54</v>
      </c>
      <c r="DI2" s="575" t="s">
        <v>462</v>
      </c>
      <c r="DJ2" s="575" t="s">
        <v>56</v>
      </c>
      <c r="DK2" s="575"/>
      <c r="DL2" s="530" t="s">
        <v>54</v>
      </c>
      <c r="DM2" s="530" t="s">
        <v>462</v>
      </c>
      <c r="DN2" s="530" t="s">
        <v>56</v>
      </c>
      <c r="DO2" s="575"/>
      <c r="DP2" s="530" t="s">
        <v>54</v>
      </c>
      <c r="DQ2" s="530" t="s">
        <v>462</v>
      </c>
      <c r="DR2" s="530" t="s">
        <v>56</v>
      </c>
      <c r="DT2" s="457" t="s">
        <v>54</v>
      </c>
      <c r="DU2" s="457" t="s">
        <v>462</v>
      </c>
      <c r="DV2" s="457" t="s">
        <v>56</v>
      </c>
      <c r="DW2" s="458"/>
      <c r="DX2" s="457" t="s">
        <v>54</v>
      </c>
      <c r="DY2" s="457" t="s">
        <v>462</v>
      </c>
      <c r="DZ2" s="457" t="s">
        <v>56</v>
      </c>
      <c r="EA2" s="457"/>
      <c r="EB2" s="457" t="s">
        <v>54</v>
      </c>
      <c r="EC2" s="457" t="s">
        <v>462</v>
      </c>
      <c r="ED2" s="457" t="s">
        <v>56</v>
      </c>
      <c r="EE2" s="458"/>
      <c r="EF2" s="457" t="s">
        <v>54</v>
      </c>
      <c r="EG2" s="457" t="s">
        <v>462</v>
      </c>
      <c r="EH2" s="457" t="s">
        <v>56</v>
      </c>
      <c r="EI2" s="458"/>
      <c r="EJ2" s="457" t="s">
        <v>54</v>
      </c>
      <c r="EK2" s="457" t="s">
        <v>462</v>
      </c>
      <c r="EL2" s="457" t="s">
        <v>56</v>
      </c>
      <c r="EN2" s="457" t="s">
        <v>54</v>
      </c>
      <c r="EO2" s="457" t="s">
        <v>462</v>
      </c>
      <c r="EP2" s="457" t="s">
        <v>56</v>
      </c>
      <c r="ER2" s="457" t="s">
        <v>54</v>
      </c>
      <c r="ES2" s="457" t="s">
        <v>462</v>
      </c>
      <c r="ET2" s="457" t="s">
        <v>56</v>
      </c>
      <c r="EV2" s="457" t="s">
        <v>54</v>
      </c>
      <c r="EW2" s="457" t="s">
        <v>462</v>
      </c>
      <c r="EX2" s="457" t="s">
        <v>56</v>
      </c>
      <c r="EZ2" s="457" t="s">
        <v>54</v>
      </c>
      <c r="FA2" s="457" t="s">
        <v>462</v>
      </c>
      <c r="FB2" s="457" t="s">
        <v>56</v>
      </c>
      <c r="FD2" s="457" t="s">
        <v>54</v>
      </c>
      <c r="FE2" s="457" t="s">
        <v>462</v>
      </c>
      <c r="FF2" s="457" t="s">
        <v>56</v>
      </c>
      <c r="FH2" s="457" t="s">
        <v>54</v>
      </c>
      <c r="FI2" s="457" t="s">
        <v>462</v>
      </c>
      <c r="FJ2" s="457" t="s">
        <v>56</v>
      </c>
      <c r="FL2" s="457" t="s">
        <v>54</v>
      </c>
      <c r="FM2" s="457" t="s">
        <v>462</v>
      </c>
      <c r="FN2" s="457" t="s">
        <v>56</v>
      </c>
      <c r="FP2" s="457" t="s">
        <v>54</v>
      </c>
      <c r="FQ2" s="457" t="s">
        <v>462</v>
      </c>
      <c r="FR2" s="457" t="s">
        <v>56</v>
      </c>
      <c r="FT2" s="457" t="s">
        <v>54</v>
      </c>
      <c r="FU2" s="457" t="s">
        <v>462</v>
      </c>
      <c r="FV2" s="457" t="s">
        <v>56</v>
      </c>
      <c r="FX2" s="457" t="s">
        <v>54</v>
      </c>
      <c r="FY2" s="457" t="s">
        <v>462</v>
      </c>
      <c r="FZ2" s="457" t="s">
        <v>56</v>
      </c>
      <c r="GA2" s="527"/>
      <c r="GB2" s="457" t="s">
        <v>54</v>
      </c>
      <c r="GC2" s="457" t="s">
        <v>462</v>
      </c>
      <c r="GD2" s="457" t="s">
        <v>56</v>
      </c>
      <c r="GE2" s="527"/>
      <c r="GF2" s="457" t="s">
        <v>54</v>
      </c>
      <c r="GG2" s="457" t="s">
        <v>462</v>
      </c>
      <c r="GH2" s="457" t="s">
        <v>56</v>
      </c>
      <c r="GI2" s="527"/>
      <c r="GJ2" s="457" t="s">
        <v>54</v>
      </c>
      <c r="GK2" s="457" t="s">
        <v>462</v>
      </c>
      <c r="GL2" s="457" t="s">
        <v>56</v>
      </c>
      <c r="GM2" s="527"/>
      <c r="GN2" s="457" t="s">
        <v>54</v>
      </c>
      <c r="GO2" s="457" t="s">
        <v>462</v>
      </c>
      <c r="GP2" s="457" t="s">
        <v>56</v>
      </c>
      <c r="GQ2" s="527"/>
      <c r="GR2" s="457" t="s">
        <v>54</v>
      </c>
      <c r="GS2" s="457" t="s">
        <v>462</v>
      </c>
      <c r="GT2" s="457" t="s">
        <v>56</v>
      </c>
      <c r="GU2" s="527"/>
      <c r="GV2" s="530" t="s">
        <v>544</v>
      </c>
      <c r="GW2" s="530" t="s">
        <v>464</v>
      </c>
      <c r="GX2" s="530" t="s">
        <v>465</v>
      </c>
      <c r="HA2" s="578" t="s">
        <v>659</v>
      </c>
      <c r="HB2" s="579"/>
      <c r="HC2" s="580"/>
      <c r="HE2" s="460" t="s">
        <v>658</v>
      </c>
      <c r="HF2" s="460"/>
      <c r="HG2" s="460"/>
      <c r="HH2" s="459"/>
      <c r="HI2" s="460" t="s">
        <v>468</v>
      </c>
      <c r="HJ2" s="460"/>
      <c r="HK2" s="460"/>
      <c r="HN2" s="460" t="s">
        <v>657</v>
      </c>
      <c r="HO2" s="460"/>
      <c r="HP2" s="460"/>
      <c r="HR2" s="459"/>
      <c r="HT2" s="460" t="s">
        <v>656</v>
      </c>
      <c r="HU2" s="460"/>
      <c r="HV2" s="460"/>
      <c r="HX2" s="446" t="s">
        <v>520</v>
      </c>
      <c r="HY2" s="446" t="s">
        <v>521</v>
      </c>
    </row>
    <row r="3" spans="1:240" s="464" customFormat="1" x14ac:dyDescent="0.25">
      <c r="A3" s="461"/>
      <c r="B3" s="581" t="s">
        <v>300</v>
      </c>
      <c r="C3" s="581"/>
      <c r="D3" s="461" t="s">
        <v>471</v>
      </c>
      <c r="E3" s="461" t="s">
        <v>471</v>
      </c>
      <c r="F3" s="461"/>
      <c r="G3" s="461"/>
      <c r="H3" s="461" t="s">
        <v>471</v>
      </c>
      <c r="I3" s="461" t="s">
        <v>471</v>
      </c>
      <c r="J3" s="461" t="s">
        <v>471</v>
      </c>
      <c r="K3" s="461"/>
      <c r="L3" s="461" t="s">
        <v>471</v>
      </c>
      <c r="M3" s="461" t="s">
        <v>471</v>
      </c>
      <c r="N3" s="461" t="s">
        <v>471</v>
      </c>
      <c r="O3" s="461"/>
      <c r="P3" s="461" t="s">
        <v>471</v>
      </c>
      <c r="Q3" s="461" t="s">
        <v>471</v>
      </c>
      <c r="R3" s="461" t="s">
        <v>471</v>
      </c>
      <c r="S3" s="461"/>
      <c r="T3" s="461" t="s">
        <v>471</v>
      </c>
      <c r="U3" s="461"/>
      <c r="V3" s="461" t="s">
        <v>471</v>
      </c>
      <c r="W3" s="461"/>
      <c r="X3" s="461" t="s">
        <v>471</v>
      </c>
      <c r="Y3" s="461" t="s">
        <v>471</v>
      </c>
      <c r="Z3" s="461" t="s">
        <v>471</v>
      </c>
      <c r="AA3" s="461"/>
      <c r="AB3" s="461"/>
      <c r="AC3" s="461" t="s">
        <v>471</v>
      </c>
      <c r="AD3" s="461" t="s">
        <v>471</v>
      </c>
      <c r="AE3" s="461"/>
      <c r="AF3" s="461" t="s">
        <v>471</v>
      </c>
      <c r="AG3" s="461" t="s">
        <v>471</v>
      </c>
      <c r="AH3" s="461" t="s">
        <v>471</v>
      </c>
      <c r="AI3" s="461"/>
      <c r="AJ3" s="461" t="s">
        <v>471</v>
      </c>
      <c r="AK3" s="461" t="s">
        <v>471</v>
      </c>
      <c r="AL3" s="461" t="s">
        <v>471</v>
      </c>
      <c r="AM3" s="461"/>
      <c r="AN3" s="461" t="s">
        <v>471</v>
      </c>
      <c r="AO3" s="461" t="s">
        <v>471</v>
      </c>
      <c r="AP3" s="461" t="s">
        <v>471</v>
      </c>
      <c r="AQ3" s="461"/>
      <c r="AR3" s="461" t="s">
        <v>471</v>
      </c>
      <c r="AS3" s="461" t="s">
        <v>471</v>
      </c>
      <c r="AT3" s="461" t="s">
        <v>471</v>
      </c>
      <c r="AU3" s="461"/>
      <c r="AV3" s="461" t="s">
        <v>471</v>
      </c>
      <c r="AW3" s="461" t="s">
        <v>471</v>
      </c>
      <c r="AX3" s="461" t="s">
        <v>471</v>
      </c>
      <c r="AY3" s="461"/>
      <c r="AZ3" s="461" t="s">
        <v>471</v>
      </c>
      <c r="BA3" s="461" t="s">
        <v>471</v>
      </c>
      <c r="BB3" s="461" t="s">
        <v>471</v>
      </c>
      <c r="BC3" s="461"/>
      <c r="BD3" s="461" t="s">
        <v>471</v>
      </c>
      <c r="BE3" s="461" t="s">
        <v>471</v>
      </c>
      <c r="BF3" s="461" t="s">
        <v>471</v>
      </c>
      <c r="BG3" s="461"/>
      <c r="BH3" s="461" t="s">
        <v>471</v>
      </c>
      <c r="BI3" s="461" t="s">
        <v>471</v>
      </c>
      <c r="BJ3" s="461" t="s">
        <v>471</v>
      </c>
      <c r="BK3" s="461"/>
      <c r="BL3" s="461" t="s">
        <v>471</v>
      </c>
      <c r="BM3" s="461" t="s">
        <v>471</v>
      </c>
      <c r="BN3" s="461" t="s">
        <v>471</v>
      </c>
      <c r="BO3" s="461"/>
      <c r="BP3" s="461" t="s">
        <v>471</v>
      </c>
      <c r="BQ3" s="461" t="s">
        <v>471</v>
      </c>
      <c r="BR3" s="461" t="s">
        <v>471</v>
      </c>
      <c r="BS3" s="461"/>
      <c r="BT3" s="461" t="s">
        <v>471</v>
      </c>
      <c r="BU3" s="461" t="s">
        <v>471</v>
      </c>
      <c r="BV3" s="461" t="s">
        <v>471</v>
      </c>
      <c r="BW3" s="461"/>
      <c r="BX3" s="461" t="s">
        <v>471</v>
      </c>
      <c r="BY3" s="461" t="s">
        <v>471</v>
      </c>
      <c r="BZ3" s="461" t="s">
        <v>471</v>
      </c>
      <c r="CA3" s="461"/>
      <c r="CB3" s="461" t="s">
        <v>471</v>
      </c>
      <c r="CC3" s="461" t="s">
        <v>471</v>
      </c>
      <c r="CD3" s="461" t="s">
        <v>471</v>
      </c>
      <c r="CE3" s="461"/>
      <c r="CF3" s="461" t="s">
        <v>471</v>
      </c>
      <c r="CG3" s="461" t="s">
        <v>471</v>
      </c>
      <c r="CH3" s="461" t="s">
        <v>471</v>
      </c>
      <c r="CI3" s="461"/>
      <c r="CJ3" s="461" t="s">
        <v>471</v>
      </c>
      <c r="CK3" s="461" t="s">
        <v>471</v>
      </c>
      <c r="CL3" s="461" t="s">
        <v>471</v>
      </c>
      <c r="CM3" s="461"/>
      <c r="CN3" s="461" t="s">
        <v>471</v>
      </c>
      <c r="CO3" s="461" t="s">
        <v>471</v>
      </c>
      <c r="CP3" s="461" t="s">
        <v>471</v>
      </c>
      <c r="CQ3" s="461"/>
      <c r="CR3" s="107" t="s">
        <v>471</v>
      </c>
      <c r="CS3" s="107" t="s">
        <v>471</v>
      </c>
      <c r="CT3" s="107" t="s">
        <v>471</v>
      </c>
      <c r="CU3" s="461"/>
      <c r="CV3" s="461" t="s">
        <v>471</v>
      </c>
      <c r="CW3" s="461" t="s">
        <v>471</v>
      </c>
      <c r="CX3" s="461" t="s">
        <v>471</v>
      </c>
      <c r="CY3" s="461"/>
      <c r="CZ3" s="461" t="s">
        <v>471</v>
      </c>
      <c r="DA3" s="461" t="s">
        <v>471</v>
      </c>
      <c r="DB3" s="461" t="s">
        <v>471</v>
      </c>
      <c r="DC3" s="461"/>
      <c r="DD3" s="461" t="s">
        <v>471</v>
      </c>
      <c r="DE3" s="461" t="s">
        <v>471</v>
      </c>
      <c r="DF3" s="461" t="s">
        <v>471</v>
      </c>
      <c r="DG3" s="461"/>
      <c r="DH3" s="461" t="s">
        <v>471</v>
      </c>
      <c r="DI3" s="461" t="s">
        <v>471</v>
      </c>
      <c r="DJ3" s="461" t="s">
        <v>471</v>
      </c>
      <c r="DK3" s="461"/>
      <c r="DL3" s="107" t="s">
        <v>471</v>
      </c>
      <c r="DM3" s="107" t="s">
        <v>471</v>
      </c>
      <c r="DN3" s="107" t="s">
        <v>471</v>
      </c>
      <c r="DO3" s="461"/>
      <c r="DP3" s="107" t="s">
        <v>471</v>
      </c>
      <c r="DQ3" s="107" t="s">
        <v>471</v>
      </c>
      <c r="DR3" s="107" t="s">
        <v>471</v>
      </c>
      <c r="DT3" s="282" t="s">
        <v>471</v>
      </c>
      <c r="DU3" s="282" t="s">
        <v>471</v>
      </c>
      <c r="DV3" s="282" t="s">
        <v>471</v>
      </c>
      <c r="DW3" s="462"/>
      <c r="DX3" s="282" t="s">
        <v>471</v>
      </c>
      <c r="DY3" s="282" t="s">
        <v>471</v>
      </c>
      <c r="DZ3" s="282" t="s">
        <v>471</v>
      </c>
      <c r="EA3" s="454"/>
      <c r="EB3" s="282" t="s">
        <v>471</v>
      </c>
      <c r="EC3" s="282" t="s">
        <v>471</v>
      </c>
      <c r="ED3" s="282" t="s">
        <v>471</v>
      </c>
      <c r="EE3" s="462"/>
      <c r="EF3" s="282" t="s">
        <v>471</v>
      </c>
      <c r="EG3" s="282" t="s">
        <v>471</v>
      </c>
      <c r="EH3" s="282" t="s">
        <v>471</v>
      </c>
      <c r="EI3" s="462"/>
      <c r="EJ3" s="282" t="s">
        <v>471</v>
      </c>
      <c r="EK3" s="282" t="s">
        <v>471</v>
      </c>
      <c r="EL3" s="282" t="s">
        <v>471</v>
      </c>
      <c r="EN3" s="282" t="s">
        <v>471</v>
      </c>
      <c r="EO3" s="282" t="s">
        <v>471</v>
      </c>
      <c r="EP3" s="282" t="s">
        <v>471</v>
      </c>
      <c r="EQ3" s="282"/>
      <c r="ER3" s="282" t="s">
        <v>471</v>
      </c>
      <c r="ES3" s="282" t="s">
        <v>471</v>
      </c>
      <c r="ET3" s="282" t="s">
        <v>471</v>
      </c>
      <c r="EU3" s="282"/>
      <c r="EV3" s="282" t="s">
        <v>471</v>
      </c>
      <c r="EW3" s="282" t="s">
        <v>471</v>
      </c>
      <c r="EX3" s="282" t="s">
        <v>471</v>
      </c>
      <c r="EY3" s="282"/>
      <c r="EZ3" s="282" t="s">
        <v>471</v>
      </c>
      <c r="FA3" s="282" t="s">
        <v>471</v>
      </c>
      <c r="FB3" s="282" t="s">
        <v>471</v>
      </c>
      <c r="FC3" s="282"/>
      <c r="FD3" s="282" t="s">
        <v>471</v>
      </c>
      <c r="FE3" s="282" t="s">
        <v>471</v>
      </c>
      <c r="FF3" s="282" t="s">
        <v>471</v>
      </c>
      <c r="FG3" s="282"/>
      <c r="FH3" s="636"/>
      <c r="FI3" s="636"/>
      <c r="FJ3" s="636"/>
      <c r="FK3" s="636"/>
      <c r="FL3" s="636"/>
      <c r="FM3" s="636"/>
      <c r="FN3" s="636"/>
      <c r="FO3" s="636"/>
      <c r="FP3" s="636"/>
      <c r="FQ3" s="636"/>
      <c r="FR3" s="636"/>
      <c r="FS3" s="636"/>
      <c r="FT3" s="636"/>
      <c r="FU3" s="636"/>
      <c r="FV3" s="636"/>
      <c r="FW3" s="636"/>
      <c r="FX3" s="636"/>
      <c r="FY3" s="636"/>
      <c r="FZ3" s="636"/>
      <c r="GA3" s="636"/>
      <c r="GB3" s="636"/>
      <c r="GC3" s="636"/>
      <c r="GD3" s="636"/>
      <c r="GE3" s="636"/>
      <c r="GF3" s="636"/>
      <c r="GG3" s="636"/>
      <c r="GH3" s="636"/>
      <c r="GI3" s="636"/>
      <c r="GJ3" s="636"/>
      <c r="GK3" s="636"/>
      <c r="GL3" s="636"/>
      <c r="GM3" s="636"/>
      <c r="GN3" s="636"/>
      <c r="GO3" s="636"/>
      <c r="GP3" s="636"/>
      <c r="GQ3" s="636"/>
      <c r="GR3" s="636"/>
      <c r="GS3" s="636"/>
      <c r="GT3" s="636"/>
      <c r="GU3" s="636"/>
      <c r="GV3" s="583" t="s">
        <v>471</v>
      </c>
      <c r="GW3" s="584" t="s">
        <v>471</v>
      </c>
      <c r="GX3" s="461" t="s">
        <v>471</v>
      </c>
      <c r="HA3" s="282" t="s">
        <v>54</v>
      </c>
      <c r="HB3" s="282" t="s">
        <v>462</v>
      </c>
      <c r="HC3" s="282" t="s">
        <v>56</v>
      </c>
      <c r="HE3" s="282" t="s">
        <v>54</v>
      </c>
      <c r="HF3" s="282" t="s">
        <v>462</v>
      </c>
      <c r="HG3" s="282" t="s">
        <v>56</v>
      </c>
      <c r="HI3" s="282" t="s">
        <v>54</v>
      </c>
      <c r="HJ3" s="282" t="s">
        <v>462</v>
      </c>
      <c r="HK3" s="282" t="s">
        <v>56</v>
      </c>
      <c r="HN3" s="282" t="s">
        <v>54</v>
      </c>
      <c r="HO3" s="282" t="s">
        <v>462</v>
      </c>
      <c r="HP3" s="282" t="s">
        <v>56</v>
      </c>
      <c r="HR3" s="454"/>
      <c r="HT3" s="282" t="s">
        <v>54</v>
      </c>
      <c r="HU3" s="282" t="s">
        <v>462</v>
      </c>
      <c r="HV3" s="282" t="s">
        <v>56</v>
      </c>
      <c r="HX3" s="464" t="s">
        <v>472</v>
      </c>
      <c r="HY3" s="464" t="s">
        <v>473</v>
      </c>
    </row>
    <row r="4" spans="1:240" x14ac:dyDescent="0.25">
      <c r="A4" s="107">
        <v>1</v>
      </c>
      <c r="B4" s="107" t="s">
        <v>545</v>
      </c>
      <c r="C4" s="634" t="s">
        <v>74</v>
      </c>
      <c r="D4" s="488">
        <v>1000000</v>
      </c>
      <c r="E4" s="488">
        <v>1000000</v>
      </c>
      <c r="F4" s="475">
        <f>D4-E4</f>
        <v>0</v>
      </c>
      <c r="G4" s="488"/>
      <c r="H4" s="463">
        <v>15000000</v>
      </c>
      <c r="I4" s="463">
        <v>15000000</v>
      </c>
      <c r="J4" s="463">
        <f>H4-I4</f>
        <v>0</v>
      </c>
      <c r="K4" s="488"/>
      <c r="L4" s="463">
        <v>15000000</v>
      </c>
      <c r="M4" s="463">
        <v>15000000</v>
      </c>
      <c r="N4" s="543">
        <f>L4-M4</f>
        <v>0</v>
      </c>
      <c r="O4" s="488"/>
      <c r="P4" s="543">
        <v>0</v>
      </c>
      <c r="Q4" s="543">
        <v>0</v>
      </c>
      <c r="R4" s="543">
        <f>P4-Q4</f>
        <v>0</v>
      </c>
      <c r="S4" s="488"/>
      <c r="T4" s="543">
        <v>0</v>
      </c>
      <c r="U4" s="543">
        <v>0</v>
      </c>
      <c r="V4" s="543">
        <f>T4-U4</f>
        <v>0</v>
      </c>
      <c r="W4" s="488"/>
      <c r="X4" s="543">
        <v>20000000</v>
      </c>
      <c r="Y4" s="543">
        <v>20000000</v>
      </c>
      <c r="Z4" s="543">
        <f>X4-Y4</f>
        <v>0</v>
      </c>
      <c r="AA4" s="488"/>
      <c r="AB4" s="543">
        <v>0</v>
      </c>
      <c r="AC4" s="543">
        <v>0</v>
      </c>
      <c r="AD4" s="543">
        <f>AB4-AC4</f>
        <v>0</v>
      </c>
      <c r="AE4" s="488"/>
      <c r="AF4" s="543">
        <v>0</v>
      </c>
      <c r="AG4" s="543">
        <v>0</v>
      </c>
      <c r="AH4" s="543">
        <f>AF4-AG4</f>
        <v>0</v>
      </c>
      <c r="AI4" s="488"/>
      <c r="AJ4" s="543">
        <v>7500000</v>
      </c>
      <c r="AK4" s="543">
        <v>7500000</v>
      </c>
      <c r="AL4" s="543">
        <f>AJ4-AK4</f>
        <v>0</v>
      </c>
      <c r="AM4" s="543"/>
      <c r="AN4" s="544">
        <v>30000000</v>
      </c>
      <c r="AO4" s="543">
        <v>30000000</v>
      </c>
      <c r="AP4" s="543">
        <f>AN4-AO4</f>
        <v>0</v>
      </c>
      <c r="AQ4" s="488"/>
      <c r="AR4" s="544">
        <v>3000000</v>
      </c>
      <c r="AS4" s="543">
        <v>0</v>
      </c>
      <c r="AT4" s="543">
        <f>AR4-AS4</f>
        <v>3000000</v>
      </c>
      <c r="AU4" s="488"/>
      <c r="AV4" s="544">
        <v>2000000</v>
      </c>
      <c r="AW4" s="543">
        <v>0</v>
      </c>
      <c r="AX4" s="543">
        <f>AV4-AW4</f>
        <v>2000000</v>
      </c>
      <c r="AY4" s="488"/>
      <c r="AZ4" s="468">
        <v>10000000</v>
      </c>
      <c r="BA4" s="585">
        <v>10000000</v>
      </c>
      <c r="BB4" s="543">
        <f>AZ4-BA4</f>
        <v>0</v>
      </c>
      <c r="BC4" s="488"/>
      <c r="BD4" s="468">
        <v>0</v>
      </c>
      <c r="BE4" s="586">
        <v>0</v>
      </c>
      <c r="BF4" s="543">
        <f>BD4-BE4</f>
        <v>0</v>
      </c>
      <c r="BG4" s="488"/>
      <c r="BH4" s="468">
        <v>55000000</v>
      </c>
      <c r="BI4" s="468">
        <v>55000000</v>
      </c>
      <c r="BJ4" s="543">
        <f>BH4-BI4</f>
        <v>0</v>
      </c>
      <c r="BK4" s="488"/>
      <c r="BL4" s="468">
        <v>5000000</v>
      </c>
      <c r="BM4" s="468">
        <v>0</v>
      </c>
      <c r="BN4" s="543">
        <f>BL4-BM4</f>
        <v>5000000</v>
      </c>
      <c r="BO4" s="488"/>
      <c r="BP4" s="468">
        <v>5000000</v>
      </c>
      <c r="BQ4" s="468">
        <v>0</v>
      </c>
      <c r="BR4" s="543">
        <f>BP4-BQ4</f>
        <v>5000000</v>
      </c>
      <c r="BS4" s="488"/>
      <c r="BT4" s="468">
        <v>15000000</v>
      </c>
      <c r="BU4" s="468">
        <v>15000000</v>
      </c>
      <c r="BV4" s="543">
        <f>BT4-BU4</f>
        <v>0</v>
      </c>
      <c r="BW4" s="488"/>
      <c r="BX4" s="468">
        <v>1000000</v>
      </c>
      <c r="BY4" s="465">
        <v>0</v>
      </c>
      <c r="BZ4" s="543">
        <f>BX4-BY4</f>
        <v>1000000</v>
      </c>
      <c r="CA4" s="488"/>
      <c r="CB4" s="468">
        <v>80000000</v>
      </c>
      <c r="CC4" s="465">
        <v>80000000</v>
      </c>
      <c r="CD4" s="543">
        <f>CB4-CC4</f>
        <v>0</v>
      </c>
      <c r="CE4" s="488"/>
      <c r="CF4" s="468">
        <v>10000000</v>
      </c>
      <c r="CG4" s="468">
        <v>0</v>
      </c>
      <c r="CH4" s="543">
        <f>CF4-CG4</f>
        <v>10000000</v>
      </c>
      <c r="CI4" s="488"/>
      <c r="CJ4" s="468">
        <v>10000000</v>
      </c>
      <c r="CK4" s="468">
        <v>0</v>
      </c>
      <c r="CL4" s="543">
        <f>CJ4-CK4</f>
        <v>10000000</v>
      </c>
      <c r="CM4" s="488"/>
      <c r="CN4" s="468">
        <v>30000000</v>
      </c>
      <c r="CO4" s="468">
        <v>30000000</v>
      </c>
      <c r="CP4" s="543">
        <f>CN4-CO4</f>
        <v>0</v>
      </c>
      <c r="CR4" s="465">
        <v>5000000</v>
      </c>
      <c r="CS4" s="468">
        <v>0</v>
      </c>
      <c r="CT4" s="465">
        <f>CR4-CS4</f>
        <v>5000000</v>
      </c>
      <c r="CU4" s="461"/>
      <c r="CV4" s="525">
        <v>80000000</v>
      </c>
      <c r="CW4" s="465">
        <f>83365663-3365663</f>
        <v>80000000</v>
      </c>
      <c r="CX4" s="543">
        <f>CV4-CW4</f>
        <v>0</v>
      </c>
      <c r="CY4" s="471"/>
      <c r="CZ4" s="468">
        <v>20000000</v>
      </c>
      <c r="DA4" s="468">
        <v>2343600</v>
      </c>
      <c r="DB4" s="543">
        <f>CZ4-DA4</f>
        <v>17656400</v>
      </c>
      <c r="DC4" s="471"/>
      <c r="DD4" s="468">
        <v>20000000</v>
      </c>
      <c r="DE4" s="468">
        <v>0</v>
      </c>
      <c r="DF4" s="543">
        <f>DD4-DE4</f>
        <v>20000000</v>
      </c>
      <c r="DG4" s="488"/>
      <c r="DH4" s="468">
        <v>50000000</v>
      </c>
      <c r="DI4" s="468">
        <f>33145926+1656650+15197424</f>
        <v>50000000</v>
      </c>
      <c r="DJ4" s="543">
        <f>DH4-DI4</f>
        <v>0</v>
      </c>
      <c r="DK4" s="461"/>
      <c r="DL4" s="465">
        <v>6000000</v>
      </c>
      <c r="DM4" s="468">
        <v>0</v>
      </c>
      <c r="DN4" s="465">
        <f>DL4-DM4</f>
        <v>6000000</v>
      </c>
      <c r="DO4" s="488"/>
      <c r="DP4" s="471">
        <v>0</v>
      </c>
      <c r="DQ4" s="471">
        <v>0</v>
      </c>
      <c r="DR4" s="471">
        <f>DP4-DQ4</f>
        <v>0</v>
      </c>
      <c r="DT4" s="471">
        <v>60000000</v>
      </c>
      <c r="DU4" s="471">
        <f>31547179.28+28452820.72</f>
        <v>60000000</v>
      </c>
      <c r="DV4" s="471">
        <f>DT4-DU4</f>
        <v>0</v>
      </c>
      <c r="DX4" s="471">
        <v>10000000</v>
      </c>
      <c r="DY4" s="471">
        <v>0</v>
      </c>
      <c r="DZ4" s="471">
        <f>DX4-DY4</f>
        <v>10000000</v>
      </c>
      <c r="EB4" s="471">
        <v>10000000</v>
      </c>
      <c r="EC4" s="471">
        <v>0</v>
      </c>
      <c r="ED4" s="471">
        <f>EB4-EC4</f>
        <v>10000000</v>
      </c>
      <c r="EF4" s="471">
        <v>20000000</v>
      </c>
      <c r="EG4" s="471">
        <f>1024120+1265640+9229155+6386401+1343534+751150</f>
        <v>20000000</v>
      </c>
      <c r="EH4" s="471">
        <f>EF4-EG4</f>
        <v>0</v>
      </c>
      <c r="EJ4" s="471">
        <v>3000000</v>
      </c>
      <c r="EK4" s="471">
        <v>0</v>
      </c>
      <c r="EL4" s="471">
        <f>EJ4-EK4</f>
        <v>3000000</v>
      </c>
      <c r="EM4" s="634"/>
      <c r="EN4" s="465">
        <v>200000000</v>
      </c>
      <c r="EO4" s="465">
        <f>40506436.48+6000000+29700000+39453521.25+58322250+3365663</f>
        <v>177347870.72999999</v>
      </c>
      <c r="EP4" s="465">
        <f>EN4-EO4</f>
        <v>22652129.270000011</v>
      </c>
      <c r="EQ4" s="465"/>
      <c r="ER4" s="465">
        <v>10000000</v>
      </c>
      <c r="ES4" s="465">
        <v>0</v>
      </c>
      <c r="ET4" s="465">
        <f>ER4-ES4</f>
        <v>10000000</v>
      </c>
      <c r="EU4" s="465"/>
      <c r="EV4" s="465">
        <v>10000000</v>
      </c>
      <c r="EW4" s="465">
        <v>0</v>
      </c>
      <c r="EX4" s="465">
        <f>EV4-EW4</f>
        <v>10000000</v>
      </c>
      <c r="EY4" s="465"/>
      <c r="EZ4" s="465">
        <v>25000000</v>
      </c>
      <c r="FA4" s="485">
        <f>3530634+5768030</f>
        <v>9298664</v>
      </c>
      <c r="FB4" s="465">
        <f>EZ4-FA4</f>
        <v>15701336</v>
      </c>
      <c r="FC4" s="465"/>
      <c r="FD4" s="465">
        <v>3000000</v>
      </c>
      <c r="FE4" s="465">
        <v>0</v>
      </c>
      <c r="FF4" s="465">
        <f>FD4-FE4</f>
        <v>3000000</v>
      </c>
      <c r="FG4" s="465"/>
      <c r="FH4" s="637">
        <v>65000000</v>
      </c>
      <c r="FI4" s="637">
        <v>0</v>
      </c>
      <c r="FJ4" s="637">
        <f>FH4-FI4</f>
        <v>65000000</v>
      </c>
      <c r="FK4" s="637"/>
      <c r="FL4" s="637">
        <v>8000000</v>
      </c>
      <c r="FM4" s="637">
        <v>0</v>
      </c>
      <c r="FN4" s="637">
        <f>FL4-FM4</f>
        <v>8000000</v>
      </c>
      <c r="FO4" s="637"/>
      <c r="FP4" s="637">
        <v>5000000</v>
      </c>
      <c r="FQ4" s="637">
        <v>0</v>
      </c>
      <c r="FR4" s="637">
        <f>FP4-FQ4</f>
        <v>5000000</v>
      </c>
      <c r="FS4" s="637"/>
      <c r="FT4" s="637">
        <v>18000000</v>
      </c>
      <c r="FU4" s="637">
        <v>0</v>
      </c>
      <c r="FV4" s="637">
        <f>FT4-FU4</f>
        <v>18000000</v>
      </c>
      <c r="FW4" s="637"/>
      <c r="FX4" s="637">
        <v>3000000</v>
      </c>
      <c r="FY4" s="637">
        <v>0</v>
      </c>
      <c r="FZ4" s="637">
        <f>FX4-FY4</f>
        <v>3000000</v>
      </c>
      <c r="GA4" s="637"/>
      <c r="GB4" s="637">
        <v>90000000</v>
      </c>
      <c r="GC4" s="637">
        <v>0</v>
      </c>
      <c r="GD4" s="637">
        <f>GB4-GC4</f>
        <v>90000000</v>
      </c>
      <c r="GE4" s="637"/>
      <c r="GF4" s="637">
        <v>22000000</v>
      </c>
      <c r="GG4" s="637">
        <v>0</v>
      </c>
      <c r="GH4" s="637">
        <f>GF4-GG4</f>
        <v>22000000</v>
      </c>
      <c r="GI4" s="637"/>
      <c r="GJ4" s="637">
        <v>3000000</v>
      </c>
      <c r="GK4" s="637">
        <v>0</v>
      </c>
      <c r="GL4" s="637">
        <f>GJ4-GK4</f>
        <v>3000000</v>
      </c>
      <c r="GM4" s="637"/>
      <c r="GN4" s="636">
        <v>12000000</v>
      </c>
      <c r="GO4" s="636">
        <v>0</v>
      </c>
      <c r="GP4" s="636">
        <f t="shared" ref="GP4:GP29" si="0">GN4-GO4</f>
        <v>12000000</v>
      </c>
      <c r="GQ4" s="637"/>
      <c r="GR4" s="637">
        <v>3000000</v>
      </c>
      <c r="GS4" s="637">
        <v>0</v>
      </c>
      <c r="GT4" s="637">
        <f>GR4-GS4</f>
        <v>3000000</v>
      </c>
      <c r="GU4" s="637"/>
      <c r="GV4" s="587">
        <f>D4+H4+L4+P4+T4+X4+AB4+AF4+AJ4+AN4+AR4+AV4+AZ4+BD4+BH4+BL4+BP4+BT4+BX4+CB4+CF4+CJ4+CN4+CR4+CV4+CZ4+DD4+DH4+DL4+DP4+DT4+DX4+EB4+EF4+EJ4+EN4+ER4+EV4+EZ4+FD4+FH4+FL4+FP4+FT4+FX4+GB4+GF4+GJ4+GN4+GR4</f>
        <v>1075500000</v>
      </c>
      <c r="GW4" s="587">
        <f>E4+I4+M4+Q4+U4+Y4+AC4+AG4+AK4+AO4+AS4+AW4+BA4+BE4+BI4+BM4+BQ4+BU4+BY4+CC4+CG4+CK4+CO4+CS4+CW4+DA4+DE4+DI4+DM4+DQ4+DU4+DY4+EC4+EG4+EK4+EO4+ES4+EW4+FA4+FE4+FI4+FM4+FQ4+FU4+FY4+GC4+GG4+GK4+GO4+GS4</f>
        <v>677490134.73000002</v>
      </c>
      <c r="GX4" s="468">
        <f>GV4-GW4</f>
        <v>398009865.26999998</v>
      </c>
      <c r="GZ4" s="519"/>
      <c r="HA4" s="468">
        <f>D4+H4+L4+X4+AN4+BH4+CB4+CV4+DT4+EN4+FH4+GB4</f>
        <v>711000000</v>
      </c>
      <c r="HB4" s="468">
        <f>E4+I4+M4+Y4+AO4+BI4+CC4+CW4+DU4+EO4+FI4+GC4</f>
        <v>533347870.73000002</v>
      </c>
      <c r="HC4" s="471">
        <f>HA4-HB4</f>
        <v>177652129.26999998</v>
      </c>
      <c r="HE4" s="471">
        <f>P4+AB4+AR4+BL4+CF4+CZ4+DX4+ER4+FL4+GF4</f>
        <v>88000000</v>
      </c>
      <c r="HF4" s="471">
        <f>Q4+AC4+AS4+BM4+CG4+DA4+DY4+ES4+FM4+GG4</f>
        <v>2343600</v>
      </c>
      <c r="HG4" s="471">
        <f>HE4-HF4</f>
        <v>85656400</v>
      </c>
      <c r="HI4" s="471">
        <f>T4+AF4+AV4+BP4+CJ4+DD4+EB4+EV4+FP4+GJ4</f>
        <v>65000000</v>
      </c>
      <c r="HJ4" s="471">
        <f>U4+AG4+AW4+BQ4+CK4+DE4+EC4+EW4+FQ4+GK4</f>
        <v>0</v>
      </c>
      <c r="HK4" s="471">
        <f>HI4-HJ4</f>
        <v>65000000</v>
      </c>
      <c r="HN4" s="471">
        <f>AJ4+AZ4+BT4+CN4+DH4+DP4+EF4+EZ4+FT4+GN4</f>
        <v>187500000</v>
      </c>
      <c r="HO4" s="471">
        <f>AK4+BA4+BU4+CO4+DI4+DQ4+EG4+FA4+FU4+GO4</f>
        <v>141798664</v>
      </c>
      <c r="HP4" s="471">
        <f>HN4-HO4</f>
        <v>45701336</v>
      </c>
      <c r="HR4" s="531"/>
      <c r="HT4" s="471">
        <f>BX4+CR4+DL4+EJ4+FD4+FX4+GR4</f>
        <v>24000000</v>
      </c>
      <c r="HU4" s="471">
        <f>BY4+CS4+DM4+EK4+FE4+FY4+GS4</f>
        <v>0</v>
      </c>
      <c r="HV4" s="471">
        <f>HT4-HU4</f>
        <v>24000000</v>
      </c>
      <c r="HX4" s="473">
        <f>HU4-HY4</f>
        <v>0</v>
      </c>
      <c r="HY4" s="474">
        <v>0</v>
      </c>
      <c r="ID4" s="473">
        <f>HU4+HO4+HJ4+HF4+HB4</f>
        <v>677490134.73000002</v>
      </c>
      <c r="IE4" s="473">
        <f>HV4+HP4+HK4+HG4+HC4</f>
        <v>398009865.26999998</v>
      </c>
      <c r="IF4" s="473"/>
    </row>
    <row r="5" spans="1:240" x14ac:dyDescent="0.25">
      <c r="A5" s="107">
        <v>2</v>
      </c>
      <c r="B5" s="107" t="s">
        <v>546</v>
      </c>
      <c r="C5" s="634" t="s">
        <v>76</v>
      </c>
      <c r="D5" s="488">
        <v>1000000</v>
      </c>
      <c r="E5" s="488">
        <v>1000000</v>
      </c>
      <c r="F5" s="475">
        <f t="shared" ref="F5:F68" si="1">D5-E5</f>
        <v>0</v>
      </c>
      <c r="G5" s="488"/>
      <c r="H5" s="465">
        <v>15000000</v>
      </c>
      <c r="I5" s="465">
        <v>15000000</v>
      </c>
      <c r="J5" s="463">
        <f t="shared" ref="J5:J68" si="2">H5-I5</f>
        <v>0</v>
      </c>
      <c r="K5" s="488"/>
      <c r="L5" s="465">
        <v>7700000</v>
      </c>
      <c r="M5" s="465">
        <v>7700000</v>
      </c>
      <c r="N5" s="543">
        <f t="shared" ref="N5:N68" si="3">L5-M5</f>
        <v>0</v>
      </c>
      <c r="O5" s="488"/>
      <c r="P5" s="465">
        <v>2500000</v>
      </c>
      <c r="Q5" s="465">
        <v>2500000</v>
      </c>
      <c r="R5" s="543">
        <f t="shared" ref="R5:R68" si="4">P5-Q5</f>
        <v>0</v>
      </c>
      <c r="S5" s="488"/>
      <c r="T5" s="465">
        <v>1000000</v>
      </c>
      <c r="U5" s="465">
        <v>1000000</v>
      </c>
      <c r="V5" s="543">
        <f t="shared" ref="V5:V68" si="5">T5-U5</f>
        <v>0</v>
      </c>
      <c r="W5" s="488"/>
      <c r="X5" s="465">
        <v>20000000</v>
      </c>
      <c r="Y5" s="477">
        <v>20000000</v>
      </c>
      <c r="Z5" s="543">
        <f t="shared" ref="Z5:Z68" si="6">X5-Y5</f>
        <v>0</v>
      </c>
      <c r="AA5" s="488"/>
      <c r="AB5" s="465">
        <v>5000000</v>
      </c>
      <c r="AC5" s="465">
        <v>5000000</v>
      </c>
      <c r="AD5" s="543">
        <f t="shared" ref="AD5:AD68" si="7">AB5-AC5</f>
        <v>0</v>
      </c>
      <c r="AE5" s="488"/>
      <c r="AF5" s="465">
        <v>2000000</v>
      </c>
      <c r="AG5" s="465">
        <v>2000000</v>
      </c>
      <c r="AH5" s="543">
        <f t="shared" ref="AH5:AH68" si="8">AF5-AG5</f>
        <v>0</v>
      </c>
      <c r="AI5" s="488"/>
      <c r="AJ5" s="465">
        <v>7500000</v>
      </c>
      <c r="AK5" s="465">
        <v>7500000</v>
      </c>
      <c r="AL5" s="543">
        <f t="shared" ref="AL5:AL68" si="9">AJ5-AK5</f>
        <v>0</v>
      </c>
      <c r="AM5" s="465"/>
      <c r="AN5" s="465">
        <v>30000000</v>
      </c>
      <c r="AO5" s="465">
        <v>30000000</v>
      </c>
      <c r="AP5" s="543">
        <f t="shared" ref="AP5:AP68" si="10">AN5-AO5</f>
        <v>0</v>
      </c>
      <c r="AQ5" s="488"/>
      <c r="AR5" s="465">
        <v>3000000</v>
      </c>
      <c r="AS5" s="465">
        <v>3000000</v>
      </c>
      <c r="AT5" s="543">
        <f t="shared" ref="AT5:AT68" si="11">AR5-AS5</f>
        <v>0</v>
      </c>
      <c r="AU5" s="488"/>
      <c r="AV5" s="465">
        <v>2000000</v>
      </c>
      <c r="AW5" s="465">
        <v>2000000</v>
      </c>
      <c r="AX5" s="543">
        <f t="shared" ref="AX5:AX68" si="12">AV5-AW5</f>
        <v>0</v>
      </c>
      <c r="AY5" s="488"/>
      <c r="AZ5" s="465">
        <v>10000000</v>
      </c>
      <c r="BA5" s="465">
        <v>10000000</v>
      </c>
      <c r="BB5" s="543">
        <f t="shared" ref="BB5:BB68" si="13">AZ5-BA5</f>
        <v>0</v>
      </c>
      <c r="BC5" s="488"/>
      <c r="BD5" s="465">
        <v>0</v>
      </c>
      <c r="BE5" s="465">
        <v>0</v>
      </c>
      <c r="BF5" s="543">
        <f t="shared" ref="BF5:BF68" si="14">BD5-BE5</f>
        <v>0</v>
      </c>
      <c r="BG5" s="488"/>
      <c r="BH5" s="465">
        <v>55000000</v>
      </c>
      <c r="BI5" s="465">
        <v>55000000</v>
      </c>
      <c r="BJ5" s="543">
        <f t="shared" ref="BJ5:BJ68" si="15">BH5-BI5</f>
        <v>0</v>
      </c>
      <c r="BK5" s="488"/>
      <c r="BL5" s="465">
        <v>5000000</v>
      </c>
      <c r="BM5" s="465">
        <v>5000000</v>
      </c>
      <c r="BN5" s="543">
        <f t="shared" ref="BN5:BN68" si="16">BL5-BM5</f>
        <v>0</v>
      </c>
      <c r="BO5" s="488"/>
      <c r="BP5" s="465">
        <v>5000000</v>
      </c>
      <c r="BQ5" s="465">
        <v>5000000</v>
      </c>
      <c r="BR5" s="543">
        <f t="shared" ref="BR5:BR68" si="17">BP5-BQ5</f>
        <v>0</v>
      </c>
      <c r="BS5" s="488"/>
      <c r="BT5" s="465">
        <v>15000000</v>
      </c>
      <c r="BU5" s="465">
        <v>15000000</v>
      </c>
      <c r="BV5" s="543">
        <f t="shared" ref="BV5:BV68" si="18">BT5-BU5</f>
        <v>0</v>
      </c>
      <c r="BW5" s="488"/>
      <c r="BX5" s="465">
        <v>1000000</v>
      </c>
      <c r="BY5" s="465">
        <v>1000000</v>
      </c>
      <c r="BZ5" s="543">
        <f t="shared" ref="BZ5:BZ68" si="19">BX5-BY5</f>
        <v>0</v>
      </c>
      <c r="CA5" s="488"/>
      <c r="CB5" s="468">
        <v>80000000</v>
      </c>
      <c r="CC5" s="465">
        <f>31406318+26700000+21893682</f>
        <v>80000000</v>
      </c>
      <c r="CD5" s="543">
        <f t="shared" ref="CD5:CD68" si="20">CB5-CC5</f>
        <v>0</v>
      </c>
      <c r="CE5" s="488"/>
      <c r="CF5" s="468">
        <v>10000000</v>
      </c>
      <c r="CG5" s="468">
        <v>10000000</v>
      </c>
      <c r="CH5" s="543">
        <f t="shared" ref="CH5:CH68" si="21">CF5-CG5</f>
        <v>0</v>
      </c>
      <c r="CI5" s="488"/>
      <c r="CJ5" s="468">
        <v>10000000</v>
      </c>
      <c r="CK5" s="468">
        <v>10000000</v>
      </c>
      <c r="CL5" s="543">
        <f t="shared" ref="CL5:CL68" si="22">CJ5-CK5</f>
        <v>0</v>
      </c>
      <c r="CM5" s="488"/>
      <c r="CN5" s="468">
        <v>30000000</v>
      </c>
      <c r="CO5" s="468">
        <v>30000000</v>
      </c>
      <c r="CP5" s="543">
        <f t="shared" ref="CP5:CP68" si="23">CN5-CO5</f>
        <v>0</v>
      </c>
      <c r="CQ5" s="471"/>
      <c r="CR5" s="465">
        <v>5000000</v>
      </c>
      <c r="CS5" s="468">
        <v>4842092</v>
      </c>
      <c r="CT5" s="465">
        <f t="shared" ref="CT5:CT68" si="24">CR5-CS5</f>
        <v>157908</v>
      </c>
      <c r="CU5" s="488"/>
      <c r="CV5" s="525">
        <v>80000000</v>
      </c>
      <c r="CW5" s="478">
        <f>450000+64955528+14594472</f>
        <v>80000000</v>
      </c>
      <c r="CX5" s="543">
        <f t="shared" ref="CX5:CX68" si="25">CV5-CW5</f>
        <v>0</v>
      </c>
      <c r="CY5" s="471"/>
      <c r="CZ5" s="468">
        <v>20000000</v>
      </c>
      <c r="DA5" s="468">
        <v>20000000</v>
      </c>
      <c r="DB5" s="543">
        <f t="shared" ref="DB5:DB68" si="26">CZ5-DA5</f>
        <v>0</v>
      </c>
      <c r="DC5" s="471"/>
      <c r="DD5" s="468">
        <v>20000000</v>
      </c>
      <c r="DE5" s="468">
        <f>3800000+4122500</f>
        <v>7922500</v>
      </c>
      <c r="DF5" s="543">
        <f t="shared" ref="DF5:DF68" si="27">DD5-DE5</f>
        <v>12077500</v>
      </c>
      <c r="DG5" s="488"/>
      <c r="DH5" s="468">
        <v>50000000</v>
      </c>
      <c r="DI5" s="468">
        <v>50000000</v>
      </c>
      <c r="DJ5" s="543">
        <f t="shared" ref="DJ5:DJ68" si="28">DH5-DI5</f>
        <v>0</v>
      </c>
      <c r="DK5" s="488"/>
      <c r="DL5" s="465">
        <v>6000000</v>
      </c>
      <c r="DM5" s="468">
        <f>1000000+736200+599237.25</f>
        <v>2335437.25</v>
      </c>
      <c r="DN5" s="465">
        <f t="shared" ref="DN5:DN68" si="29">DL5-DM5</f>
        <v>3664562.75</v>
      </c>
      <c r="DO5" s="488"/>
      <c r="DP5" s="471">
        <v>0</v>
      </c>
      <c r="DQ5" s="471">
        <v>0</v>
      </c>
      <c r="DR5" s="471">
        <f t="shared" ref="DR5:DR68" si="30">DP5-DQ5</f>
        <v>0</v>
      </c>
      <c r="DT5" s="471">
        <v>60000000</v>
      </c>
      <c r="DU5" s="471">
        <f>450000+57217000+2333000</f>
        <v>60000000</v>
      </c>
      <c r="DV5" s="471">
        <f t="shared" ref="DV5:DV68" si="31">DT5-DU5</f>
        <v>0</v>
      </c>
      <c r="DX5" s="471">
        <v>10000000</v>
      </c>
      <c r="DY5" s="471">
        <f>9834826.5+165173.5</f>
        <v>10000000</v>
      </c>
      <c r="DZ5" s="471">
        <f t="shared" ref="DZ5:DZ68" si="32">DX5-DY5</f>
        <v>0</v>
      </c>
      <c r="EB5" s="471">
        <v>10000000</v>
      </c>
      <c r="EC5" s="471">
        <v>0</v>
      </c>
      <c r="ED5" s="471">
        <f t="shared" ref="ED5:ED68" si="33">EB5-EC5</f>
        <v>10000000</v>
      </c>
      <c r="EF5" s="471">
        <v>20000000</v>
      </c>
      <c r="EG5" s="471">
        <f>14753828+3510920+596300+1138952</f>
        <v>20000000</v>
      </c>
      <c r="EH5" s="471">
        <f t="shared" ref="EH5:EH68" si="34">EF5-EG5</f>
        <v>0</v>
      </c>
      <c r="EJ5" s="471">
        <v>3000000</v>
      </c>
      <c r="EK5" s="471">
        <v>0</v>
      </c>
      <c r="EL5" s="471">
        <f t="shared" ref="EL5:EL68" si="35">EJ5-EK5</f>
        <v>3000000</v>
      </c>
      <c r="EM5" s="634"/>
      <c r="EN5" s="465">
        <v>200000000</v>
      </c>
      <c r="EO5" s="478">
        <f>121211395.45+50065000-50065000+17205528</f>
        <v>138416923.44999999</v>
      </c>
      <c r="EP5" s="465">
        <f t="shared" ref="EP5:EP68" si="36">EN5-EO5</f>
        <v>61583076.550000012</v>
      </c>
      <c r="EQ5" s="465"/>
      <c r="ER5" s="465">
        <v>10000000</v>
      </c>
      <c r="ES5" s="465">
        <f>5284026.5</f>
        <v>5284026.5</v>
      </c>
      <c r="ET5" s="465">
        <f t="shared" ref="ET5:ET68" si="37">ER5-ES5</f>
        <v>4715973.5</v>
      </c>
      <c r="EU5" s="465"/>
      <c r="EV5" s="465">
        <v>10000000</v>
      </c>
      <c r="EW5" s="465">
        <v>0</v>
      </c>
      <c r="EX5" s="465">
        <f t="shared" ref="EX5:EX68" si="38">EV5-EW5</f>
        <v>10000000</v>
      </c>
      <c r="EY5" s="465"/>
      <c r="EZ5" s="465">
        <v>25000000</v>
      </c>
      <c r="FA5" s="483">
        <f>5365827+4373490+3852390+1680650+9727643</f>
        <v>25000000</v>
      </c>
      <c r="FB5" s="465">
        <f t="shared" ref="FB5:FB68" si="39">EZ5-FA5</f>
        <v>0</v>
      </c>
      <c r="FC5" s="465"/>
      <c r="FD5" s="465">
        <v>3000000</v>
      </c>
      <c r="FE5" s="465">
        <v>0</v>
      </c>
      <c r="FF5" s="465">
        <f t="shared" ref="FF5:FF68" si="40">FD5-FE5</f>
        <v>3000000</v>
      </c>
      <c r="FG5" s="465"/>
      <c r="FH5" s="637">
        <v>65000000</v>
      </c>
      <c r="FI5" s="637">
        <v>0</v>
      </c>
      <c r="FJ5" s="637">
        <f t="shared" ref="FJ5:FJ28" si="41">FH5-FI5</f>
        <v>65000000</v>
      </c>
      <c r="FK5" s="637"/>
      <c r="FL5" s="637">
        <v>8000000</v>
      </c>
      <c r="FM5" s="637">
        <v>0</v>
      </c>
      <c r="FN5" s="637">
        <f t="shared" ref="FN5:FN28" si="42">FL5-FM5</f>
        <v>8000000</v>
      </c>
      <c r="FO5" s="637"/>
      <c r="FP5" s="637">
        <v>5000000</v>
      </c>
      <c r="FQ5" s="637">
        <v>0</v>
      </c>
      <c r="FR5" s="637">
        <f t="shared" ref="FR5:FR28" si="43">FP5-FQ5</f>
        <v>5000000</v>
      </c>
      <c r="FS5" s="637"/>
      <c r="FT5" s="637">
        <v>18000000</v>
      </c>
      <c r="FU5" s="638">
        <f>1027982</f>
        <v>1027982</v>
      </c>
      <c r="FV5" s="637">
        <f t="shared" ref="FV5:FV28" si="44">FT5-FU5</f>
        <v>16972018</v>
      </c>
      <c r="FW5" s="637"/>
      <c r="FX5" s="637">
        <v>3000000</v>
      </c>
      <c r="FY5" s="637">
        <v>0</v>
      </c>
      <c r="FZ5" s="637">
        <f t="shared" ref="FZ5:FZ28" si="45">FX5-FY5</f>
        <v>3000000</v>
      </c>
      <c r="GA5" s="637"/>
      <c r="GB5" s="637">
        <v>90000000</v>
      </c>
      <c r="GC5" s="637">
        <v>0</v>
      </c>
      <c r="GD5" s="637">
        <f t="shared" ref="GD5:GD28" si="46">GB5-GC5</f>
        <v>90000000</v>
      </c>
      <c r="GE5" s="637"/>
      <c r="GF5" s="637">
        <v>22000000</v>
      </c>
      <c r="GG5" s="637">
        <v>0</v>
      </c>
      <c r="GH5" s="637">
        <f t="shared" ref="GH5:GH29" si="47">GF5-GG5</f>
        <v>22000000</v>
      </c>
      <c r="GI5" s="637"/>
      <c r="GJ5" s="637">
        <v>3000000</v>
      </c>
      <c r="GK5" s="637">
        <v>0</v>
      </c>
      <c r="GL5" s="637">
        <f t="shared" ref="GL5:GL29" si="48">GJ5-GK5</f>
        <v>3000000</v>
      </c>
      <c r="GM5" s="637"/>
      <c r="GN5" s="636">
        <v>12000000</v>
      </c>
      <c r="GO5" s="636">
        <v>0</v>
      </c>
      <c r="GP5" s="636">
        <f t="shared" si="0"/>
        <v>12000000</v>
      </c>
      <c r="GQ5" s="637"/>
      <c r="GR5" s="637">
        <v>3000000</v>
      </c>
      <c r="GS5" s="637">
        <v>0</v>
      </c>
      <c r="GT5" s="637">
        <f t="shared" ref="GT5:GT29" si="49">GR5-GS5</f>
        <v>3000000</v>
      </c>
      <c r="GU5" s="637"/>
      <c r="GV5" s="587">
        <f t="shared" ref="GV5:GW68" si="50">D5+H5+L5+P5+T5+X5+AB5+AF5+AJ5+AN5+AR5+AV5+AZ5+BD5+BH5+BL5+BP5+BT5+BX5+CB5+CF5+CJ5+CN5+CR5+CV5+CZ5+DD5+DH5+DL5+DP5+DT5+DX5+EB5+EF5+EJ5+EN5+ER5+EV5+EZ5+FD5+FH5+FL5+FP5+FT5+FX5+GB5+GF5+GJ5+GN5+GR5</f>
        <v>1078700000</v>
      </c>
      <c r="GW5" s="587">
        <f t="shared" si="50"/>
        <v>742528961.20000005</v>
      </c>
      <c r="GX5" s="468">
        <f t="shared" ref="GX5:GX68" si="51">GV5-GW5</f>
        <v>336171038.79999995</v>
      </c>
      <c r="GZ5" s="519"/>
      <c r="HA5" s="468">
        <f>D5+H5+L5+X5+AN5+BH5+CB5+CV5+DT5+EN5+FH5+GB5</f>
        <v>703700000</v>
      </c>
      <c r="HB5" s="468">
        <f>E5+I5+M5+Y5+AO5+BI5+CC5+CW5+DU5+EO5+FI5+GC5</f>
        <v>487116923.44999999</v>
      </c>
      <c r="HC5" s="471">
        <f t="shared" ref="HC5:HC68" si="52">HA5-HB5</f>
        <v>216583076.55000001</v>
      </c>
      <c r="HE5" s="471">
        <f>P5+AB5+AR5+BL5+CF5+CZ5+DX5+ER5+FL5+GF5</f>
        <v>95500000</v>
      </c>
      <c r="HF5" s="471">
        <f>Q5+AC5+AS5+BM5+CG5+DA5+DY5+ES5+FM5+GG5</f>
        <v>60784026.5</v>
      </c>
      <c r="HG5" s="471">
        <f t="shared" ref="HG5:HG68" si="53">HE5-HF5</f>
        <v>34715973.5</v>
      </c>
      <c r="HI5" s="471">
        <f>T5+AF5+AV5+BP5+CJ5+DD5+EB5+EV5+FP5+GJ5</f>
        <v>68000000</v>
      </c>
      <c r="HJ5" s="471">
        <f>U5+AG5+AW5+BQ5+CK5+DE5+EC5+EW5+FQ5+GK5</f>
        <v>27922500</v>
      </c>
      <c r="HK5" s="471">
        <f t="shared" ref="HK5:HK68" si="54">HI5-HJ5</f>
        <v>40077500</v>
      </c>
      <c r="HN5" s="471">
        <f>AJ5+AZ5+BT5+CN5+DH5+DP5+EF5+EZ5+FT5+GN5</f>
        <v>187500000</v>
      </c>
      <c r="HO5" s="471">
        <f>AK5+BA5+BU5+CO5+DI5+DQ5+EG5+FA5+FU5+GO5</f>
        <v>158527982</v>
      </c>
      <c r="HP5" s="471">
        <f t="shared" ref="HP5:HP68" si="55">HN5-HO5</f>
        <v>28972018</v>
      </c>
      <c r="HR5" s="531"/>
      <c r="HT5" s="471">
        <f>BX5+CR5+DL5+EJ5+FD5+FX5+GR5</f>
        <v>24000000</v>
      </c>
      <c r="HU5" s="471">
        <f>BY5+CS5+DM5+EK5+FE5+FY5+GS5</f>
        <v>8177529.25</v>
      </c>
      <c r="HV5" s="471">
        <f t="shared" ref="HV5:HV68" si="56">HT5-HU5</f>
        <v>15822470.75</v>
      </c>
      <c r="HX5" s="473">
        <f t="shared" ref="HX5:HX68" si="57">HU5-HY5</f>
        <v>0</v>
      </c>
      <c r="HY5" s="474">
        <v>8177529.25</v>
      </c>
      <c r="ID5" s="473">
        <f>HU5+HO5+HJ5+HF5+HB5</f>
        <v>742528961.20000005</v>
      </c>
      <c r="IE5" s="473">
        <f>HV5+HP5+HK5+HG5+HC5</f>
        <v>336171038.80000001</v>
      </c>
      <c r="IF5" s="473"/>
    </row>
    <row r="6" spans="1:240" x14ac:dyDescent="0.25">
      <c r="A6" s="107">
        <v>3</v>
      </c>
      <c r="B6" s="107" t="s">
        <v>547</v>
      </c>
      <c r="C6" s="634" t="s">
        <v>65</v>
      </c>
      <c r="D6" s="488">
        <v>1000000</v>
      </c>
      <c r="E6" s="488">
        <v>1000000</v>
      </c>
      <c r="F6" s="475">
        <f t="shared" si="1"/>
        <v>0</v>
      </c>
      <c r="G6" s="488"/>
      <c r="H6" s="465">
        <v>15000000</v>
      </c>
      <c r="I6" s="465">
        <v>15000000</v>
      </c>
      <c r="J6" s="463">
        <f t="shared" si="2"/>
        <v>0</v>
      </c>
      <c r="K6" s="488"/>
      <c r="L6" s="465">
        <v>15000000</v>
      </c>
      <c r="M6" s="465">
        <v>15000000</v>
      </c>
      <c r="N6" s="543">
        <f t="shared" si="3"/>
        <v>0</v>
      </c>
      <c r="O6" s="488"/>
      <c r="P6" s="465">
        <v>2500000</v>
      </c>
      <c r="Q6" s="465">
        <v>2500000</v>
      </c>
      <c r="R6" s="543">
        <f t="shared" si="4"/>
        <v>0</v>
      </c>
      <c r="S6" s="488"/>
      <c r="T6" s="465">
        <v>1000000</v>
      </c>
      <c r="U6" s="465">
        <v>1000000</v>
      </c>
      <c r="V6" s="543">
        <f t="shared" si="5"/>
        <v>0</v>
      </c>
      <c r="W6" s="488"/>
      <c r="X6" s="465">
        <v>20000000</v>
      </c>
      <c r="Y6" s="465">
        <v>20000000</v>
      </c>
      <c r="Z6" s="543">
        <f t="shared" si="6"/>
        <v>0</v>
      </c>
      <c r="AA6" s="488"/>
      <c r="AB6" s="465">
        <v>5000000</v>
      </c>
      <c r="AC6" s="465">
        <v>5000000</v>
      </c>
      <c r="AD6" s="543">
        <f t="shared" si="7"/>
        <v>0</v>
      </c>
      <c r="AE6" s="488"/>
      <c r="AF6" s="465">
        <v>700000</v>
      </c>
      <c r="AG6" s="465">
        <v>700000</v>
      </c>
      <c r="AH6" s="543">
        <f t="shared" si="8"/>
        <v>0</v>
      </c>
      <c r="AI6" s="488"/>
      <c r="AJ6" s="465">
        <v>7500000</v>
      </c>
      <c r="AK6" s="465">
        <v>7500000</v>
      </c>
      <c r="AL6" s="543">
        <f t="shared" si="9"/>
        <v>0</v>
      </c>
      <c r="AM6" s="465"/>
      <c r="AN6" s="465">
        <v>30000000</v>
      </c>
      <c r="AO6" s="465">
        <v>30000000</v>
      </c>
      <c r="AP6" s="543">
        <f t="shared" si="10"/>
        <v>0</v>
      </c>
      <c r="AQ6" s="488"/>
      <c r="AR6" s="465">
        <v>3000000</v>
      </c>
      <c r="AS6" s="465">
        <v>3000000</v>
      </c>
      <c r="AT6" s="543">
        <f t="shared" si="11"/>
        <v>0</v>
      </c>
      <c r="AU6" s="488"/>
      <c r="AV6" s="465">
        <v>2000000</v>
      </c>
      <c r="AW6" s="465">
        <v>0</v>
      </c>
      <c r="AX6" s="543">
        <f t="shared" si="12"/>
        <v>2000000</v>
      </c>
      <c r="AY6" s="488"/>
      <c r="AZ6" s="465">
        <v>10000000</v>
      </c>
      <c r="BA6" s="465">
        <v>10000000</v>
      </c>
      <c r="BB6" s="543">
        <f t="shared" si="13"/>
        <v>0</v>
      </c>
      <c r="BC6" s="488"/>
      <c r="BD6" s="465">
        <v>0</v>
      </c>
      <c r="BE6" s="465">
        <v>0</v>
      </c>
      <c r="BF6" s="543">
        <f t="shared" si="14"/>
        <v>0</v>
      </c>
      <c r="BG6" s="488"/>
      <c r="BH6" s="465">
        <v>55000000</v>
      </c>
      <c r="BI6" s="465">
        <v>55000000</v>
      </c>
      <c r="BJ6" s="543">
        <f t="shared" si="15"/>
        <v>0</v>
      </c>
      <c r="BK6" s="488"/>
      <c r="BL6" s="465">
        <v>5000000</v>
      </c>
      <c r="BM6" s="465">
        <v>5000000</v>
      </c>
      <c r="BN6" s="543">
        <f t="shared" si="16"/>
        <v>0</v>
      </c>
      <c r="BO6" s="488"/>
      <c r="BP6" s="465">
        <v>5000000</v>
      </c>
      <c r="BQ6" s="465">
        <v>0</v>
      </c>
      <c r="BR6" s="543">
        <f t="shared" si="17"/>
        <v>5000000</v>
      </c>
      <c r="BS6" s="488"/>
      <c r="BT6" s="465">
        <v>15000000</v>
      </c>
      <c r="BU6" s="465">
        <f>9119700+4560915</f>
        <v>13680615</v>
      </c>
      <c r="BV6" s="543">
        <f t="shared" si="18"/>
        <v>1319385</v>
      </c>
      <c r="BW6" s="488"/>
      <c r="BX6" s="465">
        <v>1000000</v>
      </c>
      <c r="BY6" s="465">
        <v>0</v>
      </c>
      <c r="BZ6" s="543">
        <f t="shared" si="19"/>
        <v>1000000</v>
      </c>
      <c r="CA6" s="488"/>
      <c r="CB6" s="468">
        <v>80000000</v>
      </c>
      <c r="CC6" s="465">
        <f>76992656+3007344</f>
        <v>80000000</v>
      </c>
      <c r="CD6" s="543">
        <f t="shared" si="20"/>
        <v>0</v>
      </c>
      <c r="CE6" s="488"/>
      <c r="CF6" s="468">
        <v>10000000</v>
      </c>
      <c r="CG6" s="468">
        <v>10000000</v>
      </c>
      <c r="CH6" s="543">
        <f t="shared" si="21"/>
        <v>0</v>
      </c>
      <c r="CI6" s="488"/>
      <c r="CJ6" s="468">
        <v>10000000</v>
      </c>
      <c r="CK6" s="468">
        <v>0</v>
      </c>
      <c r="CL6" s="543">
        <f t="shared" si="22"/>
        <v>10000000</v>
      </c>
      <c r="CM6" s="488"/>
      <c r="CN6" s="468">
        <v>30000000</v>
      </c>
      <c r="CO6" s="468">
        <v>30000000</v>
      </c>
      <c r="CP6" s="543">
        <f t="shared" si="23"/>
        <v>0</v>
      </c>
      <c r="CQ6" s="488"/>
      <c r="CR6" s="465">
        <v>5000000</v>
      </c>
      <c r="CS6" s="468">
        <v>0</v>
      </c>
      <c r="CT6" s="465">
        <f t="shared" si="24"/>
        <v>5000000</v>
      </c>
      <c r="CU6" s="488"/>
      <c r="CV6" s="525">
        <v>80000000</v>
      </c>
      <c r="CW6" s="465">
        <f>13300000+66700000</f>
        <v>80000000</v>
      </c>
      <c r="CX6" s="543">
        <f t="shared" si="25"/>
        <v>0</v>
      </c>
      <c r="CY6" s="471"/>
      <c r="CZ6" s="468">
        <v>20000000</v>
      </c>
      <c r="DA6" s="468">
        <f>18360800+1639200</f>
        <v>20000000</v>
      </c>
      <c r="DB6" s="543">
        <f t="shared" si="26"/>
        <v>0</v>
      </c>
      <c r="DC6" s="471"/>
      <c r="DD6" s="468">
        <v>20000000</v>
      </c>
      <c r="DE6" s="468">
        <v>0</v>
      </c>
      <c r="DF6" s="543">
        <f t="shared" si="27"/>
        <v>20000000</v>
      </c>
      <c r="DG6" s="488"/>
      <c r="DH6" s="468">
        <v>50000000</v>
      </c>
      <c r="DI6" s="490">
        <f>39582116.57+6288635+3968890</f>
        <v>49839641.57</v>
      </c>
      <c r="DJ6" s="543">
        <f t="shared" si="28"/>
        <v>160358.4299999997</v>
      </c>
      <c r="DK6" s="488"/>
      <c r="DL6" s="465">
        <v>6000000</v>
      </c>
      <c r="DM6" s="468">
        <v>0</v>
      </c>
      <c r="DN6" s="465">
        <f t="shared" si="29"/>
        <v>6000000</v>
      </c>
      <c r="DO6" s="488"/>
      <c r="DP6" s="471">
        <v>0</v>
      </c>
      <c r="DQ6" s="471">
        <v>0</v>
      </c>
      <c r="DR6" s="471">
        <f t="shared" si="30"/>
        <v>0</v>
      </c>
      <c r="DT6" s="471">
        <v>60000000</v>
      </c>
      <c r="DU6" s="471">
        <f>40100000+19900000</f>
        <v>60000000</v>
      </c>
      <c r="DV6" s="471">
        <f t="shared" si="31"/>
        <v>0</v>
      </c>
      <c r="DX6" s="471">
        <v>10000000</v>
      </c>
      <c r="DY6" s="471">
        <f>7428591+1428960</f>
        <v>8857551</v>
      </c>
      <c r="DZ6" s="471">
        <f t="shared" si="32"/>
        <v>1142449</v>
      </c>
      <c r="EB6" s="471">
        <v>10000000</v>
      </c>
      <c r="EC6" s="471">
        <v>0</v>
      </c>
      <c r="ED6" s="471">
        <f t="shared" si="33"/>
        <v>10000000</v>
      </c>
      <c r="EF6" s="471">
        <v>20000000</v>
      </c>
      <c r="EG6" s="471">
        <f>2096497+5743140+12160363</f>
        <v>20000000</v>
      </c>
      <c r="EH6" s="471">
        <f t="shared" si="34"/>
        <v>0</v>
      </c>
      <c r="EJ6" s="471">
        <v>3000000</v>
      </c>
      <c r="EK6" s="471">
        <v>0</v>
      </c>
      <c r="EL6" s="471">
        <f t="shared" si="35"/>
        <v>3000000</v>
      </c>
      <c r="EM6" s="634"/>
      <c r="EN6" s="465">
        <v>200000000</v>
      </c>
      <c r="EO6" s="484">
        <f>4092656+20576500+52292500+32400000+17908000+17370696</f>
        <v>144640352</v>
      </c>
      <c r="EP6" s="465">
        <f t="shared" si="36"/>
        <v>55359648</v>
      </c>
      <c r="EQ6" s="465"/>
      <c r="ER6" s="465">
        <v>10000000</v>
      </c>
      <c r="ES6" s="465">
        <v>0</v>
      </c>
      <c r="ET6" s="465">
        <f t="shared" si="37"/>
        <v>10000000</v>
      </c>
      <c r="EU6" s="465"/>
      <c r="EV6" s="465">
        <v>10000000</v>
      </c>
      <c r="EW6" s="465">
        <v>0</v>
      </c>
      <c r="EX6" s="465">
        <f t="shared" si="38"/>
        <v>10000000</v>
      </c>
      <c r="EY6" s="465"/>
      <c r="EZ6" s="465">
        <v>25000000</v>
      </c>
      <c r="FA6" s="465">
        <v>3761225</v>
      </c>
      <c r="FB6" s="465">
        <f t="shared" si="39"/>
        <v>21238775</v>
      </c>
      <c r="FC6" s="465"/>
      <c r="FD6" s="465">
        <v>3000000</v>
      </c>
      <c r="FE6" s="465">
        <v>0</v>
      </c>
      <c r="FF6" s="465">
        <f t="shared" si="40"/>
        <v>3000000</v>
      </c>
      <c r="FG6" s="465"/>
      <c r="FH6" s="637">
        <v>65000000</v>
      </c>
      <c r="FI6" s="637">
        <v>0</v>
      </c>
      <c r="FJ6" s="637">
        <f t="shared" si="41"/>
        <v>65000000</v>
      </c>
      <c r="FK6" s="637"/>
      <c r="FL6" s="637">
        <v>8000000</v>
      </c>
      <c r="FM6" s="637">
        <v>0</v>
      </c>
      <c r="FN6" s="637">
        <f t="shared" si="42"/>
        <v>8000000</v>
      </c>
      <c r="FO6" s="637"/>
      <c r="FP6" s="637">
        <v>5000000</v>
      </c>
      <c r="FQ6" s="637">
        <v>0</v>
      </c>
      <c r="FR6" s="637">
        <f t="shared" si="43"/>
        <v>5000000</v>
      </c>
      <c r="FS6" s="637"/>
      <c r="FT6" s="637">
        <v>18000000</v>
      </c>
      <c r="FU6" s="637">
        <v>0</v>
      </c>
      <c r="FV6" s="637">
        <f t="shared" si="44"/>
        <v>18000000</v>
      </c>
      <c r="FW6" s="637"/>
      <c r="FX6" s="637">
        <v>3000000</v>
      </c>
      <c r="FY6" s="637">
        <v>0</v>
      </c>
      <c r="FZ6" s="637">
        <f t="shared" si="45"/>
        <v>3000000</v>
      </c>
      <c r="GA6" s="637"/>
      <c r="GB6" s="637">
        <v>90000000</v>
      </c>
      <c r="GC6" s="637">
        <v>0</v>
      </c>
      <c r="GD6" s="637">
        <f t="shared" si="46"/>
        <v>90000000</v>
      </c>
      <c r="GE6" s="637"/>
      <c r="GF6" s="637">
        <v>22000000</v>
      </c>
      <c r="GG6" s="637">
        <v>0</v>
      </c>
      <c r="GH6" s="637">
        <f t="shared" si="47"/>
        <v>22000000</v>
      </c>
      <c r="GI6" s="637"/>
      <c r="GJ6" s="637">
        <v>3000000</v>
      </c>
      <c r="GK6" s="637">
        <v>0</v>
      </c>
      <c r="GL6" s="637">
        <f t="shared" si="48"/>
        <v>3000000</v>
      </c>
      <c r="GM6" s="637"/>
      <c r="GN6" s="636">
        <v>12000000</v>
      </c>
      <c r="GO6" s="636">
        <v>0</v>
      </c>
      <c r="GP6" s="636">
        <f t="shared" si="0"/>
        <v>12000000</v>
      </c>
      <c r="GQ6" s="637"/>
      <c r="GR6" s="637">
        <v>3000000</v>
      </c>
      <c r="GS6" s="637">
        <v>0</v>
      </c>
      <c r="GT6" s="637">
        <f t="shared" si="49"/>
        <v>3000000</v>
      </c>
      <c r="GU6" s="637"/>
      <c r="GV6" s="587">
        <f t="shared" si="50"/>
        <v>1084700000</v>
      </c>
      <c r="GW6" s="587">
        <f t="shared" si="50"/>
        <v>691479384.56999993</v>
      </c>
      <c r="GX6" s="468">
        <f t="shared" si="51"/>
        <v>393220615.43000007</v>
      </c>
      <c r="GZ6" s="519"/>
      <c r="HA6" s="468">
        <f>D6+H6+L6+X6+AN6+BH6+CB6+CV6+DT6+EN6+FH6+GB6</f>
        <v>711000000</v>
      </c>
      <c r="HB6" s="468">
        <f>E6+I6+M6+Y6+AO6+BI6+CC6+CW6+DU6+EO6+FI6+GC6</f>
        <v>500640352</v>
      </c>
      <c r="HC6" s="471">
        <f t="shared" si="52"/>
        <v>210359648</v>
      </c>
      <c r="HE6" s="471">
        <f>P6+AB6+AR6+BL6+CF6+CZ6+DX6+ER6+FL6+GF6</f>
        <v>95500000</v>
      </c>
      <c r="HF6" s="471">
        <f>Q6+AC6+AS6+BM6+CG6+DA6+DY6+ES6+FM6+GG6</f>
        <v>54357551</v>
      </c>
      <c r="HG6" s="471">
        <f t="shared" si="53"/>
        <v>41142449</v>
      </c>
      <c r="HI6" s="471">
        <f>T6+AF6+AV6+BP6+CJ6+DD6+EB6+EV6+FP6+GJ6</f>
        <v>66700000</v>
      </c>
      <c r="HJ6" s="471">
        <f>U6+AG6+AW6+BQ6+CK6+DE6+EC6+EW6+FQ6+GK6</f>
        <v>1700000</v>
      </c>
      <c r="HK6" s="471">
        <f t="shared" si="54"/>
        <v>65000000</v>
      </c>
      <c r="HN6" s="471">
        <f>AJ6+AZ6+BT6+CN6+DH6+DP6+EF6+EZ6+FT6+GN6</f>
        <v>187500000</v>
      </c>
      <c r="HO6" s="471">
        <f>AK6+BA6+BU6+CO6+DI6+DQ6+EG6+FA6+FU6+GO6</f>
        <v>134781481.56999999</v>
      </c>
      <c r="HP6" s="471">
        <f t="shared" si="55"/>
        <v>52718518.430000007</v>
      </c>
      <c r="HR6" s="531"/>
      <c r="HT6" s="471">
        <f>BX6+CR6+DL6+EJ6+FD6+FX6+GR6</f>
        <v>24000000</v>
      </c>
      <c r="HU6" s="471">
        <f>BY6+CS6+DM6+EK6+FE6+FY6+GS6</f>
        <v>0</v>
      </c>
      <c r="HV6" s="471">
        <f t="shared" si="56"/>
        <v>24000000</v>
      </c>
      <c r="HX6" s="473">
        <f t="shared" si="57"/>
        <v>0</v>
      </c>
      <c r="HY6" s="474">
        <v>0</v>
      </c>
      <c r="ID6" s="473">
        <f>HU6+HO6+HJ6+HF6+HB6</f>
        <v>691479384.56999993</v>
      </c>
      <c r="IE6" s="473">
        <f>HV6+HP6+HK6+HG6+HC6</f>
        <v>393220615.43000001</v>
      </c>
      <c r="IF6" s="473"/>
    </row>
    <row r="7" spans="1:240" x14ac:dyDescent="0.25">
      <c r="A7" s="107">
        <v>4</v>
      </c>
      <c r="B7" s="107" t="s">
        <v>548</v>
      </c>
      <c r="C7" s="634" t="s">
        <v>65</v>
      </c>
      <c r="D7" s="488">
        <v>1000000</v>
      </c>
      <c r="E7" s="488">
        <v>1000000</v>
      </c>
      <c r="F7" s="475">
        <f t="shared" si="1"/>
        <v>0</v>
      </c>
      <c r="G7" s="488"/>
      <c r="H7" s="465">
        <v>15000000</v>
      </c>
      <c r="I7" s="465">
        <v>15000000</v>
      </c>
      <c r="J7" s="463">
        <f t="shared" si="2"/>
        <v>0</v>
      </c>
      <c r="K7" s="488"/>
      <c r="L7" s="465">
        <v>15000000</v>
      </c>
      <c r="M7" s="465">
        <v>15000000</v>
      </c>
      <c r="N7" s="543">
        <f t="shared" si="3"/>
        <v>0</v>
      </c>
      <c r="O7" s="488"/>
      <c r="P7" s="465">
        <v>2500000</v>
      </c>
      <c r="Q7" s="465">
        <v>2500000</v>
      </c>
      <c r="R7" s="543">
        <f t="shared" si="4"/>
        <v>0</v>
      </c>
      <c r="S7" s="488"/>
      <c r="T7" s="465">
        <v>1000000</v>
      </c>
      <c r="U7" s="465">
        <v>1000000</v>
      </c>
      <c r="V7" s="543">
        <f t="shared" si="5"/>
        <v>0</v>
      </c>
      <c r="W7" s="488"/>
      <c r="X7" s="465">
        <v>20000000</v>
      </c>
      <c r="Y7" s="465">
        <v>20000000</v>
      </c>
      <c r="Z7" s="543">
        <f t="shared" si="6"/>
        <v>0</v>
      </c>
      <c r="AA7" s="488"/>
      <c r="AB7" s="465">
        <v>5000000</v>
      </c>
      <c r="AC7" s="465">
        <v>5000000</v>
      </c>
      <c r="AD7" s="543">
        <f t="shared" si="7"/>
        <v>0</v>
      </c>
      <c r="AE7" s="488"/>
      <c r="AF7" s="465">
        <v>2000000</v>
      </c>
      <c r="AG7" s="465">
        <v>2000000</v>
      </c>
      <c r="AH7" s="543">
        <f t="shared" si="8"/>
        <v>0</v>
      </c>
      <c r="AI7" s="488"/>
      <c r="AJ7" s="465">
        <v>7500000</v>
      </c>
      <c r="AK7" s="465">
        <v>7500000</v>
      </c>
      <c r="AL7" s="543">
        <f t="shared" si="9"/>
        <v>0</v>
      </c>
      <c r="AM7" s="465"/>
      <c r="AN7" s="465">
        <v>30000000</v>
      </c>
      <c r="AO7" s="521">
        <v>30000000</v>
      </c>
      <c r="AP7" s="543">
        <f t="shared" si="10"/>
        <v>0</v>
      </c>
      <c r="AQ7" s="488"/>
      <c r="AR7" s="465">
        <v>3000000</v>
      </c>
      <c r="AS7" s="465">
        <v>3000000</v>
      </c>
      <c r="AT7" s="543">
        <f t="shared" si="11"/>
        <v>0</v>
      </c>
      <c r="AU7" s="488"/>
      <c r="AV7" s="465">
        <v>2000000</v>
      </c>
      <c r="AW7" s="465">
        <v>2000000</v>
      </c>
      <c r="AX7" s="543">
        <f t="shared" si="12"/>
        <v>0</v>
      </c>
      <c r="AY7" s="488"/>
      <c r="AZ7" s="465">
        <v>10000000</v>
      </c>
      <c r="BA7" s="465">
        <v>10000000</v>
      </c>
      <c r="BB7" s="543">
        <f t="shared" si="13"/>
        <v>0</v>
      </c>
      <c r="BC7" s="488"/>
      <c r="BD7" s="465">
        <v>0</v>
      </c>
      <c r="BE7" s="465">
        <v>0</v>
      </c>
      <c r="BF7" s="543">
        <f t="shared" si="14"/>
        <v>0</v>
      </c>
      <c r="BG7" s="488"/>
      <c r="BH7" s="465">
        <v>55000000</v>
      </c>
      <c r="BI7" s="465">
        <v>55000000</v>
      </c>
      <c r="BJ7" s="543">
        <f t="shared" si="15"/>
        <v>0</v>
      </c>
      <c r="BK7" s="488"/>
      <c r="BL7" s="465">
        <v>5000000</v>
      </c>
      <c r="BM7" s="465">
        <v>5000000</v>
      </c>
      <c r="BN7" s="543">
        <f t="shared" si="16"/>
        <v>0</v>
      </c>
      <c r="BO7" s="488"/>
      <c r="BP7" s="465">
        <v>5000000</v>
      </c>
      <c r="BQ7" s="465">
        <v>5000000</v>
      </c>
      <c r="BR7" s="543">
        <f t="shared" si="17"/>
        <v>0</v>
      </c>
      <c r="BS7" s="488"/>
      <c r="BT7" s="465">
        <v>15000000</v>
      </c>
      <c r="BU7" s="465">
        <v>15000000</v>
      </c>
      <c r="BV7" s="543">
        <f t="shared" si="18"/>
        <v>0</v>
      </c>
      <c r="BW7" s="488"/>
      <c r="BX7" s="465">
        <v>1000000</v>
      </c>
      <c r="BY7" s="465">
        <v>1000000</v>
      </c>
      <c r="BZ7" s="543">
        <f t="shared" si="19"/>
        <v>0</v>
      </c>
      <c r="CA7" s="488"/>
      <c r="CB7" s="468">
        <v>80000000</v>
      </c>
      <c r="CC7" s="465">
        <v>80000000</v>
      </c>
      <c r="CD7" s="543">
        <f t="shared" si="20"/>
        <v>0</v>
      </c>
      <c r="CE7" s="488"/>
      <c r="CF7" s="468">
        <v>10000000</v>
      </c>
      <c r="CG7" s="468">
        <v>10000000</v>
      </c>
      <c r="CH7" s="543">
        <f t="shared" si="21"/>
        <v>0</v>
      </c>
      <c r="CI7" s="488"/>
      <c r="CJ7" s="468">
        <v>10000000</v>
      </c>
      <c r="CK7" s="589">
        <v>10000000</v>
      </c>
      <c r="CL7" s="543">
        <f t="shared" si="22"/>
        <v>0</v>
      </c>
      <c r="CM7" s="488"/>
      <c r="CN7" s="468">
        <v>30000000</v>
      </c>
      <c r="CO7" s="468">
        <v>30000000</v>
      </c>
      <c r="CP7" s="543">
        <f t="shared" si="23"/>
        <v>0</v>
      </c>
      <c r="CQ7" s="488"/>
      <c r="CR7" s="465">
        <v>5000000</v>
      </c>
      <c r="CS7" s="468">
        <v>5000000</v>
      </c>
      <c r="CT7" s="465">
        <f t="shared" si="24"/>
        <v>0</v>
      </c>
      <c r="CU7" s="488"/>
      <c r="CV7" s="525">
        <v>80000000</v>
      </c>
      <c r="CW7" s="483">
        <f>46429519+27343690+6226791</f>
        <v>80000000</v>
      </c>
      <c r="CX7" s="543">
        <f t="shared" si="25"/>
        <v>0</v>
      </c>
      <c r="CY7" s="471"/>
      <c r="CZ7" s="468">
        <v>20000000</v>
      </c>
      <c r="DA7" s="468">
        <v>20000000</v>
      </c>
      <c r="DB7" s="543">
        <f t="shared" si="26"/>
        <v>0</v>
      </c>
      <c r="DC7" s="471"/>
      <c r="DD7" s="468">
        <v>20000000</v>
      </c>
      <c r="DE7" s="589">
        <v>20000000</v>
      </c>
      <c r="DF7" s="543">
        <f t="shared" si="27"/>
        <v>0</v>
      </c>
      <c r="DG7" s="488"/>
      <c r="DH7" s="468">
        <v>50000000</v>
      </c>
      <c r="DI7" s="468">
        <v>50000000</v>
      </c>
      <c r="DJ7" s="543">
        <f t="shared" si="28"/>
        <v>0</v>
      </c>
      <c r="DK7" s="488"/>
      <c r="DL7" s="465">
        <v>6000000</v>
      </c>
      <c r="DM7" s="468">
        <v>6000000</v>
      </c>
      <c r="DN7" s="465">
        <f t="shared" si="29"/>
        <v>0</v>
      </c>
      <c r="DO7" s="488"/>
      <c r="DP7" s="471">
        <v>0</v>
      </c>
      <c r="DQ7" s="471">
        <v>0</v>
      </c>
      <c r="DR7" s="471">
        <f t="shared" si="30"/>
        <v>0</v>
      </c>
      <c r="DT7" s="471">
        <v>60000000</v>
      </c>
      <c r="DU7" s="471">
        <f>5150000-5150000+5150000+13800000+41050000</f>
        <v>60000000</v>
      </c>
      <c r="DV7" s="471">
        <f t="shared" si="31"/>
        <v>0</v>
      </c>
      <c r="DX7" s="471">
        <v>10000000</v>
      </c>
      <c r="DY7" s="471">
        <f>17449000+4959000-12408000</f>
        <v>10000000</v>
      </c>
      <c r="DZ7" s="471">
        <f t="shared" si="32"/>
        <v>0</v>
      </c>
      <c r="EB7" s="471">
        <v>10000000</v>
      </c>
      <c r="EC7" s="471">
        <v>10667500</v>
      </c>
      <c r="ED7" s="471">
        <f t="shared" si="33"/>
        <v>-667500</v>
      </c>
      <c r="EF7" s="471">
        <v>20000000</v>
      </c>
      <c r="EG7" s="471">
        <f>7358+9354420+4618650+6019572</f>
        <v>20000000</v>
      </c>
      <c r="EH7" s="471">
        <f t="shared" si="34"/>
        <v>0</v>
      </c>
      <c r="EJ7" s="471">
        <v>3000000</v>
      </c>
      <c r="EK7" s="471">
        <f>2793389.25+206610.75</f>
        <v>3000000</v>
      </c>
      <c r="EL7" s="471">
        <f t="shared" si="35"/>
        <v>0</v>
      </c>
      <c r="EM7" s="634"/>
      <c r="EN7" s="465">
        <v>200000000</v>
      </c>
      <c r="EO7" s="465">
        <f>46035794+21767500+56961250+10500000+40775000+23960456</f>
        <v>200000000</v>
      </c>
      <c r="EP7" s="465">
        <f t="shared" si="36"/>
        <v>0</v>
      </c>
      <c r="EQ7" s="465"/>
      <c r="ER7" s="465">
        <v>10000000</v>
      </c>
      <c r="ES7" s="479">
        <f>12408000-2408000</f>
        <v>10000000</v>
      </c>
      <c r="ET7" s="465">
        <f t="shared" si="37"/>
        <v>0</v>
      </c>
      <c r="EU7" s="465"/>
      <c r="EV7" s="465">
        <v>10000000</v>
      </c>
      <c r="EW7" s="465">
        <v>0</v>
      </c>
      <c r="EX7" s="465">
        <f t="shared" si="38"/>
        <v>10000000</v>
      </c>
      <c r="EY7" s="465"/>
      <c r="EZ7" s="465">
        <v>25000000</v>
      </c>
      <c r="FA7" s="484">
        <f>7134548+1998800+2899402+2390300+376000+3890825+5168775</f>
        <v>23858650</v>
      </c>
      <c r="FB7" s="465">
        <f t="shared" si="39"/>
        <v>1141350</v>
      </c>
      <c r="FC7" s="465"/>
      <c r="FD7" s="465">
        <v>3000000</v>
      </c>
      <c r="FE7" s="487">
        <f>793389.25+321300+1885310.75</f>
        <v>3000000</v>
      </c>
      <c r="FF7" s="465">
        <f t="shared" si="40"/>
        <v>0</v>
      </c>
      <c r="FG7" s="465"/>
      <c r="FH7" s="637">
        <v>65000000</v>
      </c>
      <c r="FI7" s="639">
        <f>36312044-1500000+10200000+6900000-13800000+14473209+7300800</f>
        <v>59886053</v>
      </c>
      <c r="FJ7" s="637">
        <f t="shared" si="41"/>
        <v>5113947</v>
      </c>
      <c r="FK7" s="637"/>
      <c r="FL7" s="637">
        <v>8000000</v>
      </c>
      <c r="FM7" s="640">
        <f>2408000+3354000</f>
        <v>5762000</v>
      </c>
      <c r="FN7" s="637">
        <f t="shared" si="42"/>
        <v>2238000</v>
      </c>
      <c r="FO7" s="637"/>
      <c r="FP7" s="637">
        <v>5000000</v>
      </c>
      <c r="FQ7" s="637">
        <v>0</v>
      </c>
      <c r="FR7" s="637">
        <f t="shared" si="43"/>
        <v>5000000</v>
      </c>
      <c r="FS7" s="637"/>
      <c r="FT7" s="637">
        <v>18000000</v>
      </c>
      <c r="FU7" s="637">
        <v>0</v>
      </c>
      <c r="FV7" s="637">
        <f t="shared" si="44"/>
        <v>18000000</v>
      </c>
      <c r="FW7" s="637"/>
      <c r="FX7" s="637">
        <v>3000000</v>
      </c>
      <c r="FY7" s="641">
        <f>664689.25+1540665.75</f>
        <v>2205355</v>
      </c>
      <c r="FZ7" s="637">
        <f t="shared" si="45"/>
        <v>794645</v>
      </c>
      <c r="GA7" s="637"/>
      <c r="GB7" s="637">
        <v>90000000</v>
      </c>
      <c r="GC7" s="637">
        <v>0</v>
      </c>
      <c r="GD7" s="637">
        <f t="shared" si="46"/>
        <v>90000000</v>
      </c>
      <c r="GE7" s="637"/>
      <c r="GF7" s="637">
        <v>22000000</v>
      </c>
      <c r="GG7" s="637">
        <v>0</v>
      </c>
      <c r="GH7" s="637">
        <f t="shared" si="47"/>
        <v>22000000</v>
      </c>
      <c r="GI7" s="637"/>
      <c r="GJ7" s="637">
        <v>3000000</v>
      </c>
      <c r="GK7" s="637">
        <v>0</v>
      </c>
      <c r="GL7" s="637">
        <f t="shared" si="48"/>
        <v>3000000</v>
      </c>
      <c r="GM7" s="637"/>
      <c r="GN7" s="636">
        <v>12000000</v>
      </c>
      <c r="GO7" s="636">
        <v>0</v>
      </c>
      <c r="GP7" s="636">
        <f t="shared" si="0"/>
        <v>12000000</v>
      </c>
      <c r="GQ7" s="637"/>
      <c r="GR7" s="637">
        <v>3000000</v>
      </c>
      <c r="GS7" s="637">
        <v>0</v>
      </c>
      <c r="GT7" s="637">
        <f t="shared" si="49"/>
        <v>3000000</v>
      </c>
      <c r="GU7" s="637"/>
      <c r="GV7" s="587">
        <f t="shared" si="50"/>
        <v>1086000000</v>
      </c>
      <c r="GW7" s="587">
        <f t="shared" si="50"/>
        <v>914379558</v>
      </c>
      <c r="GX7" s="468">
        <f t="shared" si="51"/>
        <v>171620442</v>
      </c>
      <c r="GZ7" s="519"/>
      <c r="HA7" s="468">
        <f>D7+H7+L7+X7+AN7+BH7+CB7+CV7+DT7+EN7+FH7+GB7</f>
        <v>711000000</v>
      </c>
      <c r="HB7" s="468">
        <f>E7+I7+M7+Y7+AO7+BI7+CC7+CW7+DU7+EO7+FI7+GC7</f>
        <v>615886053</v>
      </c>
      <c r="HC7" s="471">
        <f t="shared" si="52"/>
        <v>95113947</v>
      </c>
      <c r="HE7" s="471">
        <f>P7+AB7+AR7+BL7+CF7+CZ7+DX7+ER7+FL7+GF7</f>
        <v>95500000</v>
      </c>
      <c r="HF7" s="471">
        <f>Q7+AC7+AS7+BM7+CG7+DA7+DY7+ES7+FM7+GG7</f>
        <v>71262000</v>
      </c>
      <c r="HG7" s="471">
        <f t="shared" si="53"/>
        <v>24238000</v>
      </c>
      <c r="HI7" s="471">
        <f>T7+AF7+AV7+BP7+CJ7+DD7+EB7+EV7+FP7+GJ7</f>
        <v>68000000</v>
      </c>
      <c r="HJ7" s="471">
        <f>U7+AG7+AW7+BQ7+CK7+DE7+EC7+EW7+FQ7+GK7</f>
        <v>50667500</v>
      </c>
      <c r="HK7" s="471">
        <f t="shared" si="54"/>
        <v>17332500</v>
      </c>
      <c r="HN7" s="471">
        <f>AJ7+AZ7+BT7+CN7+DH7+DP7+EF7+EZ7+FT7+GN7</f>
        <v>187500000</v>
      </c>
      <c r="HO7" s="471">
        <f>AK7+BA7+BU7+CO7+DI7+DQ7+EG7+FA7+FU7+GO7</f>
        <v>156358650</v>
      </c>
      <c r="HP7" s="471">
        <f t="shared" si="55"/>
        <v>31141350</v>
      </c>
      <c r="HR7" s="531"/>
      <c r="HT7" s="471">
        <f>BX7+CR7+DL7+EJ7+FD7+FX7+GR7</f>
        <v>24000000</v>
      </c>
      <c r="HU7" s="471">
        <f>BY7+CS7+DM7+EK7+FE7+FY7+GS7</f>
        <v>20205355</v>
      </c>
      <c r="HV7" s="471">
        <f t="shared" si="56"/>
        <v>3794645</v>
      </c>
      <c r="HX7" s="473">
        <f t="shared" si="57"/>
        <v>4090665.75</v>
      </c>
      <c r="HY7" s="474">
        <v>16114689.25</v>
      </c>
      <c r="ID7" s="473">
        <f>HU7+HO7+HJ7+HF7+HB7</f>
        <v>914379558</v>
      </c>
      <c r="IE7" s="473">
        <f>HV7+HP7+HK7+HG7+HC7</f>
        <v>171620442</v>
      </c>
      <c r="IF7" s="473"/>
    </row>
    <row r="8" spans="1:240" x14ac:dyDescent="0.25">
      <c r="A8" s="107">
        <v>5</v>
      </c>
      <c r="B8" s="107" t="s">
        <v>549</v>
      </c>
      <c r="C8" s="634" t="s">
        <v>76</v>
      </c>
      <c r="D8" s="488">
        <v>1000000</v>
      </c>
      <c r="E8" s="488">
        <v>1000000</v>
      </c>
      <c r="F8" s="475">
        <f t="shared" si="1"/>
        <v>0</v>
      </c>
      <c r="G8" s="488"/>
      <c r="H8" s="465">
        <v>15000000</v>
      </c>
      <c r="I8" s="465">
        <v>15000000</v>
      </c>
      <c r="J8" s="463">
        <f t="shared" si="2"/>
        <v>0</v>
      </c>
      <c r="K8" s="488"/>
      <c r="L8" s="465">
        <v>13050000</v>
      </c>
      <c r="M8" s="465">
        <v>13050000</v>
      </c>
      <c r="N8" s="543">
        <f t="shared" si="3"/>
        <v>0</v>
      </c>
      <c r="O8" s="488"/>
      <c r="P8" s="465">
        <v>2500000</v>
      </c>
      <c r="Q8" s="465">
        <v>2500000</v>
      </c>
      <c r="R8" s="543">
        <f t="shared" si="4"/>
        <v>0</v>
      </c>
      <c r="S8" s="488"/>
      <c r="T8" s="465">
        <v>850000</v>
      </c>
      <c r="U8" s="465">
        <v>850000</v>
      </c>
      <c r="V8" s="543">
        <f t="shared" si="5"/>
        <v>0</v>
      </c>
      <c r="W8" s="488"/>
      <c r="X8" s="465">
        <v>20000000</v>
      </c>
      <c r="Y8" s="465">
        <v>20000000</v>
      </c>
      <c r="Z8" s="543">
        <f t="shared" si="6"/>
        <v>0</v>
      </c>
      <c r="AA8" s="488"/>
      <c r="AB8" s="465">
        <v>5000000</v>
      </c>
      <c r="AC8" s="465">
        <v>5000000</v>
      </c>
      <c r="AD8" s="543">
        <f t="shared" si="7"/>
        <v>0</v>
      </c>
      <c r="AE8" s="488"/>
      <c r="AF8" s="465">
        <v>0</v>
      </c>
      <c r="AG8" s="465">
        <v>0</v>
      </c>
      <c r="AH8" s="543">
        <f t="shared" si="8"/>
        <v>0</v>
      </c>
      <c r="AI8" s="488"/>
      <c r="AJ8" s="465">
        <v>7500000</v>
      </c>
      <c r="AK8" s="465">
        <v>7500000</v>
      </c>
      <c r="AL8" s="543">
        <f t="shared" si="9"/>
        <v>0</v>
      </c>
      <c r="AM8" s="283"/>
      <c r="AN8" s="465">
        <v>30000000</v>
      </c>
      <c r="AO8" s="465">
        <v>13720550</v>
      </c>
      <c r="AP8" s="543">
        <f t="shared" si="10"/>
        <v>16279450</v>
      </c>
      <c r="AQ8" s="488"/>
      <c r="AR8" s="465">
        <v>3000000</v>
      </c>
      <c r="AS8" s="465">
        <v>3000000</v>
      </c>
      <c r="AT8" s="543">
        <f t="shared" si="11"/>
        <v>0</v>
      </c>
      <c r="AU8" s="488"/>
      <c r="AV8" s="465">
        <v>2000000</v>
      </c>
      <c r="AW8" s="465">
        <v>0</v>
      </c>
      <c r="AX8" s="543">
        <f t="shared" si="12"/>
        <v>2000000</v>
      </c>
      <c r="AY8" s="488"/>
      <c r="AZ8" s="465">
        <v>10000000</v>
      </c>
      <c r="BA8" s="465">
        <v>10000000</v>
      </c>
      <c r="BB8" s="543">
        <f t="shared" si="13"/>
        <v>0</v>
      </c>
      <c r="BC8" s="488"/>
      <c r="BD8" s="465">
        <v>0</v>
      </c>
      <c r="BE8" s="465">
        <v>0</v>
      </c>
      <c r="BF8" s="543">
        <f t="shared" si="14"/>
        <v>0</v>
      </c>
      <c r="BG8" s="488"/>
      <c r="BH8" s="465">
        <v>55000000</v>
      </c>
      <c r="BI8" s="465">
        <v>6150000</v>
      </c>
      <c r="BJ8" s="543">
        <f t="shared" si="15"/>
        <v>48850000</v>
      </c>
      <c r="BK8" s="488"/>
      <c r="BL8" s="465">
        <v>5000000</v>
      </c>
      <c r="BM8" s="283">
        <f>4411000+589000</f>
        <v>5000000</v>
      </c>
      <c r="BN8" s="543">
        <f t="shared" si="16"/>
        <v>0</v>
      </c>
      <c r="BO8" s="488"/>
      <c r="BP8" s="465">
        <v>5000000</v>
      </c>
      <c r="BQ8" s="465">
        <v>0</v>
      </c>
      <c r="BR8" s="543">
        <f t="shared" si="17"/>
        <v>5000000</v>
      </c>
      <c r="BS8" s="488"/>
      <c r="BT8" s="465">
        <v>15000000</v>
      </c>
      <c r="BU8" s="465">
        <v>15000000</v>
      </c>
      <c r="BV8" s="543">
        <f t="shared" si="18"/>
        <v>0</v>
      </c>
      <c r="BW8" s="488"/>
      <c r="BX8" s="465">
        <v>1000000</v>
      </c>
      <c r="BY8" s="465">
        <v>0</v>
      </c>
      <c r="BZ8" s="543">
        <f t="shared" si="19"/>
        <v>1000000</v>
      </c>
      <c r="CA8" s="488"/>
      <c r="CB8" s="468">
        <v>80000000</v>
      </c>
      <c r="CC8" s="465">
        <v>9600000</v>
      </c>
      <c r="CD8" s="543">
        <f t="shared" si="20"/>
        <v>70400000</v>
      </c>
      <c r="CE8" s="488"/>
      <c r="CF8" s="468">
        <v>10000000</v>
      </c>
      <c r="CG8" s="468">
        <f>383000+1932960</f>
        <v>2315960</v>
      </c>
      <c r="CH8" s="543">
        <f t="shared" si="21"/>
        <v>7684040</v>
      </c>
      <c r="CI8" s="488"/>
      <c r="CJ8" s="468">
        <v>10000000</v>
      </c>
      <c r="CK8" s="468">
        <v>0</v>
      </c>
      <c r="CL8" s="543">
        <f t="shared" si="22"/>
        <v>10000000</v>
      </c>
      <c r="CM8" s="488"/>
      <c r="CN8" s="468">
        <v>30000000</v>
      </c>
      <c r="CO8" s="468">
        <v>30000000</v>
      </c>
      <c r="CP8" s="543">
        <f t="shared" si="23"/>
        <v>0</v>
      </c>
      <c r="CQ8" s="488"/>
      <c r="CR8" s="465">
        <v>5000000</v>
      </c>
      <c r="CS8" s="468">
        <v>0</v>
      </c>
      <c r="CT8" s="465">
        <f t="shared" si="24"/>
        <v>5000000</v>
      </c>
      <c r="CU8" s="488"/>
      <c r="CV8" s="525">
        <v>80000000</v>
      </c>
      <c r="CW8" s="465">
        <v>74447500</v>
      </c>
      <c r="CX8" s="543">
        <f t="shared" si="25"/>
        <v>5552500</v>
      </c>
      <c r="CY8" s="471"/>
      <c r="CZ8" s="468">
        <v>20000000</v>
      </c>
      <c r="DA8" s="468">
        <v>0</v>
      </c>
      <c r="DB8" s="543">
        <f t="shared" si="26"/>
        <v>20000000</v>
      </c>
      <c r="DC8" s="471"/>
      <c r="DD8" s="468">
        <v>20000000</v>
      </c>
      <c r="DE8" s="468">
        <v>0</v>
      </c>
      <c r="DF8" s="543">
        <f t="shared" si="27"/>
        <v>20000000</v>
      </c>
      <c r="DG8" s="488"/>
      <c r="DH8" s="468">
        <v>50000000</v>
      </c>
      <c r="DI8" s="469">
        <f>26555086.5+2255523+175600+13504495+7509295.5</f>
        <v>50000000</v>
      </c>
      <c r="DJ8" s="543">
        <f t="shared" si="28"/>
        <v>0</v>
      </c>
      <c r="DK8" s="488"/>
      <c r="DL8" s="465">
        <v>6000000</v>
      </c>
      <c r="DM8" s="468">
        <v>0</v>
      </c>
      <c r="DN8" s="465">
        <f t="shared" si="29"/>
        <v>6000000</v>
      </c>
      <c r="DO8" s="488"/>
      <c r="DP8" s="471">
        <v>0</v>
      </c>
      <c r="DQ8" s="471">
        <v>0</v>
      </c>
      <c r="DR8" s="471">
        <f t="shared" si="30"/>
        <v>0</v>
      </c>
      <c r="DT8" s="471">
        <v>60000000</v>
      </c>
      <c r="DU8" s="471">
        <v>0</v>
      </c>
      <c r="DV8" s="471">
        <f t="shared" si="31"/>
        <v>60000000</v>
      </c>
      <c r="DX8" s="471">
        <v>10000000</v>
      </c>
      <c r="DY8" s="471">
        <v>0</v>
      </c>
      <c r="DZ8" s="471">
        <f t="shared" si="32"/>
        <v>10000000</v>
      </c>
      <c r="EB8" s="471">
        <v>10000000</v>
      </c>
      <c r="EC8" s="471">
        <v>0</v>
      </c>
      <c r="ED8" s="471">
        <f t="shared" si="33"/>
        <v>10000000</v>
      </c>
      <c r="EF8" s="471">
        <v>20000000</v>
      </c>
      <c r="EG8" s="540">
        <f>1002350+12964620+6033030</f>
        <v>20000000</v>
      </c>
      <c r="EH8" s="471">
        <f t="shared" si="34"/>
        <v>0</v>
      </c>
      <c r="EJ8" s="471">
        <v>3000000</v>
      </c>
      <c r="EK8" s="471">
        <v>0</v>
      </c>
      <c r="EL8" s="471">
        <f t="shared" si="35"/>
        <v>3000000</v>
      </c>
      <c r="EM8" s="634"/>
      <c r="EN8" s="465">
        <v>200000000</v>
      </c>
      <c r="EO8" s="465">
        <v>0</v>
      </c>
      <c r="EP8" s="465">
        <f t="shared" si="36"/>
        <v>200000000</v>
      </c>
      <c r="EQ8" s="465"/>
      <c r="ER8" s="465">
        <v>10000000</v>
      </c>
      <c r="ES8" s="465">
        <v>0</v>
      </c>
      <c r="ET8" s="465">
        <f t="shared" si="37"/>
        <v>10000000</v>
      </c>
      <c r="EU8" s="465"/>
      <c r="EV8" s="465">
        <v>10000000</v>
      </c>
      <c r="EW8" s="465">
        <v>0</v>
      </c>
      <c r="EX8" s="465">
        <f t="shared" si="38"/>
        <v>10000000</v>
      </c>
      <c r="EY8" s="465"/>
      <c r="EZ8" s="465">
        <v>25000000</v>
      </c>
      <c r="FA8" s="484">
        <f>9008554.5</f>
        <v>9008554.5</v>
      </c>
      <c r="FB8" s="465">
        <f t="shared" si="39"/>
        <v>15991445.5</v>
      </c>
      <c r="FC8" s="465"/>
      <c r="FD8" s="465">
        <v>3000000</v>
      </c>
      <c r="FE8" s="465">
        <v>0</v>
      </c>
      <c r="FF8" s="465">
        <f t="shared" si="40"/>
        <v>3000000</v>
      </c>
      <c r="FG8" s="465"/>
      <c r="FH8" s="637">
        <v>65000000</v>
      </c>
      <c r="FI8" s="637">
        <v>0</v>
      </c>
      <c r="FJ8" s="637">
        <f t="shared" si="41"/>
        <v>65000000</v>
      </c>
      <c r="FK8" s="637"/>
      <c r="FL8" s="637">
        <v>8000000</v>
      </c>
      <c r="FM8" s="637">
        <v>0</v>
      </c>
      <c r="FN8" s="637">
        <f t="shared" si="42"/>
        <v>8000000</v>
      </c>
      <c r="FO8" s="637"/>
      <c r="FP8" s="637">
        <v>5000000</v>
      </c>
      <c r="FQ8" s="637">
        <v>0</v>
      </c>
      <c r="FR8" s="637">
        <f t="shared" si="43"/>
        <v>5000000</v>
      </c>
      <c r="FS8" s="637"/>
      <c r="FT8" s="637">
        <v>18000000</v>
      </c>
      <c r="FU8" s="637">
        <v>0</v>
      </c>
      <c r="FV8" s="637">
        <f t="shared" si="44"/>
        <v>18000000</v>
      </c>
      <c r="FW8" s="637"/>
      <c r="FX8" s="637">
        <v>3000000</v>
      </c>
      <c r="FY8" s="637">
        <v>0</v>
      </c>
      <c r="FZ8" s="637">
        <f t="shared" si="45"/>
        <v>3000000</v>
      </c>
      <c r="GA8" s="637"/>
      <c r="GB8" s="637">
        <v>90000000</v>
      </c>
      <c r="GC8" s="637">
        <v>0</v>
      </c>
      <c r="GD8" s="637">
        <f t="shared" si="46"/>
        <v>90000000</v>
      </c>
      <c r="GE8" s="637"/>
      <c r="GF8" s="637">
        <v>22000000</v>
      </c>
      <c r="GG8" s="637">
        <v>0</v>
      </c>
      <c r="GH8" s="637">
        <f t="shared" si="47"/>
        <v>22000000</v>
      </c>
      <c r="GI8" s="637"/>
      <c r="GJ8" s="637">
        <v>3000000</v>
      </c>
      <c r="GK8" s="637">
        <v>0</v>
      </c>
      <c r="GL8" s="637">
        <f t="shared" si="48"/>
        <v>3000000</v>
      </c>
      <c r="GM8" s="637"/>
      <c r="GN8" s="636">
        <v>12000000</v>
      </c>
      <c r="GO8" s="636">
        <v>0</v>
      </c>
      <c r="GP8" s="636">
        <f t="shared" si="0"/>
        <v>12000000</v>
      </c>
      <c r="GQ8" s="637"/>
      <c r="GR8" s="637">
        <v>3000000</v>
      </c>
      <c r="GS8" s="637">
        <v>0</v>
      </c>
      <c r="GT8" s="637">
        <f t="shared" si="49"/>
        <v>3000000</v>
      </c>
      <c r="GU8" s="637"/>
      <c r="GV8" s="587">
        <f t="shared" si="50"/>
        <v>1081900000</v>
      </c>
      <c r="GW8" s="587">
        <f t="shared" si="50"/>
        <v>313142564.5</v>
      </c>
      <c r="GX8" s="468">
        <f t="shared" si="51"/>
        <v>768757435.5</v>
      </c>
      <c r="GZ8" s="519"/>
      <c r="HA8" s="468">
        <f>D8+H8+L8+X8+AN8+BH8+CB8+CV8+DT8+EN8+FH8+GB8</f>
        <v>709050000</v>
      </c>
      <c r="HB8" s="468">
        <f>E8+I8+M8+Y8+AO8+BI8+CC8+CW8+DU8+EO8+FI8+GC8</f>
        <v>152968050</v>
      </c>
      <c r="HC8" s="471">
        <f t="shared" si="52"/>
        <v>556081950</v>
      </c>
      <c r="HE8" s="471">
        <f>P8+AB8+AR8+BL8+CF8+CZ8+DX8+ER8+FL8+GF8</f>
        <v>95500000</v>
      </c>
      <c r="HF8" s="471">
        <f>Q8+AC8+AS8+BM8+CG8+DA8+DY8+ES8+FM8+GG8</f>
        <v>17815960</v>
      </c>
      <c r="HG8" s="471">
        <f t="shared" si="53"/>
        <v>77684040</v>
      </c>
      <c r="HI8" s="471">
        <f>T8+AF8+AV8+BP8+CJ8+DD8+EB8+EV8+FP8+GJ8</f>
        <v>65850000</v>
      </c>
      <c r="HJ8" s="471">
        <f>U8+AG8+AW8+BQ8+CK8+DE8+EC8+EW8+FQ8+GK8</f>
        <v>850000</v>
      </c>
      <c r="HK8" s="471">
        <f t="shared" si="54"/>
        <v>65000000</v>
      </c>
      <c r="HN8" s="471">
        <f>AJ8+AZ8+BT8+CN8+DH8+DP8+EF8+EZ8+FT8+GN8</f>
        <v>187500000</v>
      </c>
      <c r="HO8" s="471">
        <f>AK8+BA8+BU8+CO8+DI8+DQ8+EG8+FA8+FU8+GO8</f>
        <v>141508554.5</v>
      </c>
      <c r="HP8" s="471">
        <f t="shared" si="55"/>
        <v>45991445.5</v>
      </c>
      <c r="HR8" s="531"/>
      <c r="HT8" s="471">
        <f>BX8+CR8+DL8+EJ8+FD8+FX8+GR8</f>
        <v>24000000</v>
      </c>
      <c r="HU8" s="471">
        <f>BY8+CS8+DM8+EK8+FE8+FY8+GS8</f>
        <v>0</v>
      </c>
      <c r="HV8" s="471">
        <f t="shared" si="56"/>
        <v>24000000</v>
      </c>
      <c r="HX8" s="473">
        <f t="shared" si="57"/>
        <v>0</v>
      </c>
      <c r="HY8" s="474">
        <v>0</v>
      </c>
      <c r="ID8" s="473">
        <f>HU8+HO8+HJ8+HF8+HB8</f>
        <v>313142564.5</v>
      </c>
      <c r="IE8" s="473">
        <f>HV8+HP8+HK8+HG8+HC8</f>
        <v>768757435.5</v>
      </c>
      <c r="IF8" s="473"/>
    </row>
    <row r="9" spans="1:240" x14ac:dyDescent="0.25">
      <c r="A9" s="107">
        <v>6</v>
      </c>
      <c r="B9" s="107" t="s">
        <v>550</v>
      </c>
      <c r="C9" s="634" t="s">
        <v>74</v>
      </c>
      <c r="D9" s="465">
        <v>0</v>
      </c>
      <c r="E9" s="465">
        <v>0</v>
      </c>
      <c r="F9" s="475">
        <f t="shared" si="1"/>
        <v>0</v>
      </c>
      <c r="G9" s="465"/>
      <c r="H9" s="465">
        <v>15000000</v>
      </c>
      <c r="I9" s="465">
        <v>15000000</v>
      </c>
      <c r="J9" s="463">
        <f t="shared" si="2"/>
        <v>0</v>
      </c>
      <c r="K9" s="465"/>
      <c r="L9" s="465">
        <v>15000000</v>
      </c>
      <c r="M9" s="465">
        <v>15000000</v>
      </c>
      <c r="N9" s="543">
        <f t="shared" si="3"/>
        <v>0</v>
      </c>
      <c r="O9" s="465"/>
      <c r="P9" s="465">
        <v>2500000</v>
      </c>
      <c r="Q9" s="465">
        <v>2500000</v>
      </c>
      <c r="R9" s="543">
        <f t="shared" si="4"/>
        <v>0</v>
      </c>
      <c r="S9" s="465"/>
      <c r="T9" s="465">
        <v>1000000</v>
      </c>
      <c r="U9" s="465">
        <v>1000000</v>
      </c>
      <c r="V9" s="543">
        <f t="shared" si="5"/>
        <v>0</v>
      </c>
      <c r="W9" s="465"/>
      <c r="X9" s="465">
        <v>20000000</v>
      </c>
      <c r="Y9" s="465">
        <v>20000000</v>
      </c>
      <c r="Z9" s="543">
        <f t="shared" si="6"/>
        <v>0</v>
      </c>
      <c r="AA9" s="465"/>
      <c r="AB9" s="465">
        <v>5000000</v>
      </c>
      <c r="AC9" s="465">
        <v>5000000</v>
      </c>
      <c r="AD9" s="543">
        <f t="shared" si="7"/>
        <v>0</v>
      </c>
      <c r="AE9" s="465"/>
      <c r="AF9" s="465">
        <v>2000000</v>
      </c>
      <c r="AG9" s="465">
        <v>2000000</v>
      </c>
      <c r="AH9" s="543">
        <f t="shared" si="8"/>
        <v>0</v>
      </c>
      <c r="AI9" s="465"/>
      <c r="AJ9" s="465">
        <v>7500000</v>
      </c>
      <c r="AK9" s="465">
        <v>7500000</v>
      </c>
      <c r="AL9" s="543">
        <f t="shared" si="9"/>
        <v>0</v>
      </c>
      <c r="AN9" s="465">
        <v>30000000</v>
      </c>
      <c r="AO9" s="465">
        <v>30000000</v>
      </c>
      <c r="AP9" s="543">
        <f t="shared" si="10"/>
        <v>0</v>
      </c>
      <c r="AQ9" s="465"/>
      <c r="AR9" s="465">
        <v>3000000</v>
      </c>
      <c r="AS9" s="465">
        <v>3000000</v>
      </c>
      <c r="AT9" s="543">
        <f t="shared" si="11"/>
        <v>0</v>
      </c>
      <c r="AU9" s="465"/>
      <c r="AV9" s="465">
        <v>2000000</v>
      </c>
      <c r="AW9" s="465">
        <v>1386000</v>
      </c>
      <c r="AX9" s="543">
        <f t="shared" si="12"/>
        <v>614000</v>
      </c>
      <c r="AY9" s="465"/>
      <c r="AZ9" s="465">
        <v>10000000</v>
      </c>
      <c r="BA9" s="465">
        <v>10000000</v>
      </c>
      <c r="BB9" s="543">
        <f t="shared" si="13"/>
        <v>0</v>
      </c>
      <c r="BC9" s="465"/>
      <c r="BD9" s="465">
        <v>0</v>
      </c>
      <c r="BE9" s="465">
        <v>0</v>
      </c>
      <c r="BF9" s="543">
        <f t="shared" si="14"/>
        <v>0</v>
      </c>
      <c r="BG9" s="465"/>
      <c r="BH9" s="465">
        <v>55000000</v>
      </c>
      <c r="BI9" s="465">
        <v>55000000</v>
      </c>
      <c r="BJ9" s="543">
        <f t="shared" si="15"/>
        <v>0</v>
      </c>
      <c r="BK9" s="465"/>
      <c r="BL9" s="465">
        <v>5000000</v>
      </c>
      <c r="BM9" s="465">
        <v>5000000</v>
      </c>
      <c r="BN9" s="543">
        <f t="shared" si="16"/>
        <v>0</v>
      </c>
      <c r="BO9" s="465"/>
      <c r="BP9" s="465">
        <v>5000000</v>
      </c>
      <c r="BQ9" s="465">
        <v>0</v>
      </c>
      <c r="BR9" s="543">
        <f t="shared" si="17"/>
        <v>5000000</v>
      </c>
      <c r="BS9" s="465"/>
      <c r="BT9" s="465">
        <v>15000000</v>
      </c>
      <c r="BU9" s="465">
        <v>15000000</v>
      </c>
      <c r="BV9" s="543">
        <f t="shared" si="18"/>
        <v>0</v>
      </c>
      <c r="BW9" s="465"/>
      <c r="BX9" s="465">
        <v>1000000</v>
      </c>
      <c r="BY9" s="465">
        <v>1000000</v>
      </c>
      <c r="BZ9" s="543">
        <f t="shared" si="19"/>
        <v>0</v>
      </c>
      <c r="CA9" s="465"/>
      <c r="CB9" s="468">
        <v>80000000</v>
      </c>
      <c r="CC9" s="465">
        <v>80000000</v>
      </c>
      <c r="CD9" s="543">
        <f t="shared" si="20"/>
        <v>0</v>
      </c>
      <c r="CE9" s="488"/>
      <c r="CF9" s="468">
        <v>10000000</v>
      </c>
      <c r="CG9" s="468">
        <v>10000000</v>
      </c>
      <c r="CH9" s="543">
        <f t="shared" si="21"/>
        <v>0</v>
      </c>
      <c r="CI9" s="465"/>
      <c r="CJ9" s="468">
        <v>10000000</v>
      </c>
      <c r="CK9" s="468">
        <v>0</v>
      </c>
      <c r="CL9" s="543">
        <f t="shared" si="22"/>
        <v>10000000</v>
      </c>
      <c r="CM9" s="465"/>
      <c r="CN9" s="468">
        <v>30000000</v>
      </c>
      <c r="CO9" s="468">
        <v>30000000</v>
      </c>
      <c r="CP9" s="543">
        <f t="shared" si="23"/>
        <v>0</v>
      </c>
      <c r="CQ9" s="590"/>
      <c r="CR9" s="465">
        <v>5000000</v>
      </c>
      <c r="CS9" s="468">
        <v>5000000</v>
      </c>
      <c r="CT9" s="465">
        <f t="shared" si="24"/>
        <v>0</v>
      </c>
      <c r="CU9" s="465"/>
      <c r="CV9" s="525">
        <v>80000000</v>
      </c>
      <c r="CW9" s="465">
        <v>80000000</v>
      </c>
      <c r="CX9" s="543">
        <f t="shared" si="25"/>
        <v>0</v>
      </c>
      <c r="CY9" s="471"/>
      <c r="CZ9" s="468">
        <v>20000000</v>
      </c>
      <c r="DA9" s="468">
        <v>20000000</v>
      </c>
      <c r="DB9" s="543">
        <f t="shared" si="26"/>
        <v>0</v>
      </c>
      <c r="DC9" s="471"/>
      <c r="DD9" s="468">
        <v>20000000</v>
      </c>
      <c r="DE9" s="468">
        <v>0</v>
      </c>
      <c r="DF9" s="543">
        <f t="shared" si="27"/>
        <v>20000000</v>
      </c>
      <c r="DG9" s="465"/>
      <c r="DH9" s="468">
        <v>50000000</v>
      </c>
      <c r="DI9" s="489">
        <f>47146950+2853050</f>
        <v>50000000</v>
      </c>
      <c r="DJ9" s="543">
        <f t="shared" si="28"/>
        <v>0</v>
      </c>
      <c r="DK9" s="465"/>
      <c r="DL9" s="465">
        <v>6000000</v>
      </c>
      <c r="DM9" s="468">
        <f>1744375+1000000+1543125</f>
        <v>4287500</v>
      </c>
      <c r="DN9" s="465">
        <f t="shared" si="29"/>
        <v>1712500</v>
      </c>
      <c r="DO9" s="465"/>
      <c r="DP9" s="471">
        <v>0</v>
      </c>
      <c r="DQ9" s="471">
        <v>0</v>
      </c>
      <c r="DR9" s="471">
        <f t="shared" si="30"/>
        <v>0</v>
      </c>
      <c r="DT9" s="471">
        <v>60000000</v>
      </c>
      <c r="DU9" s="471">
        <f>43870718.19+12000000+4129281.81</f>
        <v>60000000</v>
      </c>
      <c r="DV9" s="471">
        <f t="shared" si="31"/>
        <v>0</v>
      </c>
      <c r="DX9" s="471">
        <v>10000000</v>
      </c>
      <c r="DY9" s="471">
        <f>8186285+1258200</f>
        <v>9444485</v>
      </c>
      <c r="DZ9" s="471">
        <f t="shared" si="32"/>
        <v>555515</v>
      </c>
      <c r="EB9" s="471">
        <v>10000000</v>
      </c>
      <c r="EC9" s="471">
        <v>0</v>
      </c>
      <c r="ED9" s="471">
        <f t="shared" si="33"/>
        <v>10000000</v>
      </c>
      <c r="EF9" s="471">
        <v>20000000</v>
      </c>
      <c r="EG9" s="549">
        <f>1493699+6889860+5830340+2607690+1043300</f>
        <v>17864889</v>
      </c>
      <c r="EH9" s="471">
        <f t="shared" si="34"/>
        <v>2135111</v>
      </c>
      <c r="EJ9" s="471">
        <v>3000000</v>
      </c>
      <c r="EK9" s="471">
        <v>0</v>
      </c>
      <c r="EL9" s="471">
        <f t="shared" si="35"/>
        <v>3000000</v>
      </c>
      <c r="EM9" s="634"/>
      <c r="EN9" s="465">
        <v>200000000</v>
      </c>
      <c r="EO9" s="483">
        <f>73870718.19+22637500+34941232.5+21118750+18300000+29131799.31</f>
        <v>200000000</v>
      </c>
      <c r="EP9" s="465">
        <f t="shared" si="36"/>
        <v>0</v>
      </c>
      <c r="EQ9" s="465"/>
      <c r="ER9" s="465">
        <v>10000000</v>
      </c>
      <c r="ES9" s="465">
        <v>0</v>
      </c>
      <c r="ET9" s="465">
        <f t="shared" si="37"/>
        <v>10000000</v>
      </c>
      <c r="EU9" s="465"/>
      <c r="EV9" s="465">
        <v>10000000</v>
      </c>
      <c r="EW9" s="465">
        <v>0</v>
      </c>
      <c r="EX9" s="465">
        <f t="shared" si="38"/>
        <v>10000000</v>
      </c>
      <c r="EY9" s="465"/>
      <c r="EZ9" s="465">
        <v>25000000</v>
      </c>
      <c r="FA9" s="465">
        <v>10277540</v>
      </c>
      <c r="FB9" s="465">
        <f t="shared" si="39"/>
        <v>14722460</v>
      </c>
      <c r="FC9" s="465"/>
      <c r="FD9" s="465">
        <v>3000000</v>
      </c>
      <c r="FE9" s="465">
        <v>0</v>
      </c>
      <c r="FF9" s="465">
        <f t="shared" si="40"/>
        <v>3000000</v>
      </c>
      <c r="FG9" s="465"/>
      <c r="FH9" s="637">
        <v>65000000</v>
      </c>
      <c r="FI9" s="638">
        <f>50519370+7866585.69</f>
        <v>58385955.689999998</v>
      </c>
      <c r="FJ9" s="637">
        <f t="shared" si="41"/>
        <v>6614044.3100000024</v>
      </c>
      <c r="FK9" s="637"/>
      <c r="FL9" s="637">
        <v>8000000</v>
      </c>
      <c r="FM9" s="637">
        <v>0</v>
      </c>
      <c r="FN9" s="637">
        <f t="shared" si="42"/>
        <v>8000000</v>
      </c>
      <c r="FO9" s="637"/>
      <c r="FP9" s="637">
        <v>5000000</v>
      </c>
      <c r="FQ9" s="637">
        <v>0</v>
      </c>
      <c r="FR9" s="637">
        <f t="shared" si="43"/>
        <v>5000000</v>
      </c>
      <c r="FS9" s="637"/>
      <c r="FT9" s="637">
        <v>18000000</v>
      </c>
      <c r="FU9" s="637">
        <v>0</v>
      </c>
      <c r="FV9" s="637">
        <f t="shared" si="44"/>
        <v>18000000</v>
      </c>
      <c r="FW9" s="637"/>
      <c r="FX9" s="637">
        <v>3000000</v>
      </c>
      <c r="FY9" s="637">
        <v>0</v>
      </c>
      <c r="FZ9" s="637">
        <f t="shared" si="45"/>
        <v>3000000</v>
      </c>
      <c r="GA9" s="637"/>
      <c r="GB9" s="637">
        <v>90000000</v>
      </c>
      <c r="GC9" s="637">
        <v>0</v>
      </c>
      <c r="GD9" s="637">
        <f t="shared" si="46"/>
        <v>90000000</v>
      </c>
      <c r="GE9" s="637"/>
      <c r="GF9" s="637">
        <v>22000000</v>
      </c>
      <c r="GG9" s="637">
        <v>0</v>
      </c>
      <c r="GH9" s="637">
        <f t="shared" si="47"/>
        <v>22000000</v>
      </c>
      <c r="GI9" s="637"/>
      <c r="GJ9" s="637">
        <v>3000000</v>
      </c>
      <c r="GK9" s="637">
        <v>0</v>
      </c>
      <c r="GL9" s="637">
        <f t="shared" si="48"/>
        <v>3000000</v>
      </c>
      <c r="GM9" s="637"/>
      <c r="GN9" s="636">
        <v>12000000</v>
      </c>
      <c r="GO9" s="636">
        <v>0</v>
      </c>
      <c r="GP9" s="636">
        <f t="shared" si="0"/>
        <v>12000000</v>
      </c>
      <c r="GQ9" s="637"/>
      <c r="GR9" s="637">
        <v>3000000</v>
      </c>
      <c r="GS9" s="637">
        <v>0</v>
      </c>
      <c r="GT9" s="637">
        <f t="shared" si="49"/>
        <v>3000000</v>
      </c>
      <c r="GU9" s="637"/>
      <c r="GV9" s="587">
        <f t="shared" si="50"/>
        <v>1085000000</v>
      </c>
      <c r="GW9" s="587">
        <f t="shared" si="50"/>
        <v>823646369.69000006</v>
      </c>
      <c r="GX9" s="468">
        <f t="shared" si="51"/>
        <v>261353630.30999994</v>
      </c>
      <c r="GZ9" s="519"/>
      <c r="HA9" s="468">
        <f>D9+H9+L9+X9+AN9+BH9+CB9+CV9+DT9+EN9+FH9+GB9</f>
        <v>710000000</v>
      </c>
      <c r="HB9" s="468">
        <f>E9+I9+M9+Y9+AO9+BI9+CC9+CW9+DU9+EO9+FI9+GC9</f>
        <v>613385955.69000006</v>
      </c>
      <c r="HC9" s="471">
        <f t="shared" si="52"/>
        <v>96614044.309999943</v>
      </c>
      <c r="HE9" s="471">
        <f>P9+AB9+AR9+BL9+CF9+CZ9+DX9+ER9+FL9+GF9</f>
        <v>95500000</v>
      </c>
      <c r="HF9" s="471">
        <f>Q9+AC9+AS9+BM9+CG9+DA9+DY9+ES9+FM9+GG9</f>
        <v>54944485</v>
      </c>
      <c r="HG9" s="471">
        <f t="shared" si="53"/>
        <v>40555515</v>
      </c>
      <c r="HI9" s="471">
        <f>T9+AF9+AV9+BP9+CJ9+DD9+EB9+EV9+FP9+GJ9</f>
        <v>68000000</v>
      </c>
      <c r="HJ9" s="471">
        <f>U9+AG9+AW9+BQ9+CK9+DE9+EC9+EW9+FQ9+GK9</f>
        <v>4386000</v>
      </c>
      <c r="HK9" s="471">
        <f t="shared" si="54"/>
        <v>63614000</v>
      </c>
      <c r="HN9" s="471">
        <f>AJ9+AZ9+BT9+CN9+DH9+DP9+EF9+EZ9+FT9+GN9</f>
        <v>187500000</v>
      </c>
      <c r="HO9" s="471">
        <f>AK9+BA9+BU9+CO9+DI9+DQ9+EG9+FA9+FU9+GO9</f>
        <v>140642429</v>
      </c>
      <c r="HP9" s="471">
        <f t="shared" si="55"/>
        <v>46857571</v>
      </c>
      <c r="HR9" s="531"/>
      <c r="HT9" s="471">
        <f>BX9+CR9+DL9+EJ9+FD9+FX9+GR9</f>
        <v>24000000</v>
      </c>
      <c r="HU9" s="471">
        <f>BY9+CS9+DM9+EK9+FE9+FY9+GS9</f>
        <v>10287500</v>
      </c>
      <c r="HV9" s="471">
        <f t="shared" si="56"/>
        <v>13712500</v>
      </c>
      <c r="HX9" s="473">
        <f t="shared" si="57"/>
        <v>0</v>
      </c>
      <c r="HY9" s="474">
        <v>10287500</v>
      </c>
      <c r="ID9" s="473">
        <f>HU9+HO9+HJ9+HF9+HB9</f>
        <v>823646369.69000006</v>
      </c>
      <c r="IE9" s="473">
        <f>HV9+HP9+HK9+HG9+HC9</f>
        <v>261353630.30999994</v>
      </c>
      <c r="IF9" s="473"/>
    </row>
    <row r="10" spans="1:240" x14ac:dyDescent="0.25">
      <c r="A10" s="107">
        <v>7</v>
      </c>
      <c r="B10" s="107" t="s">
        <v>551</v>
      </c>
      <c r="C10" s="634" t="s">
        <v>63</v>
      </c>
      <c r="D10" s="488">
        <v>1000000</v>
      </c>
      <c r="E10" s="488">
        <v>1000000</v>
      </c>
      <c r="F10" s="475">
        <f t="shared" si="1"/>
        <v>0</v>
      </c>
      <c r="G10" s="488"/>
      <c r="H10" s="465">
        <v>15000000</v>
      </c>
      <c r="I10" s="465">
        <v>15000000</v>
      </c>
      <c r="J10" s="463">
        <f t="shared" si="2"/>
        <v>0</v>
      </c>
      <c r="K10" s="488"/>
      <c r="L10" s="465">
        <v>15000000</v>
      </c>
      <c r="M10" s="465">
        <v>15000000</v>
      </c>
      <c r="N10" s="543">
        <f t="shared" si="3"/>
        <v>0</v>
      </c>
      <c r="O10" s="488"/>
      <c r="P10" s="465">
        <v>2500000</v>
      </c>
      <c r="Q10" s="465">
        <v>2500000</v>
      </c>
      <c r="R10" s="543">
        <f t="shared" si="4"/>
        <v>0</v>
      </c>
      <c r="S10" s="488"/>
      <c r="T10" s="465">
        <v>1000000</v>
      </c>
      <c r="U10" s="465">
        <v>1000000</v>
      </c>
      <c r="V10" s="543">
        <f t="shared" si="5"/>
        <v>0</v>
      </c>
      <c r="W10" s="488"/>
      <c r="X10" s="465">
        <v>20000000</v>
      </c>
      <c r="Y10" s="465">
        <v>20000000</v>
      </c>
      <c r="Z10" s="543">
        <f t="shared" si="6"/>
        <v>0</v>
      </c>
      <c r="AA10" s="488"/>
      <c r="AB10" s="465">
        <v>4615000</v>
      </c>
      <c r="AC10" s="465">
        <v>4615000</v>
      </c>
      <c r="AD10" s="543">
        <f t="shared" si="7"/>
        <v>0</v>
      </c>
      <c r="AE10" s="488"/>
      <c r="AF10" s="465">
        <v>1550000</v>
      </c>
      <c r="AG10" s="465">
        <v>1550000</v>
      </c>
      <c r="AH10" s="543">
        <f t="shared" si="8"/>
        <v>0</v>
      </c>
      <c r="AI10" s="488"/>
      <c r="AJ10" s="465">
        <v>7500000</v>
      </c>
      <c r="AK10" s="465">
        <v>7500000</v>
      </c>
      <c r="AL10" s="543">
        <f t="shared" si="9"/>
        <v>0</v>
      </c>
      <c r="AM10" s="465"/>
      <c r="AN10" s="465">
        <v>30000000</v>
      </c>
      <c r="AO10" s="465">
        <v>30000000</v>
      </c>
      <c r="AP10" s="543">
        <f t="shared" si="10"/>
        <v>0</v>
      </c>
      <c r="AQ10" s="488"/>
      <c r="AR10" s="465">
        <v>3000000</v>
      </c>
      <c r="AS10" s="465">
        <v>3000000</v>
      </c>
      <c r="AT10" s="543">
        <f t="shared" si="11"/>
        <v>0</v>
      </c>
      <c r="AU10" s="488"/>
      <c r="AV10" s="465">
        <v>2000000</v>
      </c>
      <c r="AW10" s="465">
        <v>0</v>
      </c>
      <c r="AX10" s="543">
        <f t="shared" si="12"/>
        <v>2000000</v>
      </c>
      <c r="AY10" s="488"/>
      <c r="AZ10" s="465">
        <v>10000000</v>
      </c>
      <c r="BA10" s="465">
        <v>10000000</v>
      </c>
      <c r="BB10" s="543">
        <f t="shared" si="13"/>
        <v>0</v>
      </c>
      <c r="BC10" s="488"/>
      <c r="BD10" s="465">
        <v>0</v>
      </c>
      <c r="BE10" s="465">
        <v>0</v>
      </c>
      <c r="BF10" s="543">
        <f t="shared" si="14"/>
        <v>0</v>
      </c>
      <c r="BG10" s="488"/>
      <c r="BH10" s="465">
        <v>55000000</v>
      </c>
      <c r="BI10" s="465">
        <v>55000000</v>
      </c>
      <c r="BJ10" s="543">
        <f t="shared" si="15"/>
        <v>0</v>
      </c>
      <c r="BK10" s="488"/>
      <c r="BL10" s="465">
        <v>5000000</v>
      </c>
      <c r="BM10" s="465">
        <v>5000000</v>
      </c>
      <c r="BN10" s="543">
        <f t="shared" si="16"/>
        <v>0</v>
      </c>
      <c r="BO10" s="488"/>
      <c r="BP10" s="465">
        <v>5000000</v>
      </c>
      <c r="BQ10" s="465">
        <v>0</v>
      </c>
      <c r="BR10" s="543">
        <f t="shared" si="17"/>
        <v>5000000</v>
      </c>
      <c r="BS10" s="488"/>
      <c r="BT10" s="465">
        <v>15000000</v>
      </c>
      <c r="BU10" s="465">
        <v>15000000</v>
      </c>
      <c r="BV10" s="543">
        <f t="shared" si="18"/>
        <v>0</v>
      </c>
      <c r="BW10" s="488"/>
      <c r="BX10" s="465">
        <v>1000000</v>
      </c>
      <c r="BY10" s="465">
        <v>1000000</v>
      </c>
      <c r="BZ10" s="543">
        <f t="shared" si="19"/>
        <v>0</v>
      </c>
      <c r="CA10" s="488"/>
      <c r="CB10" s="468">
        <v>80000000</v>
      </c>
      <c r="CC10" s="465">
        <v>80000000</v>
      </c>
      <c r="CD10" s="543">
        <f t="shared" si="20"/>
        <v>0</v>
      </c>
      <c r="CE10" s="488"/>
      <c r="CF10" s="468">
        <v>10000000</v>
      </c>
      <c r="CG10" s="468">
        <v>10000000</v>
      </c>
      <c r="CH10" s="543">
        <f t="shared" si="21"/>
        <v>0</v>
      </c>
      <c r="CI10" s="488"/>
      <c r="CJ10" s="468">
        <v>10000000</v>
      </c>
      <c r="CK10" s="468">
        <v>0</v>
      </c>
      <c r="CL10" s="543">
        <f t="shared" si="22"/>
        <v>10000000</v>
      </c>
      <c r="CM10" s="488"/>
      <c r="CN10" s="468">
        <v>30000000</v>
      </c>
      <c r="CO10" s="468">
        <v>30000000</v>
      </c>
      <c r="CP10" s="543">
        <f t="shared" si="23"/>
        <v>0</v>
      </c>
      <c r="CQ10" s="471"/>
      <c r="CR10" s="465">
        <v>5000000</v>
      </c>
      <c r="CS10" s="468">
        <v>5000000</v>
      </c>
      <c r="CT10" s="465">
        <f t="shared" si="24"/>
        <v>0</v>
      </c>
      <c r="CU10" s="488"/>
      <c r="CV10" s="525">
        <v>80000000</v>
      </c>
      <c r="CW10" s="465">
        <v>80000000</v>
      </c>
      <c r="CX10" s="543">
        <f t="shared" si="25"/>
        <v>0</v>
      </c>
      <c r="CY10" s="471"/>
      <c r="CZ10" s="468">
        <v>20000000</v>
      </c>
      <c r="DA10" s="468">
        <v>20000000</v>
      </c>
      <c r="DB10" s="543">
        <f t="shared" si="26"/>
        <v>0</v>
      </c>
      <c r="DC10" s="471"/>
      <c r="DD10" s="468">
        <v>20000000</v>
      </c>
      <c r="DE10" s="468">
        <v>0</v>
      </c>
      <c r="DF10" s="543">
        <f t="shared" si="27"/>
        <v>20000000</v>
      </c>
      <c r="DG10" s="488"/>
      <c r="DH10" s="468">
        <v>50000000</v>
      </c>
      <c r="DI10" s="468">
        <f>49922779+77221</f>
        <v>50000000</v>
      </c>
      <c r="DJ10" s="543">
        <f t="shared" si="28"/>
        <v>0</v>
      </c>
      <c r="DK10" s="488"/>
      <c r="DL10" s="465">
        <v>6000000</v>
      </c>
      <c r="DM10" s="468">
        <f>2777205+1000000+2222795</f>
        <v>6000000</v>
      </c>
      <c r="DN10" s="465">
        <f t="shared" si="29"/>
        <v>0</v>
      </c>
      <c r="DO10" s="488"/>
      <c r="DP10" s="471">
        <v>0</v>
      </c>
      <c r="DQ10" s="471">
        <v>0</v>
      </c>
      <c r="DR10" s="471">
        <f t="shared" si="30"/>
        <v>0</v>
      </c>
      <c r="DT10" s="471">
        <v>60000000</v>
      </c>
      <c r="DU10" s="471">
        <f>65290430-5290430</f>
        <v>60000000</v>
      </c>
      <c r="DV10" s="471">
        <f t="shared" si="31"/>
        <v>0</v>
      </c>
      <c r="DX10" s="471">
        <v>10000000</v>
      </c>
      <c r="DY10" s="471">
        <f>4731900+969000+4299100</f>
        <v>10000000</v>
      </c>
      <c r="DZ10" s="471">
        <f t="shared" si="32"/>
        <v>0</v>
      </c>
      <c r="EB10" s="471">
        <v>10000000</v>
      </c>
      <c r="EC10" s="471">
        <v>0</v>
      </c>
      <c r="ED10" s="471">
        <f t="shared" si="33"/>
        <v>10000000</v>
      </c>
      <c r="EF10" s="471">
        <v>20000000</v>
      </c>
      <c r="EG10" s="471">
        <f>9036679+6038790+4924531</f>
        <v>20000000</v>
      </c>
      <c r="EH10" s="471">
        <f t="shared" si="34"/>
        <v>0</v>
      </c>
      <c r="EJ10" s="471">
        <v>3000000</v>
      </c>
      <c r="EK10" s="471">
        <v>3000000</v>
      </c>
      <c r="EL10" s="471">
        <f t="shared" si="35"/>
        <v>0</v>
      </c>
      <c r="EM10" s="634"/>
      <c r="EN10" s="465">
        <v>200000000</v>
      </c>
      <c r="EO10" s="465">
        <f>89100000+5290430+66664953+16176435+20002438+2765744</f>
        <v>200000000</v>
      </c>
      <c r="EP10" s="465">
        <f t="shared" si="36"/>
        <v>0</v>
      </c>
      <c r="EQ10" s="465"/>
      <c r="ER10" s="465">
        <v>10000000</v>
      </c>
      <c r="ES10" s="465">
        <f>81860+600000</f>
        <v>681860</v>
      </c>
      <c r="ET10" s="465">
        <f t="shared" si="37"/>
        <v>9318140</v>
      </c>
      <c r="EU10" s="465"/>
      <c r="EV10" s="465">
        <v>10000000</v>
      </c>
      <c r="EW10" s="465">
        <v>0</v>
      </c>
      <c r="EX10" s="465">
        <f t="shared" si="38"/>
        <v>10000000</v>
      </c>
      <c r="EY10" s="465"/>
      <c r="EZ10" s="465">
        <v>25000000</v>
      </c>
      <c r="FA10" s="465">
        <f>7964979+2482400+14552621</f>
        <v>25000000</v>
      </c>
      <c r="FB10" s="465">
        <f t="shared" si="39"/>
        <v>0</v>
      </c>
      <c r="FC10" s="465"/>
      <c r="FD10" s="465">
        <v>3000000</v>
      </c>
      <c r="FE10" s="465">
        <f>1186205</f>
        <v>1186205</v>
      </c>
      <c r="FF10" s="465">
        <f t="shared" si="40"/>
        <v>1813795</v>
      </c>
      <c r="FG10" s="465"/>
      <c r="FH10" s="637">
        <v>65000000</v>
      </c>
      <c r="FI10" s="637">
        <f>26812006+11700000+18168750</f>
        <v>56680756</v>
      </c>
      <c r="FJ10" s="637">
        <f t="shared" si="41"/>
        <v>8319244</v>
      </c>
      <c r="FK10" s="637"/>
      <c r="FL10" s="637">
        <v>8000000</v>
      </c>
      <c r="FM10" s="637">
        <v>0</v>
      </c>
      <c r="FN10" s="637">
        <f t="shared" si="42"/>
        <v>8000000</v>
      </c>
      <c r="FO10" s="637"/>
      <c r="FP10" s="637">
        <v>5000000</v>
      </c>
      <c r="FQ10" s="637">
        <v>0</v>
      </c>
      <c r="FR10" s="637">
        <f t="shared" si="43"/>
        <v>5000000</v>
      </c>
      <c r="FS10" s="637"/>
      <c r="FT10" s="637">
        <v>18000000</v>
      </c>
      <c r="FU10" s="637">
        <f>15220349</f>
        <v>15220349</v>
      </c>
      <c r="FV10" s="637">
        <f t="shared" si="44"/>
        <v>2779651</v>
      </c>
      <c r="FW10" s="637"/>
      <c r="FX10" s="637">
        <v>3000000</v>
      </c>
      <c r="FY10" s="637">
        <v>0</v>
      </c>
      <c r="FZ10" s="637">
        <f t="shared" si="45"/>
        <v>3000000</v>
      </c>
      <c r="GA10" s="637"/>
      <c r="GB10" s="637">
        <v>90000000</v>
      </c>
      <c r="GC10" s="637">
        <v>0</v>
      </c>
      <c r="GD10" s="637">
        <f t="shared" si="46"/>
        <v>90000000</v>
      </c>
      <c r="GE10" s="637"/>
      <c r="GF10" s="637">
        <v>22000000</v>
      </c>
      <c r="GG10" s="637">
        <v>0</v>
      </c>
      <c r="GH10" s="637">
        <f t="shared" si="47"/>
        <v>22000000</v>
      </c>
      <c r="GI10" s="637"/>
      <c r="GJ10" s="637">
        <v>3000000</v>
      </c>
      <c r="GK10" s="637">
        <v>0</v>
      </c>
      <c r="GL10" s="637">
        <f t="shared" si="48"/>
        <v>3000000</v>
      </c>
      <c r="GM10" s="637"/>
      <c r="GN10" s="636">
        <v>12000000</v>
      </c>
      <c r="GO10" s="636">
        <v>0</v>
      </c>
      <c r="GP10" s="636">
        <f t="shared" si="0"/>
        <v>12000000</v>
      </c>
      <c r="GQ10" s="637"/>
      <c r="GR10" s="637">
        <v>3000000</v>
      </c>
      <c r="GS10" s="637">
        <v>0</v>
      </c>
      <c r="GT10" s="637">
        <f t="shared" si="49"/>
        <v>3000000</v>
      </c>
      <c r="GU10" s="637"/>
      <c r="GV10" s="587">
        <f t="shared" si="50"/>
        <v>1085165000</v>
      </c>
      <c r="GW10" s="587">
        <f t="shared" si="50"/>
        <v>859934170</v>
      </c>
      <c r="GX10" s="468">
        <f t="shared" si="51"/>
        <v>225230830</v>
      </c>
      <c r="GZ10" s="519"/>
      <c r="HA10" s="468">
        <f>D10+H10+L10+X10+AN10+BH10+CB10+CV10+DT10+EN10+FH10+GB10</f>
        <v>711000000</v>
      </c>
      <c r="HB10" s="468">
        <f>E10+I10+M10+Y10+AO10+BI10+CC10+CW10+DU10+EO10+FI10+GC10</f>
        <v>612680756</v>
      </c>
      <c r="HC10" s="471">
        <f t="shared" si="52"/>
        <v>98319244</v>
      </c>
      <c r="HE10" s="471">
        <f>P10+AB10+AR10+BL10+CF10+CZ10+DX10+ER10+FL10+GF10</f>
        <v>95115000</v>
      </c>
      <c r="HF10" s="471">
        <f>Q10+AC10+AS10+BM10+CG10+DA10+DY10+ES10+FM10+GG10</f>
        <v>55796860</v>
      </c>
      <c r="HG10" s="471">
        <f t="shared" si="53"/>
        <v>39318140</v>
      </c>
      <c r="HI10" s="471">
        <f>T10+AF10+AV10+BP10+CJ10+DD10+EB10+EV10+FP10+GJ10</f>
        <v>67550000</v>
      </c>
      <c r="HJ10" s="471">
        <f>U10+AG10+AW10+BQ10+CK10+DE10+EC10+EW10+FQ10+GK10</f>
        <v>2550000</v>
      </c>
      <c r="HK10" s="471">
        <f t="shared" si="54"/>
        <v>65000000</v>
      </c>
      <c r="HN10" s="471">
        <f>AJ10+AZ10+BT10+CN10+DH10+DP10+EF10+EZ10+FT10+GN10</f>
        <v>187500000</v>
      </c>
      <c r="HO10" s="471">
        <f>AK10+BA10+BU10+CO10+DI10+DQ10+EG10+FA10+FU10+GO10</f>
        <v>172720349</v>
      </c>
      <c r="HP10" s="471">
        <f t="shared" si="55"/>
        <v>14779651</v>
      </c>
      <c r="HR10" s="531"/>
      <c r="HT10" s="471">
        <f>BX10+CR10+DL10+EJ10+FD10+FX10+GR10</f>
        <v>24000000</v>
      </c>
      <c r="HU10" s="471">
        <f>BY10+CS10+DM10+EK10+FE10+FY10+GS10</f>
        <v>16186205</v>
      </c>
      <c r="HV10" s="471">
        <f t="shared" si="56"/>
        <v>7813795</v>
      </c>
      <c r="HX10" s="473">
        <f t="shared" si="57"/>
        <v>0</v>
      </c>
      <c r="HY10" s="474">
        <v>16186205</v>
      </c>
      <c r="ID10" s="473">
        <f>HU10+HO10+HJ10+HF10+HB10</f>
        <v>859934170</v>
      </c>
      <c r="IE10" s="473">
        <f>HV10+HP10+HK10+HG10+HC10</f>
        <v>225230830</v>
      </c>
      <c r="IF10" s="473"/>
    </row>
    <row r="11" spans="1:240" x14ac:dyDescent="0.25">
      <c r="A11" s="107">
        <v>8</v>
      </c>
      <c r="B11" s="107" t="s">
        <v>552</v>
      </c>
      <c r="C11" s="634" t="s">
        <v>63</v>
      </c>
      <c r="D11" s="488">
        <v>1000000</v>
      </c>
      <c r="E11" s="488">
        <v>1000000</v>
      </c>
      <c r="F11" s="475">
        <f t="shared" si="1"/>
        <v>0</v>
      </c>
      <c r="G11" s="488"/>
      <c r="H11" s="465">
        <v>15000000</v>
      </c>
      <c r="I11" s="465">
        <v>15000000</v>
      </c>
      <c r="J11" s="463">
        <f t="shared" si="2"/>
        <v>0</v>
      </c>
      <c r="K11" s="488"/>
      <c r="L11" s="465">
        <v>15000000</v>
      </c>
      <c r="M11" s="465">
        <v>15000000</v>
      </c>
      <c r="N11" s="543">
        <f t="shared" si="3"/>
        <v>0</v>
      </c>
      <c r="O11" s="488"/>
      <c r="P11" s="465">
        <v>2500000</v>
      </c>
      <c r="Q11" s="465">
        <v>2500000</v>
      </c>
      <c r="R11" s="543">
        <f t="shared" si="4"/>
        <v>0</v>
      </c>
      <c r="S11" s="488"/>
      <c r="T11" s="465">
        <v>1000000</v>
      </c>
      <c r="U11" s="465">
        <v>1000000</v>
      </c>
      <c r="V11" s="543">
        <f t="shared" si="5"/>
        <v>0</v>
      </c>
      <c r="W11" s="488"/>
      <c r="X11" s="465">
        <v>20000000</v>
      </c>
      <c r="Y11" s="465">
        <v>20000000</v>
      </c>
      <c r="Z11" s="543">
        <f t="shared" si="6"/>
        <v>0</v>
      </c>
      <c r="AA11" s="488"/>
      <c r="AB11" s="465">
        <v>5000000</v>
      </c>
      <c r="AC11" s="465">
        <v>5000000</v>
      </c>
      <c r="AD11" s="543">
        <f t="shared" si="7"/>
        <v>0</v>
      </c>
      <c r="AE11" s="488"/>
      <c r="AF11" s="465">
        <v>2000000</v>
      </c>
      <c r="AG11" s="465">
        <v>2000000</v>
      </c>
      <c r="AH11" s="543">
        <f t="shared" si="8"/>
        <v>0</v>
      </c>
      <c r="AI11" s="488"/>
      <c r="AJ11" s="465">
        <v>7500000</v>
      </c>
      <c r="AK11" s="465">
        <v>7500000</v>
      </c>
      <c r="AL11" s="543">
        <f t="shared" si="9"/>
        <v>0</v>
      </c>
      <c r="AM11" s="465"/>
      <c r="AN11" s="465">
        <v>30000000</v>
      </c>
      <c r="AO11" s="465">
        <v>30000000</v>
      </c>
      <c r="AP11" s="543">
        <f t="shared" si="10"/>
        <v>0</v>
      </c>
      <c r="AQ11" s="488"/>
      <c r="AR11" s="465">
        <v>3000000</v>
      </c>
      <c r="AS11" s="465">
        <v>3000000</v>
      </c>
      <c r="AT11" s="543">
        <f t="shared" si="11"/>
        <v>0</v>
      </c>
      <c r="AU11" s="488"/>
      <c r="AV11" s="465">
        <v>2000000</v>
      </c>
      <c r="AW11" s="465">
        <v>1000000</v>
      </c>
      <c r="AX11" s="543">
        <f t="shared" si="12"/>
        <v>1000000</v>
      </c>
      <c r="AY11" s="488"/>
      <c r="AZ11" s="465">
        <v>10000000</v>
      </c>
      <c r="BA11" s="465">
        <v>10000000</v>
      </c>
      <c r="BB11" s="543">
        <f t="shared" si="13"/>
        <v>0</v>
      </c>
      <c r="BC11" s="488"/>
      <c r="BD11" s="465">
        <v>0</v>
      </c>
      <c r="BE11" s="465">
        <v>0</v>
      </c>
      <c r="BF11" s="543">
        <f t="shared" si="14"/>
        <v>0</v>
      </c>
      <c r="BG11" s="488"/>
      <c r="BH11" s="465">
        <v>55000000</v>
      </c>
      <c r="BI11" s="465">
        <v>55000000</v>
      </c>
      <c r="BJ11" s="543">
        <f t="shared" si="15"/>
        <v>0</v>
      </c>
      <c r="BK11" s="488"/>
      <c r="BL11" s="465">
        <v>5000000</v>
      </c>
      <c r="BM11" s="465">
        <v>5000000</v>
      </c>
      <c r="BN11" s="543">
        <f t="shared" si="16"/>
        <v>0</v>
      </c>
      <c r="BO11" s="488"/>
      <c r="BP11" s="465">
        <v>5000000</v>
      </c>
      <c r="BQ11" s="465">
        <v>505000</v>
      </c>
      <c r="BR11" s="543">
        <f t="shared" si="17"/>
        <v>4495000</v>
      </c>
      <c r="BS11" s="488"/>
      <c r="BT11" s="465">
        <v>15000000</v>
      </c>
      <c r="BU11" s="465">
        <v>15000000</v>
      </c>
      <c r="BV11" s="543">
        <f t="shared" si="18"/>
        <v>0</v>
      </c>
      <c r="BW11" s="488"/>
      <c r="BX11" s="465">
        <v>1000000</v>
      </c>
      <c r="BY11" s="465">
        <v>1000000</v>
      </c>
      <c r="BZ11" s="543">
        <f t="shared" si="19"/>
        <v>0</v>
      </c>
      <c r="CA11" s="488"/>
      <c r="CB11" s="468">
        <v>80000000</v>
      </c>
      <c r="CC11" s="465">
        <v>80000000</v>
      </c>
      <c r="CD11" s="543">
        <f t="shared" si="20"/>
        <v>0</v>
      </c>
      <c r="CE11" s="488"/>
      <c r="CF11" s="468">
        <v>10000000</v>
      </c>
      <c r="CG11" s="468">
        <f>4143200+5141400+715400</f>
        <v>10000000</v>
      </c>
      <c r="CH11" s="543">
        <f t="shared" si="21"/>
        <v>0</v>
      </c>
      <c r="CI11" s="488"/>
      <c r="CJ11" s="468">
        <v>10000000</v>
      </c>
      <c r="CK11" s="468">
        <v>0</v>
      </c>
      <c r="CL11" s="543">
        <f t="shared" si="22"/>
        <v>10000000</v>
      </c>
      <c r="CM11" s="488"/>
      <c r="CN11" s="468">
        <v>30000000</v>
      </c>
      <c r="CO11" s="468">
        <v>30000000</v>
      </c>
      <c r="CP11" s="543">
        <f t="shared" si="23"/>
        <v>0</v>
      </c>
      <c r="CQ11" s="488"/>
      <c r="CR11" s="465">
        <v>5000000</v>
      </c>
      <c r="CS11" s="468">
        <v>5000000</v>
      </c>
      <c r="CT11" s="465">
        <f t="shared" si="24"/>
        <v>0</v>
      </c>
      <c r="CU11" s="488"/>
      <c r="CV11" s="525">
        <v>80000000</v>
      </c>
      <c r="CW11" s="483">
        <f>1762274+3150000+4050000+41092944.3+11700000+9000000</f>
        <v>70755218.299999997</v>
      </c>
      <c r="CX11" s="543">
        <f t="shared" si="25"/>
        <v>9244781.700000003</v>
      </c>
      <c r="CY11" s="471"/>
      <c r="CZ11" s="468">
        <v>20000000</v>
      </c>
      <c r="DA11" s="504">
        <f>7925530.2+5028484+1193400</f>
        <v>14147414.199999999</v>
      </c>
      <c r="DB11" s="543">
        <f t="shared" si="26"/>
        <v>5852585.8000000007</v>
      </c>
      <c r="DC11" s="471"/>
      <c r="DD11" s="468">
        <v>20000000</v>
      </c>
      <c r="DE11" s="468">
        <v>0</v>
      </c>
      <c r="DF11" s="543">
        <f t="shared" si="27"/>
        <v>20000000</v>
      </c>
      <c r="DG11" s="488"/>
      <c r="DH11" s="468">
        <v>50000000</v>
      </c>
      <c r="DI11" s="468">
        <v>50000000</v>
      </c>
      <c r="DJ11" s="543">
        <f t="shared" si="28"/>
        <v>0</v>
      </c>
      <c r="DK11" s="488"/>
      <c r="DL11" s="465">
        <v>6000000</v>
      </c>
      <c r="DM11" s="468">
        <f>3787750+1251000+961250</f>
        <v>6000000</v>
      </c>
      <c r="DN11" s="465">
        <f t="shared" si="29"/>
        <v>0</v>
      </c>
      <c r="DO11" s="488"/>
      <c r="DP11" s="471">
        <v>0</v>
      </c>
      <c r="DQ11" s="471">
        <v>0</v>
      </c>
      <c r="DR11" s="471">
        <f t="shared" si="30"/>
        <v>0</v>
      </c>
      <c r="DT11" s="471">
        <v>60000000</v>
      </c>
      <c r="DU11" s="471">
        <v>60000000</v>
      </c>
      <c r="DV11" s="471">
        <f t="shared" si="31"/>
        <v>0</v>
      </c>
      <c r="DX11" s="471">
        <v>10000000</v>
      </c>
      <c r="DY11" s="471">
        <v>0</v>
      </c>
      <c r="DZ11" s="471">
        <f t="shared" si="32"/>
        <v>10000000</v>
      </c>
      <c r="EB11" s="471">
        <v>10000000</v>
      </c>
      <c r="EC11" s="471">
        <v>0</v>
      </c>
      <c r="ED11" s="471">
        <f t="shared" si="33"/>
        <v>10000000</v>
      </c>
      <c r="EF11" s="471">
        <v>20000000</v>
      </c>
      <c r="EG11" s="471">
        <f>18983593+1016407</f>
        <v>20000000</v>
      </c>
      <c r="EH11" s="471">
        <f t="shared" si="34"/>
        <v>0</v>
      </c>
      <c r="EJ11" s="471">
        <v>3000000</v>
      </c>
      <c r="EK11" s="471">
        <v>1979750</v>
      </c>
      <c r="EL11" s="471">
        <f t="shared" si="35"/>
        <v>1020250</v>
      </c>
      <c r="EM11" s="634"/>
      <c r="EN11" s="465">
        <v>200000000</v>
      </c>
      <c r="EO11" s="465">
        <f>12900000+86623840+63347208.85+34200000+2928951.15</f>
        <v>200000000</v>
      </c>
      <c r="EP11" s="465">
        <f t="shared" si="36"/>
        <v>0</v>
      </c>
      <c r="EQ11" s="465"/>
      <c r="ER11" s="465">
        <v>10000000</v>
      </c>
      <c r="ES11" s="465">
        <v>0</v>
      </c>
      <c r="ET11" s="465">
        <f t="shared" si="37"/>
        <v>10000000</v>
      </c>
      <c r="EU11" s="465"/>
      <c r="EV11" s="465">
        <v>10000000</v>
      </c>
      <c r="EW11" s="465">
        <v>0</v>
      </c>
      <c r="EX11" s="465">
        <f t="shared" si="38"/>
        <v>10000000</v>
      </c>
      <c r="EY11" s="465"/>
      <c r="EZ11" s="465">
        <v>25000000</v>
      </c>
      <c r="FA11" s="465">
        <f>1012277+17712200+9846690-17712200+9447397+4693636</f>
        <v>25000000</v>
      </c>
      <c r="FB11" s="465">
        <f t="shared" si="39"/>
        <v>0</v>
      </c>
      <c r="FC11" s="465"/>
      <c r="FD11" s="465">
        <v>3000000</v>
      </c>
      <c r="FE11" s="465">
        <v>0</v>
      </c>
      <c r="FF11" s="465">
        <f t="shared" si="40"/>
        <v>3000000</v>
      </c>
      <c r="FG11" s="465"/>
      <c r="FH11" s="637">
        <v>65000000</v>
      </c>
      <c r="FI11" s="637">
        <f>57394048.85</f>
        <v>57394048.850000001</v>
      </c>
      <c r="FJ11" s="637">
        <f t="shared" si="41"/>
        <v>7605951.1499999985</v>
      </c>
      <c r="FK11" s="637"/>
      <c r="FL11" s="637">
        <v>8000000</v>
      </c>
      <c r="FM11" s="637">
        <v>0</v>
      </c>
      <c r="FN11" s="637">
        <f t="shared" si="42"/>
        <v>8000000</v>
      </c>
      <c r="FO11" s="637"/>
      <c r="FP11" s="637">
        <v>5000000</v>
      </c>
      <c r="FQ11" s="637">
        <v>0</v>
      </c>
      <c r="FR11" s="637">
        <f t="shared" si="43"/>
        <v>5000000</v>
      </c>
      <c r="FS11" s="637"/>
      <c r="FT11" s="637">
        <v>18000000</v>
      </c>
      <c r="FU11" s="642">
        <f>3045988.4+11773644+7514000</f>
        <v>22333632.399999999</v>
      </c>
      <c r="FV11" s="637">
        <f t="shared" si="44"/>
        <v>-4333632.3999999985</v>
      </c>
      <c r="FW11" s="637"/>
      <c r="FX11" s="637">
        <v>3000000</v>
      </c>
      <c r="FY11" s="637">
        <v>0</v>
      </c>
      <c r="FZ11" s="637">
        <f t="shared" si="45"/>
        <v>3000000</v>
      </c>
      <c r="GA11" s="637"/>
      <c r="GB11" s="637">
        <v>90000000</v>
      </c>
      <c r="GC11" s="637">
        <v>0</v>
      </c>
      <c r="GD11" s="637">
        <f t="shared" si="46"/>
        <v>90000000</v>
      </c>
      <c r="GE11" s="637"/>
      <c r="GF11" s="637">
        <v>22000000</v>
      </c>
      <c r="GG11" s="637">
        <v>0</v>
      </c>
      <c r="GH11" s="637">
        <f t="shared" si="47"/>
        <v>22000000</v>
      </c>
      <c r="GI11" s="637"/>
      <c r="GJ11" s="637">
        <v>3000000</v>
      </c>
      <c r="GK11" s="637">
        <v>0</v>
      </c>
      <c r="GL11" s="637">
        <f t="shared" si="48"/>
        <v>3000000</v>
      </c>
      <c r="GM11" s="637"/>
      <c r="GN11" s="636">
        <v>12000000</v>
      </c>
      <c r="GO11" s="636">
        <v>0</v>
      </c>
      <c r="GP11" s="636">
        <f t="shared" si="0"/>
        <v>12000000</v>
      </c>
      <c r="GQ11" s="637"/>
      <c r="GR11" s="637">
        <v>3000000</v>
      </c>
      <c r="GS11" s="637">
        <v>0</v>
      </c>
      <c r="GT11" s="637">
        <f t="shared" si="49"/>
        <v>3000000</v>
      </c>
      <c r="GU11" s="637"/>
      <c r="GV11" s="587">
        <f t="shared" si="50"/>
        <v>1086000000</v>
      </c>
      <c r="GW11" s="587">
        <f t="shared" si="50"/>
        <v>842115063.75</v>
      </c>
      <c r="GX11" s="468">
        <f t="shared" si="51"/>
        <v>243884936.25</v>
      </c>
      <c r="GZ11" s="519"/>
      <c r="HA11" s="468">
        <f>D11+H11+L11+X11+AN11+BH11+CB11+CV11+DT11+EN11+FH11+GB11</f>
        <v>711000000</v>
      </c>
      <c r="HB11" s="468">
        <f>E11+I11+M11+Y11+AO11+BI11+CC11+CW11+DU11+EO11+FI11+GC11</f>
        <v>604149267.14999998</v>
      </c>
      <c r="HC11" s="471">
        <f t="shared" si="52"/>
        <v>106850732.85000002</v>
      </c>
      <c r="HE11" s="471">
        <f>P11+AB11+AR11+BL11+CF11+CZ11+DX11+ER11+FL11+GF11</f>
        <v>95500000</v>
      </c>
      <c r="HF11" s="471">
        <f>Q11+AC11+AS11+BM11+CG11+DA11+DY11+ES11+FM11+GG11</f>
        <v>39647414.200000003</v>
      </c>
      <c r="HG11" s="471">
        <f t="shared" si="53"/>
        <v>55852585.799999997</v>
      </c>
      <c r="HI11" s="471">
        <f>T11+AF11+AV11+BP11+CJ11+DD11+EB11+EV11+FP11+GJ11</f>
        <v>68000000</v>
      </c>
      <c r="HJ11" s="471">
        <f>U11+AG11+AW11+BQ11+CK11+DE11+EC11+EW11+FQ11+GK11</f>
        <v>4505000</v>
      </c>
      <c r="HK11" s="471">
        <f t="shared" si="54"/>
        <v>63495000</v>
      </c>
      <c r="HN11" s="471">
        <f>AJ11+AZ11+BT11+CN11+DH11+DP11+EF11+EZ11+FT11+GN11</f>
        <v>187500000</v>
      </c>
      <c r="HO11" s="471">
        <f>AK11+BA11+BU11+CO11+DI11+DQ11+EG11+FA11+FU11+GO11</f>
        <v>179833632.40000001</v>
      </c>
      <c r="HP11" s="471">
        <f t="shared" si="55"/>
        <v>7666367.599999994</v>
      </c>
      <c r="HR11" s="531"/>
      <c r="HT11" s="471">
        <f>BX11+CR11+DL11+EJ11+FD11+FX11+GR11</f>
        <v>24000000</v>
      </c>
      <c r="HU11" s="471">
        <f>BY11+CS11+DM11+EK11+FE11+FY11+GS11</f>
        <v>13979750</v>
      </c>
      <c r="HV11" s="471">
        <f t="shared" si="56"/>
        <v>10020250</v>
      </c>
      <c r="HX11" s="473">
        <f t="shared" si="57"/>
        <v>0</v>
      </c>
      <c r="HY11" s="474">
        <v>13979750</v>
      </c>
      <c r="ID11" s="473">
        <f>HU11+HO11+HJ11+HF11+HB11</f>
        <v>842115063.75</v>
      </c>
      <c r="IE11" s="473">
        <f>HV11+HP11+HK11+HG11+HC11</f>
        <v>243884936.25</v>
      </c>
      <c r="IF11" s="473"/>
    </row>
    <row r="12" spans="1:240" x14ac:dyDescent="0.25">
      <c r="A12" s="107">
        <v>9</v>
      </c>
      <c r="B12" s="107" t="s">
        <v>553</v>
      </c>
      <c r="C12" s="634" t="s">
        <v>63</v>
      </c>
      <c r="D12" s="488">
        <v>1000000</v>
      </c>
      <c r="E12" s="488">
        <v>1000000</v>
      </c>
      <c r="F12" s="475">
        <f t="shared" si="1"/>
        <v>0</v>
      </c>
      <c r="G12" s="488"/>
      <c r="H12" s="465">
        <v>15000000</v>
      </c>
      <c r="I12" s="465">
        <v>15000000</v>
      </c>
      <c r="J12" s="463">
        <f t="shared" si="2"/>
        <v>0</v>
      </c>
      <c r="K12" s="488"/>
      <c r="L12" s="465">
        <v>15000000</v>
      </c>
      <c r="M12" s="465">
        <v>15000000</v>
      </c>
      <c r="N12" s="543">
        <f t="shared" si="3"/>
        <v>0</v>
      </c>
      <c r="O12" s="488"/>
      <c r="P12" s="465">
        <v>2500000</v>
      </c>
      <c r="Q12" s="465">
        <v>2500000</v>
      </c>
      <c r="R12" s="543">
        <f t="shared" si="4"/>
        <v>0</v>
      </c>
      <c r="S12" s="488"/>
      <c r="T12" s="465">
        <v>1000000</v>
      </c>
      <c r="U12" s="465">
        <v>1000000</v>
      </c>
      <c r="V12" s="543">
        <f t="shared" si="5"/>
        <v>0</v>
      </c>
      <c r="W12" s="488"/>
      <c r="X12" s="465">
        <v>20000000</v>
      </c>
      <c r="Y12" s="465">
        <v>20000000</v>
      </c>
      <c r="Z12" s="543">
        <f t="shared" si="6"/>
        <v>0</v>
      </c>
      <c r="AA12" s="488"/>
      <c r="AB12" s="465">
        <v>1407671</v>
      </c>
      <c r="AC12" s="465">
        <v>1407671</v>
      </c>
      <c r="AD12" s="543">
        <f t="shared" si="7"/>
        <v>0</v>
      </c>
      <c r="AE12" s="488"/>
      <c r="AF12" s="465">
        <v>1550000</v>
      </c>
      <c r="AG12" s="465">
        <v>1550000</v>
      </c>
      <c r="AH12" s="543">
        <f t="shared" si="8"/>
        <v>0</v>
      </c>
      <c r="AI12" s="488"/>
      <c r="AJ12" s="465">
        <v>7500000</v>
      </c>
      <c r="AK12" s="465">
        <v>7500000</v>
      </c>
      <c r="AL12" s="543">
        <f t="shared" si="9"/>
        <v>0</v>
      </c>
      <c r="AM12" s="465"/>
      <c r="AN12" s="465">
        <v>30000000</v>
      </c>
      <c r="AO12" s="465">
        <v>30000000</v>
      </c>
      <c r="AP12" s="543">
        <f t="shared" si="10"/>
        <v>0</v>
      </c>
      <c r="AQ12" s="488"/>
      <c r="AR12" s="465">
        <v>3000000</v>
      </c>
      <c r="AS12" s="465">
        <v>875400</v>
      </c>
      <c r="AT12" s="543">
        <f t="shared" si="11"/>
        <v>2124600</v>
      </c>
      <c r="AU12" s="488"/>
      <c r="AV12" s="465">
        <v>2000000</v>
      </c>
      <c r="AW12" s="465">
        <v>2000000</v>
      </c>
      <c r="AX12" s="543">
        <f t="shared" si="12"/>
        <v>0</v>
      </c>
      <c r="AY12" s="488"/>
      <c r="AZ12" s="465">
        <v>10000000</v>
      </c>
      <c r="BA12" s="465">
        <v>10000000</v>
      </c>
      <c r="BB12" s="543">
        <f t="shared" si="13"/>
        <v>0</v>
      </c>
      <c r="BC12" s="488"/>
      <c r="BD12" s="465">
        <v>0</v>
      </c>
      <c r="BE12" s="465">
        <v>0</v>
      </c>
      <c r="BF12" s="543">
        <f t="shared" si="14"/>
        <v>0</v>
      </c>
      <c r="BG12" s="488"/>
      <c r="BH12" s="465">
        <v>55000000</v>
      </c>
      <c r="BI12" s="465">
        <v>55000000</v>
      </c>
      <c r="BJ12" s="543">
        <f t="shared" si="15"/>
        <v>0</v>
      </c>
      <c r="BK12" s="488"/>
      <c r="BL12" s="465">
        <v>5000000</v>
      </c>
      <c r="BM12" s="465">
        <v>5000000</v>
      </c>
      <c r="BN12" s="543">
        <f t="shared" si="16"/>
        <v>0</v>
      </c>
      <c r="BO12" s="488"/>
      <c r="BP12" s="465">
        <v>5000000</v>
      </c>
      <c r="BQ12" s="283">
        <f>3000000+255000</f>
        <v>3255000</v>
      </c>
      <c r="BR12" s="543">
        <f t="shared" si="17"/>
        <v>1745000</v>
      </c>
      <c r="BS12" s="488"/>
      <c r="BT12" s="465">
        <v>15000000</v>
      </c>
      <c r="BU12" s="465">
        <v>15000000</v>
      </c>
      <c r="BV12" s="543">
        <f t="shared" si="18"/>
        <v>0</v>
      </c>
      <c r="BW12" s="488"/>
      <c r="BX12" s="465">
        <v>1000000</v>
      </c>
      <c r="BY12" s="465">
        <v>1000000</v>
      </c>
      <c r="BZ12" s="543">
        <f t="shared" si="19"/>
        <v>0</v>
      </c>
      <c r="CA12" s="488"/>
      <c r="CB12" s="468">
        <v>80000000</v>
      </c>
      <c r="CC12" s="465">
        <f>76736526.45-608628</f>
        <v>76127898.450000003</v>
      </c>
      <c r="CD12" s="543">
        <f t="shared" si="20"/>
        <v>3872101.549999997</v>
      </c>
      <c r="CE12" s="488"/>
      <c r="CF12" s="468">
        <v>10000000</v>
      </c>
      <c r="CG12" s="468">
        <f>4833687+2168100</f>
        <v>7001787</v>
      </c>
      <c r="CH12" s="543">
        <f t="shared" si="21"/>
        <v>2998213</v>
      </c>
      <c r="CI12" s="488"/>
      <c r="CJ12" s="468">
        <v>10000000</v>
      </c>
      <c r="CK12" s="468">
        <f>5214750+920000</f>
        <v>6134750</v>
      </c>
      <c r="CL12" s="543">
        <f t="shared" si="22"/>
        <v>3865250</v>
      </c>
      <c r="CM12" s="488"/>
      <c r="CN12" s="468">
        <v>30000000</v>
      </c>
      <c r="CO12" s="468">
        <v>30000000</v>
      </c>
      <c r="CP12" s="543">
        <f t="shared" si="23"/>
        <v>0</v>
      </c>
      <c r="CQ12" s="488"/>
      <c r="CR12" s="465">
        <v>5000000</v>
      </c>
      <c r="CS12" s="468">
        <v>5000000</v>
      </c>
      <c r="CT12" s="465">
        <f t="shared" si="24"/>
        <v>0</v>
      </c>
      <c r="CU12" s="488"/>
      <c r="CV12" s="525">
        <v>80000000</v>
      </c>
      <c r="CW12" s="465">
        <v>80000000</v>
      </c>
      <c r="CX12" s="543">
        <f t="shared" si="25"/>
        <v>0</v>
      </c>
      <c r="CY12" s="471"/>
      <c r="CZ12" s="468">
        <v>20000000</v>
      </c>
      <c r="DA12" s="469">
        <f>5107200.6+2406180+4180944</f>
        <v>11694324.6</v>
      </c>
      <c r="DB12" s="543">
        <f t="shared" si="26"/>
        <v>8305675.4000000004</v>
      </c>
      <c r="DC12" s="471"/>
      <c r="DD12" s="468">
        <v>20000000</v>
      </c>
      <c r="DE12" s="468">
        <v>0</v>
      </c>
      <c r="DF12" s="543">
        <f t="shared" si="27"/>
        <v>20000000</v>
      </c>
      <c r="DG12" s="488"/>
      <c r="DH12" s="468">
        <v>50000000</v>
      </c>
      <c r="DI12" s="468">
        <f>49897384.87+102615.13</f>
        <v>50000000</v>
      </c>
      <c r="DJ12" s="543">
        <f t="shared" si="28"/>
        <v>0</v>
      </c>
      <c r="DK12" s="488"/>
      <c r="DL12" s="465">
        <v>6000000</v>
      </c>
      <c r="DM12" s="504">
        <f>995151.5+1445000+915000+2512600+132248.5</f>
        <v>6000000</v>
      </c>
      <c r="DN12" s="465">
        <f t="shared" si="29"/>
        <v>0</v>
      </c>
      <c r="DO12" s="488"/>
      <c r="DP12" s="471">
        <v>0</v>
      </c>
      <c r="DQ12" s="471">
        <v>0</v>
      </c>
      <c r="DR12" s="471">
        <f t="shared" si="30"/>
        <v>0</v>
      </c>
      <c r="DT12" s="471">
        <v>60000000</v>
      </c>
      <c r="DU12" s="471">
        <f>33445411+26554589</f>
        <v>60000000</v>
      </c>
      <c r="DV12" s="471">
        <f t="shared" si="31"/>
        <v>0</v>
      </c>
      <c r="DX12" s="471">
        <v>10000000</v>
      </c>
      <c r="DY12" s="471">
        <v>0</v>
      </c>
      <c r="DZ12" s="471">
        <f t="shared" si="32"/>
        <v>10000000</v>
      </c>
      <c r="EB12" s="471">
        <v>10000000</v>
      </c>
      <c r="EC12" s="471">
        <v>0</v>
      </c>
      <c r="ED12" s="471">
        <f t="shared" si="33"/>
        <v>10000000</v>
      </c>
      <c r="EF12" s="471">
        <v>20000000</v>
      </c>
      <c r="EG12" s="552">
        <f>620784.87+608628+17712200+1058387.13</f>
        <v>20000000</v>
      </c>
      <c r="EH12" s="471">
        <f t="shared" si="34"/>
        <v>0</v>
      </c>
      <c r="EJ12" s="471">
        <v>3000000</v>
      </c>
      <c r="EK12" s="549">
        <f>1682501.5+146400</f>
        <v>1828901.5</v>
      </c>
      <c r="EL12" s="471">
        <f t="shared" si="35"/>
        <v>1171098.5</v>
      </c>
      <c r="EM12" s="634"/>
      <c r="EN12" s="465">
        <v>200000000</v>
      </c>
      <c r="EO12" s="465">
        <f>40439948.5+17712200-17712200+95400000+2400000+61760051.5</f>
        <v>200000000</v>
      </c>
      <c r="EP12" s="465">
        <f t="shared" si="36"/>
        <v>0</v>
      </c>
      <c r="EQ12" s="465"/>
      <c r="ER12" s="465">
        <v>10000000</v>
      </c>
      <c r="ES12" s="465">
        <v>0</v>
      </c>
      <c r="ET12" s="465">
        <f t="shared" si="37"/>
        <v>10000000</v>
      </c>
      <c r="EU12" s="465"/>
      <c r="EV12" s="465">
        <v>10000000</v>
      </c>
      <c r="EW12" s="465">
        <v>0</v>
      </c>
      <c r="EX12" s="465">
        <f t="shared" si="38"/>
        <v>10000000</v>
      </c>
      <c r="EY12" s="465"/>
      <c r="EZ12" s="465">
        <v>25000000</v>
      </c>
      <c r="FA12" s="591">
        <f>9638890+8410362.87+6478300</f>
        <v>24527552.869999997</v>
      </c>
      <c r="FB12" s="465">
        <f t="shared" si="39"/>
        <v>472447.13000000268</v>
      </c>
      <c r="FC12" s="465"/>
      <c r="FD12" s="465">
        <v>3000000</v>
      </c>
      <c r="FE12" s="465">
        <v>0</v>
      </c>
      <c r="FF12" s="465">
        <f t="shared" si="40"/>
        <v>3000000</v>
      </c>
      <c r="FG12" s="465"/>
      <c r="FH12" s="637">
        <v>65000000</v>
      </c>
      <c r="FI12" s="637">
        <f>13239948.5</f>
        <v>13239948.5</v>
      </c>
      <c r="FJ12" s="637">
        <f t="shared" si="41"/>
        <v>51760051.5</v>
      </c>
      <c r="FK12" s="637"/>
      <c r="FL12" s="637">
        <v>8000000</v>
      </c>
      <c r="FM12" s="637">
        <v>0</v>
      </c>
      <c r="FN12" s="637">
        <f t="shared" si="42"/>
        <v>8000000</v>
      </c>
      <c r="FO12" s="637"/>
      <c r="FP12" s="637">
        <v>5000000</v>
      </c>
      <c r="FQ12" s="637">
        <v>0</v>
      </c>
      <c r="FR12" s="637">
        <f t="shared" si="43"/>
        <v>5000000</v>
      </c>
      <c r="FS12" s="637"/>
      <c r="FT12" s="637">
        <v>18000000</v>
      </c>
      <c r="FU12" s="637">
        <v>0</v>
      </c>
      <c r="FV12" s="637">
        <f t="shared" si="44"/>
        <v>18000000</v>
      </c>
      <c r="FW12" s="637"/>
      <c r="FX12" s="637">
        <v>3000000</v>
      </c>
      <c r="FY12" s="637">
        <v>0</v>
      </c>
      <c r="FZ12" s="637">
        <f t="shared" si="45"/>
        <v>3000000</v>
      </c>
      <c r="GA12" s="637"/>
      <c r="GB12" s="637">
        <v>90000000</v>
      </c>
      <c r="GC12" s="637">
        <v>0</v>
      </c>
      <c r="GD12" s="637">
        <f t="shared" si="46"/>
        <v>90000000</v>
      </c>
      <c r="GE12" s="637"/>
      <c r="GF12" s="637">
        <v>22000000</v>
      </c>
      <c r="GG12" s="637">
        <v>0</v>
      </c>
      <c r="GH12" s="637">
        <f t="shared" si="47"/>
        <v>22000000</v>
      </c>
      <c r="GI12" s="637"/>
      <c r="GJ12" s="637">
        <v>3000000</v>
      </c>
      <c r="GK12" s="637">
        <v>0</v>
      </c>
      <c r="GL12" s="637">
        <f t="shared" si="48"/>
        <v>3000000</v>
      </c>
      <c r="GM12" s="637"/>
      <c r="GN12" s="636">
        <v>12000000</v>
      </c>
      <c r="GO12" s="636">
        <v>0</v>
      </c>
      <c r="GP12" s="636">
        <f t="shared" si="0"/>
        <v>12000000</v>
      </c>
      <c r="GQ12" s="637"/>
      <c r="GR12" s="637">
        <v>3000000</v>
      </c>
      <c r="GS12" s="637">
        <v>0</v>
      </c>
      <c r="GT12" s="637">
        <f t="shared" si="49"/>
        <v>3000000</v>
      </c>
      <c r="GU12" s="637"/>
      <c r="GV12" s="587">
        <f t="shared" si="50"/>
        <v>1081957671</v>
      </c>
      <c r="GW12" s="587">
        <f t="shared" si="50"/>
        <v>778643233.91999996</v>
      </c>
      <c r="GX12" s="468">
        <f t="shared" si="51"/>
        <v>303314437.08000004</v>
      </c>
      <c r="GZ12" s="519"/>
      <c r="HA12" s="468">
        <f>D12+H12+L12+X12+AN12+BH12+CB12+CV12+DT12+EN12+FH12+GB12</f>
        <v>711000000</v>
      </c>
      <c r="HB12" s="468">
        <f>E12+I12+M12+Y12+AO12+BI12+CC12+CW12+DU12+EO12+FI12+GC12</f>
        <v>565367846.95000005</v>
      </c>
      <c r="HC12" s="471">
        <f t="shared" si="52"/>
        <v>145632153.04999995</v>
      </c>
      <c r="HE12" s="471">
        <f>P12+AB12+AR12+BL12+CF12+CZ12+DX12+ER12+FL12+GF12</f>
        <v>91907671</v>
      </c>
      <c r="HF12" s="471">
        <f>Q12+AC12+AS12+BM12+CG12+DA12+DY12+ES12+FM12+GG12</f>
        <v>28479182.600000001</v>
      </c>
      <c r="HG12" s="471">
        <f t="shared" si="53"/>
        <v>63428488.399999999</v>
      </c>
      <c r="HI12" s="471">
        <f>T12+AF12+AV12+BP12+CJ12+DD12+EB12+EV12+FP12+GJ12</f>
        <v>67550000</v>
      </c>
      <c r="HJ12" s="471">
        <f>U12+AG12+AW12+BQ12+CK12+DE12+EC12+EW12+FQ12+GK12</f>
        <v>13939750</v>
      </c>
      <c r="HK12" s="471">
        <f t="shared" si="54"/>
        <v>53610250</v>
      </c>
      <c r="HN12" s="471">
        <f>AJ12+AZ12+BT12+CN12+DH12+DP12+EF12+EZ12+FT12+GN12</f>
        <v>187500000</v>
      </c>
      <c r="HO12" s="471">
        <f>AK12+BA12+BU12+CO12+DI12+DQ12+EG12+FA12+FU12+GO12</f>
        <v>157027552.87</v>
      </c>
      <c r="HP12" s="471">
        <f t="shared" si="55"/>
        <v>30472447.129999995</v>
      </c>
      <c r="HR12" s="531"/>
      <c r="HT12" s="471">
        <f>BX12+CR12+DL12+EJ12+FD12+FX12+GR12</f>
        <v>24000000</v>
      </c>
      <c r="HU12" s="471">
        <f>BY12+CS12+DM12+EK12+FE12+FY12+GS12</f>
        <v>13828901.5</v>
      </c>
      <c r="HV12" s="471">
        <f t="shared" si="56"/>
        <v>10171098.5</v>
      </c>
      <c r="HX12" s="473">
        <f t="shared" si="57"/>
        <v>1961150</v>
      </c>
      <c r="HY12" s="474">
        <v>11867751.5</v>
      </c>
      <c r="ID12" s="473">
        <f>HU12+HO12+HJ12+HF12+HB12</f>
        <v>778643233.92000008</v>
      </c>
      <c r="IE12" s="473">
        <f>HV12+HP12+HK12+HG12+HC12</f>
        <v>303314437.07999992</v>
      </c>
      <c r="IF12" s="473"/>
    </row>
    <row r="13" spans="1:240" x14ac:dyDescent="0.25">
      <c r="A13" s="107">
        <v>10</v>
      </c>
      <c r="B13" s="107" t="s">
        <v>554</v>
      </c>
      <c r="C13" s="634" t="s">
        <v>63</v>
      </c>
      <c r="D13" s="488">
        <v>1000000</v>
      </c>
      <c r="E13" s="488">
        <v>1000000</v>
      </c>
      <c r="F13" s="475">
        <f t="shared" si="1"/>
        <v>0</v>
      </c>
      <c r="G13" s="488"/>
      <c r="H13" s="465">
        <v>15000000</v>
      </c>
      <c r="I13" s="465">
        <v>15000000</v>
      </c>
      <c r="J13" s="463">
        <f t="shared" si="2"/>
        <v>0</v>
      </c>
      <c r="K13" s="488"/>
      <c r="L13" s="465">
        <v>15000000</v>
      </c>
      <c r="M13" s="465">
        <v>15000000</v>
      </c>
      <c r="N13" s="543">
        <f t="shared" si="3"/>
        <v>0</v>
      </c>
      <c r="O13" s="488"/>
      <c r="P13" s="465">
        <v>2500000</v>
      </c>
      <c r="Q13" s="465">
        <v>2500000</v>
      </c>
      <c r="R13" s="543">
        <f t="shared" si="4"/>
        <v>0</v>
      </c>
      <c r="S13" s="488"/>
      <c r="T13" s="465">
        <v>1000000</v>
      </c>
      <c r="U13" s="465">
        <v>1000000</v>
      </c>
      <c r="V13" s="543">
        <f t="shared" si="5"/>
        <v>0</v>
      </c>
      <c r="W13" s="488"/>
      <c r="X13" s="465">
        <v>20000000</v>
      </c>
      <c r="Y13" s="465">
        <v>20000000</v>
      </c>
      <c r="Z13" s="543">
        <f t="shared" si="6"/>
        <v>0</v>
      </c>
      <c r="AA13" s="488"/>
      <c r="AB13" s="465">
        <v>5000000</v>
      </c>
      <c r="AC13" s="465">
        <f>2680750+2319250</f>
        <v>5000000</v>
      </c>
      <c r="AD13" s="543">
        <f t="shared" si="7"/>
        <v>0</v>
      </c>
      <c r="AE13" s="488"/>
      <c r="AF13" s="465">
        <v>2000000</v>
      </c>
      <c r="AG13" s="465">
        <v>2000000</v>
      </c>
      <c r="AH13" s="543">
        <f t="shared" si="8"/>
        <v>0</v>
      </c>
      <c r="AI13" s="488"/>
      <c r="AJ13" s="465">
        <v>7500000</v>
      </c>
      <c r="AK13" s="465">
        <v>7500000</v>
      </c>
      <c r="AL13" s="543">
        <f t="shared" si="9"/>
        <v>0</v>
      </c>
      <c r="AM13" s="465"/>
      <c r="AN13" s="465">
        <v>30000000</v>
      </c>
      <c r="AO13" s="465">
        <v>30000000</v>
      </c>
      <c r="AP13" s="543">
        <f t="shared" si="10"/>
        <v>0</v>
      </c>
      <c r="AQ13" s="488"/>
      <c r="AR13" s="465">
        <v>3000000</v>
      </c>
      <c r="AS13" s="465">
        <f>1673175+1326825</f>
        <v>3000000</v>
      </c>
      <c r="AT13" s="543">
        <f t="shared" si="11"/>
        <v>0</v>
      </c>
      <c r="AU13" s="488"/>
      <c r="AV13" s="465">
        <v>2000000</v>
      </c>
      <c r="AW13" s="465">
        <v>2000000</v>
      </c>
      <c r="AX13" s="543">
        <f t="shared" si="12"/>
        <v>0</v>
      </c>
      <c r="AY13" s="488"/>
      <c r="AZ13" s="465">
        <v>10000000</v>
      </c>
      <c r="BA13" s="465">
        <v>10000000</v>
      </c>
      <c r="BB13" s="543">
        <f t="shared" si="13"/>
        <v>0</v>
      </c>
      <c r="BC13" s="488"/>
      <c r="BD13" s="465">
        <v>0</v>
      </c>
      <c r="BE13" s="465">
        <v>0</v>
      </c>
      <c r="BF13" s="543">
        <f t="shared" si="14"/>
        <v>0</v>
      </c>
      <c r="BG13" s="488"/>
      <c r="BH13" s="465">
        <v>55000000</v>
      </c>
      <c r="BI13" s="465">
        <v>55000000</v>
      </c>
      <c r="BJ13" s="543">
        <f t="shared" si="15"/>
        <v>0</v>
      </c>
      <c r="BK13" s="471"/>
      <c r="BL13" s="465">
        <v>5000000</v>
      </c>
      <c r="BM13" s="465">
        <v>5000000</v>
      </c>
      <c r="BN13" s="543">
        <f t="shared" si="16"/>
        <v>0</v>
      </c>
      <c r="BO13" s="488"/>
      <c r="BP13" s="465">
        <v>5000000</v>
      </c>
      <c r="BQ13" s="465">
        <v>5000000</v>
      </c>
      <c r="BR13" s="543">
        <f t="shared" si="17"/>
        <v>0</v>
      </c>
      <c r="BS13" s="488"/>
      <c r="BT13" s="465">
        <v>15000000</v>
      </c>
      <c r="BU13" s="465">
        <v>14999999.999999998</v>
      </c>
      <c r="BV13" s="543">
        <f t="shared" si="18"/>
        <v>0</v>
      </c>
      <c r="BW13" s="488"/>
      <c r="BX13" s="465">
        <v>1000000</v>
      </c>
      <c r="BY13" s="465">
        <v>1000000</v>
      </c>
      <c r="BZ13" s="543">
        <f t="shared" si="19"/>
        <v>0</v>
      </c>
      <c r="CA13" s="488"/>
      <c r="CB13" s="468">
        <v>80000000</v>
      </c>
      <c r="CC13" s="465">
        <v>80000000</v>
      </c>
      <c r="CD13" s="543">
        <f t="shared" si="20"/>
        <v>0</v>
      </c>
      <c r="CE13" s="488"/>
      <c r="CF13" s="468">
        <v>10000000</v>
      </c>
      <c r="CG13" s="468">
        <f>1533625+7623330+843045</f>
        <v>10000000</v>
      </c>
      <c r="CH13" s="543">
        <f t="shared" si="21"/>
        <v>0</v>
      </c>
      <c r="CI13" s="488"/>
      <c r="CJ13" s="468">
        <v>10000000</v>
      </c>
      <c r="CK13" s="468">
        <v>10000000</v>
      </c>
      <c r="CL13" s="543">
        <f t="shared" si="22"/>
        <v>0</v>
      </c>
      <c r="CM13" s="488"/>
      <c r="CN13" s="468">
        <v>30000000</v>
      </c>
      <c r="CO13" s="468">
        <v>30000000</v>
      </c>
      <c r="CP13" s="543">
        <f t="shared" si="23"/>
        <v>0</v>
      </c>
      <c r="CQ13" s="488"/>
      <c r="CR13" s="465">
        <v>5000000</v>
      </c>
      <c r="CS13" s="468">
        <f>800000+4200000</f>
        <v>5000000</v>
      </c>
      <c r="CT13" s="465">
        <f t="shared" si="24"/>
        <v>0</v>
      </c>
      <c r="CU13" s="488"/>
      <c r="CV13" s="525">
        <v>80000000</v>
      </c>
      <c r="CW13" s="465">
        <v>80000000</v>
      </c>
      <c r="CX13" s="543">
        <f t="shared" si="25"/>
        <v>0</v>
      </c>
      <c r="CY13" s="471"/>
      <c r="CZ13" s="468">
        <v>20000000</v>
      </c>
      <c r="DA13" s="468">
        <f>7213980+12786020</f>
        <v>20000000</v>
      </c>
      <c r="DB13" s="543">
        <f t="shared" si="26"/>
        <v>0</v>
      </c>
      <c r="DC13" s="471"/>
      <c r="DD13" s="468">
        <v>20000000</v>
      </c>
      <c r="DE13" s="490">
        <f>3600000+1500000+6324000</f>
        <v>11424000</v>
      </c>
      <c r="DF13" s="543">
        <f t="shared" si="27"/>
        <v>8576000</v>
      </c>
      <c r="DG13" s="488"/>
      <c r="DH13" s="468">
        <v>50000000</v>
      </c>
      <c r="DI13" s="468">
        <v>49999999.999999993</v>
      </c>
      <c r="DJ13" s="543">
        <f t="shared" si="28"/>
        <v>0</v>
      </c>
      <c r="DK13" s="488"/>
      <c r="DL13" s="465">
        <v>6000000</v>
      </c>
      <c r="DM13" s="489">
        <f>194500+2112250+775500+2533000+384750</f>
        <v>6000000</v>
      </c>
      <c r="DN13" s="465">
        <f t="shared" si="29"/>
        <v>0</v>
      </c>
      <c r="DO13" s="488"/>
      <c r="DP13" s="471">
        <v>0</v>
      </c>
      <c r="DQ13" s="471">
        <v>0</v>
      </c>
      <c r="DR13" s="471">
        <f t="shared" si="30"/>
        <v>0</v>
      </c>
      <c r="DT13" s="471">
        <v>60000000</v>
      </c>
      <c r="DU13" s="471">
        <f>28117091+14100000+17782909</f>
        <v>60000000</v>
      </c>
      <c r="DV13" s="471">
        <f t="shared" si="31"/>
        <v>0</v>
      </c>
      <c r="DX13" s="471">
        <v>10000000</v>
      </c>
      <c r="DY13" s="471">
        <f>3827682+6158267.4</f>
        <v>9985949.4000000004</v>
      </c>
      <c r="DZ13" s="471">
        <f t="shared" si="32"/>
        <v>14050.599999999627</v>
      </c>
      <c r="EB13" s="471">
        <v>10000000</v>
      </c>
      <c r="EC13" s="471">
        <v>0</v>
      </c>
      <c r="ED13" s="471">
        <f t="shared" si="33"/>
        <v>10000000</v>
      </c>
      <c r="EF13" s="471">
        <v>20000000</v>
      </c>
      <c r="EG13" s="471">
        <f>4752440.88+3531500+10751900+964159.12</f>
        <v>20000000</v>
      </c>
      <c r="EH13" s="471">
        <f t="shared" si="34"/>
        <v>0</v>
      </c>
      <c r="EJ13" s="471">
        <v>3000000</v>
      </c>
      <c r="EK13" s="549">
        <f>172500</f>
        <v>172500</v>
      </c>
      <c r="EL13" s="471">
        <f t="shared" si="35"/>
        <v>2827500</v>
      </c>
      <c r="EM13" s="634"/>
      <c r="EN13" s="465">
        <v>200000000</v>
      </c>
      <c r="EO13" s="484">
        <f>1117091+20895250+8400000+21300000+39837075+10255018</f>
        <v>101804434</v>
      </c>
      <c r="EP13" s="465">
        <f t="shared" si="36"/>
        <v>98195566</v>
      </c>
      <c r="EQ13" s="465"/>
      <c r="ER13" s="465">
        <v>10000000</v>
      </c>
      <c r="ES13" s="465">
        <v>0</v>
      </c>
      <c r="ET13" s="465">
        <f t="shared" si="37"/>
        <v>10000000</v>
      </c>
      <c r="EU13" s="465"/>
      <c r="EV13" s="465">
        <v>10000000</v>
      </c>
      <c r="EW13" s="465">
        <v>0</v>
      </c>
      <c r="EX13" s="465">
        <f t="shared" si="38"/>
        <v>10000000</v>
      </c>
      <c r="EY13" s="465"/>
      <c r="EZ13" s="465">
        <v>25000000</v>
      </c>
      <c r="FA13" s="483">
        <f>1328640.88+3652100+12394850+5555673.4</f>
        <v>22931264.280000001</v>
      </c>
      <c r="FB13" s="465">
        <f t="shared" si="39"/>
        <v>2068735.7199999988</v>
      </c>
      <c r="FC13" s="465"/>
      <c r="FD13" s="465">
        <v>3000000</v>
      </c>
      <c r="FE13" s="465">
        <v>0</v>
      </c>
      <c r="FF13" s="465">
        <f t="shared" si="40"/>
        <v>3000000</v>
      </c>
      <c r="FG13" s="465"/>
      <c r="FH13" s="637">
        <v>65000000</v>
      </c>
      <c r="FI13" s="637">
        <v>0</v>
      </c>
      <c r="FJ13" s="637">
        <f t="shared" si="41"/>
        <v>65000000</v>
      </c>
      <c r="FK13" s="637"/>
      <c r="FL13" s="637">
        <v>8000000</v>
      </c>
      <c r="FM13" s="637">
        <v>0</v>
      </c>
      <c r="FN13" s="637">
        <f t="shared" si="42"/>
        <v>8000000</v>
      </c>
      <c r="FO13" s="637"/>
      <c r="FP13" s="637">
        <v>5000000</v>
      </c>
      <c r="FQ13" s="637">
        <v>0</v>
      </c>
      <c r="FR13" s="637">
        <f t="shared" si="43"/>
        <v>5000000</v>
      </c>
      <c r="FS13" s="637"/>
      <c r="FT13" s="637">
        <v>18000000</v>
      </c>
      <c r="FU13" s="637">
        <v>0</v>
      </c>
      <c r="FV13" s="637">
        <f t="shared" si="44"/>
        <v>18000000</v>
      </c>
      <c r="FW13" s="637"/>
      <c r="FX13" s="637">
        <v>3000000</v>
      </c>
      <c r="FY13" s="637">
        <v>0</v>
      </c>
      <c r="FZ13" s="637">
        <f t="shared" si="45"/>
        <v>3000000</v>
      </c>
      <c r="GA13" s="637"/>
      <c r="GB13" s="637">
        <v>90000000</v>
      </c>
      <c r="GC13" s="637">
        <v>0</v>
      </c>
      <c r="GD13" s="637">
        <f t="shared" si="46"/>
        <v>90000000</v>
      </c>
      <c r="GE13" s="637"/>
      <c r="GF13" s="637">
        <v>22000000</v>
      </c>
      <c r="GG13" s="637">
        <v>0</v>
      </c>
      <c r="GH13" s="637">
        <f t="shared" si="47"/>
        <v>22000000</v>
      </c>
      <c r="GI13" s="637"/>
      <c r="GJ13" s="637">
        <v>3000000</v>
      </c>
      <c r="GK13" s="637">
        <v>0</v>
      </c>
      <c r="GL13" s="637">
        <f t="shared" si="48"/>
        <v>3000000</v>
      </c>
      <c r="GM13" s="637"/>
      <c r="GN13" s="636">
        <v>12000000</v>
      </c>
      <c r="GO13" s="636">
        <v>0</v>
      </c>
      <c r="GP13" s="636">
        <f t="shared" si="0"/>
        <v>12000000</v>
      </c>
      <c r="GQ13" s="637"/>
      <c r="GR13" s="637">
        <v>3000000</v>
      </c>
      <c r="GS13" s="637">
        <v>0</v>
      </c>
      <c r="GT13" s="637">
        <f t="shared" si="49"/>
        <v>3000000</v>
      </c>
      <c r="GU13" s="637"/>
      <c r="GV13" s="587">
        <f t="shared" si="50"/>
        <v>1086000000</v>
      </c>
      <c r="GW13" s="587">
        <f t="shared" si="50"/>
        <v>712318147.67999995</v>
      </c>
      <c r="GX13" s="468">
        <f t="shared" si="51"/>
        <v>373681852.32000005</v>
      </c>
      <c r="GZ13" s="519"/>
      <c r="HA13" s="468">
        <f>D13+H13+L13+X13+AN13+BH13+CB13+CV13+DT13+EN13+FH13+GB13</f>
        <v>711000000</v>
      </c>
      <c r="HB13" s="468">
        <f>E13+I13+M13+Y13+AO13+BI13+CC13+CW13+DU13+EO13+FI13+GC13</f>
        <v>457804434</v>
      </c>
      <c r="HC13" s="471">
        <f t="shared" si="52"/>
        <v>253195566</v>
      </c>
      <c r="HE13" s="471">
        <f>P13+AB13+AR13+BL13+CF13+CZ13+DX13+ER13+FL13+GF13</f>
        <v>95500000</v>
      </c>
      <c r="HF13" s="471">
        <f>Q13+AC13+AS13+BM13+CG13+DA13+DY13+ES13+FM13+GG13</f>
        <v>55485949.399999999</v>
      </c>
      <c r="HG13" s="471">
        <f t="shared" si="53"/>
        <v>40014050.600000001</v>
      </c>
      <c r="HI13" s="471">
        <f>T13+AF13+AV13+BP13+CJ13+DD13+EB13+EV13+FP13+GJ13</f>
        <v>68000000</v>
      </c>
      <c r="HJ13" s="471">
        <f>U13+AG13+AW13+BQ13+CK13+DE13+EC13+EW13+FQ13+GK13</f>
        <v>31424000</v>
      </c>
      <c r="HK13" s="471">
        <f t="shared" si="54"/>
        <v>36576000</v>
      </c>
      <c r="HN13" s="471">
        <f>AJ13+AZ13+BT13+CN13+DH13+DP13+EF13+EZ13+FT13+GN13</f>
        <v>187500000</v>
      </c>
      <c r="HO13" s="471">
        <f>AK13+BA13+BU13+CO13+DI13+DQ13+EG13+FA13+FU13+GO13</f>
        <v>155431264.28</v>
      </c>
      <c r="HP13" s="471">
        <f t="shared" si="55"/>
        <v>32068735.719999999</v>
      </c>
      <c r="HR13" s="531"/>
      <c r="HT13" s="471">
        <f>BX13+CR13+DL13+EJ13+FD13+FX13+GR13</f>
        <v>24000000</v>
      </c>
      <c r="HU13" s="471">
        <f>BY13+CS13+DM13+EK13+FE13+FY13+GS13</f>
        <v>12172500</v>
      </c>
      <c r="HV13" s="471">
        <f t="shared" si="56"/>
        <v>11827500</v>
      </c>
      <c r="HX13" s="473">
        <f t="shared" si="57"/>
        <v>557250</v>
      </c>
      <c r="HY13" s="474">
        <v>11615250</v>
      </c>
      <c r="ID13" s="473">
        <f>HU13+HO13+HJ13+HF13+HB13</f>
        <v>712318147.68000007</v>
      </c>
      <c r="IE13" s="473">
        <f>HV13+HP13+HK13+HG13+HC13</f>
        <v>373681852.31999999</v>
      </c>
      <c r="IF13" s="473"/>
    </row>
    <row r="14" spans="1:240" x14ac:dyDescent="0.25">
      <c r="A14" s="107">
        <v>11</v>
      </c>
      <c r="B14" s="107" t="s">
        <v>555</v>
      </c>
      <c r="C14" s="634" t="s">
        <v>61</v>
      </c>
      <c r="D14" s="488">
        <v>1000000</v>
      </c>
      <c r="E14" s="488">
        <v>1000000</v>
      </c>
      <c r="F14" s="475">
        <f t="shared" si="1"/>
        <v>0</v>
      </c>
      <c r="G14" s="488"/>
      <c r="H14" s="465">
        <v>15000000</v>
      </c>
      <c r="I14" s="465">
        <v>15000000</v>
      </c>
      <c r="J14" s="463">
        <f t="shared" si="2"/>
        <v>0</v>
      </c>
      <c r="K14" s="488"/>
      <c r="L14" s="465">
        <v>15000000</v>
      </c>
      <c r="M14" s="465">
        <v>15000000</v>
      </c>
      <c r="N14" s="543">
        <f t="shared" si="3"/>
        <v>0</v>
      </c>
      <c r="O14" s="488"/>
      <c r="P14" s="465">
        <v>2500000</v>
      </c>
      <c r="Q14" s="465">
        <v>2500000</v>
      </c>
      <c r="R14" s="543">
        <f t="shared" si="4"/>
        <v>0</v>
      </c>
      <c r="S14" s="488"/>
      <c r="T14" s="465">
        <v>1000000</v>
      </c>
      <c r="U14" s="465">
        <v>1000000</v>
      </c>
      <c r="V14" s="543">
        <f t="shared" si="5"/>
        <v>0</v>
      </c>
      <c r="W14" s="488"/>
      <c r="X14" s="465">
        <v>5150000</v>
      </c>
      <c r="Y14" s="465">
        <v>5150000</v>
      </c>
      <c r="Z14" s="543">
        <f t="shared" si="6"/>
        <v>0</v>
      </c>
      <c r="AA14" s="488"/>
      <c r="AB14" s="465">
        <v>5000000</v>
      </c>
      <c r="AC14" s="465">
        <v>5000000</v>
      </c>
      <c r="AD14" s="543">
        <f t="shared" si="7"/>
        <v>0</v>
      </c>
      <c r="AE14" s="488"/>
      <c r="AF14" s="465">
        <v>2000000</v>
      </c>
      <c r="AG14" s="465">
        <v>2000000</v>
      </c>
      <c r="AH14" s="543">
        <f t="shared" si="8"/>
        <v>0</v>
      </c>
      <c r="AI14" s="488"/>
      <c r="AJ14" s="465">
        <v>7500000</v>
      </c>
      <c r="AK14" s="465">
        <v>7500000</v>
      </c>
      <c r="AL14" s="543">
        <f t="shared" si="9"/>
        <v>0</v>
      </c>
      <c r="AM14" s="519"/>
      <c r="AN14" s="465">
        <v>30000000</v>
      </c>
      <c r="AO14" s="592">
        <v>30000000</v>
      </c>
      <c r="AP14" s="543">
        <f t="shared" si="10"/>
        <v>0</v>
      </c>
      <c r="AQ14" s="488"/>
      <c r="AR14" s="465">
        <v>3000000</v>
      </c>
      <c r="AS14" s="465">
        <v>3000000</v>
      </c>
      <c r="AT14" s="543">
        <f t="shared" si="11"/>
        <v>0</v>
      </c>
      <c r="AU14" s="488"/>
      <c r="AV14" s="465">
        <v>2000000</v>
      </c>
      <c r="AW14" s="465">
        <f>1000000+1000000</f>
        <v>2000000</v>
      </c>
      <c r="AX14" s="543">
        <f t="shared" si="12"/>
        <v>0</v>
      </c>
      <c r="AY14" s="488"/>
      <c r="AZ14" s="465">
        <v>10000000</v>
      </c>
      <c r="BA14" s="465">
        <v>10000000</v>
      </c>
      <c r="BB14" s="543">
        <f t="shared" si="13"/>
        <v>0</v>
      </c>
      <c r="BC14" s="488"/>
      <c r="BD14" s="465">
        <v>0</v>
      </c>
      <c r="BE14" s="465">
        <v>0</v>
      </c>
      <c r="BF14" s="543">
        <f t="shared" si="14"/>
        <v>0</v>
      </c>
      <c r="BG14" s="488"/>
      <c r="BH14" s="465">
        <v>55000000</v>
      </c>
      <c r="BI14" s="465">
        <v>55000000</v>
      </c>
      <c r="BJ14" s="543">
        <f t="shared" si="15"/>
        <v>0</v>
      </c>
      <c r="BK14" s="471"/>
      <c r="BL14" s="465">
        <v>5000000</v>
      </c>
      <c r="BM14" s="465">
        <v>5000000</v>
      </c>
      <c r="BN14" s="543">
        <f t="shared" si="16"/>
        <v>0</v>
      </c>
      <c r="BO14" s="488"/>
      <c r="BP14" s="465">
        <v>5000000</v>
      </c>
      <c r="BQ14" s="485">
        <f>250000+3335000+765000+650000</f>
        <v>5000000</v>
      </c>
      <c r="BR14" s="543">
        <f t="shared" si="17"/>
        <v>0</v>
      </c>
      <c r="BS14" s="488"/>
      <c r="BT14" s="465">
        <v>15000000</v>
      </c>
      <c r="BU14" s="465">
        <v>15000000</v>
      </c>
      <c r="BV14" s="543">
        <f t="shared" si="18"/>
        <v>0</v>
      </c>
      <c r="BW14" s="488"/>
      <c r="BX14" s="465">
        <v>1000000</v>
      </c>
      <c r="BY14" s="465">
        <v>1000000</v>
      </c>
      <c r="BZ14" s="543">
        <f t="shared" si="19"/>
        <v>0</v>
      </c>
      <c r="CA14" s="488"/>
      <c r="CB14" s="468">
        <v>80000000</v>
      </c>
      <c r="CC14" s="465">
        <f>44659000+24900000+9000000</f>
        <v>78559000</v>
      </c>
      <c r="CD14" s="543">
        <f t="shared" si="20"/>
        <v>1441000</v>
      </c>
      <c r="CE14" s="488"/>
      <c r="CF14" s="468">
        <v>10000000</v>
      </c>
      <c r="CG14" s="468">
        <v>10000000</v>
      </c>
      <c r="CH14" s="543">
        <f t="shared" si="21"/>
        <v>0</v>
      </c>
      <c r="CI14" s="488"/>
      <c r="CJ14" s="468">
        <v>10000000</v>
      </c>
      <c r="CK14" s="504">
        <f>10000000</f>
        <v>10000000</v>
      </c>
      <c r="CL14" s="543">
        <f t="shared" si="22"/>
        <v>0</v>
      </c>
      <c r="CM14" s="488"/>
      <c r="CN14" s="468">
        <v>30000000</v>
      </c>
      <c r="CO14" s="468">
        <v>30000000</v>
      </c>
      <c r="CP14" s="543">
        <f t="shared" si="23"/>
        <v>0</v>
      </c>
      <c r="CQ14" s="488"/>
      <c r="CR14" s="465">
        <v>5000000</v>
      </c>
      <c r="CS14" s="468">
        <v>5000000</v>
      </c>
      <c r="CT14" s="465">
        <f t="shared" si="24"/>
        <v>0</v>
      </c>
      <c r="CU14" s="488"/>
      <c r="CV14" s="525">
        <v>80000000</v>
      </c>
      <c r="CW14" s="485">
        <f>5300000+32489780+15900000</f>
        <v>53689780</v>
      </c>
      <c r="CX14" s="543">
        <f t="shared" si="25"/>
        <v>26310220</v>
      </c>
      <c r="CY14" s="471"/>
      <c r="CZ14" s="468">
        <v>20000000</v>
      </c>
      <c r="DA14" s="468">
        <f>19979599.86+20400.14</f>
        <v>20000000</v>
      </c>
      <c r="DB14" s="543">
        <f t="shared" si="26"/>
        <v>0</v>
      </c>
      <c r="DC14" s="471"/>
      <c r="DD14" s="468">
        <v>20000000</v>
      </c>
      <c r="DE14" s="504">
        <f>11407500</f>
        <v>11407500</v>
      </c>
      <c r="DF14" s="543">
        <f t="shared" si="27"/>
        <v>8592500</v>
      </c>
      <c r="DG14" s="488"/>
      <c r="DH14" s="468">
        <v>50000000</v>
      </c>
      <c r="DI14" s="468">
        <v>50000000</v>
      </c>
      <c r="DJ14" s="543">
        <f t="shared" si="28"/>
        <v>0</v>
      </c>
      <c r="DK14" s="488"/>
      <c r="DL14" s="465">
        <v>6000000</v>
      </c>
      <c r="DM14" s="468">
        <f>3010000</f>
        <v>3010000</v>
      </c>
      <c r="DN14" s="465">
        <f t="shared" si="29"/>
        <v>2990000</v>
      </c>
      <c r="DO14" s="488"/>
      <c r="DP14" s="471">
        <v>0</v>
      </c>
      <c r="DQ14" s="471">
        <v>0</v>
      </c>
      <c r="DR14" s="471">
        <f t="shared" si="30"/>
        <v>0</v>
      </c>
      <c r="DT14" s="471">
        <v>60000000</v>
      </c>
      <c r="DU14" s="471">
        <v>0</v>
      </c>
      <c r="DV14" s="471">
        <f t="shared" si="31"/>
        <v>60000000</v>
      </c>
      <c r="DX14" s="471">
        <v>10000000</v>
      </c>
      <c r="DY14" s="471">
        <v>10000000</v>
      </c>
      <c r="DZ14" s="471">
        <f t="shared" si="32"/>
        <v>0</v>
      </c>
      <c r="EB14" s="471">
        <v>10000000</v>
      </c>
      <c r="EC14" s="471">
        <v>0</v>
      </c>
      <c r="ED14" s="471">
        <f t="shared" si="33"/>
        <v>10000000</v>
      </c>
      <c r="EF14" s="471">
        <v>20000000</v>
      </c>
      <c r="EG14" s="471">
        <f>12344928+481700+4190250+2983122</f>
        <v>20000000</v>
      </c>
      <c r="EH14" s="471">
        <f t="shared" si="34"/>
        <v>0</v>
      </c>
      <c r="EJ14" s="471">
        <v>3000000</v>
      </c>
      <c r="EK14" s="471">
        <v>0</v>
      </c>
      <c r="EL14" s="471">
        <f t="shared" si="35"/>
        <v>3000000</v>
      </c>
      <c r="EM14" s="634"/>
      <c r="EN14" s="465">
        <v>200000000</v>
      </c>
      <c r="EO14" s="465">
        <f>1500000+4500000+33199720</f>
        <v>39199720</v>
      </c>
      <c r="EP14" s="465">
        <f t="shared" si="36"/>
        <v>160800280</v>
      </c>
      <c r="EQ14" s="465"/>
      <c r="ER14" s="465">
        <v>10000000</v>
      </c>
      <c r="ES14" s="465">
        <f>3388500+2400000+4211500</f>
        <v>10000000</v>
      </c>
      <c r="ET14" s="465">
        <f t="shared" si="37"/>
        <v>0</v>
      </c>
      <c r="EU14" s="465"/>
      <c r="EV14" s="465">
        <v>10000000</v>
      </c>
      <c r="EW14" s="465">
        <v>0</v>
      </c>
      <c r="EX14" s="465">
        <f t="shared" si="38"/>
        <v>10000000</v>
      </c>
      <c r="EY14" s="465"/>
      <c r="EZ14" s="465">
        <v>25000000</v>
      </c>
      <c r="FA14" s="465">
        <f>3111078+4500000-4500000+7794290+7884530+6210102</f>
        <v>25000000</v>
      </c>
      <c r="FB14" s="465">
        <f t="shared" si="39"/>
        <v>0</v>
      </c>
      <c r="FC14" s="465"/>
      <c r="FD14" s="465">
        <v>3000000</v>
      </c>
      <c r="FE14" s="465">
        <v>0</v>
      </c>
      <c r="FF14" s="465">
        <f t="shared" si="40"/>
        <v>3000000</v>
      </c>
      <c r="FG14" s="465"/>
      <c r="FH14" s="637">
        <v>65000000</v>
      </c>
      <c r="FI14" s="637">
        <v>0</v>
      </c>
      <c r="FJ14" s="637">
        <f t="shared" si="41"/>
        <v>65000000</v>
      </c>
      <c r="FK14" s="637"/>
      <c r="FL14" s="637">
        <v>8000000</v>
      </c>
      <c r="FM14" s="637">
        <f>256099.86</f>
        <v>256099.86</v>
      </c>
      <c r="FN14" s="637">
        <f t="shared" si="42"/>
        <v>7743900.1399999997</v>
      </c>
      <c r="FO14" s="637"/>
      <c r="FP14" s="637">
        <v>5000000</v>
      </c>
      <c r="FQ14" s="637">
        <v>0</v>
      </c>
      <c r="FR14" s="637">
        <f t="shared" si="43"/>
        <v>5000000</v>
      </c>
      <c r="FS14" s="637"/>
      <c r="FT14" s="637">
        <v>18000000</v>
      </c>
      <c r="FU14" s="639">
        <f>6004560+1554400+757000</f>
        <v>8315960</v>
      </c>
      <c r="FV14" s="637">
        <f t="shared" si="44"/>
        <v>9684040</v>
      </c>
      <c r="FW14" s="637"/>
      <c r="FX14" s="637">
        <v>3000000</v>
      </c>
      <c r="FY14" s="637">
        <v>0</v>
      </c>
      <c r="FZ14" s="637">
        <f t="shared" si="45"/>
        <v>3000000</v>
      </c>
      <c r="GA14" s="637"/>
      <c r="GB14" s="637">
        <v>90000000</v>
      </c>
      <c r="GC14" s="637">
        <v>0</v>
      </c>
      <c r="GD14" s="637">
        <f t="shared" si="46"/>
        <v>90000000</v>
      </c>
      <c r="GE14" s="637"/>
      <c r="GF14" s="637">
        <v>22000000</v>
      </c>
      <c r="GG14" s="637">
        <v>0</v>
      </c>
      <c r="GH14" s="637">
        <f t="shared" si="47"/>
        <v>22000000</v>
      </c>
      <c r="GI14" s="637"/>
      <c r="GJ14" s="637">
        <v>3000000</v>
      </c>
      <c r="GK14" s="637">
        <v>0</v>
      </c>
      <c r="GL14" s="637">
        <f t="shared" si="48"/>
        <v>3000000</v>
      </c>
      <c r="GM14" s="637"/>
      <c r="GN14" s="636">
        <v>12000000</v>
      </c>
      <c r="GO14" s="636">
        <v>0</v>
      </c>
      <c r="GP14" s="636">
        <f t="shared" si="0"/>
        <v>12000000</v>
      </c>
      <c r="GQ14" s="637"/>
      <c r="GR14" s="637">
        <v>3000000</v>
      </c>
      <c r="GS14" s="637">
        <v>0</v>
      </c>
      <c r="GT14" s="637">
        <f t="shared" si="49"/>
        <v>3000000</v>
      </c>
      <c r="GU14" s="637"/>
      <c r="GV14" s="587">
        <f t="shared" si="50"/>
        <v>1071150000</v>
      </c>
      <c r="GW14" s="587">
        <f t="shared" si="50"/>
        <v>564588059.86000001</v>
      </c>
      <c r="GX14" s="468">
        <f t="shared" si="51"/>
        <v>506561940.13999999</v>
      </c>
      <c r="GZ14" s="519"/>
      <c r="HA14" s="468">
        <f>D14+H14+L14+X14+AN14+BH14+CB14+CV14+DT14+EN14+FH14+GB14</f>
        <v>696150000</v>
      </c>
      <c r="HB14" s="468">
        <f>E14+I14+M14+Y14+AO14+BI14+CC14+CW14+DU14+EO14+FI14+GC14</f>
        <v>292598500</v>
      </c>
      <c r="HC14" s="471">
        <f t="shared" si="52"/>
        <v>403551500</v>
      </c>
      <c r="HE14" s="471">
        <f>P14+AB14+AR14+BL14+CF14+CZ14+DX14+ER14+FL14+GF14</f>
        <v>95500000</v>
      </c>
      <c r="HF14" s="471">
        <f>Q14+AC14+AS14+BM14+CG14+DA14+DY14+ES14+FM14+GG14</f>
        <v>65756099.859999999</v>
      </c>
      <c r="HG14" s="471">
        <f t="shared" si="53"/>
        <v>29743900.140000001</v>
      </c>
      <c r="HI14" s="471">
        <f>T14+AF14+AV14+BP14+CJ14+DD14+EB14+EV14+FP14+GJ14</f>
        <v>68000000</v>
      </c>
      <c r="HJ14" s="471">
        <f>U14+AG14+AW14+BQ14+CK14+DE14+EC14+EW14+FQ14+GK14</f>
        <v>31407500</v>
      </c>
      <c r="HK14" s="471">
        <f t="shared" si="54"/>
        <v>36592500</v>
      </c>
      <c r="HN14" s="471">
        <f>AJ14+AZ14+BT14+CN14+DH14+DP14+EF14+EZ14+FT14+GN14</f>
        <v>187500000</v>
      </c>
      <c r="HO14" s="471">
        <f>AK14+BA14+BU14+CO14+DI14+DQ14+EG14+FA14+FU14+GO14</f>
        <v>165815960</v>
      </c>
      <c r="HP14" s="471">
        <f t="shared" si="55"/>
        <v>21684040</v>
      </c>
      <c r="HR14" s="531"/>
      <c r="HT14" s="471">
        <f>BX14+CR14+DL14+EJ14+FD14+FX14+GR14</f>
        <v>24000000</v>
      </c>
      <c r="HU14" s="471">
        <f>BY14+CS14+DM14+EK14+FE14+FY14+GS14</f>
        <v>9010000</v>
      </c>
      <c r="HV14" s="471">
        <f t="shared" si="56"/>
        <v>14990000</v>
      </c>
      <c r="HX14" s="473">
        <f t="shared" si="57"/>
        <v>0</v>
      </c>
      <c r="HY14" s="474">
        <v>9010000</v>
      </c>
      <c r="ID14" s="473">
        <f>HU14+HO14+HJ14+HF14+HB14</f>
        <v>564588059.86000001</v>
      </c>
      <c r="IE14" s="473">
        <f>HV14+HP14+HK14+HG14+HC14</f>
        <v>506561940.13999999</v>
      </c>
      <c r="IF14" s="473"/>
    </row>
    <row r="15" spans="1:240" x14ac:dyDescent="0.25">
      <c r="A15" s="107">
        <v>12</v>
      </c>
      <c r="B15" s="107" t="s">
        <v>556</v>
      </c>
      <c r="C15" s="634" t="s">
        <v>69</v>
      </c>
      <c r="D15" s="488">
        <v>1000000</v>
      </c>
      <c r="E15" s="488">
        <v>1000000</v>
      </c>
      <c r="F15" s="475">
        <f t="shared" si="1"/>
        <v>0</v>
      </c>
      <c r="G15" s="488"/>
      <c r="H15" s="465">
        <v>15000000</v>
      </c>
      <c r="I15" s="465">
        <v>15000000</v>
      </c>
      <c r="J15" s="463">
        <f t="shared" si="2"/>
        <v>0</v>
      </c>
      <c r="K15" s="488"/>
      <c r="L15" s="465">
        <v>15000000</v>
      </c>
      <c r="M15" s="465">
        <v>15000000</v>
      </c>
      <c r="N15" s="543">
        <f t="shared" si="3"/>
        <v>0</v>
      </c>
      <c r="O15" s="488"/>
      <c r="P15" s="465">
        <v>2500000</v>
      </c>
      <c r="Q15" s="465">
        <v>2500000</v>
      </c>
      <c r="R15" s="543">
        <f t="shared" si="4"/>
        <v>0</v>
      </c>
      <c r="S15" s="488"/>
      <c r="T15" s="465">
        <v>1000000</v>
      </c>
      <c r="U15" s="465">
        <v>1000000</v>
      </c>
      <c r="V15" s="543">
        <f t="shared" si="5"/>
        <v>0</v>
      </c>
      <c r="W15" s="488"/>
      <c r="X15" s="465">
        <v>20000000</v>
      </c>
      <c r="Y15" s="465">
        <v>20000000</v>
      </c>
      <c r="Z15" s="543">
        <f t="shared" si="6"/>
        <v>0</v>
      </c>
      <c r="AA15" s="488"/>
      <c r="AB15" s="465">
        <v>5000000</v>
      </c>
      <c r="AC15" s="465">
        <v>5000000</v>
      </c>
      <c r="AD15" s="543">
        <f t="shared" si="7"/>
        <v>0</v>
      </c>
      <c r="AE15" s="488"/>
      <c r="AF15" s="465">
        <v>2000000</v>
      </c>
      <c r="AG15" s="465">
        <v>2000000</v>
      </c>
      <c r="AH15" s="543">
        <f t="shared" si="8"/>
        <v>0</v>
      </c>
      <c r="AI15" s="488"/>
      <c r="AJ15" s="465">
        <v>7500000</v>
      </c>
      <c r="AK15" s="465">
        <v>7500000</v>
      </c>
      <c r="AL15" s="543">
        <f t="shared" si="9"/>
        <v>0</v>
      </c>
      <c r="AM15" s="466"/>
      <c r="AN15" s="465">
        <v>30000000</v>
      </c>
      <c r="AO15" s="483">
        <f>24845773+5154227</f>
        <v>30000000</v>
      </c>
      <c r="AP15" s="543">
        <f t="shared" si="10"/>
        <v>0</v>
      </c>
      <c r="AQ15" s="488"/>
      <c r="AR15" s="465">
        <v>3000000</v>
      </c>
      <c r="AS15" s="465">
        <v>3000000</v>
      </c>
      <c r="AT15" s="543">
        <f t="shared" si="11"/>
        <v>0</v>
      </c>
      <c r="AU15" s="488"/>
      <c r="AV15" s="465">
        <v>2000000</v>
      </c>
      <c r="AW15" s="465">
        <v>2000000</v>
      </c>
      <c r="AX15" s="543">
        <f t="shared" si="12"/>
        <v>0</v>
      </c>
      <c r="AY15" s="488"/>
      <c r="AZ15" s="465">
        <v>10000000</v>
      </c>
      <c r="BA15" s="465">
        <v>10000000</v>
      </c>
      <c r="BB15" s="543">
        <f t="shared" si="13"/>
        <v>0</v>
      </c>
      <c r="BC15" s="488"/>
      <c r="BD15" s="465">
        <v>0</v>
      </c>
      <c r="BE15" s="465">
        <v>0</v>
      </c>
      <c r="BF15" s="543">
        <f t="shared" si="14"/>
        <v>0</v>
      </c>
      <c r="BG15" s="488"/>
      <c r="BH15" s="465">
        <v>55000000</v>
      </c>
      <c r="BI15" s="483">
        <f>15317000+39683000</f>
        <v>55000000</v>
      </c>
      <c r="BJ15" s="543">
        <f t="shared" si="15"/>
        <v>0</v>
      </c>
      <c r="BK15" s="471"/>
      <c r="BL15" s="465">
        <v>5000000</v>
      </c>
      <c r="BM15" s="465">
        <v>5000000</v>
      </c>
      <c r="BN15" s="543">
        <f t="shared" si="16"/>
        <v>0</v>
      </c>
      <c r="BO15" s="488"/>
      <c r="BP15" s="465">
        <v>5000000</v>
      </c>
      <c r="BQ15" s="485">
        <f>3170000+1830000</f>
        <v>5000000</v>
      </c>
      <c r="BR15" s="543">
        <f t="shared" si="17"/>
        <v>0</v>
      </c>
      <c r="BS15" s="488"/>
      <c r="BT15" s="465">
        <v>15000000</v>
      </c>
      <c r="BU15" s="465">
        <v>15000000</v>
      </c>
      <c r="BV15" s="543">
        <f t="shared" si="18"/>
        <v>0</v>
      </c>
      <c r="BW15" s="488"/>
      <c r="BX15" s="465">
        <v>1000000</v>
      </c>
      <c r="BY15" s="465">
        <f>425000+575000</f>
        <v>1000000</v>
      </c>
      <c r="BZ15" s="543">
        <f t="shared" si="19"/>
        <v>0</v>
      </c>
      <c r="CA15" s="488"/>
      <c r="CB15" s="468">
        <v>80000000</v>
      </c>
      <c r="CC15" s="483">
        <f>76586590+3413410</f>
        <v>80000000</v>
      </c>
      <c r="CD15" s="543">
        <f t="shared" si="20"/>
        <v>0</v>
      </c>
      <c r="CE15" s="488"/>
      <c r="CF15" s="468">
        <v>10000000</v>
      </c>
      <c r="CG15" s="468">
        <v>10000000</v>
      </c>
      <c r="CH15" s="543">
        <f t="shared" si="21"/>
        <v>0</v>
      </c>
      <c r="CI15" s="488"/>
      <c r="CJ15" s="468">
        <v>10000000</v>
      </c>
      <c r="CK15" s="504">
        <f>115650</f>
        <v>115650</v>
      </c>
      <c r="CL15" s="543">
        <f t="shared" si="22"/>
        <v>9884350</v>
      </c>
      <c r="CM15" s="488"/>
      <c r="CN15" s="468">
        <v>30000000</v>
      </c>
      <c r="CO15" s="468">
        <v>30000000</v>
      </c>
      <c r="CP15" s="543">
        <f t="shared" si="23"/>
        <v>0</v>
      </c>
      <c r="CQ15" s="488"/>
      <c r="CR15" s="465">
        <v>5000000</v>
      </c>
      <c r="CS15" s="468">
        <f>1473500+1909950+436500+1180050</f>
        <v>5000000</v>
      </c>
      <c r="CT15" s="465">
        <f t="shared" si="24"/>
        <v>0</v>
      </c>
      <c r="CU15" s="488"/>
      <c r="CV15" s="525">
        <v>80000000</v>
      </c>
      <c r="CW15" s="483">
        <f>32661702+20700000+18900000+7738298</f>
        <v>80000000</v>
      </c>
      <c r="CX15" s="543">
        <f t="shared" si="25"/>
        <v>0</v>
      </c>
      <c r="CY15" s="471"/>
      <c r="CZ15" s="468">
        <v>20000000</v>
      </c>
      <c r="DA15" s="468">
        <f>4887150+4680000</f>
        <v>9567150</v>
      </c>
      <c r="DB15" s="543">
        <f t="shared" si="26"/>
        <v>10432850</v>
      </c>
      <c r="DC15" s="471"/>
      <c r="DD15" s="468">
        <v>20000000</v>
      </c>
      <c r="DE15" s="468">
        <v>0</v>
      </c>
      <c r="DF15" s="543">
        <f t="shared" si="27"/>
        <v>20000000</v>
      </c>
      <c r="DG15" s="488"/>
      <c r="DH15" s="468">
        <v>50000000</v>
      </c>
      <c r="DI15" s="489">
        <f>37044860+12955140</f>
        <v>50000000</v>
      </c>
      <c r="DJ15" s="543">
        <f t="shared" si="28"/>
        <v>0</v>
      </c>
      <c r="DK15" s="488"/>
      <c r="DL15" s="465">
        <v>6000000</v>
      </c>
      <c r="DM15" s="468">
        <f>4310950+337050+969000</f>
        <v>5617000</v>
      </c>
      <c r="DN15" s="465">
        <f t="shared" si="29"/>
        <v>383000</v>
      </c>
      <c r="DO15" s="488"/>
      <c r="DP15" s="471">
        <v>0</v>
      </c>
      <c r="DQ15" s="471">
        <v>0</v>
      </c>
      <c r="DR15" s="471">
        <f t="shared" si="30"/>
        <v>0</v>
      </c>
      <c r="DT15" s="471">
        <v>60000000</v>
      </c>
      <c r="DU15" s="540">
        <f>56209727.15+3790272.85</f>
        <v>60000000</v>
      </c>
      <c r="DV15" s="471">
        <f t="shared" si="31"/>
        <v>0</v>
      </c>
      <c r="DX15" s="471">
        <v>10000000</v>
      </c>
      <c r="DY15" s="471">
        <v>0</v>
      </c>
      <c r="DZ15" s="471">
        <f t="shared" si="32"/>
        <v>10000000</v>
      </c>
      <c r="EB15" s="471">
        <v>10000000</v>
      </c>
      <c r="EC15" s="471">
        <v>0</v>
      </c>
      <c r="ED15" s="471">
        <f t="shared" si="33"/>
        <v>10000000</v>
      </c>
      <c r="EF15" s="471">
        <v>20000000</v>
      </c>
      <c r="EG15" s="549">
        <f>800800+1817600+8504120+2818800+6058680</f>
        <v>20000000</v>
      </c>
      <c r="EH15" s="471">
        <f t="shared" si="34"/>
        <v>0</v>
      </c>
      <c r="EJ15" s="471">
        <v>3000000</v>
      </c>
      <c r="EK15" s="471">
        <v>0</v>
      </c>
      <c r="EL15" s="471">
        <f t="shared" si="35"/>
        <v>3000000</v>
      </c>
      <c r="EM15" s="634"/>
      <c r="EN15" s="465">
        <v>200000000</v>
      </c>
      <c r="EO15" s="484">
        <f>3510527.15</f>
        <v>3510527.15</v>
      </c>
      <c r="EP15" s="465">
        <f t="shared" si="36"/>
        <v>196489472.84999999</v>
      </c>
      <c r="EQ15" s="465"/>
      <c r="ER15" s="465">
        <v>10000000</v>
      </c>
      <c r="ES15" s="465">
        <v>0</v>
      </c>
      <c r="ET15" s="465">
        <f t="shared" si="37"/>
        <v>10000000</v>
      </c>
      <c r="EU15" s="465"/>
      <c r="EV15" s="465">
        <v>10000000</v>
      </c>
      <c r="EW15" s="465">
        <v>0</v>
      </c>
      <c r="EX15" s="465">
        <f t="shared" si="38"/>
        <v>10000000</v>
      </c>
      <c r="EY15" s="465"/>
      <c r="EZ15" s="465">
        <v>25000000</v>
      </c>
      <c r="FA15" s="483">
        <f>16271550+8728450</f>
        <v>25000000</v>
      </c>
      <c r="FB15" s="465">
        <f t="shared" si="39"/>
        <v>0</v>
      </c>
      <c r="FC15" s="465"/>
      <c r="FD15" s="465">
        <v>3000000</v>
      </c>
      <c r="FE15" s="465">
        <v>0</v>
      </c>
      <c r="FF15" s="465">
        <f t="shared" si="40"/>
        <v>3000000</v>
      </c>
      <c r="FG15" s="465"/>
      <c r="FH15" s="637">
        <v>65000000</v>
      </c>
      <c r="FI15" s="637">
        <v>0</v>
      </c>
      <c r="FJ15" s="637">
        <f t="shared" si="41"/>
        <v>65000000</v>
      </c>
      <c r="FK15" s="637"/>
      <c r="FL15" s="637">
        <v>8000000</v>
      </c>
      <c r="FM15" s="637">
        <v>0</v>
      </c>
      <c r="FN15" s="637">
        <f t="shared" si="42"/>
        <v>8000000</v>
      </c>
      <c r="FO15" s="637"/>
      <c r="FP15" s="637">
        <v>5000000</v>
      </c>
      <c r="FQ15" s="637">
        <v>0</v>
      </c>
      <c r="FR15" s="637">
        <f t="shared" si="43"/>
        <v>5000000</v>
      </c>
      <c r="FS15" s="637"/>
      <c r="FT15" s="637">
        <v>18000000</v>
      </c>
      <c r="FU15" s="638">
        <f>12484180</f>
        <v>12484180</v>
      </c>
      <c r="FV15" s="637">
        <f t="shared" si="44"/>
        <v>5515820</v>
      </c>
      <c r="FW15" s="637"/>
      <c r="FX15" s="637">
        <v>3000000</v>
      </c>
      <c r="FY15" s="637">
        <v>0</v>
      </c>
      <c r="FZ15" s="637">
        <f t="shared" si="45"/>
        <v>3000000</v>
      </c>
      <c r="GA15" s="637"/>
      <c r="GB15" s="637">
        <v>90000000</v>
      </c>
      <c r="GC15" s="637">
        <v>0</v>
      </c>
      <c r="GD15" s="637">
        <f t="shared" si="46"/>
        <v>90000000</v>
      </c>
      <c r="GE15" s="637"/>
      <c r="GF15" s="637">
        <v>22000000</v>
      </c>
      <c r="GG15" s="637">
        <v>0</v>
      </c>
      <c r="GH15" s="637">
        <f t="shared" si="47"/>
        <v>22000000</v>
      </c>
      <c r="GI15" s="637"/>
      <c r="GJ15" s="637">
        <v>3000000</v>
      </c>
      <c r="GK15" s="637">
        <v>0</v>
      </c>
      <c r="GL15" s="637">
        <f t="shared" si="48"/>
        <v>3000000</v>
      </c>
      <c r="GM15" s="637"/>
      <c r="GN15" s="636">
        <v>12000000</v>
      </c>
      <c r="GO15" s="636">
        <v>0</v>
      </c>
      <c r="GP15" s="636">
        <f t="shared" si="0"/>
        <v>12000000</v>
      </c>
      <c r="GQ15" s="637"/>
      <c r="GR15" s="637">
        <v>3000000</v>
      </c>
      <c r="GS15" s="637">
        <v>0</v>
      </c>
      <c r="GT15" s="637">
        <f t="shared" si="49"/>
        <v>3000000</v>
      </c>
      <c r="GU15" s="637"/>
      <c r="GV15" s="587">
        <f t="shared" si="50"/>
        <v>1086000000</v>
      </c>
      <c r="GW15" s="587">
        <f t="shared" si="50"/>
        <v>586294507.14999998</v>
      </c>
      <c r="GX15" s="468">
        <f t="shared" si="51"/>
        <v>499705492.85000002</v>
      </c>
      <c r="GZ15" s="519"/>
      <c r="HA15" s="468">
        <f>D15+H15+L15+X15+AN15+BH15+CB15+CV15+DT15+EN15+FH15+GB15</f>
        <v>711000000</v>
      </c>
      <c r="HB15" s="468">
        <f>E15+I15+M15+Y15+AO15+BI15+CC15+CW15+DU15+EO15+FI15+GC15</f>
        <v>359510527.14999998</v>
      </c>
      <c r="HC15" s="471">
        <f t="shared" si="52"/>
        <v>351489472.85000002</v>
      </c>
      <c r="HE15" s="471">
        <f>P15+AB15+AR15+BL15+CF15+CZ15+DX15+ER15+FL15+GF15</f>
        <v>95500000</v>
      </c>
      <c r="HF15" s="471">
        <f>Q15+AC15+AS15+BM15+CG15+DA15+DY15+ES15+FM15+GG15</f>
        <v>35067150</v>
      </c>
      <c r="HG15" s="471">
        <f t="shared" si="53"/>
        <v>60432850</v>
      </c>
      <c r="HI15" s="471">
        <f>T15+AF15+AV15+BP15+CJ15+DD15+EB15+EV15+FP15+GJ15</f>
        <v>68000000</v>
      </c>
      <c r="HJ15" s="471">
        <f>U15+AG15+AW15+BQ15+CK15+DE15+EC15+EW15+FQ15+GK15</f>
        <v>10115650</v>
      </c>
      <c r="HK15" s="471">
        <f t="shared" si="54"/>
        <v>57884350</v>
      </c>
      <c r="HN15" s="471">
        <f>AJ15+AZ15+BT15+CN15+DH15+DP15+EF15+EZ15+FT15+GN15</f>
        <v>187500000</v>
      </c>
      <c r="HO15" s="471">
        <f>AK15+BA15+BU15+CO15+DI15+DQ15+EG15+FA15+FU15+GO15</f>
        <v>169984180</v>
      </c>
      <c r="HP15" s="471">
        <f t="shared" si="55"/>
        <v>17515820</v>
      </c>
      <c r="HR15" s="531"/>
      <c r="HT15" s="471">
        <f>BX15+CR15+DL15+EJ15+FD15+FX15+GR15</f>
        <v>24000000</v>
      </c>
      <c r="HU15" s="471">
        <f>BY15+CS15+DM15+EK15+FE15+FY15+GS15</f>
        <v>11617000</v>
      </c>
      <c r="HV15" s="471">
        <f t="shared" si="56"/>
        <v>12383000</v>
      </c>
      <c r="HX15" s="473">
        <f t="shared" si="57"/>
        <v>0</v>
      </c>
      <c r="HY15" s="474">
        <v>11617000</v>
      </c>
      <c r="ID15" s="473">
        <f>HU15+HO15+HJ15+HF15+HB15</f>
        <v>586294507.14999998</v>
      </c>
      <c r="IE15" s="473">
        <f>HV15+HP15+HK15+HG15+HC15</f>
        <v>499705492.85000002</v>
      </c>
      <c r="IF15" s="473"/>
    </row>
    <row r="16" spans="1:240" x14ac:dyDescent="0.25">
      <c r="A16" s="107">
        <v>13</v>
      </c>
      <c r="B16" s="107" t="s">
        <v>557</v>
      </c>
      <c r="C16" s="634" t="s">
        <v>61</v>
      </c>
      <c r="D16" s="465">
        <v>0</v>
      </c>
      <c r="E16" s="465">
        <v>0</v>
      </c>
      <c r="F16" s="475">
        <f t="shared" si="1"/>
        <v>0</v>
      </c>
      <c r="G16" s="465"/>
      <c r="H16" s="465">
        <v>15000000</v>
      </c>
      <c r="I16" s="465">
        <v>15000000</v>
      </c>
      <c r="J16" s="463">
        <f t="shared" si="2"/>
        <v>0</v>
      </c>
      <c r="K16" s="465"/>
      <c r="L16" s="465">
        <v>15000000</v>
      </c>
      <c r="M16" s="465">
        <v>15000000</v>
      </c>
      <c r="N16" s="543">
        <f t="shared" si="3"/>
        <v>0</v>
      </c>
      <c r="O16" s="465"/>
      <c r="P16" s="465">
        <v>2500000</v>
      </c>
      <c r="Q16" s="465">
        <v>2500000</v>
      </c>
      <c r="R16" s="543">
        <f t="shared" si="4"/>
        <v>0</v>
      </c>
      <c r="S16" s="465"/>
      <c r="T16" s="465">
        <v>1000000</v>
      </c>
      <c r="U16" s="465">
        <v>1000000</v>
      </c>
      <c r="V16" s="543">
        <f t="shared" si="5"/>
        <v>0</v>
      </c>
      <c r="W16" s="465"/>
      <c r="X16" s="465">
        <v>20000000</v>
      </c>
      <c r="Y16" s="465">
        <v>20000000</v>
      </c>
      <c r="Z16" s="543">
        <f t="shared" si="6"/>
        <v>0</v>
      </c>
      <c r="AA16" s="465"/>
      <c r="AB16" s="465">
        <v>5000000</v>
      </c>
      <c r="AC16" s="465">
        <v>5000000</v>
      </c>
      <c r="AD16" s="543">
        <f t="shared" si="7"/>
        <v>0</v>
      </c>
      <c r="AE16" s="465"/>
      <c r="AF16" s="465">
        <v>2000000</v>
      </c>
      <c r="AG16" s="465">
        <v>2000000</v>
      </c>
      <c r="AH16" s="543">
        <f t="shared" si="8"/>
        <v>0</v>
      </c>
      <c r="AI16" s="465"/>
      <c r="AJ16" s="465">
        <v>7500000</v>
      </c>
      <c r="AK16" s="465">
        <v>7500000</v>
      </c>
      <c r="AL16" s="543">
        <f t="shared" si="9"/>
        <v>0</v>
      </c>
      <c r="AM16" s="465"/>
      <c r="AN16" s="465">
        <v>30000000</v>
      </c>
      <c r="AO16" s="465">
        <v>30000000</v>
      </c>
      <c r="AP16" s="543">
        <f t="shared" si="10"/>
        <v>0</v>
      </c>
      <c r="AQ16" s="465"/>
      <c r="AR16" s="465">
        <v>3000000</v>
      </c>
      <c r="AS16" s="465">
        <f>2518800+481200</f>
        <v>3000000</v>
      </c>
      <c r="AT16" s="543">
        <f t="shared" si="11"/>
        <v>0</v>
      </c>
      <c r="AU16" s="488"/>
      <c r="AV16" s="465">
        <v>2000000</v>
      </c>
      <c r="AW16" s="465">
        <v>2000000</v>
      </c>
      <c r="AX16" s="543">
        <f t="shared" si="12"/>
        <v>0</v>
      </c>
      <c r="AY16" s="465"/>
      <c r="AZ16" s="465">
        <v>10000000</v>
      </c>
      <c r="BA16" s="465">
        <v>10000000</v>
      </c>
      <c r="BB16" s="543">
        <f t="shared" si="13"/>
        <v>0</v>
      </c>
      <c r="BC16" s="465"/>
      <c r="BD16" s="465">
        <v>0</v>
      </c>
      <c r="BE16" s="465">
        <v>0</v>
      </c>
      <c r="BF16" s="543">
        <f t="shared" si="14"/>
        <v>0</v>
      </c>
      <c r="BG16" s="465"/>
      <c r="BH16" s="465">
        <v>55000000</v>
      </c>
      <c r="BI16" s="465">
        <v>55000000</v>
      </c>
      <c r="BJ16" s="543">
        <f t="shared" si="15"/>
        <v>0</v>
      </c>
      <c r="BK16" s="465"/>
      <c r="BL16" s="465">
        <v>5000000</v>
      </c>
      <c r="BM16" s="468">
        <v>5000000</v>
      </c>
      <c r="BN16" s="543">
        <f t="shared" si="16"/>
        <v>0</v>
      </c>
      <c r="BO16" s="465"/>
      <c r="BP16" s="465">
        <v>5000000</v>
      </c>
      <c r="BQ16" s="465">
        <v>3882500</v>
      </c>
      <c r="BR16" s="543">
        <f t="shared" si="17"/>
        <v>1117500</v>
      </c>
      <c r="BS16" s="465"/>
      <c r="BT16" s="465">
        <v>15000000</v>
      </c>
      <c r="BU16" s="465">
        <f>11624200+3375800</f>
        <v>15000000</v>
      </c>
      <c r="BV16" s="543">
        <f t="shared" si="18"/>
        <v>0</v>
      </c>
      <c r="BW16" s="465"/>
      <c r="BX16" s="465">
        <v>1000000</v>
      </c>
      <c r="BY16" s="485">
        <f>360000+640000</f>
        <v>1000000</v>
      </c>
      <c r="BZ16" s="543">
        <f t="shared" si="19"/>
        <v>0</v>
      </c>
      <c r="CA16" s="465"/>
      <c r="CB16" s="468">
        <v>80000000</v>
      </c>
      <c r="CC16" s="465">
        <v>80000000</v>
      </c>
      <c r="CD16" s="543">
        <f t="shared" si="20"/>
        <v>0</v>
      </c>
      <c r="CE16" s="488"/>
      <c r="CF16" s="468">
        <v>10000000</v>
      </c>
      <c r="CG16" s="468">
        <v>10000000</v>
      </c>
      <c r="CH16" s="543">
        <f t="shared" si="21"/>
        <v>0</v>
      </c>
      <c r="CI16" s="465"/>
      <c r="CJ16" s="468">
        <v>10000000</v>
      </c>
      <c r="CK16" s="468">
        <v>0</v>
      </c>
      <c r="CL16" s="543">
        <f t="shared" si="22"/>
        <v>10000000</v>
      </c>
      <c r="CM16" s="465"/>
      <c r="CN16" s="468">
        <v>30000000</v>
      </c>
      <c r="CO16" s="468">
        <v>30000000</v>
      </c>
      <c r="CP16" s="543">
        <f t="shared" si="23"/>
        <v>0</v>
      </c>
      <c r="CQ16" s="488"/>
      <c r="CR16" s="465">
        <v>5000000</v>
      </c>
      <c r="CS16" s="468">
        <f>4791100+208900</f>
        <v>5000000</v>
      </c>
      <c r="CT16" s="465">
        <f t="shared" si="24"/>
        <v>0</v>
      </c>
      <c r="CU16" s="465"/>
      <c r="CV16" s="525">
        <v>80000000</v>
      </c>
      <c r="CW16" s="465">
        <f>30401251+3000000+46598749</f>
        <v>80000000</v>
      </c>
      <c r="CX16" s="543">
        <f t="shared" si="25"/>
        <v>0</v>
      </c>
      <c r="CY16" s="471"/>
      <c r="CZ16" s="468">
        <v>20000000</v>
      </c>
      <c r="DA16" s="468">
        <f>13872350+3012000+3115650</f>
        <v>20000000</v>
      </c>
      <c r="DB16" s="543">
        <f t="shared" si="26"/>
        <v>0</v>
      </c>
      <c r="DC16" s="471"/>
      <c r="DD16" s="468">
        <v>20000000</v>
      </c>
      <c r="DE16" s="468">
        <v>0</v>
      </c>
      <c r="DF16" s="543">
        <f t="shared" si="27"/>
        <v>20000000</v>
      </c>
      <c r="DG16" s="465"/>
      <c r="DH16" s="468">
        <v>50000000</v>
      </c>
      <c r="DI16" s="468">
        <f>42085310+4775206+3139484</f>
        <v>50000000</v>
      </c>
      <c r="DJ16" s="543">
        <f t="shared" si="28"/>
        <v>0</v>
      </c>
      <c r="DK16" s="488"/>
      <c r="DL16" s="465">
        <v>6000000</v>
      </c>
      <c r="DM16" s="468">
        <f>5868600+131400</f>
        <v>6000000</v>
      </c>
      <c r="DN16" s="465">
        <f t="shared" si="29"/>
        <v>0</v>
      </c>
      <c r="DO16" s="465"/>
      <c r="DP16" s="471">
        <v>0</v>
      </c>
      <c r="DQ16" s="471">
        <v>0</v>
      </c>
      <c r="DR16" s="471">
        <f t="shared" si="30"/>
        <v>0</v>
      </c>
      <c r="DT16" s="471">
        <v>60000000</v>
      </c>
      <c r="DU16" s="471">
        <f>5301251+6300000+12000000+32347500+4051249</f>
        <v>60000000</v>
      </c>
      <c r="DV16" s="471">
        <f t="shared" si="31"/>
        <v>0</v>
      </c>
      <c r="DX16" s="471">
        <v>10000000</v>
      </c>
      <c r="DY16" s="552">
        <f>510150+2253000+2384400</f>
        <v>5147550</v>
      </c>
      <c r="DZ16" s="471">
        <f t="shared" si="32"/>
        <v>4852450</v>
      </c>
      <c r="EB16" s="471">
        <v>10000000</v>
      </c>
      <c r="EC16" s="471">
        <v>0</v>
      </c>
      <c r="ED16" s="471">
        <f t="shared" si="33"/>
        <v>10000000</v>
      </c>
      <c r="EF16" s="471">
        <v>20000000</v>
      </c>
      <c r="EG16" s="471">
        <f>5232510+1175976+4125600+4013215+4370000+1082699</f>
        <v>20000000</v>
      </c>
      <c r="EH16" s="471">
        <f t="shared" si="34"/>
        <v>0</v>
      </c>
      <c r="EJ16" s="471">
        <v>3000000</v>
      </c>
      <c r="EK16" s="552">
        <f>297600+429000-429000+720000</f>
        <v>1017600</v>
      </c>
      <c r="EL16" s="471">
        <f t="shared" si="35"/>
        <v>1982400</v>
      </c>
      <c r="EM16" s="634"/>
      <c r="EN16" s="465">
        <v>200000000</v>
      </c>
      <c r="EO16" s="485">
        <f>15173751+34500000+50037265.4+74325250+15900000+8700000</f>
        <v>198636266.40000001</v>
      </c>
      <c r="EP16" s="465">
        <f t="shared" si="36"/>
        <v>1363733.599999994</v>
      </c>
      <c r="EQ16" s="465"/>
      <c r="ER16" s="465">
        <v>10000000</v>
      </c>
      <c r="ES16" s="465">
        <v>7922700</v>
      </c>
      <c r="ET16" s="465">
        <f t="shared" si="37"/>
        <v>2077300</v>
      </c>
      <c r="EU16" s="465"/>
      <c r="EV16" s="465">
        <v>10000000</v>
      </c>
      <c r="EW16" s="465">
        <v>0</v>
      </c>
      <c r="EX16" s="465">
        <f t="shared" si="38"/>
        <v>10000000</v>
      </c>
      <c r="EY16" s="465"/>
      <c r="EZ16" s="465">
        <v>25000000</v>
      </c>
      <c r="FA16" s="591">
        <f>4804301+10283400</f>
        <v>15087701</v>
      </c>
      <c r="FB16" s="465">
        <f t="shared" si="39"/>
        <v>9912299</v>
      </c>
      <c r="FC16" s="465"/>
      <c r="FD16" s="465">
        <v>3000000</v>
      </c>
      <c r="FE16" s="465">
        <v>0</v>
      </c>
      <c r="FF16" s="465">
        <f t="shared" si="40"/>
        <v>3000000</v>
      </c>
      <c r="FG16" s="465"/>
      <c r="FH16" s="637">
        <v>65000000</v>
      </c>
      <c r="FI16" s="637">
        <v>0</v>
      </c>
      <c r="FJ16" s="637">
        <f t="shared" si="41"/>
        <v>65000000</v>
      </c>
      <c r="FK16" s="637"/>
      <c r="FL16" s="637">
        <v>8000000</v>
      </c>
      <c r="FM16" s="637">
        <v>0</v>
      </c>
      <c r="FN16" s="637">
        <f t="shared" si="42"/>
        <v>8000000</v>
      </c>
      <c r="FO16" s="637"/>
      <c r="FP16" s="637">
        <v>5000000</v>
      </c>
      <c r="FQ16" s="637">
        <v>0</v>
      </c>
      <c r="FR16" s="637">
        <f t="shared" si="43"/>
        <v>5000000</v>
      </c>
      <c r="FS16" s="637"/>
      <c r="FT16" s="637">
        <v>18000000</v>
      </c>
      <c r="FU16" s="637">
        <v>0</v>
      </c>
      <c r="FV16" s="637">
        <f t="shared" si="44"/>
        <v>18000000</v>
      </c>
      <c r="FW16" s="637"/>
      <c r="FX16" s="637">
        <v>3000000</v>
      </c>
      <c r="FY16" s="637">
        <v>0</v>
      </c>
      <c r="FZ16" s="637">
        <f t="shared" si="45"/>
        <v>3000000</v>
      </c>
      <c r="GA16" s="637"/>
      <c r="GB16" s="637">
        <v>90000000</v>
      </c>
      <c r="GC16" s="637">
        <v>0</v>
      </c>
      <c r="GD16" s="637">
        <f t="shared" si="46"/>
        <v>90000000</v>
      </c>
      <c r="GE16" s="637"/>
      <c r="GF16" s="637">
        <v>22000000</v>
      </c>
      <c r="GG16" s="637">
        <v>0</v>
      </c>
      <c r="GH16" s="637">
        <f t="shared" si="47"/>
        <v>22000000</v>
      </c>
      <c r="GI16" s="637"/>
      <c r="GJ16" s="637">
        <v>3000000</v>
      </c>
      <c r="GK16" s="637">
        <v>0</v>
      </c>
      <c r="GL16" s="637">
        <f t="shared" si="48"/>
        <v>3000000</v>
      </c>
      <c r="GM16" s="637"/>
      <c r="GN16" s="636">
        <v>12000000</v>
      </c>
      <c r="GO16" s="636">
        <v>0</v>
      </c>
      <c r="GP16" s="636">
        <f t="shared" si="0"/>
        <v>12000000</v>
      </c>
      <c r="GQ16" s="637"/>
      <c r="GR16" s="637">
        <v>3000000</v>
      </c>
      <c r="GS16" s="637">
        <v>0</v>
      </c>
      <c r="GT16" s="637">
        <f t="shared" si="49"/>
        <v>3000000</v>
      </c>
      <c r="GU16" s="637"/>
      <c r="GV16" s="587">
        <f t="shared" si="50"/>
        <v>1085000000</v>
      </c>
      <c r="GW16" s="587">
        <f t="shared" si="50"/>
        <v>781694317.39999998</v>
      </c>
      <c r="GX16" s="468">
        <f t="shared" si="51"/>
        <v>303305682.60000002</v>
      </c>
      <c r="GZ16" s="519"/>
      <c r="HA16" s="468">
        <f>D16+H16+L16+X16+AN16+BH16+CB16+CV16+DT16+EN16+FH16+GB16</f>
        <v>710000000</v>
      </c>
      <c r="HB16" s="468">
        <f>E16+I16+M16+Y16+AO16+BI16+CC16+CW16+DU16+EO16+FI16+GC16</f>
        <v>553636266.39999998</v>
      </c>
      <c r="HC16" s="471">
        <f t="shared" si="52"/>
        <v>156363733.60000002</v>
      </c>
      <c r="HE16" s="471">
        <f>P16+AB16+AR16+BL16+CF16+CZ16+DX16+ER16+FL16+GF16</f>
        <v>95500000</v>
      </c>
      <c r="HF16" s="471">
        <f>Q16+AC16+AS16+BM16+CG16+DA16+DY16+ES16+FM16+GG16</f>
        <v>58570250</v>
      </c>
      <c r="HG16" s="471">
        <f t="shared" si="53"/>
        <v>36929750</v>
      </c>
      <c r="HI16" s="471">
        <f>T16+AF16+AV16+BP16+CJ16+DD16+EB16+EV16+FP16+GJ16</f>
        <v>68000000</v>
      </c>
      <c r="HJ16" s="471">
        <f>U16+AG16+AW16+BQ16+CK16+DE16+EC16+EW16+FQ16+GK16</f>
        <v>8882500</v>
      </c>
      <c r="HK16" s="471">
        <f t="shared" si="54"/>
        <v>59117500</v>
      </c>
      <c r="HN16" s="471">
        <f>AJ16+AZ16+BT16+CN16+DH16+DP16+EF16+EZ16+FT16+GN16</f>
        <v>187500000</v>
      </c>
      <c r="HO16" s="471">
        <f>AK16+BA16+BU16+CO16+DI16+DQ16+EG16+FA16+FU16+GO16</f>
        <v>147587701</v>
      </c>
      <c r="HP16" s="471">
        <f t="shared" si="55"/>
        <v>39912299</v>
      </c>
      <c r="HR16" s="531"/>
      <c r="HT16" s="471">
        <f>BX16+CR16+DL16+EJ16+FD16+FX16+GR16</f>
        <v>24000000</v>
      </c>
      <c r="HU16" s="471">
        <f>BY16+CS16+DM16+EK16+FE16+FY16+GS16</f>
        <v>13017600</v>
      </c>
      <c r="HV16" s="471">
        <f t="shared" si="56"/>
        <v>10982400</v>
      </c>
      <c r="HX16" s="473">
        <f t="shared" si="57"/>
        <v>1360000</v>
      </c>
      <c r="HY16" s="474">
        <v>11657600</v>
      </c>
      <c r="ID16" s="473">
        <f>HU16+HO16+HJ16+HF16+HB16</f>
        <v>781694317.39999998</v>
      </c>
      <c r="IE16" s="473">
        <f>HV16+HP16+HK16+HG16+HC16</f>
        <v>303305682.60000002</v>
      </c>
      <c r="IF16" s="473"/>
    </row>
    <row r="17" spans="1:240" x14ac:dyDescent="0.25">
      <c r="A17" s="107">
        <v>14</v>
      </c>
      <c r="B17" s="107" t="s">
        <v>558</v>
      </c>
      <c r="C17" s="634" t="s">
        <v>69</v>
      </c>
      <c r="D17" s="465">
        <v>0</v>
      </c>
      <c r="E17" s="465">
        <v>0</v>
      </c>
      <c r="F17" s="475">
        <f t="shared" si="1"/>
        <v>0</v>
      </c>
      <c r="G17" s="465"/>
      <c r="H17" s="468">
        <v>15000000</v>
      </c>
      <c r="I17" s="468">
        <v>15000000</v>
      </c>
      <c r="J17" s="463">
        <f t="shared" si="2"/>
        <v>0</v>
      </c>
      <c r="K17" s="465"/>
      <c r="L17" s="468">
        <v>15000000</v>
      </c>
      <c r="M17" s="468">
        <v>15000000</v>
      </c>
      <c r="N17" s="543">
        <f t="shared" si="3"/>
        <v>0</v>
      </c>
      <c r="O17" s="465"/>
      <c r="P17" s="468">
        <v>2500000</v>
      </c>
      <c r="Q17" s="468">
        <v>2500000</v>
      </c>
      <c r="R17" s="543">
        <f t="shared" si="4"/>
        <v>0</v>
      </c>
      <c r="S17" s="465"/>
      <c r="T17" s="468">
        <v>1000000</v>
      </c>
      <c r="U17" s="468">
        <v>1000000</v>
      </c>
      <c r="V17" s="543">
        <f t="shared" si="5"/>
        <v>0</v>
      </c>
      <c r="W17" s="465"/>
      <c r="X17" s="468">
        <v>20000000</v>
      </c>
      <c r="Y17" s="468">
        <v>20000000</v>
      </c>
      <c r="Z17" s="543">
        <f t="shared" si="6"/>
        <v>0</v>
      </c>
      <c r="AA17" s="465"/>
      <c r="AB17" s="468">
        <v>5000000</v>
      </c>
      <c r="AC17" s="468">
        <v>5000000</v>
      </c>
      <c r="AD17" s="543">
        <f t="shared" si="7"/>
        <v>0</v>
      </c>
      <c r="AE17" s="465"/>
      <c r="AF17" s="468">
        <v>1107898</v>
      </c>
      <c r="AG17" s="468">
        <v>1107898</v>
      </c>
      <c r="AH17" s="543">
        <f t="shared" si="8"/>
        <v>0</v>
      </c>
      <c r="AI17" s="465"/>
      <c r="AJ17" s="468">
        <v>7500000</v>
      </c>
      <c r="AK17" s="468">
        <v>7500000</v>
      </c>
      <c r="AL17" s="543">
        <f t="shared" si="9"/>
        <v>0</v>
      </c>
      <c r="AM17" s="468"/>
      <c r="AN17" s="468">
        <v>30000000</v>
      </c>
      <c r="AO17" s="468">
        <f>18728175+11271825</f>
        <v>30000000</v>
      </c>
      <c r="AP17" s="543">
        <f t="shared" si="10"/>
        <v>0</v>
      </c>
      <c r="AQ17" s="465"/>
      <c r="AR17" s="468">
        <v>3000000</v>
      </c>
      <c r="AS17" s="468">
        <v>3000000</v>
      </c>
      <c r="AT17" s="543">
        <f t="shared" si="11"/>
        <v>0</v>
      </c>
      <c r="AU17" s="488"/>
      <c r="AV17" s="465">
        <v>2000000</v>
      </c>
      <c r="AW17" s="468">
        <v>0</v>
      </c>
      <c r="AX17" s="543">
        <f t="shared" si="12"/>
        <v>2000000</v>
      </c>
      <c r="AY17" s="465"/>
      <c r="AZ17" s="468">
        <v>10000000</v>
      </c>
      <c r="BA17" s="468">
        <v>10000000</v>
      </c>
      <c r="BB17" s="543">
        <f t="shared" si="13"/>
        <v>0</v>
      </c>
      <c r="BC17" s="465"/>
      <c r="BD17" s="468">
        <v>0</v>
      </c>
      <c r="BE17" s="468">
        <v>0</v>
      </c>
      <c r="BF17" s="543">
        <f t="shared" si="14"/>
        <v>0</v>
      </c>
      <c r="BG17" s="465"/>
      <c r="BH17" s="468">
        <v>55000000</v>
      </c>
      <c r="BI17" s="468">
        <v>55000000</v>
      </c>
      <c r="BJ17" s="543">
        <f t="shared" si="15"/>
        <v>0</v>
      </c>
      <c r="BK17" s="465"/>
      <c r="BL17" s="468">
        <v>5000000</v>
      </c>
      <c r="BM17" s="468">
        <v>5000000</v>
      </c>
      <c r="BN17" s="543">
        <f t="shared" si="16"/>
        <v>0</v>
      </c>
      <c r="BO17" s="465"/>
      <c r="BP17" s="468">
        <v>5000000</v>
      </c>
      <c r="BQ17" s="468">
        <v>0</v>
      </c>
      <c r="BR17" s="543">
        <f t="shared" si="17"/>
        <v>5000000</v>
      </c>
      <c r="BS17" s="465"/>
      <c r="BT17" s="468">
        <v>15000000</v>
      </c>
      <c r="BU17" s="468">
        <v>15000000</v>
      </c>
      <c r="BV17" s="543">
        <f t="shared" si="18"/>
        <v>0</v>
      </c>
      <c r="BW17" s="465"/>
      <c r="BX17" s="468">
        <v>1000000</v>
      </c>
      <c r="BY17" s="504">
        <f>844900+149100+6000</f>
        <v>1000000</v>
      </c>
      <c r="BZ17" s="543">
        <f t="shared" si="19"/>
        <v>0</v>
      </c>
      <c r="CA17" s="465"/>
      <c r="CB17" s="468">
        <v>80000000</v>
      </c>
      <c r="CC17" s="465">
        <f>2544287+13328175+4797500</f>
        <v>20669962</v>
      </c>
      <c r="CD17" s="543">
        <f t="shared" si="20"/>
        <v>59330038</v>
      </c>
      <c r="CE17" s="488"/>
      <c r="CF17" s="468">
        <v>10000000</v>
      </c>
      <c r="CG17" s="468">
        <v>10000000</v>
      </c>
      <c r="CH17" s="543">
        <f t="shared" si="21"/>
        <v>0</v>
      </c>
      <c r="CI17" s="465"/>
      <c r="CJ17" s="468">
        <v>10000000</v>
      </c>
      <c r="CK17" s="468">
        <v>0</v>
      </c>
      <c r="CL17" s="543">
        <f t="shared" si="22"/>
        <v>10000000</v>
      </c>
      <c r="CM17" s="465"/>
      <c r="CN17" s="468">
        <v>30000000</v>
      </c>
      <c r="CO17" s="468">
        <v>30000000</v>
      </c>
      <c r="CP17" s="543">
        <f t="shared" si="23"/>
        <v>0</v>
      </c>
      <c r="CQ17" s="465"/>
      <c r="CR17" s="465">
        <v>5000000</v>
      </c>
      <c r="CS17" s="469">
        <f>1719725.25+1072500</f>
        <v>2792225.25</v>
      </c>
      <c r="CT17" s="465">
        <f t="shared" si="24"/>
        <v>2207774.75</v>
      </c>
      <c r="CU17" s="465"/>
      <c r="CV17" s="525">
        <v>80000000</v>
      </c>
      <c r="CW17" s="465">
        <f>63607900+16392100</f>
        <v>80000000</v>
      </c>
      <c r="CX17" s="543">
        <f t="shared" si="25"/>
        <v>0</v>
      </c>
      <c r="CY17" s="471"/>
      <c r="CZ17" s="468">
        <v>20000000</v>
      </c>
      <c r="DA17" s="468">
        <f>3342654.5+7822770+1935150+2046600+4852825.5</f>
        <v>20000000</v>
      </c>
      <c r="DB17" s="543">
        <f t="shared" si="26"/>
        <v>0</v>
      </c>
      <c r="DC17" s="471"/>
      <c r="DD17" s="468">
        <v>20000000</v>
      </c>
      <c r="DE17" s="468">
        <v>0</v>
      </c>
      <c r="DF17" s="543">
        <f t="shared" si="27"/>
        <v>20000000</v>
      </c>
      <c r="DG17" s="465"/>
      <c r="DH17" s="468">
        <v>50000000</v>
      </c>
      <c r="DI17" s="468">
        <f>43743779.01+5483160</f>
        <v>49226939.009999998</v>
      </c>
      <c r="DJ17" s="543">
        <f t="shared" si="28"/>
        <v>773060.99000000209</v>
      </c>
      <c r="DK17" s="488"/>
      <c r="DL17" s="465">
        <v>6000000</v>
      </c>
      <c r="DM17" s="468">
        <v>0</v>
      </c>
      <c r="DN17" s="465">
        <f t="shared" si="29"/>
        <v>6000000</v>
      </c>
      <c r="DO17" s="465"/>
      <c r="DP17" s="471">
        <v>0</v>
      </c>
      <c r="DQ17" s="471">
        <v>0</v>
      </c>
      <c r="DR17" s="471">
        <f t="shared" si="30"/>
        <v>0</v>
      </c>
      <c r="DT17" s="471">
        <v>60000000</v>
      </c>
      <c r="DU17" s="471">
        <f>1500000+4200000+20700000+7200000+26400000</f>
        <v>60000000</v>
      </c>
      <c r="DV17" s="471">
        <f t="shared" si="31"/>
        <v>0</v>
      </c>
      <c r="DX17" s="471">
        <v>10000000</v>
      </c>
      <c r="DY17" s="549">
        <f>2290141.5+2748900+412400+3420346.8</f>
        <v>8871788.3000000007</v>
      </c>
      <c r="DZ17" s="471">
        <f t="shared" si="32"/>
        <v>1128211.6999999993</v>
      </c>
      <c r="EB17" s="471">
        <v>10000000</v>
      </c>
      <c r="EC17" s="471">
        <v>0</v>
      </c>
      <c r="ED17" s="471">
        <f t="shared" si="33"/>
        <v>10000000</v>
      </c>
      <c r="EF17" s="471">
        <v>20000000</v>
      </c>
      <c r="EG17" s="471">
        <f>10142430+2528060+4356485+2973025</f>
        <v>20000000</v>
      </c>
      <c r="EH17" s="471">
        <f t="shared" si="34"/>
        <v>0</v>
      </c>
      <c r="EJ17" s="471">
        <v>3000000</v>
      </c>
      <c r="EK17" s="471">
        <v>0</v>
      </c>
      <c r="EL17" s="471">
        <f t="shared" si="35"/>
        <v>3000000</v>
      </c>
      <c r="EM17" s="634"/>
      <c r="EN17" s="465">
        <v>200000000</v>
      </c>
      <c r="EO17" s="485">
        <f>1800000+8400000+3600000+23207900+20400000+4500000</f>
        <v>61907900</v>
      </c>
      <c r="EP17" s="465">
        <f t="shared" si="36"/>
        <v>138092100</v>
      </c>
      <c r="EQ17" s="465"/>
      <c r="ER17" s="465">
        <v>10000000</v>
      </c>
      <c r="ES17" s="465">
        <v>0</v>
      </c>
      <c r="ET17" s="465">
        <f t="shared" si="37"/>
        <v>10000000</v>
      </c>
      <c r="EU17" s="465"/>
      <c r="EV17" s="465">
        <v>10000000</v>
      </c>
      <c r="EW17" s="465">
        <v>0</v>
      </c>
      <c r="EX17" s="465">
        <f t="shared" si="38"/>
        <v>10000000</v>
      </c>
      <c r="EY17" s="465"/>
      <c r="EZ17" s="465">
        <v>25000000</v>
      </c>
      <c r="FA17" s="465">
        <v>0</v>
      </c>
      <c r="FB17" s="465">
        <f t="shared" si="39"/>
        <v>25000000</v>
      </c>
      <c r="FC17" s="465"/>
      <c r="FD17" s="465">
        <v>3000000</v>
      </c>
      <c r="FE17" s="465">
        <v>0</v>
      </c>
      <c r="FF17" s="465">
        <f t="shared" si="40"/>
        <v>3000000</v>
      </c>
      <c r="FG17" s="465"/>
      <c r="FH17" s="637">
        <v>65000000</v>
      </c>
      <c r="FI17" s="637">
        <v>0</v>
      </c>
      <c r="FJ17" s="637">
        <f t="shared" si="41"/>
        <v>65000000</v>
      </c>
      <c r="FK17" s="637"/>
      <c r="FL17" s="637">
        <v>8000000</v>
      </c>
      <c r="FM17" s="637">
        <v>0</v>
      </c>
      <c r="FN17" s="637">
        <f t="shared" si="42"/>
        <v>8000000</v>
      </c>
      <c r="FO17" s="637"/>
      <c r="FP17" s="637">
        <v>5000000</v>
      </c>
      <c r="FQ17" s="637">
        <v>0</v>
      </c>
      <c r="FR17" s="637">
        <f t="shared" si="43"/>
        <v>5000000</v>
      </c>
      <c r="FS17" s="637"/>
      <c r="FT17" s="637">
        <v>18000000</v>
      </c>
      <c r="FU17" s="637">
        <f>8353983.9</f>
        <v>8353983.9000000004</v>
      </c>
      <c r="FV17" s="637">
        <f t="shared" si="44"/>
        <v>9646016.0999999996</v>
      </c>
      <c r="FW17" s="637"/>
      <c r="FX17" s="637">
        <v>3000000</v>
      </c>
      <c r="FY17" s="637">
        <v>0</v>
      </c>
      <c r="FZ17" s="637">
        <f t="shared" si="45"/>
        <v>3000000</v>
      </c>
      <c r="GA17" s="637"/>
      <c r="GB17" s="637">
        <v>90000000</v>
      </c>
      <c r="GC17" s="637">
        <v>0</v>
      </c>
      <c r="GD17" s="637">
        <f t="shared" si="46"/>
        <v>90000000</v>
      </c>
      <c r="GE17" s="637"/>
      <c r="GF17" s="637">
        <v>22000000</v>
      </c>
      <c r="GG17" s="637">
        <v>0</v>
      </c>
      <c r="GH17" s="637">
        <f t="shared" si="47"/>
        <v>22000000</v>
      </c>
      <c r="GI17" s="637"/>
      <c r="GJ17" s="637">
        <v>3000000</v>
      </c>
      <c r="GK17" s="637">
        <v>0</v>
      </c>
      <c r="GL17" s="637">
        <f t="shared" si="48"/>
        <v>3000000</v>
      </c>
      <c r="GM17" s="637"/>
      <c r="GN17" s="636">
        <v>12000000</v>
      </c>
      <c r="GO17" s="636">
        <v>0</v>
      </c>
      <c r="GP17" s="636">
        <f t="shared" si="0"/>
        <v>12000000</v>
      </c>
      <c r="GQ17" s="637"/>
      <c r="GR17" s="637">
        <v>3000000</v>
      </c>
      <c r="GS17" s="637">
        <v>0</v>
      </c>
      <c r="GT17" s="637">
        <f t="shared" si="49"/>
        <v>3000000</v>
      </c>
      <c r="GU17" s="637"/>
      <c r="GV17" s="587">
        <f t="shared" si="50"/>
        <v>1084107898</v>
      </c>
      <c r="GW17" s="587">
        <f t="shared" si="50"/>
        <v>557930696.45999992</v>
      </c>
      <c r="GX17" s="468">
        <f t="shared" si="51"/>
        <v>526177201.54000008</v>
      </c>
      <c r="GZ17" s="519"/>
      <c r="HA17" s="468">
        <f>D17+H17+L17+X17+AN17+BH17+CB17+CV17+DT17+EN17+FH17+GB17</f>
        <v>710000000</v>
      </c>
      <c r="HB17" s="468">
        <f>E17+I17+M17+Y17+AO17+BI17+CC17+CW17+DU17+EO17+FI17+GC17</f>
        <v>357577862</v>
      </c>
      <c r="HC17" s="471">
        <f t="shared" si="52"/>
        <v>352422138</v>
      </c>
      <c r="HE17" s="471">
        <f>P17+AB17+AR17+BL17+CF17+CZ17+DX17+ER17+FL17+GF17</f>
        <v>95500000</v>
      </c>
      <c r="HF17" s="471">
        <f>Q17+AC17+AS17+BM17+CG17+DA17+DY17+ES17+FM17+GG17</f>
        <v>54371788.299999997</v>
      </c>
      <c r="HG17" s="471">
        <f t="shared" si="53"/>
        <v>41128211.700000003</v>
      </c>
      <c r="HI17" s="471">
        <f>T17+AF17+AV17+BP17+CJ17+DD17+EB17+EV17+FP17+GJ17</f>
        <v>67107898</v>
      </c>
      <c r="HJ17" s="471">
        <f>U17+AG17+AW17+BQ17+CK17+DE17+EC17+EW17+FQ17+GK17</f>
        <v>2107898</v>
      </c>
      <c r="HK17" s="471">
        <f t="shared" si="54"/>
        <v>65000000</v>
      </c>
      <c r="HN17" s="471">
        <f>AJ17+AZ17+BT17+CN17+DH17+DP17+EF17+EZ17+FT17+GN17</f>
        <v>187500000</v>
      </c>
      <c r="HO17" s="471">
        <f>AK17+BA17+BU17+CO17+DI17+DQ17+EG17+FA17+FU17+GO17</f>
        <v>140080922.91</v>
      </c>
      <c r="HP17" s="471">
        <f t="shared" si="55"/>
        <v>47419077.090000004</v>
      </c>
      <c r="HR17" s="531"/>
      <c r="HT17" s="471">
        <f>BX17+CR17+DL17+EJ17+FD17+FX17+GR17</f>
        <v>24000000</v>
      </c>
      <c r="HU17" s="471">
        <f>BY17+CS17+DM17+EK17+FE17+FY17+GS17</f>
        <v>3792225.25</v>
      </c>
      <c r="HV17" s="471">
        <f t="shared" si="56"/>
        <v>20207774.75</v>
      </c>
      <c r="HX17" s="473">
        <f t="shared" si="57"/>
        <v>2798225.25</v>
      </c>
      <c r="HY17" s="474">
        <v>994000</v>
      </c>
      <c r="ID17" s="473">
        <f>HU17+HO17+HJ17+HF17+HB17</f>
        <v>557930696.46000004</v>
      </c>
      <c r="IE17" s="473">
        <f>HV17+HP17+HK17+HG17+HC17</f>
        <v>526177201.54000002</v>
      </c>
      <c r="IF17" s="473"/>
    </row>
    <row r="18" spans="1:240" x14ac:dyDescent="0.25">
      <c r="A18" s="107">
        <v>15</v>
      </c>
      <c r="B18" s="107" t="s">
        <v>559</v>
      </c>
      <c r="C18" s="634" t="s">
        <v>69</v>
      </c>
      <c r="D18" s="465">
        <v>0</v>
      </c>
      <c r="E18" s="465">
        <v>0</v>
      </c>
      <c r="F18" s="475">
        <f t="shared" si="1"/>
        <v>0</v>
      </c>
      <c r="G18" s="465"/>
      <c r="H18" s="468">
        <v>15000000</v>
      </c>
      <c r="I18" s="468">
        <v>15000000</v>
      </c>
      <c r="J18" s="463">
        <f t="shared" si="2"/>
        <v>0</v>
      </c>
      <c r="K18" s="468"/>
      <c r="L18" s="468">
        <v>15000000</v>
      </c>
      <c r="M18" s="468">
        <v>15000000</v>
      </c>
      <c r="N18" s="543">
        <f t="shared" si="3"/>
        <v>0</v>
      </c>
      <c r="O18" s="468"/>
      <c r="P18" s="468">
        <v>2500000</v>
      </c>
      <c r="Q18" s="468">
        <v>2500000</v>
      </c>
      <c r="R18" s="543">
        <f t="shared" si="4"/>
        <v>0</v>
      </c>
      <c r="S18" s="468"/>
      <c r="T18" s="468">
        <v>1000000</v>
      </c>
      <c r="U18" s="465">
        <v>1000000</v>
      </c>
      <c r="V18" s="543">
        <f t="shared" si="5"/>
        <v>0</v>
      </c>
      <c r="W18" s="468"/>
      <c r="X18" s="468">
        <v>20000000</v>
      </c>
      <c r="Y18" s="468">
        <v>20000000</v>
      </c>
      <c r="Z18" s="543">
        <f t="shared" si="6"/>
        <v>0</v>
      </c>
      <c r="AA18" s="468"/>
      <c r="AB18" s="468">
        <v>5000000</v>
      </c>
      <c r="AC18" s="468">
        <v>5000000</v>
      </c>
      <c r="AD18" s="543">
        <f t="shared" si="7"/>
        <v>0</v>
      </c>
      <c r="AE18" s="468"/>
      <c r="AF18" s="468">
        <v>2000000</v>
      </c>
      <c r="AG18" s="468">
        <v>2000000</v>
      </c>
      <c r="AH18" s="543">
        <f t="shared" si="8"/>
        <v>0</v>
      </c>
      <c r="AI18" s="468"/>
      <c r="AJ18" s="468">
        <v>7500000</v>
      </c>
      <c r="AK18" s="468">
        <v>7500000</v>
      </c>
      <c r="AL18" s="543">
        <f t="shared" si="9"/>
        <v>0</v>
      </c>
      <c r="AM18" s="468"/>
      <c r="AN18" s="468">
        <v>30000000</v>
      </c>
      <c r="AO18" s="468">
        <v>30000000</v>
      </c>
      <c r="AP18" s="543">
        <f t="shared" si="10"/>
        <v>0</v>
      </c>
      <c r="AQ18" s="468"/>
      <c r="AR18" s="468">
        <v>3000000</v>
      </c>
      <c r="AS18" s="468">
        <v>3000000</v>
      </c>
      <c r="AT18" s="543">
        <f t="shared" si="11"/>
        <v>0</v>
      </c>
      <c r="AU18" s="488"/>
      <c r="AV18" s="468">
        <v>2000000</v>
      </c>
      <c r="AW18" s="468">
        <v>2000000</v>
      </c>
      <c r="AX18" s="543">
        <f t="shared" si="12"/>
        <v>0</v>
      </c>
      <c r="AY18" s="468"/>
      <c r="AZ18" s="468">
        <v>10000000</v>
      </c>
      <c r="BA18" s="468">
        <v>10000000</v>
      </c>
      <c r="BB18" s="543">
        <f t="shared" si="13"/>
        <v>0</v>
      </c>
      <c r="BC18" s="468"/>
      <c r="BD18" s="468">
        <v>0</v>
      </c>
      <c r="BE18" s="468">
        <v>0</v>
      </c>
      <c r="BF18" s="543">
        <f t="shared" si="14"/>
        <v>0</v>
      </c>
      <c r="BG18" s="468"/>
      <c r="BH18" s="468">
        <v>55000000</v>
      </c>
      <c r="BI18" s="468">
        <v>55000000</v>
      </c>
      <c r="BJ18" s="543">
        <f t="shared" si="15"/>
        <v>0</v>
      </c>
      <c r="BK18" s="468"/>
      <c r="BL18" s="468">
        <v>5000000</v>
      </c>
      <c r="BM18" s="468">
        <v>5000000</v>
      </c>
      <c r="BN18" s="543">
        <f t="shared" si="16"/>
        <v>0</v>
      </c>
      <c r="BO18" s="468"/>
      <c r="BP18" s="468">
        <v>5000000</v>
      </c>
      <c r="BQ18" s="468">
        <v>5000000</v>
      </c>
      <c r="BR18" s="543">
        <f t="shared" si="17"/>
        <v>0</v>
      </c>
      <c r="BS18" s="468"/>
      <c r="BT18" s="468">
        <v>15000000</v>
      </c>
      <c r="BU18" s="468">
        <v>15000000</v>
      </c>
      <c r="BV18" s="543">
        <f t="shared" si="18"/>
        <v>0</v>
      </c>
      <c r="BW18" s="468"/>
      <c r="BX18" s="468">
        <v>1000000</v>
      </c>
      <c r="BY18" s="468">
        <v>1000000</v>
      </c>
      <c r="BZ18" s="543">
        <f t="shared" si="19"/>
        <v>0</v>
      </c>
      <c r="CA18" s="465"/>
      <c r="CB18" s="468">
        <v>80000000</v>
      </c>
      <c r="CC18" s="465">
        <v>80000000</v>
      </c>
      <c r="CD18" s="543">
        <f t="shared" si="20"/>
        <v>0</v>
      </c>
      <c r="CE18" s="488"/>
      <c r="CF18" s="468">
        <v>10000000</v>
      </c>
      <c r="CG18" s="468">
        <v>10000000</v>
      </c>
      <c r="CH18" s="543">
        <f t="shared" si="21"/>
        <v>0</v>
      </c>
      <c r="CI18" s="488"/>
      <c r="CJ18" s="468">
        <v>10000000</v>
      </c>
      <c r="CK18" s="468">
        <v>10000000</v>
      </c>
      <c r="CL18" s="543">
        <f t="shared" si="22"/>
        <v>0</v>
      </c>
      <c r="CM18" s="465"/>
      <c r="CN18" s="468">
        <v>30000000</v>
      </c>
      <c r="CO18" s="468">
        <v>30000000</v>
      </c>
      <c r="CP18" s="543">
        <f t="shared" si="23"/>
        <v>0</v>
      </c>
      <c r="CQ18" s="465"/>
      <c r="CR18" s="465">
        <v>5000000</v>
      </c>
      <c r="CS18" s="468">
        <v>5000000</v>
      </c>
      <c r="CT18" s="465">
        <f t="shared" si="24"/>
        <v>0</v>
      </c>
      <c r="CU18" s="465"/>
      <c r="CV18" s="525">
        <v>80000000</v>
      </c>
      <c r="CW18" s="465">
        <f>83649991-3649991</f>
        <v>80000000</v>
      </c>
      <c r="CX18" s="543">
        <f t="shared" si="25"/>
        <v>0</v>
      </c>
      <c r="CY18" s="471"/>
      <c r="CZ18" s="468">
        <v>20000000</v>
      </c>
      <c r="DA18" s="468">
        <f>24187434.75-4187434.75</f>
        <v>20000000</v>
      </c>
      <c r="DB18" s="543">
        <f t="shared" si="26"/>
        <v>0</v>
      </c>
      <c r="DC18" s="471"/>
      <c r="DD18" s="468">
        <v>20000000</v>
      </c>
      <c r="DE18" s="468">
        <v>11570000</v>
      </c>
      <c r="DF18" s="543">
        <f t="shared" si="27"/>
        <v>8430000</v>
      </c>
      <c r="DG18" s="465"/>
      <c r="DH18" s="468">
        <v>50000000</v>
      </c>
      <c r="DI18" s="468">
        <v>50000000</v>
      </c>
      <c r="DJ18" s="543">
        <f t="shared" si="28"/>
        <v>0</v>
      </c>
      <c r="DK18" s="488"/>
      <c r="DL18" s="465">
        <v>6000000</v>
      </c>
      <c r="DM18" s="468">
        <f>3950000+1000000</f>
        <v>4950000</v>
      </c>
      <c r="DN18" s="465">
        <f t="shared" si="29"/>
        <v>1050000</v>
      </c>
      <c r="DO18" s="465"/>
      <c r="DP18" s="471">
        <v>0</v>
      </c>
      <c r="DQ18" s="471">
        <v>0</v>
      </c>
      <c r="DR18" s="471">
        <f t="shared" si="30"/>
        <v>0</v>
      </c>
      <c r="DT18" s="471">
        <v>60000000</v>
      </c>
      <c r="DU18" s="471">
        <f>51642744+3649991+4707265</f>
        <v>60000000</v>
      </c>
      <c r="DV18" s="471">
        <f t="shared" si="31"/>
        <v>0</v>
      </c>
      <c r="DX18" s="471">
        <v>10000000</v>
      </c>
      <c r="DY18" s="471">
        <f>4187434.75+3402000+2410565.25</f>
        <v>10000000</v>
      </c>
      <c r="DZ18" s="471">
        <f t="shared" si="32"/>
        <v>0</v>
      </c>
      <c r="EB18" s="471">
        <v>10000000</v>
      </c>
      <c r="EC18" s="471">
        <v>0</v>
      </c>
      <c r="ED18" s="471">
        <f t="shared" si="33"/>
        <v>10000000</v>
      </c>
      <c r="EF18" s="471">
        <v>20000000</v>
      </c>
      <c r="EG18" s="471">
        <f>14805482.32+5194517.68</f>
        <v>20000000</v>
      </c>
      <c r="EH18" s="471">
        <f t="shared" si="34"/>
        <v>0</v>
      </c>
      <c r="EJ18" s="471">
        <v>3000000</v>
      </c>
      <c r="EK18" s="471">
        <v>0</v>
      </c>
      <c r="EL18" s="471">
        <f t="shared" si="35"/>
        <v>3000000</v>
      </c>
      <c r="EM18" s="634"/>
      <c r="EN18" s="465">
        <v>200000000</v>
      </c>
      <c r="EO18" s="484">
        <f>83366115+81490000+29700000+1500000+3943885</f>
        <v>200000000</v>
      </c>
      <c r="EP18" s="465">
        <f t="shared" si="36"/>
        <v>0</v>
      </c>
      <c r="EQ18" s="465"/>
      <c r="ER18" s="465">
        <v>10000000</v>
      </c>
      <c r="ES18" s="465">
        <f>5498274.75</f>
        <v>5498274.75</v>
      </c>
      <c r="ET18" s="465">
        <f t="shared" si="37"/>
        <v>4501725.25</v>
      </c>
      <c r="EU18" s="465"/>
      <c r="EV18" s="465">
        <v>10000000</v>
      </c>
      <c r="EW18" s="465">
        <v>0</v>
      </c>
      <c r="EX18" s="465">
        <f t="shared" si="38"/>
        <v>10000000</v>
      </c>
      <c r="EY18" s="465"/>
      <c r="EZ18" s="465">
        <v>25000000</v>
      </c>
      <c r="FA18" s="465">
        <f>6941460+5812200+7148482.32+5097857.68</f>
        <v>25000000</v>
      </c>
      <c r="FB18" s="465">
        <f t="shared" si="39"/>
        <v>0</v>
      </c>
      <c r="FC18" s="465"/>
      <c r="FD18" s="465">
        <v>3000000</v>
      </c>
      <c r="FE18" s="465">
        <v>0</v>
      </c>
      <c r="FF18" s="465">
        <f t="shared" si="40"/>
        <v>3000000</v>
      </c>
      <c r="FG18" s="465"/>
      <c r="FH18" s="637">
        <v>65000000</v>
      </c>
      <c r="FI18" s="639">
        <f>23276045</f>
        <v>23276045</v>
      </c>
      <c r="FJ18" s="637">
        <f t="shared" si="41"/>
        <v>41723955</v>
      </c>
      <c r="FK18" s="637"/>
      <c r="FL18" s="637">
        <v>8000000</v>
      </c>
      <c r="FM18" s="637">
        <v>0</v>
      </c>
      <c r="FN18" s="637">
        <f t="shared" si="42"/>
        <v>8000000</v>
      </c>
      <c r="FO18" s="637"/>
      <c r="FP18" s="637">
        <v>5000000</v>
      </c>
      <c r="FQ18" s="637">
        <v>0</v>
      </c>
      <c r="FR18" s="637">
        <f t="shared" si="43"/>
        <v>5000000</v>
      </c>
      <c r="FS18" s="637"/>
      <c r="FT18" s="637">
        <v>18000000</v>
      </c>
      <c r="FU18" s="637">
        <f>1680142.32+2560196.55</f>
        <v>4240338.87</v>
      </c>
      <c r="FV18" s="637">
        <f t="shared" si="44"/>
        <v>13759661.129999999</v>
      </c>
      <c r="FW18" s="637"/>
      <c r="FX18" s="637">
        <v>3000000</v>
      </c>
      <c r="FY18" s="637">
        <v>0</v>
      </c>
      <c r="FZ18" s="637">
        <f t="shared" si="45"/>
        <v>3000000</v>
      </c>
      <c r="GA18" s="637"/>
      <c r="GB18" s="637">
        <v>90000000</v>
      </c>
      <c r="GC18" s="637">
        <v>0</v>
      </c>
      <c r="GD18" s="637">
        <f t="shared" si="46"/>
        <v>90000000</v>
      </c>
      <c r="GE18" s="637"/>
      <c r="GF18" s="637">
        <v>22000000</v>
      </c>
      <c r="GG18" s="637">
        <v>0</v>
      </c>
      <c r="GH18" s="637">
        <f t="shared" si="47"/>
        <v>22000000</v>
      </c>
      <c r="GI18" s="637"/>
      <c r="GJ18" s="637">
        <v>3000000</v>
      </c>
      <c r="GK18" s="637">
        <v>0</v>
      </c>
      <c r="GL18" s="637">
        <f t="shared" si="48"/>
        <v>3000000</v>
      </c>
      <c r="GM18" s="637"/>
      <c r="GN18" s="636">
        <v>12000000</v>
      </c>
      <c r="GO18" s="636">
        <v>0</v>
      </c>
      <c r="GP18" s="636">
        <f t="shared" si="0"/>
        <v>12000000</v>
      </c>
      <c r="GQ18" s="637"/>
      <c r="GR18" s="637">
        <v>3000000</v>
      </c>
      <c r="GS18" s="637">
        <v>0</v>
      </c>
      <c r="GT18" s="637">
        <f t="shared" si="49"/>
        <v>3000000</v>
      </c>
      <c r="GU18" s="637"/>
      <c r="GV18" s="587">
        <f t="shared" si="50"/>
        <v>1085000000</v>
      </c>
      <c r="GW18" s="587">
        <f t="shared" si="50"/>
        <v>843534658.62</v>
      </c>
      <c r="GX18" s="468">
        <f t="shared" si="51"/>
        <v>241465341.38</v>
      </c>
      <c r="GZ18" s="519"/>
      <c r="HA18" s="468">
        <f>D18+H18+L18+X18+AN18+BH18+CB18+CV18+DT18+EN18+FH18+GB18</f>
        <v>710000000</v>
      </c>
      <c r="HB18" s="468">
        <f>E18+I18+M18+Y18+AO18+BI18+CC18+CW18+DU18+EO18+FI18+GC18</f>
        <v>578276045</v>
      </c>
      <c r="HC18" s="471">
        <f t="shared" si="52"/>
        <v>131723955</v>
      </c>
      <c r="HE18" s="471">
        <f>P18+AB18+AR18+BL18+CF18+CZ18+DX18+ER18+FL18+GF18</f>
        <v>95500000</v>
      </c>
      <c r="HF18" s="471">
        <f>Q18+AC18+AS18+BM18+CG18+DA18+DY18+ES18+FM18+GG18</f>
        <v>60998274.75</v>
      </c>
      <c r="HG18" s="471">
        <f t="shared" si="53"/>
        <v>34501725.25</v>
      </c>
      <c r="HI18" s="471">
        <f>T18+AF18+AV18+BP18+CJ18+DD18+EB18+EV18+FP18+GJ18</f>
        <v>68000000</v>
      </c>
      <c r="HJ18" s="471">
        <f>U18+AG18+AW18+BQ18+CK18+DE18+EC18+EW18+FQ18+GK18</f>
        <v>31570000</v>
      </c>
      <c r="HK18" s="471">
        <f t="shared" si="54"/>
        <v>36430000</v>
      </c>
      <c r="HN18" s="471">
        <f>AJ18+AZ18+BT18+CN18+DH18+DP18+EF18+EZ18+FT18+GN18</f>
        <v>187500000</v>
      </c>
      <c r="HO18" s="471">
        <f>AK18+BA18+BU18+CO18+DI18+DQ18+EG18+FA18+FU18+GO18</f>
        <v>161740338.87</v>
      </c>
      <c r="HP18" s="471">
        <f t="shared" si="55"/>
        <v>25759661.129999995</v>
      </c>
      <c r="HR18" s="531"/>
      <c r="HT18" s="471">
        <f>BX18+CR18+DL18+EJ18+FD18+FX18+GR18</f>
        <v>24000000</v>
      </c>
      <c r="HU18" s="471">
        <f>BY18+CS18+DM18+EK18+FE18+FY18+GS18</f>
        <v>10950000</v>
      </c>
      <c r="HV18" s="471">
        <f t="shared" si="56"/>
        <v>13050000</v>
      </c>
      <c r="HX18" s="473">
        <f t="shared" si="57"/>
        <v>0</v>
      </c>
      <c r="HY18" s="474">
        <v>10950000</v>
      </c>
      <c r="ID18" s="473">
        <f>HU18+HO18+HJ18+HF18+HB18</f>
        <v>843534658.62</v>
      </c>
      <c r="IE18" s="473">
        <f>HV18+HP18+HK18+HG18+HC18</f>
        <v>241465341.38</v>
      </c>
      <c r="IF18" s="473"/>
    </row>
    <row r="19" spans="1:240" x14ac:dyDescent="0.25">
      <c r="A19" s="107">
        <v>16</v>
      </c>
      <c r="B19" s="107" t="s">
        <v>560</v>
      </c>
      <c r="C19" s="634" t="s">
        <v>61</v>
      </c>
      <c r="D19" s="488">
        <v>1000000</v>
      </c>
      <c r="E19" s="488">
        <v>1000000</v>
      </c>
      <c r="F19" s="475">
        <f t="shared" si="1"/>
        <v>0</v>
      </c>
      <c r="G19" s="488"/>
      <c r="H19" s="465">
        <v>15000000</v>
      </c>
      <c r="I19" s="465">
        <v>15000000</v>
      </c>
      <c r="J19" s="463">
        <f t="shared" si="2"/>
        <v>0</v>
      </c>
      <c r="K19" s="488"/>
      <c r="L19" s="465">
        <v>15000000</v>
      </c>
      <c r="M19" s="465">
        <v>15000000</v>
      </c>
      <c r="N19" s="543">
        <f t="shared" si="3"/>
        <v>0</v>
      </c>
      <c r="O19" s="488"/>
      <c r="P19" s="465">
        <v>2500000</v>
      </c>
      <c r="Q19" s="465">
        <v>2500000</v>
      </c>
      <c r="R19" s="543">
        <f t="shared" si="4"/>
        <v>0</v>
      </c>
      <c r="S19" s="488"/>
      <c r="T19" s="465">
        <v>1000000</v>
      </c>
      <c r="U19" s="465">
        <v>1000000</v>
      </c>
      <c r="V19" s="543">
        <f t="shared" si="5"/>
        <v>0</v>
      </c>
      <c r="W19" s="488"/>
      <c r="X19" s="465">
        <v>20000000</v>
      </c>
      <c r="Y19" s="465">
        <v>20000000</v>
      </c>
      <c r="Z19" s="543">
        <f t="shared" si="6"/>
        <v>0</v>
      </c>
      <c r="AA19" s="488"/>
      <c r="AB19" s="465">
        <v>3536480</v>
      </c>
      <c r="AC19" s="465">
        <v>3536480</v>
      </c>
      <c r="AD19" s="543">
        <f t="shared" si="7"/>
        <v>0</v>
      </c>
      <c r="AE19" s="488"/>
      <c r="AF19" s="465">
        <v>1550000</v>
      </c>
      <c r="AG19" s="465">
        <v>1550000</v>
      </c>
      <c r="AH19" s="543">
        <f t="shared" si="8"/>
        <v>0</v>
      </c>
      <c r="AI19" s="488"/>
      <c r="AJ19" s="465">
        <v>7500000</v>
      </c>
      <c r="AK19" s="465">
        <v>7500000</v>
      </c>
      <c r="AL19" s="543">
        <f t="shared" si="9"/>
        <v>0</v>
      </c>
      <c r="AM19" s="465"/>
      <c r="AN19" s="465">
        <v>30000000</v>
      </c>
      <c r="AO19" s="465">
        <v>30000000</v>
      </c>
      <c r="AP19" s="543">
        <f t="shared" si="10"/>
        <v>0</v>
      </c>
      <c r="AQ19" s="488"/>
      <c r="AR19" s="465">
        <v>3000000</v>
      </c>
      <c r="AS19" s="465">
        <v>888300</v>
      </c>
      <c r="AT19" s="543">
        <f t="shared" si="11"/>
        <v>2111700</v>
      </c>
      <c r="AU19" s="488"/>
      <c r="AV19" s="465">
        <v>2000000</v>
      </c>
      <c r="AW19" s="465">
        <v>0</v>
      </c>
      <c r="AX19" s="543">
        <f t="shared" si="12"/>
        <v>2000000</v>
      </c>
      <c r="AY19" s="488"/>
      <c r="AZ19" s="465">
        <v>10000000</v>
      </c>
      <c r="BA19" s="465">
        <v>10000000</v>
      </c>
      <c r="BB19" s="543">
        <f t="shared" si="13"/>
        <v>0</v>
      </c>
      <c r="BC19" s="488"/>
      <c r="BD19" s="465">
        <v>0</v>
      </c>
      <c r="BE19" s="465">
        <v>0</v>
      </c>
      <c r="BF19" s="543">
        <f t="shared" si="14"/>
        <v>0</v>
      </c>
      <c r="BG19" s="488"/>
      <c r="BH19" s="465">
        <v>55000000</v>
      </c>
      <c r="BI19" s="465">
        <v>55000000</v>
      </c>
      <c r="BJ19" s="543">
        <f t="shared" si="15"/>
        <v>0</v>
      </c>
      <c r="BK19" s="488"/>
      <c r="BL19" s="465">
        <v>5000000</v>
      </c>
      <c r="BM19" s="465">
        <v>0</v>
      </c>
      <c r="BN19" s="543">
        <f t="shared" si="16"/>
        <v>5000000</v>
      </c>
      <c r="BO19" s="488"/>
      <c r="BP19" s="465">
        <v>5000000</v>
      </c>
      <c r="BQ19" s="465">
        <v>0</v>
      </c>
      <c r="BR19" s="543">
        <f t="shared" si="17"/>
        <v>5000000</v>
      </c>
      <c r="BS19" s="488"/>
      <c r="BT19" s="465">
        <v>15000000</v>
      </c>
      <c r="BU19" s="283">
        <v>15000000</v>
      </c>
      <c r="BV19" s="543">
        <f t="shared" si="18"/>
        <v>0</v>
      </c>
      <c r="BW19" s="488"/>
      <c r="BX19" s="465">
        <v>1000000</v>
      </c>
      <c r="BY19" s="465">
        <v>1000000</v>
      </c>
      <c r="BZ19" s="543">
        <f t="shared" si="19"/>
        <v>0</v>
      </c>
      <c r="CA19" s="488"/>
      <c r="CB19" s="468">
        <v>80000000</v>
      </c>
      <c r="CC19" s="465">
        <v>80000000</v>
      </c>
      <c r="CD19" s="543">
        <f t="shared" si="20"/>
        <v>0</v>
      </c>
      <c r="CE19" s="488"/>
      <c r="CF19" s="468">
        <v>10000000</v>
      </c>
      <c r="CG19" s="468">
        <v>0</v>
      </c>
      <c r="CH19" s="543">
        <f t="shared" si="21"/>
        <v>10000000</v>
      </c>
      <c r="CI19" s="488"/>
      <c r="CJ19" s="468">
        <v>10000000</v>
      </c>
      <c r="CK19" s="468">
        <v>0</v>
      </c>
      <c r="CL19" s="543">
        <f t="shared" si="22"/>
        <v>10000000</v>
      </c>
      <c r="CM19" s="488"/>
      <c r="CN19" s="468">
        <v>30000000</v>
      </c>
      <c r="CO19" s="468">
        <v>30000000</v>
      </c>
      <c r="CP19" s="543">
        <f t="shared" si="23"/>
        <v>0</v>
      </c>
      <c r="CQ19" s="471"/>
      <c r="CR19" s="465">
        <v>5000000</v>
      </c>
      <c r="CS19" s="468">
        <f>826250+1000000+498750+2675000</f>
        <v>5000000</v>
      </c>
      <c r="CT19" s="465">
        <f t="shared" si="24"/>
        <v>0</v>
      </c>
      <c r="CU19" s="488"/>
      <c r="CV19" s="525">
        <v>80000000</v>
      </c>
      <c r="CW19" s="465">
        <v>80000000</v>
      </c>
      <c r="CX19" s="543">
        <f t="shared" si="25"/>
        <v>0</v>
      </c>
      <c r="CY19" s="471"/>
      <c r="CZ19" s="468">
        <v>20000000</v>
      </c>
      <c r="DA19" s="468">
        <v>0</v>
      </c>
      <c r="DB19" s="543">
        <f t="shared" si="26"/>
        <v>20000000</v>
      </c>
      <c r="DC19" s="471"/>
      <c r="DD19" s="468">
        <v>20000000</v>
      </c>
      <c r="DE19" s="468">
        <v>0</v>
      </c>
      <c r="DF19" s="543">
        <f t="shared" si="27"/>
        <v>20000000</v>
      </c>
      <c r="DG19" s="488"/>
      <c r="DH19" s="468">
        <v>50000000</v>
      </c>
      <c r="DI19" s="468">
        <v>50000000</v>
      </c>
      <c r="DJ19" s="543">
        <f t="shared" si="28"/>
        <v>0</v>
      </c>
      <c r="DK19" s="488"/>
      <c r="DL19" s="465">
        <v>6000000</v>
      </c>
      <c r="DM19" s="490">
        <f>1320000+1277200+270000</f>
        <v>2867200</v>
      </c>
      <c r="DN19" s="465">
        <f t="shared" si="29"/>
        <v>3132800</v>
      </c>
      <c r="DO19" s="488"/>
      <c r="DP19" s="471">
        <v>0</v>
      </c>
      <c r="DQ19" s="471">
        <v>0</v>
      </c>
      <c r="DR19" s="471">
        <f t="shared" si="30"/>
        <v>0</v>
      </c>
      <c r="DT19" s="471">
        <v>60000000</v>
      </c>
      <c r="DU19" s="471">
        <f>6217299.5+53782700.5</f>
        <v>60000000</v>
      </c>
      <c r="DV19" s="471">
        <f t="shared" si="31"/>
        <v>0</v>
      </c>
      <c r="DX19" s="471">
        <v>10000000</v>
      </c>
      <c r="DY19" s="471">
        <v>0</v>
      </c>
      <c r="DZ19" s="471">
        <f t="shared" si="32"/>
        <v>10000000</v>
      </c>
      <c r="EB19" s="471">
        <v>10000000</v>
      </c>
      <c r="EC19" s="471">
        <v>0</v>
      </c>
      <c r="ED19" s="471">
        <f t="shared" si="33"/>
        <v>10000000</v>
      </c>
      <c r="EF19" s="471">
        <v>20000000</v>
      </c>
      <c r="EG19" s="471">
        <f>4271955.5+15728044.5</f>
        <v>20000000</v>
      </c>
      <c r="EH19" s="471">
        <f t="shared" si="34"/>
        <v>0</v>
      </c>
      <c r="EJ19" s="471">
        <v>3000000</v>
      </c>
      <c r="EK19" s="471">
        <v>0</v>
      </c>
      <c r="EL19" s="471">
        <f t="shared" si="35"/>
        <v>3000000</v>
      </c>
      <c r="EM19" s="634"/>
      <c r="EN19" s="465">
        <v>200000000</v>
      </c>
      <c r="EO19" s="465">
        <f>178417299.5+19461129.25+2121571.25</f>
        <v>200000000</v>
      </c>
      <c r="EP19" s="465">
        <f t="shared" si="36"/>
        <v>0</v>
      </c>
      <c r="EQ19" s="465"/>
      <c r="ER19" s="465">
        <v>10000000</v>
      </c>
      <c r="ES19" s="465">
        <v>0</v>
      </c>
      <c r="ET19" s="465">
        <f t="shared" si="37"/>
        <v>10000000</v>
      </c>
      <c r="EU19" s="465"/>
      <c r="EV19" s="465">
        <v>10000000</v>
      </c>
      <c r="EW19" s="465">
        <v>0</v>
      </c>
      <c r="EX19" s="465">
        <f t="shared" si="38"/>
        <v>10000000</v>
      </c>
      <c r="EY19" s="465"/>
      <c r="EZ19" s="465">
        <v>25000000</v>
      </c>
      <c r="FA19" s="465">
        <f>7292725.5+8234200+4678200+4794874.5</f>
        <v>25000000</v>
      </c>
      <c r="FB19" s="465">
        <f t="shared" si="39"/>
        <v>0</v>
      </c>
      <c r="FC19" s="465"/>
      <c r="FD19" s="465">
        <v>3000000</v>
      </c>
      <c r="FE19" s="465">
        <v>0</v>
      </c>
      <c r="FF19" s="465">
        <f t="shared" si="40"/>
        <v>3000000</v>
      </c>
      <c r="FG19" s="465"/>
      <c r="FH19" s="637">
        <v>65000000</v>
      </c>
      <c r="FI19" s="640">
        <f>20078428.75+31776560-12000000+20111500</f>
        <v>59966488.75</v>
      </c>
      <c r="FJ19" s="637">
        <f t="shared" si="41"/>
        <v>5033511.25</v>
      </c>
      <c r="FK19" s="637"/>
      <c r="FL19" s="637">
        <v>8000000</v>
      </c>
      <c r="FM19" s="637">
        <v>0</v>
      </c>
      <c r="FN19" s="637">
        <f t="shared" si="42"/>
        <v>8000000</v>
      </c>
      <c r="FO19" s="637"/>
      <c r="FP19" s="637">
        <v>5000000</v>
      </c>
      <c r="FQ19" s="637">
        <v>0</v>
      </c>
      <c r="FR19" s="637">
        <f t="shared" si="43"/>
        <v>5000000</v>
      </c>
      <c r="FS19" s="637"/>
      <c r="FT19" s="637">
        <v>18000000</v>
      </c>
      <c r="FU19" s="639">
        <f>794825.5+4926000+5053000</f>
        <v>10773825.5</v>
      </c>
      <c r="FV19" s="637">
        <f t="shared" si="44"/>
        <v>7226174.5</v>
      </c>
      <c r="FW19" s="637"/>
      <c r="FX19" s="637">
        <v>3000000</v>
      </c>
      <c r="FY19" s="637">
        <v>0</v>
      </c>
      <c r="FZ19" s="637">
        <f t="shared" si="45"/>
        <v>3000000</v>
      </c>
      <c r="GA19" s="637"/>
      <c r="GB19" s="637">
        <v>90000000</v>
      </c>
      <c r="GC19" s="637">
        <v>0</v>
      </c>
      <c r="GD19" s="637">
        <f t="shared" si="46"/>
        <v>90000000</v>
      </c>
      <c r="GE19" s="637"/>
      <c r="GF19" s="637">
        <v>22000000</v>
      </c>
      <c r="GG19" s="637">
        <v>0</v>
      </c>
      <c r="GH19" s="637">
        <f t="shared" si="47"/>
        <v>22000000</v>
      </c>
      <c r="GI19" s="637"/>
      <c r="GJ19" s="637">
        <v>3000000</v>
      </c>
      <c r="GK19" s="637">
        <v>0</v>
      </c>
      <c r="GL19" s="637">
        <f t="shared" si="48"/>
        <v>3000000</v>
      </c>
      <c r="GM19" s="637"/>
      <c r="GN19" s="636">
        <v>12000000</v>
      </c>
      <c r="GO19" s="636">
        <v>0</v>
      </c>
      <c r="GP19" s="636">
        <f t="shared" si="0"/>
        <v>12000000</v>
      </c>
      <c r="GQ19" s="637"/>
      <c r="GR19" s="637">
        <v>3000000</v>
      </c>
      <c r="GS19" s="637">
        <v>0</v>
      </c>
      <c r="GT19" s="637">
        <f t="shared" si="49"/>
        <v>3000000</v>
      </c>
      <c r="GU19" s="637"/>
      <c r="GV19" s="587">
        <f t="shared" si="50"/>
        <v>1084086480</v>
      </c>
      <c r="GW19" s="587">
        <f t="shared" si="50"/>
        <v>802582294.25</v>
      </c>
      <c r="GX19" s="468">
        <f t="shared" si="51"/>
        <v>281504185.75</v>
      </c>
      <c r="GZ19" s="519"/>
      <c r="HA19" s="468">
        <f>D19+H19+L19+X19+AN19+BH19+CB19+CV19+DT19+EN19+FH19+GB19</f>
        <v>711000000</v>
      </c>
      <c r="HB19" s="468">
        <f>E19+I19+M19+Y19+AO19+BI19+CC19+CW19+DU19+EO19+FI19+GC19</f>
        <v>615966488.75</v>
      </c>
      <c r="HC19" s="471">
        <f t="shared" si="52"/>
        <v>95033511.25</v>
      </c>
      <c r="HE19" s="471">
        <f>P19+AB19+AR19+BL19+CF19+CZ19+DX19+ER19+FL19+GF19</f>
        <v>94036480</v>
      </c>
      <c r="HF19" s="471">
        <f>Q19+AC19+AS19+BM19+CG19+DA19+DY19+ES19+FM19+GG19</f>
        <v>6924780</v>
      </c>
      <c r="HG19" s="471">
        <f t="shared" si="53"/>
        <v>87111700</v>
      </c>
      <c r="HI19" s="471">
        <f>T19+AF19+AV19+BP19+CJ19+DD19+EB19+EV19+FP19+GJ19</f>
        <v>67550000</v>
      </c>
      <c r="HJ19" s="471">
        <f>U19+AG19+AW19+BQ19+CK19+DE19+EC19+EW19+FQ19+GK19</f>
        <v>2550000</v>
      </c>
      <c r="HK19" s="471">
        <f t="shared" si="54"/>
        <v>65000000</v>
      </c>
      <c r="HN19" s="471">
        <f>AJ19+AZ19+BT19+CN19+DH19+DP19+EF19+EZ19+FT19+GN19</f>
        <v>187500000</v>
      </c>
      <c r="HO19" s="471">
        <f>AK19+BA19+BU19+CO19+DI19+DQ19+EG19+FA19+FU19+GO19</f>
        <v>168273825.5</v>
      </c>
      <c r="HP19" s="471">
        <f t="shared" si="55"/>
        <v>19226174.5</v>
      </c>
      <c r="HR19" s="531"/>
      <c r="HT19" s="471">
        <f>BX19+CR19+DL19+EJ19+FD19+FX19+GR19</f>
        <v>24000000</v>
      </c>
      <c r="HU19" s="471">
        <f>BY19+CS19+DM19+EK19+FE19+FY19+GS19</f>
        <v>8867200</v>
      </c>
      <c r="HV19" s="471">
        <f t="shared" si="56"/>
        <v>15132800</v>
      </c>
      <c r="HX19" s="473">
        <f t="shared" si="57"/>
        <v>1547200</v>
      </c>
      <c r="HY19" s="474">
        <v>7320000</v>
      </c>
      <c r="ID19" s="473">
        <f>HU19+HO19+HJ19+HF19+HB19</f>
        <v>802582294.25</v>
      </c>
      <c r="IE19" s="473">
        <f>HV19+HP19+HK19+HG19+HC19</f>
        <v>281504185.75</v>
      </c>
      <c r="IF19" s="473"/>
    </row>
    <row r="20" spans="1:240" x14ac:dyDescent="0.25">
      <c r="A20" s="107">
        <v>17</v>
      </c>
      <c r="B20" s="107" t="s">
        <v>561</v>
      </c>
      <c r="C20" s="634" t="s">
        <v>65</v>
      </c>
      <c r="D20" s="465">
        <v>0</v>
      </c>
      <c r="E20" s="465">
        <v>0</v>
      </c>
      <c r="F20" s="475">
        <f t="shared" si="1"/>
        <v>0</v>
      </c>
      <c r="G20" s="465"/>
      <c r="H20" s="465">
        <v>15000000</v>
      </c>
      <c r="I20" s="465">
        <v>15000000</v>
      </c>
      <c r="J20" s="463">
        <f t="shared" si="2"/>
        <v>0</v>
      </c>
      <c r="K20" s="465"/>
      <c r="L20" s="465">
        <v>15000000</v>
      </c>
      <c r="M20" s="465">
        <v>15000000</v>
      </c>
      <c r="N20" s="543">
        <f t="shared" si="3"/>
        <v>0</v>
      </c>
      <c r="O20" s="465"/>
      <c r="P20" s="465">
        <v>2500000</v>
      </c>
      <c r="Q20" s="465">
        <v>2500000</v>
      </c>
      <c r="R20" s="543">
        <f t="shared" si="4"/>
        <v>0</v>
      </c>
      <c r="S20" s="465"/>
      <c r="T20" s="465">
        <v>1000000</v>
      </c>
      <c r="U20" s="465">
        <v>1000000</v>
      </c>
      <c r="V20" s="543">
        <f t="shared" si="5"/>
        <v>0</v>
      </c>
      <c r="W20" s="465"/>
      <c r="X20" s="465">
        <v>20000000</v>
      </c>
      <c r="Y20" s="465">
        <v>20000000</v>
      </c>
      <c r="Z20" s="543">
        <f t="shared" si="6"/>
        <v>0</v>
      </c>
      <c r="AA20" s="465"/>
      <c r="AB20" s="465">
        <v>5000000</v>
      </c>
      <c r="AC20" s="465">
        <v>5000000</v>
      </c>
      <c r="AD20" s="543">
        <f t="shared" si="7"/>
        <v>0</v>
      </c>
      <c r="AE20" s="465"/>
      <c r="AF20" s="465">
        <v>2000000</v>
      </c>
      <c r="AG20" s="465">
        <v>2000000</v>
      </c>
      <c r="AH20" s="543">
        <f t="shared" si="8"/>
        <v>0</v>
      </c>
      <c r="AI20" s="465"/>
      <c r="AJ20" s="465">
        <v>7500000</v>
      </c>
      <c r="AK20" s="465">
        <v>7500000</v>
      </c>
      <c r="AL20" s="543">
        <f t="shared" si="9"/>
        <v>0</v>
      </c>
      <c r="AM20" s="465"/>
      <c r="AN20" s="465">
        <v>30000000</v>
      </c>
      <c r="AO20" s="465">
        <v>30000000</v>
      </c>
      <c r="AP20" s="543">
        <f t="shared" si="10"/>
        <v>0</v>
      </c>
      <c r="AQ20" s="465"/>
      <c r="AR20" s="465">
        <v>3000000</v>
      </c>
      <c r="AS20" s="465">
        <v>3000000</v>
      </c>
      <c r="AT20" s="543">
        <f t="shared" si="11"/>
        <v>0</v>
      </c>
      <c r="AU20" s="465"/>
      <c r="AV20" s="465">
        <v>2000000</v>
      </c>
      <c r="AW20" s="465">
        <v>1649800</v>
      </c>
      <c r="AX20" s="543">
        <f t="shared" si="12"/>
        <v>350200</v>
      </c>
      <c r="AY20" s="465"/>
      <c r="AZ20" s="465">
        <v>10000000</v>
      </c>
      <c r="BA20" s="465">
        <v>10000000</v>
      </c>
      <c r="BB20" s="543">
        <f t="shared" si="13"/>
        <v>0</v>
      </c>
      <c r="BC20" s="465"/>
      <c r="BD20" s="465">
        <v>0</v>
      </c>
      <c r="BE20" s="465">
        <v>0</v>
      </c>
      <c r="BF20" s="543">
        <f t="shared" si="14"/>
        <v>0</v>
      </c>
      <c r="BG20" s="465"/>
      <c r="BH20" s="465">
        <v>55000000</v>
      </c>
      <c r="BI20" s="465">
        <v>55000000</v>
      </c>
      <c r="BJ20" s="543">
        <f t="shared" si="15"/>
        <v>0</v>
      </c>
      <c r="BK20" s="465"/>
      <c r="BL20" s="465">
        <v>5000000</v>
      </c>
      <c r="BM20" s="465">
        <v>5000000</v>
      </c>
      <c r="BN20" s="543">
        <f t="shared" si="16"/>
        <v>0</v>
      </c>
      <c r="BO20" s="465"/>
      <c r="BP20" s="465">
        <v>5000000</v>
      </c>
      <c r="BQ20" s="465">
        <v>5000000</v>
      </c>
      <c r="BR20" s="543">
        <f t="shared" si="17"/>
        <v>0</v>
      </c>
      <c r="BS20" s="465"/>
      <c r="BT20" s="465">
        <v>15000000</v>
      </c>
      <c r="BU20" s="465">
        <v>15000000</v>
      </c>
      <c r="BV20" s="543">
        <f t="shared" si="18"/>
        <v>0</v>
      </c>
      <c r="BW20" s="465"/>
      <c r="BX20" s="465">
        <v>1000000</v>
      </c>
      <c r="BY20" s="465">
        <v>1000000</v>
      </c>
      <c r="BZ20" s="543">
        <f t="shared" si="19"/>
        <v>0</v>
      </c>
      <c r="CA20" s="465"/>
      <c r="CB20" s="468">
        <v>80000000</v>
      </c>
      <c r="CC20" s="465">
        <v>80000000</v>
      </c>
      <c r="CD20" s="543">
        <f t="shared" si="20"/>
        <v>0</v>
      </c>
      <c r="CE20" s="590"/>
      <c r="CF20" s="468">
        <v>10000000</v>
      </c>
      <c r="CG20" s="468">
        <v>10000000</v>
      </c>
      <c r="CH20" s="543">
        <f t="shared" si="21"/>
        <v>0</v>
      </c>
      <c r="CI20" s="465"/>
      <c r="CJ20" s="468">
        <v>10000000</v>
      </c>
      <c r="CK20" s="468">
        <v>10000000</v>
      </c>
      <c r="CL20" s="543">
        <f t="shared" si="22"/>
        <v>0</v>
      </c>
      <c r="CM20" s="465"/>
      <c r="CN20" s="468">
        <v>30000000</v>
      </c>
      <c r="CO20" s="468">
        <v>30000000</v>
      </c>
      <c r="CP20" s="543">
        <f t="shared" si="23"/>
        <v>0</v>
      </c>
      <c r="CQ20" s="590"/>
      <c r="CR20" s="465">
        <v>5000000</v>
      </c>
      <c r="CS20" s="468">
        <v>5000000</v>
      </c>
      <c r="CT20" s="465">
        <f t="shared" si="24"/>
        <v>0</v>
      </c>
      <c r="CU20" s="465"/>
      <c r="CV20" s="525">
        <v>80000000</v>
      </c>
      <c r="CW20" s="465">
        <v>80000000</v>
      </c>
      <c r="CX20" s="543">
        <f t="shared" si="25"/>
        <v>0</v>
      </c>
      <c r="CY20" s="471"/>
      <c r="CZ20" s="468">
        <v>20000000</v>
      </c>
      <c r="DA20" s="468">
        <v>20000000</v>
      </c>
      <c r="DB20" s="543">
        <f t="shared" si="26"/>
        <v>0</v>
      </c>
      <c r="DC20" s="471"/>
      <c r="DD20" s="468">
        <v>20000000</v>
      </c>
      <c r="DE20" s="468">
        <v>15535000</v>
      </c>
      <c r="DF20" s="543">
        <f t="shared" si="27"/>
        <v>4465000</v>
      </c>
      <c r="DG20" s="465"/>
      <c r="DH20" s="468">
        <v>50000000</v>
      </c>
      <c r="DI20" s="468">
        <v>50000000</v>
      </c>
      <c r="DJ20" s="543">
        <f t="shared" si="28"/>
        <v>0</v>
      </c>
      <c r="DK20" s="590"/>
      <c r="DL20" s="465">
        <v>6000000</v>
      </c>
      <c r="DM20" s="468">
        <f>5581489+418511</f>
        <v>6000000</v>
      </c>
      <c r="DN20" s="465">
        <f t="shared" si="29"/>
        <v>0</v>
      </c>
      <c r="DO20" s="465"/>
      <c r="DP20" s="471">
        <v>0</v>
      </c>
      <c r="DQ20" s="471">
        <v>0</v>
      </c>
      <c r="DR20" s="471">
        <f t="shared" si="30"/>
        <v>0</v>
      </c>
      <c r="DT20" s="471">
        <v>60000000</v>
      </c>
      <c r="DU20" s="471">
        <f>52681383+7318617</f>
        <v>60000000</v>
      </c>
      <c r="DV20" s="471">
        <f t="shared" si="31"/>
        <v>0</v>
      </c>
      <c r="DX20" s="471">
        <v>10000000</v>
      </c>
      <c r="DY20" s="471">
        <v>5700144.5499999998</v>
      </c>
      <c r="DZ20" s="471">
        <f t="shared" si="32"/>
        <v>4299855.45</v>
      </c>
      <c r="EB20" s="471">
        <v>10000000</v>
      </c>
      <c r="EC20" s="471">
        <v>0</v>
      </c>
      <c r="ED20" s="471">
        <f t="shared" si="33"/>
        <v>10000000</v>
      </c>
      <c r="EF20" s="471">
        <v>20000000</v>
      </c>
      <c r="EG20" s="471">
        <f>6508443+1933900+11557657</f>
        <v>20000000</v>
      </c>
      <c r="EH20" s="471">
        <f t="shared" si="34"/>
        <v>0</v>
      </c>
      <c r="EJ20" s="471">
        <v>3000000</v>
      </c>
      <c r="EK20" s="471">
        <f>581489+662250+873186</f>
        <v>2116925</v>
      </c>
      <c r="EL20" s="471">
        <f t="shared" si="35"/>
        <v>883075</v>
      </c>
      <c r="EM20" s="634"/>
      <c r="EN20" s="465">
        <v>200000000</v>
      </c>
      <c r="EO20" s="487">
        <f>12281383+66416761.85+1500000+18900000+39368311.95+1200000+38415000+11282290.05</f>
        <v>189363746.85000002</v>
      </c>
      <c r="EP20" s="465">
        <f t="shared" si="36"/>
        <v>10636253.149999976</v>
      </c>
      <c r="EQ20" s="465"/>
      <c r="ER20" s="465">
        <v>10000000</v>
      </c>
      <c r="ES20" s="465">
        <v>0</v>
      </c>
      <c r="ET20" s="465">
        <f t="shared" si="37"/>
        <v>10000000</v>
      </c>
      <c r="EU20" s="465"/>
      <c r="EV20" s="465">
        <v>10000000</v>
      </c>
      <c r="EW20" s="465">
        <v>0</v>
      </c>
      <c r="EX20" s="465">
        <f t="shared" si="38"/>
        <v>10000000</v>
      </c>
      <c r="EY20" s="465"/>
      <c r="EZ20" s="465">
        <v>25000000</v>
      </c>
      <c r="FA20" s="465">
        <f>1085218+9388783</f>
        <v>10474001</v>
      </c>
      <c r="FB20" s="465">
        <f t="shared" si="39"/>
        <v>14525999</v>
      </c>
      <c r="FC20" s="465"/>
      <c r="FD20" s="465">
        <v>3000000</v>
      </c>
      <c r="FE20" s="465">
        <v>0</v>
      </c>
      <c r="FF20" s="465">
        <f t="shared" si="40"/>
        <v>3000000</v>
      </c>
      <c r="FG20" s="465"/>
      <c r="FH20" s="637">
        <v>65000000</v>
      </c>
      <c r="FI20" s="637">
        <v>0</v>
      </c>
      <c r="FJ20" s="637">
        <f t="shared" si="41"/>
        <v>65000000</v>
      </c>
      <c r="FK20" s="637"/>
      <c r="FL20" s="637">
        <v>8000000</v>
      </c>
      <c r="FM20" s="637">
        <v>0</v>
      </c>
      <c r="FN20" s="637">
        <f t="shared" si="42"/>
        <v>8000000</v>
      </c>
      <c r="FO20" s="637"/>
      <c r="FP20" s="637">
        <v>5000000</v>
      </c>
      <c r="FQ20" s="637">
        <v>0</v>
      </c>
      <c r="FR20" s="637">
        <f t="shared" si="43"/>
        <v>5000000</v>
      </c>
      <c r="FS20" s="637"/>
      <c r="FT20" s="637">
        <v>18000000</v>
      </c>
      <c r="FU20" s="637">
        <v>0</v>
      </c>
      <c r="FV20" s="637">
        <f t="shared" si="44"/>
        <v>18000000</v>
      </c>
      <c r="FW20" s="637"/>
      <c r="FX20" s="637">
        <v>3000000</v>
      </c>
      <c r="FY20" s="637">
        <v>0</v>
      </c>
      <c r="FZ20" s="637">
        <f t="shared" si="45"/>
        <v>3000000</v>
      </c>
      <c r="GA20" s="637"/>
      <c r="GB20" s="637">
        <v>90000000</v>
      </c>
      <c r="GC20" s="637">
        <v>0</v>
      </c>
      <c r="GD20" s="637">
        <f t="shared" si="46"/>
        <v>90000000</v>
      </c>
      <c r="GE20" s="637"/>
      <c r="GF20" s="637">
        <v>22000000</v>
      </c>
      <c r="GG20" s="637">
        <v>0</v>
      </c>
      <c r="GH20" s="637">
        <f t="shared" si="47"/>
        <v>22000000</v>
      </c>
      <c r="GI20" s="637"/>
      <c r="GJ20" s="637">
        <v>3000000</v>
      </c>
      <c r="GK20" s="637">
        <v>0</v>
      </c>
      <c r="GL20" s="637">
        <f t="shared" si="48"/>
        <v>3000000</v>
      </c>
      <c r="GM20" s="637"/>
      <c r="GN20" s="636">
        <v>12000000</v>
      </c>
      <c r="GO20" s="636">
        <v>0</v>
      </c>
      <c r="GP20" s="636">
        <f t="shared" si="0"/>
        <v>12000000</v>
      </c>
      <c r="GQ20" s="637"/>
      <c r="GR20" s="637">
        <v>3000000</v>
      </c>
      <c r="GS20" s="637">
        <v>0</v>
      </c>
      <c r="GT20" s="637">
        <f t="shared" si="49"/>
        <v>3000000</v>
      </c>
      <c r="GU20" s="637"/>
      <c r="GV20" s="587">
        <f t="shared" si="50"/>
        <v>1085000000</v>
      </c>
      <c r="GW20" s="587">
        <f t="shared" si="50"/>
        <v>787839617.39999998</v>
      </c>
      <c r="GX20" s="468">
        <f t="shared" si="51"/>
        <v>297160382.60000002</v>
      </c>
      <c r="GZ20" s="519"/>
      <c r="HA20" s="468">
        <f>D20+H20+L20+X20+AN20+BH20+CB20+CV20+DT20+EN20+FH20+GB20</f>
        <v>710000000</v>
      </c>
      <c r="HB20" s="468">
        <f>E20+I20+M20+Y20+AO20+BI20+CC20+CW20+DU20+EO20+FI20+GC20</f>
        <v>544363746.85000002</v>
      </c>
      <c r="HC20" s="471">
        <f t="shared" si="52"/>
        <v>165636253.14999998</v>
      </c>
      <c r="HE20" s="471">
        <f>P20+AB20+AR20+BL20+CF20+CZ20+DX20+ER20+FL20+GF20</f>
        <v>95500000</v>
      </c>
      <c r="HF20" s="471">
        <f>Q20+AC20+AS20+BM20+CG20+DA20+DY20+ES20+FM20+GG20</f>
        <v>51200144.549999997</v>
      </c>
      <c r="HG20" s="471">
        <f t="shared" si="53"/>
        <v>44299855.450000003</v>
      </c>
      <c r="HI20" s="471">
        <f>T20+AF20+AV20+BP20+CJ20+DD20+EB20+EV20+FP20+GJ20</f>
        <v>68000000</v>
      </c>
      <c r="HJ20" s="471">
        <f>U20+AG20+AW20+BQ20+CK20+DE20+EC20+EW20+FQ20+GK20</f>
        <v>35184800</v>
      </c>
      <c r="HK20" s="471">
        <f t="shared" si="54"/>
        <v>32815200</v>
      </c>
      <c r="HN20" s="471">
        <f>AJ20+AZ20+BT20+CN20+DH20+DP20+EF20+EZ20+FT20+GN20</f>
        <v>187500000</v>
      </c>
      <c r="HO20" s="471">
        <f>AK20+BA20+BU20+CO20+DI20+DQ20+EG20+FA20+FU20+GO20</f>
        <v>142974001</v>
      </c>
      <c r="HP20" s="471">
        <f t="shared" si="55"/>
        <v>44525999</v>
      </c>
      <c r="HR20" s="531"/>
      <c r="HT20" s="471">
        <f>BX20+CR20+DL20+EJ20+FD20+FX20+GR20</f>
        <v>24000000</v>
      </c>
      <c r="HU20" s="471">
        <f>BY20+CS20+DM20+EK20+FE20+FY20+GS20</f>
        <v>14116925</v>
      </c>
      <c r="HV20" s="471">
        <f t="shared" si="56"/>
        <v>9883075</v>
      </c>
      <c r="HX20" s="473">
        <f t="shared" si="57"/>
        <v>0</v>
      </c>
      <c r="HY20" s="474">
        <v>14116925</v>
      </c>
      <c r="ID20" s="473">
        <f>HU20+HO20+HJ20+HF20+HB20</f>
        <v>787839617.4000001</v>
      </c>
      <c r="IE20" s="473">
        <f>HV20+HP20+HK20+HG20+HC20</f>
        <v>297160382.59999996</v>
      </c>
      <c r="IF20" s="473"/>
    </row>
    <row r="21" spans="1:240" x14ac:dyDescent="0.25">
      <c r="A21" s="107">
        <v>18</v>
      </c>
      <c r="B21" s="107" t="s">
        <v>562</v>
      </c>
      <c r="C21" s="634" t="s">
        <v>74</v>
      </c>
      <c r="D21" s="593">
        <v>1000000</v>
      </c>
      <c r="E21" s="593">
        <v>1000000</v>
      </c>
      <c r="F21" s="475">
        <f t="shared" si="1"/>
        <v>0</v>
      </c>
      <c r="G21" s="107"/>
      <c r="H21" s="468">
        <v>15000000</v>
      </c>
      <c r="I21" s="468">
        <v>15000000</v>
      </c>
      <c r="J21" s="463">
        <f t="shared" si="2"/>
        <v>0</v>
      </c>
      <c r="K21" s="107"/>
      <c r="L21" s="468">
        <v>15000000</v>
      </c>
      <c r="M21" s="468">
        <v>15000000</v>
      </c>
      <c r="N21" s="543">
        <f t="shared" si="3"/>
        <v>0</v>
      </c>
      <c r="O21" s="107"/>
      <c r="P21" s="468">
        <v>0</v>
      </c>
      <c r="Q21" s="465">
        <v>0</v>
      </c>
      <c r="R21" s="543">
        <f t="shared" si="4"/>
        <v>0</v>
      </c>
      <c r="S21" s="107"/>
      <c r="T21" s="468">
        <v>850000</v>
      </c>
      <c r="U21" s="468">
        <v>850000</v>
      </c>
      <c r="V21" s="543">
        <f t="shared" si="5"/>
        <v>0</v>
      </c>
      <c r="W21" s="107"/>
      <c r="X21" s="468">
        <v>20000000</v>
      </c>
      <c r="Y21" s="468">
        <v>20000000</v>
      </c>
      <c r="Z21" s="543">
        <f t="shared" si="6"/>
        <v>0</v>
      </c>
      <c r="AA21" s="107"/>
      <c r="AB21" s="468">
        <v>0</v>
      </c>
      <c r="AC21" s="468">
        <v>0</v>
      </c>
      <c r="AD21" s="543">
        <f t="shared" si="7"/>
        <v>0</v>
      </c>
      <c r="AE21" s="107"/>
      <c r="AF21" s="468">
        <v>0</v>
      </c>
      <c r="AG21" s="468">
        <v>0</v>
      </c>
      <c r="AH21" s="543">
        <f t="shared" si="8"/>
        <v>0</v>
      </c>
      <c r="AI21" s="107"/>
      <c r="AJ21" s="468">
        <v>7500000</v>
      </c>
      <c r="AK21" s="468">
        <v>7500000</v>
      </c>
      <c r="AL21" s="543">
        <f t="shared" si="9"/>
        <v>0</v>
      </c>
      <c r="AM21" s="468"/>
      <c r="AN21" s="468">
        <v>30000000</v>
      </c>
      <c r="AO21" s="468">
        <v>30000000</v>
      </c>
      <c r="AP21" s="543">
        <f t="shared" si="10"/>
        <v>0</v>
      </c>
      <c r="AQ21" s="107"/>
      <c r="AR21" s="468">
        <v>3000000</v>
      </c>
      <c r="AS21" s="468">
        <f>1080000+1920000</f>
        <v>3000000</v>
      </c>
      <c r="AT21" s="543">
        <f t="shared" si="11"/>
        <v>0</v>
      </c>
      <c r="AU21" s="107"/>
      <c r="AV21" s="465">
        <v>2000000</v>
      </c>
      <c r="AW21" s="468">
        <v>0</v>
      </c>
      <c r="AX21" s="543">
        <f t="shared" si="12"/>
        <v>2000000</v>
      </c>
      <c r="AY21" s="107"/>
      <c r="AZ21" s="468">
        <v>10000000</v>
      </c>
      <c r="BA21" s="468">
        <v>10000000</v>
      </c>
      <c r="BB21" s="543">
        <f t="shared" si="13"/>
        <v>0</v>
      </c>
      <c r="BC21" s="107"/>
      <c r="BD21" s="468">
        <v>0</v>
      </c>
      <c r="BE21" s="468">
        <v>0</v>
      </c>
      <c r="BF21" s="543">
        <f t="shared" si="14"/>
        <v>0</v>
      </c>
      <c r="BG21" s="107"/>
      <c r="BH21" s="468">
        <v>55000000</v>
      </c>
      <c r="BI21" s="468">
        <v>55000000</v>
      </c>
      <c r="BJ21" s="543">
        <f t="shared" si="15"/>
        <v>0</v>
      </c>
      <c r="BK21" s="107"/>
      <c r="BL21" s="468">
        <v>5000000</v>
      </c>
      <c r="BM21" s="468">
        <v>5000000</v>
      </c>
      <c r="BN21" s="543">
        <f t="shared" si="16"/>
        <v>0</v>
      </c>
      <c r="BO21" s="107"/>
      <c r="BP21" s="468">
        <v>5000000</v>
      </c>
      <c r="BQ21" s="468">
        <v>0</v>
      </c>
      <c r="BR21" s="543">
        <f t="shared" si="17"/>
        <v>5000000</v>
      </c>
      <c r="BS21" s="107"/>
      <c r="BT21" s="468">
        <v>15000000</v>
      </c>
      <c r="BU21" s="468">
        <v>15000000</v>
      </c>
      <c r="BV21" s="543">
        <f t="shared" si="18"/>
        <v>0</v>
      </c>
      <c r="BW21" s="107"/>
      <c r="BX21" s="468">
        <v>1000000</v>
      </c>
      <c r="BY21" s="465">
        <v>1000000</v>
      </c>
      <c r="BZ21" s="543">
        <f t="shared" si="19"/>
        <v>0</v>
      </c>
      <c r="CA21" s="107"/>
      <c r="CB21" s="468">
        <v>80000000</v>
      </c>
      <c r="CC21" s="465">
        <v>80000000</v>
      </c>
      <c r="CD21" s="543">
        <f t="shared" si="20"/>
        <v>0</v>
      </c>
      <c r="CE21" s="590"/>
      <c r="CF21" s="468">
        <v>10000000</v>
      </c>
      <c r="CG21" s="468">
        <f>140566+4944000+4915434</f>
        <v>10000000</v>
      </c>
      <c r="CH21" s="543">
        <f t="shared" si="21"/>
        <v>0</v>
      </c>
      <c r="CI21" s="107"/>
      <c r="CJ21" s="468">
        <v>10000000</v>
      </c>
      <c r="CK21" s="468">
        <v>0</v>
      </c>
      <c r="CL21" s="543">
        <f t="shared" si="22"/>
        <v>10000000</v>
      </c>
      <c r="CM21" s="107"/>
      <c r="CN21" s="468">
        <v>30000000</v>
      </c>
      <c r="CO21" s="468">
        <v>30000000</v>
      </c>
      <c r="CP21" s="543">
        <f t="shared" si="23"/>
        <v>0</v>
      </c>
      <c r="CQ21" s="488"/>
      <c r="CR21" s="465">
        <v>5000000</v>
      </c>
      <c r="CS21" s="468">
        <f>1528750+3471250</f>
        <v>5000000</v>
      </c>
      <c r="CT21" s="465">
        <f t="shared" si="24"/>
        <v>0</v>
      </c>
      <c r="CU21" s="107"/>
      <c r="CV21" s="525">
        <v>80000000</v>
      </c>
      <c r="CW21" s="465">
        <f>57711539+3500000-20000000</f>
        <v>41211539</v>
      </c>
      <c r="CX21" s="543">
        <f t="shared" si="25"/>
        <v>38788461</v>
      </c>
      <c r="CY21" s="471"/>
      <c r="CZ21" s="468">
        <v>20000000</v>
      </c>
      <c r="DA21" s="469">
        <f>808800+1995207+14373092.86</f>
        <v>17177099.859999999</v>
      </c>
      <c r="DB21" s="543">
        <f t="shared" si="26"/>
        <v>2822900.1400000006</v>
      </c>
      <c r="DC21" s="471"/>
      <c r="DD21" s="468">
        <v>20000000</v>
      </c>
      <c r="DE21" s="468">
        <v>0</v>
      </c>
      <c r="DF21" s="543">
        <f t="shared" si="27"/>
        <v>20000000</v>
      </c>
      <c r="DG21" s="107"/>
      <c r="DH21" s="468">
        <v>50000000</v>
      </c>
      <c r="DI21" s="482">
        <f>49622125.9+377874.1</f>
        <v>50000000</v>
      </c>
      <c r="DJ21" s="543">
        <f t="shared" si="28"/>
        <v>0</v>
      </c>
      <c r="DK21" s="107"/>
      <c r="DL21" s="465">
        <v>6000000</v>
      </c>
      <c r="DM21" s="489">
        <f>3328750+658750+446250+1316250</f>
        <v>5750000</v>
      </c>
      <c r="DN21" s="465">
        <f t="shared" si="29"/>
        <v>250000</v>
      </c>
      <c r="DO21" s="107"/>
      <c r="DP21" s="471">
        <v>0</v>
      </c>
      <c r="DQ21" s="471">
        <v>0</v>
      </c>
      <c r="DR21" s="471">
        <f t="shared" si="30"/>
        <v>0</v>
      </c>
      <c r="DT21" s="471">
        <v>60000000</v>
      </c>
      <c r="DU21" s="471">
        <v>60000000</v>
      </c>
      <c r="DV21" s="471">
        <f t="shared" si="31"/>
        <v>0</v>
      </c>
      <c r="DX21" s="471">
        <v>10000000</v>
      </c>
      <c r="DY21" s="471">
        <v>0</v>
      </c>
      <c r="DZ21" s="471">
        <f t="shared" si="32"/>
        <v>10000000</v>
      </c>
      <c r="EB21" s="471">
        <v>10000000</v>
      </c>
      <c r="EC21" s="471">
        <v>0</v>
      </c>
      <c r="ED21" s="471">
        <f t="shared" si="33"/>
        <v>10000000</v>
      </c>
      <c r="EF21" s="471">
        <v>20000000</v>
      </c>
      <c r="EG21" s="471">
        <v>20000000</v>
      </c>
      <c r="EH21" s="471">
        <f t="shared" si="34"/>
        <v>0</v>
      </c>
      <c r="EJ21" s="471">
        <v>3000000</v>
      </c>
      <c r="EK21" s="552">
        <v>1370625</v>
      </c>
      <c r="EL21" s="471">
        <f t="shared" si="35"/>
        <v>1629375</v>
      </c>
      <c r="EM21" s="634"/>
      <c r="EN21" s="465">
        <v>200000000</v>
      </c>
      <c r="EO21" s="465">
        <f>32800000+39412620+113580025-113580025+30875000+96912380</f>
        <v>200000000</v>
      </c>
      <c r="EP21" s="465">
        <f t="shared" si="36"/>
        <v>0</v>
      </c>
      <c r="EQ21" s="465"/>
      <c r="ER21" s="465">
        <v>10000000</v>
      </c>
      <c r="ES21" s="465">
        <v>0</v>
      </c>
      <c r="ET21" s="465">
        <f t="shared" si="37"/>
        <v>10000000</v>
      </c>
      <c r="EU21" s="465"/>
      <c r="EV21" s="465">
        <v>10000000</v>
      </c>
      <c r="EW21" s="465">
        <v>0</v>
      </c>
      <c r="EX21" s="465">
        <f t="shared" si="38"/>
        <v>10000000</v>
      </c>
      <c r="EY21" s="465"/>
      <c r="EZ21" s="465">
        <v>25000000</v>
      </c>
      <c r="FA21" s="467">
        <f>6603740+4555391.75+5616880+8223988.25</f>
        <v>25000000</v>
      </c>
      <c r="FB21" s="465">
        <f t="shared" si="39"/>
        <v>0</v>
      </c>
      <c r="FC21" s="465"/>
      <c r="FD21" s="465">
        <v>3000000</v>
      </c>
      <c r="FE21" s="465">
        <v>0</v>
      </c>
      <c r="FF21" s="465">
        <f t="shared" si="40"/>
        <v>3000000</v>
      </c>
      <c r="FG21" s="465"/>
      <c r="FH21" s="637">
        <v>65000000</v>
      </c>
      <c r="FI21" s="641">
        <f>16667645-10000000</f>
        <v>6667645</v>
      </c>
      <c r="FJ21" s="637">
        <f t="shared" si="41"/>
        <v>58332355</v>
      </c>
      <c r="FK21" s="637"/>
      <c r="FL21" s="637">
        <v>8000000</v>
      </c>
      <c r="FM21" s="637">
        <v>0</v>
      </c>
      <c r="FN21" s="637">
        <f t="shared" si="42"/>
        <v>8000000</v>
      </c>
      <c r="FO21" s="637"/>
      <c r="FP21" s="637">
        <v>5000000</v>
      </c>
      <c r="FQ21" s="637">
        <v>0</v>
      </c>
      <c r="FR21" s="637">
        <f t="shared" si="43"/>
        <v>5000000</v>
      </c>
      <c r="FS21" s="637"/>
      <c r="FT21" s="637">
        <v>18000000</v>
      </c>
      <c r="FU21" s="643">
        <f>16888175.65</f>
        <v>16888175.649999999</v>
      </c>
      <c r="FV21" s="637">
        <f t="shared" si="44"/>
        <v>1111824.3500000015</v>
      </c>
      <c r="FW21" s="637"/>
      <c r="FX21" s="637">
        <v>3000000</v>
      </c>
      <c r="FY21" s="637">
        <v>0</v>
      </c>
      <c r="FZ21" s="637">
        <f t="shared" si="45"/>
        <v>3000000</v>
      </c>
      <c r="GA21" s="637"/>
      <c r="GB21" s="637">
        <v>90000000</v>
      </c>
      <c r="GC21" s="637">
        <v>0</v>
      </c>
      <c r="GD21" s="637">
        <f t="shared" si="46"/>
        <v>90000000</v>
      </c>
      <c r="GE21" s="637"/>
      <c r="GF21" s="637">
        <v>22000000</v>
      </c>
      <c r="GG21" s="637">
        <v>0</v>
      </c>
      <c r="GH21" s="637">
        <f t="shared" si="47"/>
        <v>22000000</v>
      </c>
      <c r="GI21" s="637"/>
      <c r="GJ21" s="637">
        <v>3000000</v>
      </c>
      <c r="GK21" s="637">
        <v>0</v>
      </c>
      <c r="GL21" s="637">
        <f t="shared" si="48"/>
        <v>3000000</v>
      </c>
      <c r="GM21" s="637"/>
      <c r="GN21" s="636">
        <v>12000000</v>
      </c>
      <c r="GO21" s="636">
        <v>0</v>
      </c>
      <c r="GP21" s="636">
        <f t="shared" si="0"/>
        <v>12000000</v>
      </c>
      <c r="GQ21" s="637"/>
      <c r="GR21" s="637">
        <v>3000000</v>
      </c>
      <c r="GS21" s="637">
        <v>0</v>
      </c>
      <c r="GT21" s="637">
        <f t="shared" si="49"/>
        <v>3000000</v>
      </c>
      <c r="GU21" s="637"/>
      <c r="GV21" s="587">
        <f t="shared" si="50"/>
        <v>1076350000</v>
      </c>
      <c r="GW21" s="587">
        <f t="shared" si="50"/>
        <v>747415084.50999999</v>
      </c>
      <c r="GX21" s="468">
        <f t="shared" si="51"/>
        <v>328934915.49000001</v>
      </c>
      <c r="GZ21" s="519"/>
      <c r="HA21" s="468">
        <f>D21+H21+L21+X21+AN21+BH21+CB21+CV21+DT21+EN21+FH21+GB21</f>
        <v>711000000</v>
      </c>
      <c r="HB21" s="468">
        <f>E21+I21+M21+Y21+AO21+BI21+CC21+CW21+DU21+EO21+FI21+GC21</f>
        <v>523879184</v>
      </c>
      <c r="HC21" s="471">
        <f t="shared" si="52"/>
        <v>187120816</v>
      </c>
      <c r="HE21" s="471">
        <f>P21+AB21+AR21+BL21+CF21+CZ21+DX21+ER21+FL21+GF21</f>
        <v>88000000</v>
      </c>
      <c r="HF21" s="471">
        <f>Q21+AC21+AS21+BM21+CG21+DA21+DY21+ES21+FM21+GG21</f>
        <v>35177099.859999999</v>
      </c>
      <c r="HG21" s="471">
        <f t="shared" si="53"/>
        <v>52822900.140000001</v>
      </c>
      <c r="HI21" s="471">
        <f>T21+AF21+AV21+BP21+CJ21+DD21+EB21+EV21+FP21+GJ21</f>
        <v>65850000</v>
      </c>
      <c r="HJ21" s="471">
        <f>U21+AG21+AW21+BQ21+CK21+DE21+EC21+EW21+FQ21+GK21</f>
        <v>850000</v>
      </c>
      <c r="HK21" s="471">
        <f t="shared" si="54"/>
        <v>65000000</v>
      </c>
      <c r="HN21" s="471">
        <f>AJ21+AZ21+BT21+CN21+DH21+DP21+EF21+EZ21+FT21+GN21</f>
        <v>187500000</v>
      </c>
      <c r="HO21" s="471">
        <f>AK21+BA21+BU21+CO21+DI21+DQ21+EG21+FA21+FU21+GO21</f>
        <v>174388175.65000001</v>
      </c>
      <c r="HP21" s="471">
        <f t="shared" si="55"/>
        <v>13111824.349999994</v>
      </c>
      <c r="HR21" s="531"/>
      <c r="HT21" s="471">
        <f>BX21+CR21+DL21+EJ21+FD21+FX21+GR21</f>
        <v>24000000</v>
      </c>
      <c r="HU21" s="471">
        <f>BY21+CS21+DM21+EK21+FE21+FY21+GS21</f>
        <v>13120625</v>
      </c>
      <c r="HV21" s="471">
        <f t="shared" si="56"/>
        <v>10879375</v>
      </c>
      <c r="HX21" s="473">
        <f t="shared" si="57"/>
        <v>2686875</v>
      </c>
      <c r="HY21" s="474">
        <v>10433750</v>
      </c>
      <c r="ID21" s="473">
        <f>HU21+HO21+HJ21+HF21+HB21</f>
        <v>747415084.50999999</v>
      </c>
      <c r="IE21" s="473">
        <f>HV21+HP21+HK21+HG21+HC21</f>
        <v>328934915.49000001</v>
      </c>
      <c r="IF21" s="473"/>
    </row>
    <row r="22" spans="1:240" x14ac:dyDescent="0.25">
      <c r="A22" s="107">
        <v>19</v>
      </c>
      <c r="B22" s="107" t="s">
        <v>563</v>
      </c>
      <c r="C22" s="634" t="s">
        <v>63</v>
      </c>
      <c r="D22" s="488">
        <v>1000000</v>
      </c>
      <c r="E22" s="488">
        <v>1000000</v>
      </c>
      <c r="F22" s="475">
        <f t="shared" si="1"/>
        <v>0</v>
      </c>
      <c r="G22" s="488"/>
      <c r="H22" s="465">
        <v>15000000</v>
      </c>
      <c r="I22" s="465">
        <v>15000000</v>
      </c>
      <c r="J22" s="463">
        <f t="shared" si="2"/>
        <v>0</v>
      </c>
      <c r="K22" s="488"/>
      <c r="L22" s="465">
        <v>15000000</v>
      </c>
      <c r="M22" s="465">
        <v>15000000</v>
      </c>
      <c r="N22" s="543">
        <f t="shared" si="3"/>
        <v>0</v>
      </c>
      <c r="O22" s="488"/>
      <c r="P22" s="465">
        <v>2500000</v>
      </c>
      <c r="Q22" s="465">
        <v>2500000</v>
      </c>
      <c r="R22" s="543">
        <f t="shared" si="4"/>
        <v>0</v>
      </c>
      <c r="S22" s="488"/>
      <c r="T22" s="465">
        <v>0</v>
      </c>
      <c r="U22" s="465">
        <v>0</v>
      </c>
      <c r="V22" s="543">
        <f t="shared" si="5"/>
        <v>0</v>
      </c>
      <c r="W22" s="488"/>
      <c r="X22" s="465">
        <v>20000000</v>
      </c>
      <c r="Y22" s="465">
        <v>20000000</v>
      </c>
      <c r="Z22" s="543">
        <f t="shared" si="6"/>
        <v>0</v>
      </c>
      <c r="AA22" s="488"/>
      <c r="AB22" s="465">
        <v>5000000</v>
      </c>
      <c r="AC22" s="465">
        <v>5000000</v>
      </c>
      <c r="AD22" s="543">
        <f t="shared" si="7"/>
        <v>0</v>
      </c>
      <c r="AE22" s="488"/>
      <c r="AF22" s="465">
        <v>817700</v>
      </c>
      <c r="AG22" s="465">
        <v>817700</v>
      </c>
      <c r="AH22" s="543">
        <f t="shared" si="8"/>
        <v>0</v>
      </c>
      <c r="AI22" s="488"/>
      <c r="AJ22" s="465">
        <v>7500000</v>
      </c>
      <c r="AK22" s="465">
        <v>7500000</v>
      </c>
      <c r="AL22" s="543">
        <f t="shared" si="9"/>
        <v>0</v>
      </c>
      <c r="AM22" s="465"/>
      <c r="AN22" s="465">
        <v>30000000</v>
      </c>
      <c r="AO22" s="465">
        <v>30000000</v>
      </c>
      <c r="AP22" s="543">
        <f t="shared" si="10"/>
        <v>0</v>
      </c>
      <c r="AQ22" s="488"/>
      <c r="AR22" s="465">
        <v>3000000</v>
      </c>
      <c r="AS22" s="465">
        <v>3000000</v>
      </c>
      <c r="AT22" s="543">
        <f t="shared" si="11"/>
        <v>0</v>
      </c>
      <c r="AU22" s="488"/>
      <c r="AV22" s="465">
        <v>2000000</v>
      </c>
      <c r="AW22" s="465">
        <v>0</v>
      </c>
      <c r="AX22" s="543">
        <f t="shared" si="12"/>
        <v>2000000</v>
      </c>
      <c r="AY22" s="488"/>
      <c r="AZ22" s="465">
        <v>10000000</v>
      </c>
      <c r="BA22" s="465">
        <v>10000000</v>
      </c>
      <c r="BB22" s="543">
        <f t="shared" si="13"/>
        <v>0</v>
      </c>
      <c r="BC22" s="488"/>
      <c r="BD22" s="465">
        <v>0</v>
      </c>
      <c r="BE22" s="465">
        <v>0</v>
      </c>
      <c r="BF22" s="543">
        <f t="shared" si="14"/>
        <v>0</v>
      </c>
      <c r="BG22" s="488"/>
      <c r="BH22" s="465">
        <v>55000000</v>
      </c>
      <c r="BI22" s="465">
        <v>55000000</v>
      </c>
      <c r="BJ22" s="543">
        <f t="shared" si="15"/>
        <v>0</v>
      </c>
      <c r="BK22" s="488"/>
      <c r="BL22" s="465">
        <v>5000000</v>
      </c>
      <c r="BM22" s="465">
        <v>5000000</v>
      </c>
      <c r="BN22" s="543">
        <f t="shared" si="16"/>
        <v>0</v>
      </c>
      <c r="BO22" s="488"/>
      <c r="BP22" s="465">
        <v>5000000</v>
      </c>
      <c r="BQ22" s="283">
        <f>1540434-1540434</f>
        <v>0</v>
      </c>
      <c r="BR22" s="543">
        <f t="shared" si="17"/>
        <v>5000000</v>
      </c>
      <c r="BS22" s="488"/>
      <c r="BT22" s="465">
        <v>15000000</v>
      </c>
      <c r="BU22" s="465">
        <v>15000000</v>
      </c>
      <c r="BV22" s="543">
        <f t="shared" si="18"/>
        <v>0</v>
      </c>
      <c r="BW22" s="488"/>
      <c r="BX22" s="465">
        <v>1000000</v>
      </c>
      <c r="BY22" s="465">
        <v>1000000</v>
      </c>
      <c r="BZ22" s="543">
        <f t="shared" si="19"/>
        <v>0</v>
      </c>
      <c r="CA22" s="488"/>
      <c r="CB22" s="468">
        <v>80000000</v>
      </c>
      <c r="CC22" s="465">
        <v>80000000</v>
      </c>
      <c r="CD22" s="543">
        <f t="shared" si="20"/>
        <v>0</v>
      </c>
      <c r="CE22" s="590"/>
      <c r="CF22" s="468">
        <v>10000000</v>
      </c>
      <c r="CG22" s="490">
        <f>4085117+727800+1213515</f>
        <v>6026432</v>
      </c>
      <c r="CH22" s="543">
        <f t="shared" si="21"/>
        <v>3973568</v>
      </c>
      <c r="CI22" s="488"/>
      <c r="CJ22" s="468">
        <v>10000000</v>
      </c>
      <c r="CK22" s="468">
        <v>0</v>
      </c>
      <c r="CL22" s="543">
        <f t="shared" si="22"/>
        <v>10000000</v>
      </c>
      <c r="CM22" s="488"/>
      <c r="CN22" s="468">
        <v>30000000</v>
      </c>
      <c r="CO22" s="468">
        <f>13945662+8057500+7996838-8057500</f>
        <v>21942500</v>
      </c>
      <c r="CP22" s="543">
        <f t="shared" si="23"/>
        <v>8057500</v>
      </c>
      <c r="CQ22" s="488"/>
      <c r="CR22" s="465">
        <v>5000000</v>
      </c>
      <c r="CS22" s="489">
        <f>4009764.75+810900+179335.25</f>
        <v>5000000</v>
      </c>
      <c r="CT22" s="465">
        <f t="shared" si="24"/>
        <v>0</v>
      </c>
      <c r="CU22" s="488"/>
      <c r="CV22" s="525">
        <v>80000000</v>
      </c>
      <c r="CW22" s="465">
        <f>72032435+7967565</f>
        <v>80000000</v>
      </c>
      <c r="CX22" s="543">
        <f t="shared" si="25"/>
        <v>0</v>
      </c>
      <c r="CY22" s="471"/>
      <c r="CZ22" s="468">
        <v>20000000</v>
      </c>
      <c r="DA22" s="468">
        <v>7984290</v>
      </c>
      <c r="DB22" s="543">
        <f t="shared" si="26"/>
        <v>12015710</v>
      </c>
      <c r="DC22" s="471"/>
      <c r="DD22" s="468">
        <v>20000000</v>
      </c>
      <c r="DE22" s="468">
        <v>0</v>
      </c>
      <c r="DF22" s="543">
        <f t="shared" si="27"/>
        <v>20000000</v>
      </c>
      <c r="DG22" s="488"/>
      <c r="DH22" s="468">
        <v>50000000</v>
      </c>
      <c r="DI22" s="468">
        <f>49668709+331291</f>
        <v>50000000</v>
      </c>
      <c r="DJ22" s="543">
        <f t="shared" si="28"/>
        <v>0</v>
      </c>
      <c r="DK22" s="488"/>
      <c r="DL22" s="465">
        <v>6000000</v>
      </c>
      <c r="DM22" s="489">
        <f>3050664.75</f>
        <v>3050664.75</v>
      </c>
      <c r="DN22" s="465">
        <f t="shared" si="29"/>
        <v>2949335.25</v>
      </c>
      <c r="DO22" s="488"/>
      <c r="DP22" s="471">
        <v>0</v>
      </c>
      <c r="DQ22" s="471">
        <v>0</v>
      </c>
      <c r="DR22" s="471">
        <f t="shared" si="30"/>
        <v>0</v>
      </c>
      <c r="DT22" s="471">
        <v>60000000</v>
      </c>
      <c r="DU22" s="471">
        <f>1200000+8057500+16632435+34110065</f>
        <v>60000000</v>
      </c>
      <c r="DV22" s="471">
        <f t="shared" si="31"/>
        <v>0</v>
      </c>
      <c r="DX22" s="471">
        <v>10000000</v>
      </c>
      <c r="DY22" s="471">
        <v>0</v>
      </c>
      <c r="DZ22" s="471">
        <f t="shared" si="32"/>
        <v>10000000</v>
      </c>
      <c r="EB22" s="471">
        <v>10000000</v>
      </c>
      <c r="EC22" s="471">
        <v>0</v>
      </c>
      <c r="ED22" s="471">
        <f t="shared" si="33"/>
        <v>10000000</v>
      </c>
      <c r="EF22" s="471">
        <v>20000000</v>
      </c>
      <c r="EG22" s="553">
        <f>1209143+17877630+913227</f>
        <v>20000000</v>
      </c>
      <c r="EH22" s="471">
        <f t="shared" si="34"/>
        <v>0</v>
      </c>
      <c r="EJ22" s="471">
        <v>3000000</v>
      </c>
      <c r="EK22" s="471">
        <v>0</v>
      </c>
      <c r="EL22" s="471">
        <f t="shared" si="35"/>
        <v>3000000</v>
      </c>
      <c r="EM22" s="634"/>
      <c r="EN22" s="465">
        <v>200000000</v>
      </c>
      <c r="EO22" s="465">
        <f>22363003.2+50020000+87973645.54+11400000</f>
        <v>171756648.74000001</v>
      </c>
      <c r="EP22" s="465">
        <f t="shared" si="36"/>
        <v>28243351.25999999</v>
      </c>
      <c r="EQ22" s="465"/>
      <c r="ER22" s="465">
        <v>10000000</v>
      </c>
      <c r="ES22" s="465">
        <v>0</v>
      </c>
      <c r="ET22" s="465">
        <f t="shared" si="37"/>
        <v>10000000</v>
      </c>
      <c r="EU22" s="465"/>
      <c r="EV22" s="465">
        <v>10000000</v>
      </c>
      <c r="EW22" s="465">
        <v>0</v>
      </c>
      <c r="EX22" s="465">
        <f t="shared" si="38"/>
        <v>10000000</v>
      </c>
      <c r="EY22" s="465"/>
      <c r="EZ22" s="465">
        <v>25000000</v>
      </c>
      <c r="FA22" s="467">
        <f>6123400+2788390+5089718.45+6002945.45-6002945.45</f>
        <v>14001508.449999999</v>
      </c>
      <c r="FB22" s="465">
        <f t="shared" si="39"/>
        <v>10998491.550000001</v>
      </c>
      <c r="FC22" s="465"/>
      <c r="FD22" s="465">
        <v>3000000</v>
      </c>
      <c r="FE22" s="465">
        <v>0</v>
      </c>
      <c r="FF22" s="465">
        <f t="shared" si="40"/>
        <v>3000000</v>
      </c>
      <c r="FG22" s="465"/>
      <c r="FH22" s="637">
        <v>65000000</v>
      </c>
      <c r="FI22" s="637">
        <v>0</v>
      </c>
      <c r="FJ22" s="637">
        <f t="shared" si="41"/>
        <v>65000000</v>
      </c>
      <c r="FK22" s="637"/>
      <c r="FL22" s="637">
        <v>8000000</v>
      </c>
      <c r="FM22" s="637">
        <v>0</v>
      </c>
      <c r="FN22" s="637">
        <f t="shared" si="42"/>
        <v>8000000</v>
      </c>
      <c r="FO22" s="637"/>
      <c r="FP22" s="637">
        <v>5000000</v>
      </c>
      <c r="FQ22" s="637">
        <v>0</v>
      </c>
      <c r="FR22" s="637">
        <f t="shared" si="43"/>
        <v>5000000</v>
      </c>
      <c r="FS22" s="637"/>
      <c r="FT22" s="637">
        <v>18000000</v>
      </c>
      <c r="FU22" s="637">
        <v>0</v>
      </c>
      <c r="FV22" s="637">
        <f t="shared" si="44"/>
        <v>18000000</v>
      </c>
      <c r="FW22" s="637"/>
      <c r="FX22" s="637">
        <v>3000000</v>
      </c>
      <c r="FY22" s="637">
        <v>0</v>
      </c>
      <c r="FZ22" s="637">
        <f t="shared" si="45"/>
        <v>3000000</v>
      </c>
      <c r="GA22" s="637"/>
      <c r="GB22" s="637">
        <v>90000000</v>
      </c>
      <c r="GC22" s="637">
        <v>0</v>
      </c>
      <c r="GD22" s="637">
        <f t="shared" si="46"/>
        <v>90000000</v>
      </c>
      <c r="GE22" s="637"/>
      <c r="GF22" s="637">
        <v>22000000</v>
      </c>
      <c r="GG22" s="637">
        <v>0</v>
      </c>
      <c r="GH22" s="637">
        <f t="shared" si="47"/>
        <v>22000000</v>
      </c>
      <c r="GI22" s="637"/>
      <c r="GJ22" s="637">
        <v>3000000</v>
      </c>
      <c r="GK22" s="637">
        <v>0</v>
      </c>
      <c r="GL22" s="637">
        <f t="shared" si="48"/>
        <v>3000000</v>
      </c>
      <c r="GM22" s="637"/>
      <c r="GN22" s="636">
        <v>12000000</v>
      </c>
      <c r="GO22" s="636">
        <v>0</v>
      </c>
      <c r="GP22" s="636">
        <f t="shared" si="0"/>
        <v>12000000</v>
      </c>
      <c r="GQ22" s="637"/>
      <c r="GR22" s="637">
        <v>3000000</v>
      </c>
      <c r="GS22" s="637">
        <v>0</v>
      </c>
      <c r="GT22" s="637">
        <f t="shared" si="49"/>
        <v>3000000</v>
      </c>
      <c r="GU22" s="637"/>
      <c r="GV22" s="587">
        <f t="shared" si="50"/>
        <v>1083817700</v>
      </c>
      <c r="GW22" s="587">
        <f t="shared" si="50"/>
        <v>705579743.94000006</v>
      </c>
      <c r="GX22" s="468">
        <f t="shared" si="51"/>
        <v>378237956.05999994</v>
      </c>
      <c r="GZ22" s="519"/>
      <c r="HA22" s="468">
        <f>D22+H22+L22+X22+AN22+BH22+CB22+CV22+DT22+EN22+FH22+GB22</f>
        <v>711000000</v>
      </c>
      <c r="HB22" s="468">
        <f>E22+I22+M22+Y22+AO22+BI22+CC22+CW22+DU22+EO22+FI22+GC22</f>
        <v>527756648.74000001</v>
      </c>
      <c r="HC22" s="471">
        <f t="shared" si="52"/>
        <v>183243351.25999999</v>
      </c>
      <c r="HE22" s="471">
        <f>P22+AB22+AR22+BL22+CF22+CZ22+DX22+ER22+FL22+GF22</f>
        <v>95500000</v>
      </c>
      <c r="HF22" s="471">
        <f>Q22+AC22+AS22+BM22+CG22+DA22+DY22+ES22+FM22+GG22</f>
        <v>29510722</v>
      </c>
      <c r="HG22" s="471">
        <f t="shared" si="53"/>
        <v>65989278</v>
      </c>
      <c r="HI22" s="471">
        <f>T22+AF22+AV22+BP22+CJ22+DD22+EB22+EV22+FP22+GJ22</f>
        <v>65817700</v>
      </c>
      <c r="HJ22" s="471">
        <f>U22+AG22+AW22+BQ22+CK22+DE22+EC22+EW22+FQ22+GK22</f>
        <v>817700</v>
      </c>
      <c r="HK22" s="471">
        <f t="shared" si="54"/>
        <v>65000000</v>
      </c>
      <c r="HN22" s="471">
        <f>AJ22+AZ22+BT22+CN22+DH22+DP22+EF22+EZ22+FT22+GN22</f>
        <v>187500000</v>
      </c>
      <c r="HO22" s="471">
        <f>AK22+BA22+BU22+CO22+DI22+DQ22+EG22+FA22+FU22+GO22</f>
        <v>138444008.44999999</v>
      </c>
      <c r="HP22" s="471">
        <f t="shared" si="55"/>
        <v>49055991.550000012</v>
      </c>
      <c r="HR22" s="531"/>
      <c r="HT22" s="471">
        <f>BX22+CR22+DL22+EJ22+FD22+FX22+GR22</f>
        <v>24000000</v>
      </c>
      <c r="HU22" s="471">
        <f>BY22+CS22+DM22+EK22+FE22+FY22+GS22</f>
        <v>9050664.75</v>
      </c>
      <c r="HV22" s="471">
        <f t="shared" si="56"/>
        <v>14949335.25</v>
      </c>
      <c r="HX22" s="473">
        <f t="shared" si="57"/>
        <v>3230000</v>
      </c>
      <c r="HY22" s="474">
        <v>5820664.75</v>
      </c>
      <c r="ID22" s="473">
        <f>HU22+HO22+HJ22+HF22+HB22</f>
        <v>705579743.94000006</v>
      </c>
      <c r="IE22" s="473">
        <f>HV22+HP22+HK22+HG22+HC22</f>
        <v>378237956.06</v>
      </c>
      <c r="IF22" s="473"/>
    </row>
    <row r="23" spans="1:240" x14ac:dyDescent="0.25">
      <c r="A23" s="107">
        <v>20</v>
      </c>
      <c r="B23" s="107" t="s">
        <v>564</v>
      </c>
      <c r="C23" s="634" t="s">
        <v>61</v>
      </c>
      <c r="D23" s="488">
        <v>1000000</v>
      </c>
      <c r="E23" s="488">
        <v>1000000</v>
      </c>
      <c r="F23" s="475">
        <f t="shared" si="1"/>
        <v>0</v>
      </c>
      <c r="G23" s="488"/>
      <c r="H23" s="463">
        <v>15000000</v>
      </c>
      <c r="I23" s="463">
        <v>15000000</v>
      </c>
      <c r="J23" s="463">
        <f t="shared" si="2"/>
        <v>0</v>
      </c>
      <c r="K23" s="488"/>
      <c r="L23" s="463">
        <v>15000000</v>
      </c>
      <c r="M23" s="463">
        <v>15000000</v>
      </c>
      <c r="N23" s="543">
        <f t="shared" si="3"/>
        <v>0</v>
      </c>
      <c r="O23" s="488"/>
      <c r="P23" s="543">
        <v>2500000</v>
      </c>
      <c r="Q23" s="543">
        <v>2500000</v>
      </c>
      <c r="R23" s="543">
        <f t="shared" si="4"/>
        <v>0</v>
      </c>
      <c r="S23" s="488"/>
      <c r="T23" s="465">
        <v>0</v>
      </c>
      <c r="U23" s="543">
        <v>0</v>
      </c>
      <c r="V23" s="543">
        <f t="shared" si="5"/>
        <v>0</v>
      </c>
      <c r="W23" s="488"/>
      <c r="X23" s="543">
        <v>20000000</v>
      </c>
      <c r="Y23" s="543">
        <v>20000000</v>
      </c>
      <c r="Z23" s="543">
        <f t="shared" si="6"/>
        <v>0</v>
      </c>
      <c r="AA23" s="488"/>
      <c r="AB23" s="543">
        <v>5000000</v>
      </c>
      <c r="AC23" s="543">
        <v>5000000</v>
      </c>
      <c r="AD23" s="543">
        <f t="shared" si="7"/>
        <v>0</v>
      </c>
      <c r="AE23" s="488"/>
      <c r="AF23" s="543">
        <v>0</v>
      </c>
      <c r="AG23" s="543">
        <v>0</v>
      </c>
      <c r="AH23" s="543">
        <f t="shared" si="8"/>
        <v>0</v>
      </c>
      <c r="AI23" s="488"/>
      <c r="AJ23" s="543">
        <v>7500000</v>
      </c>
      <c r="AK23" s="543">
        <v>7500000</v>
      </c>
      <c r="AL23" s="543">
        <f t="shared" si="9"/>
        <v>0</v>
      </c>
      <c r="AM23" s="543"/>
      <c r="AN23" s="544">
        <v>30000000</v>
      </c>
      <c r="AO23" s="543">
        <v>30000000</v>
      </c>
      <c r="AP23" s="543">
        <f t="shared" si="10"/>
        <v>0</v>
      </c>
      <c r="AQ23" s="488"/>
      <c r="AR23" s="544">
        <v>3000000</v>
      </c>
      <c r="AS23" s="543">
        <v>3000000</v>
      </c>
      <c r="AT23" s="543">
        <f t="shared" si="11"/>
        <v>0</v>
      </c>
      <c r="AU23" s="488"/>
      <c r="AV23" s="465">
        <v>2000000</v>
      </c>
      <c r="AW23" s="543">
        <v>0</v>
      </c>
      <c r="AX23" s="543">
        <f t="shared" si="12"/>
        <v>2000000</v>
      </c>
      <c r="AY23" s="488"/>
      <c r="AZ23" s="468">
        <v>10000000</v>
      </c>
      <c r="BA23" s="585">
        <v>10000000</v>
      </c>
      <c r="BB23" s="543">
        <f t="shared" si="13"/>
        <v>0</v>
      </c>
      <c r="BC23" s="488"/>
      <c r="BD23" s="465">
        <v>0</v>
      </c>
      <c r="BE23" s="522"/>
      <c r="BF23" s="543">
        <f t="shared" si="14"/>
        <v>0</v>
      </c>
      <c r="BG23" s="488"/>
      <c r="BH23" s="468">
        <v>55000000</v>
      </c>
      <c r="BI23" s="547">
        <v>55000000</v>
      </c>
      <c r="BJ23" s="543">
        <f t="shared" si="15"/>
        <v>0</v>
      </c>
      <c r="BK23" s="488"/>
      <c r="BL23" s="468">
        <v>5000000</v>
      </c>
      <c r="BM23" s="548">
        <f>4656758+343242</f>
        <v>5000000</v>
      </c>
      <c r="BN23" s="543">
        <f t="shared" si="16"/>
        <v>0</v>
      </c>
      <c r="BO23" s="488"/>
      <c r="BP23" s="468">
        <v>5000000</v>
      </c>
      <c r="BQ23" s="452"/>
      <c r="BR23" s="543">
        <f t="shared" si="17"/>
        <v>5000000</v>
      </c>
      <c r="BS23" s="488"/>
      <c r="BT23" s="468">
        <v>15000000</v>
      </c>
      <c r="BU23" s="468">
        <v>15000000</v>
      </c>
      <c r="BV23" s="543">
        <f t="shared" si="18"/>
        <v>0</v>
      </c>
      <c r="BW23" s="488"/>
      <c r="BX23" s="468">
        <v>1000000</v>
      </c>
      <c r="BY23" s="465">
        <v>1000000</v>
      </c>
      <c r="BZ23" s="543">
        <f t="shared" si="19"/>
        <v>0</v>
      </c>
      <c r="CA23" s="488"/>
      <c r="CB23" s="468">
        <v>80000000</v>
      </c>
      <c r="CC23" s="465">
        <v>80000000</v>
      </c>
      <c r="CD23" s="543">
        <f t="shared" si="20"/>
        <v>0</v>
      </c>
      <c r="CE23" s="465"/>
      <c r="CF23" s="468">
        <v>10000000</v>
      </c>
      <c r="CG23" s="468">
        <f>6265503.38+3734496.62</f>
        <v>10000000</v>
      </c>
      <c r="CH23" s="543">
        <f t="shared" si="21"/>
        <v>0</v>
      </c>
      <c r="CI23" s="488"/>
      <c r="CJ23" s="468">
        <v>10000000</v>
      </c>
      <c r="CK23" s="468">
        <v>0</v>
      </c>
      <c r="CL23" s="543">
        <f t="shared" si="22"/>
        <v>10000000</v>
      </c>
      <c r="CM23" s="488"/>
      <c r="CN23" s="468">
        <v>30000000</v>
      </c>
      <c r="CO23" s="468">
        <v>30000000</v>
      </c>
      <c r="CP23" s="543">
        <f t="shared" si="23"/>
        <v>0</v>
      </c>
      <c r="CQ23" s="488"/>
      <c r="CR23" s="465">
        <v>5000000</v>
      </c>
      <c r="CS23" s="468">
        <v>5000000</v>
      </c>
      <c r="CT23" s="465">
        <f t="shared" si="24"/>
        <v>0</v>
      </c>
      <c r="CU23" s="488"/>
      <c r="CV23" s="525">
        <v>80000000</v>
      </c>
      <c r="CW23" s="465">
        <f>67639725+12360275</f>
        <v>80000000</v>
      </c>
      <c r="CX23" s="543">
        <f t="shared" si="25"/>
        <v>0</v>
      </c>
      <c r="CY23" s="471"/>
      <c r="CZ23" s="468">
        <v>20000000</v>
      </c>
      <c r="DA23" s="468">
        <f>3053089.18</f>
        <v>3053089.18</v>
      </c>
      <c r="DB23" s="543">
        <f t="shared" si="26"/>
        <v>16946910.82</v>
      </c>
      <c r="DC23" s="471"/>
      <c r="DD23" s="468">
        <v>20000000</v>
      </c>
      <c r="DE23" s="468">
        <v>0</v>
      </c>
      <c r="DF23" s="543">
        <f t="shared" si="27"/>
        <v>20000000</v>
      </c>
      <c r="DG23" s="488"/>
      <c r="DH23" s="468">
        <v>50000000</v>
      </c>
      <c r="DI23" s="468">
        <v>50000000</v>
      </c>
      <c r="DJ23" s="543">
        <f t="shared" si="28"/>
        <v>0</v>
      </c>
      <c r="DK23" s="488"/>
      <c r="DL23" s="465">
        <v>6000000</v>
      </c>
      <c r="DM23" s="468">
        <f>4191967.5+1798582.5+9450</f>
        <v>6000000</v>
      </c>
      <c r="DN23" s="465">
        <f t="shared" si="29"/>
        <v>0</v>
      </c>
      <c r="DO23" s="488"/>
      <c r="DP23" s="471">
        <v>0</v>
      </c>
      <c r="DQ23" s="471">
        <v>0</v>
      </c>
      <c r="DR23" s="471">
        <f t="shared" si="30"/>
        <v>0</v>
      </c>
      <c r="DT23" s="471">
        <v>60000000</v>
      </c>
      <c r="DU23" s="552">
        <f>4739725+12900000+6000000+6000000+15600000+3600000+11160275</f>
        <v>60000000</v>
      </c>
      <c r="DV23" s="471">
        <f t="shared" si="31"/>
        <v>0</v>
      </c>
      <c r="DX23" s="471">
        <v>10000000</v>
      </c>
      <c r="DY23" s="471">
        <v>0</v>
      </c>
      <c r="DZ23" s="471">
        <f t="shared" si="32"/>
        <v>10000000</v>
      </c>
      <c r="EB23" s="471">
        <v>10000000</v>
      </c>
      <c r="EC23" s="471">
        <v>0</v>
      </c>
      <c r="ED23" s="471">
        <f t="shared" si="33"/>
        <v>10000000</v>
      </c>
      <c r="EF23" s="471">
        <v>20000000</v>
      </c>
      <c r="EG23" s="471">
        <f>6827581+6794350+6378069</f>
        <v>20000000</v>
      </c>
      <c r="EH23" s="471">
        <f t="shared" si="34"/>
        <v>0</v>
      </c>
      <c r="EJ23" s="471">
        <v>3000000</v>
      </c>
      <c r="EK23" s="471">
        <f>2073050</f>
        <v>2073050</v>
      </c>
      <c r="EL23" s="471">
        <f t="shared" si="35"/>
        <v>926950</v>
      </c>
      <c r="EM23" s="634"/>
      <c r="EN23" s="465">
        <v>200000000</v>
      </c>
      <c r="EO23" s="485">
        <f>57592000+24925599.45</f>
        <v>82517599.450000003</v>
      </c>
      <c r="EP23" s="465">
        <f t="shared" si="36"/>
        <v>117482400.55</v>
      </c>
      <c r="EQ23" s="465"/>
      <c r="ER23" s="465">
        <v>10000000</v>
      </c>
      <c r="ES23" s="465">
        <v>0</v>
      </c>
      <c r="ET23" s="465">
        <f t="shared" si="37"/>
        <v>10000000</v>
      </c>
      <c r="EU23" s="465"/>
      <c r="EV23" s="465">
        <v>10000000</v>
      </c>
      <c r="EW23" s="465">
        <v>0</v>
      </c>
      <c r="EX23" s="465">
        <f t="shared" si="38"/>
        <v>10000000</v>
      </c>
      <c r="EY23" s="465"/>
      <c r="EZ23" s="465">
        <v>25000000</v>
      </c>
      <c r="FA23" s="478">
        <f>1798831+4114200+4191350+14193940</f>
        <v>24298321</v>
      </c>
      <c r="FB23" s="465">
        <f t="shared" si="39"/>
        <v>701679</v>
      </c>
      <c r="FC23" s="465"/>
      <c r="FD23" s="465">
        <v>3000000</v>
      </c>
      <c r="FE23" s="465">
        <v>0</v>
      </c>
      <c r="FF23" s="465">
        <f t="shared" si="40"/>
        <v>3000000</v>
      </c>
      <c r="FG23" s="465"/>
      <c r="FH23" s="637">
        <v>65000000</v>
      </c>
      <c r="FI23" s="637">
        <v>0</v>
      </c>
      <c r="FJ23" s="637">
        <f t="shared" si="41"/>
        <v>65000000</v>
      </c>
      <c r="FK23" s="637"/>
      <c r="FL23" s="637">
        <v>8000000</v>
      </c>
      <c r="FM23" s="637">
        <v>0</v>
      </c>
      <c r="FN23" s="637">
        <f t="shared" si="42"/>
        <v>8000000</v>
      </c>
      <c r="FO23" s="637"/>
      <c r="FP23" s="637">
        <v>5000000</v>
      </c>
      <c r="FQ23" s="637">
        <v>0</v>
      </c>
      <c r="FR23" s="637">
        <f t="shared" si="43"/>
        <v>5000000</v>
      </c>
      <c r="FS23" s="637"/>
      <c r="FT23" s="637">
        <v>18000000</v>
      </c>
      <c r="FU23" s="637">
        <v>0</v>
      </c>
      <c r="FV23" s="637">
        <f t="shared" si="44"/>
        <v>18000000</v>
      </c>
      <c r="FW23" s="637"/>
      <c r="FX23" s="637">
        <v>3000000</v>
      </c>
      <c r="FY23" s="637">
        <v>0</v>
      </c>
      <c r="FZ23" s="637">
        <f t="shared" si="45"/>
        <v>3000000</v>
      </c>
      <c r="GA23" s="637"/>
      <c r="GB23" s="637">
        <v>90000000</v>
      </c>
      <c r="GC23" s="637">
        <v>0</v>
      </c>
      <c r="GD23" s="637">
        <f t="shared" si="46"/>
        <v>90000000</v>
      </c>
      <c r="GE23" s="637"/>
      <c r="GF23" s="637">
        <v>22000000</v>
      </c>
      <c r="GG23" s="637">
        <v>0</v>
      </c>
      <c r="GH23" s="637">
        <f t="shared" si="47"/>
        <v>22000000</v>
      </c>
      <c r="GI23" s="637"/>
      <c r="GJ23" s="637">
        <v>3000000</v>
      </c>
      <c r="GK23" s="637">
        <v>0</v>
      </c>
      <c r="GL23" s="637">
        <f t="shared" si="48"/>
        <v>3000000</v>
      </c>
      <c r="GM23" s="637"/>
      <c r="GN23" s="636">
        <v>12000000</v>
      </c>
      <c r="GO23" s="636">
        <v>0</v>
      </c>
      <c r="GP23" s="636">
        <f t="shared" si="0"/>
        <v>12000000</v>
      </c>
      <c r="GQ23" s="637"/>
      <c r="GR23" s="637">
        <v>3000000</v>
      </c>
      <c r="GS23" s="637">
        <v>0</v>
      </c>
      <c r="GT23" s="637">
        <f t="shared" si="49"/>
        <v>3000000</v>
      </c>
      <c r="GU23" s="637"/>
      <c r="GV23" s="587">
        <f t="shared" si="50"/>
        <v>1083000000</v>
      </c>
      <c r="GW23" s="587">
        <f t="shared" si="50"/>
        <v>637942059.63</v>
      </c>
      <c r="GX23" s="468">
        <f t="shared" si="51"/>
        <v>445057940.37</v>
      </c>
      <c r="GZ23" s="519"/>
      <c r="HA23" s="468">
        <f>D23+H23+L23+X23+AN23+BH23+CB23+CV23+DT23+EN23+FH23+GB23</f>
        <v>711000000</v>
      </c>
      <c r="HB23" s="468">
        <f>E23+I23+M23+Y23+AO23+BI23+CC23+CW23+DU23+EO23+FI23+GC23</f>
        <v>438517599.44999999</v>
      </c>
      <c r="HC23" s="471">
        <f t="shared" si="52"/>
        <v>272482400.55000001</v>
      </c>
      <c r="HE23" s="471">
        <f>P23+AB23+AR23+BL23+CF23+CZ23+DX23+ER23+FL23+GF23</f>
        <v>95500000</v>
      </c>
      <c r="HF23" s="471">
        <f>Q23+AC23+AS23+BM23+CG23+DA23+DY23+ES23+FM23+GG23</f>
        <v>28553089.18</v>
      </c>
      <c r="HG23" s="471">
        <f t="shared" si="53"/>
        <v>66946910.82</v>
      </c>
      <c r="HI23" s="471">
        <f>T23+AF23+AV23+BP23+CJ23+DD23+EB23+EV23+FP23+GJ23</f>
        <v>65000000</v>
      </c>
      <c r="HJ23" s="471">
        <f>U23+AG23+AW23+BQ23+CK23+DE23+EC23+EW23+FQ23+GK23</f>
        <v>0</v>
      </c>
      <c r="HK23" s="471">
        <f t="shared" si="54"/>
        <v>65000000</v>
      </c>
      <c r="HN23" s="471">
        <f>AJ23+AZ23+BT23+CN23+DH23+DP23+EF23+EZ23+FT23+GN23</f>
        <v>187500000</v>
      </c>
      <c r="HO23" s="471">
        <f>AK23+BA23+BU23+CO23+DI23+DQ23+EG23+FA23+FU23+GO23</f>
        <v>156798321</v>
      </c>
      <c r="HP23" s="471">
        <f t="shared" si="55"/>
        <v>30701679</v>
      </c>
      <c r="HR23" s="531"/>
      <c r="HT23" s="471">
        <f>BX23+CR23+DL23+EJ23+FD23+FX23+GR23</f>
        <v>24000000</v>
      </c>
      <c r="HU23" s="471">
        <f>BY23+CS23+DM23+EK23+FE23+FY23+GS23</f>
        <v>14073050</v>
      </c>
      <c r="HV23" s="471">
        <f t="shared" si="56"/>
        <v>9926950</v>
      </c>
      <c r="HX23" s="473">
        <f t="shared" si="57"/>
        <v>0</v>
      </c>
      <c r="HY23" s="474">
        <v>14073050</v>
      </c>
      <c r="ID23" s="473">
        <f>HU23+HO23+HJ23+HF23+HB23</f>
        <v>637942059.63</v>
      </c>
      <c r="IE23" s="473">
        <f>HV23+HP23+HK23+HG23+HC23</f>
        <v>445057940.37</v>
      </c>
      <c r="IF23" s="473"/>
    </row>
    <row r="24" spans="1:240" x14ac:dyDescent="0.25">
      <c r="A24" s="107">
        <v>21</v>
      </c>
      <c r="B24" s="107" t="s">
        <v>565</v>
      </c>
      <c r="C24" s="634" t="s">
        <v>76</v>
      </c>
      <c r="D24" s="465">
        <v>0</v>
      </c>
      <c r="E24" s="465">
        <v>0</v>
      </c>
      <c r="F24" s="475">
        <f t="shared" si="1"/>
        <v>0</v>
      </c>
      <c r="G24" s="465"/>
      <c r="H24" s="465">
        <v>15000000</v>
      </c>
      <c r="I24" s="465">
        <v>15000000</v>
      </c>
      <c r="J24" s="463">
        <f t="shared" si="2"/>
        <v>0</v>
      </c>
      <c r="K24" s="465"/>
      <c r="L24" s="465">
        <v>15000000</v>
      </c>
      <c r="M24" s="465">
        <v>15000000</v>
      </c>
      <c r="N24" s="543">
        <f t="shared" si="3"/>
        <v>0</v>
      </c>
      <c r="O24" s="465"/>
      <c r="P24" s="465">
        <v>0</v>
      </c>
      <c r="Q24" s="465">
        <v>0</v>
      </c>
      <c r="R24" s="543">
        <f t="shared" si="4"/>
        <v>0</v>
      </c>
      <c r="S24" s="465"/>
      <c r="T24" s="465">
        <v>0</v>
      </c>
      <c r="U24" s="465">
        <v>0</v>
      </c>
      <c r="V24" s="543">
        <f t="shared" si="5"/>
        <v>0</v>
      </c>
      <c r="W24" s="465"/>
      <c r="X24" s="465">
        <v>20000000</v>
      </c>
      <c r="Y24" s="465">
        <v>20000000</v>
      </c>
      <c r="Z24" s="543">
        <f t="shared" si="6"/>
        <v>0</v>
      </c>
      <c r="AA24" s="465"/>
      <c r="AB24" s="465">
        <v>0</v>
      </c>
      <c r="AC24" s="465">
        <v>0</v>
      </c>
      <c r="AD24" s="543">
        <f t="shared" si="7"/>
        <v>0</v>
      </c>
      <c r="AE24" s="465"/>
      <c r="AF24" s="543">
        <v>0</v>
      </c>
      <c r="AG24" s="465">
        <v>0</v>
      </c>
      <c r="AH24" s="543">
        <f t="shared" si="8"/>
        <v>0</v>
      </c>
      <c r="AI24" s="465"/>
      <c r="AJ24" s="465">
        <v>7500000</v>
      </c>
      <c r="AK24" s="465">
        <v>7500000</v>
      </c>
      <c r="AL24" s="543">
        <f t="shared" si="9"/>
        <v>0</v>
      </c>
      <c r="AM24" s="465"/>
      <c r="AN24" s="465">
        <v>30000000</v>
      </c>
      <c r="AO24" s="465">
        <v>30000000</v>
      </c>
      <c r="AP24" s="543">
        <f t="shared" si="10"/>
        <v>0</v>
      </c>
      <c r="AQ24" s="590"/>
      <c r="AR24" s="465">
        <v>3000000</v>
      </c>
      <c r="AS24" s="465">
        <v>0</v>
      </c>
      <c r="AT24" s="543">
        <f t="shared" si="11"/>
        <v>3000000</v>
      </c>
      <c r="AU24" s="465"/>
      <c r="AV24" s="465">
        <v>2000000</v>
      </c>
      <c r="AW24" s="465">
        <v>0</v>
      </c>
      <c r="AX24" s="543">
        <f t="shared" si="12"/>
        <v>2000000</v>
      </c>
      <c r="AY24" s="465"/>
      <c r="AZ24" s="465">
        <v>10000000</v>
      </c>
      <c r="BA24" s="465">
        <v>10000000</v>
      </c>
      <c r="BB24" s="543">
        <f t="shared" si="13"/>
        <v>0</v>
      </c>
      <c r="BC24" s="465"/>
      <c r="BD24" s="465">
        <v>0</v>
      </c>
      <c r="BE24" s="465">
        <v>0</v>
      </c>
      <c r="BF24" s="543">
        <f t="shared" si="14"/>
        <v>0</v>
      </c>
      <c r="BG24" s="465"/>
      <c r="BH24" s="465">
        <v>55000000</v>
      </c>
      <c r="BI24" s="465">
        <v>988675</v>
      </c>
      <c r="BJ24" s="543">
        <f t="shared" si="15"/>
        <v>54011325</v>
      </c>
      <c r="BK24" s="465"/>
      <c r="BL24" s="465">
        <v>5000000</v>
      </c>
      <c r="BM24" s="465">
        <v>0</v>
      </c>
      <c r="BN24" s="543">
        <f t="shared" si="16"/>
        <v>5000000</v>
      </c>
      <c r="BO24" s="465"/>
      <c r="BP24" s="465">
        <v>5000000</v>
      </c>
      <c r="BQ24" s="465">
        <v>0</v>
      </c>
      <c r="BR24" s="543">
        <f t="shared" si="17"/>
        <v>5000000</v>
      </c>
      <c r="BS24" s="465"/>
      <c r="BT24" s="465">
        <v>15000000</v>
      </c>
      <c r="BU24" s="465">
        <v>15000000</v>
      </c>
      <c r="BV24" s="543">
        <f t="shared" si="18"/>
        <v>0</v>
      </c>
      <c r="BW24" s="465"/>
      <c r="BX24" s="465">
        <v>1000000</v>
      </c>
      <c r="BY24" s="465">
        <v>0</v>
      </c>
      <c r="BZ24" s="543">
        <f t="shared" si="19"/>
        <v>1000000</v>
      </c>
      <c r="CA24" s="465"/>
      <c r="CB24" s="468">
        <v>80000000</v>
      </c>
      <c r="CC24" s="465">
        <v>10800000</v>
      </c>
      <c r="CD24" s="543">
        <f t="shared" si="20"/>
        <v>69200000</v>
      </c>
      <c r="CE24" s="465"/>
      <c r="CF24" s="468">
        <v>10000000</v>
      </c>
      <c r="CG24" s="468">
        <v>0</v>
      </c>
      <c r="CH24" s="543">
        <f t="shared" si="21"/>
        <v>10000000</v>
      </c>
      <c r="CI24" s="465"/>
      <c r="CJ24" s="468">
        <v>10000000</v>
      </c>
      <c r="CK24" s="468">
        <v>0</v>
      </c>
      <c r="CL24" s="543">
        <f t="shared" si="22"/>
        <v>10000000</v>
      </c>
      <c r="CM24" s="465"/>
      <c r="CN24" s="468">
        <v>30000000</v>
      </c>
      <c r="CO24" s="468">
        <v>30000000</v>
      </c>
      <c r="CP24" s="543">
        <f t="shared" si="23"/>
        <v>0</v>
      </c>
      <c r="CQ24" s="465"/>
      <c r="CR24" s="465">
        <v>5000000</v>
      </c>
      <c r="CS24" s="468">
        <v>0</v>
      </c>
      <c r="CT24" s="465">
        <f t="shared" si="24"/>
        <v>5000000</v>
      </c>
      <c r="CU24" s="465"/>
      <c r="CV24" s="525">
        <v>80000000</v>
      </c>
      <c r="CW24" s="465">
        <v>2700000</v>
      </c>
      <c r="CX24" s="543">
        <f t="shared" si="25"/>
        <v>77300000</v>
      </c>
      <c r="CY24" s="471"/>
      <c r="CZ24" s="468">
        <v>20000000</v>
      </c>
      <c r="DA24" s="468">
        <v>0</v>
      </c>
      <c r="DB24" s="543">
        <f t="shared" si="26"/>
        <v>20000000</v>
      </c>
      <c r="DC24" s="471"/>
      <c r="DD24" s="468">
        <v>20000000</v>
      </c>
      <c r="DE24" s="468">
        <v>0</v>
      </c>
      <c r="DF24" s="543">
        <f t="shared" si="27"/>
        <v>20000000</v>
      </c>
      <c r="DG24" s="465"/>
      <c r="DH24" s="468">
        <v>50000000</v>
      </c>
      <c r="DI24" s="469">
        <f>28245481+184000-1387000+22957519</f>
        <v>50000000</v>
      </c>
      <c r="DJ24" s="543">
        <f t="shared" si="28"/>
        <v>0</v>
      </c>
      <c r="DK24" s="590"/>
      <c r="DL24" s="465">
        <v>6000000</v>
      </c>
      <c r="DM24" s="468">
        <v>0</v>
      </c>
      <c r="DN24" s="465">
        <f t="shared" si="29"/>
        <v>6000000</v>
      </c>
      <c r="DO24" s="465"/>
      <c r="DP24" s="471">
        <v>0</v>
      </c>
      <c r="DQ24" s="471">
        <v>0</v>
      </c>
      <c r="DR24" s="471">
        <f t="shared" si="30"/>
        <v>0</v>
      </c>
      <c r="DT24" s="471">
        <v>60000000</v>
      </c>
      <c r="DU24" s="471">
        <v>0</v>
      </c>
      <c r="DV24" s="471">
        <f t="shared" si="31"/>
        <v>60000000</v>
      </c>
      <c r="DX24" s="471">
        <v>10000000</v>
      </c>
      <c r="DY24" s="471">
        <v>0</v>
      </c>
      <c r="DZ24" s="471">
        <f t="shared" si="32"/>
        <v>10000000</v>
      </c>
      <c r="EB24" s="471">
        <v>10000000</v>
      </c>
      <c r="EC24" s="471">
        <v>0</v>
      </c>
      <c r="ED24" s="471">
        <f t="shared" si="33"/>
        <v>10000000</v>
      </c>
      <c r="EF24" s="471">
        <v>20000000</v>
      </c>
      <c r="EG24" s="540">
        <f>8912629.1+414056</f>
        <v>9326685.0999999996</v>
      </c>
      <c r="EH24" s="471">
        <f t="shared" si="34"/>
        <v>10673314.9</v>
      </c>
      <c r="EJ24" s="471">
        <v>3000000</v>
      </c>
      <c r="EK24" s="471">
        <v>0</v>
      </c>
      <c r="EL24" s="471">
        <f t="shared" si="35"/>
        <v>3000000</v>
      </c>
      <c r="EM24" s="634"/>
      <c r="EN24" s="465">
        <v>200000000</v>
      </c>
      <c r="EO24" s="465">
        <v>0</v>
      </c>
      <c r="EP24" s="465">
        <f t="shared" si="36"/>
        <v>200000000</v>
      </c>
      <c r="EQ24" s="465"/>
      <c r="ER24" s="465">
        <v>10000000</v>
      </c>
      <c r="ES24" s="465">
        <v>0</v>
      </c>
      <c r="ET24" s="465">
        <f t="shared" si="37"/>
        <v>10000000</v>
      </c>
      <c r="EU24" s="465"/>
      <c r="EV24" s="465">
        <v>10000000</v>
      </c>
      <c r="EW24" s="465">
        <v>0</v>
      </c>
      <c r="EX24" s="465">
        <f t="shared" si="38"/>
        <v>10000000</v>
      </c>
      <c r="EY24" s="465"/>
      <c r="EZ24" s="465">
        <v>25000000</v>
      </c>
      <c r="FA24" s="465">
        <v>0</v>
      </c>
      <c r="FB24" s="465">
        <f t="shared" si="39"/>
        <v>25000000</v>
      </c>
      <c r="FC24" s="465"/>
      <c r="FD24" s="465">
        <v>3000000</v>
      </c>
      <c r="FE24" s="465">
        <v>0</v>
      </c>
      <c r="FF24" s="465">
        <f t="shared" si="40"/>
        <v>3000000</v>
      </c>
      <c r="FG24" s="465"/>
      <c r="FH24" s="637">
        <v>65000000</v>
      </c>
      <c r="FI24" s="637">
        <v>0</v>
      </c>
      <c r="FJ24" s="637">
        <f t="shared" si="41"/>
        <v>65000000</v>
      </c>
      <c r="FK24" s="637"/>
      <c r="FL24" s="637">
        <v>8000000</v>
      </c>
      <c r="FM24" s="637">
        <v>0</v>
      </c>
      <c r="FN24" s="637">
        <f t="shared" si="42"/>
        <v>8000000</v>
      </c>
      <c r="FO24" s="637"/>
      <c r="FP24" s="637">
        <v>5000000</v>
      </c>
      <c r="FQ24" s="637">
        <v>0</v>
      </c>
      <c r="FR24" s="637">
        <f t="shared" si="43"/>
        <v>5000000</v>
      </c>
      <c r="FS24" s="637"/>
      <c r="FT24" s="637">
        <v>18000000</v>
      </c>
      <c r="FU24" s="637">
        <v>0</v>
      </c>
      <c r="FV24" s="637">
        <f t="shared" si="44"/>
        <v>18000000</v>
      </c>
      <c r="FW24" s="637"/>
      <c r="FX24" s="637">
        <v>3000000</v>
      </c>
      <c r="FY24" s="637">
        <v>0</v>
      </c>
      <c r="FZ24" s="637">
        <f t="shared" si="45"/>
        <v>3000000</v>
      </c>
      <c r="GA24" s="637"/>
      <c r="GB24" s="637">
        <v>90000000</v>
      </c>
      <c r="GC24" s="637">
        <v>0</v>
      </c>
      <c r="GD24" s="637">
        <f t="shared" si="46"/>
        <v>90000000</v>
      </c>
      <c r="GE24" s="637"/>
      <c r="GF24" s="637">
        <v>22000000</v>
      </c>
      <c r="GG24" s="637">
        <v>0</v>
      </c>
      <c r="GH24" s="637">
        <f t="shared" si="47"/>
        <v>22000000</v>
      </c>
      <c r="GI24" s="637"/>
      <c r="GJ24" s="637">
        <v>3000000</v>
      </c>
      <c r="GK24" s="637">
        <v>0</v>
      </c>
      <c r="GL24" s="637">
        <f t="shared" si="48"/>
        <v>3000000</v>
      </c>
      <c r="GM24" s="637"/>
      <c r="GN24" s="636">
        <v>12000000</v>
      </c>
      <c r="GO24" s="636">
        <v>0</v>
      </c>
      <c r="GP24" s="636">
        <f t="shared" si="0"/>
        <v>12000000</v>
      </c>
      <c r="GQ24" s="637"/>
      <c r="GR24" s="637">
        <v>3000000</v>
      </c>
      <c r="GS24" s="637">
        <v>0</v>
      </c>
      <c r="GT24" s="637">
        <f t="shared" si="49"/>
        <v>3000000</v>
      </c>
      <c r="GU24" s="637"/>
      <c r="GV24" s="587">
        <f t="shared" si="50"/>
        <v>1074500000</v>
      </c>
      <c r="GW24" s="587">
        <f t="shared" si="50"/>
        <v>216315360.09999999</v>
      </c>
      <c r="GX24" s="468">
        <f t="shared" si="51"/>
        <v>858184639.89999998</v>
      </c>
      <c r="GZ24" s="519"/>
      <c r="HA24" s="468">
        <f>D24+H24+L24+X24+AN24+BH24+CB24+CV24+DT24+EN24+FH24+GB24</f>
        <v>710000000</v>
      </c>
      <c r="HB24" s="468">
        <f>E24+I24+M24+Y24+AO24+BI24+CC24+CW24+DU24+EO24+FI24+GC24</f>
        <v>94488675</v>
      </c>
      <c r="HC24" s="471">
        <f t="shared" si="52"/>
        <v>615511325</v>
      </c>
      <c r="HE24" s="471">
        <f>P24+AB24+AR24+BL24+CF24+CZ24+DX24+ER24+FL24+GF24</f>
        <v>88000000</v>
      </c>
      <c r="HF24" s="471">
        <f>Q24+AC24+AS24+BM24+CG24+DA24+DY24+ES24+FM24+GG24</f>
        <v>0</v>
      </c>
      <c r="HG24" s="471">
        <f t="shared" si="53"/>
        <v>88000000</v>
      </c>
      <c r="HI24" s="471">
        <f>T24+AF24+AV24+BP24+CJ24+DD24+EB24+EV24+FP24+GJ24</f>
        <v>65000000</v>
      </c>
      <c r="HJ24" s="471">
        <f>U24+AG24+AW24+BQ24+CK24+DE24+EC24+EW24+FQ24+GK24</f>
        <v>0</v>
      </c>
      <c r="HK24" s="471">
        <f t="shared" si="54"/>
        <v>65000000</v>
      </c>
      <c r="HN24" s="471">
        <f>AJ24+AZ24+BT24+CN24+DH24+DP24+EF24+EZ24+FT24+GN24</f>
        <v>187500000</v>
      </c>
      <c r="HO24" s="471">
        <f>AK24+BA24+BU24+CO24+DI24+DQ24+EG24+FA24+FU24+GO24</f>
        <v>121826685.09999999</v>
      </c>
      <c r="HP24" s="471">
        <f t="shared" si="55"/>
        <v>65673314.900000006</v>
      </c>
      <c r="HR24" s="531"/>
      <c r="HT24" s="471">
        <f>BX24+CR24+DL24+EJ24+FD24+FX24+GR24</f>
        <v>24000000</v>
      </c>
      <c r="HU24" s="471">
        <f>BY24+CS24+DM24+EK24+FE24+FY24+GS24</f>
        <v>0</v>
      </c>
      <c r="HV24" s="471">
        <f t="shared" si="56"/>
        <v>24000000</v>
      </c>
      <c r="HX24" s="473">
        <f t="shared" si="57"/>
        <v>0</v>
      </c>
      <c r="HY24" s="474">
        <v>0</v>
      </c>
      <c r="ID24" s="473">
        <f>HU24+HO24+HJ24+HF24+HB24</f>
        <v>216315360.09999999</v>
      </c>
      <c r="IE24" s="473">
        <f>HV24+HP24+HK24+HG24+HC24</f>
        <v>858184639.89999998</v>
      </c>
      <c r="IF24" s="473"/>
    </row>
    <row r="25" spans="1:240" x14ac:dyDescent="0.25">
      <c r="A25" s="107">
        <v>22</v>
      </c>
      <c r="B25" s="107" t="s">
        <v>341</v>
      </c>
      <c r="C25" s="634" t="s">
        <v>74</v>
      </c>
      <c r="D25" s="488">
        <v>1000000</v>
      </c>
      <c r="E25" s="488">
        <v>1000000</v>
      </c>
      <c r="F25" s="475">
        <f t="shared" si="1"/>
        <v>0</v>
      </c>
      <c r="G25" s="488"/>
      <c r="H25" s="465">
        <v>15000000</v>
      </c>
      <c r="I25" s="465">
        <v>15000000</v>
      </c>
      <c r="J25" s="463">
        <f t="shared" si="2"/>
        <v>0</v>
      </c>
      <c r="K25" s="488"/>
      <c r="L25" s="465">
        <v>15000000</v>
      </c>
      <c r="M25" s="465">
        <v>15000000</v>
      </c>
      <c r="N25" s="543">
        <f t="shared" si="3"/>
        <v>0</v>
      </c>
      <c r="O25" s="488"/>
      <c r="P25" s="465">
        <v>2500000</v>
      </c>
      <c r="Q25" s="465">
        <v>2500000</v>
      </c>
      <c r="R25" s="543">
        <f t="shared" si="4"/>
        <v>0</v>
      </c>
      <c r="S25" s="488"/>
      <c r="T25" s="465">
        <v>680017</v>
      </c>
      <c r="U25" s="465">
        <v>680017</v>
      </c>
      <c r="V25" s="543">
        <f t="shared" si="5"/>
        <v>0</v>
      </c>
      <c r="W25" s="488"/>
      <c r="X25" s="465">
        <v>6678325</v>
      </c>
      <c r="Y25" s="521">
        <v>6678325</v>
      </c>
      <c r="Z25" s="543">
        <f t="shared" si="6"/>
        <v>0</v>
      </c>
      <c r="AA25" s="488"/>
      <c r="AB25" s="465">
        <v>1507998</v>
      </c>
      <c r="AC25" s="465">
        <v>1507998</v>
      </c>
      <c r="AD25" s="543">
        <f t="shared" si="7"/>
        <v>0</v>
      </c>
      <c r="AE25" s="488"/>
      <c r="AF25" s="543">
        <v>0</v>
      </c>
      <c r="AG25" s="465">
        <v>0</v>
      </c>
      <c r="AH25" s="543">
        <f t="shared" si="8"/>
        <v>0</v>
      </c>
      <c r="AI25" s="488"/>
      <c r="AJ25" s="465">
        <v>6716606</v>
      </c>
      <c r="AK25" s="465">
        <v>6716606</v>
      </c>
      <c r="AL25" s="543">
        <f t="shared" si="9"/>
        <v>0</v>
      </c>
      <c r="AM25" s="283"/>
      <c r="AN25" s="465">
        <v>30000000</v>
      </c>
      <c r="AO25" s="465">
        <v>30000000</v>
      </c>
      <c r="AP25" s="543">
        <f t="shared" si="10"/>
        <v>0</v>
      </c>
      <c r="AQ25" s="488"/>
      <c r="AR25" s="465">
        <v>3000000</v>
      </c>
      <c r="AS25" s="465">
        <v>1990596</v>
      </c>
      <c r="AT25" s="543">
        <f t="shared" si="11"/>
        <v>1009404</v>
      </c>
      <c r="AU25" s="488"/>
      <c r="AV25" s="465">
        <v>2000000</v>
      </c>
      <c r="AW25" s="465">
        <v>0</v>
      </c>
      <c r="AX25" s="543">
        <f t="shared" si="12"/>
        <v>2000000</v>
      </c>
      <c r="AY25" s="488"/>
      <c r="AZ25" s="465">
        <v>10000000</v>
      </c>
      <c r="BA25" s="465">
        <v>10000000</v>
      </c>
      <c r="BB25" s="543">
        <f t="shared" si="13"/>
        <v>0</v>
      </c>
      <c r="BC25" s="488"/>
      <c r="BD25" s="465">
        <v>0</v>
      </c>
      <c r="BE25" s="465">
        <v>0</v>
      </c>
      <c r="BF25" s="543">
        <f t="shared" si="14"/>
        <v>0</v>
      </c>
      <c r="BG25" s="488"/>
      <c r="BH25" s="465">
        <v>55000000</v>
      </c>
      <c r="BI25" s="465">
        <v>55000000</v>
      </c>
      <c r="BJ25" s="543">
        <f t="shared" si="15"/>
        <v>0</v>
      </c>
      <c r="BK25" s="488"/>
      <c r="BL25" s="465">
        <v>5000000</v>
      </c>
      <c r="BM25" s="465">
        <v>0</v>
      </c>
      <c r="BN25" s="543">
        <f t="shared" si="16"/>
        <v>5000000</v>
      </c>
      <c r="BO25" s="488"/>
      <c r="BP25" s="465">
        <v>5000000</v>
      </c>
      <c r="BQ25" s="465">
        <v>0</v>
      </c>
      <c r="BR25" s="543">
        <f t="shared" si="17"/>
        <v>5000000</v>
      </c>
      <c r="BS25" s="488"/>
      <c r="BT25" s="465">
        <v>15000000</v>
      </c>
      <c r="BU25" s="465">
        <v>15000000</v>
      </c>
      <c r="BV25" s="543">
        <f t="shared" si="18"/>
        <v>0</v>
      </c>
      <c r="BW25" s="471"/>
      <c r="BX25" s="465">
        <v>1000000</v>
      </c>
      <c r="BY25" s="465">
        <v>0</v>
      </c>
      <c r="BZ25" s="543">
        <f t="shared" si="19"/>
        <v>1000000</v>
      </c>
      <c r="CA25" s="488"/>
      <c r="CB25" s="468">
        <v>80000000</v>
      </c>
      <c r="CC25" s="465">
        <f>2096025+55137250+22766725</f>
        <v>80000000</v>
      </c>
      <c r="CD25" s="543">
        <f t="shared" si="20"/>
        <v>0</v>
      </c>
      <c r="CE25" s="465"/>
      <c r="CF25" s="468">
        <v>10000000</v>
      </c>
      <c r="CG25" s="468">
        <v>0</v>
      </c>
      <c r="CH25" s="543">
        <f t="shared" si="21"/>
        <v>10000000</v>
      </c>
      <c r="CI25" s="488"/>
      <c r="CJ25" s="468">
        <v>10000000</v>
      </c>
      <c r="CK25" s="468">
        <v>0</v>
      </c>
      <c r="CL25" s="543">
        <f t="shared" si="22"/>
        <v>10000000</v>
      </c>
      <c r="CM25" s="488"/>
      <c r="CN25" s="468">
        <v>30000000</v>
      </c>
      <c r="CO25" s="468">
        <f>18214820.5+1300400+10484779.5</f>
        <v>30000000</v>
      </c>
      <c r="CP25" s="543">
        <f t="shared" si="23"/>
        <v>0</v>
      </c>
      <c r="CQ25" s="488"/>
      <c r="CR25" s="465">
        <v>5000000</v>
      </c>
      <c r="CS25" s="468">
        <v>0</v>
      </c>
      <c r="CT25" s="465">
        <f t="shared" si="24"/>
        <v>5000000</v>
      </c>
      <c r="CU25" s="488"/>
      <c r="CV25" s="525">
        <v>80000000</v>
      </c>
      <c r="CW25" s="465">
        <f>48604836.4+4800000</f>
        <v>53404836.399999999</v>
      </c>
      <c r="CX25" s="543">
        <f t="shared" si="25"/>
        <v>26595163.600000001</v>
      </c>
      <c r="CY25" s="471"/>
      <c r="CZ25" s="468">
        <v>20000000</v>
      </c>
      <c r="DA25" s="468">
        <v>0</v>
      </c>
      <c r="DB25" s="543">
        <f t="shared" si="26"/>
        <v>20000000</v>
      </c>
      <c r="DC25" s="471"/>
      <c r="DD25" s="468">
        <v>20000000</v>
      </c>
      <c r="DE25" s="468">
        <v>0</v>
      </c>
      <c r="DF25" s="543">
        <f t="shared" si="27"/>
        <v>20000000</v>
      </c>
      <c r="DG25" s="488"/>
      <c r="DH25" s="468">
        <v>50000000</v>
      </c>
      <c r="DI25" s="489">
        <f>223220.5+1546575</f>
        <v>1769795.5</v>
      </c>
      <c r="DJ25" s="543">
        <f t="shared" si="28"/>
        <v>48230204.5</v>
      </c>
      <c r="DK25" s="488"/>
      <c r="DL25" s="465">
        <v>6000000</v>
      </c>
      <c r="DM25" s="468">
        <v>0</v>
      </c>
      <c r="DN25" s="465">
        <f t="shared" si="29"/>
        <v>6000000</v>
      </c>
      <c r="DO25" s="488"/>
      <c r="DP25" s="471">
        <v>0</v>
      </c>
      <c r="DQ25" s="471">
        <v>0</v>
      </c>
      <c r="DR25" s="471">
        <f t="shared" si="30"/>
        <v>0</v>
      </c>
      <c r="DT25" s="471">
        <v>60000000</v>
      </c>
      <c r="DU25" s="471">
        <f>14700000+24754000+20546000</f>
        <v>60000000</v>
      </c>
      <c r="DV25" s="471">
        <f t="shared" si="31"/>
        <v>0</v>
      </c>
      <c r="DX25" s="471">
        <v>10000000</v>
      </c>
      <c r="DY25" s="471">
        <v>0</v>
      </c>
      <c r="DZ25" s="471">
        <f t="shared" si="32"/>
        <v>10000000</v>
      </c>
      <c r="EB25" s="471">
        <v>10000000</v>
      </c>
      <c r="EC25" s="471">
        <v>0</v>
      </c>
      <c r="ED25" s="471">
        <f t="shared" si="33"/>
        <v>10000000</v>
      </c>
      <c r="EF25" s="471">
        <v>20000000</v>
      </c>
      <c r="EG25" s="471">
        <v>0</v>
      </c>
      <c r="EH25" s="471">
        <f t="shared" si="34"/>
        <v>20000000</v>
      </c>
      <c r="EJ25" s="471">
        <v>3000000</v>
      </c>
      <c r="EK25" s="471">
        <v>0</v>
      </c>
      <c r="EL25" s="471">
        <f t="shared" si="35"/>
        <v>3000000</v>
      </c>
      <c r="EM25" s="634"/>
      <c r="EN25" s="465">
        <v>200000000</v>
      </c>
      <c r="EO25" s="465">
        <f>26066796.1+150137647.13+23795556.77</f>
        <v>200000000</v>
      </c>
      <c r="EP25" s="465">
        <f t="shared" si="36"/>
        <v>0</v>
      </c>
      <c r="EQ25" s="465"/>
      <c r="ER25" s="465">
        <v>10000000</v>
      </c>
      <c r="ES25" s="465">
        <v>0</v>
      </c>
      <c r="ET25" s="465">
        <f t="shared" si="37"/>
        <v>10000000</v>
      </c>
      <c r="EU25" s="465"/>
      <c r="EV25" s="465">
        <v>10000000</v>
      </c>
      <c r="EW25" s="465">
        <v>0</v>
      </c>
      <c r="EX25" s="465">
        <f t="shared" si="38"/>
        <v>10000000</v>
      </c>
      <c r="EY25" s="465"/>
      <c r="EZ25" s="465">
        <v>25000000</v>
      </c>
      <c r="FA25" s="465">
        <v>0</v>
      </c>
      <c r="FB25" s="465">
        <f t="shared" si="39"/>
        <v>25000000</v>
      </c>
      <c r="FC25" s="465"/>
      <c r="FD25" s="465">
        <v>3000000</v>
      </c>
      <c r="FE25" s="465">
        <v>0</v>
      </c>
      <c r="FF25" s="465">
        <f t="shared" si="40"/>
        <v>3000000</v>
      </c>
      <c r="FG25" s="465"/>
      <c r="FH25" s="637">
        <v>65000000</v>
      </c>
      <c r="FI25" s="637">
        <v>41403877.280000001</v>
      </c>
      <c r="FJ25" s="637">
        <f t="shared" si="41"/>
        <v>23596122.719999999</v>
      </c>
      <c r="FK25" s="637"/>
      <c r="FL25" s="637">
        <v>8000000</v>
      </c>
      <c r="FM25" s="637">
        <v>0</v>
      </c>
      <c r="FN25" s="637">
        <f t="shared" si="42"/>
        <v>8000000</v>
      </c>
      <c r="FO25" s="637"/>
      <c r="FP25" s="637">
        <v>5000000</v>
      </c>
      <c r="FQ25" s="637">
        <v>0</v>
      </c>
      <c r="FR25" s="637">
        <f t="shared" si="43"/>
        <v>5000000</v>
      </c>
      <c r="FS25" s="637"/>
      <c r="FT25" s="637">
        <v>18000000</v>
      </c>
      <c r="FU25" s="637">
        <v>0</v>
      </c>
      <c r="FV25" s="637">
        <f t="shared" si="44"/>
        <v>18000000</v>
      </c>
      <c r="FW25" s="637"/>
      <c r="FX25" s="637">
        <v>3000000</v>
      </c>
      <c r="FY25" s="637">
        <v>0</v>
      </c>
      <c r="FZ25" s="637">
        <f t="shared" si="45"/>
        <v>3000000</v>
      </c>
      <c r="GA25" s="637"/>
      <c r="GB25" s="637">
        <v>90000000</v>
      </c>
      <c r="GC25" s="637">
        <v>0</v>
      </c>
      <c r="GD25" s="637">
        <f t="shared" si="46"/>
        <v>90000000</v>
      </c>
      <c r="GE25" s="637"/>
      <c r="GF25" s="637">
        <v>22000000</v>
      </c>
      <c r="GG25" s="637">
        <v>0</v>
      </c>
      <c r="GH25" s="637">
        <f t="shared" si="47"/>
        <v>22000000</v>
      </c>
      <c r="GI25" s="637"/>
      <c r="GJ25" s="637">
        <v>3000000</v>
      </c>
      <c r="GK25" s="637">
        <v>0</v>
      </c>
      <c r="GL25" s="637">
        <f t="shared" si="48"/>
        <v>3000000</v>
      </c>
      <c r="GM25" s="637"/>
      <c r="GN25" s="636">
        <v>12000000</v>
      </c>
      <c r="GO25" s="636">
        <v>0</v>
      </c>
      <c r="GP25" s="636">
        <f t="shared" si="0"/>
        <v>12000000</v>
      </c>
      <c r="GQ25" s="637"/>
      <c r="GR25" s="637">
        <v>3000000</v>
      </c>
      <c r="GS25" s="637">
        <v>0</v>
      </c>
      <c r="GT25" s="637">
        <f t="shared" si="49"/>
        <v>3000000</v>
      </c>
      <c r="GU25" s="637"/>
      <c r="GV25" s="587">
        <f t="shared" si="50"/>
        <v>1066082946</v>
      </c>
      <c r="GW25" s="587">
        <f t="shared" si="50"/>
        <v>627652051.17999995</v>
      </c>
      <c r="GX25" s="468">
        <f t="shared" si="51"/>
        <v>438430894.82000005</v>
      </c>
      <c r="GZ25" s="519"/>
      <c r="HA25" s="468">
        <f>D25+H25+L25+X25+AN25+BH25+CB25+CV25+DT25+EN25+FH25+GB25</f>
        <v>697678325</v>
      </c>
      <c r="HB25" s="468">
        <f>E25+I25+M25+Y25+AO25+BI25+CC25+CW25+DU25+EO25+FI25+GC25</f>
        <v>557487038.67999995</v>
      </c>
      <c r="HC25" s="471">
        <f t="shared" si="52"/>
        <v>140191286.32000005</v>
      </c>
      <c r="HE25" s="471">
        <f>P25+AB25+AR25+BL25+CF25+CZ25+DX25+ER25+FL25+GF25</f>
        <v>92007998</v>
      </c>
      <c r="HF25" s="471">
        <f>Q25+AC25+AS25+BM25+CG25+DA25+DY25+ES25+FM25+GG25</f>
        <v>5998594</v>
      </c>
      <c r="HG25" s="471">
        <f t="shared" si="53"/>
        <v>86009404</v>
      </c>
      <c r="HI25" s="471">
        <f>T25+AF25+AV25+BP25+CJ25+DD25+EB25+EV25+FP25+GJ25</f>
        <v>65680017</v>
      </c>
      <c r="HJ25" s="471">
        <f>U25+AG25+AW25+BQ25+CK25+DE25+EC25+EW25+FQ25+GK25</f>
        <v>680017</v>
      </c>
      <c r="HK25" s="471">
        <f t="shared" si="54"/>
        <v>65000000</v>
      </c>
      <c r="HN25" s="471">
        <f>AJ25+AZ25+BT25+CN25+DH25+DP25+EF25+EZ25+FT25+GN25</f>
        <v>186716606</v>
      </c>
      <c r="HO25" s="471">
        <f>AK25+BA25+BU25+CO25+DI25+DQ25+EG25+FA25+FU25+GO25</f>
        <v>63486401.5</v>
      </c>
      <c r="HP25" s="471">
        <f t="shared" si="55"/>
        <v>123230204.5</v>
      </c>
      <c r="HR25" s="531"/>
      <c r="HT25" s="471">
        <f>BX25+CR25+DL25+EJ25+FD25+FX25+GR25</f>
        <v>24000000</v>
      </c>
      <c r="HU25" s="471">
        <f>BY25+CS25+DM25+EK25+FE25+FY25+GS25</f>
        <v>0</v>
      </c>
      <c r="HV25" s="471">
        <f t="shared" si="56"/>
        <v>24000000</v>
      </c>
      <c r="HX25" s="473">
        <f t="shared" si="57"/>
        <v>0</v>
      </c>
      <c r="HY25" s="474">
        <v>0</v>
      </c>
      <c r="ID25" s="473">
        <f>HU25+HO25+HJ25+HF25+HB25</f>
        <v>627652051.17999995</v>
      </c>
      <c r="IE25" s="473">
        <f>HV25+HP25+HK25+HG25+HC25</f>
        <v>438430894.82000005</v>
      </c>
      <c r="IF25" s="473"/>
    </row>
    <row r="26" spans="1:240" x14ac:dyDescent="0.25">
      <c r="A26" s="107">
        <v>23</v>
      </c>
      <c r="B26" s="107" t="s">
        <v>566</v>
      </c>
      <c r="C26" s="634" t="s">
        <v>65</v>
      </c>
      <c r="D26" s="488">
        <v>1000000</v>
      </c>
      <c r="E26" s="488">
        <v>1000000</v>
      </c>
      <c r="F26" s="475">
        <f t="shared" si="1"/>
        <v>0</v>
      </c>
      <c r="G26" s="488"/>
      <c r="H26" s="465">
        <v>15000000</v>
      </c>
      <c r="I26" s="465">
        <v>15000000</v>
      </c>
      <c r="J26" s="463">
        <f t="shared" si="2"/>
        <v>0</v>
      </c>
      <c r="K26" s="488"/>
      <c r="L26" s="465">
        <v>15000000</v>
      </c>
      <c r="M26" s="465">
        <v>15000000</v>
      </c>
      <c r="N26" s="543">
        <f t="shared" si="3"/>
        <v>0</v>
      </c>
      <c r="O26" s="488"/>
      <c r="P26" s="465">
        <v>0</v>
      </c>
      <c r="Q26" s="465">
        <v>0</v>
      </c>
      <c r="R26" s="543">
        <f t="shared" si="4"/>
        <v>0</v>
      </c>
      <c r="S26" s="488"/>
      <c r="T26" s="465">
        <v>0</v>
      </c>
      <c r="U26" s="465">
        <v>0</v>
      </c>
      <c r="V26" s="543">
        <f t="shared" si="5"/>
        <v>0</v>
      </c>
      <c r="W26" s="488"/>
      <c r="X26" s="465">
        <v>20000000</v>
      </c>
      <c r="Y26" s="465">
        <v>20000000</v>
      </c>
      <c r="Z26" s="543">
        <f t="shared" si="6"/>
        <v>0</v>
      </c>
      <c r="AA26" s="488"/>
      <c r="AB26" s="465">
        <v>0</v>
      </c>
      <c r="AC26" s="465">
        <v>0</v>
      </c>
      <c r="AD26" s="543">
        <f t="shared" si="7"/>
        <v>0</v>
      </c>
      <c r="AE26" s="488"/>
      <c r="AF26" s="465">
        <v>2000000</v>
      </c>
      <c r="AG26" s="465">
        <v>2000000</v>
      </c>
      <c r="AH26" s="543">
        <f t="shared" si="8"/>
        <v>0</v>
      </c>
      <c r="AI26" s="488"/>
      <c r="AJ26" s="465">
        <v>7500000</v>
      </c>
      <c r="AK26" s="465">
        <v>7500000</v>
      </c>
      <c r="AL26" s="543">
        <f t="shared" si="9"/>
        <v>0</v>
      </c>
      <c r="AM26" s="465"/>
      <c r="AN26" s="465">
        <v>30000000</v>
      </c>
      <c r="AO26" s="465">
        <v>30000000</v>
      </c>
      <c r="AP26" s="543">
        <f t="shared" si="10"/>
        <v>0</v>
      </c>
      <c r="AQ26" s="488"/>
      <c r="AR26" s="465">
        <v>3000000</v>
      </c>
      <c r="AS26" s="465">
        <f>1687500+1312500</f>
        <v>3000000</v>
      </c>
      <c r="AT26" s="543">
        <f t="shared" si="11"/>
        <v>0</v>
      </c>
      <c r="AU26" s="488"/>
      <c r="AV26" s="465">
        <v>2000000</v>
      </c>
      <c r="AW26" s="465">
        <v>0</v>
      </c>
      <c r="AX26" s="543">
        <f t="shared" si="12"/>
        <v>2000000</v>
      </c>
      <c r="AY26" s="488"/>
      <c r="AZ26" s="465">
        <v>10000000</v>
      </c>
      <c r="BA26" s="465">
        <v>10000000</v>
      </c>
      <c r="BB26" s="543">
        <f t="shared" si="13"/>
        <v>0</v>
      </c>
      <c r="BC26" s="488"/>
      <c r="BD26" s="465">
        <v>0</v>
      </c>
      <c r="BE26" s="465">
        <v>0</v>
      </c>
      <c r="BF26" s="543">
        <f t="shared" si="14"/>
        <v>0</v>
      </c>
      <c r="BG26" s="488"/>
      <c r="BH26" s="465">
        <v>55000000</v>
      </c>
      <c r="BI26" s="521">
        <v>55000000</v>
      </c>
      <c r="BJ26" s="543">
        <f t="shared" si="15"/>
        <v>0</v>
      </c>
      <c r="BK26" s="488"/>
      <c r="BL26" s="465">
        <v>5000000</v>
      </c>
      <c r="BM26" s="465">
        <v>5000000</v>
      </c>
      <c r="BN26" s="543">
        <f t="shared" si="16"/>
        <v>0</v>
      </c>
      <c r="BO26" s="488"/>
      <c r="BP26" s="465">
        <v>5000000</v>
      </c>
      <c r="BQ26" s="465">
        <v>0</v>
      </c>
      <c r="BR26" s="543">
        <f t="shared" si="17"/>
        <v>5000000</v>
      </c>
      <c r="BS26" s="488"/>
      <c r="BT26" s="465">
        <v>15000000</v>
      </c>
      <c r="BU26" s="465">
        <v>15000000</v>
      </c>
      <c r="BV26" s="543">
        <f t="shared" si="18"/>
        <v>0</v>
      </c>
      <c r="BW26" s="488"/>
      <c r="BX26" s="465">
        <v>1000000</v>
      </c>
      <c r="BY26" s="465">
        <v>1000000</v>
      </c>
      <c r="BZ26" s="543">
        <f t="shared" si="19"/>
        <v>0</v>
      </c>
      <c r="CA26" s="488"/>
      <c r="CB26" s="468">
        <v>80000000</v>
      </c>
      <c r="CC26" s="485">
        <f>31913947.3+10800000</f>
        <v>42713947.299999997</v>
      </c>
      <c r="CD26" s="543">
        <f t="shared" si="20"/>
        <v>37286052.700000003</v>
      </c>
      <c r="CE26" s="488"/>
      <c r="CF26" s="468">
        <v>10000000</v>
      </c>
      <c r="CG26" s="468">
        <v>10000000</v>
      </c>
      <c r="CH26" s="543">
        <f t="shared" si="21"/>
        <v>0</v>
      </c>
      <c r="CI26" s="488"/>
      <c r="CJ26" s="468">
        <v>10000000</v>
      </c>
      <c r="CK26" s="468">
        <v>0</v>
      </c>
      <c r="CL26" s="543">
        <f t="shared" si="22"/>
        <v>10000000</v>
      </c>
      <c r="CM26" s="488"/>
      <c r="CN26" s="468">
        <v>30000000</v>
      </c>
      <c r="CO26" s="468">
        <v>30000000</v>
      </c>
      <c r="CP26" s="543">
        <f t="shared" si="23"/>
        <v>0</v>
      </c>
      <c r="CQ26" s="488"/>
      <c r="CR26" s="465">
        <v>5000000</v>
      </c>
      <c r="CS26" s="468">
        <f>318350+983875+232650</f>
        <v>1534875</v>
      </c>
      <c r="CT26" s="465">
        <f t="shared" si="24"/>
        <v>3465125</v>
      </c>
      <c r="CU26" s="488"/>
      <c r="CV26" s="525">
        <v>80000000</v>
      </c>
      <c r="CW26" s="465">
        <f>17038204.1+6000000+11700000+5700000+26100000</f>
        <v>66538204.100000001</v>
      </c>
      <c r="CX26" s="543">
        <f t="shared" si="25"/>
        <v>13461795.899999999</v>
      </c>
      <c r="CY26" s="471"/>
      <c r="CZ26" s="468">
        <v>20000000</v>
      </c>
      <c r="DA26" s="468">
        <f>4794577.5+11051160</f>
        <v>15845737.5</v>
      </c>
      <c r="DB26" s="543">
        <f t="shared" si="26"/>
        <v>4154262.5</v>
      </c>
      <c r="DC26" s="471"/>
      <c r="DD26" s="468">
        <v>20000000</v>
      </c>
      <c r="DE26" s="468">
        <v>0</v>
      </c>
      <c r="DF26" s="543">
        <f t="shared" si="27"/>
        <v>20000000</v>
      </c>
      <c r="DG26" s="488"/>
      <c r="DH26" s="468">
        <v>50000000</v>
      </c>
      <c r="DI26" s="468">
        <f>43387813+233000+1574930+2542140+2262117</f>
        <v>50000000</v>
      </c>
      <c r="DJ26" s="543">
        <f t="shared" si="28"/>
        <v>0</v>
      </c>
      <c r="DK26" s="488"/>
      <c r="DL26" s="465">
        <v>6000000</v>
      </c>
      <c r="DM26" s="468">
        <v>0</v>
      </c>
      <c r="DN26" s="465">
        <f t="shared" si="29"/>
        <v>6000000</v>
      </c>
      <c r="DO26" s="488"/>
      <c r="DP26" s="471">
        <v>0</v>
      </c>
      <c r="DQ26" s="471">
        <v>0</v>
      </c>
      <c r="DR26" s="471">
        <f t="shared" si="30"/>
        <v>0</v>
      </c>
      <c r="DT26" s="471">
        <v>60000000</v>
      </c>
      <c r="DU26" s="471">
        <v>0</v>
      </c>
      <c r="DV26" s="471">
        <f t="shared" si="31"/>
        <v>60000000</v>
      </c>
      <c r="DX26" s="471">
        <v>10000000</v>
      </c>
      <c r="DY26" s="471">
        <v>0</v>
      </c>
      <c r="DZ26" s="471">
        <f t="shared" si="32"/>
        <v>10000000</v>
      </c>
      <c r="EB26" s="471">
        <v>10000000</v>
      </c>
      <c r="EC26" s="471">
        <v>0</v>
      </c>
      <c r="ED26" s="471">
        <f t="shared" si="33"/>
        <v>10000000</v>
      </c>
      <c r="EF26" s="471">
        <v>20000000</v>
      </c>
      <c r="EG26" s="551">
        <f>2851520+1776890+2266200+4596827+6613969.2+1894593.8</f>
        <v>20000000</v>
      </c>
      <c r="EH26" s="471">
        <f t="shared" si="34"/>
        <v>0</v>
      </c>
      <c r="EJ26" s="471">
        <v>3000000</v>
      </c>
      <c r="EK26" s="471">
        <v>0</v>
      </c>
      <c r="EL26" s="471">
        <f t="shared" si="35"/>
        <v>3000000</v>
      </c>
      <c r="EM26" s="634"/>
      <c r="EN26" s="465">
        <v>200000000</v>
      </c>
      <c r="EO26" s="465">
        <v>0</v>
      </c>
      <c r="EP26" s="465">
        <f t="shared" si="36"/>
        <v>200000000</v>
      </c>
      <c r="EQ26" s="465"/>
      <c r="ER26" s="465">
        <v>10000000</v>
      </c>
      <c r="ES26" s="465">
        <v>0</v>
      </c>
      <c r="ET26" s="465">
        <f t="shared" si="37"/>
        <v>10000000</v>
      </c>
      <c r="EU26" s="465"/>
      <c r="EV26" s="465">
        <v>10000000</v>
      </c>
      <c r="EW26" s="465">
        <v>0</v>
      </c>
      <c r="EX26" s="465">
        <f t="shared" si="38"/>
        <v>10000000</v>
      </c>
      <c r="EY26" s="465"/>
      <c r="EZ26" s="465">
        <v>25000000</v>
      </c>
      <c r="FA26" s="485">
        <f>12780574.2+12219425.8</f>
        <v>25000000</v>
      </c>
      <c r="FB26" s="465">
        <f t="shared" si="39"/>
        <v>0</v>
      </c>
      <c r="FC26" s="465"/>
      <c r="FD26" s="465">
        <v>3000000</v>
      </c>
      <c r="FE26" s="465">
        <v>0</v>
      </c>
      <c r="FF26" s="465">
        <f t="shared" si="40"/>
        <v>3000000</v>
      </c>
      <c r="FG26" s="465"/>
      <c r="FH26" s="637">
        <v>65000000</v>
      </c>
      <c r="FI26" s="637">
        <v>0</v>
      </c>
      <c r="FJ26" s="637">
        <f t="shared" si="41"/>
        <v>65000000</v>
      </c>
      <c r="FK26" s="637"/>
      <c r="FL26" s="637">
        <v>8000000</v>
      </c>
      <c r="FM26" s="637">
        <v>0</v>
      </c>
      <c r="FN26" s="637">
        <f t="shared" si="42"/>
        <v>8000000</v>
      </c>
      <c r="FO26" s="637"/>
      <c r="FP26" s="637">
        <v>5000000</v>
      </c>
      <c r="FQ26" s="637">
        <v>0</v>
      </c>
      <c r="FR26" s="637">
        <f t="shared" si="43"/>
        <v>5000000</v>
      </c>
      <c r="FS26" s="637"/>
      <c r="FT26" s="637">
        <v>18000000</v>
      </c>
      <c r="FU26" s="638">
        <f>1454819.2+10897470</f>
        <v>12352289.199999999</v>
      </c>
      <c r="FV26" s="637">
        <f t="shared" si="44"/>
        <v>5647710.8000000007</v>
      </c>
      <c r="FW26" s="637"/>
      <c r="FX26" s="637">
        <v>3000000</v>
      </c>
      <c r="FY26" s="637">
        <v>0</v>
      </c>
      <c r="FZ26" s="637">
        <f t="shared" si="45"/>
        <v>3000000</v>
      </c>
      <c r="GA26" s="637"/>
      <c r="GB26" s="637">
        <v>90000000</v>
      </c>
      <c r="GC26" s="637">
        <v>0</v>
      </c>
      <c r="GD26" s="637">
        <f t="shared" si="46"/>
        <v>90000000</v>
      </c>
      <c r="GE26" s="637"/>
      <c r="GF26" s="637">
        <v>22000000</v>
      </c>
      <c r="GG26" s="637">
        <v>0</v>
      </c>
      <c r="GH26" s="637">
        <f t="shared" si="47"/>
        <v>22000000</v>
      </c>
      <c r="GI26" s="637"/>
      <c r="GJ26" s="637">
        <v>3000000</v>
      </c>
      <c r="GK26" s="637">
        <v>0</v>
      </c>
      <c r="GL26" s="637">
        <f t="shared" si="48"/>
        <v>3000000</v>
      </c>
      <c r="GM26" s="637"/>
      <c r="GN26" s="636">
        <v>12000000</v>
      </c>
      <c r="GO26" s="636">
        <v>0</v>
      </c>
      <c r="GP26" s="636">
        <f t="shared" si="0"/>
        <v>12000000</v>
      </c>
      <c r="GQ26" s="637"/>
      <c r="GR26" s="637">
        <v>3000000</v>
      </c>
      <c r="GS26" s="637">
        <v>0</v>
      </c>
      <c r="GT26" s="637">
        <f t="shared" si="49"/>
        <v>3000000</v>
      </c>
      <c r="GU26" s="637"/>
      <c r="GV26" s="587">
        <f t="shared" si="50"/>
        <v>1077500000</v>
      </c>
      <c r="GW26" s="587">
        <f t="shared" si="50"/>
        <v>453485053.10000002</v>
      </c>
      <c r="GX26" s="468">
        <f t="shared" si="51"/>
        <v>624014946.89999998</v>
      </c>
      <c r="GZ26" s="519"/>
      <c r="HA26" s="468">
        <f>D26+H26+L26+X26+AN26+BH26+CB26+CV26+DT26+EN26+FH26+GB26</f>
        <v>711000000</v>
      </c>
      <c r="HB26" s="468">
        <f>E26+I26+M26+Y26+AO26+BI26+CC26+CW26+DU26+EO26+FI26+GC26</f>
        <v>245252151.40000001</v>
      </c>
      <c r="HC26" s="471">
        <f t="shared" si="52"/>
        <v>465747848.60000002</v>
      </c>
      <c r="HE26" s="471">
        <f>P26+AB26+AR26+BL26+CF26+CZ26+DX26+ER26+FL26+GF26</f>
        <v>88000000</v>
      </c>
      <c r="HF26" s="471">
        <f>Q26+AC26+AS26+BM26+CG26+DA26+DY26+ES26+FM26+GG26</f>
        <v>33845737.5</v>
      </c>
      <c r="HG26" s="471">
        <f t="shared" si="53"/>
        <v>54154262.5</v>
      </c>
      <c r="HI26" s="471">
        <f>T26+AF26+AV26+BP26+CJ26+DD26+EB26+EV26+FP26+GJ26</f>
        <v>67000000</v>
      </c>
      <c r="HJ26" s="471">
        <f>U26+AG26+AW26+BQ26+CK26+DE26+EC26+EW26+FQ26+GK26</f>
        <v>2000000</v>
      </c>
      <c r="HK26" s="471">
        <f t="shared" si="54"/>
        <v>65000000</v>
      </c>
      <c r="HN26" s="471">
        <f>AJ26+AZ26+BT26+CN26+DH26+DP26+EF26+EZ26+FT26+GN26</f>
        <v>187500000</v>
      </c>
      <c r="HO26" s="471">
        <f>AK26+BA26+BU26+CO26+DI26+DQ26+EG26+FA26+FU26+GO26</f>
        <v>169852289.19999999</v>
      </c>
      <c r="HP26" s="471">
        <f t="shared" si="55"/>
        <v>17647710.800000012</v>
      </c>
      <c r="HR26" s="531"/>
      <c r="HT26" s="471">
        <f>BX26+CR26+DL26+EJ26+FD26+FX26+GR26</f>
        <v>24000000</v>
      </c>
      <c r="HU26" s="471">
        <f>BY26+CS26+DM26+EK26+FE26+FY26+GS26</f>
        <v>2534875</v>
      </c>
      <c r="HV26" s="471">
        <f t="shared" si="56"/>
        <v>21465125</v>
      </c>
      <c r="HX26" s="473">
        <f t="shared" si="57"/>
        <v>0</v>
      </c>
      <c r="HY26" s="474">
        <v>2534875</v>
      </c>
      <c r="ID26" s="473">
        <f>HU26+HO26+HJ26+HF26+HB26</f>
        <v>453485053.10000002</v>
      </c>
      <c r="IE26" s="473">
        <f>HV26+HP26+HK26+HG26+HC26</f>
        <v>624014946.9000001</v>
      </c>
      <c r="IF26" s="473"/>
    </row>
    <row r="27" spans="1:240" x14ac:dyDescent="0.25">
      <c r="A27" s="107">
        <v>24</v>
      </c>
      <c r="B27" s="107" t="s">
        <v>343</v>
      </c>
      <c r="C27" s="634" t="s">
        <v>76</v>
      </c>
      <c r="D27" s="465">
        <v>0</v>
      </c>
      <c r="E27" s="465">
        <v>0</v>
      </c>
      <c r="F27" s="475">
        <f t="shared" si="1"/>
        <v>0</v>
      </c>
      <c r="G27" s="465"/>
      <c r="H27" s="465">
        <v>15000000</v>
      </c>
      <c r="I27" s="465">
        <v>15000000</v>
      </c>
      <c r="J27" s="463">
        <f t="shared" si="2"/>
        <v>0</v>
      </c>
      <c r="K27" s="465"/>
      <c r="L27" s="465">
        <v>15000000</v>
      </c>
      <c r="M27" s="465">
        <v>15000000</v>
      </c>
      <c r="N27" s="543">
        <f t="shared" si="3"/>
        <v>0</v>
      </c>
      <c r="O27" s="465"/>
      <c r="P27" s="465">
        <v>2500000</v>
      </c>
      <c r="Q27" s="465">
        <v>2500000</v>
      </c>
      <c r="R27" s="543">
        <f t="shared" si="4"/>
        <v>0</v>
      </c>
      <c r="S27" s="465"/>
      <c r="T27" s="465">
        <v>1000000</v>
      </c>
      <c r="U27" s="465">
        <v>1000000</v>
      </c>
      <c r="V27" s="543">
        <f t="shared" si="5"/>
        <v>0</v>
      </c>
      <c r="W27" s="465"/>
      <c r="X27" s="465">
        <v>20000000</v>
      </c>
      <c r="Y27" s="465">
        <v>20000000</v>
      </c>
      <c r="Z27" s="543">
        <f t="shared" si="6"/>
        <v>0</v>
      </c>
      <c r="AA27" s="465"/>
      <c r="AB27" s="465">
        <v>5000000</v>
      </c>
      <c r="AC27" s="465">
        <v>5000000</v>
      </c>
      <c r="AD27" s="543">
        <f t="shared" si="7"/>
        <v>0</v>
      </c>
      <c r="AE27" s="465"/>
      <c r="AF27" s="465">
        <v>1402950</v>
      </c>
      <c r="AG27" s="465">
        <v>1402950</v>
      </c>
      <c r="AH27" s="543">
        <f t="shared" si="8"/>
        <v>0</v>
      </c>
      <c r="AI27" s="465"/>
      <c r="AJ27" s="465">
        <v>7500000</v>
      </c>
      <c r="AK27" s="465">
        <v>7500000</v>
      </c>
      <c r="AL27" s="543">
        <f t="shared" si="9"/>
        <v>0</v>
      </c>
      <c r="AM27" s="465"/>
      <c r="AN27" s="465">
        <v>30000000</v>
      </c>
      <c r="AO27" s="465">
        <v>30000000</v>
      </c>
      <c r="AP27" s="543">
        <f t="shared" si="10"/>
        <v>0</v>
      </c>
      <c r="AQ27" s="465"/>
      <c r="AR27" s="465">
        <v>3000000</v>
      </c>
      <c r="AS27" s="465">
        <v>3000000</v>
      </c>
      <c r="AT27" s="543">
        <f t="shared" si="11"/>
        <v>0</v>
      </c>
      <c r="AU27" s="465"/>
      <c r="AV27" s="465">
        <v>2000000</v>
      </c>
      <c r="AW27" s="465">
        <v>0</v>
      </c>
      <c r="AX27" s="543">
        <f t="shared" si="12"/>
        <v>2000000</v>
      </c>
      <c r="AY27" s="465"/>
      <c r="AZ27" s="465">
        <v>10000000</v>
      </c>
      <c r="BA27" s="465">
        <v>10000000</v>
      </c>
      <c r="BB27" s="543">
        <f t="shared" si="13"/>
        <v>0</v>
      </c>
      <c r="BC27" s="465"/>
      <c r="BD27" s="465">
        <v>0</v>
      </c>
      <c r="BE27" s="465">
        <v>0</v>
      </c>
      <c r="BF27" s="543">
        <f t="shared" si="14"/>
        <v>0</v>
      </c>
      <c r="BG27" s="465"/>
      <c r="BH27" s="465">
        <v>55000000</v>
      </c>
      <c r="BI27" s="465">
        <v>22724010</v>
      </c>
      <c r="BJ27" s="543">
        <f t="shared" si="15"/>
        <v>32275990</v>
      </c>
      <c r="BK27" s="488"/>
      <c r="BL27" s="465">
        <v>5000000</v>
      </c>
      <c r="BM27" s="465">
        <v>5000000</v>
      </c>
      <c r="BN27" s="543">
        <f t="shared" si="16"/>
        <v>0</v>
      </c>
      <c r="BO27" s="590"/>
      <c r="BP27" s="465">
        <v>5000000</v>
      </c>
      <c r="BQ27" s="465">
        <f>4525697.5+376770</f>
        <v>4902467.5</v>
      </c>
      <c r="BR27" s="543">
        <f t="shared" si="17"/>
        <v>97532.5</v>
      </c>
      <c r="BS27" s="465"/>
      <c r="BT27" s="465">
        <v>15000000</v>
      </c>
      <c r="BU27" s="465">
        <v>15000000</v>
      </c>
      <c r="BV27" s="543">
        <f t="shared" si="18"/>
        <v>0</v>
      </c>
      <c r="BW27" s="465"/>
      <c r="BX27" s="465">
        <v>1000000</v>
      </c>
      <c r="BY27" s="465">
        <v>1000000</v>
      </c>
      <c r="BZ27" s="543">
        <f t="shared" si="19"/>
        <v>0</v>
      </c>
      <c r="CA27" s="465"/>
      <c r="CB27" s="468">
        <v>80000000</v>
      </c>
      <c r="CC27" s="485">
        <f>12400000+23700000+4500000+10800000</f>
        <v>51400000</v>
      </c>
      <c r="CD27" s="543">
        <f t="shared" si="20"/>
        <v>28600000</v>
      </c>
      <c r="CE27" s="465"/>
      <c r="CF27" s="468">
        <v>10000000</v>
      </c>
      <c r="CG27" s="468">
        <v>10000000</v>
      </c>
      <c r="CH27" s="543">
        <f t="shared" si="21"/>
        <v>0</v>
      </c>
      <c r="CI27" s="465"/>
      <c r="CJ27" s="468">
        <v>10000000</v>
      </c>
      <c r="CK27" s="468">
        <v>0</v>
      </c>
      <c r="CL27" s="543">
        <f t="shared" si="22"/>
        <v>10000000</v>
      </c>
      <c r="CM27" s="465"/>
      <c r="CN27" s="468">
        <v>30000000</v>
      </c>
      <c r="CO27" s="468">
        <v>30000000</v>
      </c>
      <c r="CP27" s="543">
        <f t="shared" si="23"/>
        <v>0</v>
      </c>
      <c r="CQ27" s="465"/>
      <c r="CR27" s="465">
        <v>5000000</v>
      </c>
      <c r="CS27" s="468">
        <f>3996700+1000000+3300</f>
        <v>5000000</v>
      </c>
      <c r="CT27" s="465">
        <f t="shared" si="24"/>
        <v>0</v>
      </c>
      <c r="CU27" s="465"/>
      <c r="CV27" s="525">
        <v>80000000</v>
      </c>
      <c r="CW27" s="465">
        <v>0</v>
      </c>
      <c r="CX27" s="543">
        <f t="shared" si="25"/>
        <v>80000000</v>
      </c>
      <c r="CY27" s="471"/>
      <c r="CZ27" s="468">
        <v>20000000</v>
      </c>
      <c r="DA27" s="468">
        <f>5157720+4076502</f>
        <v>9234222</v>
      </c>
      <c r="DB27" s="543">
        <f t="shared" si="26"/>
        <v>10765778</v>
      </c>
      <c r="DC27" s="471"/>
      <c r="DD27" s="468">
        <v>20000000</v>
      </c>
      <c r="DE27" s="468">
        <v>0</v>
      </c>
      <c r="DF27" s="543">
        <f t="shared" si="27"/>
        <v>20000000</v>
      </c>
      <c r="DG27" s="465"/>
      <c r="DH27" s="468">
        <v>50000000</v>
      </c>
      <c r="DI27" s="561">
        <f>34611170+6592620</f>
        <v>41203790</v>
      </c>
      <c r="DJ27" s="543">
        <f t="shared" si="28"/>
        <v>8796210</v>
      </c>
      <c r="DK27" s="488"/>
      <c r="DL27" s="465">
        <v>6000000</v>
      </c>
      <c r="DM27" s="468">
        <f>782550</f>
        <v>782550</v>
      </c>
      <c r="DN27" s="465">
        <f t="shared" si="29"/>
        <v>5217450</v>
      </c>
      <c r="DO27" s="465"/>
      <c r="DP27" s="471">
        <v>0</v>
      </c>
      <c r="DQ27" s="471">
        <v>0</v>
      </c>
      <c r="DR27" s="471">
        <f t="shared" si="30"/>
        <v>0</v>
      </c>
      <c r="DT27" s="471">
        <v>60000000</v>
      </c>
      <c r="DU27" s="471">
        <f>13800000+14100000</f>
        <v>27900000</v>
      </c>
      <c r="DV27" s="471">
        <f t="shared" si="31"/>
        <v>32100000</v>
      </c>
      <c r="DX27" s="471">
        <v>10000000</v>
      </c>
      <c r="DY27" s="471">
        <v>0</v>
      </c>
      <c r="DZ27" s="471">
        <f t="shared" si="32"/>
        <v>10000000</v>
      </c>
      <c r="EB27" s="471">
        <v>10000000</v>
      </c>
      <c r="EC27" s="471">
        <v>0</v>
      </c>
      <c r="ED27" s="471">
        <f t="shared" si="33"/>
        <v>10000000</v>
      </c>
      <c r="EF27" s="471">
        <v>20000000</v>
      </c>
      <c r="EG27" s="471">
        <f>6158220+8431944+5409836</f>
        <v>20000000</v>
      </c>
      <c r="EH27" s="471">
        <f t="shared" si="34"/>
        <v>0</v>
      </c>
      <c r="EJ27" s="471">
        <v>3000000</v>
      </c>
      <c r="EK27" s="471">
        <v>0</v>
      </c>
      <c r="EL27" s="471">
        <f t="shared" si="35"/>
        <v>3000000</v>
      </c>
      <c r="EM27" s="634"/>
      <c r="EN27" s="465">
        <v>200000000</v>
      </c>
      <c r="EO27" s="465">
        <v>0</v>
      </c>
      <c r="EP27" s="465">
        <f t="shared" si="36"/>
        <v>200000000</v>
      </c>
      <c r="EQ27" s="465"/>
      <c r="ER27" s="465">
        <v>10000000</v>
      </c>
      <c r="ES27" s="465">
        <v>0</v>
      </c>
      <c r="ET27" s="465">
        <f t="shared" si="37"/>
        <v>10000000</v>
      </c>
      <c r="EU27" s="465"/>
      <c r="EV27" s="465">
        <v>10000000</v>
      </c>
      <c r="EW27" s="465">
        <v>0</v>
      </c>
      <c r="EX27" s="465">
        <f t="shared" si="38"/>
        <v>10000000</v>
      </c>
      <c r="EY27" s="465"/>
      <c r="EZ27" s="465">
        <v>25000000</v>
      </c>
      <c r="FA27" s="465">
        <f>18664+8653750+3204750</f>
        <v>11877164</v>
      </c>
      <c r="FB27" s="465">
        <f t="shared" si="39"/>
        <v>13122836</v>
      </c>
      <c r="FC27" s="465"/>
      <c r="FD27" s="465">
        <v>3000000</v>
      </c>
      <c r="FE27" s="465">
        <v>0</v>
      </c>
      <c r="FF27" s="465">
        <f t="shared" si="40"/>
        <v>3000000</v>
      </c>
      <c r="FG27" s="465"/>
      <c r="FH27" s="637">
        <v>65000000</v>
      </c>
      <c r="FI27" s="637">
        <v>0</v>
      </c>
      <c r="FJ27" s="637">
        <f t="shared" si="41"/>
        <v>65000000</v>
      </c>
      <c r="FK27" s="637"/>
      <c r="FL27" s="637">
        <v>8000000</v>
      </c>
      <c r="FM27" s="637">
        <v>0</v>
      </c>
      <c r="FN27" s="637">
        <f t="shared" si="42"/>
        <v>8000000</v>
      </c>
      <c r="FO27" s="637"/>
      <c r="FP27" s="637">
        <v>5000000</v>
      </c>
      <c r="FQ27" s="637">
        <v>0</v>
      </c>
      <c r="FR27" s="637">
        <f t="shared" si="43"/>
        <v>5000000</v>
      </c>
      <c r="FS27" s="637"/>
      <c r="FT27" s="637">
        <v>18000000</v>
      </c>
      <c r="FU27" s="637">
        <v>0</v>
      </c>
      <c r="FV27" s="637">
        <f t="shared" si="44"/>
        <v>18000000</v>
      </c>
      <c r="FW27" s="637"/>
      <c r="FX27" s="637">
        <v>3000000</v>
      </c>
      <c r="FY27" s="637">
        <v>0</v>
      </c>
      <c r="FZ27" s="637">
        <f t="shared" si="45"/>
        <v>3000000</v>
      </c>
      <c r="GA27" s="637"/>
      <c r="GB27" s="637">
        <v>90000000</v>
      </c>
      <c r="GC27" s="637">
        <v>0</v>
      </c>
      <c r="GD27" s="637">
        <f t="shared" si="46"/>
        <v>90000000</v>
      </c>
      <c r="GE27" s="637"/>
      <c r="GF27" s="637">
        <v>22000000</v>
      </c>
      <c r="GG27" s="637">
        <v>0</v>
      </c>
      <c r="GH27" s="637">
        <f t="shared" si="47"/>
        <v>22000000</v>
      </c>
      <c r="GI27" s="637"/>
      <c r="GJ27" s="637">
        <v>3000000</v>
      </c>
      <c r="GK27" s="637">
        <v>0</v>
      </c>
      <c r="GL27" s="637">
        <f t="shared" si="48"/>
        <v>3000000</v>
      </c>
      <c r="GM27" s="637"/>
      <c r="GN27" s="636">
        <v>12000000</v>
      </c>
      <c r="GO27" s="636">
        <v>0</v>
      </c>
      <c r="GP27" s="636">
        <f t="shared" si="0"/>
        <v>12000000</v>
      </c>
      <c r="GQ27" s="637"/>
      <c r="GR27" s="637">
        <v>3000000</v>
      </c>
      <c r="GS27" s="637">
        <v>0</v>
      </c>
      <c r="GT27" s="637">
        <f t="shared" si="49"/>
        <v>3000000</v>
      </c>
      <c r="GU27" s="637"/>
      <c r="GV27" s="587">
        <f t="shared" si="50"/>
        <v>1084402950</v>
      </c>
      <c r="GW27" s="587">
        <f t="shared" si="50"/>
        <v>366427153.5</v>
      </c>
      <c r="GX27" s="468">
        <f t="shared" si="51"/>
        <v>717975796.5</v>
      </c>
      <c r="GZ27" s="519"/>
      <c r="HA27" s="468">
        <f>D27+H27+L27+X27+AN27+BH27+CB27+CV27+DT27+EN27+FH27+GB27</f>
        <v>710000000</v>
      </c>
      <c r="HB27" s="468">
        <f>E27+I27+M27+Y27+AO27+BI27+CC27+CW27+DU27+EO27+FI27+GC27</f>
        <v>182024010</v>
      </c>
      <c r="HC27" s="471">
        <f t="shared" si="52"/>
        <v>527975990</v>
      </c>
      <c r="HE27" s="471">
        <f>P27+AB27+AR27+BL27+CF27+CZ27+DX27+ER27+FL27+GF27</f>
        <v>95500000</v>
      </c>
      <c r="HF27" s="471">
        <f>Q27+AC27+AS27+BM27+CG27+DA27+DY27+ES27+FM27+GG27</f>
        <v>34734222</v>
      </c>
      <c r="HG27" s="471">
        <f t="shared" si="53"/>
        <v>60765778</v>
      </c>
      <c r="HI27" s="471">
        <f>T27+AF27+AV27+BP27+CJ27+DD27+EB27+EV27+FP27+GJ27</f>
        <v>67402950</v>
      </c>
      <c r="HJ27" s="471">
        <f>U27+AG27+AW27+BQ27+CK27+DE27+EC27+EW27+FQ27+GK27</f>
        <v>7305417.5</v>
      </c>
      <c r="HK27" s="471">
        <f t="shared" si="54"/>
        <v>60097532.5</v>
      </c>
      <c r="HN27" s="471">
        <f>AJ27+AZ27+BT27+CN27+DH27+DP27+EF27+EZ27+FT27+GN27</f>
        <v>187500000</v>
      </c>
      <c r="HO27" s="471">
        <f>AK27+BA27+BU27+CO27+DI27+DQ27+EG27+FA27+FU27+GO27</f>
        <v>135580954</v>
      </c>
      <c r="HP27" s="471">
        <f t="shared" si="55"/>
        <v>51919046</v>
      </c>
      <c r="HR27" s="531"/>
      <c r="HT27" s="471">
        <f>BX27+CR27+DL27+EJ27+FD27+FX27+GR27</f>
        <v>24000000</v>
      </c>
      <c r="HU27" s="471">
        <f>BY27+CS27+DM27+EK27+FE27+FY27+GS27</f>
        <v>6782550</v>
      </c>
      <c r="HV27" s="471">
        <f t="shared" si="56"/>
        <v>17217450</v>
      </c>
      <c r="HX27" s="473">
        <f t="shared" si="57"/>
        <v>0</v>
      </c>
      <c r="HY27" s="474">
        <v>6782550</v>
      </c>
      <c r="ID27" s="473">
        <f>HU27+HO27+HJ27+HF27+HB27</f>
        <v>366427153.5</v>
      </c>
      <c r="IE27" s="473">
        <f>HV27+HP27+HK27+HG27+HC27</f>
        <v>717975796.5</v>
      </c>
      <c r="IF27" s="473"/>
    </row>
    <row r="28" spans="1:240" x14ac:dyDescent="0.25">
      <c r="A28" s="107">
        <v>25</v>
      </c>
      <c r="B28" s="107" t="s">
        <v>344</v>
      </c>
      <c r="C28" s="634" t="s">
        <v>74</v>
      </c>
      <c r="D28" s="488">
        <v>1000000</v>
      </c>
      <c r="E28" s="488">
        <v>1000000</v>
      </c>
      <c r="F28" s="475">
        <f t="shared" si="1"/>
        <v>0</v>
      </c>
      <c r="G28" s="488"/>
      <c r="H28" s="465">
        <v>15000000</v>
      </c>
      <c r="I28" s="465">
        <v>15000000</v>
      </c>
      <c r="J28" s="463">
        <f t="shared" si="2"/>
        <v>0</v>
      </c>
      <c r="K28" s="488"/>
      <c r="L28" s="465">
        <v>15000000</v>
      </c>
      <c r="M28" s="465">
        <v>15000000</v>
      </c>
      <c r="N28" s="543">
        <f t="shared" si="3"/>
        <v>0</v>
      </c>
      <c r="O28" s="488"/>
      <c r="P28" s="465">
        <v>2500000</v>
      </c>
      <c r="Q28" s="465">
        <v>2500000</v>
      </c>
      <c r="R28" s="543">
        <f t="shared" si="4"/>
        <v>0</v>
      </c>
      <c r="S28" s="488"/>
      <c r="T28" s="465">
        <v>1000000</v>
      </c>
      <c r="U28" s="465">
        <v>1000000</v>
      </c>
      <c r="V28" s="543">
        <f t="shared" si="5"/>
        <v>0</v>
      </c>
      <c r="W28" s="488"/>
      <c r="X28" s="465">
        <v>20000000</v>
      </c>
      <c r="Y28" s="465">
        <v>20000000</v>
      </c>
      <c r="Z28" s="543">
        <f t="shared" si="6"/>
        <v>0</v>
      </c>
      <c r="AA28" s="488"/>
      <c r="AB28" s="465">
        <v>5000000</v>
      </c>
      <c r="AC28" s="465">
        <v>5000000</v>
      </c>
      <c r="AD28" s="543">
        <f t="shared" si="7"/>
        <v>0</v>
      </c>
      <c r="AE28" s="471"/>
      <c r="AF28" s="465">
        <v>2000000</v>
      </c>
      <c r="AG28" s="465">
        <v>2000000</v>
      </c>
      <c r="AH28" s="543">
        <f t="shared" si="8"/>
        <v>0</v>
      </c>
      <c r="AI28" s="488"/>
      <c r="AJ28" s="465">
        <v>7500000</v>
      </c>
      <c r="AK28" s="465">
        <v>7500000</v>
      </c>
      <c r="AL28" s="543">
        <f t="shared" si="9"/>
        <v>0</v>
      </c>
      <c r="AM28" s="283"/>
      <c r="AN28" s="465">
        <v>30000000</v>
      </c>
      <c r="AO28" s="465">
        <v>30000000</v>
      </c>
      <c r="AP28" s="543">
        <f t="shared" si="10"/>
        <v>0</v>
      </c>
      <c r="AQ28" s="488"/>
      <c r="AR28" s="465">
        <v>3000000</v>
      </c>
      <c r="AS28" s="465">
        <v>3000000</v>
      </c>
      <c r="AT28" s="543">
        <f t="shared" si="11"/>
        <v>0</v>
      </c>
      <c r="AU28" s="488"/>
      <c r="AV28" s="465">
        <v>2000000</v>
      </c>
      <c r="AW28" s="465">
        <v>2000000</v>
      </c>
      <c r="AX28" s="543">
        <f t="shared" si="12"/>
        <v>0</v>
      </c>
      <c r="AY28" s="465"/>
      <c r="AZ28" s="465">
        <v>10000000</v>
      </c>
      <c r="BA28" s="465">
        <v>10000000</v>
      </c>
      <c r="BB28" s="543">
        <f t="shared" si="13"/>
        <v>0</v>
      </c>
      <c r="BC28" s="488"/>
      <c r="BD28" s="465">
        <v>0</v>
      </c>
      <c r="BE28" s="465">
        <v>0</v>
      </c>
      <c r="BF28" s="543">
        <f t="shared" si="14"/>
        <v>0</v>
      </c>
      <c r="BG28" s="488"/>
      <c r="BH28" s="465">
        <v>55000000</v>
      </c>
      <c r="BI28" s="465">
        <v>55000000</v>
      </c>
      <c r="BJ28" s="543">
        <f t="shared" si="15"/>
        <v>0</v>
      </c>
      <c r="BK28" s="488"/>
      <c r="BL28" s="465">
        <v>5000000</v>
      </c>
      <c r="BM28" s="465">
        <v>5000000</v>
      </c>
      <c r="BN28" s="543">
        <f t="shared" si="16"/>
        <v>0</v>
      </c>
      <c r="BO28" s="488"/>
      <c r="BP28" s="465">
        <v>5000000</v>
      </c>
      <c r="BQ28" s="465">
        <v>3086900</v>
      </c>
      <c r="BR28" s="543">
        <f t="shared" si="17"/>
        <v>1913100</v>
      </c>
      <c r="BS28" s="488"/>
      <c r="BT28" s="465">
        <v>15000000</v>
      </c>
      <c r="BU28" s="465">
        <v>15000000</v>
      </c>
      <c r="BV28" s="543">
        <f t="shared" si="18"/>
        <v>0</v>
      </c>
      <c r="BW28" s="488"/>
      <c r="BX28" s="465">
        <v>1000000</v>
      </c>
      <c r="BY28" s="283">
        <v>1000000</v>
      </c>
      <c r="BZ28" s="543">
        <f t="shared" si="19"/>
        <v>0</v>
      </c>
      <c r="CA28" s="488"/>
      <c r="CB28" s="468">
        <v>80000000</v>
      </c>
      <c r="CC28" s="465">
        <v>80000000</v>
      </c>
      <c r="CD28" s="543">
        <f t="shared" si="20"/>
        <v>0</v>
      </c>
      <c r="CE28" s="488"/>
      <c r="CF28" s="468">
        <v>10000000</v>
      </c>
      <c r="CG28" s="504">
        <f>9960000+40000</f>
        <v>10000000</v>
      </c>
      <c r="CH28" s="543">
        <f t="shared" si="21"/>
        <v>0</v>
      </c>
      <c r="CI28" s="488"/>
      <c r="CJ28" s="468">
        <v>10000000</v>
      </c>
      <c r="CK28" s="468">
        <v>4705600</v>
      </c>
      <c r="CL28" s="543">
        <f t="shared" si="22"/>
        <v>5294400</v>
      </c>
      <c r="CM28" s="488"/>
      <c r="CN28" s="468">
        <v>30000000</v>
      </c>
      <c r="CO28" s="468">
        <v>30000000</v>
      </c>
      <c r="CP28" s="543">
        <f t="shared" si="23"/>
        <v>0</v>
      </c>
      <c r="CQ28" s="488"/>
      <c r="CR28" s="465">
        <v>5000000</v>
      </c>
      <c r="CS28" s="468">
        <f>1830000+344250+416500+150000</f>
        <v>2740750</v>
      </c>
      <c r="CT28" s="465">
        <f t="shared" si="24"/>
        <v>2259250</v>
      </c>
      <c r="CU28" s="488"/>
      <c r="CV28" s="525">
        <v>80000000</v>
      </c>
      <c r="CW28" s="465">
        <v>80000000</v>
      </c>
      <c r="CX28" s="543">
        <f t="shared" si="25"/>
        <v>0</v>
      </c>
      <c r="CY28" s="471"/>
      <c r="CZ28" s="468">
        <v>20000000</v>
      </c>
      <c r="DA28" s="468">
        <f>10000000+1185000+8815000</f>
        <v>20000000</v>
      </c>
      <c r="DB28" s="543">
        <f t="shared" si="26"/>
        <v>0</v>
      </c>
      <c r="DC28" s="471"/>
      <c r="DD28" s="468">
        <v>20000000</v>
      </c>
      <c r="DE28" s="468">
        <v>0</v>
      </c>
      <c r="DF28" s="543">
        <f t="shared" si="27"/>
        <v>20000000</v>
      </c>
      <c r="DG28" s="488"/>
      <c r="DH28" s="468">
        <v>50000000</v>
      </c>
      <c r="DI28" s="468">
        <v>50000000</v>
      </c>
      <c r="DJ28" s="543">
        <f t="shared" si="28"/>
        <v>0</v>
      </c>
      <c r="DK28" s="488"/>
      <c r="DL28" s="465">
        <v>6000000</v>
      </c>
      <c r="DM28" s="468">
        <v>0</v>
      </c>
      <c r="DN28" s="465">
        <f t="shared" si="29"/>
        <v>6000000</v>
      </c>
      <c r="DO28" s="488"/>
      <c r="DP28" s="471">
        <v>0</v>
      </c>
      <c r="DQ28" s="471">
        <v>0</v>
      </c>
      <c r="DR28" s="471">
        <f t="shared" si="30"/>
        <v>0</v>
      </c>
      <c r="DT28" s="471">
        <v>60000000</v>
      </c>
      <c r="DU28" s="471">
        <f>59703958.28+296041.72</f>
        <v>60000000</v>
      </c>
      <c r="DV28" s="471">
        <f t="shared" si="31"/>
        <v>0</v>
      </c>
      <c r="DX28" s="471">
        <v>10000000</v>
      </c>
      <c r="DY28" s="552">
        <f>1192928.6+3557700+827100+1210730</f>
        <v>6788458.5999999996</v>
      </c>
      <c r="DZ28" s="471">
        <f t="shared" si="32"/>
        <v>3211541.4000000004</v>
      </c>
      <c r="EB28" s="471">
        <v>10000000</v>
      </c>
      <c r="EC28" s="471">
        <v>0</v>
      </c>
      <c r="ED28" s="471">
        <f t="shared" si="33"/>
        <v>10000000</v>
      </c>
      <c r="EF28" s="471">
        <v>20000000</v>
      </c>
      <c r="EG28" s="471">
        <f>3319444+11059270+676390+4944896</f>
        <v>20000000</v>
      </c>
      <c r="EH28" s="471">
        <f t="shared" si="34"/>
        <v>0</v>
      </c>
      <c r="EJ28" s="471">
        <v>3000000</v>
      </c>
      <c r="EK28" s="471">
        <v>0</v>
      </c>
      <c r="EL28" s="471">
        <f t="shared" si="35"/>
        <v>3000000</v>
      </c>
      <c r="EM28" s="634"/>
      <c r="EN28" s="465">
        <v>200000000</v>
      </c>
      <c r="EO28" s="465">
        <f>33303958.28+68100000+40830546.6+41456500+7154000+9154995.12</f>
        <v>200000000</v>
      </c>
      <c r="EP28" s="465">
        <f t="shared" si="36"/>
        <v>0</v>
      </c>
      <c r="EQ28" s="465"/>
      <c r="ER28" s="465">
        <v>10000000</v>
      </c>
      <c r="ES28" s="465">
        <v>0</v>
      </c>
      <c r="ET28" s="465">
        <f t="shared" si="37"/>
        <v>10000000</v>
      </c>
      <c r="EU28" s="465"/>
      <c r="EV28" s="465">
        <v>10000000</v>
      </c>
      <c r="EW28" s="465">
        <v>0</v>
      </c>
      <c r="EX28" s="465">
        <f t="shared" si="38"/>
        <v>10000000</v>
      </c>
      <c r="EY28" s="465"/>
      <c r="EZ28" s="465">
        <v>25000000</v>
      </c>
      <c r="FA28" s="487">
        <f>357379+1617255+11019490.7+10835619</f>
        <v>23829743.699999999</v>
      </c>
      <c r="FB28" s="465">
        <f t="shared" si="39"/>
        <v>1170256.3000000007</v>
      </c>
      <c r="FC28" s="465"/>
      <c r="FD28" s="465">
        <v>3000000</v>
      </c>
      <c r="FE28" s="465">
        <v>0</v>
      </c>
      <c r="FF28" s="465">
        <f t="shared" si="40"/>
        <v>3000000</v>
      </c>
      <c r="FG28" s="465"/>
      <c r="FH28" s="637">
        <v>65000000</v>
      </c>
      <c r="FI28" s="637">
        <f>14100000+49945004.88</f>
        <v>64045004.880000003</v>
      </c>
      <c r="FJ28" s="637">
        <f t="shared" si="41"/>
        <v>954995.11999999732</v>
      </c>
      <c r="FK28" s="637"/>
      <c r="FL28" s="637">
        <v>8000000</v>
      </c>
      <c r="FM28" s="637">
        <v>0</v>
      </c>
      <c r="FN28" s="637">
        <f t="shared" si="42"/>
        <v>8000000</v>
      </c>
      <c r="FO28" s="637"/>
      <c r="FP28" s="637">
        <v>5000000</v>
      </c>
      <c r="FQ28" s="637">
        <v>0</v>
      </c>
      <c r="FR28" s="637">
        <f t="shared" si="43"/>
        <v>5000000</v>
      </c>
      <c r="FS28" s="637"/>
      <c r="FT28" s="637">
        <v>18000000</v>
      </c>
      <c r="FU28" s="637">
        <v>0</v>
      </c>
      <c r="FV28" s="637">
        <f t="shared" si="44"/>
        <v>18000000</v>
      </c>
      <c r="FW28" s="637"/>
      <c r="FX28" s="637">
        <v>3000000</v>
      </c>
      <c r="FY28" s="637">
        <v>0</v>
      </c>
      <c r="FZ28" s="637">
        <f t="shared" si="45"/>
        <v>3000000</v>
      </c>
      <c r="GA28" s="637"/>
      <c r="GB28" s="637">
        <v>90000000</v>
      </c>
      <c r="GC28" s="637">
        <v>0</v>
      </c>
      <c r="GD28" s="637">
        <f t="shared" si="46"/>
        <v>90000000</v>
      </c>
      <c r="GE28" s="637"/>
      <c r="GF28" s="637">
        <v>22000000</v>
      </c>
      <c r="GG28" s="637">
        <v>0</v>
      </c>
      <c r="GH28" s="637">
        <f t="shared" si="47"/>
        <v>22000000</v>
      </c>
      <c r="GI28" s="637"/>
      <c r="GJ28" s="637">
        <v>3000000</v>
      </c>
      <c r="GK28" s="637">
        <v>0</v>
      </c>
      <c r="GL28" s="637">
        <f t="shared" si="48"/>
        <v>3000000</v>
      </c>
      <c r="GM28" s="637"/>
      <c r="GN28" s="636">
        <v>12000000</v>
      </c>
      <c r="GO28" s="636">
        <v>0</v>
      </c>
      <c r="GP28" s="636">
        <f t="shared" si="0"/>
        <v>12000000</v>
      </c>
      <c r="GQ28" s="637"/>
      <c r="GR28" s="637">
        <v>3000000</v>
      </c>
      <c r="GS28" s="637">
        <v>0</v>
      </c>
      <c r="GT28" s="637">
        <f t="shared" si="49"/>
        <v>3000000</v>
      </c>
      <c r="GU28" s="637"/>
      <c r="GV28" s="587">
        <f t="shared" si="50"/>
        <v>1086000000</v>
      </c>
      <c r="GW28" s="587">
        <f t="shared" si="50"/>
        <v>845196457.18000007</v>
      </c>
      <c r="GX28" s="468">
        <f t="shared" si="51"/>
        <v>240803542.81999993</v>
      </c>
      <c r="GZ28" s="519"/>
      <c r="HA28" s="468">
        <f>D28+H28+L28+X28+AN28+BH28+CB28+CV28+DT28+EN28+FH28+GB28</f>
        <v>711000000</v>
      </c>
      <c r="HB28" s="468">
        <f>E28+I28+M28+Y28+AO28+BI28+CC28+CW28+DU28+EO28+FI28+GC28</f>
        <v>620045004.88</v>
      </c>
      <c r="HC28" s="471">
        <f t="shared" si="52"/>
        <v>90954995.120000005</v>
      </c>
      <c r="HE28" s="471">
        <f>P28+AB28+AR28+BL28+CF28+CZ28+DX28+ER28+FL28+GF28</f>
        <v>95500000</v>
      </c>
      <c r="HF28" s="471">
        <f>Q28+AC28+AS28+BM28+CG28+DA28+DY28+ES28+FM28+GG28</f>
        <v>52288458.600000001</v>
      </c>
      <c r="HG28" s="471">
        <f t="shared" si="53"/>
        <v>43211541.399999999</v>
      </c>
      <c r="HI28" s="471">
        <f>T28+AF28+AV28+BP28+CJ28+DD28+EB28+EV28+FP28+GJ28</f>
        <v>68000000</v>
      </c>
      <c r="HJ28" s="471">
        <f>U28+AG28+AW28+BQ28+CK28+DE28+EC28+EW28+FQ28+GK28</f>
        <v>12792500</v>
      </c>
      <c r="HK28" s="471">
        <f t="shared" si="54"/>
        <v>55207500</v>
      </c>
      <c r="HN28" s="471">
        <f>AJ28+AZ28+BT28+CN28+DH28+DP28+EF28+EZ28+FT28+GN28</f>
        <v>187500000</v>
      </c>
      <c r="HO28" s="471">
        <f>AK28+BA28+BU28+CO28+DI28+DQ28+EG28+FA28+FU28+GO28</f>
        <v>156329743.69999999</v>
      </c>
      <c r="HP28" s="471">
        <f t="shared" si="55"/>
        <v>31170256.300000012</v>
      </c>
      <c r="HR28" s="531"/>
      <c r="HT28" s="471">
        <f>BX28+CR28+DL28+EJ28+FD28+FX28+GR28</f>
        <v>24000000</v>
      </c>
      <c r="HU28" s="471">
        <f>BY28+CS28+DM28+EK28+FE28+FY28+GS28</f>
        <v>3740750</v>
      </c>
      <c r="HV28" s="471">
        <f t="shared" si="56"/>
        <v>20259250</v>
      </c>
      <c r="HX28" s="473">
        <f t="shared" si="57"/>
        <v>0</v>
      </c>
      <c r="HY28" s="474">
        <v>3740750</v>
      </c>
      <c r="ID28" s="473">
        <f>HU28+HO28+HJ28+HF28+HB28</f>
        <v>845196457.17999995</v>
      </c>
      <c r="IE28" s="473">
        <f>HV28+HP28+HK28+HG28+HC28</f>
        <v>240803542.82000002</v>
      </c>
      <c r="IF28" s="473"/>
    </row>
    <row r="29" spans="1:240" x14ac:dyDescent="0.25">
      <c r="A29" s="107">
        <v>26</v>
      </c>
      <c r="B29" s="107" t="s">
        <v>345</v>
      </c>
      <c r="C29" s="634" t="s">
        <v>61</v>
      </c>
      <c r="D29" s="488">
        <v>1000000</v>
      </c>
      <c r="E29" s="488">
        <v>1000000</v>
      </c>
      <c r="F29" s="475">
        <f t="shared" si="1"/>
        <v>0</v>
      </c>
      <c r="G29" s="488"/>
      <c r="H29" s="465">
        <v>15000000</v>
      </c>
      <c r="I29" s="465">
        <v>15000000</v>
      </c>
      <c r="J29" s="463">
        <f t="shared" si="2"/>
        <v>0</v>
      </c>
      <c r="K29" s="488"/>
      <c r="L29" s="465">
        <v>15000000</v>
      </c>
      <c r="M29" s="465">
        <v>15000000</v>
      </c>
      <c r="N29" s="543">
        <f t="shared" si="3"/>
        <v>0</v>
      </c>
      <c r="O29" s="488"/>
      <c r="P29" s="465">
        <v>2500000</v>
      </c>
      <c r="Q29" s="465">
        <v>2500000</v>
      </c>
      <c r="R29" s="543">
        <f t="shared" si="4"/>
        <v>0</v>
      </c>
      <c r="S29" s="488"/>
      <c r="T29" s="465">
        <v>1000000</v>
      </c>
      <c r="U29" s="465">
        <v>1000000</v>
      </c>
      <c r="V29" s="543">
        <f t="shared" si="5"/>
        <v>0</v>
      </c>
      <c r="W29" s="488"/>
      <c r="X29" s="465">
        <v>20000000</v>
      </c>
      <c r="Y29" s="465">
        <v>20000000</v>
      </c>
      <c r="Z29" s="543">
        <f t="shared" si="6"/>
        <v>0</v>
      </c>
      <c r="AA29" s="488"/>
      <c r="AB29" s="465">
        <v>5000000</v>
      </c>
      <c r="AC29" s="465">
        <v>5000000</v>
      </c>
      <c r="AD29" s="543">
        <f t="shared" si="7"/>
        <v>0</v>
      </c>
      <c r="AE29" s="488"/>
      <c r="AF29" s="465">
        <v>1550000</v>
      </c>
      <c r="AG29" s="465">
        <v>1550000</v>
      </c>
      <c r="AH29" s="543">
        <f t="shared" si="8"/>
        <v>0</v>
      </c>
      <c r="AI29" s="488"/>
      <c r="AJ29" s="465">
        <v>7500000</v>
      </c>
      <c r="AK29" s="465">
        <v>7500000</v>
      </c>
      <c r="AL29" s="543">
        <f t="shared" si="9"/>
        <v>0</v>
      </c>
      <c r="AN29" s="465">
        <v>0</v>
      </c>
      <c r="AO29" s="465">
        <v>0</v>
      </c>
      <c r="AP29" s="543">
        <f t="shared" si="10"/>
        <v>0</v>
      </c>
      <c r="AQ29" s="488"/>
      <c r="AR29" s="465">
        <v>0</v>
      </c>
      <c r="AS29" s="465">
        <v>0</v>
      </c>
      <c r="AT29" s="543">
        <f t="shared" si="11"/>
        <v>0</v>
      </c>
      <c r="AU29" s="488"/>
      <c r="AV29" s="465">
        <v>0</v>
      </c>
      <c r="AW29" s="465">
        <v>0</v>
      </c>
      <c r="AX29" s="543">
        <f t="shared" si="12"/>
        <v>0</v>
      </c>
      <c r="AY29" s="465"/>
      <c r="AZ29" s="465">
        <v>0</v>
      </c>
      <c r="BA29" s="465">
        <v>0</v>
      </c>
      <c r="BB29" s="543">
        <f t="shared" si="13"/>
        <v>0</v>
      </c>
      <c r="BC29" s="488"/>
      <c r="BD29" s="465">
        <v>0</v>
      </c>
      <c r="BE29" s="465">
        <v>0</v>
      </c>
      <c r="BF29" s="543">
        <f t="shared" si="14"/>
        <v>0</v>
      </c>
      <c r="BG29" s="488"/>
      <c r="BH29" s="465">
        <v>55000000</v>
      </c>
      <c r="BI29" s="465">
        <v>55000000</v>
      </c>
      <c r="BJ29" s="543">
        <f t="shared" si="15"/>
        <v>0</v>
      </c>
      <c r="BK29" s="488"/>
      <c r="BL29" s="465">
        <v>5000000</v>
      </c>
      <c r="BM29" s="465">
        <v>5000000</v>
      </c>
      <c r="BN29" s="543">
        <f t="shared" si="16"/>
        <v>0</v>
      </c>
      <c r="BO29" s="488"/>
      <c r="BP29" s="465">
        <v>5000000</v>
      </c>
      <c r="BQ29" s="465">
        <v>0</v>
      </c>
      <c r="BR29" s="543">
        <f t="shared" si="17"/>
        <v>5000000</v>
      </c>
      <c r="BS29" s="488"/>
      <c r="BT29" s="465">
        <v>15000000</v>
      </c>
      <c r="BU29" s="283">
        <v>14911510</v>
      </c>
      <c r="BV29" s="543">
        <f t="shared" si="18"/>
        <v>88490</v>
      </c>
      <c r="BW29" s="488"/>
      <c r="BX29" s="465">
        <v>1000000</v>
      </c>
      <c r="BY29" s="465">
        <v>976282.25</v>
      </c>
      <c r="BZ29" s="543">
        <f t="shared" si="19"/>
        <v>23717.75</v>
      </c>
      <c r="CA29" s="488"/>
      <c r="CB29" s="465">
        <v>0</v>
      </c>
      <c r="CC29" s="465">
        <v>0</v>
      </c>
      <c r="CD29" s="543">
        <f t="shared" si="20"/>
        <v>0</v>
      </c>
      <c r="CE29" s="488"/>
      <c r="CF29" s="465">
        <v>0</v>
      </c>
      <c r="CG29" s="468">
        <v>0</v>
      </c>
      <c r="CH29" s="543">
        <f t="shared" si="21"/>
        <v>0</v>
      </c>
      <c r="CI29" s="488"/>
      <c r="CJ29" s="465">
        <v>0</v>
      </c>
      <c r="CK29" s="468">
        <v>0</v>
      </c>
      <c r="CL29" s="543">
        <f t="shared" si="22"/>
        <v>0</v>
      </c>
      <c r="CM29" s="488"/>
      <c r="CN29" s="465">
        <v>0</v>
      </c>
      <c r="CO29" s="465">
        <v>0</v>
      </c>
      <c r="CP29" s="543">
        <f t="shared" si="23"/>
        <v>0</v>
      </c>
      <c r="CQ29" s="488"/>
      <c r="CR29" s="465">
        <v>0</v>
      </c>
      <c r="CS29" s="468">
        <v>0</v>
      </c>
      <c r="CT29" s="465">
        <f t="shared" si="24"/>
        <v>0</v>
      </c>
      <c r="CU29" s="488"/>
      <c r="CV29" s="525">
        <v>80000000</v>
      </c>
      <c r="CW29" s="465">
        <f>79830389.81+169610.19</f>
        <v>80000000</v>
      </c>
      <c r="CX29" s="543">
        <f t="shared" si="25"/>
        <v>0</v>
      </c>
      <c r="CY29" s="471"/>
      <c r="CZ29" s="468">
        <v>20000000</v>
      </c>
      <c r="DA29" s="468">
        <v>20000000</v>
      </c>
      <c r="DB29" s="543">
        <f t="shared" si="26"/>
        <v>0</v>
      </c>
      <c r="DC29" s="471"/>
      <c r="DD29" s="468">
        <v>20000000</v>
      </c>
      <c r="DE29" s="468">
        <f>17000000+3000000</f>
        <v>20000000</v>
      </c>
      <c r="DF29" s="543">
        <f t="shared" si="27"/>
        <v>0</v>
      </c>
      <c r="DG29" s="488"/>
      <c r="DH29" s="468">
        <v>50000000</v>
      </c>
      <c r="DI29" s="468">
        <f>15921928+23487625</f>
        <v>39409553</v>
      </c>
      <c r="DJ29" s="543">
        <f t="shared" si="28"/>
        <v>10590447</v>
      </c>
      <c r="DK29" s="488"/>
      <c r="DL29" s="465">
        <v>6000000</v>
      </c>
      <c r="DM29" s="468">
        <v>5949723.75</v>
      </c>
      <c r="DN29" s="465">
        <f t="shared" si="29"/>
        <v>50276.25</v>
      </c>
      <c r="DO29" s="488"/>
      <c r="DP29" s="471">
        <v>0</v>
      </c>
      <c r="DQ29" s="471">
        <v>0</v>
      </c>
      <c r="DR29" s="471">
        <f t="shared" si="30"/>
        <v>0</v>
      </c>
      <c r="DT29" s="471">
        <v>0</v>
      </c>
      <c r="DU29" s="471">
        <v>0</v>
      </c>
      <c r="DV29" s="471">
        <f t="shared" si="31"/>
        <v>0</v>
      </c>
      <c r="DX29" s="471">
        <v>0</v>
      </c>
      <c r="DY29" s="471">
        <v>0</v>
      </c>
      <c r="DZ29" s="471">
        <f t="shared" si="32"/>
        <v>0</v>
      </c>
      <c r="EB29" s="471">
        <v>0</v>
      </c>
      <c r="EC29" s="471">
        <v>0</v>
      </c>
      <c r="ED29" s="471">
        <f t="shared" si="33"/>
        <v>0</v>
      </c>
      <c r="EF29" s="471">
        <v>0</v>
      </c>
      <c r="EG29" s="471">
        <v>0</v>
      </c>
      <c r="EH29" s="471">
        <f t="shared" si="34"/>
        <v>0</v>
      </c>
      <c r="EJ29" s="471">
        <v>0</v>
      </c>
      <c r="EK29" s="471">
        <v>0</v>
      </c>
      <c r="EL29" s="471">
        <f t="shared" si="35"/>
        <v>0</v>
      </c>
      <c r="EM29" s="634"/>
      <c r="EN29" s="465">
        <v>200000000</v>
      </c>
      <c r="EO29" s="487">
        <f>39430389.81+33125000+37500000</f>
        <v>110055389.81</v>
      </c>
      <c r="EP29" s="465">
        <f t="shared" si="36"/>
        <v>89944610.189999998</v>
      </c>
      <c r="EQ29" s="465"/>
      <c r="ER29" s="465">
        <v>10000000</v>
      </c>
      <c r="ES29" s="465">
        <f>2673000+2061000</f>
        <v>4734000</v>
      </c>
      <c r="ET29" s="465">
        <f t="shared" si="37"/>
        <v>5266000</v>
      </c>
      <c r="EU29" s="465"/>
      <c r="EV29" s="465">
        <v>10000000</v>
      </c>
      <c r="EW29" s="485">
        <f>6375000+1125000</f>
        <v>7500000</v>
      </c>
      <c r="EX29" s="465">
        <f t="shared" si="38"/>
        <v>2500000</v>
      </c>
      <c r="EY29" s="465"/>
      <c r="EZ29" s="465">
        <v>25000000</v>
      </c>
      <c r="FA29" s="465">
        <f>11976155+1630525</f>
        <v>13606680</v>
      </c>
      <c r="FB29" s="465">
        <f t="shared" si="39"/>
        <v>11393320</v>
      </c>
      <c r="FC29" s="465"/>
      <c r="FD29" s="465">
        <v>3000000</v>
      </c>
      <c r="FE29" s="465">
        <v>0</v>
      </c>
      <c r="FF29" s="465">
        <f t="shared" si="40"/>
        <v>3000000</v>
      </c>
      <c r="FG29" s="465"/>
      <c r="FH29" s="637"/>
      <c r="FI29" s="637"/>
      <c r="FJ29" s="637"/>
      <c r="FK29" s="637"/>
      <c r="FL29" s="637"/>
      <c r="FM29" s="637"/>
      <c r="FN29" s="637"/>
      <c r="FO29" s="637"/>
      <c r="FP29" s="637"/>
      <c r="FQ29" s="637"/>
      <c r="FR29" s="637"/>
      <c r="FS29" s="637"/>
      <c r="FT29" s="637"/>
      <c r="FU29" s="637"/>
      <c r="FV29" s="637"/>
      <c r="FW29" s="637"/>
      <c r="FX29" s="637"/>
      <c r="FY29" s="637"/>
      <c r="FZ29" s="637"/>
      <c r="GA29" s="637"/>
      <c r="GB29" s="637">
        <v>90000000</v>
      </c>
      <c r="GC29" s="637">
        <v>0</v>
      </c>
      <c r="GD29" s="637">
        <f>GB29-GC29</f>
        <v>90000000</v>
      </c>
      <c r="GE29" s="637"/>
      <c r="GF29" s="637">
        <v>22000000</v>
      </c>
      <c r="GG29" s="637">
        <v>0</v>
      </c>
      <c r="GH29" s="637">
        <f t="shared" si="47"/>
        <v>22000000</v>
      </c>
      <c r="GI29" s="637"/>
      <c r="GJ29" s="637">
        <v>3000000</v>
      </c>
      <c r="GK29" s="637">
        <v>0</v>
      </c>
      <c r="GL29" s="637">
        <f t="shared" si="48"/>
        <v>3000000</v>
      </c>
      <c r="GM29" s="637"/>
      <c r="GN29" s="636">
        <v>12000000</v>
      </c>
      <c r="GO29" s="636">
        <v>0</v>
      </c>
      <c r="GP29" s="636">
        <f t="shared" si="0"/>
        <v>12000000</v>
      </c>
      <c r="GQ29" s="637"/>
      <c r="GR29" s="637">
        <v>3000000</v>
      </c>
      <c r="GS29" s="637">
        <v>0</v>
      </c>
      <c r="GT29" s="637">
        <f t="shared" si="49"/>
        <v>3000000</v>
      </c>
      <c r="GU29" s="637"/>
      <c r="GV29" s="587">
        <f t="shared" si="50"/>
        <v>703550000</v>
      </c>
      <c r="GW29" s="587">
        <f t="shared" si="50"/>
        <v>445693138.81</v>
      </c>
      <c r="GX29" s="468">
        <f t="shared" si="51"/>
        <v>257856861.19</v>
      </c>
      <c r="GZ29" s="519"/>
      <c r="HA29" s="468">
        <f>D29+H29+L29+X29+AN29+BH29+CB29+CV29+DT29+EN29+FH29+GB29</f>
        <v>476000000</v>
      </c>
      <c r="HB29" s="468">
        <f>E29+I29+M29+Y29+AO29+BI29+CC29+CW29+DU29+EO29+FI29+GC29</f>
        <v>296055389.81</v>
      </c>
      <c r="HC29" s="471">
        <f t="shared" si="52"/>
        <v>179944610.19</v>
      </c>
      <c r="HE29" s="471">
        <f>P29+AB29+AR29+BL29+CF29+CZ29+DX29+ER29+FL29+GF29</f>
        <v>64500000</v>
      </c>
      <c r="HF29" s="471">
        <f>Q29+AC29+AS29+BM29+CG29+DA29+DY29+ES29+FM29+GG29</f>
        <v>37234000</v>
      </c>
      <c r="HG29" s="471">
        <f t="shared" si="53"/>
        <v>27266000</v>
      </c>
      <c r="HI29" s="471">
        <f>T29+AF29+AV29+BP29+CJ29+DD29+EB29+EV29+FP29+GJ29</f>
        <v>40550000</v>
      </c>
      <c r="HJ29" s="471">
        <f>U29+AG29+AW29+BQ29+CK29+DE29+EC29+EW29+FQ29+GK29</f>
        <v>30050000</v>
      </c>
      <c r="HK29" s="471">
        <f t="shared" si="54"/>
        <v>10500000</v>
      </c>
      <c r="HN29" s="471">
        <f>AJ29+AZ29+BT29+CN29+DH29+DP29+EF29+EZ29+FT29+GN29</f>
        <v>109500000</v>
      </c>
      <c r="HO29" s="471">
        <f>AK29+BA29+BU29+CO29+DI29+DQ29+EG29+FA29+FU29+GO29</f>
        <v>75427743</v>
      </c>
      <c r="HP29" s="471">
        <f t="shared" si="55"/>
        <v>34072257</v>
      </c>
      <c r="HR29" s="531"/>
      <c r="HT29" s="471">
        <f>BX29+CR29+DL29+EJ29+FD29+FX29+GR29</f>
        <v>13000000</v>
      </c>
      <c r="HU29" s="471">
        <f>BY29+CS29+DM29+EK29+FE29+FY29+GS29</f>
        <v>6926006</v>
      </c>
      <c r="HV29" s="471">
        <f t="shared" si="56"/>
        <v>6073994</v>
      </c>
      <c r="HX29" s="473">
        <f t="shared" si="57"/>
        <v>0</v>
      </c>
      <c r="HY29" s="474">
        <v>6926006</v>
      </c>
      <c r="ID29" s="473">
        <f>HU29+HO29+HJ29+HF29+HB29</f>
        <v>445693138.81</v>
      </c>
      <c r="IE29" s="473">
        <f>HV29+HP29+HK29+HG29+HC29</f>
        <v>257856861.19</v>
      </c>
      <c r="IF29" s="473"/>
    </row>
    <row r="30" spans="1:240" x14ac:dyDescent="0.25">
      <c r="A30" s="107">
        <v>27</v>
      </c>
      <c r="B30" s="107" t="s">
        <v>346</v>
      </c>
      <c r="C30" s="634"/>
      <c r="D30" s="488">
        <v>1000000</v>
      </c>
      <c r="E30" s="488">
        <v>1000000</v>
      </c>
      <c r="F30" s="475">
        <f t="shared" si="1"/>
        <v>0</v>
      </c>
      <c r="G30" s="488"/>
      <c r="H30" s="465">
        <v>15000000</v>
      </c>
      <c r="I30" s="465">
        <v>15000000</v>
      </c>
      <c r="J30" s="463">
        <f t="shared" si="2"/>
        <v>0</v>
      </c>
      <c r="K30" s="488"/>
      <c r="L30" s="465">
        <v>15000000</v>
      </c>
      <c r="M30" s="465">
        <v>15000000</v>
      </c>
      <c r="N30" s="543">
        <f t="shared" si="3"/>
        <v>0</v>
      </c>
      <c r="O30" s="488"/>
      <c r="P30" s="465">
        <v>2500000</v>
      </c>
      <c r="Q30" s="465">
        <v>2500000</v>
      </c>
      <c r="R30" s="543">
        <f t="shared" si="4"/>
        <v>0</v>
      </c>
      <c r="S30" s="488"/>
      <c r="T30" s="465">
        <v>1000000</v>
      </c>
      <c r="U30" s="465">
        <v>1000000</v>
      </c>
      <c r="V30" s="543">
        <f t="shared" si="5"/>
        <v>0</v>
      </c>
      <c r="W30" s="488"/>
      <c r="X30" s="465">
        <v>0</v>
      </c>
      <c r="Y30" s="465">
        <v>0</v>
      </c>
      <c r="Z30" s="543">
        <f t="shared" si="6"/>
        <v>0</v>
      </c>
      <c r="AA30" s="488"/>
      <c r="AB30" s="465">
        <v>0</v>
      </c>
      <c r="AC30" s="465">
        <v>0</v>
      </c>
      <c r="AD30" s="543">
        <f t="shared" si="7"/>
        <v>0</v>
      </c>
      <c r="AE30" s="488"/>
      <c r="AF30" s="465">
        <v>0</v>
      </c>
      <c r="AG30" s="465">
        <v>0</v>
      </c>
      <c r="AH30" s="543">
        <f t="shared" si="8"/>
        <v>0</v>
      </c>
      <c r="AI30" s="488"/>
      <c r="AJ30" s="465">
        <v>0</v>
      </c>
      <c r="AK30" s="465">
        <v>0</v>
      </c>
      <c r="AL30" s="543">
        <f t="shared" si="9"/>
        <v>0</v>
      </c>
      <c r="AM30" s="465"/>
      <c r="AN30" s="465">
        <v>30000000</v>
      </c>
      <c r="AO30" s="465">
        <v>30000000</v>
      </c>
      <c r="AP30" s="543">
        <f t="shared" si="10"/>
        <v>0</v>
      </c>
      <c r="AQ30" s="488"/>
      <c r="AR30" s="465">
        <v>3000000</v>
      </c>
      <c r="AS30" s="465">
        <v>3000000</v>
      </c>
      <c r="AT30" s="543">
        <f t="shared" si="11"/>
        <v>0</v>
      </c>
      <c r="AU30" s="594"/>
      <c r="AV30" s="465">
        <v>2000000</v>
      </c>
      <c r="AW30" s="465">
        <v>1229805</v>
      </c>
      <c r="AX30" s="543">
        <f t="shared" si="12"/>
        <v>770195</v>
      </c>
      <c r="AY30" s="488"/>
      <c r="AZ30" s="465">
        <v>10000000</v>
      </c>
      <c r="BA30" s="283">
        <v>10000000</v>
      </c>
      <c r="BB30" s="543">
        <f t="shared" si="13"/>
        <v>0</v>
      </c>
      <c r="BC30" s="488"/>
      <c r="BD30" s="465">
        <v>0</v>
      </c>
      <c r="BE30" s="465">
        <v>0</v>
      </c>
      <c r="BF30" s="543">
        <f t="shared" si="14"/>
        <v>0</v>
      </c>
      <c r="BG30" s="488"/>
      <c r="BH30" s="465">
        <v>0</v>
      </c>
      <c r="BI30" s="465">
        <v>0</v>
      </c>
      <c r="BJ30" s="543">
        <f t="shared" si="15"/>
        <v>0</v>
      </c>
      <c r="BK30" s="488"/>
      <c r="BL30" s="465"/>
      <c r="BM30" s="465">
        <v>0</v>
      </c>
      <c r="BN30" s="543">
        <f t="shared" si="16"/>
        <v>0</v>
      </c>
      <c r="BO30" s="488"/>
      <c r="BP30" s="465"/>
      <c r="BQ30" s="465">
        <v>0</v>
      </c>
      <c r="BR30" s="543">
        <f t="shared" si="17"/>
        <v>0</v>
      </c>
      <c r="BS30" s="488"/>
      <c r="BT30" s="465">
        <v>0</v>
      </c>
      <c r="BU30" s="465">
        <v>0</v>
      </c>
      <c r="BV30" s="543">
        <f t="shared" si="18"/>
        <v>0</v>
      </c>
      <c r="BW30" s="488"/>
      <c r="BX30" s="465">
        <v>0</v>
      </c>
      <c r="BY30" s="465">
        <v>0</v>
      </c>
      <c r="BZ30" s="543">
        <f t="shared" si="19"/>
        <v>0</v>
      </c>
      <c r="CA30" s="488"/>
      <c r="CB30" s="468">
        <v>80000000</v>
      </c>
      <c r="CC30" s="505">
        <f>73650000+6300000</f>
        <v>79950000</v>
      </c>
      <c r="CD30" s="543">
        <f t="shared" si="20"/>
        <v>50000</v>
      </c>
      <c r="CE30" s="488"/>
      <c r="CF30" s="468">
        <v>10000000</v>
      </c>
      <c r="CG30" s="468">
        <v>10000000</v>
      </c>
      <c r="CH30" s="543">
        <f t="shared" si="21"/>
        <v>0</v>
      </c>
      <c r="CI30" s="488"/>
      <c r="CJ30" s="468">
        <v>10000000</v>
      </c>
      <c r="CK30" s="468">
        <v>10000000</v>
      </c>
      <c r="CL30" s="543">
        <f t="shared" si="22"/>
        <v>0</v>
      </c>
      <c r="CM30" s="488"/>
      <c r="CN30" s="468">
        <v>30000000</v>
      </c>
      <c r="CO30" s="468">
        <f>28202298+1797702</f>
        <v>30000000</v>
      </c>
      <c r="CP30" s="543">
        <f t="shared" si="23"/>
        <v>0</v>
      </c>
      <c r="CQ30" s="488"/>
      <c r="CR30" s="465">
        <v>5000000</v>
      </c>
      <c r="CS30" s="468">
        <v>5000000</v>
      </c>
      <c r="CT30" s="465">
        <f t="shared" si="24"/>
        <v>0</v>
      </c>
      <c r="CU30" s="488"/>
      <c r="CV30" s="525">
        <v>0</v>
      </c>
      <c r="CW30" s="465">
        <v>0</v>
      </c>
      <c r="CX30" s="543">
        <f t="shared" si="25"/>
        <v>0</v>
      </c>
      <c r="CY30" s="471"/>
      <c r="CZ30" s="468">
        <v>0</v>
      </c>
      <c r="DA30" s="468">
        <v>0</v>
      </c>
      <c r="DB30" s="543">
        <f t="shared" si="26"/>
        <v>0</v>
      </c>
      <c r="DC30" s="471"/>
      <c r="DD30" s="468">
        <v>0</v>
      </c>
      <c r="DE30" s="468">
        <v>0</v>
      </c>
      <c r="DF30" s="543">
        <f t="shared" si="27"/>
        <v>0</v>
      </c>
      <c r="DG30" s="488"/>
      <c r="DH30" s="468">
        <v>0</v>
      </c>
      <c r="DI30" s="468">
        <v>0</v>
      </c>
      <c r="DJ30" s="543">
        <f t="shared" si="28"/>
        <v>0</v>
      </c>
      <c r="DK30" s="488"/>
      <c r="DL30" s="465">
        <v>0</v>
      </c>
      <c r="DM30" s="468">
        <v>0</v>
      </c>
      <c r="DN30" s="465">
        <f t="shared" si="29"/>
        <v>0</v>
      </c>
      <c r="DO30" s="488"/>
      <c r="DP30" s="471">
        <v>0</v>
      </c>
      <c r="DQ30" s="471">
        <v>0</v>
      </c>
      <c r="DR30" s="471">
        <f t="shared" si="30"/>
        <v>0</v>
      </c>
      <c r="DT30" s="471">
        <v>60000000</v>
      </c>
      <c r="DU30" s="471">
        <f>9604600+3450000+30000000+15300000+1645400</f>
        <v>60000000</v>
      </c>
      <c r="DV30" s="471">
        <f t="shared" si="31"/>
        <v>0</v>
      </c>
      <c r="DX30" s="471">
        <v>10000000</v>
      </c>
      <c r="DY30" s="471">
        <f>4916500+5119739.4</f>
        <v>10036239.4</v>
      </c>
      <c r="DZ30" s="471">
        <f t="shared" si="32"/>
        <v>-36239.400000000373</v>
      </c>
      <c r="EB30" s="471">
        <v>10000000</v>
      </c>
      <c r="EC30" s="471">
        <v>5884800</v>
      </c>
      <c r="ED30" s="471">
        <f t="shared" si="33"/>
        <v>4115200</v>
      </c>
      <c r="EF30" s="471">
        <v>20000000</v>
      </c>
      <c r="EG30" s="471">
        <f>878000+1405558+4009084+6070500</f>
        <v>12363142</v>
      </c>
      <c r="EH30" s="471">
        <f t="shared" si="34"/>
        <v>7636858</v>
      </c>
      <c r="EJ30" s="471">
        <v>3000000</v>
      </c>
      <c r="EK30" s="471">
        <f>1800000+1200000</f>
        <v>3000000</v>
      </c>
      <c r="EL30" s="471">
        <f t="shared" si="35"/>
        <v>0</v>
      </c>
      <c r="EM30" s="634"/>
      <c r="EN30" s="475">
        <v>0</v>
      </c>
      <c r="EO30" s="465">
        <v>0</v>
      </c>
      <c r="EP30" s="465">
        <f t="shared" si="36"/>
        <v>0</v>
      </c>
      <c r="EQ30" s="107"/>
      <c r="ER30" s="107"/>
      <c r="ES30" s="465">
        <v>0</v>
      </c>
      <c r="ET30" s="465">
        <f t="shared" si="37"/>
        <v>0</v>
      </c>
      <c r="EU30" s="107"/>
      <c r="EV30" s="107"/>
      <c r="EW30" s="475">
        <v>0</v>
      </c>
      <c r="EX30" s="465">
        <f t="shared" si="38"/>
        <v>0</v>
      </c>
      <c r="EY30" s="107"/>
      <c r="EZ30" s="107"/>
      <c r="FA30" s="465">
        <v>0</v>
      </c>
      <c r="FB30" s="465">
        <f t="shared" si="39"/>
        <v>0</v>
      </c>
      <c r="FC30" s="465"/>
      <c r="FD30" s="465">
        <f>FB30-FC30</f>
        <v>0</v>
      </c>
      <c r="FE30" s="465">
        <v>0</v>
      </c>
      <c r="FF30" s="465">
        <f t="shared" si="40"/>
        <v>0</v>
      </c>
      <c r="FG30" s="107"/>
      <c r="FH30" s="637">
        <v>65000000</v>
      </c>
      <c r="FI30" s="637">
        <f>32400000+22200000+10054600</f>
        <v>64654600</v>
      </c>
      <c r="FJ30" s="637">
        <f t="shared" ref="FJ30" si="58">FH30-FI30</f>
        <v>345400</v>
      </c>
      <c r="FK30" s="637"/>
      <c r="FL30" s="637">
        <v>8000000</v>
      </c>
      <c r="FM30" s="637">
        <v>0</v>
      </c>
      <c r="FN30" s="637">
        <f t="shared" ref="FN30" si="59">FL30-FM30</f>
        <v>8000000</v>
      </c>
      <c r="FO30" s="637"/>
      <c r="FP30" s="637">
        <v>5000000</v>
      </c>
      <c r="FQ30" s="637">
        <v>0</v>
      </c>
      <c r="FR30" s="637">
        <f t="shared" ref="FR30" si="60">FP30-FQ30</f>
        <v>5000000</v>
      </c>
      <c r="FS30" s="637"/>
      <c r="FT30" s="637">
        <v>18000000</v>
      </c>
      <c r="FU30" s="637">
        <v>0</v>
      </c>
      <c r="FV30" s="637">
        <f t="shared" ref="FV30" si="61">FT30-FU30</f>
        <v>18000000</v>
      </c>
      <c r="FW30" s="637"/>
      <c r="FX30" s="637">
        <v>3000000</v>
      </c>
      <c r="FY30" s="643">
        <v>2550000</v>
      </c>
      <c r="FZ30" s="637">
        <f t="shared" ref="FZ30" si="62">FX30-FY30</f>
        <v>450000</v>
      </c>
      <c r="GA30" s="637"/>
      <c r="GB30" s="644">
        <v>0</v>
      </c>
      <c r="GC30" s="644"/>
      <c r="GD30" s="644"/>
      <c r="GE30" s="644"/>
      <c r="GF30" s="644"/>
      <c r="GG30" s="644"/>
      <c r="GH30" s="644"/>
      <c r="GI30" s="644"/>
      <c r="GJ30" s="644"/>
      <c r="GK30" s="644"/>
      <c r="GL30" s="644"/>
      <c r="GM30" s="644"/>
      <c r="GN30" s="644"/>
      <c r="GO30" s="644"/>
      <c r="GP30" s="644"/>
      <c r="GQ30" s="644"/>
      <c r="GR30" s="644"/>
      <c r="GS30" s="644"/>
      <c r="GT30" s="644"/>
      <c r="GU30" s="637"/>
      <c r="GV30" s="587">
        <f t="shared" si="50"/>
        <v>416500000</v>
      </c>
      <c r="GW30" s="587">
        <f t="shared" si="50"/>
        <v>372168586.39999998</v>
      </c>
      <c r="GX30" s="468">
        <f t="shared" si="51"/>
        <v>44331413.600000024</v>
      </c>
      <c r="GZ30" s="519"/>
      <c r="HA30" s="468">
        <f>D30+H30+L30+X30+AN30+BH30+CB30+CV30+DT30+EN30+FH30+GB30</f>
        <v>266000000</v>
      </c>
      <c r="HB30" s="468">
        <f>E30+I30+M30+Y30+AO30+BI30+CC30+CW30+DU30+EO30+FI30+GC30</f>
        <v>265604600</v>
      </c>
      <c r="HC30" s="471">
        <f t="shared" si="52"/>
        <v>395400</v>
      </c>
      <c r="HE30" s="471">
        <f>P30+AB30+AR30+BL30+CF30+CZ30+DX30+ER30+FL30+GF30</f>
        <v>33500000</v>
      </c>
      <c r="HF30" s="471">
        <f>Q30+AC30+AS30+BM30+CG30+DA30+DY30+ES30+FM30+GG30</f>
        <v>25536239.399999999</v>
      </c>
      <c r="HG30" s="471">
        <f t="shared" si="53"/>
        <v>7963760.6000000015</v>
      </c>
      <c r="HI30" s="471">
        <f>T30+AF30+AV30+BP30+CJ30+DD30+EB30+EV30+FP30+GJ30</f>
        <v>28000000</v>
      </c>
      <c r="HJ30" s="471">
        <f>U30+AG30+AW30+BQ30+CK30+DE30+EC30+EW30+FQ30+GK30</f>
        <v>18114605</v>
      </c>
      <c r="HK30" s="471">
        <f t="shared" si="54"/>
        <v>9885395</v>
      </c>
      <c r="HN30" s="471">
        <f>AJ30+AZ30+BT30+CN30+DH30+DP30+EF30+EZ30+FT30+GN30</f>
        <v>78000000</v>
      </c>
      <c r="HO30" s="471">
        <f>AK30+BA30+BU30+CO30+DI30+DQ30+EG30+FA30+FU30+GO30</f>
        <v>52363142</v>
      </c>
      <c r="HP30" s="471">
        <f t="shared" si="55"/>
        <v>25636858</v>
      </c>
      <c r="HR30" s="531"/>
      <c r="HT30" s="471">
        <f>BX30+CR30+DL30+EJ30+FD30+FX30+GR30</f>
        <v>11000000</v>
      </c>
      <c r="HU30" s="471">
        <f>BY30+CS30+DM30+EK30+FE30+FY30+GS30</f>
        <v>10550000</v>
      </c>
      <c r="HV30" s="471">
        <f t="shared" si="56"/>
        <v>450000</v>
      </c>
      <c r="HX30" s="473">
        <f t="shared" si="57"/>
        <v>2550000</v>
      </c>
      <c r="HY30" s="474">
        <v>8000000</v>
      </c>
      <c r="ID30" s="473">
        <f>HU30+HO30+HJ30+HF30+HB30</f>
        <v>372168586.39999998</v>
      </c>
      <c r="IE30" s="473">
        <f>HV30+HP30+HK30+HG30+HC30</f>
        <v>44331413.600000001</v>
      </c>
      <c r="IF30" s="473"/>
    </row>
    <row r="31" spans="1:240" x14ac:dyDescent="0.25">
      <c r="A31" s="107">
        <v>28</v>
      </c>
      <c r="B31" s="107" t="s">
        <v>567</v>
      </c>
      <c r="C31" s="645"/>
      <c r="D31" s="488">
        <v>1000000</v>
      </c>
      <c r="E31" s="488">
        <v>1000000</v>
      </c>
      <c r="F31" s="475">
        <f t="shared" si="1"/>
        <v>0</v>
      </c>
      <c r="G31" s="488"/>
      <c r="H31" s="465">
        <v>8021360</v>
      </c>
      <c r="I31" s="465">
        <v>8021360</v>
      </c>
      <c r="J31" s="463">
        <f t="shared" si="2"/>
        <v>0</v>
      </c>
      <c r="K31" s="488"/>
      <c r="L31" s="465">
        <v>0</v>
      </c>
      <c r="M31" s="465">
        <v>0</v>
      </c>
      <c r="N31" s="543">
        <f t="shared" si="3"/>
        <v>0</v>
      </c>
      <c r="O31" s="488"/>
      <c r="P31" s="465">
        <v>2500000</v>
      </c>
      <c r="Q31" s="465">
        <v>2500000</v>
      </c>
      <c r="R31" s="543">
        <f t="shared" si="4"/>
        <v>0</v>
      </c>
      <c r="S31" s="488"/>
      <c r="T31" s="465">
        <v>1000000</v>
      </c>
      <c r="U31" s="465">
        <v>1000000</v>
      </c>
      <c r="V31" s="543">
        <f t="shared" si="5"/>
        <v>0</v>
      </c>
      <c r="W31" s="488"/>
      <c r="X31" s="465">
        <v>20000000</v>
      </c>
      <c r="Y31" s="465">
        <v>20000000</v>
      </c>
      <c r="Z31" s="543">
        <f t="shared" si="6"/>
        <v>0</v>
      </c>
      <c r="AA31" s="488"/>
      <c r="AB31" s="465">
        <v>500000</v>
      </c>
      <c r="AC31" s="465">
        <v>500000</v>
      </c>
      <c r="AD31" s="543">
        <f t="shared" si="7"/>
        <v>0</v>
      </c>
      <c r="AE31" s="488"/>
      <c r="AF31" s="465">
        <v>1550000</v>
      </c>
      <c r="AG31" s="465">
        <v>1550000</v>
      </c>
      <c r="AH31" s="543">
        <f t="shared" si="8"/>
        <v>0</v>
      </c>
      <c r="AI31" s="488"/>
      <c r="AJ31" s="465">
        <v>5428530</v>
      </c>
      <c r="AK31" s="465">
        <v>5428530</v>
      </c>
      <c r="AL31" s="543">
        <f t="shared" si="9"/>
        <v>0</v>
      </c>
      <c r="AM31" s="519"/>
      <c r="AN31" s="465">
        <v>0</v>
      </c>
      <c r="AO31" s="465">
        <v>0</v>
      </c>
      <c r="AP31" s="543">
        <f t="shared" si="10"/>
        <v>0</v>
      </c>
      <c r="AQ31" s="488"/>
      <c r="AR31" s="465">
        <v>0</v>
      </c>
      <c r="AS31" s="465">
        <v>0</v>
      </c>
      <c r="AT31" s="543">
        <f t="shared" si="11"/>
        <v>0</v>
      </c>
      <c r="AU31" s="488"/>
      <c r="AV31" s="465">
        <v>0</v>
      </c>
      <c r="AW31" s="465">
        <v>0</v>
      </c>
      <c r="AX31" s="543">
        <f t="shared" si="12"/>
        <v>0</v>
      </c>
      <c r="AY31" s="488"/>
      <c r="AZ31" s="465">
        <v>0</v>
      </c>
      <c r="BA31" s="465">
        <v>0</v>
      </c>
      <c r="BB31" s="543">
        <f t="shared" si="13"/>
        <v>0</v>
      </c>
      <c r="BC31" s="488"/>
      <c r="BD31" s="465">
        <v>0</v>
      </c>
      <c r="BE31" s="465">
        <v>0</v>
      </c>
      <c r="BF31" s="543">
        <f t="shared" si="14"/>
        <v>0</v>
      </c>
      <c r="BG31" s="488"/>
      <c r="BH31" s="465">
        <v>0</v>
      </c>
      <c r="BI31" s="465">
        <v>0</v>
      </c>
      <c r="BJ31" s="543">
        <f t="shared" si="15"/>
        <v>0</v>
      </c>
      <c r="BK31" s="488"/>
      <c r="BL31" s="465">
        <v>0</v>
      </c>
      <c r="BM31" s="465">
        <v>0</v>
      </c>
      <c r="BN31" s="543">
        <f t="shared" si="16"/>
        <v>0</v>
      </c>
      <c r="BO31" s="488"/>
      <c r="BP31" s="465">
        <v>0</v>
      </c>
      <c r="BQ31" s="465">
        <v>0</v>
      </c>
      <c r="BR31" s="543">
        <f t="shared" si="17"/>
        <v>0</v>
      </c>
      <c r="BS31" s="488"/>
      <c r="BT31" s="465">
        <v>0</v>
      </c>
      <c r="BU31" s="465">
        <v>0</v>
      </c>
      <c r="BV31" s="543">
        <f t="shared" si="18"/>
        <v>0</v>
      </c>
      <c r="BW31" s="488"/>
      <c r="BX31" s="465">
        <v>0</v>
      </c>
      <c r="BY31" s="465">
        <v>0</v>
      </c>
      <c r="BZ31" s="543">
        <f t="shared" si="19"/>
        <v>0</v>
      </c>
      <c r="CA31" s="488"/>
      <c r="CB31" s="465">
        <v>0</v>
      </c>
      <c r="CC31" s="465">
        <v>0</v>
      </c>
      <c r="CD31" s="543">
        <f t="shared" si="20"/>
        <v>0</v>
      </c>
      <c r="CE31" s="488"/>
      <c r="CF31" s="465">
        <v>0</v>
      </c>
      <c r="CG31" s="468">
        <v>0</v>
      </c>
      <c r="CH31" s="543">
        <f t="shared" si="21"/>
        <v>0</v>
      </c>
      <c r="CI31" s="488"/>
      <c r="CJ31" s="465">
        <v>0</v>
      </c>
      <c r="CK31" s="468">
        <v>0</v>
      </c>
      <c r="CL31" s="543">
        <f t="shared" si="22"/>
        <v>0</v>
      </c>
      <c r="CM31" s="488"/>
      <c r="CN31" s="465">
        <v>0</v>
      </c>
      <c r="CO31" s="468">
        <v>0</v>
      </c>
      <c r="CP31" s="543">
        <f t="shared" si="23"/>
        <v>0</v>
      </c>
      <c r="CQ31" s="488"/>
      <c r="CR31" s="465">
        <v>0</v>
      </c>
      <c r="CS31" s="468">
        <v>0</v>
      </c>
      <c r="CT31" s="465">
        <f t="shared" si="24"/>
        <v>0</v>
      </c>
      <c r="CU31" s="488"/>
      <c r="CV31" s="525">
        <v>0</v>
      </c>
      <c r="CW31" s="465">
        <v>0</v>
      </c>
      <c r="CX31" s="543">
        <f t="shared" si="25"/>
        <v>0</v>
      </c>
      <c r="CY31" s="471"/>
      <c r="CZ31" s="468">
        <v>0</v>
      </c>
      <c r="DA31" s="468">
        <v>0</v>
      </c>
      <c r="DB31" s="543">
        <f t="shared" si="26"/>
        <v>0</v>
      </c>
      <c r="DC31" s="471"/>
      <c r="DD31" s="468">
        <v>0</v>
      </c>
      <c r="DE31" s="468">
        <v>0</v>
      </c>
      <c r="DF31" s="543">
        <f t="shared" si="27"/>
        <v>0</v>
      </c>
      <c r="DG31" s="488"/>
      <c r="DH31" s="468">
        <v>0</v>
      </c>
      <c r="DI31" s="468">
        <v>0</v>
      </c>
      <c r="DJ31" s="543">
        <f t="shared" si="28"/>
        <v>0</v>
      </c>
      <c r="DK31" s="488"/>
      <c r="DL31" s="465">
        <v>0</v>
      </c>
      <c r="DM31" s="468">
        <v>0</v>
      </c>
      <c r="DN31" s="465">
        <f t="shared" si="29"/>
        <v>0</v>
      </c>
      <c r="DO31" s="488"/>
      <c r="DP31" s="471">
        <v>0</v>
      </c>
      <c r="DQ31" s="471">
        <v>0</v>
      </c>
      <c r="DR31" s="471">
        <f t="shared" si="30"/>
        <v>0</v>
      </c>
      <c r="DT31" s="471">
        <v>60000000</v>
      </c>
      <c r="DU31" s="471">
        <f>51566630+8176000-1000000-1071360</f>
        <v>57671270</v>
      </c>
      <c r="DV31" s="471">
        <f t="shared" si="31"/>
        <v>2328730</v>
      </c>
      <c r="DX31" s="471">
        <v>10000000</v>
      </c>
      <c r="DY31" s="471">
        <v>9662500</v>
      </c>
      <c r="DZ31" s="471">
        <f t="shared" si="32"/>
        <v>337500</v>
      </c>
      <c r="EB31" s="471">
        <v>10000000</v>
      </c>
      <c r="EC31" s="471">
        <v>0</v>
      </c>
      <c r="ED31" s="471">
        <f t="shared" si="33"/>
        <v>10000000</v>
      </c>
      <c r="EF31" s="471">
        <v>20000000</v>
      </c>
      <c r="EG31" s="471">
        <f>1440500+4660700+1000000+1071360+2715990+1709670.65</f>
        <v>12598220.65</v>
      </c>
      <c r="EH31" s="471">
        <f t="shared" si="34"/>
        <v>7401779.3499999996</v>
      </c>
      <c r="EJ31" s="471">
        <v>3000000</v>
      </c>
      <c r="EK31" s="471">
        <v>0</v>
      </c>
      <c r="EL31" s="471">
        <f t="shared" si="35"/>
        <v>3000000</v>
      </c>
      <c r="EM31" s="645"/>
      <c r="EN31" s="465">
        <v>0</v>
      </c>
      <c r="EO31" s="465">
        <v>0</v>
      </c>
      <c r="EP31" s="465">
        <f t="shared" si="36"/>
        <v>0</v>
      </c>
      <c r="EQ31" s="465"/>
      <c r="ER31" s="465"/>
      <c r="ES31" s="465">
        <v>0</v>
      </c>
      <c r="ET31" s="465">
        <f t="shared" si="37"/>
        <v>0</v>
      </c>
      <c r="EU31" s="465"/>
      <c r="EV31" s="465"/>
      <c r="EW31" s="465">
        <v>0</v>
      </c>
      <c r="EX31" s="465">
        <f t="shared" si="38"/>
        <v>0</v>
      </c>
      <c r="EY31" s="465"/>
      <c r="EZ31" s="465"/>
      <c r="FA31" s="465">
        <v>0</v>
      </c>
      <c r="FB31" s="465">
        <f t="shared" si="39"/>
        <v>0</v>
      </c>
      <c r="FC31" s="465"/>
      <c r="FD31" s="465">
        <f>FB31-FC31</f>
        <v>0</v>
      </c>
      <c r="FE31" s="465">
        <v>0</v>
      </c>
      <c r="FF31" s="465">
        <f t="shared" si="40"/>
        <v>0</v>
      </c>
      <c r="FG31" s="465"/>
      <c r="FH31" s="637"/>
      <c r="FI31" s="637"/>
      <c r="FJ31" s="637"/>
      <c r="FK31" s="637"/>
      <c r="FL31" s="637"/>
      <c r="FM31" s="637"/>
      <c r="FN31" s="637"/>
      <c r="FO31" s="637"/>
      <c r="FP31" s="637"/>
      <c r="FQ31" s="637"/>
      <c r="FR31" s="637"/>
      <c r="FS31" s="637"/>
      <c r="FT31" s="637"/>
      <c r="FU31" s="637"/>
      <c r="FV31" s="637"/>
      <c r="FW31" s="637"/>
      <c r="FX31" s="637"/>
      <c r="FY31" s="637"/>
      <c r="FZ31" s="637"/>
      <c r="GA31" s="637"/>
      <c r="GB31" s="637">
        <v>90000000</v>
      </c>
      <c r="GC31" s="637">
        <v>0</v>
      </c>
      <c r="GD31" s="637">
        <f>GB31-GC31</f>
        <v>90000000</v>
      </c>
      <c r="GE31" s="637"/>
      <c r="GF31" s="637">
        <v>22000000</v>
      </c>
      <c r="GG31" s="637">
        <v>0</v>
      </c>
      <c r="GH31" s="637">
        <f>GF31-GG31</f>
        <v>22000000</v>
      </c>
      <c r="GI31" s="637"/>
      <c r="GJ31" s="637">
        <v>3000000</v>
      </c>
      <c r="GK31" s="637">
        <v>0</v>
      </c>
      <c r="GL31" s="637">
        <f t="shared" ref="GL31" si="63">GJ31-GK31</f>
        <v>3000000</v>
      </c>
      <c r="GM31" s="637"/>
      <c r="GN31" s="637">
        <v>12000000</v>
      </c>
      <c r="GO31" s="637">
        <v>0</v>
      </c>
      <c r="GP31" s="637">
        <f t="shared" ref="GP31" si="64">GN31-GO31</f>
        <v>12000000</v>
      </c>
      <c r="GQ31" s="637"/>
      <c r="GR31" s="637">
        <v>3000000</v>
      </c>
      <c r="GS31" s="637">
        <v>0</v>
      </c>
      <c r="GT31" s="637">
        <f t="shared" ref="GT31" si="65">GR31-GS31</f>
        <v>3000000</v>
      </c>
      <c r="GU31" s="637"/>
      <c r="GV31" s="587">
        <f t="shared" si="50"/>
        <v>272999890</v>
      </c>
      <c r="GW31" s="587">
        <f t="shared" si="50"/>
        <v>119931880.65000001</v>
      </c>
      <c r="GX31" s="468">
        <f t="shared" si="51"/>
        <v>153068009.34999999</v>
      </c>
      <c r="GZ31" s="519"/>
      <c r="HA31" s="468">
        <f>D31+H31+L31+X31+AN31+BH31+CB31+CV31+DT31+EN31+FH31+GB31</f>
        <v>179021360</v>
      </c>
      <c r="HB31" s="468">
        <f>E31+I31+M31+Y31+AO31+BI31+CC31+CW31+DU31+EO31+FI31+GC31</f>
        <v>86692630</v>
      </c>
      <c r="HC31" s="471">
        <f t="shared" si="52"/>
        <v>92328730</v>
      </c>
      <c r="HE31" s="471">
        <f>P31+AB31+AR31+BL31+CF31+CZ31+DX31+ER31+FL31+GF31</f>
        <v>35000000</v>
      </c>
      <c r="HF31" s="471">
        <f>Q31+AC31+AS31+BM31+CG31+DA31+DY31+ES31+FM31+GG31</f>
        <v>12662500</v>
      </c>
      <c r="HG31" s="471">
        <f t="shared" si="53"/>
        <v>22337500</v>
      </c>
      <c r="HI31" s="471">
        <f>T31+AF31+AV31+BP31+CJ31+DD31+EB31+EV31+FP31+GJ31</f>
        <v>15550000</v>
      </c>
      <c r="HJ31" s="471">
        <f>U31+AG31+AW31+BQ31+CK31+DE31+EC31+EW31+FQ31+GK31</f>
        <v>2550000</v>
      </c>
      <c r="HK31" s="471">
        <f t="shared" si="54"/>
        <v>13000000</v>
      </c>
      <c r="HN31" s="471">
        <f>AJ31+AZ31+BT31+CN31+DH31+DP31+EF31+EZ31+FT31+GN31</f>
        <v>37428530</v>
      </c>
      <c r="HO31" s="471">
        <f>AK31+BA31+BU31+CO31+DI31+DQ31+EG31+FA31+FU31+GO31</f>
        <v>18026750.649999999</v>
      </c>
      <c r="HP31" s="471">
        <f t="shared" si="55"/>
        <v>19401779.350000001</v>
      </c>
      <c r="HR31" s="531" t="s">
        <v>568</v>
      </c>
      <c r="HT31" s="471">
        <f>BX31+CR31+DL31+EJ31+FD31+FX31+GR31</f>
        <v>6000000</v>
      </c>
      <c r="HU31" s="471">
        <f>BY31+CS31+DM31+EK31+FE31+FY31+GS31</f>
        <v>0</v>
      </c>
      <c r="HV31" s="471">
        <f t="shared" si="56"/>
        <v>6000000</v>
      </c>
      <c r="HX31" s="473">
        <f t="shared" si="57"/>
        <v>0</v>
      </c>
      <c r="HY31" s="474">
        <v>0</v>
      </c>
      <c r="ID31" s="473">
        <f>HU31+HO31+HJ31+HF31+HB31</f>
        <v>119931880.65000001</v>
      </c>
      <c r="IE31" s="473">
        <f>HV31+HP31+HK31+HG31+HC31</f>
        <v>153068009.34999999</v>
      </c>
      <c r="IF31" s="473"/>
    </row>
    <row r="32" spans="1:240" x14ac:dyDescent="0.25">
      <c r="A32" s="107">
        <v>29</v>
      </c>
      <c r="B32" s="107" t="s">
        <v>348</v>
      </c>
      <c r="C32" s="634" t="s">
        <v>74</v>
      </c>
      <c r="D32" s="488">
        <v>1000000</v>
      </c>
      <c r="E32" s="488">
        <v>1000000</v>
      </c>
      <c r="F32" s="475">
        <f t="shared" si="1"/>
        <v>0</v>
      </c>
      <c r="G32" s="488"/>
      <c r="H32" s="465">
        <v>15000000</v>
      </c>
      <c r="I32" s="465">
        <v>15000000</v>
      </c>
      <c r="J32" s="463">
        <f t="shared" si="2"/>
        <v>0</v>
      </c>
      <c r="K32" s="488"/>
      <c r="L32" s="465">
        <v>15000000</v>
      </c>
      <c r="M32" s="465">
        <v>15000000</v>
      </c>
      <c r="N32" s="543">
        <f t="shared" si="3"/>
        <v>0</v>
      </c>
      <c r="O32" s="488"/>
      <c r="P32" s="465">
        <v>2500000</v>
      </c>
      <c r="Q32" s="465">
        <v>2500000</v>
      </c>
      <c r="R32" s="543">
        <f t="shared" si="4"/>
        <v>0</v>
      </c>
      <c r="S32" s="488"/>
      <c r="T32" s="465">
        <v>1000000</v>
      </c>
      <c r="U32" s="465">
        <v>1000000</v>
      </c>
      <c r="V32" s="543">
        <f t="shared" si="5"/>
        <v>0</v>
      </c>
      <c r="W32" s="488"/>
      <c r="X32" s="465">
        <v>0</v>
      </c>
      <c r="Y32" s="465">
        <v>0</v>
      </c>
      <c r="Z32" s="543">
        <f t="shared" si="6"/>
        <v>0</v>
      </c>
      <c r="AA32" s="488"/>
      <c r="AB32" s="465">
        <v>0</v>
      </c>
      <c r="AC32" s="465">
        <v>0</v>
      </c>
      <c r="AD32" s="543">
        <f t="shared" si="7"/>
        <v>0</v>
      </c>
      <c r="AE32" s="488"/>
      <c r="AF32" s="465">
        <v>0</v>
      </c>
      <c r="AG32" s="465">
        <v>0</v>
      </c>
      <c r="AH32" s="543">
        <f t="shared" si="8"/>
        <v>0</v>
      </c>
      <c r="AI32" s="488"/>
      <c r="AJ32" s="465">
        <v>0</v>
      </c>
      <c r="AK32" s="519">
        <v>0</v>
      </c>
      <c r="AL32" s="543">
        <f t="shared" si="9"/>
        <v>0</v>
      </c>
      <c r="AM32" s="465"/>
      <c r="AN32" s="465">
        <v>30000000</v>
      </c>
      <c r="AO32" s="465">
        <v>30000000</v>
      </c>
      <c r="AP32" s="543">
        <f t="shared" si="10"/>
        <v>0</v>
      </c>
      <c r="AQ32" s="488"/>
      <c r="AR32" s="465">
        <v>3000000</v>
      </c>
      <c r="AS32" s="465">
        <v>3000000</v>
      </c>
      <c r="AT32" s="543">
        <f t="shared" si="11"/>
        <v>0</v>
      </c>
      <c r="AU32" s="488"/>
      <c r="AV32" s="465">
        <v>2000000</v>
      </c>
      <c r="AW32" s="465">
        <v>1500000</v>
      </c>
      <c r="AX32" s="543">
        <f t="shared" si="12"/>
        <v>500000</v>
      </c>
      <c r="AY32" s="488"/>
      <c r="AZ32" s="465">
        <v>10000000</v>
      </c>
      <c r="BA32" s="465">
        <v>10000000</v>
      </c>
      <c r="BB32" s="543">
        <f t="shared" si="13"/>
        <v>0</v>
      </c>
      <c r="BC32" s="488"/>
      <c r="BD32" s="465">
        <v>0</v>
      </c>
      <c r="BE32" s="465">
        <v>0</v>
      </c>
      <c r="BF32" s="543">
        <f t="shared" si="14"/>
        <v>0</v>
      </c>
      <c r="BG32" s="488"/>
      <c r="BH32" s="465">
        <v>0</v>
      </c>
      <c r="BI32" s="465">
        <v>0</v>
      </c>
      <c r="BJ32" s="543">
        <f t="shared" si="15"/>
        <v>0</v>
      </c>
      <c r="BK32" s="488"/>
      <c r="BL32" s="465">
        <v>0</v>
      </c>
      <c r="BM32" s="465">
        <v>0</v>
      </c>
      <c r="BN32" s="543">
        <f t="shared" si="16"/>
        <v>0</v>
      </c>
      <c r="BO32" s="488"/>
      <c r="BP32" s="465">
        <v>0</v>
      </c>
      <c r="BQ32" s="465">
        <v>0</v>
      </c>
      <c r="BR32" s="543">
        <f t="shared" si="17"/>
        <v>0</v>
      </c>
      <c r="BS32" s="488"/>
      <c r="BT32" s="465">
        <v>0</v>
      </c>
      <c r="BU32" s="465">
        <v>0</v>
      </c>
      <c r="BV32" s="543">
        <f t="shared" si="18"/>
        <v>0</v>
      </c>
      <c r="BW32" s="488"/>
      <c r="BX32" s="465">
        <v>0</v>
      </c>
      <c r="BY32" s="465">
        <v>0</v>
      </c>
      <c r="BZ32" s="543">
        <f t="shared" si="19"/>
        <v>0</v>
      </c>
      <c r="CA32" s="488"/>
      <c r="CB32" s="468">
        <v>80000000</v>
      </c>
      <c r="CC32" s="465">
        <f>79514688.04+485311.96</f>
        <v>80000000</v>
      </c>
      <c r="CD32" s="543">
        <f t="shared" si="20"/>
        <v>0</v>
      </c>
      <c r="CE32" s="488"/>
      <c r="CF32" s="468">
        <v>10000000</v>
      </c>
      <c r="CG32" s="468">
        <f>9774510+225490</f>
        <v>10000000</v>
      </c>
      <c r="CH32" s="543">
        <f t="shared" si="21"/>
        <v>0</v>
      </c>
      <c r="CI32" s="488"/>
      <c r="CJ32" s="468">
        <v>10000000</v>
      </c>
      <c r="CK32" s="468">
        <v>0</v>
      </c>
      <c r="CL32" s="543">
        <f t="shared" si="22"/>
        <v>10000000</v>
      </c>
      <c r="CM32" s="488"/>
      <c r="CN32" s="468">
        <v>30000000</v>
      </c>
      <c r="CO32" s="468">
        <v>28649137</v>
      </c>
      <c r="CP32" s="543">
        <f t="shared" si="23"/>
        <v>1350863</v>
      </c>
      <c r="CQ32" s="488"/>
      <c r="CR32" s="465">
        <v>5000000</v>
      </c>
      <c r="CS32" s="468"/>
      <c r="CT32" s="465">
        <f t="shared" si="24"/>
        <v>5000000</v>
      </c>
      <c r="CU32" s="488"/>
      <c r="CV32" s="525">
        <v>0</v>
      </c>
      <c r="CW32" s="465">
        <v>0</v>
      </c>
      <c r="CX32" s="543">
        <f t="shared" si="25"/>
        <v>0</v>
      </c>
      <c r="CY32" s="471"/>
      <c r="CZ32" s="468">
        <v>0</v>
      </c>
      <c r="DA32" s="468">
        <v>0</v>
      </c>
      <c r="DB32" s="543">
        <f t="shared" si="26"/>
        <v>0</v>
      </c>
      <c r="DC32" s="471"/>
      <c r="DD32" s="468">
        <v>0</v>
      </c>
      <c r="DE32" s="468">
        <v>0</v>
      </c>
      <c r="DF32" s="543">
        <f t="shared" si="27"/>
        <v>0</v>
      </c>
      <c r="DG32" s="488"/>
      <c r="DH32" s="468">
        <v>0</v>
      </c>
      <c r="DI32" s="468">
        <v>0</v>
      </c>
      <c r="DJ32" s="543">
        <f t="shared" si="28"/>
        <v>0</v>
      </c>
      <c r="DK32" s="488"/>
      <c r="DL32" s="465">
        <v>0</v>
      </c>
      <c r="DM32" s="468">
        <v>0</v>
      </c>
      <c r="DN32" s="465">
        <f t="shared" si="29"/>
        <v>0</v>
      </c>
      <c r="DO32" s="488"/>
      <c r="DP32" s="471">
        <v>0</v>
      </c>
      <c r="DQ32" s="471">
        <v>0</v>
      </c>
      <c r="DR32" s="471">
        <f t="shared" si="30"/>
        <v>0</v>
      </c>
      <c r="DT32" s="471">
        <v>0</v>
      </c>
      <c r="DU32" s="471">
        <v>0</v>
      </c>
      <c r="DV32" s="471">
        <f t="shared" si="31"/>
        <v>0</v>
      </c>
      <c r="DX32" s="471">
        <v>0</v>
      </c>
      <c r="DY32" s="471">
        <v>0</v>
      </c>
      <c r="DZ32" s="471">
        <f t="shared" si="32"/>
        <v>0</v>
      </c>
      <c r="EB32" s="471">
        <v>0</v>
      </c>
      <c r="EC32" s="471">
        <v>0</v>
      </c>
      <c r="ED32" s="471">
        <f t="shared" si="33"/>
        <v>0</v>
      </c>
      <c r="EF32" s="471">
        <v>0</v>
      </c>
      <c r="EG32" s="471">
        <v>0</v>
      </c>
      <c r="EH32" s="471">
        <f t="shared" si="34"/>
        <v>0</v>
      </c>
      <c r="EJ32" s="471">
        <v>0</v>
      </c>
      <c r="EK32" s="471">
        <v>0</v>
      </c>
      <c r="EL32" s="471">
        <f t="shared" si="35"/>
        <v>0</v>
      </c>
      <c r="EM32" s="634"/>
      <c r="EN32" s="465">
        <v>200000000</v>
      </c>
      <c r="EO32" s="467">
        <f>30132169.59+32776000+33890000+33739500+55813222.5</f>
        <v>186350892.09</v>
      </c>
      <c r="EP32" s="465">
        <f t="shared" si="36"/>
        <v>13649107.909999996</v>
      </c>
      <c r="EQ32" s="465"/>
      <c r="ER32" s="465">
        <v>10000000</v>
      </c>
      <c r="ES32" s="465">
        <v>3947510</v>
      </c>
      <c r="ET32" s="465">
        <f t="shared" si="37"/>
        <v>6052490</v>
      </c>
      <c r="EU32" s="465"/>
      <c r="EV32" s="465">
        <v>10000000</v>
      </c>
      <c r="EW32" s="465">
        <v>0</v>
      </c>
      <c r="EX32" s="465">
        <f t="shared" si="38"/>
        <v>10000000</v>
      </c>
      <c r="EY32" s="465"/>
      <c r="EZ32" s="465">
        <v>25000000</v>
      </c>
      <c r="FA32" s="465">
        <f>3096390+12801400</f>
        <v>15897790</v>
      </c>
      <c r="FB32" s="465">
        <f t="shared" si="39"/>
        <v>9102210</v>
      </c>
      <c r="FC32" s="465"/>
      <c r="FD32" s="465">
        <v>3000000</v>
      </c>
      <c r="FE32" s="465">
        <v>0</v>
      </c>
      <c r="FF32" s="465">
        <f t="shared" si="40"/>
        <v>3000000</v>
      </c>
      <c r="FG32" s="465"/>
      <c r="FH32" s="637"/>
      <c r="FI32" s="637"/>
      <c r="FJ32" s="637"/>
      <c r="FK32" s="637"/>
      <c r="FL32" s="637"/>
      <c r="FM32" s="637"/>
      <c r="FN32" s="637"/>
      <c r="FO32" s="637"/>
      <c r="FP32" s="637"/>
      <c r="FQ32" s="637"/>
      <c r="FR32" s="637"/>
      <c r="FS32" s="637"/>
      <c r="FT32" s="637"/>
      <c r="FU32" s="637"/>
      <c r="FV32" s="637"/>
      <c r="FW32" s="637"/>
      <c r="FX32" s="637"/>
      <c r="FY32" s="637"/>
      <c r="FZ32" s="637"/>
      <c r="GA32" s="637"/>
      <c r="GB32" s="644"/>
      <c r="GC32" s="644"/>
      <c r="GD32" s="644"/>
      <c r="GE32" s="644"/>
      <c r="GF32" s="644"/>
      <c r="GG32" s="644"/>
      <c r="GH32" s="644"/>
      <c r="GI32" s="644"/>
      <c r="GJ32" s="644"/>
      <c r="GK32" s="644"/>
      <c r="GL32" s="644"/>
      <c r="GM32" s="644"/>
      <c r="GN32" s="644"/>
      <c r="GO32" s="644"/>
      <c r="GP32" s="644"/>
      <c r="GQ32" s="644"/>
      <c r="GR32" s="644"/>
      <c r="GS32" s="644"/>
      <c r="GT32" s="644"/>
      <c r="GU32" s="637"/>
      <c r="GV32" s="587">
        <f t="shared" si="50"/>
        <v>462500000</v>
      </c>
      <c r="GW32" s="587">
        <f t="shared" si="50"/>
        <v>403845329.09000003</v>
      </c>
      <c r="GX32" s="468">
        <f t="shared" si="51"/>
        <v>58654670.909999967</v>
      </c>
      <c r="GZ32" s="519"/>
      <c r="HA32" s="468">
        <f>D32+H32+L32+X32+AN32+BH32+CB32+CV32+DT32+EN32+FH32+GB32</f>
        <v>341000000</v>
      </c>
      <c r="HB32" s="468">
        <f>E32+I32+M32+Y32+AO32+BI32+CC32+CW32+DU32+EO32+FI32+GC32</f>
        <v>327350892.09000003</v>
      </c>
      <c r="HC32" s="471">
        <f t="shared" si="52"/>
        <v>13649107.909999967</v>
      </c>
      <c r="HE32" s="471">
        <f>P32+AB32+AR32+BL32+CF32+CZ32+DX32+ER32+FL32+GF32</f>
        <v>25500000</v>
      </c>
      <c r="HF32" s="471">
        <f>Q32+AC32+AS32+BM32+CG32+DA32+DY32+ES32+FM32+GG32</f>
        <v>19447510</v>
      </c>
      <c r="HG32" s="471">
        <f t="shared" si="53"/>
        <v>6052490</v>
      </c>
      <c r="HI32" s="471">
        <f>T32+AF32+AV32+BP32+CJ32+DD32+EB32+EV32+FP32+GJ32</f>
        <v>23000000</v>
      </c>
      <c r="HJ32" s="471">
        <f>U32+AG32+AW32+BQ32+CK32+DE32+EC32+EW32+FQ32+GK32</f>
        <v>2500000</v>
      </c>
      <c r="HK32" s="471">
        <f t="shared" si="54"/>
        <v>20500000</v>
      </c>
      <c r="HN32" s="471">
        <f>AJ32+AZ32+BT32+CN32+DH32+DP32+EF32+EZ32+FT32+GN32</f>
        <v>65000000</v>
      </c>
      <c r="HO32" s="471">
        <f>AK32+BA32+BU32+CO32+DI32+DQ32+EG32+FA32+FU32+GO32</f>
        <v>54546927</v>
      </c>
      <c r="HP32" s="471">
        <f t="shared" si="55"/>
        <v>10453073</v>
      </c>
      <c r="HR32" s="531"/>
      <c r="HT32" s="471">
        <f>BX32+CR32+DL32+EJ32+FD32+FX32+GR32</f>
        <v>8000000</v>
      </c>
      <c r="HU32" s="471">
        <f>BY32+CS32+DM32+EK32+FE32+FY32+GS32</f>
        <v>0</v>
      </c>
      <c r="HV32" s="471">
        <f t="shared" si="56"/>
        <v>8000000</v>
      </c>
      <c r="HX32" s="473">
        <f t="shared" si="57"/>
        <v>0</v>
      </c>
      <c r="HY32" s="474">
        <v>0</v>
      </c>
      <c r="ID32" s="473">
        <f>HU32+HO32+HJ32+HF32+HB32</f>
        <v>403845329.09000003</v>
      </c>
      <c r="IE32" s="473">
        <f>HV32+HP32+HK32+HG32+HC32</f>
        <v>58654670.909999967</v>
      </c>
      <c r="IF32" s="473"/>
    </row>
    <row r="33" spans="1:240" x14ac:dyDescent="0.25">
      <c r="A33" s="107">
        <v>30</v>
      </c>
      <c r="B33" s="107" t="s">
        <v>349</v>
      </c>
      <c r="C33" s="634"/>
      <c r="D33" s="488">
        <v>1000000</v>
      </c>
      <c r="E33" s="488">
        <v>1000000</v>
      </c>
      <c r="F33" s="475">
        <f t="shared" si="1"/>
        <v>0</v>
      </c>
      <c r="G33" s="488"/>
      <c r="H33" s="465">
        <v>15000000</v>
      </c>
      <c r="I33" s="465">
        <v>15000000</v>
      </c>
      <c r="J33" s="463">
        <f t="shared" si="2"/>
        <v>0</v>
      </c>
      <c r="K33" s="488"/>
      <c r="L33" s="465">
        <v>3450000</v>
      </c>
      <c r="M33" s="465">
        <v>3450000</v>
      </c>
      <c r="N33" s="543">
        <f t="shared" si="3"/>
        <v>0</v>
      </c>
      <c r="O33" s="488"/>
      <c r="P33" s="465">
        <v>0</v>
      </c>
      <c r="Q33" s="465">
        <v>0</v>
      </c>
      <c r="R33" s="543">
        <f t="shared" si="4"/>
        <v>0</v>
      </c>
      <c r="S33" s="488"/>
      <c r="T33" s="465">
        <v>0</v>
      </c>
      <c r="U33" s="465">
        <v>0</v>
      </c>
      <c r="V33" s="543">
        <f t="shared" si="5"/>
        <v>0</v>
      </c>
      <c r="W33" s="488"/>
      <c r="X33" s="465">
        <v>0</v>
      </c>
      <c r="Y33" s="465">
        <v>0</v>
      </c>
      <c r="Z33" s="543">
        <f t="shared" si="6"/>
        <v>0</v>
      </c>
      <c r="AA33" s="488"/>
      <c r="AB33" s="465">
        <v>0</v>
      </c>
      <c r="AC33" s="465">
        <v>0</v>
      </c>
      <c r="AD33" s="543">
        <f t="shared" si="7"/>
        <v>0</v>
      </c>
      <c r="AE33" s="488"/>
      <c r="AF33" s="465">
        <v>0</v>
      </c>
      <c r="AG33" s="465">
        <v>0</v>
      </c>
      <c r="AH33" s="543">
        <f t="shared" si="8"/>
        <v>0</v>
      </c>
      <c r="AI33" s="488"/>
      <c r="AJ33" s="465">
        <v>0</v>
      </c>
      <c r="AK33" s="465">
        <v>0</v>
      </c>
      <c r="AL33" s="543">
        <f t="shared" si="9"/>
        <v>0</v>
      </c>
      <c r="AM33" s="465"/>
      <c r="AN33" s="465">
        <v>0</v>
      </c>
      <c r="AO33" s="465">
        <v>0</v>
      </c>
      <c r="AP33" s="543">
        <f t="shared" si="10"/>
        <v>0</v>
      </c>
      <c r="AQ33" s="488"/>
      <c r="AR33" s="465">
        <v>0</v>
      </c>
      <c r="AS33" s="465">
        <v>0</v>
      </c>
      <c r="AT33" s="543">
        <f t="shared" si="11"/>
        <v>0</v>
      </c>
      <c r="AU33" s="488"/>
      <c r="AV33" s="465">
        <v>0</v>
      </c>
      <c r="AW33" s="465">
        <v>0</v>
      </c>
      <c r="AX33" s="543">
        <f t="shared" si="12"/>
        <v>0</v>
      </c>
      <c r="AY33" s="488"/>
      <c r="AZ33" s="465">
        <v>0</v>
      </c>
      <c r="BA33" s="465">
        <v>0</v>
      </c>
      <c r="BB33" s="543">
        <f t="shared" si="13"/>
        <v>0</v>
      </c>
      <c r="BC33" s="488"/>
      <c r="BD33" s="465">
        <v>0</v>
      </c>
      <c r="BE33" s="465">
        <v>0</v>
      </c>
      <c r="BF33" s="543">
        <f t="shared" si="14"/>
        <v>0</v>
      </c>
      <c r="BG33" s="488"/>
      <c r="BH33" s="465">
        <v>55000000</v>
      </c>
      <c r="BI33" s="465">
        <f>46188200+8811800</f>
        <v>55000000</v>
      </c>
      <c r="BJ33" s="543">
        <f t="shared" si="15"/>
        <v>0</v>
      </c>
      <c r="BK33" s="488"/>
      <c r="BL33" s="465">
        <v>5000000</v>
      </c>
      <c r="BM33" s="465">
        <v>5000000</v>
      </c>
      <c r="BN33" s="543">
        <f t="shared" si="16"/>
        <v>0</v>
      </c>
      <c r="BO33" s="488"/>
      <c r="BP33" s="465">
        <v>5000000</v>
      </c>
      <c r="BQ33" s="465">
        <v>0</v>
      </c>
      <c r="BR33" s="543">
        <f t="shared" si="17"/>
        <v>5000000</v>
      </c>
      <c r="BS33" s="488"/>
      <c r="BT33" s="465">
        <v>15000000</v>
      </c>
      <c r="BU33" s="505">
        <v>13530220</v>
      </c>
      <c r="BV33" s="543">
        <f t="shared" si="18"/>
        <v>1469780</v>
      </c>
      <c r="BW33" s="488"/>
      <c r="BX33" s="465">
        <v>1000000</v>
      </c>
      <c r="BY33" s="465">
        <v>0</v>
      </c>
      <c r="BZ33" s="543">
        <f t="shared" si="19"/>
        <v>1000000</v>
      </c>
      <c r="CA33" s="488"/>
      <c r="CB33" s="465">
        <v>0</v>
      </c>
      <c r="CC33" s="465">
        <v>0</v>
      </c>
      <c r="CD33" s="543">
        <f t="shared" si="20"/>
        <v>0</v>
      </c>
      <c r="CE33" s="488"/>
      <c r="CF33" s="465">
        <v>0</v>
      </c>
      <c r="CG33" s="468">
        <v>0</v>
      </c>
      <c r="CH33" s="543">
        <f t="shared" si="21"/>
        <v>0</v>
      </c>
      <c r="CI33" s="488"/>
      <c r="CJ33" s="465">
        <v>0</v>
      </c>
      <c r="CK33" s="468">
        <v>0</v>
      </c>
      <c r="CL33" s="543">
        <f t="shared" si="22"/>
        <v>0</v>
      </c>
      <c r="CM33" s="488"/>
      <c r="CN33" s="465">
        <v>0</v>
      </c>
      <c r="CO33" s="468">
        <v>0</v>
      </c>
      <c r="CP33" s="543">
        <f t="shared" si="23"/>
        <v>0</v>
      </c>
      <c r="CQ33" s="488"/>
      <c r="CR33" s="465">
        <v>0</v>
      </c>
      <c r="CS33" s="468">
        <v>0</v>
      </c>
      <c r="CT33" s="465">
        <f t="shared" si="24"/>
        <v>0</v>
      </c>
      <c r="CU33" s="488"/>
      <c r="CV33" s="525">
        <v>80000000</v>
      </c>
      <c r="CW33" s="478">
        <f>3788200+21600000+10200000</f>
        <v>35588200</v>
      </c>
      <c r="CX33" s="543">
        <f t="shared" si="25"/>
        <v>44411800</v>
      </c>
      <c r="CY33" s="471"/>
      <c r="CZ33" s="468">
        <v>20000000</v>
      </c>
      <c r="DA33" s="468">
        <f>6685600+1660800+1660800-1660800+1660800+5274780-1660800+677400</f>
        <v>14298580</v>
      </c>
      <c r="DB33" s="543">
        <f t="shared" si="26"/>
        <v>5701420</v>
      </c>
      <c r="DC33" s="471"/>
      <c r="DD33" s="468">
        <v>20000000</v>
      </c>
      <c r="DE33" s="468">
        <v>0</v>
      </c>
      <c r="DF33" s="543">
        <f t="shared" si="27"/>
        <v>20000000</v>
      </c>
      <c r="DG33" s="488"/>
      <c r="DH33" s="468">
        <v>50000000</v>
      </c>
      <c r="DI33" s="468">
        <f>6317608+8961170+8021140</f>
        <v>23299918</v>
      </c>
      <c r="DJ33" s="543">
        <f t="shared" si="28"/>
        <v>26700082</v>
      </c>
      <c r="DK33" s="488"/>
      <c r="DL33" s="465">
        <v>6000000</v>
      </c>
      <c r="DM33" s="468">
        <v>0</v>
      </c>
      <c r="DN33" s="465">
        <f t="shared" si="29"/>
        <v>6000000</v>
      </c>
      <c r="DO33" s="488"/>
      <c r="DP33" s="471">
        <v>0</v>
      </c>
      <c r="DQ33" s="471">
        <v>0</v>
      </c>
      <c r="DR33" s="471">
        <f t="shared" si="30"/>
        <v>0</v>
      </c>
      <c r="DT33" s="471">
        <v>0</v>
      </c>
      <c r="DU33" s="471">
        <v>0</v>
      </c>
      <c r="DV33" s="471">
        <f t="shared" si="31"/>
        <v>0</v>
      </c>
      <c r="DX33" s="471">
        <v>0</v>
      </c>
      <c r="DY33" s="471">
        <v>0</v>
      </c>
      <c r="DZ33" s="471">
        <f t="shared" si="32"/>
        <v>0</v>
      </c>
      <c r="EB33" s="471">
        <v>0</v>
      </c>
      <c r="EC33" s="471">
        <v>0</v>
      </c>
      <c r="ED33" s="471">
        <f t="shared" si="33"/>
        <v>0</v>
      </c>
      <c r="EF33" s="471">
        <v>0</v>
      </c>
      <c r="EG33" s="471">
        <v>0</v>
      </c>
      <c r="EH33" s="471">
        <f t="shared" si="34"/>
        <v>0</v>
      </c>
      <c r="EJ33" s="471">
        <v>0</v>
      </c>
      <c r="EK33" s="471">
        <v>0</v>
      </c>
      <c r="EL33" s="471">
        <f t="shared" si="35"/>
        <v>0</v>
      </c>
      <c r="EM33" s="634"/>
      <c r="EN33" s="465">
        <v>0</v>
      </c>
      <c r="EO33" s="465">
        <v>0</v>
      </c>
      <c r="EP33" s="465">
        <f t="shared" si="36"/>
        <v>0</v>
      </c>
      <c r="EQ33" s="465"/>
      <c r="ER33" s="465"/>
      <c r="ES33" s="465">
        <v>0</v>
      </c>
      <c r="ET33" s="465">
        <f t="shared" si="37"/>
        <v>0</v>
      </c>
      <c r="EU33" s="465"/>
      <c r="EV33" s="465"/>
      <c r="EW33" s="465">
        <v>0</v>
      </c>
      <c r="EX33" s="465">
        <f t="shared" si="38"/>
        <v>0</v>
      </c>
      <c r="EY33" s="465"/>
      <c r="EZ33" s="465"/>
      <c r="FA33" s="465">
        <v>0</v>
      </c>
      <c r="FB33" s="465">
        <f t="shared" si="39"/>
        <v>0</v>
      </c>
      <c r="FC33" s="465"/>
      <c r="FD33" s="465">
        <f>FB33-FC33</f>
        <v>0</v>
      </c>
      <c r="FE33" s="465">
        <v>0</v>
      </c>
      <c r="FF33" s="465">
        <f t="shared" si="40"/>
        <v>0</v>
      </c>
      <c r="FG33" s="465"/>
      <c r="FH33" s="637">
        <v>65000000</v>
      </c>
      <c r="FI33" s="637">
        <v>11100000</v>
      </c>
      <c r="FJ33" s="637">
        <f t="shared" ref="FJ33" si="66">FH33-FI33</f>
        <v>53900000</v>
      </c>
      <c r="FK33" s="637"/>
      <c r="FL33" s="637">
        <v>8000000</v>
      </c>
      <c r="FM33" s="637">
        <v>0</v>
      </c>
      <c r="FN33" s="637">
        <f t="shared" ref="FN33" si="67">FL33-FM33</f>
        <v>8000000</v>
      </c>
      <c r="FO33" s="637"/>
      <c r="FP33" s="637">
        <v>5000000</v>
      </c>
      <c r="FQ33" s="637">
        <v>0</v>
      </c>
      <c r="FR33" s="637">
        <f t="shared" ref="FR33" si="68">FP33-FQ33</f>
        <v>5000000</v>
      </c>
      <c r="FS33" s="637"/>
      <c r="FT33" s="637">
        <v>18000000</v>
      </c>
      <c r="FU33" s="637">
        <v>0</v>
      </c>
      <c r="FV33" s="637">
        <f t="shared" ref="FV33" si="69">FT33-FU33</f>
        <v>18000000</v>
      </c>
      <c r="FW33" s="637"/>
      <c r="FX33" s="637">
        <v>3000000</v>
      </c>
      <c r="FY33" s="637">
        <v>0</v>
      </c>
      <c r="FZ33" s="637">
        <f t="shared" ref="FZ33" si="70">FX33-FY33</f>
        <v>3000000</v>
      </c>
      <c r="GA33" s="637"/>
      <c r="GB33" s="644"/>
      <c r="GC33" s="644"/>
      <c r="GD33" s="644"/>
      <c r="GE33" s="644"/>
      <c r="GF33" s="644"/>
      <c r="GG33" s="644"/>
      <c r="GH33" s="644"/>
      <c r="GI33" s="644"/>
      <c r="GJ33" s="644"/>
      <c r="GK33" s="644"/>
      <c r="GL33" s="644"/>
      <c r="GM33" s="644"/>
      <c r="GN33" s="644"/>
      <c r="GO33" s="644"/>
      <c r="GP33" s="644"/>
      <c r="GQ33" s="644"/>
      <c r="GR33" s="644"/>
      <c r="GS33" s="644"/>
      <c r="GT33" s="644"/>
      <c r="GU33" s="637"/>
      <c r="GV33" s="587">
        <f t="shared" si="50"/>
        <v>375450000</v>
      </c>
      <c r="GW33" s="587">
        <f t="shared" si="50"/>
        <v>177266918</v>
      </c>
      <c r="GX33" s="468">
        <f t="shared" si="51"/>
        <v>198183082</v>
      </c>
      <c r="GZ33" s="519"/>
      <c r="HA33" s="468">
        <f>D33+H33+L33+X33+AN33+BH33+CB33+CV33+DT33+EN33+FH33+GB33</f>
        <v>219450000</v>
      </c>
      <c r="HB33" s="468">
        <f>E33+I33+M33+Y33+AO33+BI33+CC33+CW33+DU33+EO33+FI33+GC33</f>
        <v>121138200</v>
      </c>
      <c r="HC33" s="471">
        <f t="shared" si="52"/>
        <v>98311800</v>
      </c>
      <c r="HE33" s="471">
        <f>P33+AB33+AR33+BL33+CF33+CZ33+DX33+ER33+FL33+GF33</f>
        <v>33000000</v>
      </c>
      <c r="HF33" s="471">
        <f>Q33+AC33+AS33+BM33+CG33+DA33+DY33+ES33+FM33+GG33</f>
        <v>19298580</v>
      </c>
      <c r="HG33" s="471">
        <f t="shared" si="53"/>
        <v>13701420</v>
      </c>
      <c r="HI33" s="471">
        <f>T33+AF33+AV33+BP33+CJ33+DD33+EB33+EV33+FP33+GJ33</f>
        <v>30000000</v>
      </c>
      <c r="HJ33" s="471">
        <f>U33+AG33+AW33+BQ33+CK33+DE33+EC33+EW33+FQ33+GK33</f>
        <v>0</v>
      </c>
      <c r="HK33" s="471">
        <f t="shared" si="54"/>
        <v>30000000</v>
      </c>
      <c r="HN33" s="471">
        <f>AJ33+AZ33+BT33+CN33+DH33+DP33+EF33+EZ33+FT33+GN33</f>
        <v>83000000</v>
      </c>
      <c r="HO33" s="471">
        <f>AK33+BA33+BU33+CO33+DI33+DQ33+EG33+FA33+FU33+GO33</f>
        <v>36830138</v>
      </c>
      <c r="HP33" s="471">
        <f t="shared" si="55"/>
        <v>46169862</v>
      </c>
      <c r="HR33" s="531"/>
      <c r="HT33" s="471">
        <f>BX33+CR33+DL33+EJ33+FD33+FX33+GR33</f>
        <v>10000000</v>
      </c>
      <c r="HU33" s="471">
        <f>BY33+CS33+DM33+EK33+FE33+FY33+GS33</f>
        <v>0</v>
      </c>
      <c r="HV33" s="471">
        <f t="shared" si="56"/>
        <v>10000000</v>
      </c>
      <c r="HX33" s="473">
        <f t="shared" si="57"/>
        <v>0</v>
      </c>
      <c r="HY33" s="474">
        <v>0</v>
      </c>
      <c r="ID33" s="473">
        <f>HU33+HO33+HJ33+HF33+HB33</f>
        <v>177266918</v>
      </c>
      <c r="IE33" s="473">
        <f>HV33+HP33+HK33+HG33+HC33</f>
        <v>198183082</v>
      </c>
      <c r="IF33" s="473"/>
    </row>
    <row r="34" spans="1:240" x14ac:dyDescent="0.25">
      <c r="A34" s="107">
        <v>31</v>
      </c>
      <c r="B34" s="107" t="s">
        <v>569</v>
      </c>
      <c r="C34" s="634" t="s">
        <v>65</v>
      </c>
      <c r="D34" s="488">
        <v>1000000</v>
      </c>
      <c r="E34" s="488">
        <v>1000000</v>
      </c>
      <c r="F34" s="475">
        <f t="shared" si="1"/>
        <v>0</v>
      </c>
      <c r="G34" s="488"/>
      <c r="H34" s="463">
        <v>15000000</v>
      </c>
      <c r="I34" s="463">
        <v>15000000</v>
      </c>
      <c r="J34" s="463">
        <f t="shared" si="2"/>
        <v>0</v>
      </c>
      <c r="K34" s="488"/>
      <c r="L34" s="463">
        <v>15000000</v>
      </c>
      <c r="M34" s="463">
        <v>15000000</v>
      </c>
      <c r="N34" s="543">
        <f t="shared" si="3"/>
        <v>0</v>
      </c>
      <c r="O34" s="488"/>
      <c r="P34" s="543">
        <v>2500000</v>
      </c>
      <c r="Q34" s="543">
        <v>2500000</v>
      </c>
      <c r="R34" s="543">
        <f t="shared" si="4"/>
        <v>0</v>
      </c>
      <c r="S34" s="488"/>
      <c r="T34" s="465">
        <v>0</v>
      </c>
      <c r="U34" s="543">
        <v>0</v>
      </c>
      <c r="V34" s="543">
        <f t="shared" si="5"/>
        <v>0</v>
      </c>
      <c r="W34" s="488"/>
      <c r="X34" s="543">
        <v>19000000</v>
      </c>
      <c r="Y34" s="543">
        <v>19000000</v>
      </c>
      <c r="Z34" s="543">
        <f t="shared" si="6"/>
        <v>0</v>
      </c>
      <c r="AA34" s="488"/>
      <c r="AB34" s="543">
        <v>5000000</v>
      </c>
      <c r="AC34" s="543">
        <v>5000000</v>
      </c>
      <c r="AD34" s="543">
        <f t="shared" si="7"/>
        <v>0</v>
      </c>
      <c r="AE34" s="488"/>
      <c r="AF34" s="543">
        <v>2000000</v>
      </c>
      <c r="AG34" s="543">
        <v>2000000</v>
      </c>
      <c r="AH34" s="543">
        <f t="shared" si="8"/>
        <v>0</v>
      </c>
      <c r="AI34" s="488"/>
      <c r="AJ34" s="543">
        <v>7022490</v>
      </c>
      <c r="AK34" s="543">
        <v>7022490</v>
      </c>
      <c r="AL34" s="543">
        <f t="shared" si="9"/>
        <v>0</v>
      </c>
      <c r="AM34" s="543"/>
      <c r="AN34" s="465">
        <v>0</v>
      </c>
      <c r="AO34" s="465">
        <v>0</v>
      </c>
      <c r="AP34" s="543">
        <f t="shared" si="10"/>
        <v>0</v>
      </c>
      <c r="AQ34" s="488"/>
      <c r="AR34" s="465">
        <v>0</v>
      </c>
      <c r="AS34" s="465">
        <v>0</v>
      </c>
      <c r="AT34" s="543">
        <f t="shared" si="11"/>
        <v>0</v>
      </c>
      <c r="AU34" s="488"/>
      <c r="AV34" s="465">
        <v>0</v>
      </c>
      <c r="AW34" s="465">
        <v>0</v>
      </c>
      <c r="AX34" s="543">
        <f t="shared" si="12"/>
        <v>0</v>
      </c>
      <c r="AY34" s="488"/>
      <c r="AZ34" s="465">
        <v>0</v>
      </c>
      <c r="BA34" s="465">
        <v>0</v>
      </c>
      <c r="BB34" s="543">
        <f t="shared" si="13"/>
        <v>0</v>
      </c>
      <c r="BC34" s="488"/>
      <c r="BD34" s="465">
        <v>0</v>
      </c>
      <c r="BE34" s="595"/>
      <c r="BF34" s="543">
        <f t="shared" si="14"/>
        <v>0</v>
      </c>
      <c r="BG34" s="488"/>
      <c r="BH34" s="465">
        <v>0</v>
      </c>
      <c r="BI34" s="468"/>
      <c r="BJ34" s="543">
        <f t="shared" si="15"/>
        <v>0</v>
      </c>
      <c r="BK34" s="488"/>
      <c r="BL34" s="465">
        <v>0</v>
      </c>
      <c r="BM34" s="468"/>
      <c r="BN34" s="543">
        <f t="shared" si="16"/>
        <v>0</v>
      </c>
      <c r="BO34" s="488"/>
      <c r="BP34" s="465">
        <v>0</v>
      </c>
      <c r="BQ34" s="468"/>
      <c r="BR34" s="543">
        <f t="shared" si="17"/>
        <v>0</v>
      </c>
      <c r="BS34" s="488"/>
      <c r="BT34" s="465">
        <v>0</v>
      </c>
      <c r="BU34" s="468"/>
      <c r="BV34" s="543">
        <f t="shared" si="18"/>
        <v>0</v>
      </c>
      <c r="BW34" s="488"/>
      <c r="BX34" s="468">
        <v>0</v>
      </c>
      <c r="BY34" s="468">
        <v>0</v>
      </c>
      <c r="BZ34" s="543">
        <f t="shared" si="19"/>
        <v>0</v>
      </c>
      <c r="CA34" s="488"/>
      <c r="CB34" s="468">
        <v>80000000</v>
      </c>
      <c r="CC34" s="465">
        <f>79766450+233550</f>
        <v>80000000</v>
      </c>
      <c r="CD34" s="543">
        <f t="shared" si="20"/>
        <v>0</v>
      </c>
      <c r="CE34" s="488"/>
      <c r="CF34" s="468">
        <v>10000000</v>
      </c>
      <c r="CG34" s="468">
        <v>9998600</v>
      </c>
      <c r="CH34" s="543">
        <f t="shared" si="21"/>
        <v>1400</v>
      </c>
      <c r="CI34" s="488"/>
      <c r="CJ34" s="468">
        <v>10000000</v>
      </c>
      <c r="CK34" s="468">
        <f>3100000+900000+758500</f>
        <v>4758500</v>
      </c>
      <c r="CL34" s="543">
        <f t="shared" si="22"/>
        <v>5241500</v>
      </c>
      <c r="CM34" s="488"/>
      <c r="CN34" s="468">
        <v>30000000</v>
      </c>
      <c r="CO34" s="468">
        <v>29688505</v>
      </c>
      <c r="CP34" s="543">
        <f t="shared" si="23"/>
        <v>311495</v>
      </c>
      <c r="CQ34" s="488"/>
      <c r="CR34" s="465">
        <v>5000000</v>
      </c>
      <c r="CS34" s="468">
        <v>4241500</v>
      </c>
      <c r="CT34" s="465">
        <f t="shared" si="24"/>
        <v>758500</v>
      </c>
      <c r="CU34" s="488"/>
      <c r="CV34" s="525">
        <v>0</v>
      </c>
      <c r="CW34" s="465">
        <v>0</v>
      </c>
      <c r="CX34" s="543">
        <f t="shared" si="25"/>
        <v>0</v>
      </c>
      <c r="CY34" s="471"/>
      <c r="CZ34" s="468">
        <v>0</v>
      </c>
      <c r="DA34" s="468">
        <v>0</v>
      </c>
      <c r="DB34" s="543">
        <f t="shared" si="26"/>
        <v>0</v>
      </c>
      <c r="DC34" s="471"/>
      <c r="DD34" s="468">
        <v>0</v>
      </c>
      <c r="DE34" s="468">
        <v>0</v>
      </c>
      <c r="DF34" s="543">
        <f t="shared" si="27"/>
        <v>0</v>
      </c>
      <c r="DG34" s="488"/>
      <c r="DH34" s="468">
        <v>0</v>
      </c>
      <c r="DI34" s="468">
        <v>0</v>
      </c>
      <c r="DJ34" s="543">
        <f t="shared" si="28"/>
        <v>0</v>
      </c>
      <c r="DK34" s="488"/>
      <c r="DL34" s="465">
        <v>0</v>
      </c>
      <c r="DM34" s="468">
        <v>0</v>
      </c>
      <c r="DN34" s="465">
        <f t="shared" si="29"/>
        <v>0</v>
      </c>
      <c r="DO34" s="488"/>
      <c r="DP34" s="471">
        <v>0</v>
      </c>
      <c r="DQ34" s="471">
        <v>0</v>
      </c>
      <c r="DR34" s="471">
        <f t="shared" si="30"/>
        <v>0</v>
      </c>
      <c r="DT34" s="471">
        <v>0</v>
      </c>
      <c r="DU34" s="471">
        <v>0</v>
      </c>
      <c r="DV34" s="471">
        <f t="shared" si="31"/>
        <v>0</v>
      </c>
      <c r="DX34" s="471">
        <v>0</v>
      </c>
      <c r="DY34" s="471">
        <v>0</v>
      </c>
      <c r="DZ34" s="471">
        <f t="shared" si="32"/>
        <v>0</v>
      </c>
      <c r="EB34" s="471">
        <v>0</v>
      </c>
      <c r="EC34" s="471">
        <v>0</v>
      </c>
      <c r="ED34" s="471">
        <f t="shared" si="33"/>
        <v>0</v>
      </c>
      <c r="EF34" s="471">
        <v>0</v>
      </c>
      <c r="EG34" s="471">
        <v>0</v>
      </c>
      <c r="EH34" s="471">
        <f t="shared" si="34"/>
        <v>0</v>
      </c>
      <c r="EJ34" s="471">
        <v>0</v>
      </c>
      <c r="EK34" s="471">
        <v>0</v>
      </c>
      <c r="EL34" s="471">
        <f t="shared" si="35"/>
        <v>0</v>
      </c>
      <c r="EM34" s="634"/>
      <c r="EN34" s="465">
        <v>200000000</v>
      </c>
      <c r="EO34" s="483">
        <f>8166450+72932500+44100000+19800000+23332540-5550000</f>
        <v>162781490</v>
      </c>
      <c r="EP34" s="465">
        <f t="shared" si="36"/>
        <v>37218510</v>
      </c>
      <c r="EQ34" s="465"/>
      <c r="ER34" s="465">
        <v>10000000</v>
      </c>
      <c r="ES34" s="465">
        <v>2004000</v>
      </c>
      <c r="ET34" s="465">
        <f t="shared" si="37"/>
        <v>7996000</v>
      </c>
      <c r="EU34" s="465"/>
      <c r="EV34" s="465">
        <v>10000000</v>
      </c>
      <c r="EW34" s="465">
        <v>0</v>
      </c>
      <c r="EX34" s="465">
        <f t="shared" si="38"/>
        <v>10000000</v>
      </c>
      <c r="EY34" s="465"/>
      <c r="EZ34" s="465">
        <v>25000000</v>
      </c>
      <c r="FA34" s="478">
        <f>1973050+21787180+199200+620000-527200+842000</f>
        <v>24894230</v>
      </c>
      <c r="FB34" s="465">
        <f t="shared" si="39"/>
        <v>105770</v>
      </c>
      <c r="FC34" s="465"/>
      <c r="FD34" s="465">
        <v>3000000</v>
      </c>
      <c r="FE34" s="465">
        <v>0</v>
      </c>
      <c r="FF34" s="465">
        <f t="shared" si="40"/>
        <v>3000000</v>
      </c>
      <c r="FG34" s="465"/>
      <c r="FH34" s="637"/>
      <c r="FI34" s="637"/>
      <c r="FJ34" s="637"/>
      <c r="FK34" s="637"/>
      <c r="FL34" s="637"/>
      <c r="FM34" s="637"/>
      <c r="FN34" s="637"/>
      <c r="FO34" s="637"/>
      <c r="FP34" s="637"/>
      <c r="FQ34" s="637"/>
      <c r="FR34" s="637"/>
      <c r="FS34" s="637"/>
      <c r="FT34" s="637"/>
      <c r="FU34" s="637"/>
      <c r="FV34" s="637"/>
      <c r="FW34" s="637"/>
      <c r="FX34" s="637"/>
      <c r="FY34" s="637"/>
      <c r="FZ34" s="637"/>
      <c r="GA34" s="637"/>
      <c r="GB34" s="644"/>
      <c r="GC34" s="644"/>
      <c r="GD34" s="644"/>
      <c r="GE34" s="644"/>
      <c r="GF34" s="644"/>
      <c r="GG34" s="644"/>
      <c r="GH34" s="644"/>
      <c r="GI34" s="644"/>
      <c r="GJ34" s="644"/>
      <c r="GK34" s="644"/>
      <c r="GL34" s="644"/>
      <c r="GM34" s="644"/>
      <c r="GN34" s="644"/>
      <c r="GO34" s="644"/>
      <c r="GP34" s="644"/>
      <c r="GQ34" s="644"/>
      <c r="GR34" s="644"/>
      <c r="GS34" s="644"/>
      <c r="GT34" s="644"/>
      <c r="GU34" s="637"/>
      <c r="GV34" s="587">
        <f t="shared" si="50"/>
        <v>449522490</v>
      </c>
      <c r="GW34" s="587">
        <f t="shared" si="50"/>
        <v>384889315</v>
      </c>
      <c r="GX34" s="468">
        <f t="shared" si="51"/>
        <v>64633175</v>
      </c>
      <c r="GZ34" s="519"/>
      <c r="HA34" s="468">
        <f>D34+H34+L34+X34+AN34+BH34+CB34+CV34+DT34+EN34+FH34+GB34</f>
        <v>330000000</v>
      </c>
      <c r="HB34" s="468">
        <f>E34+I34+M34+Y34+AO34+BI34+CC34+CW34+DU34+EO34+FI34+GC34</f>
        <v>292781490</v>
      </c>
      <c r="HC34" s="471">
        <f t="shared" si="52"/>
        <v>37218510</v>
      </c>
      <c r="HE34" s="471">
        <f>P34+AB34+AR34+BL34+CF34+CZ34+DX34+ER34+FL34+GF34</f>
        <v>27500000</v>
      </c>
      <c r="HF34" s="471">
        <f>Q34+AC34+AS34+BM34+CG34+DA34+DY34+ES34+FM34+GG34</f>
        <v>19502600</v>
      </c>
      <c r="HG34" s="471">
        <f t="shared" si="53"/>
        <v>7997400</v>
      </c>
      <c r="HI34" s="471">
        <f>T34+AF34+AV34+BP34+CJ34+DD34+EB34+EV34+FP34+GJ34</f>
        <v>22000000</v>
      </c>
      <c r="HJ34" s="471">
        <f>U34+AG34+AW34+BQ34+CK34+DE34+EC34+EW34+FQ34+GK34</f>
        <v>6758500</v>
      </c>
      <c r="HK34" s="471">
        <f t="shared" si="54"/>
        <v>15241500</v>
      </c>
      <c r="HN34" s="471">
        <f>AJ34+AZ34+BT34+CN34+DH34+DP34+EF34+EZ34+FT34+GN34</f>
        <v>62022490</v>
      </c>
      <c r="HO34" s="471">
        <f>AK34+BA34+BU34+CO34+DI34+DQ34+EG34+FA34+FU34+GO34</f>
        <v>61605225</v>
      </c>
      <c r="HP34" s="471">
        <f t="shared" si="55"/>
        <v>417265</v>
      </c>
      <c r="HR34" s="531"/>
      <c r="HT34" s="471">
        <f>BX34+CR34+DL34+EJ34+FD34+FX34+GR34</f>
        <v>8000000</v>
      </c>
      <c r="HU34" s="471">
        <f>BY34+CS34+DM34+EK34+FE34+FY34+GS34</f>
        <v>4241500</v>
      </c>
      <c r="HV34" s="471">
        <f t="shared" si="56"/>
        <v>3758500</v>
      </c>
      <c r="HX34" s="473">
        <f t="shared" si="57"/>
        <v>0</v>
      </c>
      <c r="HY34" s="474">
        <v>4241500</v>
      </c>
      <c r="ID34" s="473">
        <f>HU34+HO34+HJ34+HF34+HB34</f>
        <v>384889315</v>
      </c>
      <c r="IE34" s="473">
        <f>HV34+HP34+HK34+HG34+HC34</f>
        <v>64633175</v>
      </c>
      <c r="IF34" s="473"/>
    </row>
    <row r="35" spans="1:240" x14ac:dyDescent="0.25">
      <c r="A35" s="107">
        <v>32</v>
      </c>
      <c r="B35" s="107" t="s">
        <v>351</v>
      </c>
      <c r="C35" s="634"/>
      <c r="D35" s="488">
        <v>1000000</v>
      </c>
      <c r="E35" s="488">
        <v>1000000</v>
      </c>
      <c r="F35" s="475">
        <f t="shared" si="1"/>
        <v>0</v>
      </c>
      <c r="G35" s="488"/>
      <c r="H35" s="465">
        <v>15000000</v>
      </c>
      <c r="I35" s="465">
        <v>15000000</v>
      </c>
      <c r="J35" s="463">
        <f t="shared" si="2"/>
        <v>0</v>
      </c>
      <c r="K35" s="488"/>
      <c r="L35" s="465">
        <v>15000000</v>
      </c>
      <c r="M35" s="465">
        <v>15000000</v>
      </c>
      <c r="N35" s="543">
        <f t="shared" si="3"/>
        <v>0</v>
      </c>
      <c r="O35" s="488"/>
      <c r="P35" s="465">
        <v>2500000</v>
      </c>
      <c r="Q35" s="465">
        <v>2500000</v>
      </c>
      <c r="R35" s="543">
        <f t="shared" si="4"/>
        <v>0</v>
      </c>
      <c r="S35" s="488"/>
      <c r="T35" s="465">
        <v>0</v>
      </c>
      <c r="U35" s="465">
        <v>0</v>
      </c>
      <c r="V35" s="543">
        <f t="shared" si="5"/>
        <v>0</v>
      </c>
      <c r="W35" s="488"/>
      <c r="X35" s="465">
        <v>0</v>
      </c>
      <c r="Y35" s="465">
        <v>0</v>
      </c>
      <c r="Z35" s="543">
        <f t="shared" si="6"/>
        <v>0</v>
      </c>
      <c r="AA35" s="488"/>
      <c r="AB35" s="465">
        <v>0</v>
      </c>
      <c r="AC35" s="465">
        <v>0</v>
      </c>
      <c r="AD35" s="543">
        <f t="shared" si="7"/>
        <v>0</v>
      </c>
      <c r="AE35" s="488"/>
      <c r="AF35" s="465">
        <v>0</v>
      </c>
      <c r="AG35" s="465">
        <v>0</v>
      </c>
      <c r="AH35" s="543">
        <f t="shared" si="8"/>
        <v>0</v>
      </c>
      <c r="AI35" s="488"/>
      <c r="AJ35" s="465">
        <v>0</v>
      </c>
      <c r="AK35" s="465">
        <v>0</v>
      </c>
      <c r="AL35" s="543">
        <f t="shared" si="9"/>
        <v>0</v>
      </c>
      <c r="AM35" s="465"/>
      <c r="AN35" s="465">
        <v>30000000</v>
      </c>
      <c r="AO35" s="465">
        <v>30000000</v>
      </c>
      <c r="AP35" s="543">
        <f t="shared" si="10"/>
        <v>0</v>
      </c>
      <c r="AQ35" s="488"/>
      <c r="AR35" s="465">
        <v>3000000</v>
      </c>
      <c r="AS35" s="465">
        <v>3000000</v>
      </c>
      <c r="AT35" s="543">
        <f t="shared" si="11"/>
        <v>0</v>
      </c>
      <c r="AU35" s="488"/>
      <c r="AV35" s="465">
        <v>2000000</v>
      </c>
      <c r="AW35" s="465">
        <v>1530000</v>
      </c>
      <c r="AX35" s="543">
        <f t="shared" si="12"/>
        <v>470000</v>
      </c>
      <c r="AY35" s="488"/>
      <c r="AZ35" s="465">
        <v>10000000</v>
      </c>
      <c r="BA35" s="465">
        <v>9992400</v>
      </c>
      <c r="BB35" s="543">
        <f t="shared" si="13"/>
        <v>7600</v>
      </c>
      <c r="BC35" s="488"/>
      <c r="BD35" s="465">
        <v>0</v>
      </c>
      <c r="BE35" s="465">
        <v>0</v>
      </c>
      <c r="BF35" s="543">
        <f t="shared" si="14"/>
        <v>0</v>
      </c>
      <c r="BG35" s="488"/>
      <c r="BH35" s="465">
        <v>0</v>
      </c>
      <c r="BI35" s="465">
        <v>0</v>
      </c>
      <c r="BJ35" s="543">
        <f t="shared" si="15"/>
        <v>0</v>
      </c>
      <c r="BK35" s="488"/>
      <c r="BL35" s="465">
        <v>0</v>
      </c>
      <c r="BM35" s="465">
        <v>0</v>
      </c>
      <c r="BN35" s="543">
        <f t="shared" si="16"/>
        <v>0</v>
      </c>
      <c r="BO35" s="488"/>
      <c r="BP35" s="465">
        <v>0</v>
      </c>
      <c r="BQ35" s="465">
        <v>0</v>
      </c>
      <c r="BR35" s="543">
        <f t="shared" si="17"/>
        <v>0</v>
      </c>
      <c r="BS35" s="488"/>
      <c r="BT35" s="465">
        <v>0</v>
      </c>
      <c r="BU35" s="465">
        <v>0</v>
      </c>
      <c r="BV35" s="543">
        <f t="shared" si="18"/>
        <v>0</v>
      </c>
      <c r="BW35" s="488"/>
      <c r="BX35" s="465">
        <v>0</v>
      </c>
      <c r="BY35" s="465">
        <v>0</v>
      </c>
      <c r="BZ35" s="543">
        <f t="shared" si="19"/>
        <v>0</v>
      </c>
      <c r="CA35" s="488"/>
      <c r="CB35" s="465">
        <v>0</v>
      </c>
      <c r="CC35" s="465">
        <v>0</v>
      </c>
      <c r="CD35" s="543">
        <f t="shared" si="20"/>
        <v>0</v>
      </c>
      <c r="CE35" s="488"/>
      <c r="CF35" s="465">
        <v>0</v>
      </c>
      <c r="CG35" s="468">
        <v>0</v>
      </c>
      <c r="CH35" s="543">
        <f t="shared" si="21"/>
        <v>0</v>
      </c>
      <c r="CI35" s="488"/>
      <c r="CJ35" s="465">
        <v>0</v>
      </c>
      <c r="CK35" s="468"/>
      <c r="CL35" s="543">
        <f t="shared" si="22"/>
        <v>0</v>
      </c>
      <c r="CM35" s="488"/>
      <c r="CN35" s="465">
        <v>0</v>
      </c>
      <c r="CO35" s="468">
        <v>0</v>
      </c>
      <c r="CP35" s="543">
        <f t="shared" si="23"/>
        <v>0</v>
      </c>
      <c r="CQ35" s="488"/>
      <c r="CR35" s="465">
        <v>0</v>
      </c>
      <c r="CS35" s="468">
        <v>0</v>
      </c>
      <c r="CT35" s="465">
        <f t="shared" si="24"/>
        <v>0</v>
      </c>
      <c r="CU35" s="488"/>
      <c r="CV35" s="525">
        <v>80000000</v>
      </c>
      <c r="CW35" s="465">
        <v>65530400</v>
      </c>
      <c r="CX35" s="543">
        <f t="shared" si="25"/>
        <v>14469600</v>
      </c>
      <c r="CY35" s="471"/>
      <c r="CZ35" s="468">
        <v>20000000</v>
      </c>
      <c r="DA35" s="468">
        <v>19997000</v>
      </c>
      <c r="DB35" s="543">
        <f t="shared" si="26"/>
        <v>3000</v>
      </c>
      <c r="DC35" s="471"/>
      <c r="DD35" s="468">
        <v>20000000</v>
      </c>
      <c r="DE35" s="468">
        <v>8670000</v>
      </c>
      <c r="DF35" s="543">
        <f t="shared" si="27"/>
        <v>11330000</v>
      </c>
      <c r="DG35" s="488"/>
      <c r="DH35" s="468">
        <v>50000000</v>
      </c>
      <c r="DI35" s="561">
        <f>40007600+4373700+1273400+4345300</f>
        <v>50000000</v>
      </c>
      <c r="DJ35" s="543">
        <f t="shared" si="28"/>
        <v>0</v>
      </c>
      <c r="DK35" s="488"/>
      <c r="DL35" s="465">
        <v>6000000</v>
      </c>
      <c r="DM35" s="468">
        <v>3689000</v>
      </c>
      <c r="DN35" s="465">
        <f t="shared" si="29"/>
        <v>2311000</v>
      </c>
      <c r="DO35" s="488"/>
      <c r="DP35" s="471">
        <v>0</v>
      </c>
      <c r="DQ35" s="471">
        <v>0</v>
      </c>
      <c r="DR35" s="471">
        <f t="shared" si="30"/>
        <v>0</v>
      </c>
      <c r="DT35" s="471">
        <v>0</v>
      </c>
      <c r="DU35" s="471">
        <v>0</v>
      </c>
      <c r="DV35" s="471">
        <f t="shared" si="31"/>
        <v>0</v>
      </c>
      <c r="DX35" s="471">
        <v>0</v>
      </c>
      <c r="DY35" s="471">
        <v>0</v>
      </c>
      <c r="DZ35" s="471">
        <f t="shared" si="32"/>
        <v>0</v>
      </c>
      <c r="EB35" s="471">
        <v>0</v>
      </c>
      <c r="EC35" s="471">
        <v>0</v>
      </c>
      <c r="ED35" s="471">
        <f t="shared" si="33"/>
        <v>0</v>
      </c>
      <c r="EF35" s="471">
        <v>0</v>
      </c>
      <c r="EG35" s="471">
        <v>0</v>
      </c>
      <c r="EH35" s="471">
        <f t="shared" si="34"/>
        <v>0</v>
      </c>
      <c r="EJ35" s="471">
        <v>0</v>
      </c>
      <c r="EK35" s="471">
        <v>0</v>
      </c>
      <c r="EL35" s="471">
        <f t="shared" si="35"/>
        <v>0</v>
      </c>
      <c r="EM35" s="634"/>
      <c r="EN35" s="465">
        <v>0</v>
      </c>
      <c r="EO35" s="465">
        <v>0</v>
      </c>
      <c r="EP35" s="465">
        <f t="shared" si="36"/>
        <v>0</v>
      </c>
      <c r="EQ35" s="465"/>
      <c r="ER35" s="465"/>
      <c r="ES35" s="465">
        <v>0</v>
      </c>
      <c r="ET35" s="465">
        <f t="shared" si="37"/>
        <v>0</v>
      </c>
      <c r="EU35" s="465"/>
      <c r="EV35" s="465"/>
      <c r="EW35" s="465">
        <v>0</v>
      </c>
      <c r="EX35" s="465">
        <f t="shared" si="38"/>
        <v>0</v>
      </c>
      <c r="EY35" s="465"/>
      <c r="EZ35" s="465"/>
      <c r="FA35" s="465">
        <v>0</v>
      </c>
      <c r="FB35" s="465">
        <f t="shared" si="39"/>
        <v>0</v>
      </c>
      <c r="FC35" s="465"/>
      <c r="FD35" s="465">
        <f>FB35-FC35</f>
        <v>0</v>
      </c>
      <c r="FE35" s="465">
        <v>0</v>
      </c>
      <c r="FF35" s="465">
        <f t="shared" si="40"/>
        <v>0</v>
      </c>
      <c r="FG35" s="465"/>
      <c r="FH35" s="637">
        <v>65000000</v>
      </c>
      <c r="FI35" s="637">
        <v>0</v>
      </c>
      <c r="FJ35" s="637">
        <f t="shared" ref="FJ35:FJ42" si="71">FH35-FI35</f>
        <v>65000000</v>
      </c>
      <c r="FK35" s="637"/>
      <c r="FL35" s="637">
        <v>8000000</v>
      </c>
      <c r="FM35" s="637">
        <v>0</v>
      </c>
      <c r="FN35" s="637">
        <f t="shared" ref="FN35:FN42" si="72">FL35-FM35</f>
        <v>8000000</v>
      </c>
      <c r="FO35" s="637"/>
      <c r="FP35" s="637">
        <v>5000000</v>
      </c>
      <c r="FQ35" s="637">
        <v>0</v>
      </c>
      <c r="FR35" s="637">
        <f t="shared" ref="FR35:FR42" si="73">FP35-FQ35</f>
        <v>5000000</v>
      </c>
      <c r="FS35" s="637"/>
      <c r="FT35" s="637">
        <v>18000000</v>
      </c>
      <c r="FU35" s="646">
        <f>1846996</f>
        <v>1846996</v>
      </c>
      <c r="FV35" s="637">
        <f t="shared" ref="FV35:FV42" si="74">FT35-FU35</f>
        <v>16153004</v>
      </c>
      <c r="FW35" s="637"/>
      <c r="FX35" s="637">
        <v>3000000</v>
      </c>
      <c r="FY35" s="637">
        <v>0</v>
      </c>
      <c r="FZ35" s="637">
        <f t="shared" ref="FZ35:FZ42" si="75">FX35-FY35</f>
        <v>3000000</v>
      </c>
      <c r="GA35" s="637"/>
      <c r="GB35" s="644"/>
      <c r="GC35" s="644"/>
      <c r="GD35" s="644"/>
      <c r="GE35" s="644"/>
      <c r="GF35" s="644"/>
      <c r="GG35" s="644"/>
      <c r="GH35" s="644"/>
      <c r="GI35" s="644"/>
      <c r="GJ35" s="644"/>
      <c r="GK35" s="644"/>
      <c r="GL35" s="644"/>
      <c r="GM35" s="644"/>
      <c r="GN35" s="644"/>
      <c r="GO35" s="644"/>
      <c r="GP35" s="644"/>
      <c r="GQ35" s="644"/>
      <c r="GR35" s="644"/>
      <c r="GS35" s="644"/>
      <c r="GT35" s="644"/>
      <c r="GU35" s="637"/>
      <c r="GV35" s="587">
        <f t="shared" si="50"/>
        <v>353500000</v>
      </c>
      <c r="GW35" s="587">
        <f t="shared" si="50"/>
        <v>227755796</v>
      </c>
      <c r="GX35" s="468">
        <f t="shared" si="51"/>
        <v>125744204</v>
      </c>
      <c r="GZ35" s="519"/>
      <c r="HA35" s="468">
        <f>D35+H35+L35+X35+AN35+BH35+CB35+CV35+DT35+EN35+FH35+GB35</f>
        <v>206000000</v>
      </c>
      <c r="HB35" s="468">
        <f>E35+I35+M35+Y35+AO35+BI35+CC35+CW35+DU35+EO35+FI35+GC35</f>
        <v>126530400</v>
      </c>
      <c r="HC35" s="471">
        <f t="shared" si="52"/>
        <v>79469600</v>
      </c>
      <c r="HE35" s="471">
        <f>P35+AB35+AR35+BL35+CF35+CZ35+DX35+ER35+FL35+GF35</f>
        <v>33500000</v>
      </c>
      <c r="HF35" s="471">
        <f>Q35+AC35+AS35+BM35+CG35+DA35+DY35+ES35+FM35+GG35</f>
        <v>25497000</v>
      </c>
      <c r="HG35" s="471">
        <f t="shared" si="53"/>
        <v>8003000</v>
      </c>
      <c r="HI35" s="471">
        <f>T35+AF35+AV35+BP35+CJ35+DD35+EB35+EV35+FP35+GJ35</f>
        <v>27000000</v>
      </c>
      <c r="HJ35" s="471">
        <f>U35+AG35+AW35+BQ35+CK35+DE35+EC35+EW35+FQ35+GK35</f>
        <v>10200000</v>
      </c>
      <c r="HK35" s="471">
        <f t="shared" si="54"/>
        <v>16800000</v>
      </c>
      <c r="HN35" s="471">
        <f>AJ35+AZ35+BT35+CN35+DH35+DP35+EF35+EZ35+FT35+GN35</f>
        <v>78000000</v>
      </c>
      <c r="HO35" s="471">
        <f>AK35+BA35+BU35+CO35+DI35+DQ35+EG35+FA35+FU35+GO35</f>
        <v>61839396</v>
      </c>
      <c r="HP35" s="471">
        <f t="shared" si="55"/>
        <v>16160604</v>
      </c>
      <c r="HR35" s="531"/>
      <c r="HT35" s="471">
        <f>BX35+CR35+DL35+EJ35+FD35+FX35+GR35</f>
        <v>9000000</v>
      </c>
      <c r="HU35" s="471">
        <f>BY35+CS35+DM35+EK35+FE35+FY35+GS35</f>
        <v>3689000</v>
      </c>
      <c r="HV35" s="471">
        <f t="shared" si="56"/>
        <v>5311000</v>
      </c>
      <c r="HX35" s="473">
        <f t="shared" si="57"/>
        <v>0</v>
      </c>
      <c r="HY35" s="474">
        <v>3689000</v>
      </c>
      <c r="ID35" s="473">
        <f>HU35+HO35+HJ35+HF35+HB35</f>
        <v>227755796</v>
      </c>
      <c r="IE35" s="473">
        <f>HV35+HP35+HK35+HG35+HC35</f>
        <v>125744204</v>
      </c>
      <c r="IF35" s="473"/>
    </row>
    <row r="36" spans="1:240" x14ac:dyDescent="0.25">
      <c r="A36" s="107">
        <v>33</v>
      </c>
      <c r="B36" s="107" t="s">
        <v>352</v>
      </c>
      <c r="C36" s="634"/>
      <c r="D36" s="488">
        <v>1000000</v>
      </c>
      <c r="E36" s="488">
        <v>1000000</v>
      </c>
      <c r="F36" s="475">
        <f t="shared" si="1"/>
        <v>0</v>
      </c>
      <c r="G36" s="488"/>
      <c r="H36" s="465">
        <v>15000000</v>
      </c>
      <c r="I36" s="465">
        <v>15000000</v>
      </c>
      <c r="J36" s="463">
        <f t="shared" si="2"/>
        <v>0</v>
      </c>
      <c r="K36" s="488"/>
      <c r="L36" s="465">
        <v>10350000</v>
      </c>
      <c r="M36" s="465">
        <v>10350000</v>
      </c>
      <c r="N36" s="543">
        <f t="shared" si="3"/>
        <v>0</v>
      </c>
      <c r="O36" s="488"/>
      <c r="P36" s="465">
        <v>2500000</v>
      </c>
      <c r="Q36" s="465">
        <v>2500000</v>
      </c>
      <c r="R36" s="543">
        <f t="shared" si="4"/>
        <v>0</v>
      </c>
      <c r="S36" s="488"/>
      <c r="T36" s="465">
        <v>1000000</v>
      </c>
      <c r="U36" s="465">
        <v>1000000</v>
      </c>
      <c r="V36" s="543">
        <f t="shared" si="5"/>
        <v>0</v>
      </c>
      <c r="W36" s="488"/>
      <c r="X36" s="465">
        <v>20000000</v>
      </c>
      <c r="Y36" s="465">
        <v>20000000</v>
      </c>
      <c r="Z36" s="543">
        <f t="shared" si="6"/>
        <v>0</v>
      </c>
      <c r="AA36" s="488"/>
      <c r="AB36" s="465">
        <v>5000000</v>
      </c>
      <c r="AC36" s="465">
        <v>5000000</v>
      </c>
      <c r="AD36" s="543">
        <f t="shared" si="7"/>
        <v>0</v>
      </c>
      <c r="AE36" s="488"/>
      <c r="AF36" s="465">
        <v>1312000</v>
      </c>
      <c r="AG36" s="465">
        <v>1312000</v>
      </c>
      <c r="AH36" s="543">
        <f t="shared" si="8"/>
        <v>0</v>
      </c>
      <c r="AI36" s="488"/>
      <c r="AJ36" s="465">
        <v>7500000</v>
      </c>
      <c r="AK36" s="465">
        <v>7500000</v>
      </c>
      <c r="AL36" s="543">
        <f t="shared" si="9"/>
        <v>0</v>
      </c>
      <c r="AM36" s="465"/>
      <c r="AN36" s="465">
        <v>0</v>
      </c>
      <c r="AO36" s="465">
        <v>0</v>
      </c>
      <c r="AP36" s="543">
        <f t="shared" si="10"/>
        <v>0</v>
      </c>
      <c r="AQ36" s="488"/>
      <c r="AR36" s="465">
        <v>0</v>
      </c>
      <c r="AS36" s="465">
        <v>0</v>
      </c>
      <c r="AT36" s="543">
        <f t="shared" si="11"/>
        <v>0</v>
      </c>
      <c r="AU36" s="488"/>
      <c r="AV36" s="465">
        <v>0</v>
      </c>
      <c r="AW36" s="465">
        <v>0</v>
      </c>
      <c r="AX36" s="543">
        <f t="shared" si="12"/>
        <v>0</v>
      </c>
      <c r="AY36" s="488"/>
      <c r="AZ36" s="465">
        <v>0</v>
      </c>
      <c r="BA36" s="465">
        <v>0</v>
      </c>
      <c r="BB36" s="543">
        <f t="shared" si="13"/>
        <v>0</v>
      </c>
      <c r="BC36" s="488"/>
      <c r="BD36" s="465">
        <v>0</v>
      </c>
      <c r="BE36" s="465">
        <v>0</v>
      </c>
      <c r="BF36" s="543">
        <f t="shared" si="14"/>
        <v>0</v>
      </c>
      <c r="BG36" s="488"/>
      <c r="BH36" s="465">
        <v>0</v>
      </c>
      <c r="BI36" s="465">
        <v>0</v>
      </c>
      <c r="BJ36" s="543">
        <f t="shared" si="15"/>
        <v>0</v>
      </c>
      <c r="BK36" s="488"/>
      <c r="BL36" s="465">
        <v>0</v>
      </c>
      <c r="BM36" s="465">
        <v>0</v>
      </c>
      <c r="BN36" s="543">
        <f t="shared" si="16"/>
        <v>0</v>
      </c>
      <c r="BO36" s="488"/>
      <c r="BP36" s="465">
        <v>0</v>
      </c>
      <c r="BQ36" s="465">
        <v>0</v>
      </c>
      <c r="BR36" s="543">
        <f t="shared" si="17"/>
        <v>0</v>
      </c>
      <c r="BS36" s="488"/>
      <c r="BT36" s="465">
        <v>0</v>
      </c>
      <c r="BU36" s="465">
        <v>0</v>
      </c>
      <c r="BV36" s="543">
        <f t="shared" si="18"/>
        <v>0</v>
      </c>
      <c r="BW36" s="488"/>
      <c r="BX36" s="465">
        <v>0</v>
      </c>
      <c r="BY36" s="465">
        <v>0</v>
      </c>
      <c r="BZ36" s="543">
        <f t="shared" si="19"/>
        <v>0</v>
      </c>
      <c r="CA36" s="488"/>
      <c r="CB36" s="465">
        <v>80000000</v>
      </c>
      <c r="CC36" s="465">
        <f>80116050-116050</f>
        <v>80000000</v>
      </c>
      <c r="CD36" s="543">
        <f t="shared" si="20"/>
        <v>0</v>
      </c>
      <c r="CE36" s="488"/>
      <c r="CF36" s="468">
        <v>10000000</v>
      </c>
      <c r="CG36" s="468">
        <v>10000000</v>
      </c>
      <c r="CH36" s="543">
        <f t="shared" si="21"/>
        <v>0</v>
      </c>
      <c r="CI36" s="488"/>
      <c r="CJ36" s="468">
        <v>10000000</v>
      </c>
      <c r="CK36" s="504">
        <v>4250000</v>
      </c>
      <c r="CL36" s="543">
        <f t="shared" si="22"/>
        <v>5750000</v>
      </c>
      <c r="CM36" s="488"/>
      <c r="CN36" s="468">
        <v>30000000</v>
      </c>
      <c r="CO36" s="468">
        <f>24574743+5425257</f>
        <v>30000000</v>
      </c>
      <c r="CP36" s="543">
        <f t="shared" si="23"/>
        <v>0</v>
      </c>
      <c r="CQ36" s="488"/>
      <c r="CR36" s="465">
        <v>5000000</v>
      </c>
      <c r="CS36" s="468">
        <f>2200000+2800000</f>
        <v>5000000</v>
      </c>
      <c r="CT36" s="465">
        <f t="shared" si="24"/>
        <v>0</v>
      </c>
      <c r="CU36" s="488"/>
      <c r="CV36" s="525">
        <v>0</v>
      </c>
      <c r="CW36" s="465">
        <v>0</v>
      </c>
      <c r="CX36" s="543">
        <f t="shared" si="25"/>
        <v>0</v>
      </c>
      <c r="CY36" s="471"/>
      <c r="CZ36" s="468">
        <v>0</v>
      </c>
      <c r="DA36" s="468">
        <v>0</v>
      </c>
      <c r="DB36" s="543">
        <f t="shared" si="26"/>
        <v>0</v>
      </c>
      <c r="DC36" s="471"/>
      <c r="DD36" s="468">
        <v>0</v>
      </c>
      <c r="DE36" s="468">
        <v>0</v>
      </c>
      <c r="DF36" s="543">
        <f t="shared" si="27"/>
        <v>0</v>
      </c>
      <c r="DG36" s="488"/>
      <c r="DH36" s="468">
        <v>0</v>
      </c>
      <c r="DI36" s="468">
        <v>0</v>
      </c>
      <c r="DJ36" s="543">
        <f t="shared" si="28"/>
        <v>0</v>
      </c>
      <c r="DK36" s="488"/>
      <c r="DL36" s="465">
        <v>0</v>
      </c>
      <c r="DM36" s="468">
        <v>0</v>
      </c>
      <c r="DN36" s="465">
        <f t="shared" si="29"/>
        <v>0</v>
      </c>
      <c r="DO36" s="488"/>
      <c r="DP36" s="471">
        <v>0</v>
      </c>
      <c r="DQ36" s="471">
        <v>0</v>
      </c>
      <c r="DR36" s="471">
        <f t="shared" si="30"/>
        <v>0</v>
      </c>
      <c r="DT36" s="471">
        <v>60000000</v>
      </c>
      <c r="DU36" s="471">
        <f>18050000+33400000+7200000+1350000</f>
        <v>60000000</v>
      </c>
      <c r="DV36" s="471">
        <f t="shared" si="31"/>
        <v>0</v>
      </c>
      <c r="DX36" s="471">
        <v>10000000</v>
      </c>
      <c r="DY36" s="471">
        <f>9900000+100000</f>
        <v>10000000</v>
      </c>
      <c r="DZ36" s="471">
        <f t="shared" si="32"/>
        <v>0</v>
      </c>
      <c r="EB36" s="471">
        <v>10000000</v>
      </c>
      <c r="EC36" s="471">
        <v>0</v>
      </c>
      <c r="ED36" s="471">
        <f t="shared" si="33"/>
        <v>10000000</v>
      </c>
      <c r="EF36" s="471">
        <v>20000000</v>
      </c>
      <c r="EG36" s="471">
        <f>343777+1569120+5821440+5564280+1597750</f>
        <v>14896367</v>
      </c>
      <c r="EH36" s="471">
        <f t="shared" si="34"/>
        <v>5103633</v>
      </c>
      <c r="EJ36" s="471">
        <v>3000000</v>
      </c>
      <c r="EK36" s="549">
        <f>1317500+512875+742125</f>
        <v>2572500</v>
      </c>
      <c r="EL36" s="471">
        <f t="shared" si="35"/>
        <v>427500</v>
      </c>
      <c r="EM36" s="634"/>
      <c r="EN36" s="465">
        <v>0</v>
      </c>
      <c r="EO36" s="465">
        <v>0</v>
      </c>
      <c r="EP36" s="465">
        <f t="shared" si="36"/>
        <v>0</v>
      </c>
      <c r="EQ36" s="465"/>
      <c r="ER36" s="465"/>
      <c r="ES36" s="465">
        <v>0</v>
      </c>
      <c r="ET36" s="465">
        <f t="shared" si="37"/>
        <v>0</v>
      </c>
      <c r="EU36" s="465"/>
      <c r="EV36" s="465"/>
      <c r="EW36" s="465">
        <v>0</v>
      </c>
      <c r="EX36" s="465">
        <f t="shared" si="38"/>
        <v>0</v>
      </c>
      <c r="EY36" s="465"/>
      <c r="EZ36" s="465"/>
      <c r="FA36" s="465">
        <v>0</v>
      </c>
      <c r="FB36" s="465">
        <f t="shared" si="39"/>
        <v>0</v>
      </c>
      <c r="FC36" s="465"/>
      <c r="FD36" s="465">
        <f>FB36-FC36</f>
        <v>0</v>
      </c>
      <c r="FE36" s="465">
        <v>0</v>
      </c>
      <c r="FF36" s="465">
        <f t="shared" si="40"/>
        <v>0</v>
      </c>
      <c r="FG36" s="465"/>
      <c r="FH36" s="637">
        <v>65000000</v>
      </c>
      <c r="FI36" s="637">
        <f>63900000+150000+116050</f>
        <v>64166050</v>
      </c>
      <c r="FJ36" s="637">
        <f t="shared" si="71"/>
        <v>833950</v>
      </c>
      <c r="FK36" s="637"/>
      <c r="FL36" s="637">
        <v>8000000</v>
      </c>
      <c r="FM36" s="641">
        <f>2290170+1554000+1454000-1554000+780000</f>
        <v>4524170</v>
      </c>
      <c r="FN36" s="637">
        <f t="shared" si="72"/>
        <v>3475830</v>
      </c>
      <c r="FO36" s="637"/>
      <c r="FP36" s="637">
        <v>5000000</v>
      </c>
      <c r="FQ36" s="637">
        <v>0</v>
      </c>
      <c r="FR36" s="637">
        <f t="shared" si="73"/>
        <v>5000000</v>
      </c>
      <c r="FS36" s="637"/>
      <c r="FT36" s="637">
        <v>18000000</v>
      </c>
      <c r="FU36" s="637">
        <v>0</v>
      </c>
      <c r="FV36" s="637">
        <f t="shared" si="74"/>
        <v>18000000</v>
      </c>
      <c r="FW36" s="637"/>
      <c r="FX36" s="637">
        <v>3000000</v>
      </c>
      <c r="FY36" s="641">
        <v>2040000</v>
      </c>
      <c r="FZ36" s="637">
        <f t="shared" si="75"/>
        <v>960000</v>
      </c>
      <c r="GA36" s="637"/>
      <c r="GB36" s="644"/>
      <c r="GC36" s="644"/>
      <c r="GD36" s="644"/>
      <c r="GE36" s="644"/>
      <c r="GF36" s="644"/>
      <c r="GG36" s="644"/>
      <c r="GH36" s="644"/>
      <c r="GI36" s="644"/>
      <c r="GJ36" s="644"/>
      <c r="GK36" s="644"/>
      <c r="GL36" s="644"/>
      <c r="GM36" s="644"/>
      <c r="GN36" s="644"/>
      <c r="GO36" s="644"/>
      <c r="GP36" s="644"/>
      <c r="GQ36" s="644"/>
      <c r="GR36" s="644"/>
      <c r="GS36" s="644"/>
      <c r="GT36" s="644"/>
      <c r="GU36" s="637"/>
      <c r="GV36" s="587">
        <f t="shared" si="50"/>
        <v>400662000</v>
      </c>
      <c r="GW36" s="587">
        <f t="shared" si="50"/>
        <v>351111087</v>
      </c>
      <c r="GX36" s="468">
        <f t="shared" si="51"/>
        <v>49550913</v>
      </c>
      <c r="GZ36" s="519"/>
      <c r="HA36" s="468">
        <f>D36+H36+L36+X36+AN36+BH36+CB36+CV36+DT36+EN36+FH36+GB36</f>
        <v>251350000</v>
      </c>
      <c r="HB36" s="468">
        <f>E36+I36+M36+Y36+AO36+BI36+CC36+CW36+DU36+EO36+FI36+GC36</f>
        <v>250516050</v>
      </c>
      <c r="HC36" s="471">
        <f t="shared" si="52"/>
        <v>833950</v>
      </c>
      <c r="HE36" s="471">
        <f>P36+AB36+AR36+BL36+CF36+CZ36+DX36+ER36+FL36+GF36</f>
        <v>35500000</v>
      </c>
      <c r="HF36" s="471">
        <f>Q36+AC36+AS36+BM36+CG36+DA36+DY36+ES36+FM36+GG36</f>
        <v>32024170</v>
      </c>
      <c r="HG36" s="471">
        <f t="shared" si="53"/>
        <v>3475830</v>
      </c>
      <c r="HI36" s="471">
        <f>T36+AF36+AV36+BP36+CJ36+DD36+EB36+EV36+FP36+GJ36</f>
        <v>27312000</v>
      </c>
      <c r="HJ36" s="471">
        <f>U36+AG36+AW36+BQ36+CK36+DE36+EC36+EW36+FQ36+GK36</f>
        <v>6562000</v>
      </c>
      <c r="HK36" s="471">
        <f t="shared" si="54"/>
        <v>20750000</v>
      </c>
      <c r="HN36" s="471">
        <f>AJ36+AZ36+BT36+CN36+DH36+DP36+EF36+EZ36+FT36+GN36</f>
        <v>75500000</v>
      </c>
      <c r="HO36" s="471">
        <f>AK36+BA36+BU36+CO36+DI36+DQ36+EG36+FA36+FU36+GO36</f>
        <v>52396367</v>
      </c>
      <c r="HP36" s="471">
        <f t="shared" si="55"/>
        <v>23103633</v>
      </c>
      <c r="HR36" s="531"/>
      <c r="HT36" s="471">
        <f>BX36+CR36+DL36+EJ36+FD36+FX36+GR36</f>
        <v>11000000</v>
      </c>
      <c r="HU36" s="471">
        <f>BY36+CS36+DM36+EK36+FE36+FY36+GS36</f>
        <v>9612500</v>
      </c>
      <c r="HV36" s="471">
        <f t="shared" si="56"/>
        <v>1387500</v>
      </c>
      <c r="HX36" s="473">
        <f t="shared" si="57"/>
        <v>2782125</v>
      </c>
      <c r="HY36" s="474">
        <v>6830375</v>
      </c>
      <c r="ID36" s="473">
        <f>HU36+HO36+HJ36+HF36+HB36</f>
        <v>351111087</v>
      </c>
      <c r="IE36" s="473">
        <f>HV36+HP36+HK36+HG36+HC36</f>
        <v>49550913</v>
      </c>
      <c r="IF36" s="473"/>
    </row>
    <row r="37" spans="1:240" x14ac:dyDescent="0.25">
      <c r="A37" s="107">
        <v>34</v>
      </c>
      <c r="B37" s="107" t="s">
        <v>353</v>
      </c>
      <c r="C37" s="634" t="s">
        <v>76</v>
      </c>
      <c r="D37" s="488">
        <v>1000000</v>
      </c>
      <c r="E37" s="488">
        <v>1000000</v>
      </c>
      <c r="F37" s="475">
        <f t="shared" si="1"/>
        <v>0</v>
      </c>
      <c r="G37" s="488"/>
      <c r="H37" s="525">
        <v>15000000</v>
      </c>
      <c r="I37" s="596">
        <v>15000000</v>
      </c>
      <c r="J37" s="463">
        <f t="shared" si="2"/>
        <v>0</v>
      </c>
      <c r="K37" s="488"/>
      <c r="L37" s="525">
        <v>15000000</v>
      </c>
      <c r="M37" s="465">
        <v>15000000</v>
      </c>
      <c r="N37" s="543">
        <f t="shared" si="3"/>
        <v>0</v>
      </c>
      <c r="O37" s="488"/>
      <c r="P37" s="526">
        <v>2500000</v>
      </c>
      <c r="Q37" s="526">
        <v>2500000</v>
      </c>
      <c r="R37" s="543">
        <f t="shared" si="4"/>
        <v>0</v>
      </c>
      <c r="S37" s="488"/>
      <c r="T37" s="526">
        <v>1000000</v>
      </c>
      <c r="U37" s="526">
        <v>1000000</v>
      </c>
      <c r="V37" s="543">
        <f t="shared" si="5"/>
        <v>0</v>
      </c>
      <c r="W37" s="488"/>
      <c r="X37" s="526">
        <v>20000000</v>
      </c>
      <c r="Y37" s="526">
        <v>20000000</v>
      </c>
      <c r="Z37" s="543">
        <f t="shared" si="6"/>
        <v>0</v>
      </c>
      <c r="AA37" s="488"/>
      <c r="AB37" s="526">
        <v>5000000</v>
      </c>
      <c r="AC37" s="526">
        <v>5000000</v>
      </c>
      <c r="AD37" s="543">
        <f t="shared" si="7"/>
        <v>0</v>
      </c>
      <c r="AE37" s="488"/>
      <c r="AF37" s="526">
        <v>2000000</v>
      </c>
      <c r="AG37" s="526">
        <v>2000000</v>
      </c>
      <c r="AH37" s="543">
        <f t="shared" si="8"/>
        <v>0</v>
      </c>
      <c r="AI37" s="488"/>
      <c r="AJ37" s="526">
        <v>7500000</v>
      </c>
      <c r="AK37" s="526">
        <v>7500000</v>
      </c>
      <c r="AL37" s="543">
        <f t="shared" si="9"/>
        <v>0</v>
      </c>
      <c r="AM37" s="526"/>
      <c r="AN37" s="544">
        <v>30000000</v>
      </c>
      <c r="AO37" s="526">
        <v>30000000</v>
      </c>
      <c r="AP37" s="543">
        <f t="shared" si="10"/>
        <v>0</v>
      </c>
      <c r="AQ37" s="488"/>
      <c r="AR37" s="544">
        <v>3000000</v>
      </c>
      <c r="AS37" s="526">
        <v>3000000</v>
      </c>
      <c r="AT37" s="543">
        <f t="shared" si="11"/>
        <v>0</v>
      </c>
      <c r="AU37" s="488"/>
      <c r="AV37" s="544">
        <v>2000000</v>
      </c>
      <c r="AW37" s="526">
        <v>1250000</v>
      </c>
      <c r="AX37" s="543">
        <f t="shared" si="12"/>
        <v>750000</v>
      </c>
      <c r="AY37" s="488"/>
      <c r="AZ37" s="544">
        <v>10000000</v>
      </c>
      <c r="BA37" s="597">
        <v>10000000</v>
      </c>
      <c r="BB37" s="543">
        <f t="shared" si="13"/>
        <v>0</v>
      </c>
      <c r="BC37" s="488"/>
      <c r="BD37" s="474">
        <v>0</v>
      </c>
      <c r="BE37" s="465">
        <v>0</v>
      </c>
      <c r="BF37" s="543">
        <f t="shared" si="14"/>
        <v>0</v>
      </c>
      <c r="BG37" s="488"/>
      <c r="BH37" s="465">
        <v>55000000</v>
      </c>
      <c r="BI37" s="465">
        <v>55000000</v>
      </c>
      <c r="BJ37" s="543">
        <f t="shared" si="15"/>
        <v>0</v>
      </c>
      <c r="BK37" s="488"/>
      <c r="BL37" s="465">
        <v>5000000</v>
      </c>
      <c r="BM37" s="465">
        <v>5000000</v>
      </c>
      <c r="BN37" s="543">
        <f t="shared" si="16"/>
        <v>0</v>
      </c>
      <c r="BO37" s="488"/>
      <c r="BP37" s="465">
        <v>5000000</v>
      </c>
      <c r="BQ37" s="465">
        <v>0</v>
      </c>
      <c r="BR37" s="543">
        <f t="shared" si="17"/>
        <v>5000000</v>
      </c>
      <c r="BS37" s="488"/>
      <c r="BT37" s="465">
        <v>15000000</v>
      </c>
      <c r="BU37" s="465">
        <v>15000000</v>
      </c>
      <c r="BV37" s="543">
        <f t="shared" si="18"/>
        <v>0</v>
      </c>
      <c r="BW37" s="488"/>
      <c r="BX37" s="465">
        <v>1000000</v>
      </c>
      <c r="BY37" s="465">
        <f>578900+421100</f>
        <v>1000000</v>
      </c>
      <c r="BZ37" s="543">
        <f t="shared" si="19"/>
        <v>0</v>
      </c>
      <c r="CA37" s="488"/>
      <c r="CB37" s="468">
        <v>80000000</v>
      </c>
      <c r="CC37" s="465">
        <v>80000000</v>
      </c>
      <c r="CD37" s="543">
        <f t="shared" si="20"/>
        <v>0</v>
      </c>
      <c r="CE37" s="488"/>
      <c r="CF37" s="468">
        <v>10000000</v>
      </c>
      <c r="CG37" s="468">
        <v>9720400</v>
      </c>
      <c r="CH37" s="543">
        <f t="shared" si="21"/>
        <v>279600</v>
      </c>
      <c r="CI37" s="488"/>
      <c r="CJ37" s="468">
        <v>10000000</v>
      </c>
      <c r="CK37" s="468">
        <v>0</v>
      </c>
      <c r="CL37" s="543">
        <f t="shared" si="22"/>
        <v>10000000</v>
      </c>
      <c r="CM37" s="488"/>
      <c r="CN37" s="468">
        <v>30000000</v>
      </c>
      <c r="CO37" s="468">
        <v>30000000</v>
      </c>
      <c r="CP37" s="543">
        <f t="shared" si="23"/>
        <v>0</v>
      </c>
      <c r="CQ37" s="488"/>
      <c r="CR37" s="465">
        <v>5000000</v>
      </c>
      <c r="CS37" s="468">
        <f>2702656+578900</f>
        <v>3281556</v>
      </c>
      <c r="CT37" s="465">
        <f t="shared" si="24"/>
        <v>1718444</v>
      </c>
      <c r="CU37" s="488"/>
      <c r="CV37" s="525">
        <v>80000000</v>
      </c>
      <c r="CW37" s="465">
        <v>80000000</v>
      </c>
      <c r="CX37" s="543">
        <f t="shared" si="25"/>
        <v>0</v>
      </c>
      <c r="CY37" s="471"/>
      <c r="CZ37" s="468">
        <v>20000000</v>
      </c>
      <c r="DA37" s="468">
        <v>20000000</v>
      </c>
      <c r="DB37" s="543">
        <f t="shared" si="26"/>
        <v>0</v>
      </c>
      <c r="DC37" s="471"/>
      <c r="DD37" s="468">
        <v>20000000</v>
      </c>
      <c r="DE37" s="468">
        <v>0</v>
      </c>
      <c r="DF37" s="543">
        <f t="shared" si="27"/>
        <v>20000000</v>
      </c>
      <c r="DG37" s="488"/>
      <c r="DH37" s="468">
        <v>50000000</v>
      </c>
      <c r="DI37" s="468">
        <f>54998416-4998416</f>
        <v>50000000</v>
      </c>
      <c r="DJ37" s="543">
        <f t="shared" si="28"/>
        <v>0</v>
      </c>
      <c r="DK37" s="488"/>
      <c r="DL37" s="465">
        <v>6000000</v>
      </c>
      <c r="DM37" s="468">
        <f>386750+288693</f>
        <v>675443</v>
      </c>
      <c r="DN37" s="465">
        <f t="shared" si="29"/>
        <v>5324557</v>
      </c>
      <c r="DO37" s="488"/>
      <c r="DP37" s="471">
        <v>0</v>
      </c>
      <c r="DQ37" s="471">
        <v>0</v>
      </c>
      <c r="DR37" s="471">
        <f t="shared" si="30"/>
        <v>0</v>
      </c>
      <c r="DT37" s="471">
        <v>60000000</v>
      </c>
      <c r="DU37" s="471">
        <f>56489110+3510890</f>
        <v>60000000</v>
      </c>
      <c r="DV37" s="471">
        <f t="shared" si="31"/>
        <v>0</v>
      </c>
      <c r="DX37" s="471">
        <v>10000000</v>
      </c>
      <c r="DY37" s="471">
        <v>10000000</v>
      </c>
      <c r="DZ37" s="471">
        <f t="shared" si="32"/>
        <v>0</v>
      </c>
      <c r="EB37" s="471">
        <v>10000000</v>
      </c>
      <c r="EC37" s="471">
        <v>0</v>
      </c>
      <c r="ED37" s="471">
        <f t="shared" si="33"/>
        <v>10000000</v>
      </c>
      <c r="EF37" s="471">
        <v>20000000</v>
      </c>
      <c r="EG37" s="471">
        <f>7159395+4998416+3537300+1033700+1112900</f>
        <v>17841711</v>
      </c>
      <c r="EH37" s="471">
        <f t="shared" si="34"/>
        <v>2158289</v>
      </c>
      <c r="EJ37" s="471">
        <v>3000000</v>
      </c>
      <c r="EK37" s="471">
        <v>0</v>
      </c>
      <c r="EL37" s="471">
        <f t="shared" si="35"/>
        <v>3000000</v>
      </c>
      <c r="EM37" s="634"/>
      <c r="EN37" s="465">
        <v>200000000</v>
      </c>
      <c r="EO37" s="465">
        <f>54089110+54662500+91248390</f>
        <v>200000000</v>
      </c>
      <c r="EP37" s="465">
        <f t="shared" si="36"/>
        <v>0</v>
      </c>
      <c r="EQ37" s="465"/>
      <c r="ER37" s="465">
        <v>10000000</v>
      </c>
      <c r="ES37" s="465">
        <f>5826120+1774080</f>
        <v>7600200</v>
      </c>
      <c r="ET37" s="465">
        <f t="shared" si="37"/>
        <v>2399800</v>
      </c>
      <c r="EU37" s="465"/>
      <c r="EV37" s="465">
        <v>10000000</v>
      </c>
      <c r="EW37" s="465">
        <v>0</v>
      </c>
      <c r="EX37" s="465">
        <f t="shared" si="38"/>
        <v>10000000</v>
      </c>
      <c r="EY37" s="465"/>
      <c r="EZ37" s="465">
        <v>25000000</v>
      </c>
      <c r="FA37" s="465">
        <v>0</v>
      </c>
      <c r="FB37" s="465">
        <f t="shared" si="39"/>
        <v>25000000</v>
      </c>
      <c r="FC37" s="465"/>
      <c r="FD37" s="465">
        <v>3000000</v>
      </c>
      <c r="FE37" s="465">
        <v>0</v>
      </c>
      <c r="FF37" s="465">
        <f t="shared" si="40"/>
        <v>3000000</v>
      </c>
      <c r="FG37" s="465"/>
      <c r="FH37" s="637">
        <v>65000000</v>
      </c>
      <c r="FI37" s="643">
        <f>60584110+3600000</f>
        <v>64184110</v>
      </c>
      <c r="FJ37" s="637">
        <f t="shared" si="71"/>
        <v>815890</v>
      </c>
      <c r="FK37" s="637"/>
      <c r="FL37" s="637">
        <v>8000000</v>
      </c>
      <c r="FM37" s="637">
        <v>0</v>
      </c>
      <c r="FN37" s="637">
        <f t="shared" si="72"/>
        <v>8000000</v>
      </c>
      <c r="FO37" s="637"/>
      <c r="FP37" s="637">
        <v>5000000</v>
      </c>
      <c r="FQ37" s="637">
        <v>0</v>
      </c>
      <c r="FR37" s="637">
        <f t="shared" si="73"/>
        <v>5000000</v>
      </c>
      <c r="FS37" s="637"/>
      <c r="FT37" s="637">
        <v>18000000</v>
      </c>
      <c r="FU37" s="637">
        <v>0</v>
      </c>
      <c r="FV37" s="637">
        <f t="shared" si="74"/>
        <v>18000000</v>
      </c>
      <c r="FW37" s="637"/>
      <c r="FX37" s="637">
        <v>3000000</v>
      </c>
      <c r="FY37" s="637">
        <v>0</v>
      </c>
      <c r="FZ37" s="637">
        <f t="shared" si="75"/>
        <v>3000000</v>
      </c>
      <c r="GA37" s="637"/>
      <c r="GB37" s="637">
        <v>90000000</v>
      </c>
      <c r="GC37" s="637">
        <v>0</v>
      </c>
      <c r="GD37" s="637">
        <f>GB37-GC37</f>
        <v>90000000</v>
      </c>
      <c r="GE37" s="637"/>
      <c r="GF37" s="637">
        <v>22000000</v>
      </c>
      <c r="GG37" s="637">
        <v>0</v>
      </c>
      <c r="GH37" s="637">
        <f>GF37-GG37</f>
        <v>22000000</v>
      </c>
      <c r="GI37" s="637"/>
      <c r="GJ37" s="637">
        <v>3000000</v>
      </c>
      <c r="GK37" s="637">
        <v>0</v>
      </c>
      <c r="GL37" s="637">
        <f t="shared" ref="GL37:GL43" si="76">GJ37-GK37</f>
        <v>3000000</v>
      </c>
      <c r="GM37" s="637"/>
      <c r="GN37" s="637">
        <v>12000000</v>
      </c>
      <c r="GO37" s="637">
        <v>0</v>
      </c>
      <c r="GP37" s="637">
        <f t="shared" ref="GP37:GP43" si="77">GN37-GO37</f>
        <v>12000000</v>
      </c>
      <c r="GQ37" s="637"/>
      <c r="GR37" s="637">
        <v>3000000</v>
      </c>
      <c r="GS37" s="637">
        <v>0</v>
      </c>
      <c r="GT37" s="637">
        <f t="shared" ref="GT37:GT43" si="78">GR37-GS37</f>
        <v>3000000</v>
      </c>
      <c r="GU37" s="637"/>
      <c r="GV37" s="587">
        <f t="shared" si="50"/>
        <v>1086000000</v>
      </c>
      <c r="GW37" s="587">
        <f t="shared" si="50"/>
        <v>822553420</v>
      </c>
      <c r="GX37" s="468">
        <f t="shared" si="51"/>
        <v>263446580</v>
      </c>
      <c r="GY37" s="472"/>
      <c r="HA37" s="468">
        <f>D37+H37+L37+X37+AN37+BH37+CB37+CV37+DT37+EN37+FH37+GB37</f>
        <v>711000000</v>
      </c>
      <c r="HB37" s="468">
        <f>E37+I37+M37+Y37+AO37+BI37+CC37+CW37+DU37+EO37+FI37+GC37</f>
        <v>620184110</v>
      </c>
      <c r="HC37" s="471">
        <f t="shared" si="52"/>
        <v>90815890</v>
      </c>
      <c r="HE37" s="471">
        <f>P37+AB37+AR37+BL37+CF37+CZ37+DX37+ER37+FL37+GF37</f>
        <v>95500000</v>
      </c>
      <c r="HF37" s="471">
        <f>Q37+AC37+AS37+BM37+CG37+DA37+DY37+ES37+FM37+GG37</f>
        <v>62820600</v>
      </c>
      <c r="HG37" s="471">
        <f t="shared" si="53"/>
        <v>32679400</v>
      </c>
      <c r="HI37" s="471">
        <f>T37+AF37+AV37+BP37+CJ37+DD37+EB37+EV37+FP37+GJ37</f>
        <v>68000000</v>
      </c>
      <c r="HJ37" s="471">
        <f>U37+AG37+AW37+BQ37+CK37+DE37+EC37+EW37+FQ37+GK37</f>
        <v>4250000</v>
      </c>
      <c r="HK37" s="471">
        <f t="shared" si="54"/>
        <v>63750000</v>
      </c>
      <c r="HN37" s="471">
        <f>AJ37+AZ37+BT37+CN37+DH37+DP37+EF37+EZ37+FT37+GN37</f>
        <v>187500000</v>
      </c>
      <c r="HO37" s="471">
        <f>AK37+BA37+BU37+CO37+DI37+DQ37+EG37+FA37+FU37+GO37</f>
        <v>130341711</v>
      </c>
      <c r="HP37" s="471">
        <f t="shared" si="55"/>
        <v>57158289</v>
      </c>
      <c r="HR37" s="531"/>
      <c r="HT37" s="471">
        <f>BX37+CR37+DL37+EJ37+FD37+FX37+GR37</f>
        <v>24000000</v>
      </c>
      <c r="HU37" s="471">
        <f>BY37+CS37+DM37+EK37+FE37+FY37+GS37</f>
        <v>4956999</v>
      </c>
      <c r="HV37" s="471">
        <f t="shared" si="56"/>
        <v>19043001</v>
      </c>
      <c r="HX37" s="473">
        <f t="shared" si="57"/>
        <v>0</v>
      </c>
      <c r="HY37" s="474">
        <v>4956999</v>
      </c>
      <c r="ID37" s="473">
        <f>HU37+HO37+HJ37+HF37+HB37</f>
        <v>822553420</v>
      </c>
      <c r="IE37" s="473">
        <f>HV37+HP37+HK37+HG37+HC37</f>
        <v>263446580</v>
      </c>
      <c r="IF37" s="473"/>
    </row>
    <row r="38" spans="1:240" x14ac:dyDescent="0.25">
      <c r="A38" s="107">
        <v>35</v>
      </c>
      <c r="B38" s="107" t="s">
        <v>354</v>
      </c>
      <c r="C38" s="634" t="s">
        <v>63</v>
      </c>
      <c r="D38" s="488">
        <v>1000000</v>
      </c>
      <c r="E38" s="488">
        <v>1000000</v>
      </c>
      <c r="F38" s="475">
        <f t="shared" si="1"/>
        <v>0</v>
      </c>
      <c r="G38" s="488"/>
      <c r="H38" s="465">
        <v>15000000</v>
      </c>
      <c r="I38" s="465">
        <v>15000000</v>
      </c>
      <c r="J38" s="463">
        <f t="shared" si="2"/>
        <v>0</v>
      </c>
      <c r="K38" s="488"/>
      <c r="L38" s="465">
        <v>15000000</v>
      </c>
      <c r="M38" s="465">
        <v>15000000</v>
      </c>
      <c r="N38" s="543">
        <f t="shared" si="3"/>
        <v>0</v>
      </c>
      <c r="O38" s="488"/>
      <c r="P38" s="465">
        <v>2500000</v>
      </c>
      <c r="Q38" s="465">
        <v>2500000</v>
      </c>
      <c r="R38" s="543">
        <f t="shared" si="4"/>
        <v>0</v>
      </c>
      <c r="S38" s="488"/>
      <c r="T38" s="465">
        <v>850000</v>
      </c>
      <c r="U38" s="465">
        <v>850000</v>
      </c>
      <c r="V38" s="543">
        <f t="shared" si="5"/>
        <v>0</v>
      </c>
      <c r="W38" s="488"/>
      <c r="X38" s="465">
        <v>20000000</v>
      </c>
      <c r="Y38" s="465">
        <v>20000000</v>
      </c>
      <c r="Z38" s="543">
        <f t="shared" si="6"/>
        <v>0</v>
      </c>
      <c r="AA38" s="488"/>
      <c r="AB38" s="465">
        <v>5000000</v>
      </c>
      <c r="AC38" s="465">
        <v>5000000</v>
      </c>
      <c r="AD38" s="543">
        <f t="shared" si="7"/>
        <v>0</v>
      </c>
      <c r="AE38" s="488"/>
      <c r="AF38" s="465">
        <v>0</v>
      </c>
      <c r="AG38" s="465">
        <v>0</v>
      </c>
      <c r="AH38" s="543">
        <f t="shared" si="8"/>
        <v>0</v>
      </c>
      <c r="AI38" s="488"/>
      <c r="AJ38" s="465">
        <v>7500000</v>
      </c>
      <c r="AK38" s="465">
        <v>7500000</v>
      </c>
      <c r="AL38" s="543">
        <f t="shared" si="9"/>
        <v>0</v>
      </c>
      <c r="AM38" s="283"/>
      <c r="AN38" s="465">
        <v>30000000</v>
      </c>
      <c r="AO38" s="465">
        <v>30000000</v>
      </c>
      <c r="AP38" s="543">
        <f t="shared" si="10"/>
        <v>0</v>
      </c>
      <c r="AQ38" s="488"/>
      <c r="AR38" s="465">
        <v>3000000</v>
      </c>
      <c r="AS38" s="465">
        <v>3000000</v>
      </c>
      <c r="AT38" s="543">
        <f t="shared" si="11"/>
        <v>0</v>
      </c>
      <c r="AU38" s="488"/>
      <c r="AV38" s="465">
        <v>2000000</v>
      </c>
      <c r="AW38" s="465">
        <v>0</v>
      </c>
      <c r="AX38" s="543">
        <f t="shared" si="12"/>
        <v>2000000</v>
      </c>
      <c r="AY38" s="488"/>
      <c r="AZ38" s="465">
        <v>10000000</v>
      </c>
      <c r="BA38" s="465">
        <v>10000000</v>
      </c>
      <c r="BB38" s="543">
        <f t="shared" si="13"/>
        <v>0</v>
      </c>
      <c r="BC38" s="488"/>
      <c r="BD38" s="465">
        <v>0</v>
      </c>
      <c r="BE38" s="465">
        <v>0</v>
      </c>
      <c r="BF38" s="543">
        <f t="shared" si="14"/>
        <v>0</v>
      </c>
      <c r="BG38" s="488"/>
      <c r="BH38" s="465">
        <v>55000000</v>
      </c>
      <c r="BI38" s="465">
        <v>55000000</v>
      </c>
      <c r="BJ38" s="543">
        <f t="shared" si="15"/>
        <v>0</v>
      </c>
      <c r="BK38" s="488"/>
      <c r="BL38" s="465">
        <v>5000000</v>
      </c>
      <c r="BM38" s="465">
        <v>5000000</v>
      </c>
      <c r="BN38" s="543">
        <f t="shared" si="16"/>
        <v>0</v>
      </c>
      <c r="BO38" s="488"/>
      <c r="BP38" s="465">
        <v>5000000</v>
      </c>
      <c r="BQ38" s="465">
        <v>0</v>
      </c>
      <c r="BR38" s="543">
        <f t="shared" si="17"/>
        <v>5000000</v>
      </c>
      <c r="BS38" s="488"/>
      <c r="BT38" s="465">
        <v>15000000</v>
      </c>
      <c r="BU38" s="465">
        <v>15000000</v>
      </c>
      <c r="BV38" s="543">
        <f t="shared" si="18"/>
        <v>0</v>
      </c>
      <c r="BW38" s="488"/>
      <c r="BX38" s="465">
        <v>1000000</v>
      </c>
      <c r="BY38" s="483">
        <v>1000000</v>
      </c>
      <c r="BZ38" s="543">
        <f t="shared" si="19"/>
        <v>0</v>
      </c>
      <c r="CA38" s="488"/>
      <c r="CB38" s="468">
        <v>80000000</v>
      </c>
      <c r="CC38" s="465">
        <v>80000000</v>
      </c>
      <c r="CD38" s="543">
        <f t="shared" si="20"/>
        <v>0</v>
      </c>
      <c r="CE38" s="488"/>
      <c r="CF38" s="468">
        <v>10000000</v>
      </c>
      <c r="CG38" s="468">
        <v>10000000</v>
      </c>
      <c r="CH38" s="543">
        <f t="shared" si="21"/>
        <v>0</v>
      </c>
      <c r="CI38" s="488"/>
      <c r="CJ38" s="468">
        <v>10000000</v>
      </c>
      <c r="CK38" s="468">
        <v>0</v>
      </c>
      <c r="CL38" s="543">
        <f t="shared" si="22"/>
        <v>10000000</v>
      </c>
      <c r="CM38" s="488"/>
      <c r="CN38" s="468">
        <v>30000000</v>
      </c>
      <c r="CO38" s="468">
        <v>30000000</v>
      </c>
      <c r="CP38" s="543">
        <f t="shared" si="23"/>
        <v>0</v>
      </c>
      <c r="CQ38" s="488"/>
      <c r="CR38" s="465">
        <v>5000000</v>
      </c>
      <c r="CS38" s="468">
        <f>4002192.7+706269.3+291538</f>
        <v>5000000</v>
      </c>
      <c r="CT38" s="465">
        <f t="shared" si="24"/>
        <v>0</v>
      </c>
      <c r="CU38" s="488"/>
      <c r="CV38" s="525">
        <v>80000000</v>
      </c>
      <c r="CW38" s="465">
        <v>80000000</v>
      </c>
      <c r="CX38" s="543">
        <f t="shared" si="25"/>
        <v>0</v>
      </c>
      <c r="CY38" s="471"/>
      <c r="CZ38" s="468">
        <v>20000000</v>
      </c>
      <c r="DA38" s="468">
        <f>19473770+526230</f>
        <v>20000000</v>
      </c>
      <c r="DB38" s="543">
        <f t="shared" si="26"/>
        <v>0</v>
      </c>
      <c r="DC38" s="471"/>
      <c r="DD38" s="468">
        <v>20000000</v>
      </c>
      <c r="DE38" s="468">
        <v>0</v>
      </c>
      <c r="DF38" s="543">
        <f t="shared" si="27"/>
        <v>20000000</v>
      </c>
      <c r="DG38" s="488"/>
      <c r="DH38" s="468">
        <v>50000000</v>
      </c>
      <c r="DI38" s="468">
        <f>34546161+15453839</f>
        <v>50000000</v>
      </c>
      <c r="DJ38" s="543">
        <f t="shared" si="28"/>
        <v>0</v>
      </c>
      <c r="DK38" s="488"/>
      <c r="DL38" s="465">
        <v>6000000</v>
      </c>
      <c r="DM38" s="489">
        <f>1685562+1667300</f>
        <v>3352862</v>
      </c>
      <c r="DN38" s="465">
        <f t="shared" si="29"/>
        <v>2647138</v>
      </c>
      <c r="DO38" s="488"/>
      <c r="DP38" s="471">
        <v>0</v>
      </c>
      <c r="DQ38" s="471">
        <v>0</v>
      </c>
      <c r="DR38" s="471">
        <f t="shared" si="30"/>
        <v>0</v>
      </c>
      <c r="DT38" s="471">
        <v>60000000</v>
      </c>
      <c r="DU38" s="471">
        <f>59737753+262247</f>
        <v>60000000</v>
      </c>
      <c r="DV38" s="471">
        <f t="shared" si="31"/>
        <v>0</v>
      </c>
      <c r="DX38" s="471">
        <v>10000000</v>
      </c>
      <c r="DY38" s="471">
        <v>10000000</v>
      </c>
      <c r="DZ38" s="471">
        <f t="shared" si="32"/>
        <v>0</v>
      </c>
      <c r="EB38" s="471">
        <v>10000000</v>
      </c>
      <c r="EC38" s="471">
        <v>0</v>
      </c>
      <c r="ED38" s="471">
        <f t="shared" si="33"/>
        <v>10000000</v>
      </c>
      <c r="EF38" s="471">
        <v>20000000</v>
      </c>
      <c r="EG38" s="471">
        <f>18063700+1936300</f>
        <v>20000000</v>
      </c>
      <c r="EH38" s="471">
        <f t="shared" si="34"/>
        <v>0</v>
      </c>
      <c r="EJ38" s="471">
        <v>3000000</v>
      </c>
      <c r="EK38" s="471">
        <v>0</v>
      </c>
      <c r="EL38" s="471">
        <f t="shared" si="35"/>
        <v>3000000</v>
      </c>
      <c r="EM38" s="634"/>
      <c r="EN38" s="465">
        <v>200000000</v>
      </c>
      <c r="EO38" s="483">
        <f>46437753+39057540+36082743.25+6300000+53285500+1500000-1500000+1500000+17336463.75-21827000</f>
        <v>178173000</v>
      </c>
      <c r="EP38" s="465">
        <f t="shared" si="36"/>
        <v>21827000</v>
      </c>
      <c r="EQ38" s="465"/>
      <c r="ER38" s="465">
        <v>10000000</v>
      </c>
      <c r="ES38" s="484">
        <f>2499660+778800+723000+1309500+528000+666000</f>
        <v>6504960</v>
      </c>
      <c r="ET38" s="465">
        <f t="shared" si="37"/>
        <v>3495040</v>
      </c>
      <c r="EU38" s="465"/>
      <c r="EV38" s="465">
        <v>10000000</v>
      </c>
      <c r="EW38" s="465">
        <v>0</v>
      </c>
      <c r="EX38" s="465">
        <f t="shared" si="38"/>
        <v>10000000</v>
      </c>
      <c r="EY38" s="465"/>
      <c r="EZ38" s="465">
        <v>25000000</v>
      </c>
      <c r="FA38" s="598">
        <f>2033091+1572860+188600+5398456.7+11123680+4683312.3</f>
        <v>25000000</v>
      </c>
      <c r="FB38" s="465">
        <f t="shared" si="39"/>
        <v>0</v>
      </c>
      <c r="FC38" s="465"/>
      <c r="FD38" s="465">
        <v>3000000</v>
      </c>
      <c r="FE38" s="465">
        <v>0</v>
      </c>
      <c r="FF38" s="465">
        <f t="shared" si="40"/>
        <v>3000000</v>
      </c>
      <c r="FG38" s="465"/>
      <c r="FH38" s="637">
        <v>65000000</v>
      </c>
      <c r="FI38" s="638">
        <f>1763256.25</f>
        <v>1763256.25</v>
      </c>
      <c r="FJ38" s="637">
        <f t="shared" si="71"/>
        <v>63236743.75</v>
      </c>
      <c r="FK38" s="637"/>
      <c r="FL38" s="637">
        <v>8000000</v>
      </c>
      <c r="FM38" s="637">
        <v>0</v>
      </c>
      <c r="FN38" s="637">
        <f t="shared" si="72"/>
        <v>8000000</v>
      </c>
      <c r="FO38" s="637"/>
      <c r="FP38" s="637">
        <v>5000000</v>
      </c>
      <c r="FQ38" s="637">
        <v>0</v>
      </c>
      <c r="FR38" s="637">
        <f t="shared" si="73"/>
        <v>5000000</v>
      </c>
      <c r="FS38" s="637"/>
      <c r="FT38" s="637">
        <v>18000000</v>
      </c>
      <c r="FU38" s="638">
        <f>2289347.7</f>
        <v>2289347.7000000002</v>
      </c>
      <c r="FV38" s="637">
        <f t="shared" si="74"/>
        <v>15710652.300000001</v>
      </c>
      <c r="FW38" s="637"/>
      <c r="FX38" s="637">
        <v>3000000</v>
      </c>
      <c r="FY38" s="637">
        <v>0</v>
      </c>
      <c r="FZ38" s="637">
        <f t="shared" si="75"/>
        <v>3000000</v>
      </c>
      <c r="GA38" s="637"/>
      <c r="GB38" s="637">
        <v>90000000</v>
      </c>
      <c r="GC38" s="637">
        <v>0</v>
      </c>
      <c r="GD38" s="637">
        <f t="shared" ref="GD38:GD43" si="79">GB38-GC38</f>
        <v>90000000</v>
      </c>
      <c r="GE38" s="637"/>
      <c r="GF38" s="637">
        <v>22000000</v>
      </c>
      <c r="GG38" s="637">
        <v>0</v>
      </c>
      <c r="GH38" s="637">
        <f t="shared" ref="GH38:GH42" si="80">GF38-GG38</f>
        <v>22000000</v>
      </c>
      <c r="GI38" s="637"/>
      <c r="GJ38" s="637">
        <v>3000000</v>
      </c>
      <c r="GK38" s="637">
        <v>0</v>
      </c>
      <c r="GL38" s="637">
        <f t="shared" si="76"/>
        <v>3000000</v>
      </c>
      <c r="GM38" s="637"/>
      <c r="GN38" s="637">
        <v>12000000</v>
      </c>
      <c r="GO38" s="637">
        <v>0</v>
      </c>
      <c r="GP38" s="637">
        <f t="shared" si="77"/>
        <v>12000000</v>
      </c>
      <c r="GQ38" s="637"/>
      <c r="GR38" s="637">
        <v>3000000</v>
      </c>
      <c r="GS38" s="637">
        <v>0</v>
      </c>
      <c r="GT38" s="637">
        <f t="shared" si="78"/>
        <v>3000000</v>
      </c>
      <c r="GU38" s="637"/>
      <c r="GV38" s="587">
        <f t="shared" si="50"/>
        <v>1083850000</v>
      </c>
      <c r="GW38" s="587">
        <f t="shared" si="50"/>
        <v>767933425.95000005</v>
      </c>
      <c r="GX38" s="468">
        <f t="shared" si="51"/>
        <v>315916574.04999995</v>
      </c>
      <c r="GZ38" s="519"/>
      <c r="HA38" s="468">
        <f>D38+H38+L38+X38+AN38+BH38+CB38+CV38+DT38+EN38+FH38+GB38</f>
        <v>711000000</v>
      </c>
      <c r="HB38" s="468">
        <f>E38+I38+M38+Y38+AO38+BI38+CC38+CW38+DU38+EO38+FI38+GC38</f>
        <v>535936256.25</v>
      </c>
      <c r="HC38" s="471">
        <f t="shared" si="52"/>
        <v>175063743.75</v>
      </c>
      <c r="HE38" s="471">
        <f>P38+AB38+AR38+BL38+CF38+CZ38+DX38+ER38+FL38+GF38</f>
        <v>95500000</v>
      </c>
      <c r="HF38" s="471">
        <f>Q38+AC38+AS38+BM38+CG38+DA38+DY38+ES38+FM38+GG38</f>
        <v>62004960</v>
      </c>
      <c r="HG38" s="471">
        <f t="shared" si="53"/>
        <v>33495040</v>
      </c>
      <c r="HI38" s="471">
        <f>T38+AF38+AV38+BP38+CJ38+DD38+EB38+EV38+FP38+GJ38</f>
        <v>65850000</v>
      </c>
      <c r="HJ38" s="471">
        <f>U38+AG38+AW38+BQ38+CK38+DE38+EC38+EW38+FQ38+GK38</f>
        <v>850000</v>
      </c>
      <c r="HK38" s="471">
        <f t="shared" si="54"/>
        <v>65000000</v>
      </c>
      <c r="HN38" s="471">
        <f>AJ38+AZ38+BT38+CN38+DH38+DP38+EF38+EZ38+FT38+GN38</f>
        <v>187500000</v>
      </c>
      <c r="HO38" s="471">
        <f>AK38+BA38+BU38+CO38+DI38+DQ38+EG38+FA38+FU38+GO38</f>
        <v>159789347.69999999</v>
      </c>
      <c r="HP38" s="471">
        <f t="shared" si="55"/>
        <v>27710652.300000012</v>
      </c>
      <c r="HR38" s="531"/>
      <c r="HT38" s="471">
        <f>BX38+CR38+DL38+EJ38+FD38+FX38+GR38</f>
        <v>24000000</v>
      </c>
      <c r="HU38" s="471">
        <f>BY38+CS38+DM38+EK38+FE38+FY38+GS38</f>
        <v>9352862</v>
      </c>
      <c r="HV38" s="471">
        <f t="shared" si="56"/>
        <v>14647138</v>
      </c>
      <c r="HX38" s="473">
        <f t="shared" si="57"/>
        <v>2667300</v>
      </c>
      <c r="HY38" s="474">
        <v>6685562</v>
      </c>
      <c r="ID38" s="473">
        <f>HU38+HO38+HJ38+HF38+HB38</f>
        <v>767933425.95000005</v>
      </c>
      <c r="IE38" s="473">
        <f>HV38+HP38+HK38+HG38+HC38</f>
        <v>315916574.05000001</v>
      </c>
      <c r="IF38" s="473"/>
    </row>
    <row r="39" spans="1:240" x14ac:dyDescent="0.25">
      <c r="A39" s="107">
        <v>36</v>
      </c>
      <c r="B39" s="107" t="s">
        <v>570</v>
      </c>
      <c r="C39" s="634" t="s">
        <v>63</v>
      </c>
      <c r="D39" s="488">
        <v>1000000</v>
      </c>
      <c r="E39" s="488">
        <v>1000000</v>
      </c>
      <c r="F39" s="475">
        <f t="shared" si="1"/>
        <v>0</v>
      </c>
      <c r="G39" s="488"/>
      <c r="H39" s="465">
        <v>15000000</v>
      </c>
      <c r="I39" s="465">
        <v>15000000</v>
      </c>
      <c r="J39" s="463">
        <f t="shared" si="2"/>
        <v>0</v>
      </c>
      <c r="K39" s="488"/>
      <c r="L39" s="465">
        <v>15000000</v>
      </c>
      <c r="M39" s="465">
        <v>15000000</v>
      </c>
      <c r="N39" s="543">
        <f t="shared" si="3"/>
        <v>0</v>
      </c>
      <c r="O39" s="488"/>
      <c r="P39" s="465">
        <v>2500000</v>
      </c>
      <c r="Q39" s="465">
        <v>2500000</v>
      </c>
      <c r="R39" s="543">
        <f t="shared" si="4"/>
        <v>0</v>
      </c>
      <c r="S39" s="488"/>
      <c r="T39" s="465">
        <v>1000000</v>
      </c>
      <c r="U39" s="465">
        <v>1000000</v>
      </c>
      <c r="V39" s="543">
        <f t="shared" si="5"/>
        <v>0</v>
      </c>
      <c r="W39" s="488"/>
      <c r="X39" s="465">
        <v>20000000</v>
      </c>
      <c r="Y39" s="465">
        <v>20000000</v>
      </c>
      <c r="Z39" s="543">
        <f t="shared" si="6"/>
        <v>0</v>
      </c>
      <c r="AA39" s="488"/>
      <c r="AB39" s="465">
        <v>5000000</v>
      </c>
      <c r="AC39" s="465">
        <v>5000000</v>
      </c>
      <c r="AD39" s="543">
        <f t="shared" si="7"/>
        <v>0</v>
      </c>
      <c r="AE39" s="488"/>
      <c r="AF39" s="465">
        <v>2000000</v>
      </c>
      <c r="AG39" s="465">
        <v>2000000</v>
      </c>
      <c r="AH39" s="543">
        <f t="shared" si="8"/>
        <v>0</v>
      </c>
      <c r="AI39" s="488"/>
      <c r="AJ39" s="465">
        <v>7500000</v>
      </c>
      <c r="AK39" s="465">
        <v>7500000</v>
      </c>
      <c r="AL39" s="543">
        <f t="shared" si="9"/>
        <v>0</v>
      </c>
      <c r="AN39" s="465">
        <v>30000000</v>
      </c>
      <c r="AO39" s="465">
        <v>30000000</v>
      </c>
      <c r="AP39" s="543">
        <f t="shared" si="10"/>
        <v>0</v>
      </c>
      <c r="AQ39" s="488"/>
      <c r="AR39" s="465">
        <v>3000000</v>
      </c>
      <c r="AS39" s="465">
        <v>3000000</v>
      </c>
      <c r="AT39" s="543">
        <f t="shared" si="11"/>
        <v>0</v>
      </c>
      <c r="AU39" s="488"/>
      <c r="AV39" s="465">
        <v>2000000</v>
      </c>
      <c r="AW39" s="465">
        <v>1750000</v>
      </c>
      <c r="AX39" s="543">
        <f t="shared" si="12"/>
        <v>250000</v>
      </c>
      <c r="AY39" s="488"/>
      <c r="AZ39" s="465">
        <v>10000000</v>
      </c>
      <c r="BA39" s="465">
        <v>10000000</v>
      </c>
      <c r="BB39" s="543">
        <f t="shared" si="13"/>
        <v>0</v>
      </c>
      <c r="BC39" s="488"/>
      <c r="BD39" s="465">
        <v>0</v>
      </c>
      <c r="BE39" s="465">
        <v>0</v>
      </c>
      <c r="BF39" s="543">
        <f t="shared" si="14"/>
        <v>0</v>
      </c>
      <c r="BG39" s="488"/>
      <c r="BH39" s="465">
        <v>55000000</v>
      </c>
      <c r="BI39" s="465">
        <v>55000000</v>
      </c>
      <c r="BJ39" s="543">
        <f t="shared" si="15"/>
        <v>0</v>
      </c>
      <c r="BK39" s="488"/>
      <c r="BL39" s="465">
        <v>5000000</v>
      </c>
      <c r="BM39" s="465">
        <v>4948854.1500000004</v>
      </c>
      <c r="BN39" s="543">
        <f t="shared" si="16"/>
        <v>51145.849999999627</v>
      </c>
      <c r="BO39" s="488"/>
      <c r="BP39" s="465">
        <v>5000000</v>
      </c>
      <c r="BQ39" s="465">
        <v>1100000</v>
      </c>
      <c r="BR39" s="543">
        <f t="shared" si="17"/>
        <v>3900000</v>
      </c>
      <c r="BS39" s="488"/>
      <c r="BT39" s="465">
        <v>15000000</v>
      </c>
      <c r="BU39" s="465">
        <f>13663330+1336670</f>
        <v>15000000</v>
      </c>
      <c r="BV39" s="543">
        <f t="shared" si="18"/>
        <v>0</v>
      </c>
      <c r="BW39" s="488"/>
      <c r="BX39" s="465">
        <v>1000000</v>
      </c>
      <c r="BY39" s="465">
        <v>1000000</v>
      </c>
      <c r="BZ39" s="543">
        <f t="shared" si="19"/>
        <v>0</v>
      </c>
      <c r="CA39" s="488"/>
      <c r="CB39" s="468">
        <v>80000000</v>
      </c>
      <c r="CC39" s="465">
        <f>48201222+31798778</f>
        <v>80000000</v>
      </c>
      <c r="CD39" s="543">
        <f t="shared" si="20"/>
        <v>0</v>
      </c>
      <c r="CE39" s="488"/>
      <c r="CF39" s="468">
        <v>10000000</v>
      </c>
      <c r="CG39" s="468">
        <v>10000000</v>
      </c>
      <c r="CH39" s="543">
        <f t="shared" si="21"/>
        <v>0</v>
      </c>
      <c r="CI39" s="488"/>
      <c r="CJ39" s="468">
        <v>10000000</v>
      </c>
      <c r="CK39" s="468">
        <v>0</v>
      </c>
      <c r="CL39" s="543">
        <f t="shared" si="22"/>
        <v>10000000</v>
      </c>
      <c r="CM39" s="488"/>
      <c r="CN39" s="468">
        <v>30000000</v>
      </c>
      <c r="CO39" s="468">
        <v>30000000</v>
      </c>
      <c r="CP39" s="543">
        <f t="shared" si="23"/>
        <v>0</v>
      </c>
      <c r="CQ39" s="488"/>
      <c r="CR39" s="465">
        <v>5000000</v>
      </c>
      <c r="CS39" s="468">
        <v>5000000</v>
      </c>
      <c r="CT39" s="465">
        <f t="shared" si="24"/>
        <v>0</v>
      </c>
      <c r="CU39" s="488"/>
      <c r="CV39" s="525">
        <v>80000000</v>
      </c>
      <c r="CW39" s="465">
        <f>41529470+27900000+10570530</f>
        <v>80000000</v>
      </c>
      <c r="CX39" s="543">
        <f t="shared" si="25"/>
        <v>0</v>
      </c>
      <c r="CY39" s="471"/>
      <c r="CZ39" s="468">
        <v>20000000</v>
      </c>
      <c r="DA39" s="468">
        <f>17938519.61+2061480.39</f>
        <v>20000000</v>
      </c>
      <c r="DB39" s="543">
        <f t="shared" si="26"/>
        <v>0</v>
      </c>
      <c r="DC39" s="471"/>
      <c r="DD39" s="468">
        <v>20000000</v>
      </c>
      <c r="DE39" s="468">
        <v>0</v>
      </c>
      <c r="DF39" s="543">
        <f t="shared" si="27"/>
        <v>20000000</v>
      </c>
      <c r="DG39" s="488"/>
      <c r="DH39" s="468">
        <v>50000000</v>
      </c>
      <c r="DI39" s="468">
        <f>43570759.5+2772900+3656340.5</f>
        <v>50000000</v>
      </c>
      <c r="DJ39" s="543">
        <f t="shared" si="28"/>
        <v>0</v>
      </c>
      <c r="DK39" s="488"/>
      <c r="DL39" s="465">
        <v>6000000</v>
      </c>
      <c r="DM39" s="468">
        <f>650000+1000000+1350000</f>
        <v>3000000</v>
      </c>
      <c r="DN39" s="465">
        <f t="shared" si="29"/>
        <v>3000000</v>
      </c>
      <c r="DO39" s="488"/>
      <c r="DP39" s="471">
        <v>0</v>
      </c>
      <c r="DQ39" s="471">
        <v>0</v>
      </c>
      <c r="DR39" s="471">
        <f t="shared" si="30"/>
        <v>0</v>
      </c>
      <c r="DT39" s="471">
        <v>60000000</v>
      </c>
      <c r="DU39" s="471">
        <f>9000000+13050000+32204740.5+5745259.5</f>
        <v>60000000</v>
      </c>
      <c r="DV39" s="471">
        <f t="shared" si="31"/>
        <v>0</v>
      </c>
      <c r="DX39" s="471">
        <v>10000000</v>
      </c>
      <c r="DY39" s="471">
        <v>3738363.16</v>
      </c>
      <c r="DZ39" s="471">
        <f t="shared" si="32"/>
        <v>6261636.8399999999</v>
      </c>
      <c r="EB39" s="471">
        <v>10000000</v>
      </c>
      <c r="EC39" s="471">
        <v>0</v>
      </c>
      <c r="ED39" s="471">
        <f t="shared" si="33"/>
        <v>10000000</v>
      </c>
      <c r="EF39" s="471">
        <v>20000000</v>
      </c>
      <c r="EG39" s="471">
        <f>5745259.5+7593000+3960000+2701740.5</f>
        <v>20000000</v>
      </c>
      <c r="EH39" s="471">
        <f t="shared" si="34"/>
        <v>0</v>
      </c>
      <c r="EJ39" s="471">
        <v>3000000</v>
      </c>
      <c r="EK39" s="471">
        <v>0</v>
      </c>
      <c r="EL39" s="471">
        <f t="shared" si="35"/>
        <v>3000000</v>
      </c>
      <c r="EM39" s="634"/>
      <c r="EN39" s="465">
        <v>200000000</v>
      </c>
      <c r="EO39" s="465">
        <f>167672739.5+23306710+9020550.5</f>
        <v>200000000</v>
      </c>
      <c r="EP39" s="465">
        <f t="shared" si="36"/>
        <v>0</v>
      </c>
      <c r="EQ39" s="465"/>
      <c r="ER39" s="465">
        <v>10000000</v>
      </c>
      <c r="ES39" s="465">
        <f>3220809.9+3751146.98</f>
        <v>6971956.8799999999</v>
      </c>
      <c r="ET39" s="465">
        <f t="shared" si="37"/>
        <v>3028043.12</v>
      </c>
      <c r="EU39" s="465"/>
      <c r="EV39" s="465">
        <v>10000000</v>
      </c>
      <c r="EW39" s="465">
        <v>0</v>
      </c>
      <c r="EX39" s="465">
        <f t="shared" si="38"/>
        <v>10000000</v>
      </c>
      <c r="EY39" s="465"/>
      <c r="EZ39" s="465">
        <v>25000000</v>
      </c>
      <c r="FA39" s="465">
        <f>18235234.5+6764765.5</f>
        <v>25000000</v>
      </c>
      <c r="FB39" s="465">
        <f t="shared" si="39"/>
        <v>0</v>
      </c>
      <c r="FC39" s="465"/>
      <c r="FD39" s="465">
        <v>3000000</v>
      </c>
      <c r="FE39" s="465">
        <v>0</v>
      </c>
      <c r="FF39" s="465">
        <f t="shared" si="40"/>
        <v>3000000</v>
      </c>
      <c r="FG39" s="465"/>
      <c r="FH39" s="637">
        <v>65000000</v>
      </c>
      <c r="FI39" s="637">
        <f>21483956.15+9732575</f>
        <v>31216531.149999999</v>
      </c>
      <c r="FJ39" s="637">
        <f t="shared" si="71"/>
        <v>33783468.850000001</v>
      </c>
      <c r="FK39" s="637"/>
      <c r="FL39" s="637">
        <v>8000000</v>
      </c>
      <c r="FM39" s="637">
        <v>0</v>
      </c>
      <c r="FN39" s="637">
        <f t="shared" si="72"/>
        <v>8000000</v>
      </c>
      <c r="FO39" s="637"/>
      <c r="FP39" s="637">
        <v>5000000</v>
      </c>
      <c r="FQ39" s="637">
        <v>0</v>
      </c>
      <c r="FR39" s="637">
        <f t="shared" si="73"/>
        <v>5000000</v>
      </c>
      <c r="FS39" s="637"/>
      <c r="FT39" s="637">
        <v>18000000</v>
      </c>
      <c r="FU39" s="642">
        <f>5769230.5+2576980+2409950</f>
        <v>10756160.5</v>
      </c>
      <c r="FV39" s="637">
        <f t="shared" si="74"/>
        <v>7243839.5</v>
      </c>
      <c r="FW39" s="637"/>
      <c r="FX39" s="637">
        <v>3000000</v>
      </c>
      <c r="FY39" s="637">
        <v>0</v>
      </c>
      <c r="FZ39" s="637">
        <f t="shared" si="75"/>
        <v>3000000</v>
      </c>
      <c r="GA39" s="637"/>
      <c r="GB39" s="637">
        <v>90000000</v>
      </c>
      <c r="GC39" s="637">
        <v>0</v>
      </c>
      <c r="GD39" s="637">
        <f t="shared" si="79"/>
        <v>90000000</v>
      </c>
      <c r="GE39" s="637"/>
      <c r="GF39" s="637">
        <v>22000000</v>
      </c>
      <c r="GG39" s="637">
        <v>0</v>
      </c>
      <c r="GH39" s="637">
        <f t="shared" si="80"/>
        <v>22000000</v>
      </c>
      <c r="GI39" s="637"/>
      <c r="GJ39" s="637">
        <v>3000000</v>
      </c>
      <c r="GK39" s="637">
        <v>0</v>
      </c>
      <c r="GL39" s="637">
        <f t="shared" si="76"/>
        <v>3000000</v>
      </c>
      <c r="GM39" s="637"/>
      <c r="GN39" s="637">
        <v>12000000</v>
      </c>
      <c r="GO39" s="637">
        <v>0</v>
      </c>
      <c r="GP39" s="637">
        <f t="shared" si="77"/>
        <v>12000000</v>
      </c>
      <c r="GQ39" s="637"/>
      <c r="GR39" s="637">
        <v>3000000</v>
      </c>
      <c r="GS39" s="637">
        <v>0</v>
      </c>
      <c r="GT39" s="637">
        <f t="shared" si="78"/>
        <v>3000000</v>
      </c>
      <c r="GU39" s="637"/>
      <c r="GV39" s="587">
        <f t="shared" si="50"/>
        <v>1086000000</v>
      </c>
      <c r="GW39" s="587">
        <f t="shared" si="50"/>
        <v>826481865.83999991</v>
      </c>
      <c r="GX39" s="468">
        <f t="shared" si="51"/>
        <v>259518134.16000009</v>
      </c>
      <c r="GZ39" s="519"/>
      <c r="HA39" s="468">
        <f>D39+H39+L39+X39+AN39+BH39+CB39+CV39+DT39+EN39+FH39+GB39</f>
        <v>711000000</v>
      </c>
      <c r="HB39" s="468">
        <f>E39+I39+M39+Y39+AO39+BI39+CC39+CW39+DU39+EO39+FI39+GC39</f>
        <v>587216531.14999998</v>
      </c>
      <c r="HC39" s="471">
        <f t="shared" si="52"/>
        <v>123783468.85000002</v>
      </c>
      <c r="HE39" s="471">
        <f>P39+AB39+AR39+BL39+CF39+CZ39+DX39+ER39+FL39+GF39</f>
        <v>95500000</v>
      </c>
      <c r="HF39" s="471">
        <f>Q39+AC39+AS39+BM39+CG39+DA39+DY39+ES39+FM39+GG39</f>
        <v>56159174.190000005</v>
      </c>
      <c r="HG39" s="471">
        <f t="shared" si="53"/>
        <v>39340825.809999995</v>
      </c>
      <c r="HI39" s="471">
        <f>T39+AF39+AV39+BP39+CJ39+DD39+EB39+EV39+FP39+GJ39</f>
        <v>68000000</v>
      </c>
      <c r="HJ39" s="471">
        <f>U39+AG39+AW39+BQ39+CK39+DE39+EC39+EW39+FQ39+GK39</f>
        <v>5850000</v>
      </c>
      <c r="HK39" s="471">
        <f t="shared" si="54"/>
        <v>62150000</v>
      </c>
      <c r="HN39" s="471">
        <f>AJ39+AZ39+BT39+CN39+DH39+DP39+EF39+EZ39+FT39+GN39</f>
        <v>187500000</v>
      </c>
      <c r="HO39" s="471">
        <f>AK39+BA39+BU39+CO39+DI39+DQ39+EG39+FA39+FU39+GO39</f>
        <v>168256160.5</v>
      </c>
      <c r="HP39" s="471">
        <f t="shared" si="55"/>
        <v>19243839.5</v>
      </c>
      <c r="HR39" s="531"/>
      <c r="HT39" s="471">
        <f>BX39+CR39+DL39+EJ39+FD39+FX39+GR39</f>
        <v>24000000</v>
      </c>
      <c r="HU39" s="471">
        <f>BY39+CS39+DM39+EK39+FE39+FY39+GS39</f>
        <v>9000000</v>
      </c>
      <c r="HV39" s="471">
        <f t="shared" si="56"/>
        <v>15000000</v>
      </c>
      <c r="HX39" s="473">
        <f t="shared" si="57"/>
        <v>0</v>
      </c>
      <c r="HY39" s="474">
        <v>9000000</v>
      </c>
      <c r="ID39" s="473">
        <f>HU39+HO39+HJ39+HF39+HB39</f>
        <v>826481865.83999991</v>
      </c>
      <c r="IE39" s="473">
        <f>HV39+HP39+HK39+HG39+HC39</f>
        <v>259518134.16000003</v>
      </c>
      <c r="IF39" s="473"/>
    </row>
    <row r="40" spans="1:240" x14ac:dyDescent="0.25">
      <c r="A40" s="107">
        <v>37</v>
      </c>
      <c r="B40" s="107" t="s">
        <v>356</v>
      </c>
      <c r="C40" s="633" t="s">
        <v>63</v>
      </c>
      <c r="D40" s="488">
        <v>1000000</v>
      </c>
      <c r="E40" s="488">
        <v>1000000</v>
      </c>
      <c r="F40" s="475">
        <f t="shared" si="1"/>
        <v>0</v>
      </c>
      <c r="G40" s="488"/>
      <c r="H40" s="463">
        <v>15000000</v>
      </c>
      <c r="I40" s="463">
        <v>15000000</v>
      </c>
      <c r="J40" s="463">
        <f t="shared" si="2"/>
        <v>0</v>
      </c>
      <c r="K40" s="488"/>
      <c r="L40" s="582">
        <v>15000000</v>
      </c>
      <c r="M40" s="463">
        <v>15000000</v>
      </c>
      <c r="N40" s="543">
        <f t="shared" si="3"/>
        <v>0</v>
      </c>
      <c r="O40" s="488"/>
      <c r="P40" s="585">
        <v>2500000</v>
      </c>
      <c r="Q40" s="543">
        <v>2500000</v>
      </c>
      <c r="R40" s="543">
        <f t="shared" si="4"/>
        <v>0</v>
      </c>
      <c r="S40" s="488"/>
      <c r="T40" s="543">
        <v>1000000</v>
      </c>
      <c r="U40" s="543">
        <v>1000000</v>
      </c>
      <c r="V40" s="543">
        <f t="shared" si="5"/>
        <v>0</v>
      </c>
      <c r="W40" s="488"/>
      <c r="X40" s="543">
        <v>20000000</v>
      </c>
      <c r="Y40" s="543">
        <v>20000000</v>
      </c>
      <c r="Z40" s="543">
        <f t="shared" si="6"/>
        <v>0</v>
      </c>
      <c r="AA40" s="488"/>
      <c r="AB40" s="543">
        <v>4963000</v>
      </c>
      <c r="AC40" s="543">
        <v>4963000</v>
      </c>
      <c r="AD40" s="543">
        <f t="shared" si="7"/>
        <v>0</v>
      </c>
      <c r="AE40" s="488"/>
      <c r="AF40" s="543">
        <v>2000000</v>
      </c>
      <c r="AG40" s="543">
        <v>2000000</v>
      </c>
      <c r="AH40" s="543">
        <f t="shared" si="8"/>
        <v>0</v>
      </c>
      <c r="AI40" s="488"/>
      <c r="AJ40" s="543">
        <v>7500000</v>
      </c>
      <c r="AK40" s="543">
        <v>7500000</v>
      </c>
      <c r="AL40" s="543">
        <f t="shared" si="9"/>
        <v>0</v>
      </c>
      <c r="AM40" s="543"/>
      <c r="AN40" s="544">
        <v>30000000</v>
      </c>
      <c r="AO40" s="543">
        <v>30000000</v>
      </c>
      <c r="AP40" s="543">
        <f t="shared" si="10"/>
        <v>0</v>
      </c>
      <c r="AQ40" s="488"/>
      <c r="AR40" s="544">
        <v>3000000</v>
      </c>
      <c r="AS40" s="543">
        <v>3000000</v>
      </c>
      <c r="AT40" s="543">
        <f t="shared" si="11"/>
        <v>0</v>
      </c>
      <c r="AU40" s="488"/>
      <c r="AV40" s="544">
        <v>2000000</v>
      </c>
      <c r="AW40" s="543">
        <v>2000000</v>
      </c>
      <c r="AX40" s="543">
        <f t="shared" si="12"/>
        <v>0</v>
      </c>
      <c r="AY40" s="488"/>
      <c r="AZ40" s="544">
        <v>10000000</v>
      </c>
      <c r="BA40" s="585">
        <v>10000000</v>
      </c>
      <c r="BB40" s="543">
        <f t="shared" si="13"/>
        <v>0</v>
      </c>
      <c r="BC40" s="488"/>
      <c r="BD40" s="545">
        <v>0</v>
      </c>
      <c r="BE40" s="522"/>
      <c r="BF40" s="543">
        <f t="shared" si="14"/>
        <v>0</v>
      </c>
      <c r="BG40" s="488"/>
      <c r="BH40" s="543">
        <v>55000000</v>
      </c>
      <c r="BI40" s="547">
        <v>55000000</v>
      </c>
      <c r="BJ40" s="543">
        <f t="shared" si="15"/>
        <v>0</v>
      </c>
      <c r="BK40" s="488"/>
      <c r="BL40" s="468">
        <v>5000000</v>
      </c>
      <c r="BM40" s="548">
        <v>5000000</v>
      </c>
      <c r="BN40" s="543">
        <f t="shared" si="16"/>
        <v>0</v>
      </c>
      <c r="BO40" s="488"/>
      <c r="BP40" s="468">
        <v>5000000</v>
      </c>
      <c r="BQ40" s="452">
        <v>5000000</v>
      </c>
      <c r="BR40" s="543">
        <f t="shared" si="17"/>
        <v>0</v>
      </c>
      <c r="BS40" s="488"/>
      <c r="BT40" s="468">
        <v>15000000</v>
      </c>
      <c r="BU40" s="599">
        <v>15000000</v>
      </c>
      <c r="BV40" s="543">
        <f t="shared" si="18"/>
        <v>0</v>
      </c>
      <c r="BW40" s="488"/>
      <c r="BX40" s="468">
        <v>1000000</v>
      </c>
      <c r="BY40" s="564">
        <v>510000</v>
      </c>
      <c r="BZ40" s="543">
        <f t="shared" si="19"/>
        <v>490000</v>
      </c>
      <c r="CA40" s="488"/>
      <c r="CB40" s="468">
        <v>80000000</v>
      </c>
      <c r="CC40" s="465">
        <v>80000000</v>
      </c>
      <c r="CD40" s="543">
        <f t="shared" si="20"/>
        <v>0</v>
      </c>
      <c r="CE40" s="488"/>
      <c r="CF40" s="468">
        <v>10000000</v>
      </c>
      <c r="CG40" s="468">
        <v>10000000</v>
      </c>
      <c r="CH40" s="543">
        <f t="shared" si="21"/>
        <v>0</v>
      </c>
      <c r="CI40" s="488"/>
      <c r="CJ40" s="468">
        <v>10000000</v>
      </c>
      <c r="CK40" s="468">
        <v>10000000</v>
      </c>
      <c r="CL40" s="543">
        <f t="shared" si="22"/>
        <v>0</v>
      </c>
      <c r="CM40" s="488"/>
      <c r="CN40" s="468">
        <v>30000000</v>
      </c>
      <c r="CO40" s="468">
        <v>30000000</v>
      </c>
      <c r="CP40" s="543">
        <f t="shared" si="23"/>
        <v>0</v>
      </c>
      <c r="CQ40" s="488"/>
      <c r="CR40" s="465">
        <v>5000000</v>
      </c>
      <c r="CS40" s="468">
        <v>5000000</v>
      </c>
      <c r="CT40" s="465">
        <f t="shared" si="24"/>
        <v>0</v>
      </c>
      <c r="CU40" s="488"/>
      <c r="CV40" s="525">
        <v>80000000</v>
      </c>
      <c r="CW40" s="465">
        <v>80000000</v>
      </c>
      <c r="CX40" s="543">
        <f t="shared" si="25"/>
        <v>0</v>
      </c>
      <c r="CY40" s="471"/>
      <c r="CZ40" s="468">
        <v>20000000</v>
      </c>
      <c r="DA40" s="468">
        <f>15742600+4257400</f>
        <v>20000000</v>
      </c>
      <c r="DB40" s="543">
        <f t="shared" si="26"/>
        <v>0</v>
      </c>
      <c r="DC40" s="471"/>
      <c r="DD40" s="468">
        <v>20000000</v>
      </c>
      <c r="DE40" s="468">
        <f>14450000+5550000</f>
        <v>20000000</v>
      </c>
      <c r="DF40" s="543">
        <f t="shared" si="27"/>
        <v>0</v>
      </c>
      <c r="DG40" s="488"/>
      <c r="DH40" s="468">
        <v>50000000</v>
      </c>
      <c r="DI40" s="468">
        <f>47002782+2997218</f>
        <v>50000000</v>
      </c>
      <c r="DJ40" s="543">
        <f t="shared" si="28"/>
        <v>0</v>
      </c>
      <c r="DK40" s="488"/>
      <c r="DL40" s="465">
        <v>6000000</v>
      </c>
      <c r="DM40" s="468">
        <v>3845712</v>
      </c>
      <c r="DN40" s="465">
        <f t="shared" si="29"/>
        <v>2154288</v>
      </c>
      <c r="DO40" s="488"/>
      <c r="DP40" s="471">
        <v>0</v>
      </c>
      <c r="DQ40" s="471">
        <v>0</v>
      </c>
      <c r="DR40" s="471">
        <f t="shared" si="30"/>
        <v>0</v>
      </c>
      <c r="DT40" s="471">
        <v>60000000</v>
      </c>
      <c r="DU40" s="471">
        <f>2597239+57402761</f>
        <v>60000000</v>
      </c>
      <c r="DV40" s="471">
        <f t="shared" si="31"/>
        <v>0</v>
      </c>
      <c r="DX40" s="471">
        <v>10000000</v>
      </c>
      <c r="DY40" s="552">
        <v>3676842</v>
      </c>
      <c r="DZ40" s="471">
        <f t="shared" si="32"/>
        <v>6323158</v>
      </c>
      <c r="EB40" s="471">
        <v>10000000</v>
      </c>
      <c r="EC40" s="552">
        <v>10000000</v>
      </c>
      <c r="ED40" s="471">
        <f t="shared" si="33"/>
        <v>0</v>
      </c>
      <c r="EF40" s="471">
        <v>20000000</v>
      </c>
      <c r="EG40" s="471">
        <f>6192980+8041362+5765658</f>
        <v>20000000</v>
      </c>
      <c r="EH40" s="471">
        <f t="shared" si="34"/>
        <v>0</v>
      </c>
      <c r="EJ40" s="471">
        <v>3000000</v>
      </c>
      <c r="EK40" s="471">
        <v>0</v>
      </c>
      <c r="EL40" s="471">
        <f t="shared" si="35"/>
        <v>3000000</v>
      </c>
      <c r="EM40" s="633"/>
      <c r="EN40" s="465">
        <v>200000000</v>
      </c>
      <c r="EO40" s="465">
        <f>32597239+114675820+114675820-114675820+52726941</f>
        <v>200000000</v>
      </c>
      <c r="EP40" s="465">
        <f t="shared" si="36"/>
        <v>0</v>
      </c>
      <c r="EQ40" s="465"/>
      <c r="ER40" s="465">
        <v>10000000</v>
      </c>
      <c r="ES40" s="465">
        <f>1604900</f>
        <v>1604900</v>
      </c>
      <c r="ET40" s="465">
        <f t="shared" si="37"/>
        <v>8395100</v>
      </c>
      <c r="EU40" s="465"/>
      <c r="EV40" s="465">
        <v>10000000</v>
      </c>
      <c r="EW40" s="485">
        <f>4935350</f>
        <v>4935350</v>
      </c>
      <c r="EX40" s="465">
        <f t="shared" si="38"/>
        <v>5064650</v>
      </c>
      <c r="EY40" s="465"/>
      <c r="EZ40" s="465">
        <v>25000000</v>
      </c>
      <c r="FA40" s="465">
        <f>6814632</f>
        <v>6814632</v>
      </c>
      <c r="FB40" s="465">
        <f t="shared" si="39"/>
        <v>18185368</v>
      </c>
      <c r="FC40" s="465"/>
      <c r="FD40" s="465">
        <v>3000000</v>
      </c>
      <c r="FE40" s="465">
        <v>0</v>
      </c>
      <c r="FF40" s="465">
        <f t="shared" si="40"/>
        <v>3000000</v>
      </c>
      <c r="FG40" s="465"/>
      <c r="FH40" s="637">
        <v>65000000</v>
      </c>
      <c r="FI40" s="637">
        <f>29888809+3600000</f>
        <v>33488809</v>
      </c>
      <c r="FJ40" s="637">
        <f t="shared" si="71"/>
        <v>31511191</v>
      </c>
      <c r="FK40" s="637"/>
      <c r="FL40" s="637">
        <v>8000000</v>
      </c>
      <c r="FM40" s="637">
        <v>0</v>
      </c>
      <c r="FN40" s="637">
        <f t="shared" si="72"/>
        <v>8000000</v>
      </c>
      <c r="FO40" s="637"/>
      <c r="FP40" s="637">
        <v>5000000</v>
      </c>
      <c r="FQ40" s="637">
        <v>0</v>
      </c>
      <c r="FR40" s="637">
        <f t="shared" si="73"/>
        <v>5000000</v>
      </c>
      <c r="FS40" s="637"/>
      <c r="FT40" s="637">
        <v>18000000</v>
      </c>
      <c r="FU40" s="637">
        <v>0</v>
      </c>
      <c r="FV40" s="637">
        <f t="shared" si="74"/>
        <v>18000000</v>
      </c>
      <c r="FW40" s="637"/>
      <c r="FX40" s="637">
        <v>3000000</v>
      </c>
      <c r="FY40" s="637">
        <v>0</v>
      </c>
      <c r="FZ40" s="637">
        <f t="shared" si="75"/>
        <v>3000000</v>
      </c>
      <c r="GA40" s="637"/>
      <c r="GB40" s="637">
        <v>90000000</v>
      </c>
      <c r="GC40" s="637">
        <v>0</v>
      </c>
      <c r="GD40" s="637">
        <f t="shared" si="79"/>
        <v>90000000</v>
      </c>
      <c r="GE40" s="637"/>
      <c r="GF40" s="637">
        <v>22000000</v>
      </c>
      <c r="GG40" s="637">
        <v>0</v>
      </c>
      <c r="GH40" s="637">
        <f t="shared" si="80"/>
        <v>22000000</v>
      </c>
      <c r="GI40" s="637"/>
      <c r="GJ40" s="637">
        <v>3000000</v>
      </c>
      <c r="GK40" s="637">
        <v>0</v>
      </c>
      <c r="GL40" s="637">
        <f t="shared" si="76"/>
        <v>3000000</v>
      </c>
      <c r="GM40" s="637"/>
      <c r="GN40" s="637">
        <v>12000000</v>
      </c>
      <c r="GO40" s="637">
        <v>0</v>
      </c>
      <c r="GP40" s="637">
        <f t="shared" si="77"/>
        <v>12000000</v>
      </c>
      <c r="GQ40" s="637"/>
      <c r="GR40" s="637">
        <v>3000000</v>
      </c>
      <c r="GS40" s="637">
        <v>0</v>
      </c>
      <c r="GT40" s="637">
        <f t="shared" si="78"/>
        <v>3000000</v>
      </c>
      <c r="GU40" s="637"/>
      <c r="GV40" s="587">
        <f t="shared" si="50"/>
        <v>1085963000</v>
      </c>
      <c r="GW40" s="587">
        <f t="shared" si="50"/>
        <v>843839245</v>
      </c>
      <c r="GX40" s="468">
        <f t="shared" si="51"/>
        <v>242123755</v>
      </c>
      <c r="GZ40" s="519"/>
      <c r="HA40" s="468">
        <f>D40+H40+L40+X40+AN40+BH40+CB40+CV40+DT40+EN40+FH40+GB40</f>
        <v>711000000</v>
      </c>
      <c r="HB40" s="468">
        <f>E40+I40+M40+Y40+AO40+BI40+CC40+CW40+DU40+EO40+FI40+GC40</f>
        <v>589488809</v>
      </c>
      <c r="HC40" s="471">
        <f t="shared" si="52"/>
        <v>121511191</v>
      </c>
      <c r="HE40" s="471">
        <f>P40+AB40+AR40+BL40+CF40+CZ40+DX40+ER40+FL40+GF40</f>
        <v>95463000</v>
      </c>
      <c r="HF40" s="471">
        <f>Q40+AC40+AS40+BM40+CG40+DA40+DY40+ES40+FM40+GG40</f>
        <v>50744742</v>
      </c>
      <c r="HG40" s="471">
        <f t="shared" si="53"/>
        <v>44718258</v>
      </c>
      <c r="HI40" s="471">
        <f>T40+AF40+AV40+BP40+CJ40+DD40+EB40+EV40+FP40+GJ40</f>
        <v>68000000</v>
      </c>
      <c r="HJ40" s="471">
        <f>U40+AG40+AW40+BQ40+CK40+DE40+EC40+EW40+FQ40+GK40</f>
        <v>54935350</v>
      </c>
      <c r="HK40" s="471">
        <f t="shared" si="54"/>
        <v>13064650</v>
      </c>
      <c r="HN40" s="471">
        <f>AJ40+AZ40+BT40+CN40+DH40+DP40+EF40+EZ40+FT40+GN40</f>
        <v>187500000</v>
      </c>
      <c r="HO40" s="471">
        <f>AK40+BA40+BU40+CO40+DI40+DQ40+EG40+FA40+FU40+GO40</f>
        <v>139314632</v>
      </c>
      <c r="HP40" s="471">
        <f t="shared" si="55"/>
        <v>48185368</v>
      </c>
      <c r="HR40" s="531"/>
      <c r="HT40" s="471">
        <f>BX40+CR40+DL40+EJ40+FD40+FX40+GR40</f>
        <v>24000000</v>
      </c>
      <c r="HU40" s="471">
        <f>BY40+CS40+DM40+EK40+FE40+FY40+GS40</f>
        <v>9355712</v>
      </c>
      <c r="HV40" s="471">
        <f t="shared" si="56"/>
        <v>14644288</v>
      </c>
      <c r="HX40" s="473">
        <f t="shared" si="57"/>
        <v>0</v>
      </c>
      <c r="HY40" s="474">
        <v>9355712</v>
      </c>
      <c r="ID40" s="473">
        <f>HU40+HO40+HJ40+HF40+HB40</f>
        <v>843839245</v>
      </c>
      <c r="IE40" s="473">
        <f>HV40+HP40+HK40+HG40+HC40</f>
        <v>242123755</v>
      </c>
      <c r="IF40" s="473"/>
    </row>
    <row r="41" spans="1:240" x14ac:dyDescent="0.25">
      <c r="A41" s="107">
        <v>38</v>
      </c>
      <c r="B41" s="107" t="s">
        <v>357</v>
      </c>
      <c r="C41" s="634" t="s">
        <v>63</v>
      </c>
      <c r="D41" s="488">
        <v>1000000</v>
      </c>
      <c r="E41" s="488">
        <v>1000000</v>
      </c>
      <c r="F41" s="475">
        <f t="shared" si="1"/>
        <v>0</v>
      </c>
      <c r="G41" s="488"/>
      <c r="H41" s="465">
        <v>15000000</v>
      </c>
      <c r="I41" s="465">
        <v>15000000</v>
      </c>
      <c r="J41" s="463">
        <f t="shared" si="2"/>
        <v>0</v>
      </c>
      <c r="K41" s="488"/>
      <c r="L41" s="465">
        <v>15000000</v>
      </c>
      <c r="M41" s="465">
        <v>15000000</v>
      </c>
      <c r="N41" s="543">
        <f t="shared" si="3"/>
        <v>0</v>
      </c>
      <c r="O41" s="488"/>
      <c r="P41" s="465">
        <v>0</v>
      </c>
      <c r="Q41" s="465">
        <v>0</v>
      </c>
      <c r="R41" s="543">
        <f t="shared" si="4"/>
        <v>0</v>
      </c>
      <c r="S41" s="488"/>
      <c r="T41" s="465">
        <v>1000000</v>
      </c>
      <c r="U41" s="465">
        <v>1000000</v>
      </c>
      <c r="V41" s="543">
        <f t="shared" si="5"/>
        <v>0</v>
      </c>
      <c r="W41" s="488"/>
      <c r="X41" s="465">
        <v>20000000</v>
      </c>
      <c r="Y41" s="465">
        <v>20000000</v>
      </c>
      <c r="Z41" s="543">
        <f t="shared" si="6"/>
        <v>0</v>
      </c>
      <c r="AA41" s="488"/>
      <c r="AB41" s="465">
        <v>0</v>
      </c>
      <c r="AC41" s="465">
        <v>0</v>
      </c>
      <c r="AD41" s="543">
        <f t="shared" si="7"/>
        <v>0</v>
      </c>
      <c r="AE41" s="488"/>
      <c r="AF41" s="465">
        <v>1550000</v>
      </c>
      <c r="AG41" s="465">
        <v>1550000</v>
      </c>
      <c r="AH41" s="543">
        <f t="shared" si="8"/>
        <v>0</v>
      </c>
      <c r="AI41" s="488"/>
      <c r="AJ41" s="465">
        <v>7500000</v>
      </c>
      <c r="AK41" s="465">
        <v>7500000</v>
      </c>
      <c r="AL41" s="543">
        <f t="shared" si="9"/>
        <v>0</v>
      </c>
      <c r="AM41" s="465"/>
      <c r="AN41" s="465">
        <v>30000000</v>
      </c>
      <c r="AO41" s="465">
        <v>30000000</v>
      </c>
      <c r="AP41" s="543">
        <f t="shared" si="10"/>
        <v>0</v>
      </c>
      <c r="AQ41" s="488"/>
      <c r="AR41" s="465">
        <v>3000000</v>
      </c>
      <c r="AS41" s="465">
        <f>1980200+1019800</f>
        <v>3000000</v>
      </c>
      <c r="AT41" s="543">
        <f t="shared" si="11"/>
        <v>0</v>
      </c>
      <c r="AU41" s="488"/>
      <c r="AV41" s="465">
        <v>2000000</v>
      </c>
      <c r="AW41" s="465">
        <v>2000000</v>
      </c>
      <c r="AX41" s="543">
        <f t="shared" si="12"/>
        <v>0</v>
      </c>
      <c r="AY41" s="488"/>
      <c r="AZ41" s="465">
        <v>10000000</v>
      </c>
      <c r="BA41" s="465">
        <v>10000000</v>
      </c>
      <c r="BB41" s="543">
        <f t="shared" si="13"/>
        <v>0</v>
      </c>
      <c r="BC41" s="488"/>
      <c r="BD41" s="465">
        <v>0</v>
      </c>
      <c r="BE41" s="465">
        <v>0</v>
      </c>
      <c r="BF41" s="543">
        <f t="shared" si="14"/>
        <v>0</v>
      </c>
      <c r="BG41" s="488"/>
      <c r="BH41" s="465">
        <v>55000000</v>
      </c>
      <c r="BI41" s="465">
        <v>55000000</v>
      </c>
      <c r="BJ41" s="543">
        <f t="shared" si="15"/>
        <v>0</v>
      </c>
      <c r="BK41" s="488"/>
      <c r="BL41" s="465">
        <v>5000000</v>
      </c>
      <c r="BM41" s="465">
        <v>5000000</v>
      </c>
      <c r="BN41" s="543">
        <f t="shared" si="16"/>
        <v>0</v>
      </c>
      <c r="BO41" s="488"/>
      <c r="BP41" s="465">
        <v>5000000</v>
      </c>
      <c r="BQ41" s="465">
        <v>4202025</v>
      </c>
      <c r="BR41" s="543">
        <f t="shared" si="17"/>
        <v>797975</v>
      </c>
      <c r="BS41" s="488"/>
      <c r="BT41" s="465">
        <v>15000000</v>
      </c>
      <c r="BU41" s="465">
        <v>15000000</v>
      </c>
      <c r="BV41" s="543">
        <f t="shared" si="18"/>
        <v>0</v>
      </c>
      <c r="BW41" s="488"/>
      <c r="BX41" s="465">
        <v>1000000</v>
      </c>
      <c r="BY41" s="465">
        <v>1000000</v>
      </c>
      <c r="BZ41" s="543">
        <f t="shared" si="19"/>
        <v>0</v>
      </c>
      <c r="CA41" s="488"/>
      <c r="CB41" s="468">
        <v>80000000</v>
      </c>
      <c r="CC41" s="465">
        <v>80000000</v>
      </c>
      <c r="CD41" s="543">
        <f t="shared" si="20"/>
        <v>0</v>
      </c>
      <c r="CE41" s="488"/>
      <c r="CF41" s="468">
        <v>10000000</v>
      </c>
      <c r="CG41" s="468">
        <f>2909184.28</f>
        <v>2909184.28</v>
      </c>
      <c r="CH41" s="543">
        <f t="shared" si="21"/>
        <v>7090815.7200000007</v>
      </c>
      <c r="CI41" s="488"/>
      <c r="CJ41" s="468">
        <v>10000000</v>
      </c>
      <c r="CK41" s="468">
        <v>1094475</v>
      </c>
      <c r="CL41" s="543">
        <f t="shared" si="22"/>
        <v>8905525</v>
      </c>
      <c r="CM41" s="488"/>
      <c r="CN41" s="468">
        <v>30000000</v>
      </c>
      <c r="CO41" s="468">
        <v>30000000</v>
      </c>
      <c r="CP41" s="543">
        <f t="shared" si="23"/>
        <v>0</v>
      </c>
      <c r="CQ41" s="488"/>
      <c r="CR41" s="465">
        <v>5000000</v>
      </c>
      <c r="CS41" s="468">
        <f>1620871.6+1000000+420968.55+1958159.85</f>
        <v>5000000</v>
      </c>
      <c r="CT41" s="465">
        <f t="shared" si="24"/>
        <v>0</v>
      </c>
      <c r="CU41" s="488"/>
      <c r="CV41" s="525">
        <v>80000000</v>
      </c>
      <c r="CW41" s="465">
        <v>80000000</v>
      </c>
      <c r="CX41" s="543">
        <f t="shared" si="25"/>
        <v>0</v>
      </c>
      <c r="CY41" s="471"/>
      <c r="CZ41" s="468">
        <v>20000000</v>
      </c>
      <c r="DA41" s="468">
        <f>5672050+2519160</f>
        <v>8191210</v>
      </c>
      <c r="DB41" s="543">
        <f t="shared" si="26"/>
        <v>11808790</v>
      </c>
      <c r="DC41" s="471"/>
      <c r="DD41" s="468">
        <v>20000000</v>
      </c>
      <c r="DE41" s="468">
        <v>0</v>
      </c>
      <c r="DF41" s="543">
        <f t="shared" si="27"/>
        <v>20000000</v>
      </c>
      <c r="DG41" s="488"/>
      <c r="DH41" s="468">
        <v>50000000</v>
      </c>
      <c r="DI41" s="468">
        <f>38830484+11169516</f>
        <v>50000000</v>
      </c>
      <c r="DJ41" s="543">
        <f t="shared" si="28"/>
        <v>0</v>
      </c>
      <c r="DK41" s="488"/>
      <c r="DL41" s="465">
        <v>6000000</v>
      </c>
      <c r="DM41" s="468">
        <f>2830740.15</f>
        <v>2830740.15</v>
      </c>
      <c r="DN41" s="465">
        <f t="shared" si="29"/>
        <v>3169259.85</v>
      </c>
      <c r="DO41" s="488"/>
      <c r="DP41" s="471">
        <v>0</v>
      </c>
      <c r="DQ41" s="471">
        <v>0</v>
      </c>
      <c r="DR41" s="471">
        <f t="shared" si="30"/>
        <v>0</v>
      </c>
      <c r="DT41" s="471">
        <v>60000000</v>
      </c>
      <c r="DU41" s="471">
        <f>15009118.57+21105000+23885881.43</f>
        <v>60000000</v>
      </c>
      <c r="DV41" s="471">
        <f t="shared" si="31"/>
        <v>0</v>
      </c>
      <c r="DX41" s="471">
        <v>10000000</v>
      </c>
      <c r="DY41" s="471">
        <v>0</v>
      </c>
      <c r="DZ41" s="471">
        <f t="shared" si="32"/>
        <v>10000000</v>
      </c>
      <c r="EB41" s="471">
        <v>10000000</v>
      </c>
      <c r="EC41" s="471">
        <v>0</v>
      </c>
      <c r="ED41" s="471">
        <f t="shared" si="33"/>
        <v>10000000</v>
      </c>
      <c r="EF41" s="471">
        <v>20000000</v>
      </c>
      <c r="EG41" s="471">
        <f>6403384+2352000+7151257</f>
        <v>15906641</v>
      </c>
      <c r="EH41" s="471">
        <f t="shared" si="34"/>
        <v>4093359</v>
      </c>
      <c r="EJ41" s="471">
        <v>3000000</v>
      </c>
      <c r="EK41" s="471">
        <v>0</v>
      </c>
      <c r="EL41" s="471">
        <f t="shared" si="35"/>
        <v>3000000</v>
      </c>
      <c r="EM41" s="634"/>
      <c r="EN41" s="465">
        <v>200000000</v>
      </c>
      <c r="EO41" s="465">
        <f>52790038.57+54829907.35+92380054.08</f>
        <v>200000000</v>
      </c>
      <c r="EP41" s="465">
        <f t="shared" si="36"/>
        <v>0</v>
      </c>
      <c r="EQ41" s="465"/>
      <c r="ER41" s="465">
        <v>10000000</v>
      </c>
      <c r="ES41" s="465">
        <v>0</v>
      </c>
      <c r="ET41" s="465">
        <f t="shared" si="37"/>
        <v>10000000</v>
      </c>
      <c r="EU41" s="465"/>
      <c r="EV41" s="465">
        <v>10000000</v>
      </c>
      <c r="EW41" s="465">
        <v>0</v>
      </c>
      <c r="EX41" s="465">
        <f t="shared" si="38"/>
        <v>10000000</v>
      </c>
      <c r="EY41" s="465"/>
      <c r="EZ41" s="465">
        <v>25000000</v>
      </c>
      <c r="FA41" s="465">
        <f>23231500+1443850</f>
        <v>24675350</v>
      </c>
      <c r="FB41" s="465">
        <f t="shared" si="39"/>
        <v>324650</v>
      </c>
      <c r="FC41" s="465"/>
      <c r="FD41" s="465">
        <v>3000000</v>
      </c>
      <c r="FE41" s="465">
        <v>0</v>
      </c>
      <c r="FF41" s="465">
        <f t="shared" si="40"/>
        <v>3000000</v>
      </c>
      <c r="FG41" s="465"/>
      <c r="FH41" s="637">
        <v>65000000</v>
      </c>
      <c r="FI41" s="637">
        <f>34634366.22+300000+12600000</f>
        <v>47534366.219999999</v>
      </c>
      <c r="FJ41" s="637">
        <f t="shared" si="71"/>
        <v>17465633.780000001</v>
      </c>
      <c r="FK41" s="637"/>
      <c r="FL41" s="637">
        <v>8000000</v>
      </c>
      <c r="FM41" s="637">
        <v>0</v>
      </c>
      <c r="FN41" s="637">
        <f t="shared" si="72"/>
        <v>8000000</v>
      </c>
      <c r="FO41" s="637"/>
      <c r="FP41" s="637">
        <v>5000000</v>
      </c>
      <c r="FQ41" s="637">
        <v>0</v>
      </c>
      <c r="FR41" s="637">
        <f t="shared" si="73"/>
        <v>5000000</v>
      </c>
      <c r="FS41" s="637"/>
      <c r="FT41" s="637">
        <v>18000000</v>
      </c>
      <c r="FU41" s="637">
        <v>0</v>
      </c>
      <c r="FV41" s="637">
        <f t="shared" si="74"/>
        <v>18000000</v>
      </c>
      <c r="FW41" s="637"/>
      <c r="FX41" s="637">
        <v>3000000</v>
      </c>
      <c r="FY41" s="637">
        <v>0</v>
      </c>
      <c r="FZ41" s="637">
        <f t="shared" si="75"/>
        <v>3000000</v>
      </c>
      <c r="GA41" s="637"/>
      <c r="GB41" s="637">
        <v>90000000</v>
      </c>
      <c r="GC41" s="637">
        <v>0</v>
      </c>
      <c r="GD41" s="637">
        <f t="shared" si="79"/>
        <v>90000000</v>
      </c>
      <c r="GE41" s="637"/>
      <c r="GF41" s="637">
        <v>22000000</v>
      </c>
      <c r="GG41" s="637">
        <v>0</v>
      </c>
      <c r="GH41" s="637">
        <f t="shared" si="80"/>
        <v>22000000</v>
      </c>
      <c r="GI41" s="637"/>
      <c r="GJ41" s="637">
        <v>3000000</v>
      </c>
      <c r="GK41" s="637">
        <v>0</v>
      </c>
      <c r="GL41" s="637">
        <f t="shared" si="76"/>
        <v>3000000</v>
      </c>
      <c r="GM41" s="637"/>
      <c r="GN41" s="637">
        <v>12000000</v>
      </c>
      <c r="GO41" s="637">
        <v>0</v>
      </c>
      <c r="GP41" s="637">
        <f t="shared" si="77"/>
        <v>12000000</v>
      </c>
      <c r="GQ41" s="637"/>
      <c r="GR41" s="637">
        <v>3000000</v>
      </c>
      <c r="GS41" s="637">
        <v>0</v>
      </c>
      <c r="GT41" s="637">
        <f t="shared" si="78"/>
        <v>3000000</v>
      </c>
      <c r="GU41" s="637"/>
      <c r="GV41" s="587">
        <f t="shared" si="50"/>
        <v>1078050000</v>
      </c>
      <c r="GW41" s="587">
        <f t="shared" si="50"/>
        <v>794393991.64999998</v>
      </c>
      <c r="GX41" s="468">
        <f t="shared" si="51"/>
        <v>283656008.35000002</v>
      </c>
      <c r="GZ41" s="519"/>
      <c r="HA41" s="468">
        <f>D41+H41+L41+X41+AN41+BH41+CB41+CV41+DT41+EN41+FH41+GB41</f>
        <v>711000000</v>
      </c>
      <c r="HB41" s="468">
        <f>E41+I41+M41+Y41+AO41+BI41+CC41+CW41+DU41+EO41+FI41+GC41</f>
        <v>603534366.22000003</v>
      </c>
      <c r="HC41" s="471">
        <f t="shared" si="52"/>
        <v>107465633.77999997</v>
      </c>
      <c r="HE41" s="471">
        <f>P41+AB41+AR41+BL41+CF41+CZ41+DX41+ER41+FL41+GF41</f>
        <v>88000000</v>
      </c>
      <c r="HF41" s="471">
        <f>Q41+AC41+AS41+BM41+CG41+DA41+DY41+ES41+FM41+GG41</f>
        <v>19100394.280000001</v>
      </c>
      <c r="HG41" s="471">
        <f t="shared" si="53"/>
        <v>68899605.719999999</v>
      </c>
      <c r="HI41" s="471">
        <f>T41+AF41+AV41+BP41+CJ41+DD41+EB41+EV41+FP41+GJ41</f>
        <v>67550000</v>
      </c>
      <c r="HJ41" s="471">
        <f>U41+AG41+AW41+BQ41+CK41+DE41+EC41+EW41+FQ41+GK41</f>
        <v>9846500</v>
      </c>
      <c r="HK41" s="471">
        <f t="shared" si="54"/>
        <v>57703500</v>
      </c>
      <c r="HN41" s="471">
        <f>AJ41+AZ41+BT41+CN41+DH41+DP41+EF41+EZ41+FT41+GN41</f>
        <v>187500000</v>
      </c>
      <c r="HO41" s="471">
        <f>AK41+BA41+BU41+CO41+DI41+DQ41+EG41+FA41+FU41+GO41</f>
        <v>153081991</v>
      </c>
      <c r="HP41" s="471">
        <f t="shared" si="55"/>
        <v>34418009</v>
      </c>
      <c r="HR41" s="531"/>
      <c r="HT41" s="471">
        <f>BX41+CR41+DL41+EJ41+FD41+FX41+GR41</f>
        <v>24000000</v>
      </c>
      <c r="HU41" s="471">
        <f>BY41+CS41+DM41+EK41+FE41+FY41+GS41</f>
        <v>8830740.1500000004</v>
      </c>
      <c r="HV41" s="471">
        <f t="shared" si="56"/>
        <v>15169259.85</v>
      </c>
      <c r="HX41" s="473">
        <f t="shared" si="57"/>
        <v>0</v>
      </c>
      <c r="HY41" s="474">
        <v>8830740.1500000004</v>
      </c>
      <c r="ID41" s="473">
        <f>HU41+HO41+HJ41+HF41+HB41</f>
        <v>794393991.6500001</v>
      </c>
      <c r="IE41" s="473">
        <f>HV41+HP41+HK41+HG41+HC41</f>
        <v>283656008.34999996</v>
      </c>
      <c r="IF41" s="473"/>
    </row>
    <row r="42" spans="1:240" x14ac:dyDescent="0.25">
      <c r="A42" s="107">
        <v>39</v>
      </c>
      <c r="B42" s="107" t="s">
        <v>358</v>
      </c>
      <c r="C42" s="634" t="s">
        <v>63</v>
      </c>
      <c r="D42" s="488">
        <v>1000000</v>
      </c>
      <c r="E42" s="488">
        <v>1000000</v>
      </c>
      <c r="F42" s="475">
        <f t="shared" si="1"/>
        <v>0</v>
      </c>
      <c r="G42" s="488"/>
      <c r="H42" s="465">
        <v>13800000</v>
      </c>
      <c r="I42" s="465">
        <v>13800000</v>
      </c>
      <c r="J42" s="463">
        <f t="shared" si="2"/>
        <v>0</v>
      </c>
      <c r="K42" s="488"/>
      <c r="L42" s="465">
        <v>15000000</v>
      </c>
      <c r="M42" s="465">
        <v>15000000</v>
      </c>
      <c r="N42" s="543">
        <f t="shared" si="3"/>
        <v>0</v>
      </c>
      <c r="O42" s="488"/>
      <c r="P42" s="465">
        <v>2500000</v>
      </c>
      <c r="Q42" s="465">
        <v>2500000</v>
      </c>
      <c r="R42" s="543">
        <f t="shared" si="4"/>
        <v>0</v>
      </c>
      <c r="S42" s="488"/>
      <c r="T42" s="465">
        <v>1000000</v>
      </c>
      <c r="U42" s="465">
        <v>1000000</v>
      </c>
      <c r="V42" s="543">
        <f t="shared" si="5"/>
        <v>0</v>
      </c>
      <c r="W42" s="488"/>
      <c r="X42" s="465">
        <v>20000000</v>
      </c>
      <c r="Y42" s="465">
        <v>20000000</v>
      </c>
      <c r="Z42" s="543">
        <f t="shared" si="6"/>
        <v>0</v>
      </c>
      <c r="AA42" s="488"/>
      <c r="AB42" s="465">
        <v>5000000</v>
      </c>
      <c r="AC42" s="465">
        <v>5000000</v>
      </c>
      <c r="AD42" s="543">
        <f t="shared" si="7"/>
        <v>0</v>
      </c>
      <c r="AE42" s="488"/>
      <c r="AF42" s="465">
        <v>2000000</v>
      </c>
      <c r="AG42" s="465">
        <v>2000000</v>
      </c>
      <c r="AH42" s="543">
        <f t="shared" si="8"/>
        <v>0</v>
      </c>
      <c r="AI42" s="488"/>
      <c r="AJ42" s="465">
        <v>7500000</v>
      </c>
      <c r="AK42" s="465">
        <v>7500000</v>
      </c>
      <c r="AL42" s="543">
        <f t="shared" si="9"/>
        <v>0</v>
      </c>
      <c r="AM42" s="477"/>
      <c r="AN42" s="465">
        <v>30000000</v>
      </c>
      <c r="AO42" s="465">
        <v>30000000</v>
      </c>
      <c r="AP42" s="543">
        <f t="shared" si="10"/>
        <v>0</v>
      </c>
      <c r="AQ42" s="488"/>
      <c r="AR42" s="465">
        <v>3000000</v>
      </c>
      <c r="AS42" s="461">
        <v>3000000</v>
      </c>
      <c r="AT42" s="543">
        <f t="shared" si="11"/>
        <v>0</v>
      </c>
      <c r="AU42" s="488"/>
      <c r="AV42" s="465">
        <v>2000000</v>
      </c>
      <c r="AW42" s="465">
        <v>2000000</v>
      </c>
      <c r="AX42" s="543">
        <f t="shared" si="12"/>
        <v>0</v>
      </c>
      <c r="AY42" s="488"/>
      <c r="AZ42" s="465">
        <v>10000000</v>
      </c>
      <c r="BA42" s="465">
        <v>10000000</v>
      </c>
      <c r="BB42" s="543">
        <f t="shared" si="13"/>
        <v>0</v>
      </c>
      <c r="BC42" s="488"/>
      <c r="BD42" s="465">
        <v>0</v>
      </c>
      <c r="BE42" s="465">
        <v>0</v>
      </c>
      <c r="BF42" s="543">
        <f t="shared" si="14"/>
        <v>0</v>
      </c>
      <c r="BG42" s="488"/>
      <c r="BH42" s="465">
        <v>55000000</v>
      </c>
      <c r="BI42" s="465">
        <v>55000000</v>
      </c>
      <c r="BJ42" s="543">
        <f t="shared" si="15"/>
        <v>0</v>
      </c>
      <c r="BK42" s="488"/>
      <c r="BL42" s="465">
        <v>5000000</v>
      </c>
      <c r="BM42" s="465">
        <v>5000000</v>
      </c>
      <c r="BN42" s="543">
        <f t="shared" si="16"/>
        <v>0</v>
      </c>
      <c r="BO42" s="488"/>
      <c r="BP42" s="465">
        <v>5000000</v>
      </c>
      <c r="BQ42" s="465">
        <v>5000000</v>
      </c>
      <c r="BR42" s="543">
        <f t="shared" si="17"/>
        <v>0</v>
      </c>
      <c r="BS42" s="488"/>
      <c r="BT42" s="465">
        <v>15000000</v>
      </c>
      <c r="BU42" s="465">
        <v>15000000</v>
      </c>
      <c r="BV42" s="543">
        <f t="shared" si="18"/>
        <v>0</v>
      </c>
      <c r="BW42" s="488"/>
      <c r="BX42" s="465">
        <v>1000000</v>
      </c>
      <c r="BY42" s="465">
        <v>1000000</v>
      </c>
      <c r="BZ42" s="543">
        <f t="shared" si="19"/>
        <v>0</v>
      </c>
      <c r="CA42" s="488"/>
      <c r="CB42" s="468">
        <v>80000000</v>
      </c>
      <c r="CC42" s="465">
        <v>80000000</v>
      </c>
      <c r="CD42" s="543">
        <f t="shared" si="20"/>
        <v>0</v>
      </c>
      <c r="CE42" s="488"/>
      <c r="CF42" s="468">
        <v>10000000</v>
      </c>
      <c r="CG42" s="468">
        <v>10000000</v>
      </c>
      <c r="CH42" s="543">
        <f t="shared" si="21"/>
        <v>0</v>
      </c>
      <c r="CI42" s="488"/>
      <c r="CJ42" s="468">
        <v>10000000</v>
      </c>
      <c r="CK42" s="468">
        <v>10000000</v>
      </c>
      <c r="CL42" s="543">
        <f t="shared" si="22"/>
        <v>0</v>
      </c>
      <c r="CM42" s="488"/>
      <c r="CN42" s="468">
        <v>30000000</v>
      </c>
      <c r="CO42" s="468">
        <v>30000000</v>
      </c>
      <c r="CP42" s="543">
        <f t="shared" si="23"/>
        <v>0</v>
      </c>
      <c r="CQ42" s="488"/>
      <c r="CR42" s="465">
        <v>5000000</v>
      </c>
      <c r="CS42" s="468">
        <f>4644000+356000</f>
        <v>5000000</v>
      </c>
      <c r="CT42" s="465">
        <f t="shared" si="24"/>
        <v>0</v>
      </c>
      <c r="CU42" s="488"/>
      <c r="CV42" s="525">
        <v>80000000</v>
      </c>
      <c r="CW42" s="465">
        <v>80000000</v>
      </c>
      <c r="CX42" s="543">
        <f t="shared" si="25"/>
        <v>0</v>
      </c>
      <c r="CY42" s="471"/>
      <c r="CZ42" s="468">
        <v>20000000</v>
      </c>
      <c r="DA42" s="468">
        <f>985160+1506000+870000</f>
        <v>3361160</v>
      </c>
      <c r="DB42" s="543">
        <f t="shared" si="26"/>
        <v>16638840</v>
      </c>
      <c r="DC42" s="471"/>
      <c r="DD42" s="468">
        <v>20000000</v>
      </c>
      <c r="DE42" s="468">
        <f>6700625+4561865</f>
        <v>11262490</v>
      </c>
      <c r="DF42" s="543">
        <f t="shared" si="27"/>
        <v>8737510</v>
      </c>
      <c r="DG42" s="488"/>
      <c r="DH42" s="468">
        <v>50000000</v>
      </c>
      <c r="DI42" s="468">
        <f>45467871.63+492100</f>
        <v>45959971.630000003</v>
      </c>
      <c r="DJ42" s="543">
        <f t="shared" si="28"/>
        <v>4040028.3699999973</v>
      </c>
      <c r="DK42" s="488"/>
      <c r="DL42" s="465">
        <v>6000000</v>
      </c>
      <c r="DM42" s="514">
        <f>640000+1241000</f>
        <v>1881000</v>
      </c>
      <c r="DN42" s="465">
        <f t="shared" si="29"/>
        <v>4119000</v>
      </c>
      <c r="DO42" s="488"/>
      <c r="DP42" s="471">
        <v>0</v>
      </c>
      <c r="DQ42" s="471">
        <v>0</v>
      </c>
      <c r="DR42" s="471">
        <f t="shared" si="30"/>
        <v>0</v>
      </c>
      <c r="DT42" s="471">
        <v>60000000</v>
      </c>
      <c r="DU42" s="471">
        <f>13469693.25+6000000+25181875.6+7200000+8148431.15</f>
        <v>60000000</v>
      </c>
      <c r="DV42" s="471">
        <f t="shared" si="31"/>
        <v>0</v>
      </c>
      <c r="DX42" s="471">
        <v>10000000</v>
      </c>
      <c r="DY42" s="471">
        <v>0</v>
      </c>
      <c r="DZ42" s="471">
        <f t="shared" si="32"/>
        <v>10000000</v>
      </c>
      <c r="EB42" s="471">
        <v>10000000</v>
      </c>
      <c r="EC42" s="471">
        <v>0</v>
      </c>
      <c r="ED42" s="471">
        <f t="shared" si="33"/>
        <v>10000000</v>
      </c>
      <c r="EF42" s="471">
        <v>20000000</v>
      </c>
      <c r="EG42" s="471">
        <f>7523540+1182550+9333640+1960270</f>
        <v>20000000</v>
      </c>
      <c r="EH42" s="471">
        <f t="shared" si="34"/>
        <v>0</v>
      </c>
      <c r="EJ42" s="471">
        <v>3000000</v>
      </c>
      <c r="EK42" s="471">
        <v>0</v>
      </c>
      <c r="EL42" s="471">
        <f t="shared" si="35"/>
        <v>3000000</v>
      </c>
      <c r="EM42" s="634"/>
      <c r="EN42" s="465">
        <v>200000000</v>
      </c>
      <c r="EO42" s="483">
        <f>18707500+58758818.85+20221000-20221000+7972731.5+48115464</f>
        <v>133554514.34999999</v>
      </c>
      <c r="EP42" s="465">
        <f t="shared" si="36"/>
        <v>66445485.650000006</v>
      </c>
      <c r="EQ42" s="465"/>
      <c r="ER42" s="465">
        <v>10000000</v>
      </c>
      <c r="ES42" s="465">
        <v>0</v>
      </c>
      <c r="ET42" s="465">
        <f t="shared" si="37"/>
        <v>10000000</v>
      </c>
      <c r="EU42" s="465"/>
      <c r="EV42" s="465">
        <v>10000000</v>
      </c>
      <c r="EW42" s="465">
        <v>0</v>
      </c>
      <c r="EX42" s="465">
        <f t="shared" si="38"/>
        <v>10000000</v>
      </c>
      <c r="EY42" s="465"/>
      <c r="EZ42" s="465">
        <v>25000000</v>
      </c>
      <c r="FA42" s="478">
        <f>7057130+911400+9511725+6205550</f>
        <v>23685805</v>
      </c>
      <c r="FB42" s="465">
        <f t="shared" si="39"/>
        <v>1314195</v>
      </c>
      <c r="FC42" s="465"/>
      <c r="FD42" s="465">
        <v>3000000</v>
      </c>
      <c r="FE42" s="465">
        <v>0</v>
      </c>
      <c r="FF42" s="465">
        <f t="shared" si="40"/>
        <v>3000000</v>
      </c>
      <c r="FG42" s="465"/>
      <c r="FH42" s="637">
        <v>65000000</v>
      </c>
      <c r="FI42" s="637">
        <v>0</v>
      </c>
      <c r="FJ42" s="637">
        <f t="shared" si="71"/>
        <v>65000000</v>
      </c>
      <c r="FK42" s="637"/>
      <c r="FL42" s="637">
        <v>8000000</v>
      </c>
      <c r="FM42" s="637">
        <v>0</v>
      </c>
      <c r="FN42" s="637">
        <f t="shared" si="72"/>
        <v>8000000</v>
      </c>
      <c r="FO42" s="637"/>
      <c r="FP42" s="637">
        <v>5000000</v>
      </c>
      <c r="FQ42" s="637">
        <v>0</v>
      </c>
      <c r="FR42" s="637">
        <f t="shared" si="73"/>
        <v>5000000</v>
      </c>
      <c r="FS42" s="637"/>
      <c r="FT42" s="637">
        <v>18000000</v>
      </c>
      <c r="FU42" s="637">
        <v>0</v>
      </c>
      <c r="FV42" s="637">
        <f t="shared" si="74"/>
        <v>18000000</v>
      </c>
      <c r="FW42" s="637"/>
      <c r="FX42" s="637">
        <v>3000000</v>
      </c>
      <c r="FY42" s="637">
        <v>0</v>
      </c>
      <c r="FZ42" s="637">
        <f t="shared" si="75"/>
        <v>3000000</v>
      </c>
      <c r="GA42" s="637"/>
      <c r="GB42" s="637">
        <v>90000000</v>
      </c>
      <c r="GC42" s="637">
        <v>0</v>
      </c>
      <c r="GD42" s="637">
        <f t="shared" si="79"/>
        <v>90000000</v>
      </c>
      <c r="GE42" s="637"/>
      <c r="GF42" s="637">
        <v>22000000</v>
      </c>
      <c r="GG42" s="637">
        <v>0</v>
      </c>
      <c r="GH42" s="637">
        <f t="shared" si="80"/>
        <v>22000000</v>
      </c>
      <c r="GI42" s="637"/>
      <c r="GJ42" s="637">
        <v>3000000</v>
      </c>
      <c r="GK42" s="637">
        <v>0</v>
      </c>
      <c r="GL42" s="637">
        <f t="shared" si="76"/>
        <v>3000000</v>
      </c>
      <c r="GM42" s="637"/>
      <c r="GN42" s="637">
        <v>12000000</v>
      </c>
      <c r="GO42" s="637">
        <v>0</v>
      </c>
      <c r="GP42" s="637">
        <f t="shared" si="77"/>
        <v>12000000</v>
      </c>
      <c r="GQ42" s="637"/>
      <c r="GR42" s="637">
        <v>3000000</v>
      </c>
      <c r="GS42" s="637">
        <v>0</v>
      </c>
      <c r="GT42" s="637">
        <f t="shared" si="78"/>
        <v>3000000</v>
      </c>
      <c r="GU42" s="637"/>
      <c r="GV42" s="587">
        <f t="shared" si="50"/>
        <v>1084800000</v>
      </c>
      <c r="GW42" s="587">
        <f t="shared" si="50"/>
        <v>708504940.98000002</v>
      </c>
      <c r="GX42" s="468">
        <f t="shared" si="51"/>
        <v>376295059.01999998</v>
      </c>
      <c r="GZ42" s="519"/>
      <c r="HA42" s="468">
        <f>D42+H42+L42+X42+AN42+BH42+CB42+CV42+DT42+EN42+FH42+GB42</f>
        <v>709800000</v>
      </c>
      <c r="HB42" s="468">
        <f>E42+I42+M42+Y42+AO42+BI42+CC42+CW42+DU42+EO42+FI42+GC42</f>
        <v>488354514.35000002</v>
      </c>
      <c r="HC42" s="471">
        <f t="shared" si="52"/>
        <v>221445485.64999998</v>
      </c>
      <c r="HE42" s="471">
        <f>P42+AB42+AR42+BL42+CF42+CZ42+DX42+ER42+FL42+GF42</f>
        <v>95500000</v>
      </c>
      <c r="HF42" s="471">
        <f>Q42+AC42+AS42+BM42+CG42+DA42+DY42+ES42+FM42+GG42</f>
        <v>28861160</v>
      </c>
      <c r="HG42" s="471">
        <f t="shared" si="53"/>
        <v>66638840</v>
      </c>
      <c r="HI42" s="471">
        <f>T42+AF42+AV42+BP42+CJ42+DD42+EB42+EV42+FP42+GJ42</f>
        <v>68000000</v>
      </c>
      <c r="HJ42" s="471">
        <f>U42+AG42+AW42+BQ42+CK42+DE42+EC42+EW42+FQ42+GK42</f>
        <v>31262490</v>
      </c>
      <c r="HK42" s="471">
        <f t="shared" si="54"/>
        <v>36737510</v>
      </c>
      <c r="HN42" s="471">
        <f>AJ42+AZ42+BT42+CN42+DH42+DP42+EF42+EZ42+FT42+GN42</f>
        <v>187500000</v>
      </c>
      <c r="HO42" s="471">
        <f>AK42+BA42+BU42+CO42+DI42+DQ42+EG42+FA42+FU42+GO42</f>
        <v>152145776.63</v>
      </c>
      <c r="HP42" s="471">
        <f t="shared" si="55"/>
        <v>35354223.370000005</v>
      </c>
      <c r="HR42" s="531"/>
      <c r="HT42" s="471">
        <f>BX42+CR42+DL42+EJ42+FD42+FX42+GR42</f>
        <v>24000000</v>
      </c>
      <c r="HU42" s="471">
        <f>BY42+CS42+DM42+EK42+FE42+FY42+GS42</f>
        <v>7881000</v>
      </c>
      <c r="HV42" s="471">
        <f t="shared" si="56"/>
        <v>16119000</v>
      </c>
      <c r="HX42" s="473">
        <f t="shared" si="57"/>
        <v>1241000</v>
      </c>
      <c r="HY42" s="474">
        <v>6640000</v>
      </c>
      <c r="ID42" s="473">
        <f>HU42+HO42+HJ42+HF42+HB42</f>
        <v>708504940.98000002</v>
      </c>
      <c r="IE42" s="473">
        <f>HV42+HP42+HK42+HG42+HC42</f>
        <v>376295059.01999998</v>
      </c>
      <c r="IF42" s="473"/>
    </row>
    <row r="43" spans="1:240" x14ac:dyDescent="0.25">
      <c r="A43" s="107">
        <v>40</v>
      </c>
      <c r="B43" s="107" t="s">
        <v>359</v>
      </c>
      <c r="C43" s="634" t="s">
        <v>61</v>
      </c>
      <c r="D43" s="488">
        <v>1000000</v>
      </c>
      <c r="E43" s="488">
        <v>1000000</v>
      </c>
      <c r="F43" s="475">
        <f t="shared" si="1"/>
        <v>0</v>
      </c>
      <c r="G43" s="488"/>
      <c r="H43" s="465">
        <v>15000000</v>
      </c>
      <c r="I43" s="465">
        <v>15000000</v>
      </c>
      <c r="J43" s="463">
        <f t="shared" si="2"/>
        <v>0</v>
      </c>
      <c r="K43" s="488"/>
      <c r="L43" s="465">
        <v>15000000</v>
      </c>
      <c r="M43" s="465">
        <v>15000000</v>
      </c>
      <c r="N43" s="543">
        <f t="shared" si="3"/>
        <v>0</v>
      </c>
      <c r="O43" s="488"/>
      <c r="P43" s="465">
        <v>0</v>
      </c>
      <c r="Q43" s="465">
        <v>0</v>
      </c>
      <c r="R43" s="543">
        <f t="shared" si="4"/>
        <v>0</v>
      </c>
      <c r="S43" s="488"/>
      <c r="T43" s="465">
        <v>0</v>
      </c>
      <c r="U43" s="465">
        <v>0</v>
      </c>
      <c r="V43" s="543">
        <f t="shared" si="5"/>
        <v>0</v>
      </c>
      <c r="W43" s="488"/>
      <c r="X43" s="465">
        <v>20000000</v>
      </c>
      <c r="Y43" s="465">
        <v>20000000</v>
      </c>
      <c r="Z43" s="543">
        <f t="shared" si="6"/>
        <v>0</v>
      </c>
      <c r="AA43" s="488"/>
      <c r="AB43" s="465">
        <v>0</v>
      </c>
      <c r="AC43" s="465">
        <v>0</v>
      </c>
      <c r="AD43" s="543">
        <f t="shared" si="7"/>
        <v>0</v>
      </c>
      <c r="AE43" s="488"/>
      <c r="AF43" s="465">
        <v>0</v>
      </c>
      <c r="AG43" s="465">
        <v>0</v>
      </c>
      <c r="AH43" s="543">
        <f t="shared" si="8"/>
        <v>0</v>
      </c>
      <c r="AI43" s="488"/>
      <c r="AJ43" s="465">
        <v>0</v>
      </c>
      <c r="AK43" s="465">
        <v>0</v>
      </c>
      <c r="AL43" s="543">
        <f t="shared" si="9"/>
        <v>0</v>
      </c>
      <c r="AN43" s="465">
        <v>30000000</v>
      </c>
      <c r="AO43" s="465">
        <v>30000000</v>
      </c>
      <c r="AP43" s="543">
        <f t="shared" si="10"/>
        <v>0</v>
      </c>
      <c r="AQ43" s="488"/>
      <c r="AR43" s="465">
        <v>3000000</v>
      </c>
      <c r="AS43" s="465">
        <v>2041605</v>
      </c>
      <c r="AT43" s="543">
        <f t="shared" si="11"/>
        <v>958395</v>
      </c>
      <c r="AU43" s="488"/>
      <c r="AV43" s="465">
        <v>2000000</v>
      </c>
      <c r="AW43" s="465">
        <v>0</v>
      </c>
      <c r="AX43" s="543">
        <f t="shared" si="12"/>
        <v>2000000</v>
      </c>
      <c r="AY43" s="488"/>
      <c r="AZ43" s="465">
        <v>10000000</v>
      </c>
      <c r="BA43" s="465">
        <v>10000000</v>
      </c>
      <c r="BB43" s="543">
        <f t="shared" si="13"/>
        <v>0</v>
      </c>
      <c r="BC43" s="488"/>
      <c r="BD43" s="465">
        <v>0</v>
      </c>
      <c r="BE43" s="465">
        <v>0</v>
      </c>
      <c r="BF43" s="543">
        <f t="shared" si="14"/>
        <v>0</v>
      </c>
      <c r="BG43" s="488"/>
      <c r="BH43" s="465">
        <v>55000000</v>
      </c>
      <c r="BI43" s="465">
        <v>55000000</v>
      </c>
      <c r="BJ43" s="543">
        <f t="shared" si="15"/>
        <v>0</v>
      </c>
      <c r="BK43" s="488"/>
      <c r="BL43" s="465">
        <v>5000000</v>
      </c>
      <c r="BM43" s="465">
        <v>0</v>
      </c>
      <c r="BN43" s="543">
        <f t="shared" si="16"/>
        <v>5000000</v>
      </c>
      <c r="BO43" s="488"/>
      <c r="BP43" s="465">
        <v>5000000</v>
      </c>
      <c r="BQ43" s="465">
        <v>0</v>
      </c>
      <c r="BR43" s="543">
        <f t="shared" si="17"/>
        <v>5000000</v>
      </c>
      <c r="BS43" s="488"/>
      <c r="BT43" s="465">
        <v>15000000</v>
      </c>
      <c r="BU43" s="465">
        <v>15000000</v>
      </c>
      <c r="BV43" s="543">
        <f t="shared" si="18"/>
        <v>0</v>
      </c>
      <c r="BW43" s="488"/>
      <c r="BX43" s="465">
        <v>1000000</v>
      </c>
      <c r="BY43" s="465">
        <v>0</v>
      </c>
      <c r="BZ43" s="543">
        <f t="shared" si="19"/>
        <v>1000000</v>
      </c>
      <c r="CA43" s="488"/>
      <c r="CB43" s="468">
        <v>80000000</v>
      </c>
      <c r="CC43" s="465">
        <v>80000000</v>
      </c>
      <c r="CD43" s="543">
        <f t="shared" si="20"/>
        <v>0</v>
      </c>
      <c r="CE43" s="488"/>
      <c r="CF43" s="468">
        <v>10000000</v>
      </c>
      <c r="CG43" s="468">
        <v>0</v>
      </c>
      <c r="CH43" s="543">
        <f t="shared" si="21"/>
        <v>10000000</v>
      </c>
      <c r="CI43" s="488"/>
      <c r="CJ43" s="468">
        <v>10000000</v>
      </c>
      <c r="CK43" s="468">
        <v>0</v>
      </c>
      <c r="CL43" s="543">
        <f t="shared" si="22"/>
        <v>10000000</v>
      </c>
      <c r="CM43" s="488"/>
      <c r="CN43" s="468">
        <v>30000000</v>
      </c>
      <c r="CO43" s="505">
        <v>30000000</v>
      </c>
      <c r="CP43" s="543">
        <f t="shared" si="23"/>
        <v>0</v>
      </c>
      <c r="CQ43" s="488"/>
      <c r="CR43" s="465">
        <v>5000000</v>
      </c>
      <c r="CS43" s="468">
        <v>0</v>
      </c>
      <c r="CT43" s="465">
        <f t="shared" si="24"/>
        <v>5000000</v>
      </c>
      <c r="CU43" s="488"/>
      <c r="CV43" s="525">
        <v>80000000</v>
      </c>
      <c r="CW43" s="465">
        <f>16312458+34292500</f>
        <v>50604958</v>
      </c>
      <c r="CX43" s="543">
        <f t="shared" si="25"/>
        <v>29395042</v>
      </c>
      <c r="CY43" s="471"/>
      <c r="CZ43" s="468">
        <v>20000000</v>
      </c>
      <c r="DA43" s="468">
        <v>0</v>
      </c>
      <c r="DB43" s="543">
        <f t="shared" si="26"/>
        <v>20000000</v>
      </c>
      <c r="DC43" s="471"/>
      <c r="DD43" s="468">
        <v>20000000</v>
      </c>
      <c r="DE43" s="468">
        <v>0</v>
      </c>
      <c r="DF43" s="543">
        <f t="shared" si="27"/>
        <v>20000000</v>
      </c>
      <c r="DG43" s="488"/>
      <c r="DH43" s="468">
        <v>50000000</v>
      </c>
      <c r="DI43" s="468">
        <f>27349011+1083500+8721900</f>
        <v>37154411</v>
      </c>
      <c r="DJ43" s="543">
        <f t="shared" si="28"/>
        <v>12845589</v>
      </c>
      <c r="DK43" s="488"/>
      <c r="DL43" s="465">
        <v>6000000</v>
      </c>
      <c r="DM43" s="468">
        <v>0</v>
      </c>
      <c r="DN43" s="465">
        <f t="shared" si="29"/>
        <v>6000000</v>
      </c>
      <c r="DO43" s="488"/>
      <c r="DP43" s="471">
        <v>0</v>
      </c>
      <c r="DQ43" s="471">
        <v>0</v>
      </c>
      <c r="DR43" s="471">
        <f t="shared" si="30"/>
        <v>0</v>
      </c>
      <c r="DT43" s="471">
        <v>0</v>
      </c>
      <c r="DU43" s="471">
        <v>0</v>
      </c>
      <c r="DV43" s="471">
        <f t="shared" si="31"/>
        <v>0</v>
      </c>
      <c r="DX43" s="471">
        <v>0</v>
      </c>
      <c r="DY43" s="471">
        <v>0</v>
      </c>
      <c r="DZ43" s="471">
        <f t="shared" si="32"/>
        <v>0</v>
      </c>
      <c r="EB43" s="471">
        <v>0</v>
      </c>
      <c r="EC43" s="471">
        <v>0</v>
      </c>
      <c r="ED43" s="471">
        <f t="shared" si="33"/>
        <v>0</v>
      </c>
      <c r="EF43" s="471">
        <v>0</v>
      </c>
      <c r="EG43" s="471">
        <v>0</v>
      </c>
      <c r="EH43" s="471">
        <f t="shared" si="34"/>
        <v>0</v>
      </c>
      <c r="EJ43" s="471">
        <v>0</v>
      </c>
      <c r="EK43" s="471">
        <v>0</v>
      </c>
      <c r="EL43" s="471">
        <f t="shared" si="35"/>
        <v>0</v>
      </c>
      <c r="EM43" s="634"/>
      <c r="EN43" s="465">
        <v>200000000</v>
      </c>
      <c r="EO43" s="465">
        <f>18900000+17700000</f>
        <v>36600000</v>
      </c>
      <c r="EP43" s="465">
        <f t="shared" si="36"/>
        <v>163400000</v>
      </c>
      <c r="EQ43" s="465"/>
      <c r="ER43" s="465">
        <v>10000000</v>
      </c>
      <c r="ES43" s="465">
        <v>0</v>
      </c>
      <c r="ET43" s="465">
        <f t="shared" si="37"/>
        <v>10000000</v>
      </c>
      <c r="EU43" s="465"/>
      <c r="EV43" s="465">
        <v>10000000</v>
      </c>
      <c r="EW43" s="465">
        <v>0</v>
      </c>
      <c r="EX43" s="465">
        <f t="shared" si="38"/>
        <v>10000000</v>
      </c>
      <c r="EY43" s="465"/>
      <c r="EZ43" s="465">
        <v>25000000</v>
      </c>
      <c r="FA43" s="465">
        <v>5815490</v>
      </c>
      <c r="FB43" s="465">
        <f t="shared" si="39"/>
        <v>19184510</v>
      </c>
      <c r="FC43" s="465"/>
      <c r="FD43" s="465">
        <v>3000000</v>
      </c>
      <c r="FE43" s="465">
        <v>0</v>
      </c>
      <c r="FF43" s="465">
        <f t="shared" si="40"/>
        <v>3000000</v>
      </c>
      <c r="FG43" s="465"/>
      <c r="FH43" s="637"/>
      <c r="FI43" s="637"/>
      <c r="FJ43" s="637"/>
      <c r="FK43" s="637"/>
      <c r="FL43" s="637"/>
      <c r="FM43" s="637"/>
      <c r="FN43" s="637"/>
      <c r="FO43" s="637"/>
      <c r="FP43" s="637"/>
      <c r="FQ43" s="637"/>
      <c r="FR43" s="637"/>
      <c r="FS43" s="637"/>
      <c r="FT43" s="637"/>
      <c r="FU43" s="637"/>
      <c r="FV43" s="637"/>
      <c r="FW43" s="637"/>
      <c r="FX43" s="637"/>
      <c r="FY43" s="637"/>
      <c r="FZ43" s="637"/>
      <c r="GA43" s="637"/>
      <c r="GB43" s="637">
        <v>90000000</v>
      </c>
      <c r="GC43" s="637">
        <v>0</v>
      </c>
      <c r="GD43" s="637">
        <f t="shared" si="79"/>
        <v>90000000</v>
      </c>
      <c r="GE43" s="637"/>
      <c r="GF43" s="637">
        <v>22000000</v>
      </c>
      <c r="GG43" s="637">
        <v>0</v>
      </c>
      <c r="GH43" s="637">
        <f>GF43-GG43</f>
        <v>22000000</v>
      </c>
      <c r="GI43" s="637"/>
      <c r="GJ43" s="637">
        <v>3000000</v>
      </c>
      <c r="GK43" s="637">
        <v>0</v>
      </c>
      <c r="GL43" s="637">
        <f t="shared" si="76"/>
        <v>3000000</v>
      </c>
      <c r="GM43" s="637"/>
      <c r="GN43" s="637">
        <v>12000000</v>
      </c>
      <c r="GO43" s="637">
        <v>0</v>
      </c>
      <c r="GP43" s="637">
        <f t="shared" si="77"/>
        <v>12000000</v>
      </c>
      <c r="GQ43" s="637"/>
      <c r="GR43" s="637">
        <v>3000000</v>
      </c>
      <c r="GS43" s="637">
        <v>0</v>
      </c>
      <c r="GT43" s="637">
        <f t="shared" si="78"/>
        <v>3000000</v>
      </c>
      <c r="GU43" s="637"/>
      <c r="GV43" s="587">
        <f t="shared" si="50"/>
        <v>866000000</v>
      </c>
      <c r="GW43" s="587">
        <f t="shared" si="50"/>
        <v>403216464</v>
      </c>
      <c r="GX43" s="468">
        <f t="shared" si="51"/>
        <v>462783536</v>
      </c>
      <c r="GZ43" s="519"/>
      <c r="HA43" s="468">
        <f>D43+H43+L43+X43+AN43+BH43+CB43+CV43+DT43+EN43+FH43+GB43</f>
        <v>586000000</v>
      </c>
      <c r="HB43" s="468">
        <f>E43+I43+M43+Y43+AO43+BI43+CC43+CW43+DU43+EO43+FI43+GC43</f>
        <v>303204958</v>
      </c>
      <c r="HC43" s="471">
        <f t="shared" si="52"/>
        <v>282795042</v>
      </c>
      <c r="HE43" s="471">
        <f>P43+AB43+AR43+BL43+CF43+CZ43+DX43+ER43+FL43+GF43</f>
        <v>70000000</v>
      </c>
      <c r="HF43" s="471">
        <f>Q43+AC43+AS43+BM43+CG43+DA43+DY43+ES43+FM43+GG43</f>
        <v>2041605</v>
      </c>
      <c r="HG43" s="471">
        <f t="shared" si="53"/>
        <v>67958395</v>
      </c>
      <c r="HI43" s="471">
        <f>T43+AF43+AV43+BP43+CJ43+DD43+EB43+EV43+FP43+GJ43</f>
        <v>50000000</v>
      </c>
      <c r="HJ43" s="471">
        <f>U43+AG43+AW43+BQ43+CK43+DE43+EC43+EW43+FQ43+GK43</f>
        <v>0</v>
      </c>
      <c r="HK43" s="471">
        <f t="shared" si="54"/>
        <v>50000000</v>
      </c>
      <c r="HN43" s="471">
        <f>AJ43+AZ43+BT43+CN43+DH43+DP43+EF43+EZ43+FT43+GN43</f>
        <v>142000000</v>
      </c>
      <c r="HO43" s="471">
        <f>AK43+BA43+BU43+CO43+DI43+DQ43+EG43+FA43+FU43+GO43</f>
        <v>97969901</v>
      </c>
      <c r="HP43" s="471">
        <f t="shared" si="55"/>
        <v>44030099</v>
      </c>
      <c r="HR43" s="531"/>
      <c r="HT43" s="471">
        <f>BX43+CR43+DL43+EJ43+FD43+FX43+GR43</f>
        <v>18000000</v>
      </c>
      <c r="HU43" s="471">
        <f>BY43+CS43+DM43+EK43+FE43+FY43+GS43</f>
        <v>0</v>
      </c>
      <c r="HV43" s="471">
        <f t="shared" si="56"/>
        <v>18000000</v>
      </c>
      <c r="HX43" s="473">
        <f t="shared" si="57"/>
        <v>0</v>
      </c>
      <c r="HY43" s="474">
        <v>0</v>
      </c>
      <c r="ID43" s="473">
        <f>HU43+HO43+HJ43+HF43+HB43</f>
        <v>403216464</v>
      </c>
      <c r="IE43" s="473">
        <f>HV43+HP43+HK43+HG43+HC43</f>
        <v>462783536</v>
      </c>
      <c r="IF43" s="473"/>
    </row>
    <row r="44" spans="1:240" x14ac:dyDescent="0.25">
      <c r="A44" s="107">
        <v>41</v>
      </c>
      <c r="B44" s="107" t="s">
        <v>360</v>
      </c>
      <c r="C44" s="634"/>
      <c r="D44" s="488">
        <v>1000000</v>
      </c>
      <c r="E44" s="488">
        <v>1000000</v>
      </c>
      <c r="F44" s="475">
        <f t="shared" si="1"/>
        <v>0</v>
      </c>
      <c r="G44" s="488"/>
      <c r="H44" s="465">
        <v>15000000</v>
      </c>
      <c r="I44" s="465">
        <f>10700000+4250000+50000</f>
        <v>15000000</v>
      </c>
      <c r="J44" s="463">
        <f t="shared" si="2"/>
        <v>0</v>
      </c>
      <c r="K44" s="488"/>
      <c r="L44" s="465">
        <v>15000000</v>
      </c>
      <c r="M44" s="465">
        <f>12350000+2100000+500000+50000</f>
        <v>15000000</v>
      </c>
      <c r="N44" s="543">
        <f t="shared" si="3"/>
        <v>0</v>
      </c>
      <c r="O44" s="488"/>
      <c r="P44" s="465">
        <v>0</v>
      </c>
      <c r="Q44" s="465">
        <v>0</v>
      </c>
      <c r="R44" s="543">
        <f t="shared" si="4"/>
        <v>0</v>
      </c>
      <c r="S44" s="488"/>
      <c r="T44" s="465">
        <v>1000000</v>
      </c>
      <c r="U44" s="465">
        <f>850000+150000</f>
        <v>1000000</v>
      </c>
      <c r="V44" s="543">
        <f t="shared" si="5"/>
        <v>0</v>
      </c>
      <c r="W44" s="488"/>
      <c r="X44" s="465">
        <v>0</v>
      </c>
      <c r="Y44" s="465">
        <v>0</v>
      </c>
      <c r="Z44" s="543">
        <f t="shared" si="6"/>
        <v>0</v>
      </c>
      <c r="AA44" s="488"/>
      <c r="AB44" s="465">
        <v>0</v>
      </c>
      <c r="AC44" s="465">
        <v>0</v>
      </c>
      <c r="AD44" s="543">
        <f t="shared" si="7"/>
        <v>0</v>
      </c>
      <c r="AE44" s="488"/>
      <c r="AF44" s="465">
        <v>0</v>
      </c>
      <c r="AG44" s="465">
        <v>0</v>
      </c>
      <c r="AH44" s="543">
        <f t="shared" si="8"/>
        <v>0</v>
      </c>
      <c r="AI44" s="488"/>
      <c r="AJ44" s="465">
        <v>0</v>
      </c>
      <c r="AK44" s="465">
        <v>0</v>
      </c>
      <c r="AL44" s="543">
        <f t="shared" si="9"/>
        <v>0</v>
      </c>
      <c r="AM44" s="465"/>
      <c r="AN44" s="465">
        <v>30000000</v>
      </c>
      <c r="AO44" s="465">
        <f>20450000+9509575+40425</f>
        <v>30000000</v>
      </c>
      <c r="AP44" s="543">
        <f t="shared" si="10"/>
        <v>0</v>
      </c>
      <c r="AQ44" s="488"/>
      <c r="AR44" s="465">
        <v>3000000</v>
      </c>
      <c r="AS44" s="465">
        <v>0</v>
      </c>
      <c r="AT44" s="543">
        <f t="shared" si="11"/>
        <v>3000000</v>
      </c>
      <c r="AU44" s="488"/>
      <c r="AV44" s="465">
        <v>2000000</v>
      </c>
      <c r="AW44" s="465">
        <v>1550000</v>
      </c>
      <c r="AX44" s="543">
        <f t="shared" si="12"/>
        <v>450000</v>
      </c>
      <c r="AY44" s="488"/>
      <c r="AZ44" s="465">
        <v>10000000</v>
      </c>
      <c r="BA44" s="465">
        <f>5582310+4376725+40965</f>
        <v>10000000</v>
      </c>
      <c r="BB44" s="543">
        <f t="shared" si="13"/>
        <v>0</v>
      </c>
      <c r="BC44" s="488"/>
      <c r="BD44" s="465">
        <v>0</v>
      </c>
      <c r="BE44" s="465">
        <v>0</v>
      </c>
      <c r="BF44" s="543">
        <f t="shared" si="14"/>
        <v>0</v>
      </c>
      <c r="BG44" s="488"/>
      <c r="BH44" s="465">
        <v>0</v>
      </c>
      <c r="BI44" s="465">
        <v>0</v>
      </c>
      <c r="BJ44" s="543">
        <f t="shared" si="15"/>
        <v>0</v>
      </c>
      <c r="BK44" s="488"/>
      <c r="BL44" s="465">
        <v>0</v>
      </c>
      <c r="BM44" s="465">
        <v>0</v>
      </c>
      <c r="BN44" s="543">
        <f t="shared" si="16"/>
        <v>0</v>
      </c>
      <c r="BO44" s="488"/>
      <c r="BP44" s="465">
        <v>0</v>
      </c>
      <c r="BQ44" s="465">
        <v>0</v>
      </c>
      <c r="BR44" s="543">
        <f t="shared" si="17"/>
        <v>0</v>
      </c>
      <c r="BS44" s="488"/>
      <c r="BT44" s="465">
        <v>0</v>
      </c>
      <c r="BU44" s="465">
        <v>0</v>
      </c>
      <c r="BV44" s="543">
        <f t="shared" si="18"/>
        <v>0</v>
      </c>
      <c r="BW44" s="488"/>
      <c r="BX44" s="465">
        <v>0</v>
      </c>
      <c r="BY44" s="465">
        <v>0</v>
      </c>
      <c r="BZ44" s="543">
        <f t="shared" si="19"/>
        <v>0</v>
      </c>
      <c r="CA44" s="488"/>
      <c r="CB44" s="468">
        <v>0</v>
      </c>
      <c r="CC44" s="465">
        <v>0</v>
      </c>
      <c r="CD44" s="543">
        <f t="shared" si="20"/>
        <v>0</v>
      </c>
      <c r="CE44" s="488"/>
      <c r="CF44" s="468">
        <v>0</v>
      </c>
      <c r="CG44" s="468">
        <v>0</v>
      </c>
      <c r="CH44" s="543">
        <f t="shared" si="21"/>
        <v>0</v>
      </c>
      <c r="CI44" s="488"/>
      <c r="CJ44" s="468">
        <v>0</v>
      </c>
      <c r="CK44" s="468">
        <v>0</v>
      </c>
      <c r="CL44" s="543">
        <f t="shared" si="22"/>
        <v>0</v>
      </c>
      <c r="CM44" s="488"/>
      <c r="CN44" s="468">
        <v>0</v>
      </c>
      <c r="CO44" s="468">
        <v>0</v>
      </c>
      <c r="CP44" s="543">
        <f t="shared" si="23"/>
        <v>0</v>
      </c>
      <c r="CQ44" s="488"/>
      <c r="CR44" s="465">
        <v>0</v>
      </c>
      <c r="CS44" s="468">
        <v>0</v>
      </c>
      <c r="CT44" s="465">
        <f t="shared" si="24"/>
        <v>0</v>
      </c>
      <c r="CU44" s="488"/>
      <c r="CV44" s="525">
        <v>80000000</v>
      </c>
      <c r="CW44" s="485">
        <f>32259575+15100000+21600000+10200000+840425</f>
        <v>80000000</v>
      </c>
      <c r="CX44" s="543">
        <f t="shared" si="25"/>
        <v>0</v>
      </c>
      <c r="CY44" s="471"/>
      <c r="CZ44" s="468">
        <v>20000000</v>
      </c>
      <c r="DA44" s="468">
        <v>0</v>
      </c>
      <c r="DB44" s="543">
        <f t="shared" si="26"/>
        <v>20000000</v>
      </c>
      <c r="DC44" s="471"/>
      <c r="DD44" s="468">
        <v>20000000</v>
      </c>
      <c r="DE44" s="468">
        <v>0</v>
      </c>
      <c r="DF44" s="543">
        <f t="shared" si="27"/>
        <v>20000000</v>
      </c>
      <c r="DG44" s="488"/>
      <c r="DH44" s="468">
        <v>50000000</v>
      </c>
      <c r="DI44" s="489">
        <f>17520435+11157412+20029724+1292429</f>
        <v>50000000</v>
      </c>
      <c r="DJ44" s="543">
        <f t="shared" si="28"/>
        <v>0</v>
      </c>
      <c r="DK44" s="488"/>
      <c r="DL44" s="465">
        <v>6000000</v>
      </c>
      <c r="DM44" s="468">
        <v>0</v>
      </c>
      <c r="DN44" s="465">
        <f t="shared" si="29"/>
        <v>6000000</v>
      </c>
      <c r="DO44" s="488"/>
      <c r="DP44" s="471">
        <v>0</v>
      </c>
      <c r="DQ44" s="471">
        <v>0</v>
      </c>
      <c r="DR44" s="471">
        <f t="shared" si="30"/>
        <v>0</v>
      </c>
      <c r="DT44" s="471">
        <v>0</v>
      </c>
      <c r="DU44" s="471">
        <v>0</v>
      </c>
      <c r="DV44" s="471">
        <f t="shared" si="31"/>
        <v>0</v>
      </c>
      <c r="DX44" s="471">
        <v>0</v>
      </c>
      <c r="DY44" s="471">
        <v>0</v>
      </c>
      <c r="DZ44" s="471">
        <f t="shared" si="32"/>
        <v>0</v>
      </c>
      <c r="EB44" s="471">
        <v>0</v>
      </c>
      <c r="EC44" s="471">
        <v>0</v>
      </c>
      <c r="ED44" s="471">
        <f t="shared" si="33"/>
        <v>0</v>
      </c>
      <c r="EF44" s="471">
        <v>0</v>
      </c>
      <c r="EG44" s="471">
        <v>0</v>
      </c>
      <c r="EH44" s="471">
        <f t="shared" si="34"/>
        <v>0</v>
      </c>
      <c r="EJ44" s="471">
        <v>0</v>
      </c>
      <c r="EK44" s="471">
        <v>0</v>
      </c>
      <c r="EL44" s="471">
        <f t="shared" si="35"/>
        <v>0</v>
      </c>
      <c r="EM44" s="634"/>
      <c r="EN44" s="465">
        <v>0</v>
      </c>
      <c r="EO44" s="465">
        <v>0</v>
      </c>
      <c r="EP44" s="465">
        <f t="shared" si="36"/>
        <v>0</v>
      </c>
      <c r="EQ44" s="465"/>
      <c r="ER44" s="465"/>
      <c r="ES44" s="465">
        <v>0</v>
      </c>
      <c r="ET44" s="465">
        <f t="shared" si="37"/>
        <v>0</v>
      </c>
      <c r="EU44" s="465"/>
      <c r="EV44" s="465"/>
      <c r="EW44" s="465">
        <v>0</v>
      </c>
      <c r="EX44" s="465">
        <f t="shared" si="38"/>
        <v>0</v>
      </c>
      <c r="EY44" s="465"/>
      <c r="EZ44" s="465"/>
      <c r="FA44" s="465">
        <v>0</v>
      </c>
      <c r="FB44" s="465">
        <f t="shared" si="39"/>
        <v>0</v>
      </c>
      <c r="FC44" s="465"/>
      <c r="FD44" s="465">
        <f>FB44-FC44</f>
        <v>0</v>
      </c>
      <c r="FE44" s="465">
        <v>0</v>
      </c>
      <c r="FF44" s="465">
        <f t="shared" si="40"/>
        <v>0</v>
      </c>
      <c r="FG44" s="465"/>
      <c r="FH44" s="637">
        <v>65000000</v>
      </c>
      <c r="FI44" s="642">
        <f>7200000+11159575+8100000</f>
        <v>26459575</v>
      </c>
      <c r="FJ44" s="637">
        <f t="shared" ref="FJ44" si="81">FH44-FI44</f>
        <v>38540425</v>
      </c>
      <c r="FK44" s="637"/>
      <c r="FL44" s="637">
        <v>8000000</v>
      </c>
      <c r="FM44" s="637">
        <v>0</v>
      </c>
      <c r="FN44" s="637">
        <f t="shared" ref="FN44" si="82">FL44-FM44</f>
        <v>8000000</v>
      </c>
      <c r="FO44" s="637"/>
      <c r="FP44" s="637">
        <v>5000000</v>
      </c>
      <c r="FQ44" s="637">
        <v>0</v>
      </c>
      <c r="FR44" s="637">
        <f t="shared" ref="FR44" si="83">FP44-FQ44</f>
        <v>5000000</v>
      </c>
      <c r="FS44" s="637"/>
      <c r="FT44" s="637">
        <v>18000000</v>
      </c>
      <c r="FU44" s="638">
        <f>1928271</f>
        <v>1928271</v>
      </c>
      <c r="FV44" s="637">
        <f t="shared" ref="FV44" si="84">FT44-FU44</f>
        <v>16071729</v>
      </c>
      <c r="FW44" s="637"/>
      <c r="FX44" s="637">
        <v>3000000</v>
      </c>
      <c r="FY44" s="637">
        <v>0</v>
      </c>
      <c r="FZ44" s="637">
        <f t="shared" ref="FZ44" si="85">FX44-FY44</f>
        <v>3000000</v>
      </c>
      <c r="GA44" s="637"/>
      <c r="GB44" s="644"/>
      <c r="GC44" s="644"/>
      <c r="GD44" s="644"/>
      <c r="GE44" s="644"/>
      <c r="GF44" s="644"/>
      <c r="GG44" s="644"/>
      <c r="GH44" s="644"/>
      <c r="GI44" s="644"/>
      <c r="GJ44" s="644"/>
      <c r="GK44" s="644"/>
      <c r="GL44" s="644"/>
      <c r="GM44" s="644"/>
      <c r="GN44" s="644"/>
      <c r="GO44" s="644"/>
      <c r="GP44" s="644"/>
      <c r="GQ44" s="644"/>
      <c r="GR44" s="644"/>
      <c r="GS44" s="644"/>
      <c r="GT44" s="644"/>
      <c r="GU44" s="637"/>
      <c r="GV44" s="587">
        <f t="shared" si="50"/>
        <v>352000000</v>
      </c>
      <c r="GW44" s="587">
        <f t="shared" si="50"/>
        <v>231937846</v>
      </c>
      <c r="GX44" s="468">
        <f t="shared" si="51"/>
        <v>120062154</v>
      </c>
      <c r="GZ44" s="519"/>
      <c r="HA44" s="468">
        <f>D44+H44+L44+X44+AN44+BH44+CB44+CV44+DT44+EN44+FH44+GB44</f>
        <v>206000000</v>
      </c>
      <c r="HB44" s="468">
        <f>E44+I44+M44+Y44+AO44+BI44+CC44+CW44+DU44+EO44+FI44+GC44</f>
        <v>167459575</v>
      </c>
      <c r="HC44" s="471">
        <f t="shared" si="52"/>
        <v>38540425</v>
      </c>
      <c r="HE44" s="471">
        <f>P44+AB44+AR44+BL44+CF44+CZ44+DX44+ER44+FL44+GF44</f>
        <v>31000000</v>
      </c>
      <c r="HF44" s="471">
        <f>Q44+AC44+AS44+BM44+CG44+DA44+DY44+ES44+FM44+GG44</f>
        <v>0</v>
      </c>
      <c r="HG44" s="471">
        <f t="shared" si="53"/>
        <v>31000000</v>
      </c>
      <c r="HI44" s="471">
        <f>T44+AF44+AV44+BP44+CJ44+DD44+EB44+EV44+FP44+GJ44</f>
        <v>28000000</v>
      </c>
      <c r="HJ44" s="471">
        <f>U44+AG44+AW44+BQ44+CK44+DE44+EC44+EW44+FQ44+GK44</f>
        <v>2550000</v>
      </c>
      <c r="HK44" s="471">
        <f t="shared" si="54"/>
        <v>25450000</v>
      </c>
      <c r="HN44" s="471">
        <f>AJ44+AZ44+BT44+CN44+DH44+DP44+EF44+EZ44+FT44+GN44</f>
        <v>78000000</v>
      </c>
      <c r="HO44" s="471">
        <f>AK44+BA44+BU44+CO44+DI44+DQ44+EG44+FA44+FU44+GO44</f>
        <v>61928271</v>
      </c>
      <c r="HP44" s="471">
        <f t="shared" si="55"/>
        <v>16071729</v>
      </c>
      <c r="HR44" s="531"/>
      <c r="HT44" s="471">
        <f>BX44+CR44+DL44+EJ44+FD44+FX44+GR44</f>
        <v>9000000</v>
      </c>
      <c r="HU44" s="471">
        <f>BY44+CS44+DM44+EK44+FE44+FY44+GS44</f>
        <v>0</v>
      </c>
      <c r="HV44" s="471">
        <f t="shared" si="56"/>
        <v>9000000</v>
      </c>
      <c r="HX44" s="473">
        <f t="shared" si="57"/>
        <v>0</v>
      </c>
      <c r="HY44" s="474">
        <v>0</v>
      </c>
      <c r="ID44" s="473">
        <f>HU44+HO44+HJ44+HF44+HB44</f>
        <v>231937846</v>
      </c>
      <c r="IE44" s="473">
        <f>HV44+HP44+HK44+HG44+HC44</f>
        <v>120062154</v>
      </c>
      <c r="IF44" s="473"/>
    </row>
    <row r="45" spans="1:240" x14ac:dyDescent="0.25">
      <c r="A45" s="107">
        <v>42</v>
      </c>
      <c r="B45" s="107" t="s">
        <v>361</v>
      </c>
      <c r="C45" s="634" t="s">
        <v>61</v>
      </c>
      <c r="D45" s="488">
        <v>1000000</v>
      </c>
      <c r="E45" s="488">
        <v>1000000</v>
      </c>
      <c r="F45" s="475">
        <f t="shared" si="1"/>
        <v>0</v>
      </c>
      <c r="G45" s="488"/>
      <c r="H45" s="465">
        <v>15000000</v>
      </c>
      <c r="I45" s="465">
        <v>15000000</v>
      </c>
      <c r="J45" s="463">
        <f t="shared" si="2"/>
        <v>0</v>
      </c>
      <c r="K45" s="488"/>
      <c r="L45" s="465">
        <v>15000000</v>
      </c>
      <c r="M45" s="465">
        <v>15000000</v>
      </c>
      <c r="N45" s="543">
        <f t="shared" si="3"/>
        <v>0</v>
      </c>
      <c r="O45" s="488"/>
      <c r="P45" s="465">
        <v>2500000</v>
      </c>
      <c r="Q45" s="465">
        <v>2500000</v>
      </c>
      <c r="R45" s="543">
        <f t="shared" si="4"/>
        <v>0</v>
      </c>
      <c r="S45" s="488"/>
      <c r="T45" s="465">
        <v>1000000</v>
      </c>
      <c r="U45" s="465">
        <v>1000000</v>
      </c>
      <c r="V45" s="543">
        <f t="shared" si="5"/>
        <v>0</v>
      </c>
      <c r="W45" s="488"/>
      <c r="X45" s="465">
        <v>20000000</v>
      </c>
      <c r="Y45" s="465">
        <v>20000000</v>
      </c>
      <c r="Z45" s="543">
        <f t="shared" si="6"/>
        <v>0</v>
      </c>
      <c r="AA45" s="488"/>
      <c r="AB45" s="465">
        <v>5000000</v>
      </c>
      <c r="AC45" s="465">
        <f>4980000+20000</f>
        <v>5000000</v>
      </c>
      <c r="AD45" s="543">
        <f t="shared" si="7"/>
        <v>0</v>
      </c>
      <c r="AE45" s="488"/>
      <c r="AF45" s="465">
        <v>2000000</v>
      </c>
      <c r="AG45" s="465">
        <f>1550000+450000</f>
        <v>2000000</v>
      </c>
      <c r="AH45" s="543">
        <f t="shared" si="8"/>
        <v>0</v>
      </c>
      <c r="AI45" s="488"/>
      <c r="AJ45" s="465">
        <v>7500000</v>
      </c>
      <c r="AK45" s="465">
        <f>6325330+481900+494400+198370</f>
        <v>7500000</v>
      </c>
      <c r="AL45" s="543">
        <f t="shared" si="9"/>
        <v>0</v>
      </c>
      <c r="AM45" s="477"/>
      <c r="AN45" s="465">
        <v>0</v>
      </c>
      <c r="AO45" s="465">
        <v>0</v>
      </c>
      <c r="AP45" s="543">
        <f t="shared" si="10"/>
        <v>0</v>
      </c>
      <c r="AQ45" s="488"/>
      <c r="AR45" s="465">
        <v>0</v>
      </c>
      <c r="AS45" s="465">
        <v>0</v>
      </c>
      <c r="AT45" s="543">
        <f t="shared" si="11"/>
        <v>0</v>
      </c>
      <c r="AU45" s="488"/>
      <c r="AV45" s="465">
        <v>0</v>
      </c>
      <c r="AW45" s="465">
        <v>0</v>
      </c>
      <c r="AX45" s="543">
        <f t="shared" si="12"/>
        <v>0</v>
      </c>
      <c r="AY45" s="488"/>
      <c r="AZ45" s="465">
        <v>0</v>
      </c>
      <c r="BA45" s="465">
        <v>0</v>
      </c>
      <c r="BB45" s="543">
        <f t="shared" si="13"/>
        <v>0</v>
      </c>
      <c r="BC45" s="488"/>
      <c r="BD45" s="465">
        <v>0</v>
      </c>
      <c r="BE45" s="465">
        <v>0</v>
      </c>
      <c r="BF45" s="543">
        <f t="shared" si="14"/>
        <v>0</v>
      </c>
      <c r="BG45" s="488"/>
      <c r="BH45" s="465">
        <v>0</v>
      </c>
      <c r="BI45" s="465">
        <v>0</v>
      </c>
      <c r="BJ45" s="543">
        <f t="shared" si="15"/>
        <v>0</v>
      </c>
      <c r="BK45" s="488"/>
      <c r="BL45" s="465">
        <v>0</v>
      </c>
      <c r="BM45" s="465">
        <v>0</v>
      </c>
      <c r="BN45" s="543">
        <f t="shared" si="16"/>
        <v>0</v>
      </c>
      <c r="BO45" s="488"/>
      <c r="BP45" s="465">
        <v>0</v>
      </c>
      <c r="BQ45" s="465">
        <v>0</v>
      </c>
      <c r="BR45" s="543">
        <f t="shared" si="17"/>
        <v>0</v>
      </c>
      <c r="BS45" s="488"/>
      <c r="BT45" s="465">
        <v>0</v>
      </c>
      <c r="BU45" s="465">
        <v>0</v>
      </c>
      <c r="BV45" s="543">
        <f t="shared" si="18"/>
        <v>0</v>
      </c>
      <c r="BW45" s="488"/>
      <c r="BX45" s="465">
        <v>0</v>
      </c>
      <c r="BY45" s="465">
        <v>0</v>
      </c>
      <c r="BZ45" s="543">
        <f t="shared" si="19"/>
        <v>0</v>
      </c>
      <c r="CA45" s="488"/>
      <c r="CB45" s="468">
        <v>80000000</v>
      </c>
      <c r="CC45" s="483">
        <f>43922614.48+450000+24600000+5700000</f>
        <v>74672614.479999989</v>
      </c>
      <c r="CD45" s="543">
        <f t="shared" si="20"/>
        <v>5327385.5200000107</v>
      </c>
      <c r="CE45" s="488"/>
      <c r="CF45" s="468">
        <v>10000000</v>
      </c>
      <c r="CG45" s="468">
        <f>9943000+57000</f>
        <v>10000000</v>
      </c>
      <c r="CH45" s="543">
        <f t="shared" si="21"/>
        <v>0</v>
      </c>
      <c r="CI45" s="488"/>
      <c r="CJ45" s="468">
        <v>10000000</v>
      </c>
      <c r="CK45" s="468">
        <f>2973222+1700000-1700000+604098+5546887.5</f>
        <v>9124207.5</v>
      </c>
      <c r="CL45" s="543">
        <f t="shared" si="22"/>
        <v>875792.5</v>
      </c>
      <c r="CM45" s="488"/>
      <c r="CN45" s="468">
        <v>30000000</v>
      </c>
      <c r="CO45" s="468">
        <f>13799020+14227750+4516804+1537100+276000+1696800-6053474</f>
        <v>30000000</v>
      </c>
      <c r="CP45" s="543">
        <f t="shared" si="23"/>
        <v>0</v>
      </c>
      <c r="CQ45" s="488"/>
      <c r="CR45" s="465">
        <v>5000000</v>
      </c>
      <c r="CS45" s="468">
        <f>300000+1700000</f>
        <v>2000000</v>
      </c>
      <c r="CT45" s="465">
        <f t="shared" si="24"/>
        <v>3000000</v>
      </c>
      <c r="CU45" s="488"/>
      <c r="CV45" s="525">
        <v>0</v>
      </c>
      <c r="CW45" s="465">
        <v>0</v>
      </c>
      <c r="CX45" s="543">
        <f t="shared" si="25"/>
        <v>0</v>
      </c>
      <c r="CY45" s="471"/>
      <c r="CZ45" s="468">
        <v>0</v>
      </c>
      <c r="DA45" s="468">
        <v>0</v>
      </c>
      <c r="DB45" s="543">
        <f t="shared" si="26"/>
        <v>0</v>
      </c>
      <c r="DC45" s="471"/>
      <c r="DD45" s="468">
        <v>0</v>
      </c>
      <c r="DE45" s="468">
        <v>0</v>
      </c>
      <c r="DF45" s="543">
        <f t="shared" si="27"/>
        <v>0</v>
      </c>
      <c r="DG45" s="488"/>
      <c r="DH45" s="468">
        <v>0</v>
      </c>
      <c r="DI45" s="468">
        <v>0</v>
      </c>
      <c r="DJ45" s="543">
        <f t="shared" si="28"/>
        <v>0</v>
      </c>
      <c r="DK45" s="488"/>
      <c r="DL45" s="465">
        <v>0</v>
      </c>
      <c r="DM45" s="468">
        <v>0</v>
      </c>
      <c r="DN45" s="465">
        <f t="shared" si="29"/>
        <v>0</v>
      </c>
      <c r="DO45" s="488"/>
      <c r="DP45" s="471">
        <v>0</v>
      </c>
      <c r="DQ45" s="471">
        <v>0</v>
      </c>
      <c r="DR45" s="471">
        <f t="shared" si="30"/>
        <v>0</v>
      </c>
      <c r="DT45" s="471">
        <v>0</v>
      </c>
      <c r="DU45" s="471">
        <v>0</v>
      </c>
      <c r="DV45" s="471">
        <f t="shared" si="31"/>
        <v>0</v>
      </c>
      <c r="DX45" s="471">
        <v>0</v>
      </c>
      <c r="DY45" s="471">
        <v>0</v>
      </c>
      <c r="DZ45" s="471">
        <f t="shared" si="32"/>
        <v>0</v>
      </c>
      <c r="EB45" s="471">
        <v>0</v>
      </c>
      <c r="EC45" s="471">
        <v>0</v>
      </c>
      <c r="ED45" s="471">
        <f t="shared" si="33"/>
        <v>0</v>
      </c>
      <c r="EF45" s="471">
        <v>0</v>
      </c>
      <c r="EG45" s="471">
        <v>0</v>
      </c>
      <c r="EH45" s="471">
        <f t="shared" si="34"/>
        <v>0</v>
      </c>
      <c r="EJ45" s="471">
        <v>0</v>
      </c>
      <c r="EK45" s="471">
        <v>0</v>
      </c>
      <c r="EL45" s="471">
        <f t="shared" si="35"/>
        <v>0</v>
      </c>
      <c r="EM45" s="634"/>
      <c r="EN45" s="465">
        <v>200000000</v>
      </c>
      <c r="EO45" s="465">
        <f>30000000+14100000</f>
        <v>44100000</v>
      </c>
      <c r="EP45" s="465">
        <f t="shared" si="36"/>
        <v>155900000</v>
      </c>
      <c r="EQ45" s="465"/>
      <c r="ER45" s="465">
        <v>10000000</v>
      </c>
      <c r="ES45" s="478">
        <f>3342600+1441500+770850</f>
        <v>5554950</v>
      </c>
      <c r="ET45" s="465">
        <f t="shared" si="37"/>
        <v>4445050</v>
      </c>
      <c r="EU45" s="465"/>
      <c r="EV45" s="465">
        <v>10000000</v>
      </c>
      <c r="EW45" s="465">
        <v>0</v>
      </c>
      <c r="EX45" s="465">
        <f t="shared" si="38"/>
        <v>10000000</v>
      </c>
      <c r="EY45" s="465"/>
      <c r="EZ45" s="465">
        <v>25000000</v>
      </c>
      <c r="FA45" s="465">
        <f>6053474+696400+9760928.8-9760928.8+1498760+9760928.8+3552600</f>
        <v>21562162.800000001</v>
      </c>
      <c r="FB45" s="465">
        <f t="shared" si="39"/>
        <v>3437837.1999999993</v>
      </c>
      <c r="FC45" s="465"/>
      <c r="FD45" s="465">
        <v>3000000</v>
      </c>
      <c r="FE45" s="465">
        <v>0</v>
      </c>
      <c r="FF45" s="465">
        <f t="shared" si="40"/>
        <v>3000000</v>
      </c>
      <c r="FG45" s="465"/>
      <c r="FH45" s="637"/>
      <c r="FI45" s="637"/>
      <c r="FJ45" s="637"/>
      <c r="FK45" s="637"/>
      <c r="FL45" s="637"/>
      <c r="FM45" s="637"/>
      <c r="FN45" s="637"/>
      <c r="FO45" s="637"/>
      <c r="FP45" s="637"/>
      <c r="FQ45" s="637"/>
      <c r="FR45" s="637"/>
      <c r="FS45" s="637"/>
      <c r="FT45" s="637"/>
      <c r="FU45" s="637"/>
      <c r="FV45" s="637"/>
      <c r="FW45" s="637"/>
      <c r="FX45" s="637"/>
      <c r="FY45" s="637"/>
      <c r="FZ45" s="637"/>
      <c r="GA45" s="637"/>
      <c r="GB45" s="644"/>
      <c r="GC45" s="644"/>
      <c r="GD45" s="644"/>
      <c r="GE45" s="644"/>
      <c r="GF45" s="644"/>
      <c r="GG45" s="644"/>
      <c r="GH45" s="644"/>
      <c r="GI45" s="644"/>
      <c r="GJ45" s="644"/>
      <c r="GK45" s="644"/>
      <c r="GL45" s="644"/>
      <c r="GM45" s="644"/>
      <c r="GN45" s="644"/>
      <c r="GO45" s="644"/>
      <c r="GP45" s="644"/>
      <c r="GQ45" s="644"/>
      <c r="GR45" s="644"/>
      <c r="GS45" s="644"/>
      <c r="GT45" s="644"/>
      <c r="GU45" s="637"/>
      <c r="GV45" s="587">
        <f t="shared" si="50"/>
        <v>452000000</v>
      </c>
      <c r="GW45" s="587">
        <f t="shared" si="50"/>
        <v>266013934.78</v>
      </c>
      <c r="GX45" s="468">
        <f t="shared" si="51"/>
        <v>185986065.22</v>
      </c>
      <c r="GZ45" s="519"/>
      <c r="HA45" s="468">
        <f>D45+H45+L45+X45+AN45+BH45+CB45+CV45+DT45+EN45+FH45+GB45</f>
        <v>331000000</v>
      </c>
      <c r="HB45" s="468">
        <f>E45+I45+M45+Y45+AO45+BI45+CC45+CW45+DU45+EO45+FI45+GC45</f>
        <v>169772614.47999999</v>
      </c>
      <c r="HC45" s="471">
        <f t="shared" si="52"/>
        <v>161227385.52000001</v>
      </c>
      <c r="HE45" s="471">
        <f>P45+AB45+AR45+BL45+CF45+CZ45+DX45+ER45+FL45+GF45</f>
        <v>27500000</v>
      </c>
      <c r="HF45" s="471">
        <f>Q45+AC45+AS45+BM45+CG45+DA45+DY45+ES45+FM45+GG45</f>
        <v>23054950</v>
      </c>
      <c r="HG45" s="471">
        <f t="shared" si="53"/>
        <v>4445050</v>
      </c>
      <c r="HI45" s="471">
        <f>T45+AF45+AV45+BP45+CJ45+DD45+EB45+EV45+FP45+GJ45</f>
        <v>23000000</v>
      </c>
      <c r="HJ45" s="471">
        <f>U45+AG45+AW45+BQ45+CK45+DE45+EC45+EW45+FQ45+GK45</f>
        <v>12124207.5</v>
      </c>
      <c r="HK45" s="471">
        <f t="shared" si="54"/>
        <v>10875792.5</v>
      </c>
      <c r="HN45" s="471">
        <f>AJ45+AZ45+BT45+CN45+DH45+DP45+EF45+EZ45+FT45+GN45</f>
        <v>62500000</v>
      </c>
      <c r="HO45" s="471">
        <f>AK45+BA45+BU45+CO45+DI45+DQ45+EG45+FA45+FU45+GO45</f>
        <v>59062162.799999997</v>
      </c>
      <c r="HP45" s="471">
        <f t="shared" si="55"/>
        <v>3437837.200000003</v>
      </c>
      <c r="HR45" s="531"/>
      <c r="HT45" s="471">
        <f>BX45+CR45+DL45+EJ45+FD45+FX45+GR45</f>
        <v>8000000</v>
      </c>
      <c r="HU45" s="471">
        <f>BY45+CS45+DM45+EK45+FE45+FY45+GS45</f>
        <v>2000000</v>
      </c>
      <c r="HV45" s="471">
        <f t="shared" si="56"/>
        <v>6000000</v>
      </c>
      <c r="HX45" s="473">
        <f t="shared" si="57"/>
        <v>0</v>
      </c>
      <c r="HY45" s="474">
        <v>2000000</v>
      </c>
      <c r="ID45" s="473">
        <f>HU45+HO45+HJ45+HF45+HB45</f>
        <v>266013934.77999997</v>
      </c>
      <c r="IE45" s="473">
        <f>HV45+HP45+HK45+HG45+HC45</f>
        <v>185986065.22000003</v>
      </c>
      <c r="IF45" s="473"/>
    </row>
    <row r="46" spans="1:240" x14ac:dyDescent="0.25">
      <c r="A46" s="107">
        <v>43</v>
      </c>
      <c r="B46" s="107" t="s">
        <v>362</v>
      </c>
      <c r="C46" s="634"/>
      <c r="D46" s="488">
        <v>1000000</v>
      </c>
      <c r="E46" s="488">
        <v>1000000</v>
      </c>
      <c r="F46" s="475">
        <f t="shared" si="1"/>
        <v>0</v>
      </c>
      <c r="G46" s="488"/>
      <c r="H46" s="465">
        <v>15000000</v>
      </c>
      <c r="I46" s="465">
        <v>15000000</v>
      </c>
      <c r="J46" s="463">
        <f t="shared" si="2"/>
        <v>0</v>
      </c>
      <c r="K46" s="488"/>
      <c r="L46" s="465">
        <v>10505000</v>
      </c>
      <c r="M46" s="465">
        <v>10505000</v>
      </c>
      <c r="N46" s="543">
        <f t="shared" si="3"/>
        <v>0</v>
      </c>
      <c r="O46" s="488"/>
      <c r="P46" s="465">
        <v>0</v>
      </c>
      <c r="Q46" s="465">
        <v>0</v>
      </c>
      <c r="R46" s="543">
        <f t="shared" si="4"/>
        <v>0</v>
      </c>
      <c r="S46" s="488"/>
      <c r="T46" s="465">
        <v>850000</v>
      </c>
      <c r="U46" s="465">
        <v>850000</v>
      </c>
      <c r="V46" s="543">
        <f t="shared" si="5"/>
        <v>0</v>
      </c>
      <c r="W46" s="488"/>
      <c r="X46" s="465">
        <v>0</v>
      </c>
      <c r="Y46" s="465">
        <v>0</v>
      </c>
      <c r="Z46" s="543">
        <f t="shared" si="6"/>
        <v>0</v>
      </c>
      <c r="AA46" s="488"/>
      <c r="AB46" s="465">
        <v>0</v>
      </c>
      <c r="AC46" s="465">
        <v>0</v>
      </c>
      <c r="AD46" s="543">
        <f t="shared" si="7"/>
        <v>0</v>
      </c>
      <c r="AE46" s="488"/>
      <c r="AF46" s="465">
        <v>0</v>
      </c>
      <c r="AG46" s="465">
        <v>0</v>
      </c>
      <c r="AH46" s="543">
        <f t="shared" si="8"/>
        <v>0</v>
      </c>
      <c r="AI46" s="488"/>
      <c r="AJ46" s="465">
        <v>0</v>
      </c>
      <c r="AK46" s="465">
        <v>0</v>
      </c>
      <c r="AL46" s="543">
        <f t="shared" si="9"/>
        <v>0</v>
      </c>
      <c r="AM46" s="465"/>
      <c r="AN46" s="465">
        <v>0</v>
      </c>
      <c r="AO46" s="465">
        <v>0</v>
      </c>
      <c r="AP46" s="543">
        <f t="shared" si="10"/>
        <v>0</v>
      </c>
      <c r="AQ46" s="488"/>
      <c r="AR46" s="465">
        <v>0</v>
      </c>
      <c r="AS46" s="465">
        <v>0</v>
      </c>
      <c r="AT46" s="543">
        <f t="shared" si="11"/>
        <v>0</v>
      </c>
      <c r="AU46" s="488"/>
      <c r="AV46" s="465">
        <v>0</v>
      </c>
      <c r="AW46" s="465">
        <v>0</v>
      </c>
      <c r="AX46" s="543">
        <f t="shared" si="12"/>
        <v>0</v>
      </c>
      <c r="AY46" s="488"/>
      <c r="AZ46" s="465">
        <v>0</v>
      </c>
      <c r="BA46" s="465">
        <v>0</v>
      </c>
      <c r="BB46" s="543">
        <f t="shared" si="13"/>
        <v>0</v>
      </c>
      <c r="BC46" s="488"/>
      <c r="BD46" s="465">
        <v>0</v>
      </c>
      <c r="BE46" s="465">
        <v>0</v>
      </c>
      <c r="BF46" s="543">
        <f t="shared" si="14"/>
        <v>0</v>
      </c>
      <c r="BG46" s="488"/>
      <c r="BH46" s="465">
        <v>55000000</v>
      </c>
      <c r="BI46" s="465">
        <f>36810600+5700000+3500000+3000000+5989400</f>
        <v>55000000</v>
      </c>
      <c r="BJ46" s="543">
        <f t="shared" si="15"/>
        <v>0</v>
      </c>
      <c r="BK46" s="488"/>
      <c r="BL46" s="465">
        <v>5000000</v>
      </c>
      <c r="BM46" s="465">
        <f>1996855+3003145</f>
        <v>5000000</v>
      </c>
      <c r="BN46" s="543">
        <f t="shared" si="16"/>
        <v>0</v>
      </c>
      <c r="BO46" s="488"/>
      <c r="BP46" s="465">
        <v>5000000</v>
      </c>
      <c r="BQ46" s="465">
        <v>0</v>
      </c>
      <c r="BR46" s="543">
        <f t="shared" si="17"/>
        <v>5000000</v>
      </c>
      <c r="BS46" s="488"/>
      <c r="BT46" s="465">
        <v>15000000</v>
      </c>
      <c r="BU46" s="465">
        <f>14999725+275</f>
        <v>15000000</v>
      </c>
      <c r="BV46" s="543">
        <f t="shared" si="18"/>
        <v>0</v>
      </c>
      <c r="BW46" s="488"/>
      <c r="BX46" s="465">
        <v>1000000</v>
      </c>
      <c r="BY46" s="465">
        <v>750000</v>
      </c>
      <c r="BZ46" s="543">
        <f t="shared" si="19"/>
        <v>250000</v>
      </c>
      <c r="CA46" s="488"/>
      <c r="CB46" s="465">
        <v>0</v>
      </c>
      <c r="CC46" s="465">
        <v>0</v>
      </c>
      <c r="CD46" s="543">
        <f t="shared" si="20"/>
        <v>0</v>
      </c>
      <c r="CE46" s="488"/>
      <c r="CF46" s="465">
        <v>0</v>
      </c>
      <c r="CG46" s="468">
        <v>0</v>
      </c>
      <c r="CH46" s="543">
        <f t="shared" si="21"/>
        <v>0</v>
      </c>
      <c r="CI46" s="488"/>
      <c r="CJ46" s="465">
        <v>0</v>
      </c>
      <c r="CK46" s="468">
        <v>0</v>
      </c>
      <c r="CL46" s="543">
        <f t="shared" si="22"/>
        <v>0</v>
      </c>
      <c r="CM46" s="488"/>
      <c r="CN46" s="465">
        <v>0</v>
      </c>
      <c r="CO46" s="468">
        <v>0</v>
      </c>
      <c r="CP46" s="543">
        <f t="shared" si="23"/>
        <v>0</v>
      </c>
      <c r="CQ46" s="488"/>
      <c r="CR46" s="465">
        <v>0</v>
      </c>
      <c r="CS46" s="468">
        <v>0</v>
      </c>
      <c r="CT46" s="465">
        <f t="shared" si="24"/>
        <v>0</v>
      </c>
      <c r="CU46" s="488"/>
      <c r="CV46" s="525">
        <v>0</v>
      </c>
      <c r="CW46" s="465">
        <v>0</v>
      </c>
      <c r="CX46" s="543">
        <f t="shared" si="25"/>
        <v>0</v>
      </c>
      <c r="CY46" s="471"/>
      <c r="CZ46" s="468">
        <v>0</v>
      </c>
      <c r="DA46" s="468">
        <v>0</v>
      </c>
      <c r="DB46" s="543">
        <f t="shared" si="26"/>
        <v>0</v>
      </c>
      <c r="DC46" s="471"/>
      <c r="DD46" s="468">
        <v>0</v>
      </c>
      <c r="DE46" s="468">
        <v>0</v>
      </c>
      <c r="DF46" s="543">
        <f t="shared" si="27"/>
        <v>0</v>
      </c>
      <c r="DG46" s="488"/>
      <c r="DH46" s="468">
        <v>0</v>
      </c>
      <c r="DI46" s="468">
        <v>0</v>
      </c>
      <c r="DJ46" s="543">
        <f t="shared" si="28"/>
        <v>0</v>
      </c>
      <c r="DK46" s="488"/>
      <c r="DL46" s="465">
        <v>0</v>
      </c>
      <c r="DM46" s="468">
        <v>0</v>
      </c>
      <c r="DN46" s="465">
        <f t="shared" si="29"/>
        <v>0</v>
      </c>
      <c r="DO46" s="488"/>
      <c r="DP46" s="471">
        <v>0</v>
      </c>
      <c r="DQ46" s="471">
        <v>0</v>
      </c>
      <c r="DR46" s="471">
        <f t="shared" si="30"/>
        <v>0</v>
      </c>
      <c r="DT46" s="471">
        <v>60000000</v>
      </c>
      <c r="DU46" s="551">
        <f>4500000+1000000+9000000+1200000+4500000+1500000+910600+24701954.3</f>
        <v>47312554.299999997</v>
      </c>
      <c r="DV46" s="471">
        <f t="shared" si="31"/>
        <v>12687445.700000003</v>
      </c>
      <c r="DX46" s="471">
        <v>10000000</v>
      </c>
      <c r="DY46" s="471">
        <f>577655</f>
        <v>577655</v>
      </c>
      <c r="DZ46" s="471">
        <f t="shared" si="32"/>
        <v>9422345</v>
      </c>
      <c r="EB46" s="471">
        <v>10000000</v>
      </c>
      <c r="EC46" s="471">
        <v>0</v>
      </c>
      <c r="ED46" s="471">
        <f t="shared" si="33"/>
        <v>10000000</v>
      </c>
      <c r="EF46" s="471">
        <v>20000000</v>
      </c>
      <c r="EG46" s="600">
        <f>8363705+1490120+1873250+1634175+1717395</f>
        <v>15078645</v>
      </c>
      <c r="EH46" s="471">
        <f t="shared" si="34"/>
        <v>4921355</v>
      </c>
      <c r="EJ46" s="471">
        <v>3000000</v>
      </c>
      <c r="EK46" s="471">
        <v>0</v>
      </c>
      <c r="EL46" s="471">
        <f t="shared" si="35"/>
        <v>3000000</v>
      </c>
      <c r="EM46" s="634"/>
      <c r="EN46" s="465">
        <v>0</v>
      </c>
      <c r="EO46" s="465">
        <v>0</v>
      </c>
      <c r="EP46" s="465">
        <f t="shared" si="36"/>
        <v>0</v>
      </c>
      <c r="EQ46" s="465"/>
      <c r="ER46" s="465"/>
      <c r="ES46" s="465">
        <v>0</v>
      </c>
      <c r="ET46" s="465">
        <f t="shared" si="37"/>
        <v>0</v>
      </c>
      <c r="EU46" s="465"/>
      <c r="EV46" s="465"/>
      <c r="EW46" s="465">
        <v>0</v>
      </c>
      <c r="EX46" s="465">
        <f t="shared" si="38"/>
        <v>0</v>
      </c>
      <c r="EY46" s="465"/>
      <c r="EZ46" s="465"/>
      <c r="FA46" s="465">
        <v>0</v>
      </c>
      <c r="FB46" s="465">
        <f t="shared" si="39"/>
        <v>0</v>
      </c>
      <c r="FC46" s="465"/>
      <c r="FD46" s="465">
        <f>FB46-FC46</f>
        <v>0</v>
      </c>
      <c r="FE46" s="465">
        <v>0</v>
      </c>
      <c r="FF46" s="465">
        <f t="shared" si="40"/>
        <v>0</v>
      </c>
      <c r="FG46" s="465"/>
      <c r="FH46" s="637"/>
      <c r="FI46" s="637"/>
      <c r="FJ46" s="637"/>
      <c r="FK46" s="637"/>
      <c r="FL46" s="637"/>
      <c r="FM46" s="637"/>
      <c r="FN46" s="637"/>
      <c r="FO46" s="637"/>
      <c r="FP46" s="637"/>
      <c r="FQ46" s="637"/>
      <c r="FR46" s="637"/>
      <c r="FS46" s="637"/>
      <c r="FT46" s="637"/>
      <c r="FU46" s="637"/>
      <c r="FV46" s="637"/>
      <c r="FW46" s="637"/>
      <c r="FX46" s="637"/>
      <c r="FY46" s="637"/>
      <c r="FZ46" s="637"/>
      <c r="GA46" s="637"/>
      <c r="GB46" s="637">
        <v>90000000</v>
      </c>
      <c r="GC46" s="637">
        <v>0</v>
      </c>
      <c r="GD46" s="637">
        <f t="shared" ref="GD46:GD49" si="86">GB46-GC46</f>
        <v>90000000</v>
      </c>
      <c r="GE46" s="637"/>
      <c r="GF46" s="637">
        <v>22000000</v>
      </c>
      <c r="GG46" s="637">
        <v>0</v>
      </c>
      <c r="GH46" s="637">
        <f>GF46-GG46</f>
        <v>22000000</v>
      </c>
      <c r="GI46" s="637"/>
      <c r="GJ46" s="637">
        <v>3000000</v>
      </c>
      <c r="GK46" s="637">
        <v>0</v>
      </c>
      <c r="GL46" s="637">
        <f t="shared" ref="GL46:GL49" si="87">GJ46-GK46</f>
        <v>3000000</v>
      </c>
      <c r="GM46" s="637"/>
      <c r="GN46" s="637">
        <v>12000000</v>
      </c>
      <c r="GO46" s="637">
        <v>0</v>
      </c>
      <c r="GP46" s="637">
        <f t="shared" ref="GP46:GP49" si="88">GN46-GO46</f>
        <v>12000000</v>
      </c>
      <c r="GQ46" s="637"/>
      <c r="GR46" s="637">
        <v>3000000</v>
      </c>
      <c r="GS46" s="637">
        <v>0</v>
      </c>
      <c r="GT46" s="637">
        <f t="shared" ref="GT46:GT49" si="89">GR46-GS46</f>
        <v>3000000</v>
      </c>
      <c r="GU46" s="637"/>
      <c r="GV46" s="587">
        <f t="shared" si="50"/>
        <v>341355000</v>
      </c>
      <c r="GW46" s="587">
        <f t="shared" si="50"/>
        <v>166073854.30000001</v>
      </c>
      <c r="GX46" s="468">
        <f t="shared" si="51"/>
        <v>175281145.69999999</v>
      </c>
      <c r="GZ46" s="519"/>
      <c r="HA46" s="468">
        <f>D46+H46+L46+X46+AN46+BH46+CB46+CV46+DT46+EN46+FH46+GB46</f>
        <v>231505000</v>
      </c>
      <c r="HB46" s="468">
        <f>E46+I46+M46+Y46+AO46+BI46+CC46+CW46+DU46+EO46+FI46+GC46</f>
        <v>128817554.3</v>
      </c>
      <c r="HC46" s="471">
        <f t="shared" si="52"/>
        <v>102687445.7</v>
      </c>
      <c r="HE46" s="471">
        <f>P46+AB46+AR46+BL46+CF46+CZ46+DX46+ER46+FL46+GF46</f>
        <v>37000000</v>
      </c>
      <c r="HF46" s="471">
        <f>Q46+AC46+AS46+BM46+CG46+DA46+DY46+ES46+FM46+GG46</f>
        <v>5577655</v>
      </c>
      <c r="HG46" s="471">
        <f t="shared" si="53"/>
        <v>31422345</v>
      </c>
      <c r="HI46" s="471">
        <f>T46+AF46+AV46+BP46+CJ46+DD46+EB46+EV46+FP46+GJ46</f>
        <v>18850000</v>
      </c>
      <c r="HJ46" s="471">
        <f>U46+AG46+AW46+BQ46+CK46+DE46+EC46+EW46+FQ46+GK46</f>
        <v>850000</v>
      </c>
      <c r="HK46" s="471">
        <f t="shared" si="54"/>
        <v>18000000</v>
      </c>
      <c r="HN46" s="471">
        <f>AJ46+AZ46+BT46+CN46+DH46+DP46+EF46+EZ46+FT46+GN46</f>
        <v>47000000</v>
      </c>
      <c r="HO46" s="471">
        <f>AK46+BA46+BU46+CO46+DI46+DQ46+EG46+FA46+FU46+GO46</f>
        <v>30078645</v>
      </c>
      <c r="HP46" s="471">
        <f t="shared" si="55"/>
        <v>16921355</v>
      </c>
      <c r="HR46" s="531"/>
      <c r="HT46" s="471">
        <f>BX46+CR46+DL46+EJ46+FD46+FX46+GR46</f>
        <v>7000000</v>
      </c>
      <c r="HU46" s="471">
        <f>BY46+CS46+DM46+EK46+FE46+FY46+GS46</f>
        <v>750000</v>
      </c>
      <c r="HV46" s="471">
        <f t="shared" si="56"/>
        <v>6250000</v>
      </c>
      <c r="HX46" s="473">
        <f t="shared" si="57"/>
        <v>0</v>
      </c>
      <c r="HY46" s="474">
        <v>750000</v>
      </c>
      <c r="ID46" s="473">
        <f>HU46+HO46+HJ46+HF46+HB46</f>
        <v>166073854.30000001</v>
      </c>
      <c r="IE46" s="473">
        <f>HV46+HP46+HK46+HG46+HC46</f>
        <v>175281145.69999999</v>
      </c>
      <c r="IF46" s="473"/>
    </row>
    <row r="47" spans="1:240" x14ac:dyDescent="0.25">
      <c r="A47" s="107">
        <v>44</v>
      </c>
      <c r="B47" s="107" t="s">
        <v>571</v>
      </c>
      <c r="C47" s="634" t="s">
        <v>61</v>
      </c>
      <c r="D47" s="488">
        <v>1000000</v>
      </c>
      <c r="E47" s="488">
        <v>1000000</v>
      </c>
      <c r="F47" s="475">
        <f t="shared" si="1"/>
        <v>0</v>
      </c>
      <c r="G47" s="488"/>
      <c r="H47" s="465">
        <v>15000000</v>
      </c>
      <c r="I47" s="465">
        <v>15000000</v>
      </c>
      <c r="J47" s="463">
        <f t="shared" si="2"/>
        <v>0</v>
      </c>
      <c r="K47" s="488"/>
      <c r="L47" s="465">
        <v>15000000</v>
      </c>
      <c r="M47" s="465">
        <v>15000000</v>
      </c>
      <c r="N47" s="543">
        <f t="shared" si="3"/>
        <v>0</v>
      </c>
      <c r="O47" s="488"/>
      <c r="P47" s="465">
        <v>2500000</v>
      </c>
      <c r="Q47" s="465">
        <v>2500000</v>
      </c>
      <c r="R47" s="543">
        <f t="shared" si="4"/>
        <v>0</v>
      </c>
      <c r="S47" s="488"/>
      <c r="T47" s="465">
        <v>1000000</v>
      </c>
      <c r="U47" s="465">
        <v>1000000</v>
      </c>
      <c r="V47" s="543">
        <f t="shared" si="5"/>
        <v>0</v>
      </c>
      <c r="W47" s="488"/>
      <c r="X47" s="465">
        <v>20000000</v>
      </c>
      <c r="Y47" s="465">
        <v>20000000</v>
      </c>
      <c r="Z47" s="543">
        <f t="shared" si="6"/>
        <v>0</v>
      </c>
      <c r="AA47" s="488"/>
      <c r="AB47" s="465">
        <v>5000000</v>
      </c>
      <c r="AC47" s="465">
        <v>5000000</v>
      </c>
      <c r="AD47" s="543">
        <f t="shared" si="7"/>
        <v>0</v>
      </c>
      <c r="AE47" s="488"/>
      <c r="AF47" s="465">
        <v>1550000</v>
      </c>
      <c r="AG47" s="465">
        <v>1550000</v>
      </c>
      <c r="AH47" s="543">
        <f t="shared" si="8"/>
        <v>0</v>
      </c>
      <c r="AI47" s="488"/>
      <c r="AJ47" s="465">
        <v>7500000</v>
      </c>
      <c r="AK47" s="465">
        <v>7500000</v>
      </c>
      <c r="AL47" s="543">
        <f t="shared" si="9"/>
        <v>0</v>
      </c>
      <c r="AM47" s="465"/>
      <c r="AN47" s="465">
        <v>30000000</v>
      </c>
      <c r="AO47" s="465">
        <v>30000000</v>
      </c>
      <c r="AP47" s="543">
        <f t="shared" si="10"/>
        <v>0</v>
      </c>
      <c r="AQ47" s="488"/>
      <c r="AR47" s="465">
        <v>3000000</v>
      </c>
      <c r="AS47" s="465">
        <v>3000000</v>
      </c>
      <c r="AT47" s="543">
        <f t="shared" si="11"/>
        <v>0</v>
      </c>
      <c r="AU47" s="488"/>
      <c r="AV47" s="465">
        <v>2000000</v>
      </c>
      <c r="AW47" s="465">
        <v>2000000</v>
      </c>
      <c r="AX47" s="543">
        <f t="shared" si="12"/>
        <v>0</v>
      </c>
      <c r="AY47" s="488"/>
      <c r="AZ47" s="465">
        <v>10000000</v>
      </c>
      <c r="BA47" s="465">
        <v>10000000</v>
      </c>
      <c r="BB47" s="543">
        <f t="shared" si="13"/>
        <v>0</v>
      </c>
      <c r="BC47" s="488"/>
      <c r="BD47" s="465">
        <v>0</v>
      </c>
      <c r="BE47" s="465">
        <v>0</v>
      </c>
      <c r="BF47" s="543">
        <f t="shared" si="14"/>
        <v>0</v>
      </c>
      <c r="BG47" s="488"/>
      <c r="BH47" s="465">
        <v>55000000</v>
      </c>
      <c r="BI47" s="465">
        <v>55000000</v>
      </c>
      <c r="BJ47" s="543">
        <f t="shared" si="15"/>
        <v>0</v>
      </c>
      <c r="BK47" s="488"/>
      <c r="BL47" s="465">
        <v>5000000</v>
      </c>
      <c r="BM47" s="465">
        <v>5000000</v>
      </c>
      <c r="BN47" s="543">
        <f t="shared" si="16"/>
        <v>0</v>
      </c>
      <c r="BO47" s="488"/>
      <c r="BP47" s="465">
        <v>5000000</v>
      </c>
      <c r="BQ47" s="465">
        <v>5000000</v>
      </c>
      <c r="BR47" s="543">
        <f t="shared" si="17"/>
        <v>0</v>
      </c>
      <c r="BS47" s="488"/>
      <c r="BT47" s="465">
        <v>15000000</v>
      </c>
      <c r="BU47" s="465">
        <v>15000000</v>
      </c>
      <c r="BV47" s="543">
        <f t="shared" si="18"/>
        <v>0</v>
      </c>
      <c r="BW47" s="488"/>
      <c r="BX47" s="465">
        <v>1000000</v>
      </c>
      <c r="BY47" s="465">
        <v>1000000</v>
      </c>
      <c r="BZ47" s="543">
        <f t="shared" si="19"/>
        <v>0</v>
      </c>
      <c r="CA47" s="488"/>
      <c r="CB47" s="468">
        <v>80000000</v>
      </c>
      <c r="CC47" s="465">
        <v>80000000</v>
      </c>
      <c r="CD47" s="543">
        <f t="shared" si="20"/>
        <v>0</v>
      </c>
      <c r="CE47" s="488"/>
      <c r="CF47" s="468">
        <v>10000000</v>
      </c>
      <c r="CG47" s="468">
        <v>10000000</v>
      </c>
      <c r="CH47" s="543">
        <f t="shared" si="21"/>
        <v>0</v>
      </c>
      <c r="CI47" s="488"/>
      <c r="CJ47" s="468">
        <v>10000000</v>
      </c>
      <c r="CK47" s="468">
        <v>10000000</v>
      </c>
      <c r="CL47" s="543">
        <f t="shared" si="22"/>
        <v>0</v>
      </c>
      <c r="CM47" s="488"/>
      <c r="CN47" s="468">
        <v>30000000</v>
      </c>
      <c r="CO47" s="468">
        <v>30000000</v>
      </c>
      <c r="CP47" s="543">
        <f t="shared" si="23"/>
        <v>0</v>
      </c>
      <c r="CQ47" s="488"/>
      <c r="CR47" s="465">
        <v>5000000</v>
      </c>
      <c r="CS47" s="468">
        <f>1943150+1000000</f>
        <v>2943150</v>
      </c>
      <c r="CT47" s="465">
        <f t="shared" si="24"/>
        <v>2056850</v>
      </c>
      <c r="CU47" s="488"/>
      <c r="CV47" s="525">
        <v>80000000</v>
      </c>
      <c r="CW47" s="465">
        <v>80000000</v>
      </c>
      <c r="CX47" s="543">
        <f t="shared" si="25"/>
        <v>0</v>
      </c>
      <c r="CY47" s="471"/>
      <c r="CZ47" s="468">
        <v>20000000</v>
      </c>
      <c r="DA47" s="468">
        <v>20000000</v>
      </c>
      <c r="DB47" s="543">
        <f t="shared" si="26"/>
        <v>0</v>
      </c>
      <c r="DC47" s="471"/>
      <c r="DD47" s="468">
        <v>20000000</v>
      </c>
      <c r="DE47" s="468">
        <v>2031729.5</v>
      </c>
      <c r="DF47" s="543">
        <f t="shared" si="27"/>
        <v>17968270.5</v>
      </c>
      <c r="DG47" s="488"/>
      <c r="DH47" s="468">
        <v>50000000</v>
      </c>
      <c r="DI47" s="468">
        <v>50000000</v>
      </c>
      <c r="DJ47" s="543">
        <f t="shared" si="28"/>
        <v>0</v>
      </c>
      <c r="DK47" s="488"/>
      <c r="DL47" s="465">
        <v>6000000</v>
      </c>
      <c r="DM47" s="468">
        <v>0</v>
      </c>
      <c r="DN47" s="465">
        <f t="shared" si="29"/>
        <v>6000000</v>
      </c>
      <c r="DO47" s="488"/>
      <c r="DP47" s="471">
        <v>0</v>
      </c>
      <c r="DQ47" s="471">
        <v>0</v>
      </c>
      <c r="DR47" s="471">
        <f t="shared" si="30"/>
        <v>0</v>
      </c>
      <c r="DT47" s="471">
        <v>60000000</v>
      </c>
      <c r="DU47" s="471">
        <f>8764530.5+36300000+14935469.5</f>
        <v>60000000</v>
      </c>
      <c r="DV47" s="471">
        <f t="shared" si="31"/>
        <v>0</v>
      </c>
      <c r="DX47" s="471">
        <v>10000000</v>
      </c>
      <c r="DY47" s="471">
        <f>9959950+40050</f>
        <v>10000000</v>
      </c>
      <c r="DZ47" s="471">
        <f t="shared" si="32"/>
        <v>0</v>
      </c>
      <c r="EB47" s="471">
        <v>10000000</v>
      </c>
      <c r="EC47" s="471">
        <v>0</v>
      </c>
      <c r="ED47" s="471">
        <f t="shared" si="33"/>
        <v>10000000</v>
      </c>
      <c r="EF47" s="471">
        <v>20000000</v>
      </c>
      <c r="EG47" s="471">
        <f>7512157+9525620+2962223</f>
        <v>20000000</v>
      </c>
      <c r="EH47" s="471">
        <f t="shared" si="34"/>
        <v>0</v>
      </c>
      <c r="EJ47" s="471">
        <v>3000000</v>
      </c>
      <c r="EK47" s="471">
        <v>0</v>
      </c>
      <c r="EL47" s="471">
        <f t="shared" si="35"/>
        <v>3000000</v>
      </c>
      <c r="EM47" s="634"/>
      <c r="EN47" s="465">
        <v>200000000</v>
      </c>
      <c r="EO47" s="465">
        <f>27790850.5+3600000+69365124.3+30601623.55+68642401.65</f>
        <v>200000000</v>
      </c>
      <c r="EP47" s="465">
        <f t="shared" si="36"/>
        <v>0</v>
      </c>
      <c r="EQ47" s="465"/>
      <c r="ER47" s="465">
        <v>10000000</v>
      </c>
      <c r="ES47" s="487">
        <f>5269950+1060000</f>
        <v>6329950</v>
      </c>
      <c r="ET47" s="465">
        <f t="shared" si="37"/>
        <v>3670050</v>
      </c>
      <c r="EU47" s="465"/>
      <c r="EV47" s="465">
        <v>10000000</v>
      </c>
      <c r="EW47" s="465">
        <v>0</v>
      </c>
      <c r="EX47" s="465">
        <f t="shared" si="38"/>
        <v>10000000</v>
      </c>
      <c r="EY47" s="465"/>
      <c r="EZ47" s="465">
        <v>25000000</v>
      </c>
      <c r="FA47" s="465">
        <f>2532160.68+9126755+13341084.32</f>
        <v>25000000</v>
      </c>
      <c r="FB47" s="465">
        <f t="shared" si="39"/>
        <v>0</v>
      </c>
      <c r="FC47" s="465"/>
      <c r="FD47" s="465">
        <v>3000000</v>
      </c>
      <c r="FE47" s="465">
        <v>0</v>
      </c>
      <c r="FF47" s="465">
        <f t="shared" si="40"/>
        <v>3000000</v>
      </c>
      <c r="FG47" s="465"/>
      <c r="FH47" s="637">
        <v>65000000</v>
      </c>
      <c r="FI47" s="637">
        <f>13878977.4</f>
        <v>13878977.4</v>
      </c>
      <c r="FJ47" s="637">
        <f t="shared" ref="FJ47:FJ48" si="90">FH47-FI47</f>
        <v>51121022.600000001</v>
      </c>
      <c r="FK47" s="637"/>
      <c r="FL47" s="637">
        <v>8000000</v>
      </c>
      <c r="FM47" s="637">
        <v>0</v>
      </c>
      <c r="FN47" s="637">
        <f t="shared" ref="FN47:FN48" si="91">FL47-FM47</f>
        <v>8000000</v>
      </c>
      <c r="FO47" s="637"/>
      <c r="FP47" s="637">
        <v>5000000</v>
      </c>
      <c r="FQ47" s="637">
        <v>0</v>
      </c>
      <c r="FR47" s="637">
        <f t="shared" ref="FR47:FR48" si="92">FP47-FQ47</f>
        <v>5000000</v>
      </c>
      <c r="FS47" s="637"/>
      <c r="FT47" s="637">
        <v>18000000</v>
      </c>
      <c r="FU47" s="637">
        <f>10224260.68+5924780</f>
        <v>16149040.68</v>
      </c>
      <c r="FV47" s="637">
        <f t="shared" ref="FV47:FV48" si="93">FT47-FU47</f>
        <v>1850959.3200000003</v>
      </c>
      <c r="FW47" s="637"/>
      <c r="FX47" s="637">
        <v>3000000</v>
      </c>
      <c r="FY47" s="637">
        <v>0</v>
      </c>
      <c r="FZ47" s="637">
        <f t="shared" ref="FZ47:FZ48" si="94">FX47-FY47</f>
        <v>3000000</v>
      </c>
      <c r="GA47" s="637"/>
      <c r="GB47" s="637">
        <v>90000000</v>
      </c>
      <c r="GC47" s="637">
        <v>0</v>
      </c>
      <c r="GD47" s="637">
        <f t="shared" si="86"/>
        <v>90000000</v>
      </c>
      <c r="GE47" s="637"/>
      <c r="GF47" s="637">
        <v>22000000</v>
      </c>
      <c r="GG47" s="637">
        <v>0</v>
      </c>
      <c r="GH47" s="637">
        <f t="shared" ref="GH47:GH49" si="95">GF47-GG47</f>
        <v>22000000</v>
      </c>
      <c r="GI47" s="637"/>
      <c r="GJ47" s="637">
        <v>3000000</v>
      </c>
      <c r="GK47" s="637">
        <v>0</v>
      </c>
      <c r="GL47" s="637">
        <f t="shared" si="87"/>
        <v>3000000</v>
      </c>
      <c r="GM47" s="637"/>
      <c r="GN47" s="637">
        <v>12000000</v>
      </c>
      <c r="GO47" s="637">
        <v>0</v>
      </c>
      <c r="GP47" s="637">
        <f t="shared" si="88"/>
        <v>12000000</v>
      </c>
      <c r="GQ47" s="637"/>
      <c r="GR47" s="637">
        <v>3000000</v>
      </c>
      <c r="GS47" s="637">
        <v>0</v>
      </c>
      <c r="GT47" s="637">
        <f t="shared" si="89"/>
        <v>3000000</v>
      </c>
      <c r="GU47" s="637"/>
      <c r="GV47" s="587">
        <f t="shared" si="50"/>
        <v>1085550000</v>
      </c>
      <c r="GW47" s="587">
        <f t="shared" si="50"/>
        <v>830882847.57999992</v>
      </c>
      <c r="GX47" s="468">
        <f t="shared" si="51"/>
        <v>254667152.42000008</v>
      </c>
      <c r="GZ47" s="519"/>
      <c r="HA47" s="468">
        <f>D47+H47+L47+X47+AN47+BH47+CB47+CV47+DT47+EN47+FH47+GB47</f>
        <v>711000000</v>
      </c>
      <c r="HB47" s="468">
        <f>E47+I47+M47+Y47+AO47+BI47+CC47+CW47+DU47+EO47+FI47+GC47</f>
        <v>569878977.39999998</v>
      </c>
      <c r="HC47" s="471">
        <f t="shared" si="52"/>
        <v>141121022.60000002</v>
      </c>
      <c r="HE47" s="471">
        <f>P47+AB47+AR47+BL47+CF47+CZ47+DX47+ER47+FL47+GF47</f>
        <v>95500000</v>
      </c>
      <c r="HF47" s="471">
        <f>Q47+AC47+AS47+BM47+CG47+DA47+DY47+ES47+FM47+GG47</f>
        <v>61829950</v>
      </c>
      <c r="HG47" s="471">
        <f t="shared" si="53"/>
        <v>33670050</v>
      </c>
      <c r="HI47" s="471">
        <f>T47+AF47+AV47+BP47+CJ47+DD47+EB47+EV47+FP47+GJ47</f>
        <v>67550000</v>
      </c>
      <c r="HJ47" s="471">
        <f>U47+AG47+AW47+BQ47+CK47+DE47+EC47+EW47+FQ47+GK47</f>
        <v>21581729.5</v>
      </c>
      <c r="HK47" s="471">
        <f t="shared" si="54"/>
        <v>45968270.5</v>
      </c>
      <c r="HN47" s="471">
        <f>AJ47+AZ47+BT47+CN47+DH47+DP47+EF47+EZ47+FT47+GN47</f>
        <v>187500000</v>
      </c>
      <c r="HO47" s="471">
        <f>AK47+BA47+BU47+CO47+DI47+DQ47+EG47+FA47+FU47+GO47</f>
        <v>173649040.68000001</v>
      </c>
      <c r="HP47" s="471">
        <f t="shared" si="55"/>
        <v>13850959.319999993</v>
      </c>
      <c r="HR47" s="531"/>
      <c r="HT47" s="471">
        <f>BX47+CR47+DL47+EJ47+FD47+FX47+GR47</f>
        <v>24000000</v>
      </c>
      <c r="HU47" s="471">
        <f>BY47+CS47+DM47+EK47+FE47+FY47+GS47</f>
        <v>3943150</v>
      </c>
      <c r="HV47" s="471">
        <f t="shared" si="56"/>
        <v>20056850</v>
      </c>
      <c r="HX47" s="473">
        <f t="shared" si="57"/>
        <v>0</v>
      </c>
      <c r="HY47" s="474">
        <v>3943150</v>
      </c>
      <c r="ID47" s="473">
        <f>HU47+HO47+HJ47+HF47+HB47</f>
        <v>830882847.57999992</v>
      </c>
      <c r="IE47" s="473">
        <f>HV47+HP47+HK47+HG47+HC47</f>
        <v>254667152.42000002</v>
      </c>
      <c r="IF47" s="473"/>
    </row>
    <row r="48" spans="1:240" x14ac:dyDescent="0.25">
      <c r="A48" s="107">
        <v>45</v>
      </c>
      <c r="B48" s="107" t="s">
        <v>364</v>
      </c>
      <c r="C48" s="634" t="s">
        <v>61</v>
      </c>
      <c r="D48" s="488">
        <v>1000000</v>
      </c>
      <c r="E48" s="488">
        <v>1000000</v>
      </c>
      <c r="F48" s="475">
        <f t="shared" si="1"/>
        <v>0</v>
      </c>
      <c r="G48" s="488"/>
      <c r="H48" s="465">
        <v>15000000</v>
      </c>
      <c r="I48" s="465">
        <v>15000000</v>
      </c>
      <c r="J48" s="463">
        <f t="shared" si="2"/>
        <v>0</v>
      </c>
      <c r="K48" s="488"/>
      <c r="L48" s="465">
        <v>15000000</v>
      </c>
      <c r="M48" s="465">
        <v>15000000</v>
      </c>
      <c r="N48" s="543">
        <f t="shared" si="3"/>
        <v>0</v>
      </c>
      <c r="O48" s="488"/>
      <c r="P48" s="465">
        <v>2500000</v>
      </c>
      <c r="Q48" s="465">
        <v>2500000</v>
      </c>
      <c r="R48" s="543">
        <f t="shared" si="4"/>
        <v>0</v>
      </c>
      <c r="S48" s="488"/>
      <c r="T48" s="465">
        <v>0</v>
      </c>
      <c r="U48" s="465">
        <v>0</v>
      </c>
      <c r="V48" s="543">
        <f t="shared" si="5"/>
        <v>0</v>
      </c>
      <c r="W48" s="488"/>
      <c r="X48" s="465">
        <v>20000000</v>
      </c>
      <c r="Y48" s="465">
        <v>20000000</v>
      </c>
      <c r="Z48" s="543">
        <f t="shared" si="6"/>
        <v>0</v>
      </c>
      <c r="AA48" s="488"/>
      <c r="AB48" s="465">
        <v>5000000</v>
      </c>
      <c r="AC48" s="465">
        <v>5000000</v>
      </c>
      <c r="AD48" s="543">
        <f t="shared" si="7"/>
        <v>0</v>
      </c>
      <c r="AE48" s="488"/>
      <c r="AF48" s="465">
        <v>0</v>
      </c>
      <c r="AG48" s="465">
        <v>0</v>
      </c>
      <c r="AH48" s="543">
        <f t="shared" si="8"/>
        <v>0</v>
      </c>
      <c r="AI48" s="488"/>
      <c r="AJ48" s="465">
        <v>7500000</v>
      </c>
      <c r="AK48" s="465">
        <v>7500000</v>
      </c>
      <c r="AL48" s="543">
        <f t="shared" si="9"/>
        <v>0</v>
      </c>
      <c r="AM48" s="465"/>
      <c r="AN48" s="465">
        <v>30000000</v>
      </c>
      <c r="AO48" s="465">
        <v>30000000</v>
      </c>
      <c r="AP48" s="543">
        <f t="shared" si="10"/>
        <v>0</v>
      </c>
      <c r="AQ48" s="488"/>
      <c r="AR48" s="465">
        <v>3000000</v>
      </c>
      <c r="AS48" s="465">
        <v>3000000</v>
      </c>
      <c r="AT48" s="543">
        <f t="shared" si="11"/>
        <v>0</v>
      </c>
      <c r="AU48" s="488"/>
      <c r="AV48" s="465">
        <v>2000000</v>
      </c>
      <c r="AW48" s="465">
        <v>0</v>
      </c>
      <c r="AX48" s="543">
        <f t="shared" si="12"/>
        <v>2000000</v>
      </c>
      <c r="AY48" s="488"/>
      <c r="AZ48" s="465">
        <v>10000000</v>
      </c>
      <c r="BA48" s="465">
        <v>10000000</v>
      </c>
      <c r="BB48" s="543">
        <f t="shared" si="13"/>
        <v>0</v>
      </c>
      <c r="BC48" s="488"/>
      <c r="BD48" s="465">
        <v>0</v>
      </c>
      <c r="BE48" s="465">
        <v>0</v>
      </c>
      <c r="BF48" s="543">
        <f t="shared" si="14"/>
        <v>0</v>
      </c>
      <c r="BG48" s="488"/>
      <c r="BH48" s="465">
        <v>55000000</v>
      </c>
      <c r="BI48" s="465">
        <v>55000000</v>
      </c>
      <c r="BJ48" s="543">
        <f t="shared" si="15"/>
        <v>0</v>
      </c>
      <c r="BK48" s="488"/>
      <c r="BL48" s="465">
        <v>5000000</v>
      </c>
      <c r="BM48" s="465">
        <v>5000000</v>
      </c>
      <c r="BN48" s="543">
        <f t="shared" si="16"/>
        <v>0</v>
      </c>
      <c r="BO48" s="488"/>
      <c r="BP48" s="465">
        <v>5000000</v>
      </c>
      <c r="BQ48" s="465">
        <v>0</v>
      </c>
      <c r="BR48" s="543">
        <f t="shared" si="17"/>
        <v>5000000</v>
      </c>
      <c r="BS48" s="488"/>
      <c r="BT48" s="465">
        <v>15000000</v>
      </c>
      <c r="BU48" s="465">
        <v>15000000</v>
      </c>
      <c r="BV48" s="543">
        <f t="shared" si="18"/>
        <v>0</v>
      </c>
      <c r="BW48" s="488"/>
      <c r="BX48" s="465">
        <v>1000000</v>
      </c>
      <c r="BY48" s="483">
        <v>1000000</v>
      </c>
      <c r="BZ48" s="543">
        <f t="shared" si="19"/>
        <v>0</v>
      </c>
      <c r="CA48" s="488"/>
      <c r="CB48" s="468">
        <v>80000000</v>
      </c>
      <c r="CC48" s="465">
        <v>80000000</v>
      </c>
      <c r="CD48" s="543">
        <f t="shared" si="20"/>
        <v>0</v>
      </c>
      <c r="CE48" s="488"/>
      <c r="CF48" s="468">
        <v>10000000</v>
      </c>
      <c r="CG48" s="468">
        <v>10000000</v>
      </c>
      <c r="CH48" s="543">
        <f t="shared" si="21"/>
        <v>0</v>
      </c>
      <c r="CI48" s="488"/>
      <c r="CJ48" s="468">
        <v>10000000</v>
      </c>
      <c r="CK48" s="468">
        <v>0</v>
      </c>
      <c r="CL48" s="543">
        <f t="shared" si="22"/>
        <v>10000000</v>
      </c>
      <c r="CM48" s="488"/>
      <c r="CN48" s="468">
        <v>30000000</v>
      </c>
      <c r="CO48" s="468">
        <v>30000000</v>
      </c>
      <c r="CP48" s="543">
        <f t="shared" si="23"/>
        <v>0</v>
      </c>
      <c r="CQ48" s="488"/>
      <c r="CR48" s="465">
        <v>5000000</v>
      </c>
      <c r="CS48" s="490">
        <f>3301000+1699000</f>
        <v>5000000</v>
      </c>
      <c r="CT48" s="465">
        <f t="shared" si="24"/>
        <v>0</v>
      </c>
      <c r="CU48" s="488"/>
      <c r="CV48" s="525">
        <v>80000000</v>
      </c>
      <c r="CW48" s="465">
        <v>80000000</v>
      </c>
      <c r="CX48" s="543">
        <f t="shared" si="25"/>
        <v>0</v>
      </c>
      <c r="CY48" s="471"/>
      <c r="CZ48" s="468">
        <v>20000000</v>
      </c>
      <c r="DA48" s="468">
        <v>20000000</v>
      </c>
      <c r="DB48" s="543">
        <f t="shared" si="26"/>
        <v>0</v>
      </c>
      <c r="DC48" s="471"/>
      <c r="DD48" s="468">
        <v>20000000</v>
      </c>
      <c r="DE48" s="468">
        <v>0</v>
      </c>
      <c r="DF48" s="543">
        <f t="shared" si="27"/>
        <v>20000000</v>
      </c>
      <c r="DG48" s="488"/>
      <c r="DH48" s="468">
        <v>50000000</v>
      </c>
      <c r="DI48" s="468">
        <v>50000000</v>
      </c>
      <c r="DJ48" s="543">
        <f t="shared" si="28"/>
        <v>0</v>
      </c>
      <c r="DK48" s="488"/>
      <c r="DL48" s="465">
        <v>6000000</v>
      </c>
      <c r="DM48" s="490">
        <f>2126000</f>
        <v>2126000</v>
      </c>
      <c r="DN48" s="465">
        <f t="shared" si="29"/>
        <v>3874000</v>
      </c>
      <c r="DO48" s="488"/>
      <c r="DP48" s="471">
        <v>0</v>
      </c>
      <c r="DQ48" s="471">
        <v>0</v>
      </c>
      <c r="DR48" s="471">
        <f t="shared" si="30"/>
        <v>0</v>
      </c>
      <c r="DT48" s="471">
        <v>60000000</v>
      </c>
      <c r="DU48" s="471">
        <f>58747466+1252534</f>
        <v>60000000</v>
      </c>
      <c r="DV48" s="471">
        <f t="shared" si="31"/>
        <v>0</v>
      </c>
      <c r="DX48" s="471">
        <v>10000000</v>
      </c>
      <c r="DY48" s="471">
        <f>9854195+145805</f>
        <v>10000000</v>
      </c>
      <c r="DZ48" s="471">
        <f t="shared" si="32"/>
        <v>0</v>
      </c>
      <c r="EB48" s="471">
        <v>10000000</v>
      </c>
      <c r="EC48" s="471">
        <v>0</v>
      </c>
      <c r="ED48" s="471">
        <f t="shared" si="33"/>
        <v>10000000</v>
      </c>
      <c r="EF48" s="471">
        <v>20000000</v>
      </c>
      <c r="EG48" s="471">
        <f>16636058+1498760</f>
        <v>18134818</v>
      </c>
      <c r="EH48" s="471">
        <f t="shared" si="34"/>
        <v>1865182</v>
      </c>
      <c r="EJ48" s="471">
        <v>3000000</v>
      </c>
      <c r="EK48" s="471">
        <v>0</v>
      </c>
      <c r="EL48" s="471">
        <f t="shared" si="35"/>
        <v>3000000</v>
      </c>
      <c r="EM48" s="634"/>
      <c r="EN48" s="465">
        <v>200000000</v>
      </c>
      <c r="EO48" s="519">
        <f>66847466+32700000-3000000+87470500</f>
        <v>184017966</v>
      </c>
      <c r="EP48" s="465">
        <f t="shared" si="36"/>
        <v>15982034</v>
      </c>
      <c r="EQ48" s="465"/>
      <c r="ER48" s="465">
        <v>10000000</v>
      </c>
      <c r="ES48" s="465">
        <f>6882790</f>
        <v>6882790</v>
      </c>
      <c r="ET48" s="465">
        <f t="shared" si="37"/>
        <v>3117210</v>
      </c>
      <c r="EU48" s="465"/>
      <c r="EV48" s="465">
        <v>10000000</v>
      </c>
      <c r="EW48" s="465">
        <v>0</v>
      </c>
      <c r="EX48" s="465">
        <f t="shared" si="38"/>
        <v>10000000</v>
      </c>
      <c r="EY48" s="465"/>
      <c r="EZ48" s="465">
        <v>25000000</v>
      </c>
      <c r="FA48" s="465">
        <f>6254325+6947675</f>
        <v>13202000</v>
      </c>
      <c r="FB48" s="465">
        <f t="shared" si="39"/>
        <v>11798000</v>
      </c>
      <c r="FC48" s="465"/>
      <c r="FD48" s="465">
        <v>3000000</v>
      </c>
      <c r="FE48" s="465">
        <v>0</v>
      </c>
      <c r="FF48" s="465">
        <f t="shared" si="40"/>
        <v>3000000</v>
      </c>
      <c r="FG48" s="465"/>
      <c r="FH48" s="637">
        <v>65000000</v>
      </c>
      <c r="FI48" s="637">
        <v>0</v>
      </c>
      <c r="FJ48" s="637">
        <f t="shared" si="90"/>
        <v>65000000</v>
      </c>
      <c r="FK48" s="637"/>
      <c r="FL48" s="637">
        <v>8000000</v>
      </c>
      <c r="FM48" s="637">
        <v>0</v>
      </c>
      <c r="FN48" s="637">
        <f t="shared" si="91"/>
        <v>8000000</v>
      </c>
      <c r="FO48" s="637"/>
      <c r="FP48" s="637">
        <v>5000000</v>
      </c>
      <c r="FQ48" s="637">
        <v>0</v>
      </c>
      <c r="FR48" s="637">
        <f t="shared" si="92"/>
        <v>5000000</v>
      </c>
      <c r="FS48" s="637"/>
      <c r="FT48" s="637">
        <v>18000000</v>
      </c>
      <c r="FU48" s="637">
        <v>0</v>
      </c>
      <c r="FV48" s="637">
        <f t="shared" si="93"/>
        <v>18000000</v>
      </c>
      <c r="FW48" s="637"/>
      <c r="FX48" s="637">
        <v>3000000</v>
      </c>
      <c r="FY48" s="637">
        <v>0</v>
      </c>
      <c r="FZ48" s="637">
        <f t="shared" si="94"/>
        <v>3000000</v>
      </c>
      <c r="GA48" s="637"/>
      <c r="GB48" s="637">
        <v>90000000</v>
      </c>
      <c r="GC48" s="637">
        <v>0</v>
      </c>
      <c r="GD48" s="637">
        <f t="shared" si="86"/>
        <v>90000000</v>
      </c>
      <c r="GE48" s="637"/>
      <c r="GF48" s="637">
        <v>22000000</v>
      </c>
      <c r="GG48" s="637">
        <v>0</v>
      </c>
      <c r="GH48" s="637">
        <f t="shared" si="95"/>
        <v>22000000</v>
      </c>
      <c r="GI48" s="637"/>
      <c r="GJ48" s="637">
        <v>3000000</v>
      </c>
      <c r="GK48" s="637">
        <v>0</v>
      </c>
      <c r="GL48" s="637">
        <f t="shared" si="87"/>
        <v>3000000</v>
      </c>
      <c r="GM48" s="637"/>
      <c r="GN48" s="637">
        <v>12000000</v>
      </c>
      <c r="GO48" s="637">
        <v>0</v>
      </c>
      <c r="GP48" s="637">
        <f t="shared" si="88"/>
        <v>12000000</v>
      </c>
      <c r="GQ48" s="637"/>
      <c r="GR48" s="637">
        <v>3000000</v>
      </c>
      <c r="GS48" s="637">
        <v>0</v>
      </c>
      <c r="GT48" s="637">
        <f t="shared" si="89"/>
        <v>3000000</v>
      </c>
      <c r="GU48" s="637"/>
      <c r="GV48" s="587">
        <f t="shared" si="50"/>
        <v>1083000000</v>
      </c>
      <c r="GW48" s="587">
        <f t="shared" si="50"/>
        <v>754363574</v>
      </c>
      <c r="GX48" s="468">
        <f t="shared" si="51"/>
        <v>328636426</v>
      </c>
      <c r="GZ48" s="519">
        <v>539237719</v>
      </c>
      <c r="HA48" s="468">
        <f>D48+H48+L48+X48+AN48+BH48+CB48+CV48+DT48+EN48+FH48+GB48</f>
        <v>711000000</v>
      </c>
      <c r="HB48" s="468">
        <f>E48+I48+M48+Y48+AO48+BI48+CC48+CW48+DU48+EO48+FI48+GC48</f>
        <v>540017966</v>
      </c>
      <c r="HC48" s="471">
        <f t="shared" si="52"/>
        <v>170982034</v>
      </c>
      <c r="HE48" s="471">
        <f>P48+AB48+AR48+BL48+CF48+CZ48+DX48+ER48+FL48+GF48</f>
        <v>95500000</v>
      </c>
      <c r="HF48" s="471">
        <f>Q48+AC48+AS48+BM48+CG48+DA48+DY48+ES48+FM48+GG48</f>
        <v>62382790</v>
      </c>
      <c r="HG48" s="471">
        <f t="shared" si="53"/>
        <v>33117210</v>
      </c>
      <c r="HI48" s="471">
        <f>T48+AF48+AV48+BP48+CJ48+DD48+EB48+EV48+FP48+GJ48</f>
        <v>65000000</v>
      </c>
      <c r="HJ48" s="471">
        <f>U48+AG48+AW48+BQ48+CK48+DE48+EC48+EW48+FQ48+GK48</f>
        <v>0</v>
      </c>
      <c r="HK48" s="471">
        <f t="shared" si="54"/>
        <v>65000000</v>
      </c>
      <c r="HN48" s="471">
        <f>AJ48+AZ48+BT48+CN48+DH48+DP48+EF48+EZ48+FT48+GN48</f>
        <v>187500000</v>
      </c>
      <c r="HO48" s="471">
        <f>AK48+BA48+BU48+CO48+DI48+DQ48+EG48+FA48+FU48+GO48</f>
        <v>143836818</v>
      </c>
      <c r="HP48" s="471">
        <f t="shared" si="55"/>
        <v>43663182</v>
      </c>
      <c r="HR48" s="531"/>
      <c r="HT48" s="471">
        <f>BX48+CR48+DL48+EJ48+FD48+FX48+GR48</f>
        <v>24000000</v>
      </c>
      <c r="HU48" s="471">
        <f>BY48+CS48+DM48+EK48+FE48+FY48+GS48</f>
        <v>8126000</v>
      </c>
      <c r="HV48" s="471">
        <f t="shared" si="56"/>
        <v>15874000</v>
      </c>
      <c r="HX48" s="473">
        <f t="shared" si="57"/>
        <v>8126000</v>
      </c>
      <c r="HY48" s="474">
        <v>0</v>
      </c>
      <c r="ID48" s="473">
        <f>HU48+HO48+HJ48+HF48+HB48</f>
        <v>754363574</v>
      </c>
      <c r="IE48" s="473">
        <f>HV48+HP48+HK48+HG48+HC48</f>
        <v>328636426</v>
      </c>
      <c r="IF48" s="473"/>
    </row>
    <row r="49" spans="1:240" x14ac:dyDescent="0.25">
      <c r="A49" s="107">
        <v>46</v>
      </c>
      <c r="B49" s="107" t="s">
        <v>365</v>
      </c>
      <c r="C49" s="634" t="s">
        <v>69</v>
      </c>
      <c r="D49" s="488">
        <v>1000000</v>
      </c>
      <c r="E49" s="488">
        <v>1000000</v>
      </c>
      <c r="F49" s="475">
        <f t="shared" si="1"/>
        <v>0</v>
      </c>
      <c r="G49" s="488"/>
      <c r="H49" s="465">
        <v>15000000</v>
      </c>
      <c r="I49" s="465">
        <v>15000000</v>
      </c>
      <c r="J49" s="463">
        <f t="shared" si="2"/>
        <v>0</v>
      </c>
      <c r="K49" s="488"/>
      <c r="L49" s="465">
        <v>15000000</v>
      </c>
      <c r="M49" s="465">
        <v>15000000</v>
      </c>
      <c r="N49" s="543">
        <f t="shared" si="3"/>
        <v>0</v>
      </c>
      <c r="O49" s="488"/>
      <c r="P49" s="465">
        <v>2500000</v>
      </c>
      <c r="Q49" s="465">
        <v>2500000</v>
      </c>
      <c r="R49" s="543">
        <f t="shared" si="4"/>
        <v>0</v>
      </c>
      <c r="S49" s="488"/>
      <c r="T49" s="465">
        <v>0</v>
      </c>
      <c r="U49" s="465">
        <v>0</v>
      </c>
      <c r="V49" s="543">
        <f t="shared" si="5"/>
        <v>0</v>
      </c>
      <c r="W49" s="488"/>
      <c r="X49" s="465">
        <v>20000000</v>
      </c>
      <c r="Y49" s="465">
        <v>20000000</v>
      </c>
      <c r="Z49" s="543">
        <f t="shared" si="6"/>
        <v>0</v>
      </c>
      <c r="AA49" s="488"/>
      <c r="AB49" s="465">
        <v>5000000</v>
      </c>
      <c r="AC49" s="465">
        <v>5000000</v>
      </c>
      <c r="AD49" s="543">
        <f t="shared" si="7"/>
        <v>0</v>
      </c>
      <c r="AE49" s="488"/>
      <c r="AF49" s="465">
        <v>0</v>
      </c>
      <c r="AG49" s="465">
        <v>0</v>
      </c>
      <c r="AH49" s="543">
        <f t="shared" si="8"/>
        <v>0</v>
      </c>
      <c r="AI49" s="488"/>
      <c r="AJ49" s="465">
        <v>7500000</v>
      </c>
      <c r="AK49" s="465">
        <v>7500000</v>
      </c>
      <c r="AL49" s="543">
        <f t="shared" si="9"/>
        <v>0</v>
      </c>
      <c r="AM49" s="465"/>
      <c r="AN49" s="465">
        <v>0</v>
      </c>
      <c r="AO49" s="465">
        <v>0</v>
      </c>
      <c r="AP49" s="543">
        <f t="shared" si="10"/>
        <v>0</v>
      </c>
      <c r="AQ49" s="488"/>
      <c r="AR49" s="465">
        <v>0</v>
      </c>
      <c r="AS49" s="465">
        <v>0</v>
      </c>
      <c r="AT49" s="543">
        <f t="shared" si="11"/>
        <v>0</v>
      </c>
      <c r="AU49" s="488"/>
      <c r="AV49" s="465">
        <v>0</v>
      </c>
      <c r="AW49" s="465">
        <v>0</v>
      </c>
      <c r="AX49" s="543">
        <f t="shared" si="12"/>
        <v>0</v>
      </c>
      <c r="AY49" s="488"/>
      <c r="AZ49" s="465">
        <v>0</v>
      </c>
      <c r="BA49" s="465">
        <v>0</v>
      </c>
      <c r="BB49" s="543">
        <f t="shared" si="13"/>
        <v>0</v>
      </c>
      <c r="BC49" s="488"/>
      <c r="BD49" s="465">
        <v>0</v>
      </c>
      <c r="BE49" s="465">
        <v>0</v>
      </c>
      <c r="BF49" s="543">
        <f t="shared" si="14"/>
        <v>0</v>
      </c>
      <c r="BG49" s="488"/>
      <c r="BH49" s="465">
        <v>55000000</v>
      </c>
      <c r="BI49" s="465">
        <v>55000000</v>
      </c>
      <c r="BJ49" s="543">
        <f t="shared" si="15"/>
        <v>0</v>
      </c>
      <c r="BK49" s="488"/>
      <c r="BL49" s="465">
        <v>5000000</v>
      </c>
      <c r="BM49" s="465">
        <v>5000000</v>
      </c>
      <c r="BN49" s="543">
        <f t="shared" si="16"/>
        <v>0</v>
      </c>
      <c r="BO49" s="488"/>
      <c r="BP49" s="465">
        <v>5000000</v>
      </c>
      <c r="BQ49" s="465">
        <v>0</v>
      </c>
      <c r="BR49" s="543">
        <f t="shared" si="17"/>
        <v>5000000</v>
      </c>
      <c r="BS49" s="488"/>
      <c r="BT49" s="465">
        <v>15000000</v>
      </c>
      <c r="BU49" s="461">
        <v>15000000</v>
      </c>
      <c r="BV49" s="543">
        <f t="shared" si="18"/>
        <v>0</v>
      </c>
      <c r="BW49" s="488"/>
      <c r="BX49" s="465">
        <v>1000000</v>
      </c>
      <c r="BY49" s="465">
        <v>0</v>
      </c>
      <c r="BZ49" s="543">
        <f t="shared" si="19"/>
        <v>1000000</v>
      </c>
      <c r="CA49" s="488"/>
      <c r="CB49" s="468">
        <v>0</v>
      </c>
      <c r="CC49" s="468">
        <v>0</v>
      </c>
      <c r="CD49" s="543">
        <f t="shared" si="20"/>
        <v>0</v>
      </c>
      <c r="CE49" s="488"/>
      <c r="CF49" s="468">
        <v>0</v>
      </c>
      <c r="CG49" s="468">
        <v>0</v>
      </c>
      <c r="CH49" s="543">
        <f t="shared" si="21"/>
        <v>0</v>
      </c>
      <c r="CI49" s="488"/>
      <c r="CJ49" s="468">
        <v>0</v>
      </c>
      <c r="CK49" s="468">
        <v>0</v>
      </c>
      <c r="CL49" s="543">
        <f t="shared" si="22"/>
        <v>0</v>
      </c>
      <c r="CM49" s="488"/>
      <c r="CN49" s="468">
        <v>0</v>
      </c>
      <c r="CO49" s="468">
        <v>0</v>
      </c>
      <c r="CP49" s="543">
        <f t="shared" si="23"/>
        <v>0</v>
      </c>
      <c r="CQ49" s="488"/>
      <c r="CR49" s="468">
        <v>0</v>
      </c>
      <c r="CS49" s="468">
        <v>0</v>
      </c>
      <c r="CT49" s="465">
        <f t="shared" si="24"/>
        <v>0</v>
      </c>
      <c r="CU49" s="488"/>
      <c r="CV49" s="525">
        <v>80000000</v>
      </c>
      <c r="CW49" s="465">
        <f>58055795+3600000+18344205</f>
        <v>80000000</v>
      </c>
      <c r="CX49" s="543">
        <f t="shared" si="25"/>
        <v>0</v>
      </c>
      <c r="CY49" s="471"/>
      <c r="CZ49" s="468">
        <v>20000000</v>
      </c>
      <c r="DA49" s="468">
        <v>16642870</v>
      </c>
      <c r="DB49" s="543">
        <f t="shared" si="26"/>
        <v>3357130</v>
      </c>
      <c r="DC49" s="471"/>
      <c r="DD49" s="468">
        <v>20000000</v>
      </c>
      <c r="DE49" s="468">
        <v>0</v>
      </c>
      <c r="DF49" s="543">
        <f t="shared" si="27"/>
        <v>20000000</v>
      </c>
      <c r="DG49" s="488"/>
      <c r="DH49" s="468">
        <v>50000000</v>
      </c>
      <c r="DI49" s="468">
        <f>45656453+2906380+1437167</f>
        <v>50000000</v>
      </c>
      <c r="DJ49" s="543">
        <f t="shared" si="28"/>
        <v>0</v>
      </c>
      <c r="DK49" s="488"/>
      <c r="DL49" s="465">
        <v>6000000</v>
      </c>
      <c r="DM49" s="468">
        <v>0</v>
      </c>
      <c r="DN49" s="465">
        <f t="shared" si="29"/>
        <v>6000000</v>
      </c>
      <c r="DO49" s="488"/>
      <c r="DP49" s="471">
        <v>0</v>
      </c>
      <c r="DQ49" s="471">
        <v>0</v>
      </c>
      <c r="DR49" s="471">
        <f t="shared" si="30"/>
        <v>0</v>
      </c>
      <c r="DT49" s="471">
        <v>0</v>
      </c>
      <c r="DU49" s="471">
        <v>0</v>
      </c>
      <c r="DV49" s="471">
        <f t="shared" si="31"/>
        <v>0</v>
      </c>
      <c r="DX49" s="471">
        <v>0</v>
      </c>
      <c r="DY49" s="471">
        <v>0</v>
      </c>
      <c r="DZ49" s="471">
        <f t="shared" si="32"/>
        <v>0</v>
      </c>
      <c r="EB49" s="471">
        <v>0</v>
      </c>
      <c r="EC49" s="471">
        <v>0</v>
      </c>
      <c r="ED49" s="471">
        <f t="shared" si="33"/>
        <v>0</v>
      </c>
      <c r="EF49" s="471">
        <v>0</v>
      </c>
      <c r="EG49" s="471">
        <v>0</v>
      </c>
      <c r="EH49" s="471">
        <f t="shared" si="34"/>
        <v>0</v>
      </c>
      <c r="EJ49" s="471">
        <v>0</v>
      </c>
      <c r="EK49" s="471">
        <v>0</v>
      </c>
      <c r="EL49" s="471">
        <f t="shared" si="35"/>
        <v>0</v>
      </c>
      <c r="EM49" s="634"/>
      <c r="EN49" s="465">
        <v>200000000</v>
      </c>
      <c r="EO49" s="483">
        <f>4155795+7200000</f>
        <v>11355795</v>
      </c>
      <c r="EP49" s="465">
        <f t="shared" si="36"/>
        <v>188644205</v>
      </c>
      <c r="EQ49" s="465"/>
      <c r="ER49" s="465">
        <v>10000000</v>
      </c>
      <c r="ES49" s="465">
        <v>0</v>
      </c>
      <c r="ET49" s="465">
        <f t="shared" si="37"/>
        <v>10000000</v>
      </c>
      <c r="EU49" s="465"/>
      <c r="EV49" s="465">
        <v>10000000</v>
      </c>
      <c r="EW49" s="465">
        <v>0</v>
      </c>
      <c r="EX49" s="465">
        <f t="shared" si="38"/>
        <v>10000000</v>
      </c>
      <c r="EY49" s="465"/>
      <c r="EZ49" s="465">
        <v>25000000</v>
      </c>
      <c r="FA49" s="465">
        <f>2543543+1387000+1387000</f>
        <v>5317543</v>
      </c>
      <c r="FB49" s="465">
        <f t="shared" si="39"/>
        <v>19682457</v>
      </c>
      <c r="FC49" s="465"/>
      <c r="FD49" s="465">
        <v>3000000</v>
      </c>
      <c r="FE49" s="465">
        <v>0</v>
      </c>
      <c r="FF49" s="465">
        <f t="shared" si="40"/>
        <v>3000000</v>
      </c>
      <c r="FG49" s="465"/>
      <c r="FH49" s="637"/>
      <c r="FI49" s="637"/>
      <c r="FJ49" s="637"/>
      <c r="FK49" s="637"/>
      <c r="FL49" s="637"/>
      <c r="FM49" s="637"/>
      <c r="FN49" s="637"/>
      <c r="FO49" s="637"/>
      <c r="FP49" s="637"/>
      <c r="FQ49" s="637"/>
      <c r="FR49" s="637"/>
      <c r="FS49" s="637"/>
      <c r="FT49" s="637"/>
      <c r="FU49" s="637"/>
      <c r="FV49" s="637"/>
      <c r="FW49" s="637"/>
      <c r="FX49" s="637"/>
      <c r="FY49" s="637"/>
      <c r="FZ49" s="637"/>
      <c r="GA49" s="637"/>
      <c r="GB49" s="637">
        <v>90000000</v>
      </c>
      <c r="GC49" s="637">
        <v>0</v>
      </c>
      <c r="GD49" s="637">
        <f t="shared" si="86"/>
        <v>90000000</v>
      </c>
      <c r="GE49" s="637"/>
      <c r="GF49" s="637">
        <v>22000000</v>
      </c>
      <c r="GG49" s="637">
        <v>0</v>
      </c>
      <c r="GH49" s="637">
        <f t="shared" si="95"/>
        <v>22000000</v>
      </c>
      <c r="GI49" s="637"/>
      <c r="GJ49" s="637">
        <v>3000000</v>
      </c>
      <c r="GK49" s="637">
        <v>0</v>
      </c>
      <c r="GL49" s="637">
        <f t="shared" si="87"/>
        <v>3000000</v>
      </c>
      <c r="GM49" s="637"/>
      <c r="GN49" s="637">
        <v>12000000</v>
      </c>
      <c r="GO49" s="637">
        <v>0</v>
      </c>
      <c r="GP49" s="637">
        <f t="shared" si="88"/>
        <v>12000000</v>
      </c>
      <c r="GQ49" s="637"/>
      <c r="GR49" s="637">
        <v>3000000</v>
      </c>
      <c r="GS49" s="637">
        <v>0</v>
      </c>
      <c r="GT49" s="637">
        <f t="shared" si="89"/>
        <v>3000000</v>
      </c>
      <c r="GU49" s="637"/>
      <c r="GV49" s="587">
        <f t="shared" si="50"/>
        <v>701000000</v>
      </c>
      <c r="GW49" s="587">
        <f t="shared" si="50"/>
        <v>304316208</v>
      </c>
      <c r="GX49" s="468">
        <f t="shared" si="51"/>
        <v>396683792</v>
      </c>
      <c r="GZ49" s="519"/>
      <c r="HA49" s="468">
        <f>D49+H49+L49+X49+AN49+BH49+CB49+CV49+DT49+EN49+FH49+GB49</f>
        <v>476000000</v>
      </c>
      <c r="HB49" s="468">
        <f>E49+I49+M49+Y49+AO49+BI49+CC49+CW49+DU49+EO49+FI49+GC49</f>
        <v>197355795</v>
      </c>
      <c r="HC49" s="471">
        <f t="shared" si="52"/>
        <v>278644205</v>
      </c>
      <c r="HE49" s="471">
        <f>P49+AB49+AR49+BL49+CF49+CZ49+DX49+ER49+FL49+GF49</f>
        <v>64500000</v>
      </c>
      <c r="HF49" s="471">
        <f>Q49+AC49+AS49+BM49+CG49+DA49+DY49+ES49+FM49+GG49</f>
        <v>29142870</v>
      </c>
      <c r="HG49" s="471">
        <f t="shared" si="53"/>
        <v>35357130</v>
      </c>
      <c r="HI49" s="471">
        <f>T49+AF49+AV49+BP49+CJ49+DD49+EB49+EV49+FP49+GJ49</f>
        <v>38000000</v>
      </c>
      <c r="HJ49" s="471">
        <f>U49+AG49+AW49+BQ49+CK49+DE49+EC49+EW49+FQ49+GK49</f>
        <v>0</v>
      </c>
      <c r="HK49" s="471">
        <f t="shared" si="54"/>
        <v>38000000</v>
      </c>
      <c r="HN49" s="471">
        <f>AJ49+AZ49+BT49+CN49+DH49+DP49+EF49+EZ49+FT49+GN49</f>
        <v>109500000</v>
      </c>
      <c r="HO49" s="471">
        <f>AK49+BA49+BU49+CO49+DI49+DQ49+EG49+FA49+FU49+GO49</f>
        <v>77817543</v>
      </c>
      <c r="HP49" s="471">
        <f t="shared" si="55"/>
        <v>31682457</v>
      </c>
      <c r="HR49" s="531"/>
      <c r="HT49" s="471">
        <f>BX49+CR49+DL49+EJ49+FD49+FX49+GR49</f>
        <v>13000000</v>
      </c>
      <c r="HU49" s="471">
        <f>BY49+CS49+DM49+EK49+FE49+FY49+GS49</f>
        <v>0</v>
      </c>
      <c r="HV49" s="471">
        <f t="shared" si="56"/>
        <v>13000000</v>
      </c>
      <c r="HX49" s="473">
        <f t="shared" si="57"/>
        <v>0</v>
      </c>
      <c r="HY49" s="474">
        <v>0</v>
      </c>
      <c r="ID49" s="473">
        <f>HU49+HO49+HJ49+HF49+HB49</f>
        <v>304316208</v>
      </c>
      <c r="IE49" s="473">
        <f>HV49+HP49+HK49+HG49+HC49</f>
        <v>396683792</v>
      </c>
      <c r="IF49" s="473"/>
    </row>
    <row r="50" spans="1:240" x14ac:dyDescent="0.25">
      <c r="A50" s="107">
        <v>47</v>
      </c>
      <c r="B50" s="107" t="s">
        <v>366</v>
      </c>
      <c r="C50" s="634"/>
      <c r="D50" s="475">
        <v>0</v>
      </c>
      <c r="E50" s="475">
        <v>0</v>
      </c>
      <c r="F50" s="475">
        <f t="shared" si="1"/>
        <v>0</v>
      </c>
      <c r="G50" s="488"/>
      <c r="H50" s="465">
        <v>15000000</v>
      </c>
      <c r="I50" s="465">
        <v>15000000</v>
      </c>
      <c r="J50" s="463">
        <f t="shared" si="2"/>
        <v>0</v>
      </c>
      <c r="K50" s="488"/>
      <c r="L50" s="465">
        <v>15000000</v>
      </c>
      <c r="M50" s="465">
        <v>15000000</v>
      </c>
      <c r="N50" s="543">
        <f t="shared" si="3"/>
        <v>0</v>
      </c>
      <c r="O50" s="488"/>
      <c r="P50" s="465">
        <v>2500000</v>
      </c>
      <c r="Q50" s="465">
        <v>2500000</v>
      </c>
      <c r="R50" s="543">
        <f t="shared" si="4"/>
        <v>0</v>
      </c>
      <c r="S50" s="488"/>
      <c r="T50" s="465">
        <v>1000000</v>
      </c>
      <c r="U50" s="465">
        <v>1000000</v>
      </c>
      <c r="V50" s="543">
        <f t="shared" si="5"/>
        <v>0</v>
      </c>
      <c r="W50" s="488"/>
      <c r="X50" s="465">
        <v>0</v>
      </c>
      <c r="Y50" s="465">
        <v>0</v>
      </c>
      <c r="Z50" s="543">
        <f t="shared" si="6"/>
        <v>0</v>
      </c>
      <c r="AA50" s="488"/>
      <c r="AB50" s="465">
        <v>0</v>
      </c>
      <c r="AC50" s="465">
        <v>0</v>
      </c>
      <c r="AD50" s="543">
        <f t="shared" si="7"/>
        <v>0</v>
      </c>
      <c r="AE50" s="488"/>
      <c r="AF50" s="465">
        <v>0</v>
      </c>
      <c r="AG50" s="465">
        <v>0</v>
      </c>
      <c r="AH50" s="543">
        <f t="shared" si="8"/>
        <v>0</v>
      </c>
      <c r="AI50" s="488"/>
      <c r="AJ50" s="465">
        <v>0</v>
      </c>
      <c r="AK50" s="465">
        <v>0</v>
      </c>
      <c r="AL50" s="543">
        <f t="shared" si="9"/>
        <v>0</v>
      </c>
      <c r="AM50" s="465"/>
      <c r="AN50" s="465">
        <v>30000000</v>
      </c>
      <c r="AO50" s="465">
        <f>24015550+5700000</f>
        <v>29715550</v>
      </c>
      <c r="AP50" s="543">
        <f t="shared" si="10"/>
        <v>284450</v>
      </c>
      <c r="AQ50" s="488"/>
      <c r="AR50" s="465">
        <v>3000000</v>
      </c>
      <c r="AS50" s="465">
        <f>2000000+1000000</f>
        <v>3000000</v>
      </c>
      <c r="AT50" s="543">
        <f t="shared" si="11"/>
        <v>0</v>
      </c>
      <c r="AU50" s="488"/>
      <c r="AV50" s="465">
        <v>2000000</v>
      </c>
      <c r="AW50" s="465">
        <v>1550000</v>
      </c>
      <c r="AX50" s="543">
        <f t="shared" si="12"/>
        <v>450000</v>
      </c>
      <c r="AY50" s="488"/>
      <c r="AZ50" s="465">
        <v>10000000</v>
      </c>
      <c r="BA50" s="465">
        <v>10000000</v>
      </c>
      <c r="BB50" s="543">
        <f t="shared" si="13"/>
        <v>0</v>
      </c>
      <c r="BC50" s="488"/>
      <c r="BD50" s="465">
        <v>0</v>
      </c>
      <c r="BE50" s="465">
        <v>0</v>
      </c>
      <c r="BF50" s="543">
        <f t="shared" si="14"/>
        <v>0</v>
      </c>
      <c r="BG50" s="488"/>
      <c r="BH50" s="465">
        <v>0</v>
      </c>
      <c r="BI50" s="465">
        <v>0</v>
      </c>
      <c r="BJ50" s="543">
        <f t="shared" si="15"/>
        <v>0</v>
      </c>
      <c r="BK50" s="488"/>
      <c r="BL50" s="465">
        <v>0</v>
      </c>
      <c r="BM50" s="465">
        <v>0</v>
      </c>
      <c r="BN50" s="543">
        <f t="shared" si="16"/>
        <v>0</v>
      </c>
      <c r="BO50" s="488"/>
      <c r="BP50" s="465">
        <v>0</v>
      </c>
      <c r="BQ50" s="465">
        <v>0</v>
      </c>
      <c r="BR50" s="543">
        <f t="shared" si="17"/>
        <v>0</v>
      </c>
      <c r="BS50" s="488"/>
      <c r="BT50" s="465">
        <v>0</v>
      </c>
      <c r="BU50" s="465">
        <v>0</v>
      </c>
      <c r="BV50" s="543">
        <f t="shared" si="18"/>
        <v>0</v>
      </c>
      <c r="BW50" s="488"/>
      <c r="BX50" s="465">
        <v>0</v>
      </c>
      <c r="BY50" s="465">
        <v>0</v>
      </c>
      <c r="BZ50" s="543">
        <f t="shared" si="19"/>
        <v>0</v>
      </c>
      <c r="CA50" s="488"/>
      <c r="CB50" s="468">
        <v>80000000</v>
      </c>
      <c r="CC50" s="465">
        <f>35453650+3600000+15300000</f>
        <v>54353650</v>
      </c>
      <c r="CD50" s="543">
        <f t="shared" si="20"/>
        <v>25646350</v>
      </c>
      <c r="CE50" s="488"/>
      <c r="CF50" s="468">
        <v>10000000</v>
      </c>
      <c r="CG50" s="490">
        <f>3595400+6404600</f>
        <v>10000000</v>
      </c>
      <c r="CH50" s="543">
        <f t="shared" si="21"/>
        <v>0</v>
      </c>
      <c r="CI50" s="488"/>
      <c r="CJ50" s="468">
        <v>10000000</v>
      </c>
      <c r="CK50" s="468">
        <v>0</v>
      </c>
      <c r="CL50" s="543">
        <f t="shared" si="22"/>
        <v>10000000</v>
      </c>
      <c r="CM50" s="488"/>
      <c r="CN50" s="468">
        <v>30000000</v>
      </c>
      <c r="CO50" s="468">
        <v>30000000</v>
      </c>
      <c r="CP50" s="543">
        <f t="shared" si="23"/>
        <v>0</v>
      </c>
      <c r="CQ50" s="488"/>
      <c r="CR50" s="465">
        <v>5000000</v>
      </c>
      <c r="CS50" s="468">
        <v>0</v>
      </c>
      <c r="CT50" s="465">
        <f t="shared" si="24"/>
        <v>5000000</v>
      </c>
      <c r="CU50" s="488"/>
      <c r="CV50" s="525">
        <v>0</v>
      </c>
      <c r="CW50" s="525">
        <v>0</v>
      </c>
      <c r="CX50" s="543">
        <f t="shared" si="25"/>
        <v>0</v>
      </c>
      <c r="CY50" s="471"/>
      <c r="CZ50" s="468">
        <v>0</v>
      </c>
      <c r="DA50" s="468">
        <v>0</v>
      </c>
      <c r="DB50" s="543">
        <f t="shared" si="26"/>
        <v>0</v>
      </c>
      <c r="DC50" s="471"/>
      <c r="DD50" s="468">
        <v>0</v>
      </c>
      <c r="DE50" s="468">
        <v>0</v>
      </c>
      <c r="DF50" s="543">
        <f t="shared" si="27"/>
        <v>0</v>
      </c>
      <c r="DG50" s="488"/>
      <c r="DH50" s="468">
        <v>0</v>
      </c>
      <c r="DI50" s="468">
        <v>0</v>
      </c>
      <c r="DJ50" s="543">
        <f t="shared" si="28"/>
        <v>0</v>
      </c>
      <c r="DK50" s="488"/>
      <c r="DL50" s="465">
        <v>0</v>
      </c>
      <c r="DM50" s="468">
        <v>0</v>
      </c>
      <c r="DN50" s="465">
        <f t="shared" si="29"/>
        <v>0</v>
      </c>
      <c r="DO50" s="488"/>
      <c r="DP50" s="471">
        <v>0</v>
      </c>
      <c r="DQ50" s="471">
        <v>0</v>
      </c>
      <c r="DR50" s="471">
        <f t="shared" si="30"/>
        <v>0</v>
      </c>
      <c r="DT50" s="471">
        <v>60000000</v>
      </c>
      <c r="DU50" s="553">
        <f>25181296+20504125+3600000</f>
        <v>49285421</v>
      </c>
      <c r="DV50" s="471">
        <f t="shared" si="31"/>
        <v>10714579</v>
      </c>
      <c r="DX50" s="471">
        <v>10000000</v>
      </c>
      <c r="DY50" s="541">
        <f>246340</f>
        <v>246340</v>
      </c>
      <c r="DZ50" s="471">
        <f t="shared" si="32"/>
        <v>9753660</v>
      </c>
      <c r="EB50" s="471">
        <v>10000000</v>
      </c>
      <c r="EC50" s="471">
        <v>0</v>
      </c>
      <c r="ED50" s="471">
        <f t="shared" si="33"/>
        <v>10000000</v>
      </c>
      <c r="EF50" s="471">
        <v>20000000</v>
      </c>
      <c r="EG50" s="552">
        <f>792940.75+2975429.2+1534165+3376465+4273450+5544650</f>
        <v>18497099.949999999</v>
      </c>
      <c r="EH50" s="471">
        <f t="shared" si="34"/>
        <v>1502900.0500000007</v>
      </c>
      <c r="EJ50" s="471">
        <v>3000000</v>
      </c>
      <c r="EK50" s="471">
        <v>0</v>
      </c>
      <c r="EL50" s="471">
        <f t="shared" si="35"/>
        <v>3000000</v>
      </c>
      <c r="EM50" s="634"/>
      <c r="EN50" s="465">
        <v>0</v>
      </c>
      <c r="EO50" s="465">
        <v>0</v>
      </c>
      <c r="EP50" s="465">
        <f t="shared" si="36"/>
        <v>0</v>
      </c>
      <c r="EQ50" s="465"/>
      <c r="ER50" s="465"/>
      <c r="ES50" s="465">
        <v>0</v>
      </c>
      <c r="ET50" s="465">
        <f t="shared" si="37"/>
        <v>0</v>
      </c>
      <c r="EU50" s="465"/>
      <c r="EV50" s="465"/>
      <c r="EW50" s="465">
        <v>0</v>
      </c>
      <c r="EX50" s="465">
        <f t="shared" si="38"/>
        <v>0</v>
      </c>
      <c r="EY50" s="465"/>
      <c r="EZ50" s="465"/>
      <c r="FA50" s="465">
        <v>0</v>
      </c>
      <c r="FB50" s="465">
        <f t="shared" si="39"/>
        <v>0</v>
      </c>
      <c r="FC50" s="465"/>
      <c r="FD50" s="465">
        <f>FB50-FC50</f>
        <v>0</v>
      </c>
      <c r="FE50" s="465">
        <v>0</v>
      </c>
      <c r="FF50" s="465">
        <f t="shared" si="40"/>
        <v>0</v>
      </c>
      <c r="FG50" s="465"/>
      <c r="FH50" s="637">
        <v>65000000</v>
      </c>
      <c r="FI50" s="637">
        <v>0</v>
      </c>
      <c r="FJ50" s="637">
        <f t="shared" ref="FJ50:FJ52" si="96">FH50-FI50</f>
        <v>65000000</v>
      </c>
      <c r="FK50" s="637"/>
      <c r="FL50" s="637">
        <v>8000000</v>
      </c>
      <c r="FM50" s="637">
        <v>0</v>
      </c>
      <c r="FN50" s="637">
        <f t="shared" ref="FN50:FN52" si="97">FL50-FM50</f>
        <v>8000000</v>
      </c>
      <c r="FO50" s="637"/>
      <c r="FP50" s="637">
        <v>5000000</v>
      </c>
      <c r="FQ50" s="637">
        <v>0</v>
      </c>
      <c r="FR50" s="637">
        <f t="shared" ref="FR50:FR52" si="98">FP50-FQ50</f>
        <v>5000000</v>
      </c>
      <c r="FS50" s="637"/>
      <c r="FT50" s="637">
        <v>18000000</v>
      </c>
      <c r="FU50" s="637">
        <v>0</v>
      </c>
      <c r="FV50" s="637">
        <f t="shared" ref="FV50:FV52" si="99">FT50-FU50</f>
        <v>18000000</v>
      </c>
      <c r="FW50" s="637"/>
      <c r="FX50" s="637">
        <v>3000000</v>
      </c>
      <c r="FY50" s="637">
        <v>0</v>
      </c>
      <c r="FZ50" s="637">
        <f t="shared" ref="FZ50:FZ52" si="100">FX50-FY50</f>
        <v>3000000</v>
      </c>
      <c r="GA50" s="637"/>
      <c r="GB50" s="644"/>
      <c r="GC50" s="644"/>
      <c r="GD50" s="644"/>
      <c r="GE50" s="644"/>
      <c r="GF50" s="644"/>
      <c r="GG50" s="644"/>
      <c r="GH50" s="644"/>
      <c r="GI50" s="644"/>
      <c r="GJ50" s="644"/>
      <c r="GK50" s="644"/>
      <c r="GL50" s="644"/>
      <c r="GM50" s="644"/>
      <c r="GN50" s="644"/>
      <c r="GO50" s="644"/>
      <c r="GP50" s="644"/>
      <c r="GQ50" s="644"/>
      <c r="GR50" s="644"/>
      <c r="GS50" s="644"/>
      <c r="GT50" s="644"/>
      <c r="GU50" s="637"/>
      <c r="GV50" s="587">
        <f t="shared" si="50"/>
        <v>415500000</v>
      </c>
      <c r="GW50" s="587">
        <f t="shared" si="50"/>
        <v>240148060.94999999</v>
      </c>
      <c r="GX50" s="468">
        <f t="shared" si="51"/>
        <v>175351939.05000001</v>
      </c>
      <c r="GZ50" s="519"/>
      <c r="HA50" s="468">
        <f>D50+H50+L50+X50+AN50+BH50+CB50+CV50+DT50+EN50+FH50+GB50</f>
        <v>265000000</v>
      </c>
      <c r="HB50" s="468">
        <f>E50+I50+M50+Y50+AO50+BI50+CC50+CW50+DU50+EO50+FI50+GC50</f>
        <v>163354621</v>
      </c>
      <c r="HC50" s="471">
        <f t="shared" si="52"/>
        <v>101645379</v>
      </c>
      <c r="HE50" s="471">
        <f>P50+AB50+AR50+BL50+CF50+CZ50+DX50+ER50+FL50+GF50</f>
        <v>33500000</v>
      </c>
      <c r="HF50" s="471">
        <f>Q50+AC50+AS50+BM50+CG50+DA50+DY50+ES50+FM50+GG50</f>
        <v>15746340</v>
      </c>
      <c r="HG50" s="471">
        <f t="shared" si="53"/>
        <v>17753660</v>
      </c>
      <c r="HI50" s="471">
        <f>T50+AF50+AV50+BP50+CJ50+DD50+EB50+EV50+FP50+GJ50</f>
        <v>28000000</v>
      </c>
      <c r="HJ50" s="471">
        <f>U50+AG50+AW50+BQ50+CK50+DE50+EC50+EW50+FQ50+GK50</f>
        <v>2550000</v>
      </c>
      <c r="HK50" s="471">
        <f t="shared" si="54"/>
        <v>25450000</v>
      </c>
      <c r="HN50" s="471">
        <f>AJ50+AZ50+BT50+CN50+DH50+DP50+EF50+EZ50+FT50+GN50</f>
        <v>78000000</v>
      </c>
      <c r="HO50" s="471">
        <f>AK50+BA50+BU50+CO50+DI50+DQ50+EG50+FA50+FU50+GO50</f>
        <v>58497099.950000003</v>
      </c>
      <c r="HP50" s="471">
        <f t="shared" si="55"/>
        <v>19502900.049999997</v>
      </c>
      <c r="HR50" s="531"/>
      <c r="HT50" s="471">
        <f>BX50+CR50+DL50+EJ50+FD50+FX50+GR50</f>
        <v>11000000</v>
      </c>
      <c r="HU50" s="471">
        <f>BY50+CS50+DM50+EK50+FE50+FY50+GS50</f>
        <v>0</v>
      </c>
      <c r="HV50" s="471">
        <f t="shared" si="56"/>
        <v>11000000</v>
      </c>
      <c r="HX50" s="473">
        <f t="shared" si="57"/>
        <v>0</v>
      </c>
      <c r="HY50" s="474">
        <v>0</v>
      </c>
      <c r="ID50" s="473">
        <f>HU50+HO50+HJ50+HF50+HB50</f>
        <v>240148060.94999999</v>
      </c>
      <c r="IE50" s="473">
        <f>HV50+HP50+HK50+HG50+HC50</f>
        <v>175351939.05000001</v>
      </c>
      <c r="IF50" s="473"/>
    </row>
    <row r="51" spans="1:240" x14ac:dyDescent="0.25">
      <c r="A51" s="107">
        <v>48</v>
      </c>
      <c r="B51" s="107" t="s">
        <v>367</v>
      </c>
      <c r="C51" s="634" t="s">
        <v>69</v>
      </c>
      <c r="D51" s="488">
        <v>1000000</v>
      </c>
      <c r="E51" s="488">
        <v>1000000</v>
      </c>
      <c r="F51" s="475">
        <f>D51-E51</f>
        <v>0</v>
      </c>
      <c r="G51" s="488"/>
      <c r="H51" s="465">
        <v>15000000</v>
      </c>
      <c r="I51" s="465">
        <v>15000000</v>
      </c>
      <c r="J51" s="463">
        <f>H51-I51</f>
        <v>0</v>
      </c>
      <c r="K51" s="488"/>
      <c r="L51" s="465">
        <v>15000000</v>
      </c>
      <c r="M51" s="465">
        <v>15000000</v>
      </c>
      <c r="N51" s="543">
        <f>L51-M51</f>
        <v>0</v>
      </c>
      <c r="O51" s="488"/>
      <c r="P51" s="465">
        <v>2500000</v>
      </c>
      <c r="Q51" s="465">
        <v>2500000</v>
      </c>
      <c r="R51" s="543">
        <f>P51-Q51</f>
        <v>0</v>
      </c>
      <c r="S51" s="488"/>
      <c r="T51" s="465">
        <v>1000000</v>
      </c>
      <c r="U51" s="465">
        <v>1000000</v>
      </c>
      <c r="V51" s="543">
        <f>T51-U51</f>
        <v>0</v>
      </c>
      <c r="W51" s="488"/>
      <c r="X51" s="465">
        <v>20000000</v>
      </c>
      <c r="Y51" s="465">
        <v>20000000</v>
      </c>
      <c r="Z51" s="543">
        <f>X51-Y51</f>
        <v>0</v>
      </c>
      <c r="AA51" s="488"/>
      <c r="AB51" s="465">
        <v>5000000</v>
      </c>
      <c r="AC51" s="465">
        <v>5000000</v>
      </c>
      <c r="AD51" s="543">
        <f>AB51-AC51</f>
        <v>0</v>
      </c>
      <c r="AE51" s="488"/>
      <c r="AF51" s="465">
        <v>700000</v>
      </c>
      <c r="AG51" s="465">
        <v>700000</v>
      </c>
      <c r="AH51" s="543">
        <f>AF51-AG51</f>
        <v>0</v>
      </c>
      <c r="AI51" s="488"/>
      <c r="AJ51" s="465">
        <v>7500000</v>
      </c>
      <c r="AK51" s="465">
        <v>7500000</v>
      </c>
      <c r="AL51" s="543">
        <f>AJ51-AK51</f>
        <v>0</v>
      </c>
      <c r="AM51" s="465"/>
      <c r="AN51" s="465">
        <v>30000000</v>
      </c>
      <c r="AO51" s="465">
        <f>4700000+6750000+5350000+4250000+7750000+1200000</f>
        <v>30000000</v>
      </c>
      <c r="AP51" s="543">
        <f>AN51-AO51</f>
        <v>0</v>
      </c>
      <c r="AQ51" s="488"/>
      <c r="AR51" s="465">
        <v>3000000</v>
      </c>
      <c r="AS51" s="465">
        <f>256000+2744000</f>
        <v>3000000</v>
      </c>
      <c r="AT51" s="543">
        <f>AR51-AS51</f>
        <v>0</v>
      </c>
      <c r="AU51" s="488"/>
      <c r="AV51" s="465">
        <v>2000000</v>
      </c>
      <c r="AW51" s="465">
        <v>0</v>
      </c>
      <c r="AX51" s="543">
        <f>AV51-AW51</f>
        <v>2000000</v>
      </c>
      <c r="AY51" s="488"/>
      <c r="AZ51" s="465">
        <v>10000000</v>
      </c>
      <c r="BA51" s="465">
        <v>10000000</v>
      </c>
      <c r="BB51" s="543">
        <f>AZ51-BA51</f>
        <v>0</v>
      </c>
      <c r="BC51" s="488"/>
      <c r="BD51" s="465">
        <v>0</v>
      </c>
      <c r="BE51" s="465">
        <v>0</v>
      </c>
      <c r="BF51" s="543">
        <f>BD51-BE51</f>
        <v>0</v>
      </c>
      <c r="BG51" s="488"/>
      <c r="BH51" s="465">
        <v>55000000</v>
      </c>
      <c r="BI51" s="465">
        <f>2850000+2550000+20224362+6400000+6300000+16675638</f>
        <v>55000000</v>
      </c>
      <c r="BJ51" s="543">
        <f>BH51-BI51</f>
        <v>0</v>
      </c>
      <c r="BK51" s="488"/>
      <c r="BL51" s="465">
        <v>5000000</v>
      </c>
      <c r="BM51" s="465">
        <f>4058000+910000+32000</f>
        <v>5000000</v>
      </c>
      <c r="BN51" s="543">
        <f>BL51-BM51</f>
        <v>0</v>
      </c>
      <c r="BO51" s="488"/>
      <c r="BP51" s="465">
        <v>5000000</v>
      </c>
      <c r="BQ51" s="465">
        <v>5000000</v>
      </c>
      <c r="BR51" s="543">
        <f>BP51-BQ51</f>
        <v>0</v>
      </c>
      <c r="BS51" s="488"/>
      <c r="BT51" s="465">
        <v>15000000</v>
      </c>
      <c r="BU51" s="465">
        <f>537269.030000001+3911040+9764448+787242.97</f>
        <v>15000000.000000002</v>
      </c>
      <c r="BV51" s="543">
        <f>BT51-BU51</f>
        <v>0</v>
      </c>
      <c r="BW51" s="488"/>
      <c r="BX51" s="465">
        <v>1000000</v>
      </c>
      <c r="BY51" s="465">
        <v>0</v>
      </c>
      <c r="BZ51" s="543">
        <f>BX51-BY51</f>
        <v>1000000</v>
      </c>
      <c r="CA51" s="488"/>
      <c r="CB51" s="468">
        <v>80000000</v>
      </c>
      <c r="CC51" s="465">
        <f>7293262+7200000+47100000+18406738</f>
        <v>80000000</v>
      </c>
      <c r="CD51" s="543">
        <f>CB51-CC51</f>
        <v>0</v>
      </c>
      <c r="CE51" s="488"/>
      <c r="CF51" s="468">
        <v>10000000</v>
      </c>
      <c r="CG51" s="468">
        <f>10000000</f>
        <v>10000000</v>
      </c>
      <c r="CH51" s="543">
        <f>CF51-CG51</f>
        <v>0</v>
      </c>
      <c r="CI51" s="488"/>
      <c r="CJ51" s="468">
        <v>10000000</v>
      </c>
      <c r="CK51" s="468">
        <f>513950</f>
        <v>513950</v>
      </c>
      <c r="CL51" s="543">
        <f>CJ51-CK51</f>
        <v>9486050</v>
      </c>
      <c r="CM51" s="488"/>
      <c r="CN51" s="468">
        <v>30000000</v>
      </c>
      <c r="CO51" s="468">
        <f>5994217.03+22984950+1020832.97</f>
        <v>30000000</v>
      </c>
      <c r="CP51" s="543">
        <f>CN51-CO51</f>
        <v>0</v>
      </c>
      <c r="CQ51" s="488"/>
      <c r="CR51" s="465">
        <v>5000000</v>
      </c>
      <c r="CS51" s="468">
        <v>0</v>
      </c>
      <c r="CT51" s="465">
        <f>CR51-CS51</f>
        <v>5000000</v>
      </c>
      <c r="CU51" s="488"/>
      <c r="CV51" s="525">
        <v>80000000</v>
      </c>
      <c r="CW51" s="465">
        <f>23793262+56206738</f>
        <v>80000000</v>
      </c>
      <c r="CX51" s="543">
        <f>CV51-CW51</f>
        <v>0</v>
      </c>
      <c r="CY51" s="471"/>
      <c r="CZ51" s="468">
        <v>20000000</v>
      </c>
      <c r="DA51" s="468">
        <f>16403500+16403500-16403500+3596500</f>
        <v>20000000</v>
      </c>
      <c r="DB51" s="543">
        <f>CZ51-DA51</f>
        <v>0</v>
      </c>
      <c r="DC51" s="471"/>
      <c r="DD51" s="468">
        <v>20000000</v>
      </c>
      <c r="DE51" s="468">
        <v>0</v>
      </c>
      <c r="DF51" s="543">
        <f>DD51-DE51</f>
        <v>20000000</v>
      </c>
      <c r="DG51" s="488"/>
      <c r="DH51" s="468">
        <v>50000000</v>
      </c>
      <c r="DI51" s="468">
        <f>17236587.03+28903045+2906399-2906399+2906399+953968.97</f>
        <v>50000000</v>
      </c>
      <c r="DJ51" s="543">
        <f>DH51-DI51</f>
        <v>0</v>
      </c>
      <c r="DK51" s="488"/>
      <c r="DL51" s="465">
        <v>6000000</v>
      </c>
      <c r="DM51" s="468">
        <v>0</v>
      </c>
      <c r="DN51" s="465">
        <f>DL51-DM51</f>
        <v>6000000</v>
      </c>
      <c r="DO51" s="488"/>
      <c r="DP51" s="471">
        <v>0</v>
      </c>
      <c r="DQ51" s="471">
        <v>0</v>
      </c>
      <c r="DR51" s="471">
        <f>DP51-DQ51</f>
        <v>0</v>
      </c>
      <c r="DT51" s="471">
        <v>60000000</v>
      </c>
      <c r="DU51" s="471">
        <f>44400000+11593262+4006738</f>
        <v>60000000</v>
      </c>
      <c r="DV51" s="471">
        <f>DT51-DU51</f>
        <v>0</v>
      </c>
      <c r="DX51" s="471">
        <v>10000000</v>
      </c>
      <c r="DY51" s="471">
        <f>7000000+1613883+1025840+360277</f>
        <v>10000000</v>
      </c>
      <c r="DZ51" s="471">
        <f>DX51-DY51</f>
        <v>0</v>
      </c>
      <c r="EB51" s="471">
        <v>10000000</v>
      </c>
      <c r="EC51" s="471">
        <v>0</v>
      </c>
      <c r="ED51" s="471">
        <f>EB51-EC51</f>
        <v>10000000</v>
      </c>
      <c r="EF51" s="471">
        <v>20000000</v>
      </c>
      <c r="EG51" s="471">
        <f>1079259.03+7773346+11147394.97</f>
        <v>20000000</v>
      </c>
      <c r="EH51" s="471">
        <f>EF51-EG51</f>
        <v>0</v>
      </c>
      <c r="EJ51" s="471">
        <v>3000000</v>
      </c>
      <c r="EK51" s="471">
        <v>0</v>
      </c>
      <c r="EL51" s="471">
        <v>3000000</v>
      </c>
      <c r="EM51" s="634"/>
      <c r="EN51" s="465">
        <v>200000000</v>
      </c>
      <c r="EO51" s="465">
        <f>15679093.6+35400000+15600000+74973470+45401660+12945776.4</f>
        <v>200000000</v>
      </c>
      <c r="EP51" s="465">
        <f t="shared" si="36"/>
        <v>0</v>
      </c>
      <c r="EQ51" s="465"/>
      <c r="ER51" s="465">
        <v>10000000</v>
      </c>
      <c r="ES51" s="465">
        <f>357723+750000-750000+534000</f>
        <v>891723</v>
      </c>
      <c r="ET51" s="465">
        <f t="shared" si="37"/>
        <v>9108277</v>
      </c>
      <c r="EU51" s="465"/>
      <c r="EV51" s="465">
        <v>10000000</v>
      </c>
      <c r="EW51" s="465">
        <v>0</v>
      </c>
      <c r="EX51" s="465">
        <f t="shared" si="38"/>
        <v>10000000</v>
      </c>
      <c r="EY51" s="465"/>
      <c r="EZ51" s="465">
        <v>25000000</v>
      </c>
      <c r="FA51" s="465">
        <f>1408725.03+1121000+9820240+12650034.97</f>
        <v>25000000</v>
      </c>
      <c r="FB51" s="465">
        <f t="shared" si="39"/>
        <v>0</v>
      </c>
      <c r="FC51" s="465"/>
      <c r="FD51" s="465">
        <v>3000000</v>
      </c>
      <c r="FE51" s="465">
        <v>0</v>
      </c>
      <c r="FF51" s="465">
        <f t="shared" si="40"/>
        <v>3000000</v>
      </c>
      <c r="FG51" s="465"/>
      <c r="FH51" s="637">
        <v>65000000</v>
      </c>
      <c r="FI51" s="639">
        <f>9854223.6+36766759.3+9900000+8479017.1</f>
        <v>65000000</v>
      </c>
      <c r="FJ51" s="637">
        <f t="shared" si="96"/>
        <v>0</v>
      </c>
      <c r="FK51" s="637"/>
      <c r="FL51" s="637">
        <v>8000000</v>
      </c>
      <c r="FM51" s="637">
        <v>0</v>
      </c>
      <c r="FN51" s="637">
        <f t="shared" si="97"/>
        <v>8000000</v>
      </c>
      <c r="FO51" s="637"/>
      <c r="FP51" s="637">
        <v>5000000</v>
      </c>
      <c r="FQ51" s="637">
        <v>0</v>
      </c>
      <c r="FR51" s="637">
        <f t="shared" si="98"/>
        <v>5000000</v>
      </c>
      <c r="FS51" s="637"/>
      <c r="FT51" s="637">
        <v>18000000</v>
      </c>
      <c r="FU51" s="637">
        <f>7914852.83+3985210-1513725</f>
        <v>10386337.83</v>
      </c>
      <c r="FV51" s="637">
        <f t="shared" si="99"/>
        <v>7613662.1699999999</v>
      </c>
      <c r="FW51" s="637"/>
      <c r="FX51" s="637">
        <v>3000000</v>
      </c>
      <c r="FY51" s="637">
        <v>0</v>
      </c>
      <c r="FZ51" s="637">
        <f t="shared" si="100"/>
        <v>3000000</v>
      </c>
      <c r="GA51" s="637"/>
      <c r="GB51" s="637">
        <v>90000000</v>
      </c>
      <c r="GC51" s="639">
        <f>11405720.9</f>
        <v>11405720.9</v>
      </c>
      <c r="GD51" s="637">
        <f t="shared" ref="GD51:GD53" si="101">GB51-GC51</f>
        <v>78594279.099999994</v>
      </c>
      <c r="GE51" s="637"/>
      <c r="GF51" s="637">
        <v>22000000</v>
      </c>
      <c r="GG51" s="637">
        <v>0</v>
      </c>
      <c r="GH51" s="637">
        <f>GF51-GG51</f>
        <v>22000000</v>
      </c>
      <c r="GI51" s="637"/>
      <c r="GJ51" s="637">
        <v>3000000</v>
      </c>
      <c r="GK51" s="637">
        <v>0</v>
      </c>
      <c r="GL51" s="637">
        <f t="shared" ref="GL51:GL53" si="102">GJ51-GK51</f>
        <v>3000000</v>
      </c>
      <c r="GM51" s="637"/>
      <c r="GN51" s="637">
        <v>12000000</v>
      </c>
      <c r="GO51" s="637">
        <v>0</v>
      </c>
      <c r="GP51" s="637">
        <f t="shared" ref="GP51:GP53" si="103">GN51-GO51</f>
        <v>12000000</v>
      </c>
      <c r="GQ51" s="637"/>
      <c r="GR51" s="637">
        <v>3000000</v>
      </c>
      <c r="GS51" s="637">
        <v>0</v>
      </c>
      <c r="GT51" s="637">
        <f t="shared" ref="GT51:GT53" si="104">GR51-GS51</f>
        <v>3000000</v>
      </c>
      <c r="GU51" s="637"/>
      <c r="GV51" s="587">
        <f t="shared" si="50"/>
        <v>1084700000</v>
      </c>
      <c r="GW51" s="587">
        <f t="shared" si="50"/>
        <v>863897731.73000002</v>
      </c>
      <c r="GX51" s="468">
        <f t="shared" si="51"/>
        <v>220802268.26999998</v>
      </c>
      <c r="GZ51" s="519"/>
      <c r="HA51" s="468">
        <f>D51+H51+L51+X51+AN51+BH51+CB51+CV51+DT51+EN51+FH51+GB51</f>
        <v>711000000</v>
      </c>
      <c r="HB51" s="468">
        <f>E51+I51+M51+Y51+AO51+BI51+CC51+CW51+DU51+EO51+FI51+GC51</f>
        <v>632405720.89999998</v>
      </c>
      <c r="HC51" s="471">
        <f t="shared" si="52"/>
        <v>78594279.100000024</v>
      </c>
      <c r="HE51" s="471">
        <f>P51+AB51+AR51+BL51+CF51+CZ51+DX51+ER51+FL51+GF51</f>
        <v>95500000</v>
      </c>
      <c r="HF51" s="471">
        <f>Q51+AC51+AS51+BM51+CG51+DA51+DY51+ES51+FM51+GG51</f>
        <v>56391723</v>
      </c>
      <c r="HG51" s="471">
        <f t="shared" si="53"/>
        <v>39108277</v>
      </c>
      <c r="HI51" s="471">
        <f>T51+AF51+AV51+BP51+CJ51+DD51+EB51+EV51+FP51+GJ51</f>
        <v>66700000</v>
      </c>
      <c r="HJ51" s="471">
        <f>U51+AG51+AW51+BQ51+CK51+DE51+EC51+EW51+FQ51+GK51</f>
        <v>7213950</v>
      </c>
      <c r="HK51" s="471">
        <f t="shared" si="54"/>
        <v>59486050</v>
      </c>
      <c r="HN51" s="471">
        <f>AJ51+AZ51+BT51+CN51+DH51+DP51+EF51+EZ51+FT51+GN51</f>
        <v>187500000</v>
      </c>
      <c r="HO51" s="471">
        <f>AK51+BA51+BU51+CO51+DI51+DQ51+EG51+FA51+FU51+GO51</f>
        <v>167886337.83000001</v>
      </c>
      <c r="HP51" s="471">
        <f t="shared" si="55"/>
        <v>19613662.169999987</v>
      </c>
      <c r="HR51" s="531"/>
      <c r="HT51" s="471">
        <f>BX51+CR51+DL51+EJ51+FD51+FX51+GR51</f>
        <v>24000000</v>
      </c>
      <c r="HU51" s="471">
        <f>BY51+CS51+DM51+EK51+FE51+FY51+GS51</f>
        <v>0</v>
      </c>
      <c r="HV51" s="471">
        <f t="shared" si="56"/>
        <v>24000000</v>
      </c>
      <c r="HX51" s="473">
        <f t="shared" si="57"/>
        <v>0</v>
      </c>
      <c r="HY51" s="474">
        <v>0</v>
      </c>
      <c r="ID51" s="473">
        <f>HU51+HO51+HJ51+HF51+HB51</f>
        <v>863897731.73000002</v>
      </c>
      <c r="IE51" s="473">
        <f>HV51+HP51+HK51+HG51+HC51</f>
        <v>220802268.27000001</v>
      </c>
      <c r="IF51" s="473"/>
    </row>
    <row r="52" spans="1:240" x14ac:dyDescent="0.25">
      <c r="A52" s="107">
        <v>49</v>
      </c>
      <c r="B52" s="107" t="s">
        <v>572</v>
      </c>
      <c r="C52" s="634" t="s">
        <v>69</v>
      </c>
      <c r="D52" s="465">
        <v>0</v>
      </c>
      <c r="E52" s="465">
        <v>0</v>
      </c>
      <c r="F52" s="475">
        <f t="shared" si="1"/>
        <v>0</v>
      </c>
      <c r="G52" s="465"/>
      <c r="H52" s="465">
        <v>14700000</v>
      </c>
      <c r="I52" s="465">
        <v>14700000</v>
      </c>
      <c r="J52" s="463">
        <f t="shared" si="2"/>
        <v>0</v>
      </c>
      <c r="K52" s="465"/>
      <c r="L52" s="465">
        <v>15000000</v>
      </c>
      <c r="M52" s="465">
        <v>15000000</v>
      </c>
      <c r="N52" s="543">
        <f t="shared" si="3"/>
        <v>0</v>
      </c>
      <c r="O52" s="465"/>
      <c r="P52" s="465">
        <v>2500000</v>
      </c>
      <c r="Q52" s="465">
        <v>2500000</v>
      </c>
      <c r="R52" s="543">
        <f t="shared" si="4"/>
        <v>0</v>
      </c>
      <c r="S52" s="465"/>
      <c r="T52" s="465">
        <v>1000000</v>
      </c>
      <c r="U52" s="465">
        <v>1000000</v>
      </c>
      <c r="V52" s="543">
        <f t="shared" si="5"/>
        <v>0</v>
      </c>
      <c r="W52" s="465"/>
      <c r="X52" s="465">
        <v>20000000</v>
      </c>
      <c r="Y52" s="465">
        <v>20000000</v>
      </c>
      <c r="Z52" s="543">
        <f t="shared" si="6"/>
        <v>0</v>
      </c>
      <c r="AA52" s="465"/>
      <c r="AB52" s="465">
        <v>5000000</v>
      </c>
      <c r="AC52" s="465">
        <v>5000000</v>
      </c>
      <c r="AD52" s="543">
        <f t="shared" si="7"/>
        <v>0</v>
      </c>
      <c r="AE52" s="465"/>
      <c r="AF52" s="465">
        <v>423750</v>
      </c>
      <c r="AG52" s="283">
        <v>423750</v>
      </c>
      <c r="AH52" s="543">
        <f t="shared" si="8"/>
        <v>0</v>
      </c>
      <c r="AI52" s="465"/>
      <c r="AJ52" s="465">
        <v>7500000</v>
      </c>
      <c r="AK52" s="465">
        <v>7500000</v>
      </c>
      <c r="AL52" s="543">
        <f t="shared" si="9"/>
        <v>0</v>
      </c>
      <c r="AM52" s="465"/>
      <c r="AN52" s="465">
        <v>30000000</v>
      </c>
      <c r="AO52" s="465">
        <v>30000000</v>
      </c>
      <c r="AP52" s="543">
        <f t="shared" si="10"/>
        <v>0</v>
      </c>
      <c r="AQ52" s="465"/>
      <c r="AR52" s="465">
        <v>3000000</v>
      </c>
      <c r="AS52" s="465">
        <v>3000000</v>
      </c>
      <c r="AT52" s="543">
        <f t="shared" si="11"/>
        <v>0</v>
      </c>
      <c r="AU52" s="465"/>
      <c r="AV52" s="465">
        <v>2000000</v>
      </c>
      <c r="AW52" s="465">
        <v>0</v>
      </c>
      <c r="AX52" s="543">
        <f t="shared" si="12"/>
        <v>2000000</v>
      </c>
      <c r="AY52" s="465"/>
      <c r="AZ52" s="465">
        <v>10000000</v>
      </c>
      <c r="BA52" s="465">
        <v>10000000</v>
      </c>
      <c r="BB52" s="543">
        <f t="shared" si="13"/>
        <v>0</v>
      </c>
      <c r="BC52" s="465"/>
      <c r="BD52" s="465">
        <v>0</v>
      </c>
      <c r="BE52" s="465">
        <v>0</v>
      </c>
      <c r="BF52" s="543">
        <f t="shared" si="14"/>
        <v>0</v>
      </c>
      <c r="BG52" s="465"/>
      <c r="BH52" s="465">
        <v>55000000</v>
      </c>
      <c r="BI52" s="465">
        <v>55000000</v>
      </c>
      <c r="BJ52" s="543">
        <f t="shared" si="15"/>
        <v>0</v>
      </c>
      <c r="BK52" s="590"/>
      <c r="BL52" s="465">
        <v>5000000</v>
      </c>
      <c r="BM52" s="484">
        <f>1464000+742140+714000</f>
        <v>2920140</v>
      </c>
      <c r="BN52" s="543">
        <f t="shared" si="16"/>
        <v>2079860</v>
      </c>
      <c r="BO52" s="465"/>
      <c r="BP52" s="465">
        <v>5000000</v>
      </c>
      <c r="BQ52" s="465">
        <v>0</v>
      </c>
      <c r="BR52" s="543">
        <f t="shared" si="17"/>
        <v>5000000</v>
      </c>
      <c r="BS52" s="465"/>
      <c r="BT52" s="465">
        <v>15000000</v>
      </c>
      <c r="BU52" s="465">
        <v>15000000</v>
      </c>
      <c r="BV52" s="543">
        <f t="shared" si="18"/>
        <v>0</v>
      </c>
      <c r="BW52" s="465"/>
      <c r="BX52" s="465">
        <v>1000000</v>
      </c>
      <c r="BY52" s="465">
        <v>0</v>
      </c>
      <c r="BZ52" s="543">
        <f t="shared" si="19"/>
        <v>1000000</v>
      </c>
      <c r="CA52" s="465"/>
      <c r="CB52" s="468">
        <v>80000000</v>
      </c>
      <c r="CC52" s="465">
        <f>64766520.6+15233479.4</f>
        <v>80000000</v>
      </c>
      <c r="CD52" s="543">
        <f t="shared" si="20"/>
        <v>0</v>
      </c>
      <c r="CE52" s="465"/>
      <c r="CF52" s="468">
        <v>10000000</v>
      </c>
      <c r="CG52" s="468">
        <v>0</v>
      </c>
      <c r="CH52" s="543">
        <f t="shared" si="21"/>
        <v>10000000</v>
      </c>
      <c r="CI52" s="465"/>
      <c r="CJ52" s="468">
        <v>10000000</v>
      </c>
      <c r="CK52" s="468">
        <v>0</v>
      </c>
      <c r="CL52" s="543">
        <f t="shared" si="22"/>
        <v>10000000</v>
      </c>
      <c r="CM52" s="465"/>
      <c r="CN52" s="468">
        <v>30000000</v>
      </c>
      <c r="CO52" s="468">
        <v>30000000</v>
      </c>
      <c r="CP52" s="543">
        <f t="shared" si="23"/>
        <v>0</v>
      </c>
      <c r="CQ52" s="488"/>
      <c r="CR52" s="465">
        <v>5000000</v>
      </c>
      <c r="CS52" s="468">
        <v>0</v>
      </c>
      <c r="CT52" s="465">
        <f t="shared" si="24"/>
        <v>5000000</v>
      </c>
      <c r="CU52" s="465"/>
      <c r="CV52" s="525">
        <v>80000000</v>
      </c>
      <c r="CW52" s="465">
        <f>34200000+28800000+17000000</f>
        <v>80000000</v>
      </c>
      <c r="CX52" s="543">
        <f t="shared" si="25"/>
        <v>0</v>
      </c>
      <c r="CY52" s="471"/>
      <c r="CZ52" s="468">
        <v>20000000</v>
      </c>
      <c r="DA52" s="468">
        <v>0</v>
      </c>
      <c r="DB52" s="543">
        <f t="shared" si="26"/>
        <v>20000000</v>
      </c>
      <c r="DC52" s="471"/>
      <c r="DD52" s="468">
        <v>20000000</v>
      </c>
      <c r="DE52" s="468">
        <v>0</v>
      </c>
      <c r="DF52" s="543">
        <f t="shared" si="27"/>
        <v>20000000</v>
      </c>
      <c r="DG52" s="465"/>
      <c r="DH52" s="468">
        <v>50000000</v>
      </c>
      <c r="DI52" s="468">
        <v>50000000</v>
      </c>
      <c r="DJ52" s="543">
        <f t="shared" si="28"/>
        <v>0</v>
      </c>
      <c r="DK52" s="465"/>
      <c r="DL52" s="465">
        <v>6000000</v>
      </c>
      <c r="DM52" s="468">
        <v>0</v>
      </c>
      <c r="DN52" s="465">
        <f t="shared" si="29"/>
        <v>6000000</v>
      </c>
      <c r="DO52" s="465"/>
      <c r="DP52" s="471">
        <v>0</v>
      </c>
      <c r="DQ52" s="471">
        <v>0</v>
      </c>
      <c r="DR52" s="471">
        <f t="shared" si="30"/>
        <v>0</v>
      </c>
      <c r="DT52" s="471">
        <v>60000000</v>
      </c>
      <c r="DU52" s="471">
        <f>8700000+21900000+24300000+5100000</f>
        <v>60000000</v>
      </c>
      <c r="DV52" s="471">
        <f t="shared" si="31"/>
        <v>0</v>
      </c>
      <c r="DX52" s="471">
        <v>10000000</v>
      </c>
      <c r="DY52" s="471">
        <v>0</v>
      </c>
      <c r="DZ52" s="471">
        <f t="shared" si="32"/>
        <v>10000000</v>
      </c>
      <c r="EB52" s="471">
        <v>10000000</v>
      </c>
      <c r="EC52" s="471">
        <v>0</v>
      </c>
      <c r="ED52" s="471">
        <f t="shared" si="33"/>
        <v>10000000</v>
      </c>
      <c r="EF52" s="471">
        <v>20000000</v>
      </c>
      <c r="EG52" s="471">
        <f>10500339.5+3310360+2674490+942900+2571910.5</f>
        <v>20000000</v>
      </c>
      <c r="EH52" s="471">
        <f t="shared" si="34"/>
        <v>0</v>
      </c>
      <c r="EJ52" s="471">
        <v>3000000</v>
      </c>
      <c r="EK52" s="471">
        <v>0</v>
      </c>
      <c r="EL52" s="471">
        <f t="shared" si="35"/>
        <v>3000000</v>
      </c>
      <c r="EM52" s="634"/>
      <c r="EN52" s="465">
        <v>200000000</v>
      </c>
      <c r="EO52" s="465">
        <f>34736500+27343900.6</f>
        <v>62080400.600000001</v>
      </c>
      <c r="EP52" s="465">
        <f t="shared" si="36"/>
        <v>137919599.40000001</v>
      </c>
      <c r="EQ52" s="465"/>
      <c r="ER52" s="465">
        <v>10000000</v>
      </c>
      <c r="ES52" s="465">
        <v>0</v>
      </c>
      <c r="ET52" s="465">
        <f t="shared" si="37"/>
        <v>10000000</v>
      </c>
      <c r="EU52" s="465"/>
      <c r="EV52" s="465">
        <v>10000000</v>
      </c>
      <c r="EW52" s="465">
        <v>0</v>
      </c>
      <c r="EX52" s="465">
        <f t="shared" si="38"/>
        <v>10000000</v>
      </c>
      <c r="EY52" s="465"/>
      <c r="EZ52" s="465">
        <v>25000000</v>
      </c>
      <c r="FA52" s="467">
        <f>9492264+7988625+223174.5+6857960</f>
        <v>24562023.5</v>
      </c>
      <c r="FB52" s="465">
        <f t="shared" si="39"/>
        <v>437976.5</v>
      </c>
      <c r="FC52" s="465"/>
      <c r="FD52" s="465">
        <v>3000000</v>
      </c>
      <c r="FE52" s="465">
        <v>0</v>
      </c>
      <c r="FF52" s="465">
        <f t="shared" si="40"/>
        <v>3000000</v>
      </c>
      <c r="FG52" s="465"/>
      <c r="FH52" s="637">
        <v>65000000</v>
      </c>
      <c r="FI52" s="637">
        <v>0</v>
      </c>
      <c r="FJ52" s="637">
        <f t="shared" si="96"/>
        <v>65000000</v>
      </c>
      <c r="FK52" s="637"/>
      <c r="FL52" s="637">
        <v>8000000</v>
      </c>
      <c r="FM52" s="637">
        <v>0</v>
      </c>
      <c r="FN52" s="637">
        <f t="shared" si="97"/>
        <v>8000000</v>
      </c>
      <c r="FO52" s="637"/>
      <c r="FP52" s="637">
        <v>5000000</v>
      </c>
      <c r="FQ52" s="637">
        <v>0</v>
      </c>
      <c r="FR52" s="637">
        <f t="shared" si="98"/>
        <v>5000000</v>
      </c>
      <c r="FS52" s="637"/>
      <c r="FT52" s="637">
        <v>18000000</v>
      </c>
      <c r="FU52" s="637">
        <v>0</v>
      </c>
      <c r="FV52" s="637">
        <f t="shared" si="99"/>
        <v>18000000</v>
      </c>
      <c r="FW52" s="637"/>
      <c r="FX52" s="637">
        <v>3000000</v>
      </c>
      <c r="FY52" s="637">
        <v>0</v>
      </c>
      <c r="FZ52" s="637">
        <f t="shared" si="100"/>
        <v>3000000</v>
      </c>
      <c r="GA52" s="637"/>
      <c r="GB52" s="637">
        <v>90000000</v>
      </c>
      <c r="GC52" s="637">
        <v>0</v>
      </c>
      <c r="GD52" s="637">
        <f t="shared" si="101"/>
        <v>90000000</v>
      </c>
      <c r="GE52" s="637"/>
      <c r="GF52" s="637">
        <v>22000000</v>
      </c>
      <c r="GG52" s="637">
        <v>0</v>
      </c>
      <c r="GH52" s="637">
        <f t="shared" ref="GH52:GH53" si="105">GF52-GG52</f>
        <v>22000000</v>
      </c>
      <c r="GI52" s="637"/>
      <c r="GJ52" s="637">
        <v>3000000</v>
      </c>
      <c r="GK52" s="637">
        <v>0</v>
      </c>
      <c r="GL52" s="637">
        <f t="shared" si="102"/>
        <v>3000000</v>
      </c>
      <c r="GM52" s="637"/>
      <c r="GN52" s="637">
        <v>12000000</v>
      </c>
      <c r="GO52" s="637">
        <v>0</v>
      </c>
      <c r="GP52" s="637">
        <f t="shared" si="103"/>
        <v>12000000</v>
      </c>
      <c r="GQ52" s="637"/>
      <c r="GR52" s="637">
        <v>3000000</v>
      </c>
      <c r="GS52" s="637">
        <v>0</v>
      </c>
      <c r="GT52" s="637">
        <f t="shared" si="104"/>
        <v>3000000</v>
      </c>
      <c r="GU52" s="637"/>
      <c r="GV52" s="587">
        <f t="shared" si="50"/>
        <v>1083123750</v>
      </c>
      <c r="GW52" s="587">
        <f t="shared" si="50"/>
        <v>588686314.10000002</v>
      </c>
      <c r="GX52" s="468">
        <f t="shared" si="51"/>
        <v>494437435.89999998</v>
      </c>
      <c r="GZ52" s="472" t="s">
        <v>573</v>
      </c>
      <c r="HA52" s="468">
        <f>D52+H52+L52+X52+AN52+BH52+CB52+CV52+DT52+EN52+FH52+GB52</f>
        <v>709700000</v>
      </c>
      <c r="HB52" s="468">
        <f>E52+I52+M52+Y52+AO52+BI52+CC52+CW52+DU52+EO52+FI52+GC52</f>
        <v>416780400.60000002</v>
      </c>
      <c r="HC52" s="471">
        <f t="shared" si="52"/>
        <v>292919599.39999998</v>
      </c>
      <c r="HE52" s="471">
        <f>P52+AB52+AR52+BL52+CF52+CZ52+DX52+ER52+FL52+GF52</f>
        <v>95500000</v>
      </c>
      <c r="HF52" s="471">
        <f>Q52+AC52+AS52+BM52+CG52+DA52+DY52+ES52+FM52+GG52</f>
        <v>13420140</v>
      </c>
      <c r="HG52" s="471">
        <f t="shared" si="53"/>
        <v>82079860</v>
      </c>
      <c r="HI52" s="471">
        <f>T52+AF52+AV52+BP52+CJ52+DD52+EB52+EV52+FP52+GJ52</f>
        <v>66423750</v>
      </c>
      <c r="HJ52" s="471">
        <f>U52+AG52+AW52+BQ52+CK52+DE52+EC52+EW52+FQ52+GK52</f>
        <v>1423750</v>
      </c>
      <c r="HK52" s="471">
        <f t="shared" si="54"/>
        <v>65000000</v>
      </c>
      <c r="HN52" s="471">
        <f>AJ52+AZ52+BT52+CN52+DH52+DP52+EF52+EZ52+FT52+GN52</f>
        <v>187500000</v>
      </c>
      <c r="HO52" s="471">
        <f>AK52+BA52+BU52+CO52+DI52+DQ52+EG52+FA52+FU52+GO52</f>
        <v>157062023.5</v>
      </c>
      <c r="HP52" s="471">
        <f t="shared" si="55"/>
        <v>30437976.5</v>
      </c>
      <c r="HR52" s="531"/>
      <c r="HT52" s="471">
        <f>BX52+CR52+DL52+EJ52+FD52+FX52+GR52</f>
        <v>24000000</v>
      </c>
      <c r="HU52" s="471">
        <f>BY52+CS52+DM52+EK52+FE52+FY52+GS52</f>
        <v>0</v>
      </c>
      <c r="HV52" s="471">
        <f t="shared" si="56"/>
        <v>24000000</v>
      </c>
      <c r="HX52" s="473">
        <f t="shared" si="57"/>
        <v>0</v>
      </c>
      <c r="HY52" s="474">
        <v>0</v>
      </c>
      <c r="ID52" s="473">
        <f>HU52+HO52+HJ52+HF52+HB52</f>
        <v>588686314.10000002</v>
      </c>
      <c r="IE52" s="473">
        <f>HV52+HP52+HK52+HG52+HC52</f>
        <v>494437435.89999998</v>
      </c>
      <c r="IF52" s="473"/>
    </row>
    <row r="53" spans="1:240" x14ac:dyDescent="0.25">
      <c r="A53" s="107">
        <v>50</v>
      </c>
      <c r="B53" s="107" t="s">
        <v>369</v>
      </c>
      <c r="C53" s="634" t="s">
        <v>69</v>
      </c>
      <c r="D53" s="488">
        <v>1000000</v>
      </c>
      <c r="E53" s="488">
        <v>1000000</v>
      </c>
      <c r="F53" s="475">
        <f t="shared" si="1"/>
        <v>0</v>
      </c>
      <c r="G53" s="488"/>
      <c r="H53" s="465">
        <v>15000000</v>
      </c>
      <c r="I53" s="465">
        <v>15000000</v>
      </c>
      <c r="J53" s="463">
        <f t="shared" si="2"/>
        <v>0</v>
      </c>
      <c r="K53" s="488"/>
      <c r="L53" s="465">
        <v>14029870</v>
      </c>
      <c r="M53" s="465">
        <v>14029870</v>
      </c>
      <c r="N53" s="543">
        <f t="shared" si="3"/>
        <v>0</v>
      </c>
      <c r="O53" s="488"/>
      <c r="P53" s="465">
        <v>0</v>
      </c>
      <c r="Q53" s="465">
        <v>0</v>
      </c>
      <c r="R53" s="543">
        <f t="shared" si="4"/>
        <v>0</v>
      </c>
      <c r="S53" s="488"/>
      <c r="T53" s="465">
        <v>0</v>
      </c>
      <c r="U53" s="465">
        <v>0</v>
      </c>
      <c r="V53" s="543">
        <f t="shared" si="5"/>
        <v>0</v>
      </c>
      <c r="W53" s="488"/>
      <c r="X53" s="465">
        <v>20000000</v>
      </c>
      <c r="Y53" s="465">
        <v>20000000</v>
      </c>
      <c r="Z53" s="543">
        <f t="shared" si="6"/>
        <v>0</v>
      </c>
      <c r="AA53" s="488"/>
      <c r="AB53" s="465">
        <v>0</v>
      </c>
      <c r="AC53" s="465">
        <v>0</v>
      </c>
      <c r="AD53" s="543">
        <f t="shared" si="7"/>
        <v>0</v>
      </c>
      <c r="AE53" s="488"/>
      <c r="AF53" s="465">
        <v>0</v>
      </c>
      <c r="AG53" s="465">
        <v>0</v>
      </c>
      <c r="AH53" s="543">
        <f t="shared" si="8"/>
        <v>0</v>
      </c>
      <c r="AI53" s="488"/>
      <c r="AJ53" s="465">
        <v>7500000</v>
      </c>
      <c r="AK53" s="465">
        <v>7500000</v>
      </c>
      <c r="AL53" s="543">
        <f t="shared" si="9"/>
        <v>0</v>
      </c>
      <c r="AM53" s="465"/>
      <c r="AN53" s="465">
        <v>0</v>
      </c>
      <c r="AO53" s="465">
        <v>0</v>
      </c>
      <c r="AP53" s="543">
        <f t="shared" si="10"/>
        <v>0</v>
      </c>
      <c r="AQ53" s="488"/>
      <c r="AR53" s="465">
        <v>0</v>
      </c>
      <c r="AS53" s="465">
        <v>0</v>
      </c>
      <c r="AT53" s="543">
        <f t="shared" si="11"/>
        <v>0</v>
      </c>
      <c r="AU53" s="488"/>
      <c r="AV53" s="465">
        <v>0</v>
      </c>
      <c r="AW53" s="465">
        <v>0</v>
      </c>
      <c r="AX53" s="543">
        <f t="shared" si="12"/>
        <v>0</v>
      </c>
      <c r="AY53" s="488"/>
      <c r="AZ53" s="465">
        <v>0</v>
      </c>
      <c r="BA53" s="465">
        <v>0</v>
      </c>
      <c r="BB53" s="543">
        <f t="shared" si="13"/>
        <v>0</v>
      </c>
      <c r="BC53" s="488"/>
      <c r="BD53" s="465">
        <v>0</v>
      </c>
      <c r="BE53" s="465">
        <v>0</v>
      </c>
      <c r="BF53" s="543">
        <f t="shared" si="14"/>
        <v>0</v>
      </c>
      <c r="BG53" s="488"/>
      <c r="BH53" s="465">
        <v>55000000</v>
      </c>
      <c r="BI53" s="483">
        <f>43942675+8100000+2957325</f>
        <v>55000000</v>
      </c>
      <c r="BJ53" s="543">
        <f t="shared" si="15"/>
        <v>0</v>
      </c>
      <c r="BK53" s="488"/>
      <c r="BL53" s="465">
        <v>5000000</v>
      </c>
      <c r="BM53" s="465">
        <f>1344000+3656000</f>
        <v>5000000</v>
      </c>
      <c r="BN53" s="543">
        <f t="shared" si="16"/>
        <v>0</v>
      </c>
      <c r="BO53" s="488"/>
      <c r="BP53" s="465">
        <v>5000000</v>
      </c>
      <c r="BQ53" s="465">
        <v>0</v>
      </c>
      <c r="BR53" s="543">
        <f t="shared" si="17"/>
        <v>5000000</v>
      </c>
      <c r="BS53" s="488"/>
      <c r="BT53" s="465">
        <v>15000000</v>
      </c>
      <c r="BU53" s="283">
        <v>15000000</v>
      </c>
      <c r="BV53" s="543">
        <f t="shared" si="18"/>
        <v>0</v>
      </c>
      <c r="BW53" s="488"/>
      <c r="BX53" s="465">
        <v>1000000</v>
      </c>
      <c r="BY53" s="465">
        <v>1000000</v>
      </c>
      <c r="BZ53" s="543">
        <f t="shared" si="19"/>
        <v>0</v>
      </c>
      <c r="CA53" s="488"/>
      <c r="CB53" s="465">
        <v>0</v>
      </c>
      <c r="CC53" s="465">
        <v>0</v>
      </c>
      <c r="CD53" s="543">
        <f t="shared" si="20"/>
        <v>0</v>
      </c>
      <c r="CE53" s="488"/>
      <c r="CF53" s="465">
        <v>0</v>
      </c>
      <c r="CG53" s="465">
        <v>0</v>
      </c>
      <c r="CH53" s="543">
        <f t="shared" si="21"/>
        <v>0</v>
      </c>
      <c r="CI53" s="488"/>
      <c r="CJ53" s="465">
        <v>0</v>
      </c>
      <c r="CK53" s="465">
        <v>0</v>
      </c>
      <c r="CL53" s="543">
        <f t="shared" si="22"/>
        <v>0</v>
      </c>
      <c r="CM53" s="488"/>
      <c r="CN53" s="465">
        <v>0</v>
      </c>
      <c r="CO53" s="465">
        <v>0</v>
      </c>
      <c r="CP53" s="543">
        <f t="shared" si="23"/>
        <v>0</v>
      </c>
      <c r="CQ53" s="488"/>
      <c r="CR53" s="465">
        <v>0</v>
      </c>
      <c r="CS53" s="465">
        <v>0</v>
      </c>
      <c r="CT53" s="465">
        <f t="shared" si="24"/>
        <v>0</v>
      </c>
      <c r="CU53" s="488"/>
      <c r="CV53" s="525">
        <v>80000000</v>
      </c>
      <c r="CW53" s="483">
        <f>5100000+4800000+8400000+15772750+21000000+1542675</f>
        <v>56615425</v>
      </c>
      <c r="CX53" s="543">
        <f t="shared" si="25"/>
        <v>23384575</v>
      </c>
      <c r="CY53" s="471"/>
      <c r="CZ53" s="468">
        <v>20000000</v>
      </c>
      <c r="DA53" s="468">
        <f>12604000</f>
        <v>12604000</v>
      </c>
      <c r="DB53" s="543">
        <f t="shared" si="26"/>
        <v>7396000</v>
      </c>
      <c r="DC53" s="471"/>
      <c r="DD53" s="468">
        <v>20000000</v>
      </c>
      <c r="DE53" s="468">
        <v>0</v>
      </c>
      <c r="DF53" s="543">
        <f t="shared" si="27"/>
        <v>20000000</v>
      </c>
      <c r="DG53" s="488"/>
      <c r="DH53" s="468">
        <v>50000000</v>
      </c>
      <c r="DI53" s="468">
        <v>50000000</v>
      </c>
      <c r="DJ53" s="543">
        <f t="shared" si="28"/>
        <v>0</v>
      </c>
      <c r="DK53" s="471"/>
      <c r="DL53" s="465">
        <v>6000000</v>
      </c>
      <c r="DM53" s="468">
        <v>6000000</v>
      </c>
      <c r="DN53" s="465">
        <f t="shared" si="29"/>
        <v>0</v>
      </c>
      <c r="DO53" s="488"/>
      <c r="DP53" s="471">
        <v>50000000</v>
      </c>
      <c r="DQ53" s="471">
        <v>49618920</v>
      </c>
      <c r="DR53" s="471">
        <f t="shared" si="30"/>
        <v>381080</v>
      </c>
      <c r="DT53" s="471">
        <v>0</v>
      </c>
      <c r="DU53" s="471">
        <v>0</v>
      </c>
      <c r="DV53" s="471">
        <f t="shared" si="31"/>
        <v>0</v>
      </c>
      <c r="DX53" s="471">
        <v>0</v>
      </c>
      <c r="DY53" s="471">
        <v>0</v>
      </c>
      <c r="DZ53" s="471">
        <f t="shared" si="32"/>
        <v>0</v>
      </c>
      <c r="EB53" s="471">
        <v>0</v>
      </c>
      <c r="EC53" s="471">
        <v>0</v>
      </c>
      <c r="ED53" s="471">
        <f t="shared" si="33"/>
        <v>0</v>
      </c>
      <c r="EF53" s="471">
        <v>0</v>
      </c>
      <c r="EG53" s="471">
        <v>0</v>
      </c>
      <c r="EH53" s="471">
        <f t="shared" si="34"/>
        <v>0</v>
      </c>
      <c r="EJ53" s="471">
        <v>0</v>
      </c>
      <c r="EK53" s="471">
        <v>0</v>
      </c>
      <c r="EL53" s="471">
        <f t="shared" si="35"/>
        <v>0</v>
      </c>
      <c r="EM53" s="634"/>
      <c r="EN53" s="465">
        <v>200000000</v>
      </c>
      <c r="EO53" s="465">
        <v>0</v>
      </c>
      <c r="EP53" s="465">
        <f t="shared" si="36"/>
        <v>200000000</v>
      </c>
      <c r="EQ53" s="465"/>
      <c r="ER53" s="465">
        <v>10000000</v>
      </c>
      <c r="ES53" s="465">
        <v>2337444</v>
      </c>
      <c r="ET53" s="465">
        <f t="shared" si="37"/>
        <v>7662556</v>
      </c>
      <c r="EU53" s="465"/>
      <c r="EV53" s="465">
        <v>10000000</v>
      </c>
      <c r="EW53" s="465">
        <v>0</v>
      </c>
      <c r="EX53" s="465">
        <f t="shared" si="38"/>
        <v>10000000</v>
      </c>
      <c r="EY53" s="465"/>
      <c r="EZ53" s="465">
        <v>25000000</v>
      </c>
      <c r="FA53" s="484">
        <f>24962604+37396</f>
        <v>25000000</v>
      </c>
      <c r="FB53" s="465">
        <f t="shared" si="39"/>
        <v>0</v>
      </c>
      <c r="FC53" s="465"/>
      <c r="FD53" s="465">
        <v>3000000</v>
      </c>
      <c r="FE53" s="465">
        <f>862500</f>
        <v>862500</v>
      </c>
      <c r="FF53" s="465">
        <f t="shared" si="40"/>
        <v>2137500</v>
      </c>
      <c r="FG53" s="465"/>
      <c r="FH53" s="637"/>
      <c r="FI53" s="637"/>
      <c r="FJ53" s="637"/>
      <c r="FK53" s="637"/>
      <c r="FL53" s="637"/>
      <c r="FM53" s="637"/>
      <c r="FN53" s="637"/>
      <c r="FO53" s="637"/>
      <c r="FP53" s="637"/>
      <c r="FQ53" s="637"/>
      <c r="FR53" s="637"/>
      <c r="FS53" s="637"/>
      <c r="FT53" s="637"/>
      <c r="FU53" s="637"/>
      <c r="FV53" s="637"/>
      <c r="FW53" s="637"/>
      <c r="FX53" s="637"/>
      <c r="FY53" s="637"/>
      <c r="FZ53" s="637"/>
      <c r="GA53" s="637"/>
      <c r="GB53" s="637">
        <v>90000000</v>
      </c>
      <c r="GC53" s="637">
        <v>0</v>
      </c>
      <c r="GD53" s="637">
        <f t="shared" si="101"/>
        <v>90000000</v>
      </c>
      <c r="GE53" s="637"/>
      <c r="GF53" s="637">
        <v>22000000</v>
      </c>
      <c r="GG53" s="637">
        <v>0</v>
      </c>
      <c r="GH53" s="637">
        <f t="shared" si="105"/>
        <v>22000000</v>
      </c>
      <c r="GI53" s="637"/>
      <c r="GJ53" s="637">
        <v>3000000</v>
      </c>
      <c r="GK53" s="637">
        <v>0</v>
      </c>
      <c r="GL53" s="637">
        <f t="shared" si="102"/>
        <v>3000000</v>
      </c>
      <c r="GM53" s="637"/>
      <c r="GN53" s="637">
        <v>12000000</v>
      </c>
      <c r="GO53" s="639">
        <f>10681479</f>
        <v>10681479</v>
      </c>
      <c r="GP53" s="637">
        <f t="shared" si="103"/>
        <v>1318521</v>
      </c>
      <c r="GQ53" s="637"/>
      <c r="GR53" s="637">
        <v>3000000</v>
      </c>
      <c r="GS53" s="637">
        <v>0</v>
      </c>
      <c r="GT53" s="637">
        <f t="shared" si="104"/>
        <v>3000000</v>
      </c>
      <c r="GU53" s="637"/>
      <c r="GV53" s="587">
        <f t="shared" si="50"/>
        <v>742529870</v>
      </c>
      <c r="GW53" s="587">
        <f t="shared" si="50"/>
        <v>347249638</v>
      </c>
      <c r="GX53" s="468">
        <f t="shared" si="51"/>
        <v>395280232</v>
      </c>
      <c r="GZ53" s="519"/>
      <c r="HA53" s="468">
        <f>D53+H53+L53+X53+AN53+BH53+CB53+CV53+DT53+EN53+FH53+GB53</f>
        <v>475029870</v>
      </c>
      <c r="HB53" s="468">
        <f>E53+I53+M53+Y53+AO53+BI53+CC53+CW53+DU53+EO53+FI53+GC53</f>
        <v>161645295</v>
      </c>
      <c r="HC53" s="471">
        <f t="shared" si="52"/>
        <v>313384575</v>
      </c>
      <c r="HE53" s="471">
        <f>P53+AB53+AR53+BL53+CF53+CZ53+DX53+ER53+FL53+GF53</f>
        <v>57000000</v>
      </c>
      <c r="HF53" s="471">
        <f>Q53+AC53+AS53+BM53+CG53+DA53+DY53+ES53+FM53+GG53</f>
        <v>19941444</v>
      </c>
      <c r="HG53" s="471">
        <f t="shared" si="53"/>
        <v>37058556</v>
      </c>
      <c r="HI53" s="471">
        <f>T53+AF53+AV53+BP53+CJ53+DD53+EB53+EV53+FP53+GJ53</f>
        <v>38000000</v>
      </c>
      <c r="HJ53" s="471">
        <f>U53+AG53+AW53+BQ53+CK53+DE53+EC53+EW53+FQ53+GK53</f>
        <v>0</v>
      </c>
      <c r="HK53" s="471">
        <f t="shared" si="54"/>
        <v>38000000</v>
      </c>
      <c r="HN53" s="471">
        <f>AJ53+AZ53+BT53+CN53+DH53+DP53+EF53+EZ53+FT53+GN53</f>
        <v>159500000</v>
      </c>
      <c r="HO53" s="471">
        <f>AK53+BA53+BU53+CO53+DI53+DQ53+EG53+FA53+FU53+GO53</f>
        <v>157800399</v>
      </c>
      <c r="HP53" s="471">
        <f t="shared" si="55"/>
        <v>1699601</v>
      </c>
      <c r="HR53" s="531"/>
      <c r="HT53" s="471">
        <f>BX53+CR53+DL53+EJ53+FD53+FX53+GR53</f>
        <v>13000000</v>
      </c>
      <c r="HU53" s="471">
        <f>BY53+CS53+DM53+EK53+FE53+FY53+GS53</f>
        <v>7862500</v>
      </c>
      <c r="HV53" s="471">
        <f t="shared" si="56"/>
        <v>5137500</v>
      </c>
      <c r="HX53" s="473">
        <f t="shared" si="57"/>
        <v>0</v>
      </c>
      <c r="HY53" s="474">
        <v>7862500</v>
      </c>
      <c r="ID53" s="473">
        <f>HU53+HO53+HJ53+HF53+HB53</f>
        <v>347249638</v>
      </c>
      <c r="IE53" s="473">
        <f>HV53+HP53+HK53+HG53+HC53</f>
        <v>395280232</v>
      </c>
      <c r="IF53" s="473"/>
    </row>
    <row r="54" spans="1:240" x14ac:dyDescent="0.25">
      <c r="A54" s="107">
        <v>51</v>
      </c>
      <c r="B54" s="107" t="s">
        <v>370</v>
      </c>
      <c r="C54" s="634"/>
      <c r="D54" s="488">
        <v>1000000</v>
      </c>
      <c r="E54" s="488">
        <v>1000000</v>
      </c>
      <c r="F54" s="475">
        <f t="shared" si="1"/>
        <v>0</v>
      </c>
      <c r="G54" s="488"/>
      <c r="H54" s="465">
        <v>15000000</v>
      </c>
      <c r="I54" s="465">
        <v>15000000</v>
      </c>
      <c r="J54" s="463">
        <f t="shared" si="2"/>
        <v>0</v>
      </c>
      <c r="K54" s="488"/>
      <c r="L54" s="465">
        <v>15000000</v>
      </c>
      <c r="M54" s="465">
        <v>15000000</v>
      </c>
      <c r="N54" s="543">
        <f t="shared" si="3"/>
        <v>0</v>
      </c>
      <c r="O54" s="488"/>
      <c r="P54" s="465">
        <v>0</v>
      </c>
      <c r="Q54" s="465">
        <v>0</v>
      </c>
      <c r="R54" s="543">
        <f t="shared" si="4"/>
        <v>0</v>
      </c>
      <c r="S54" s="488"/>
      <c r="T54" s="465">
        <v>0</v>
      </c>
      <c r="U54" s="465">
        <v>0</v>
      </c>
      <c r="V54" s="543">
        <f t="shared" si="5"/>
        <v>0</v>
      </c>
      <c r="W54" s="488"/>
      <c r="X54" s="465">
        <v>0</v>
      </c>
      <c r="Y54" s="465">
        <v>0</v>
      </c>
      <c r="Z54" s="543">
        <f t="shared" si="6"/>
        <v>0</v>
      </c>
      <c r="AA54" s="488"/>
      <c r="AB54" s="465">
        <v>0</v>
      </c>
      <c r="AC54" s="465">
        <v>0</v>
      </c>
      <c r="AD54" s="543">
        <f t="shared" si="7"/>
        <v>0</v>
      </c>
      <c r="AE54" s="488"/>
      <c r="AF54" s="465">
        <v>0</v>
      </c>
      <c r="AG54" s="465">
        <v>0</v>
      </c>
      <c r="AH54" s="543">
        <f t="shared" si="8"/>
        <v>0</v>
      </c>
      <c r="AI54" s="488"/>
      <c r="AJ54" s="465">
        <v>0</v>
      </c>
      <c r="AK54" s="465">
        <v>0</v>
      </c>
      <c r="AL54" s="543">
        <f t="shared" si="9"/>
        <v>0</v>
      </c>
      <c r="AM54" s="465"/>
      <c r="AN54" s="465">
        <v>30000000</v>
      </c>
      <c r="AO54" s="465">
        <v>30000000</v>
      </c>
      <c r="AP54" s="543">
        <f t="shared" si="10"/>
        <v>0</v>
      </c>
      <c r="AQ54" s="488"/>
      <c r="AR54" s="465">
        <v>3000000</v>
      </c>
      <c r="AS54" s="465">
        <v>3000000</v>
      </c>
      <c r="AT54" s="543">
        <f t="shared" si="11"/>
        <v>0</v>
      </c>
      <c r="AU54" s="488"/>
      <c r="AV54" s="465">
        <v>2000000</v>
      </c>
      <c r="AW54" s="465">
        <v>0</v>
      </c>
      <c r="AX54" s="543">
        <f t="shared" si="12"/>
        <v>2000000</v>
      </c>
      <c r="AY54" s="488"/>
      <c r="AZ54" s="465">
        <v>10000000</v>
      </c>
      <c r="BA54" s="465">
        <v>10000000</v>
      </c>
      <c r="BB54" s="543">
        <f t="shared" si="13"/>
        <v>0</v>
      </c>
      <c r="BC54" s="488"/>
      <c r="BD54" s="465">
        <v>0</v>
      </c>
      <c r="BE54" s="465">
        <v>0</v>
      </c>
      <c r="BF54" s="543">
        <f t="shared" si="14"/>
        <v>0</v>
      </c>
      <c r="BG54" s="488"/>
      <c r="BH54" s="465">
        <v>0</v>
      </c>
      <c r="BI54" s="465">
        <v>0</v>
      </c>
      <c r="BJ54" s="543">
        <f t="shared" si="15"/>
        <v>0</v>
      </c>
      <c r="BK54" s="488"/>
      <c r="BL54" s="465">
        <v>0</v>
      </c>
      <c r="BM54" s="465">
        <v>0</v>
      </c>
      <c r="BN54" s="543">
        <f t="shared" si="16"/>
        <v>0</v>
      </c>
      <c r="BO54" s="488"/>
      <c r="BP54" s="465">
        <v>0</v>
      </c>
      <c r="BQ54" s="465">
        <v>0</v>
      </c>
      <c r="BR54" s="543">
        <f t="shared" si="17"/>
        <v>0</v>
      </c>
      <c r="BS54" s="488"/>
      <c r="BT54" s="465">
        <v>0</v>
      </c>
      <c r="BU54" s="465">
        <v>0</v>
      </c>
      <c r="BV54" s="543">
        <f t="shared" si="18"/>
        <v>0</v>
      </c>
      <c r="BW54" s="488"/>
      <c r="BX54" s="465">
        <v>0</v>
      </c>
      <c r="BY54" s="465">
        <v>0</v>
      </c>
      <c r="BZ54" s="543">
        <f t="shared" si="19"/>
        <v>0</v>
      </c>
      <c r="CA54" s="488"/>
      <c r="CB54" s="468">
        <v>80000000</v>
      </c>
      <c r="CC54" s="465">
        <f>28924500+30600000</f>
        <v>59524500</v>
      </c>
      <c r="CD54" s="543">
        <f t="shared" si="20"/>
        <v>20475500</v>
      </c>
      <c r="CE54" s="488"/>
      <c r="CF54" s="468">
        <v>10000000</v>
      </c>
      <c r="CG54" s="468">
        <f>1038748.5+1191000+657200+7113051.5</f>
        <v>10000000</v>
      </c>
      <c r="CH54" s="543">
        <f t="shared" si="21"/>
        <v>0</v>
      </c>
      <c r="CI54" s="488"/>
      <c r="CJ54" s="468">
        <v>10000000</v>
      </c>
      <c r="CK54" s="468">
        <v>0</v>
      </c>
      <c r="CL54" s="543">
        <f t="shared" si="22"/>
        <v>10000000</v>
      </c>
      <c r="CM54" s="488"/>
      <c r="CN54" s="468">
        <v>30000000</v>
      </c>
      <c r="CO54" s="468">
        <v>30000000</v>
      </c>
      <c r="CP54" s="543">
        <f t="shared" si="23"/>
        <v>0</v>
      </c>
      <c r="CQ54" s="488"/>
      <c r="CR54" s="465">
        <v>5000000</v>
      </c>
      <c r="CS54" s="468">
        <v>0</v>
      </c>
      <c r="CT54" s="465">
        <f t="shared" si="24"/>
        <v>5000000</v>
      </c>
      <c r="CU54" s="488"/>
      <c r="CV54" s="465">
        <v>0</v>
      </c>
      <c r="CW54" s="465">
        <v>0</v>
      </c>
      <c r="CX54" s="543">
        <f t="shared" si="25"/>
        <v>0</v>
      </c>
      <c r="CY54" s="471"/>
      <c r="CZ54" s="465">
        <v>0</v>
      </c>
      <c r="DA54" s="465">
        <v>0</v>
      </c>
      <c r="DB54" s="543">
        <f t="shared" si="26"/>
        <v>0</v>
      </c>
      <c r="DC54" s="471"/>
      <c r="DD54" s="465">
        <v>0</v>
      </c>
      <c r="DE54" s="465">
        <v>0</v>
      </c>
      <c r="DF54" s="543">
        <f t="shared" si="27"/>
        <v>0</v>
      </c>
      <c r="DG54" s="488"/>
      <c r="DH54" s="465">
        <v>0</v>
      </c>
      <c r="DI54" s="465">
        <v>0</v>
      </c>
      <c r="DJ54" s="543">
        <f t="shared" si="28"/>
        <v>0</v>
      </c>
      <c r="DK54" s="488"/>
      <c r="DL54" s="465">
        <v>0</v>
      </c>
      <c r="DM54" s="465">
        <v>0</v>
      </c>
      <c r="DN54" s="465">
        <f t="shared" si="29"/>
        <v>0</v>
      </c>
      <c r="DO54" s="488"/>
      <c r="DP54" s="471">
        <v>0</v>
      </c>
      <c r="DQ54" s="471">
        <v>0</v>
      </c>
      <c r="DR54" s="471">
        <f t="shared" si="30"/>
        <v>0</v>
      </c>
      <c r="DT54" s="471">
        <v>60000000</v>
      </c>
      <c r="DU54" s="471">
        <f>7200000+10800000+7200000+17700000</f>
        <v>42900000</v>
      </c>
      <c r="DV54" s="471">
        <f t="shared" si="31"/>
        <v>17100000</v>
      </c>
      <c r="DX54" s="471">
        <v>10000000</v>
      </c>
      <c r="DY54" s="471">
        <f>3278823.22</f>
        <v>3278823.22</v>
      </c>
      <c r="DZ54" s="471">
        <f t="shared" si="32"/>
        <v>6721176.7799999993</v>
      </c>
      <c r="EB54" s="471">
        <v>10000000</v>
      </c>
      <c r="EC54" s="471">
        <v>0</v>
      </c>
      <c r="ED54" s="471">
        <f t="shared" si="33"/>
        <v>10000000</v>
      </c>
      <c r="EF54" s="471">
        <v>20000000</v>
      </c>
      <c r="EG54" s="471">
        <f>4305075+15067540+627385</f>
        <v>20000000</v>
      </c>
      <c r="EH54" s="471">
        <f t="shared" si="34"/>
        <v>0</v>
      </c>
      <c r="EJ54" s="471">
        <v>3000000</v>
      </c>
      <c r="EK54" s="471">
        <v>0</v>
      </c>
      <c r="EL54" s="471">
        <f t="shared" si="35"/>
        <v>3000000</v>
      </c>
      <c r="EM54" s="634"/>
      <c r="EN54" s="465">
        <v>0</v>
      </c>
      <c r="EO54" s="465">
        <v>0</v>
      </c>
      <c r="EP54" s="465">
        <f t="shared" si="36"/>
        <v>0</v>
      </c>
      <c r="EQ54" s="465"/>
      <c r="ER54" s="465"/>
      <c r="ES54" s="465">
        <v>0</v>
      </c>
      <c r="ET54" s="465">
        <f t="shared" si="37"/>
        <v>0</v>
      </c>
      <c r="EU54" s="465"/>
      <c r="EV54" s="465"/>
      <c r="EW54" s="465">
        <v>0</v>
      </c>
      <c r="EX54" s="465">
        <f t="shared" si="38"/>
        <v>0</v>
      </c>
      <c r="EY54" s="465"/>
      <c r="EZ54" s="465"/>
      <c r="FA54" s="465">
        <v>0</v>
      </c>
      <c r="FB54" s="465">
        <f t="shared" si="39"/>
        <v>0</v>
      </c>
      <c r="FC54" s="465"/>
      <c r="FD54" s="465">
        <f>FB54-FC54</f>
        <v>0</v>
      </c>
      <c r="FE54" s="465">
        <v>0</v>
      </c>
      <c r="FF54" s="465">
        <f t="shared" si="40"/>
        <v>0</v>
      </c>
      <c r="FG54" s="465"/>
      <c r="FH54" s="637">
        <v>65000000</v>
      </c>
      <c r="FI54" s="637">
        <v>0</v>
      </c>
      <c r="FJ54" s="637">
        <f t="shared" ref="FJ54:FJ62" si="106">FH54-FI54</f>
        <v>65000000</v>
      </c>
      <c r="FK54" s="637"/>
      <c r="FL54" s="637">
        <v>8000000</v>
      </c>
      <c r="FM54" s="637">
        <v>1963404</v>
      </c>
      <c r="FN54" s="637">
        <f t="shared" ref="FN54:FN62" si="107">FL54-FM54</f>
        <v>6036596</v>
      </c>
      <c r="FO54" s="637"/>
      <c r="FP54" s="637">
        <v>5000000</v>
      </c>
      <c r="FQ54" s="637">
        <v>0</v>
      </c>
      <c r="FR54" s="637">
        <f t="shared" ref="FR54:FR62" si="108">FP54-FQ54</f>
        <v>5000000</v>
      </c>
      <c r="FS54" s="637"/>
      <c r="FT54" s="637">
        <v>18000000</v>
      </c>
      <c r="FU54" s="640">
        <f>5088145.35+6325495+4467205</f>
        <v>15880845.35</v>
      </c>
      <c r="FV54" s="637">
        <f t="shared" ref="FV54:FV62" si="109">FT54-FU54</f>
        <v>2119154.6500000004</v>
      </c>
      <c r="FW54" s="637"/>
      <c r="FX54" s="637">
        <v>3000000</v>
      </c>
      <c r="FY54" s="637">
        <v>0</v>
      </c>
      <c r="FZ54" s="637">
        <f t="shared" ref="FZ54:FZ62" si="110">FX54-FY54</f>
        <v>3000000</v>
      </c>
      <c r="GA54" s="637"/>
      <c r="GB54" s="644"/>
      <c r="GC54" s="644"/>
      <c r="GD54" s="644"/>
      <c r="GE54" s="644"/>
      <c r="GF54" s="644"/>
      <c r="GG54" s="644"/>
      <c r="GH54" s="644"/>
      <c r="GI54" s="644"/>
      <c r="GJ54" s="644"/>
      <c r="GK54" s="644"/>
      <c r="GL54" s="644"/>
      <c r="GM54" s="644"/>
      <c r="GN54" s="644"/>
      <c r="GO54" s="644"/>
      <c r="GP54" s="644"/>
      <c r="GQ54" s="644"/>
      <c r="GR54" s="644"/>
      <c r="GS54" s="644"/>
      <c r="GT54" s="644"/>
      <c r="GU54" s="637"/>
      <c r="GV54" s="587">
        <f t="shared" si="50"/>
        <v>413000000</v>
      </c>
      <c r="GW54" s="587">
        <f t="shared" si="50"/>
        <v>257547572.56999999</v>
      </c>
      <c r="GX54" s="468">
        <f t="shared" si="51"/>
        <v>155452427.43000001</v>
      </c>
      <c r="GZ54" s="519"/>
      <c r="HA54" s="468">
        <f>D54+H54+L54+X54+AN54+BH54+CB54+CV54+DT54+EN54+FH54+GB54</f>
        <v>266000000</v>
      </c>
      <c r="HB54" s="468">
        <f>E54+I54+M54+Y54+AO54+BI54+CC54+CW54+DU54+EO54+FI54+GC54</f>
        <v>163424500</v>
      </c>
      <c r="HC54" s="471">
        <f t="shared" si="52"/>
        <v>102575500</v>
      </c>
      <c r="HE54" s="471">
        <f>P54+AB54+AR54+BL54+CF54+CZ54+DX54+ER54+FL54+GF54</f>
        <v>31000000</v>
      </c>
      <c r="HF54" s="471">
        <f>Q54+AC54+AS54+BM54+CG54+DA54+DY54+ES54+FM54+GG54</f>
        <v>18242227.219999999</v>
      </c>
      <c r="HG54" s="471">
        <f t="shared" si="53"/>
        <v>12757772.780000001</v>
      </c>
      <c r="HI54" s="471">
        <f>T54+AF54+AV54+BP54+CJ54+DD54+EB54+EV54+FP54+GJ54</f>
        <v>27000000</v>
      </c>
      <c r="HJ54" s="471">
        <f>U54+AG54+AW54+BQ54+CK54+DE54+EC54+EW54+FQ54+GK54</f>
        <v>0</v>
      </c>
      <c r="HK54" s="471">
        <f t="shared" si="54"/>
        <v>27000000</v>
      </c>
      <c r="HN54" s="471">
        <f>AJ54+AZ54+BT54+CN54+DH54+DP54+EF54+EZ54+FT54+GN54</f>
        <v>78000000</v>
      </c>
      <c r="HO54" s="471">
        <f>AK54+BA54+BU54+CO54+DI54+DQ54+EG54+FA54+FU54+GO54</f>
        <v>75880845.349999994</v>
      </c>
      <c r="HP54" s="471">
        <f t="shared" si="55"/>
        <v>2119154.650000006</v>
      </c>
      <c r="HR54" s="531"/>
      <c r="HT54" s="471">
        <f>BX54+CR54+DL54+EJ54+FD54+FX54+GR54</f>
        <v>11000000</v>
      </c>
      <c r="HU54" s="471">
        <f>BY54+CS54+DM54+EK54+FE54+FY54+GS54</f>
        <v>0</v>
      </c>
      <c r="HV54" s="471">
        <f t="shared" si="56"/>
        <v>11000000</v>
      </c>
      <c r="HX54" s="473">
        <f t="shared" si="57"/>
        <v>0</v>
      </c>
      <c r="HY54" s="474">
        <v>0</v>
      </c>
      <c r="ID54" s="473">
        <f>HU54+HO54+HJ54+HF54+HB54</f>
        <v>257547572.56999999</v>
      </c>
      <c r="IE54" s="473">
        <f>HV54+HP54+HK54+HG54+HC54</f>
        <v>155452427.43000001</v>
      </c>
      <c r="IF54" s="473"/>
    </row>
    <row r="55" spans="1:240" x14ac:dyDescent="0.25">
      <c r="A55" s="107">
        <v>52</v>
      </c>
      <c r="B55" s="107" t="s">
        <v>371</v>
      </c>
      <c r="C55" s="647" t="s">
        <v>69</v>
      </c>
      <c r="D55" s="488">
        <v>1000000</v>
      </c>
      <c r="E55" s="488">
        <v>1000000</v>
      </c>
      <c r="F55" s="475">
        <f t="shared" si="1"/>
        <v>0</v>
      </c>
      <c r="G55" s="488"/>
      <c r="H55" s="465">
        <v>15000000</v>
      </c>
      <c r="I55" s="465">
        <v>15000000</v>
      </c>
      <c r="J55" s="463">
        <f t="shared" si="2"/>
        <v>0</v>
      </c>
      <c r="K55" s="488"/>
      <c r="L55" s="465">
        <v>15000000</v>
      </c>
      <c r="M55" s="465">
        <v>15000000</v>
      </c>
      <c r="N55" s="543">
        <f t="shared" si="3"/>
        <v>0</v>
      </c>
      <c r="O55" s="488"/>
      <c r="P55" s="465">
        <v>2500000</v>
      </c>
      <c r="Q55" s="465">
        <v>2500000</v>
      </c>
      <c r="R55" s="543">
        <f t="shared" si="4"/>
        <v>0</v>
      </c>
      <c r="S55" s="488"/>
      <c r="T55" s="465">
        <v>1000000</v>
      </c>
      <c r="U55" s="465">
        <v>1000000</v>
      </c>
      <c r="V55" s="543">
        <f t="shared" si="5"/>
        <v>0</v>
      </c>
      <c r="W55" s="488"/>
      <c r="X55" s="465">
        <v>20000000</v>
      </c>
      <c r="Y55" s="465">
        <v>20000000</v>
      </c>
      <c r="Z55" s="543">
        <f t="shared" si="6"/>
        <v>0</v>
      </c>
      <c r="AA55" s="488"/>
      <c r="AB55" s="465">
        <v>5000000</v>
      </c>
      <c r="AC55" s="465">
        <v>5000000</v>
      </c>
      <c r="AD55" s="543">
        <f t="shared" si="7"/>
        <v>0</v>
      </c>
      <c r="AE55" s="488"/>
      <c r="AF55" s="465">
        <v>2000000</v>
      </c>
      <c r="AG55" s="465">
        <v>2000000</v>
      </c>
      <c r="AH55" s="543">
        <f t="shared" si="8"/>
        <v>0</v>
      </c>
      <c r="AI55" s="488"/>
      <c r="AJ55" s="465">
        <v>7500000</v>
      </c>
      <c r="AK55" s="465">
        <v>7500000</v>
      </c>
      <c r="AL55" s="543">
        <f t="shared" si="9"/>
        <v>0</v>
      </c>
      <c r="AM55" s="283"/>
      <c r="AN55" s="465">
        <v>30000000</v>
      </c>
      <c r="AO55" s="465">
        <v>30000000</v>
      </c>
      <c r="AP55" s="543">
        <f t="shared" si="10"/>
        <v>0</v>
      </c>
      <c r="AQ55" s="488"/>
      <c r="AR55" s="465">
        <v>3000000</v>
      </c>
      <c r="AS55" s="465">
        <v>3000000</v>
      </c>
      <c r="AT55" s="543">
        <f t="shared" si="11"/>
        <v>0</v>
      </c>
      <c r="AU55" s="488"/>
      <c r="AV55" s="465">
        <v>2000000</v>
      </c>
      <c r="AW55" s="465">
        <v>2000000</v>
      </c>
      <c r="AX55" s="543">
        <f t="shared" si="12"/>
        <v>0</v>
      </c>
      <c r="AY55" s="488"/>
      <c r="AZ55" s="465">
        <v>10000000</v>
      </c>
      <c r="BA55" s="465">
        <v>3886081</v>
      </c>
      <c r="BB55" s="543">
        <f t="shared" si="13"/>
        <v>6113919</v>
      </c>
      <c r="BC55" s="488"/>
      <c r="BD55" s="465">
        <v>0</v>
      </c>
      <c r="BE55" s="465">
        <v>0</v>
      </c>
      <c r="BF55" s="543">
        <f t="shared" si="14"/>
        <v>0</v>
      </c>
      <c r="BG55" s="488"/>
      <c r="BH55" s="465">
        <v>55000000</v>
      </c>
      <c r="BI55" s="465">
        <v>55000000</v>
      </c>
      <c r="BJ55" s="543">
        <f t="shared" si="15"/>
        <v>0</v>
      </c>
      <c r="BK55" s="488"/>
      <c r="BL55" s="465">
        <v>5000000</v>
      </c>
      <c r="BM55" s="465">
        <v>5000000</v>
      </c>
      <c r="BN55" s="543">
        <f t="shared" si="16"/>
        <v>0</v>
      </c>
      <c r="BO55" s="488"/>
      <c r="BP55" s="465">
        <v>5000000</v>
      </c>
      <c r="BQ55" s="465">
        <v>5000000</v>
      </c>
      <c r="BR55" s="543">
        <f t="shared" si="17"/>
        <v>0</v>
      </c>
      <c r="BS55" s="488"/>
      <c r="BT55" s="465">
        <v>15000000</v>
      </c>
      <c r="BU55" s="465">
        <v>13098090</v>
      </c>
      <c r="BV55" s="543">
        <f t="shared" si="18"/>
        <v>1901910</v>
      </c>
      <c r="BW55" s="488"/>
      <c r="BX55" s="465">
        <v>1000000</v>
      </c>
      <c r="BY55" s="465">
        <v>1000000</v>
      </c>
      <c r="BZ55" s="543">
        <f t="shared" si="19"/>
        <v>0</v>
      </c>
      <c r="CA55" s="488"/>
      <c r="CB55" s="468">
        <v>80000000</v>
      </c>
      <c r="CC55" s="465">
        <v>80000000</v>
      </c>
      <c r="CD55" s="543">
        <f t="shared" si="20"/>
        <v>0</v>
      </c>
      <c r="CE55" s="488"/>
      <c r="CF55" s="468">
        <v>10000000</v>
      </c>
      <c r="CG55" s="468">
        <f>9594250+405750</f>
        <v>10000000</v>
      </c>
      <c r="CH55" s="543">
        <f t="shared" si="21"/>
        <v>0</v>
      </c>
      <c r="CI55" s="488"/>
      <c r="CJ55" s="468">
        <v>10000000</v>
      </c>
      <c r="CK55" s="468">
        <v>8500000</v>
      </c>
      <c r="CL55" s="543">
        <f t="shared" si="22"/>
        <v>1500000</v>
      </c>
      <c r="CM55" s="488"/>
      <c r="CN55" s="468">
        <v>30000000</v>
      </c>
      <c r="CO55" s="503">
        <v>22509755</v>
      </c>
      <c r="CP55" s="543">
        <f t="shared" si="23"/>
        <v>7490245</v>
      </c>
      <c r="CQ55" s="488"/>
      <c r="CR55" s="465">
        <v>5000000</v>
      </c>
      <c r="CS55" s="468">
        <v>1550000</v>
      </c>
      <c r="CT55" s="465">
        <f t="shared" si="24"/>
        <v>3450000</v>
      </c>
      <c r="CU55" s="488"/>
      <c r="CV55" s="525">
        <v>80000000</v>
      </c>
      <c r="CW55" s="465">
        <v>80000000</v>
      </c>
      <c r="CX55" s="543">
        <f t="shared" si="25"/>
        <v>0</v>
      </c>
      <c r="CY55" s="471"/>
      <c r="CZ55" s="468">
        <v>20000000</v>
      </c>
      <c r="DA55" s="468">
        <f>12915000+7085000</f>
        <v>20000000</v>
      </c>
      <c r="DB55" s="543">
        <f t="shared" si="26"/>
        <v>0</v>
      </c>
      <c r="DC55" s="471"/>
      <c r="DD55" s="468">
        <v>20000000</v>
      </c>
      <c r="DE55" s="468">
        <v>17000000</v>
      </c>
      <c r="DF55" s="543">
        <f t="shared" si="27"/>
        <v>3000000</v>
      </c>
      <c r="DG55" s="488"/>
      <c r="DH55" s="468">
        <v>50000000</v>
      </c>
      <c r="DI55" s="468">
        <f>29143174+809600+6085890</f>
        <v>36038664</v>
      </c>
      <c r="DJ55" s="543">
        <f t="shared" si="28"/>
        <v>13961336</v>
      </c>
      <c r="DK55" s="488"/>
      <c r="DL55" s="465">
        <v>6000000</v>
      </c>
      <c r="DM55" s="468">
        <v>0</v>
      </c>
      <c r="DN55" s="465">
        <f t="shared" si="29"/>
        <v>6000000</v>
      </c>
      <c r="DO55" s="488"/>
      <c r="DP55" s="471">
        <v>0</v>
      </c>
      <c r="DQ55" s="471">
        <v>0</v>
      </c>
      <c r="DR55" s="471">
        <f t="shared" si="30"/>
        <v>0</v>
      </c>
      <c r="DT55" s="471">
        <v>60000000</v>
      </c>
      <c r="DU55" s="553">
        <f>5715405+11700000+11700000-6450000+8400000+28934595</f>
        <v>60000000</v>
      </c>
      <c r="DV55" s="471">
        <f t="shared" si="31"/>
        <v>0</v>
      </c>
      <c r="DX55" s="471">
        <v>10000000</v>
      </c>
      <c r="DY55" s="471">
        <v>712750</v>
      </c>
      <c r="DZ55" s="471">
        <f t="shared" si="32"/>
        <v>9287250</v>
      </c>
      <c r="EB55" s="471">
        <v>10000000</v>
      </c>
      <c r="EC55" s="471">
        <v>0</v>
      </c>
      <c r="ED55" s="471">
        <f t="shared" si="33"/>
        <v>10000000</v>
      </c>
      <c r="EF55" s="471">
        <v>20000000</v>
      </c>
      <c r="EG55" s="471">
        <v>0</v>
      </c>
      <c r="EH55" s="471">
        <f t="shared" si="34"/>
        <v>20000000</v>
      </c>
      <c r="EJ55" s="471">
        <v>3000000</v>
      </c>
      <c r="EK55" s="471">
        <v>0</v>
      </c>
      <c r="EL55" s="471">
        <f t="shared" si="35"/>
        <v>3000000</v>
      </c>
      <c r="EM55" s="647"/>
      <c r="EN55" s="465">
        <v>200000000</v>
      </c>
      <c r="EO55" s="467">
        <f>10365405</f>
        <v>10365405</v>
      </c>
      <c r="EP55" s="465">
        <f t="shared" si="36"/>
        <v>189634595</v>
      </c>
      <c r="EQ55" s="465"/>
      <c r="ER55" s="465">
        <v>10000000</v>
      </c>
      <c r="ES55" s="465">
        <v>0</v>
      </c>
      <c r="ET55" s="465">
        <f t="shared" si="37"/>
        <v>10000000</v>
      </c>
      <c r="EU55" s="465"/>
      <c r="EV55" s="465">
        <v>10000000</v>
      </c>
      <c r="EW55" s="465">
        <v>0</v>
      </c>
      <c r="EX55" s="465">
        <f t="shared" si="38"/>
        <v>10000000</v>
      </c>
      <c r="EY55" s="465"/>
      <c r="EZ55" s="465">
        <v>25000000</v>
      </c>
      <c r="FA55" s="465">
        <v>0</v>
      </c>
      <c r="FB55" s="465">
        <f t="shared" si="39"/>
        <v>25000000</v>
      </c>
      <c r="FC55" s="465"/>
      <c r="FD55" s="465">
        <v>3000000</v>
      </c>
      <c r="FE55" s="465">
        <v>0</v>
      </c>
      <c r="FF55" s="465">
        <f t="shared" si="40"/>
        <v>3000000</v>
      </c>
      <c r="FG55" s="465"/>
      <c r="FH55" s="637">
        <v>65000000</v>
      </c>
      <c r="FI55" s="637">
        <v>0</v>
      </c>
      <c r="FJ55" s="637">
        <f t="shared" si="106"/>
        <v>65000000</v>
      </c>
      <c r="FK55" s="637"/>
      <c r="FL55" s="637">
        <v>8000000</v>
      </c>
      <c r="FM55" s="637">
        <v>0</v>
      </c>
      <c r="FN55" s="637">
        <f t="shared" si="107"/>
        <v>8000000</v>
      </c>
      <c r="FO55" s="637"/>
      <c r="FP55" s="637">
        <v>5000000</v>
      </c>
      <c r="FQ55" s="637">
        <v>0</v>
      </c>
      <c r="FR55" s="637">
        <f t="shared" si="108"/>
        <v>5000000</v>
      </c>
      <c r="FS55" s="637"/>
      <c r="FT55" s="637">
        <v>18000000</v>
      </c>
      <c r="FU55" s="637">
        <v>0</v>
      </c>
      <c r="FV55" s="637">
        <f t="shared" si="109"/>
        <v>18000000</v>
      </c>
      <c r="FW55" s="637"/>
      <c r="FX55" s="637">
        <v>3000000</v>
      </c>
      <c r="FY55" s="637">
        <v>0</v>
      </c>
      <c r="FZ55" s="637">
        <f t="shared" si="110"/>
        <v>3000000</v>
      </c>
      <c r="GA55" s="637"/>
      <c r="GB55" s="637">
        <v>90000000</v>
      </c>
      <c r="GC55" s="637">
        <v>0</v>
      </c>
      <c r="GD55" s="637">
        <f t="shared" ref="GD55:GD56" si="111">GB55-GC55</f>
        <v>90000000</v>
      </c>
      <c r="GE55" s="637"/>
      <c r="GF55" s="637">
        <v>22000000</v>
      </c>
      <c r="GG55" s="637">
        <v>0</v>
      </c>
      <c r="GH55" s="637">
        <f>GF55-GG55</f>
        <v>22000000</v>
      </c>
      <c r="GI55" s="637"/>
      <c r="GJ55" s="637">
        <v>3000000</v>
      </c>
      <c r="GK55" s="637">
        <v>0</v>
      </c>
      <c r="GL55" s="637">
        <f t="shared" ref="GL55:GL56" si="112">GJ55-GK55</f>
        <v>3000000</v>
      </c>
      <c r="GM55" s="637"/>
      <c r="GN55" s="637">
        <v>12000000</v>
      </c>
      <c r="GO55" s="637">
        <v>0</v>
      </c>
      <c r="GP55" s="637">
        <f t="shared" ref="GP55:GP56" si="113">GN55-GO55</f>
        <v>12000000</v>
      </c>
      <c r="GQ55" s="637"/>
      <c r="GR55" s="637">
        <v>3000000</v>
      </c>
      <c r="GS55" s="637">
        <v>0</v>
      </c>
      <c r="GT55" s="637">
        <f t="shared" ref="GT55:GT56" si="114">GR55-GS55</f>
        <v>3000000</v>
      </c>
      <c r="GU55" s="637"/>
      <c r="GV55" s="587">
        <f t="shared" si="50"/>
        <v>1086000000</v>
      </c>
      <c r="GW55" s="587">
        <f t="shared" si="50"/>
        <v>533660745</v>
      </c>
      <c r="GX55" s="468">
        <f t="shared" si="51"/>
        <v>552339255</v>
      </c>
      <c r="GZ55" s="519"/>
      <c r="HA55" s="468">
        <f>D55+H55+L55+X55+AN55+BH55+CB55+CV55+DT55+EN55+FH55+GB55</f>
        <v>711000000</v>
      </c>
      <c r="HB55" s="468">
        <f>E55+I55+M55+Y55+AO55+BI55+CC55+CW55+DU55+EO55+FI55+GC55</f>
        <v>366365405</v>
      </c>
      <c r="HC55" s="471">
        <f t="shared" si="52"/>
        <v>344634595</v>
      </c>
      <c r="HE55" s="471">
        <f>P55+AB55+AR55+BL55+CF55+CZ55+DX55+ER55+FL55+GF55</f>
        <v>95500000</v>
      </c>
      <c r="HF55" s="471">
        <f>Q55+AC55+AS55+BM55+CG55+DA55+DY55+ES55+FM55+GG55</f>
        <v>46212750</v>
      </c>
      <c r="HG55" s="471">
        <f t="shared" si="53"/>
        <v>49287250</v>
      </c>
      <c r="HI55" s="471">
        <f>T55+AF55+AV55+BP55+CJ55+DD55+EB55+EV55+FP55+GJ55</f>
        <v>68000000</v>
      </c>
      <c r="HJ55" s="471">
        <f>U55+AG55+AW55+BQ55+CK55+DE55+EC55+EW55+FQ55+GK55</f>
        <v>35500000</v>
      </c>
      <c r="HK55" s="471">
        <f t="shared" si="54"/>
        <v>32500000</v>
      </c>
      <c r="HN55" s="471">
        <f>AJ55+AZ55+BT55+CN55+DH55+DP55+EF55+EZ55+FT55+GN55</f>
        <v>187500000</v>
      </c>
      <c r="HO55" s="471">
        <f>AK55+BA55+BU55+CO55+DI55+DQ55+EG55+FA55+FU55+GO55</f>
        <v>83032590</v>
      </c>
      <c r="HP55" s="471">
        <f t="shared" si="55"/>
        <v>104467410</v>
      </c>
      <c r="HR55" s="531"/>
      <c r="HT55" s="471">
        <f>BX55+CR55+DL55+EJ55+FD55+FX55+GR55</f>
        <v>24000000</v>
      </c>
      <c r="HU55" s="471">
        <f>BY55+CS55+DM55+EK55+FE55+FY55+GS55</f>
        <v>2550000</v>
      </c>
      <c r="HV55" s="471">
        <f t="shared" si="56"/>
        <v>21450000</v>
      </c>
      <c r="HX55" s="473">
        <f t="shared" si="57"/>
        <v>0</v>
      </c>
      <c r="HY55" s="474">
        <v>2550000</v>
      </c>
      <c r="ID55" s="473">
        <f>HU55+HO55+HJ55+HF55+HB55</f>
        <v>533660745</v>
      </c>
      <c r="IE55" s="473">
        <f>HV55+HP55+HK55+HG55+HC55</f>
        <v>552339255</v>
      </c>
      <c r="IF55" s="473"/>
    </row>
    <row r="56" spans="1:240" x14ac:dyDescent="0.25">
      <c r="A56" s="107">
        <v>53</v>
      </c>
      <c r="B56" s="107" t="s">
        <v>574</v>
      </c>
      <c r="C56" s="634" t="s">
        <v>61</v>
      </c>
      <c r="D56" s="488">
        <v>1000000</v>
      </c>
      <c r="E56" s="488">
        <v>1000000</v>
      </c>
      <c r="F56" s="475">
        <f t="shared" si="1"/>
        <v>0</v>
      </c>
      <c r="G56" s="488"/>
      <c r="H56" s="465">
        <v>15000000</v>
      </c>
      <c r="I56" s="465">
        <v>15000000</v>
      </c>
      <c r="J56" s="463">
        <f t="shared" si="2"/>
        <v>0</v>
      </c>
      <c r="K56" s="488"/>
      <c r="L56" s="465">
        <v>15000000</v>
      </c>
      <c r="M56" s="465">
        <v>15000000</v>
      </c>
      <c r="N56" s="543">
        <f t="shared" si="3"/>
        <v>0</v>
      </c>
      <c r="O56" s="488"/>
      <c r="P56" s="465">
        <v>2500000</v>
      </c>
      <c r="Q56" s="465">
        <v>2500000</v>
      </c>
      <c r="R56" s="543">
        <f t="shared" si="4"/>
        <v>0</v>
      </c>
      <c r="S56" s="488"/>
      <c r="T56" s="465">
        <v>0</v>
      </c>
      <c r="U56" s="465">
        <v>0</v>
      </c>
      <c r="V56" s="543">
        <f t="shared" si="5"/>
        <v>0</v>
      </c>
      <c r="W56" s="488"/>
      <c r="X56" s="465">
        <v>5040630</v>
      </c>
      <c r="Y56" s="465">
        <v>5040630</v>
      </c>
      <c r="Z56" s="543">
        <f t="shared" si="6"/>
        <v>0</v>
      </c>
      <c r="AA56" s="488"/>
      <c r="AB56" s="465">
        <v>5000000</v>
      </c>
      <c r="AC56" s="465">
        <v>5000000</v>
      </c>
      <c r="AD56" s="543">
        <f t="shared" si="7"/>
        <v>0</v>
      </c>
      <c r="AE56" s="488"/>
      <c r="AF56" s="465">
        <v>0</v>
      </c>
      <c r="AG56" s="465">
        <v>0</v>
      </c>
      <c r="AH56" s="543">
        <f t="shared" si="8"/>
        <v>0</v>
      </c>
      <c r="AI56" s="488"/>
      <c r="AJ56" s="465">
        <v>7500000</v>
      </c>
      <c r="AK56" s="465">
        <v>7500000</v>
      </c>
      <c r="AL56" s="543">
        <f t="shared" si="9"/>
        <v>0</v>
      </c>
      <c r="AN56" s="465">
        <v>30000000</v>
      </c>
      <c r="AO56" s="465">
        <v>25019531</v>
      </c>
      <c r="AP56" s="543">
        <f t="shared" si="10"/>
        <v>4980469</v>
      </c>
      <c r="AQ56" s="488"/>
      <c r="AR56" s="465">
        <v>3000000</v>
      </c>
      <c r="AS56" s="465">
        <v>1230800</v>
      </c>
      <c r="AT56" s="543">
        <f t="shared" si="11"/>
        <v>1769200</v>
      </c>
      <c r="AU56" s="488"/>
      <c r="AV56" s="465">
        <v>2000000</v>
      </c>
      <c r="AW56" s="465">
        <v>0</v>
      </c>
      <c r="AX56" s="543">
        <f t="shared" si="12"/>
        <v>2000000</v>
      </c>
      <c r="AY56" s="488"/>
      <c r="AZ56" s="465">
        <v>10000000</v>
      </c>
      <c r="BA56" s="465">
        <v>10000000</v>
      </c>
      <c r="BB56" s="543">
        <f t="shared" si="13"/>
        <v>0</v>
      </c>
      <c r="BC56" s="488"/>
      <c r="BD56" s="465">
        <v>0</v>
      </c>
      <c r="BE56" s="465">
        <v>0</v>
      </c>
      <c r="BF56" s="543">
        <f t="shared" si="14"/>
        <v>0</v>
      </c>
      <c r="BG56" s="488"/>
      <c r="BH56" s="465">
        <v>55000000</v>
      </c>
      <c r="BI56" s="465">
        <f>666250+12000000+14100000</f>
        <v>26766250</v>
      </c>
      <c r="BJ56" s="543">
        <f t="shared" si="15"/>
        <v>28233750</v>
      </c>
      <c r="BK56" s="488"/>
      <c r="BL56" s="465">
        <v>5000000</v>
      </c>
      <c r="BM56" s="465">
        <v>0</v>
      </c>
      <c r="BN56" s="543">
        <f t="shared" si="16"/>
        <v>5000000</v>
      </c>
      <c r="BO56" s="488"/>
      <c r="BP56" s="465">
        <v>5000000</v>
      </c>
      <c r="BQ56" s="465">
        <v>0</v>
      </c>
      <c r="BR56" s="543">
        <f t="shared" si="17"/>
        <v>5000000</v>
      </c>
      <c r="BS56" s="488"/>
      <c r="BT56" s="465">
        <v>15000000</v>
      </c>
      <c r="BU56" s="465">
        <v>14999184</v>
      </c>
      <c r="BV56" s="543">
        <f t="shared" si="18"/>
        <v>816</v>
      </c>
      <c r="BW56" s="488"/>
      <c r="BX56" s="465">
        <v>1000000</v>
      </c>
      <c r="BY56" s="465">
        <v>0</v>
      </c>
      <c r="BZ56" s="543">
        <f t="shared" si="19"/>
        <v>1000000</v>
      </c>
      <c r="CA56" s="488"/>
      <c r="CB56" s="468">
        <v>80000000</v>
      </c>
      <c r="CC56" s="478">
        <f>17700000+28992035.5</f>
        <v>46692035.5</v>
      </c>
      <c r="CD56" s="543">
        <f t="shared" si="20"/>
        <v>33307964.5</v>
      </c>
      <c r="CE56" s="488"/>
      <c r="CF56" s="468">
        <v>10000000</v>
      </c>
      <c r="CG56" s="468">
        <v>10000000</v>
      </c>
      <c r="CH56" s="543">
        <f t="shared" si="21"/>
        <v>0</v>
      </c>
      <c r="CI56" s="488"/>
      <c r="CJ56" s="468">
        <v>10000000</v>
      </c>
      <c r="CK56" s="468">
        <v>0</v>
      </c>
      <c r="CL56" s="543">
        <f t="shared" si="22"/>
        <v>10000000</v>
      </c>
      <c r="CM56" s="488"/>
      <c r="CN56" s="468">
        <v>30000000</v>
      </c>
      <c r="CO56" s="468">
        <v>30000000</v>
      </c>
      <c r="CP56" s="543">
        <f t="shared" si="23"/>
        <v>0</v>
      </c>
      <c r="CQ56" s="488"/>
      <c r="CR56" s="465">
        <v>5000000</v>
      </c>
      <c r="CS56" s="468">
        <v>0</v>
      </c>
      <c r="CT56" s="465">
        <f t="shared" si="24"/>
        <v>5000000</v>
      </c>
      <c r="CU56" s="488"/>
      <c r="CV56" s="525">
        <v>80000000</v>
      </c>
      <c r="CW56" s="465">
        <v>0</v>
      </c>
      <c r="CX56" s="543">
        <f t="shared" si="25"/>
        <v>80000000</v>
      </c>
      <c r="CY56" s="471"/>
      <c r="CZ56" s="468">
        <v>20000000</v>
      </c>
      <c r="DA56" s="468">
        <f>6780200+9738000</f>
        <v>16518200</v>
      </c>
      <c r="DB56" s="543">
        <f t="shared" si="26"/>
        <v>3481800</v>
      </c>
      <c r="DC56" s="471"/>
      <c r="DD56" s="468">
        <v>20000000</v>
      </c>
      <c r="DE56" s="468">
        <v>0</v>
      </c>
      <c r="DF56" s="543">
        <f t="shared" si="27"/>
        <v>20000000</v>
      </c>
      <c r="DG56" s="488"/>
      <c r="DH56" s="468">
        <v>50000000</v>
      </c>
      <c r="DI56" s="490">
        <f>48858053+1141947</f>
        <v>50000000</v>
      </c>
      <c r="DJ56" s="543">
        <f t="shared" si="28"/>
        <v>0</v>
      </c>
      <c r="DK56" s="488"/>
      <c r="DL56" s="465">
        <v>6000000</v>
      </c>
      <c r="DM56" s="468">
        <v>0</v>
      </c>
      <c r="DN56" s="465">
        <f t="shared" si="29"/>
        <v>6000000</v>
      </c>
      <c r="DO56" s="488"/>
      <c r="DP56" s="471">
        <v>0</v>
      </c>
      <c r="DQ56" s="471">
        <v>0</v>
      </c>
      <c r="DR56" s="471">
        <f t="shared" si="30"/>
        <v>0</v>
      </c>
      <c r="DT56" s="471">
        <v>60000000</v>
      </c>
      <c r="DU56" s="471">
        <v>0</v>
      </c>
      <c r="DV56" s="471">
        <f t="shared" si="31"/>
        <v>60000000</v>
      </c>
      <c r="DX56" s="471">
        <v>10000000</v>
      </c>
      <c r="DY56" s="471">
        <v>0</v>
      </c>
      <c r="DZ56" s="471">
        <f t="shared" si="32"/>
        <v>10000000</v>
      </c>
      <c r="EB56" s="471">
        <v>10000000</v>
      </c>
      <c r="EC56" s="471">
        <v>0</v>
      </c>
      <c r="ED56" s="471">
        <f t="shared" si="33"/>
        <v>10000000</v>
      </c>
      <c r="EF56" s="471">
        <v>20000000</v>
      </c>
      <c r="EG56" s="541">
        <v>20000000</v>
      </c>
      <c r="EH56" s="471">
        <f t="shared" si="34"/>
        <v>0</v>
      </c>
      <c r="EJ56" s="471">
        <v>3000000</v>
      </c>
      <c r="EK56" s="471">
        <v>0</v>
      </c>
      <c r="EL56" s="471">
        <f t="shared" si="35"/>
        <v>3000000</v>
      </c>
      <c r="EM56" s="634"/>
      <c r="EN56" s="465">
        <v>200000000</v>
      </c>
      <c r="EO56" s="465">
        <v>0</v>
      </c>
      <c r="EP56" s="465">
        <f t="shared" si="36"/>
        <v>200000000</v>
      </c>
      <c r="EQ56" s="465"/>
      <c r="ER56" s="465">
        <v>10000000</v>
      </c>
      <c r="ES56" s="465">
        <v>0</v>
      </c>
      <c r="ET56" s="465">
        <f t="shared" si="37"/>
        <v>10000000</v>
      </c>
      <c r="EU56" s="465"/>
      <c r="EV56" s="465">
        <v>10000000</v>
      </c>
      <c r="EW56" s="465">
        <v>0</v>
      </c>
      <c r="EX56" s="465">
        <f t="shared" si="38"/>
        <v>10000000</v>
      </c>
      <c r="EY56" s="465"/>
      <c r="EZ56" s="465">
        <v>25000000</v>
      </c>
      <c r="FA56" s="478">
        <v>25000000</v>
      </c>
      <c r="FB56" s="465">
        <f t="shared" si="39"/>
        <v>0</v>
      </c>
      <c r="FC56" s="465"/>
      <c r="FD56" s="465">
        <v>3000000</v>
      </c>
      <c r="FE56" s="465">
        <v>0</v>
      </c>
      <c r="FF56" s="465">
        <f t="shared" si="40"/>
        <v>3000000</v>
      </c>
      <c r="FG56" s="465"/>
      <c r="FH56" s="637">
        <v>65000000</v>
      </c>
      <c r="FI56" s="637">
        <v>0</v>
      </c>
      <c r="FJ56" s="637">
        <f t="shared" si="106"/>
        <v>65000000</v>
      </c>
      <c r="FK56" s="637"/>
      <c r="FL56" s="637">
        <v>8000000</v>
      </c>
      <c r="FM56" s="637">
        <v>0</v>
      </c>
      <c r="FN56" s="637">
        <f t="shared" si="107"/>
        <v>8000000</v>
      </c>
      <c r="FO56" s="637"/>
      <c r="FP56" s="637">
        <v>5000000</v>
      </c>
      <c r="FQ56" s="637">
        <v>0</v>
      </c>
      <c r="FR56" s="637">
        <f t="shared" si="108"/>
        <v>5000000</v>
      </c>
      <c r="FS56" s="637"/>
      <c r="FT56" s="637">
        <v>18000000</v>
      </c>
      <c r="FU56" s="642">
        <f>10933</f>
        <v>10933</v>
      </c>
      <c r="FV56" s="637">
        <f t="shared" si="109"/>
        <v>17989067</v>
      </c>
      <c r="FW56" s="637"/>
      <c r="FX56" s="637">
        <v>3000000</v>
      </c>
      <c r="FY56" s="637">
        <v>0</v>
      </c>
      <c r="FZ56" s="637">
        <f t="shared" si="110"/>
        <v>3000000</v>
      </c>
      <c r="GA56" s="637"/>
      <c r="GB56" s="637">
        <v>90000000</v>
      </c>
      <c r="GC56" s="637">
        <v>0</v>
      </c>
      <c r="GD56" s="637">
        <f t="shared" si="111"/>
        <v>90000000</v>
      </c>
      <c r="GE56" s="637"/>
      <c r="GF56" s="637">
        <v>22000000</v>
      </c>
      <c r="GG56" s="637">
        <v>0</v>
      </c>
      <c r="GH56" s="637">
        <f>GF56-GG56</f>
        <v>22000000</v>
      </c>
      <c r="GI56" s="637"/>
      <c r="GJ56" s="637">
        <v>3000000</v>
      </c>
      <c r="GK56" s="637">
        <v>0</v>
      </c>
      <c r="GL56" s="637">
        <f t="shared" si="112"/>
        <v>3000000</v>
      </c>
      <c r="GM56" s="637"/>
      <c r="GN56" s="637">
        <v>12000000</v>
      </c>
      <c r="GO56" s="637">
        <v>0</v>
      </c>
      <c r="GP56" s="637">
        <f t="shared" si="113"/>
        <v>12000000</v>
      </c>
      <c r="GQ56" s="637"/>
      <c r="GR56" s="637">
        <v>3000000</v>
      </c>
      <c r="GS56" s="637">
        <v>0</v>
      </c>
      <c r="GT56" s="637">
        <f t="shared" si="114"/>
        <v>3000000</v>
      </c>
      <c r="GU56" s="637"/>
      <c r="GV56" s="587">
        <f t="shared" si="50"/>
        <v>1068040630</v>
      </c>
      <c r="GW56" s="587">
        <f t="shared" si="50"/>
        <v>327277563.5</v>
      </c>
      <c r="GX56" s="468">
        <f t="shared" si="51"/>
        <v>740763066.5</v>
      </c>
      <c r="GZ56" s="519"/>
      <c r="HA56" s="468">
        <f>D56+H56+L56+X56+AN56+BH56+CB56+CV56+DT56+EN56+FH56+GB56</f>
        <v>696040630</v>
      </c>
      <c r="HB56" s="468">
        <f>E56+I56+M56+Y56+AO56+BI56+CC56+CW56+DU56+EO56+FI56+GC56</f>
        <v>134518446.5</v>
      </c>
      <c r="HC56" s="471">
        <f t="shared" si="52"/>
        <v>561522183.5</v>
      </c>
      <c r="HE56" s="471">
        <f>P56+AB56+AR56+BL56+CF56+CZ56+DX56+ER56+FL56+GF56</f>
        <v>95500000</v>
      </c>
      <c r="HF56" s="471">
        <f>Q56+AC56+AS56+BM56+CG56+DA56+DY56+ES56+FM56+GG56</f>
        <v>35249000</v>
      </c>
      <c r="HG56" s="471">
        <f t="shared" si="53"/>
        <v>60251000</v>
      </c>
      <c r="HI56" s="471">
        <f>T56+AF56+AV56+BP56+CJ56+DD56+EB56+EV56+FP56+GJ56</f>
        <v>65000000</v>
      </c>
      <c r="HJ56" s="471">
        <f>U56+AG56+AW56+BQ56+CK56+DE56+EC56+EW56+FQ56+GK56</f>
        <v>0</v>
      </c>
      <c r="HK56" s="471">
        <f t="shared" si="54"/>
        <v>65000000</v>
      </c>
      <c r="HN56" s="471">
        <f>AJ56+AZ56+BT56+CN56+DH56+DP56+EF56+EZ56+FT56+GN56</f>
        <v>187500000</v>
      </c>
      <c r="HO56" s="471">
        <f>AK56+BA56+BU56+CO56+DI56+DQ56+EG56+FA56+FU56+GO56</f>
        <v>157510117</v>
      </c>
      <c r="HP56" s="471">
        <f t="shared" si="55"/>
        <v>29989883</v>
      </c>
      <c r="HR56" s="531"/>
      <c r="HT56" s="471">
        <f>BX56+CR56+DL56+EJ56+FD56+FX56+GR56</f>
        <v>24000000</v>
      </c>
      <c r="HU56" s="471">
        <f>BY56+CS56+DM56+EK56+FE56+FY56+GS56</f>
        <v>0</v>
      </c>
      <c r="HV56" s="471">
        <f t="shared" si="56"/>
        <v>24000000</v>
      </c>
      <c r="HX56" s="473">
        <f t="shared" si="57"/>
        <v>0</v>
      </c>
      <c r="HY56" s="474">
        <v>0</v>
      </c>
      <c r="ID56" s="473">
        <f>HU56+HO56+HJ56+HF56+HB56</f>
        <v>327277563.5</v>
      </c>
      <c r="IE56" s="473">
        <f>HV56+HP56+HK56+HG56+HC56</f>
        <v>740763066.5</v>
      </c>
      <c r="IF56" s="473"/>
    </row>
    <row r="57" spans="1:240" x14ac:dyDescent="0.25">
      <c r="A57" s="107" t="s">
        <v>373</v>
      </c>
      <c r="B57" s="107" t="s">
        <v>575</v>
      </c>
      <c r="C57" s="634"/>
      <c r="D57" s="465">
        <v>0</v>
      </c>
      <c r="E57" s="465">
        <v>0</v>
      </c>
      <c r="F57" s="475">
        <f t="shared" si="1"/>
        <v>0</v>
      </c>
      <c r="G57" s="465"/>
      <c r="H57" s="465">
        <v>14931000</v>
      </c>
      <c r="I57" s="465">
        <v>14931000</v>
      </c>
      <c r="J57" s="463">
        <f t="shared" si="2"/>
        <v>0</v>
      </c>
      <c r="K57" s="465"/>
      <c r="L57" s="465">
        <v>15000000</v>
      </c>
      <c r="M57" s="465">
        <v>15000000</v>
      </c>
      <c r="N57" s="543">
        <f t="shared" si="3"/>
        <v>0</v>
      </c>
      <c r="O57" s="465"/>
      <c r="P57" s="465">
        <v>0</v>
      </c>
      <c r="Q57" s="465">
        <v>0</v>
      </c>
      <c r="R57" s="543">
        <f t="shared" si="4"/>
        <v>0</v>
      </c>
      <c r="S57" s="465"/>
      <c r="T57" s="465">
        <v>1000000</v>
      </c>
      <c r="U57" s="465">
        <v>1000000</v>
      </c>
      <c r="V57" s="543">
        <f t="shared" si="5"/>
        <v>0</v>
      </c>
      <c r="W57" s="465"/>
      <c r="X57" s="465">
        <f>18874400+4700377</f>
        <v>23574777</v>
      </c>
      <c r="Y57" s="465">
        <f>18874400+4700377</f>
        <v>23574777</v>
      </c>
      <c r="Z57" s="543">
        <f t="shared" si="6"/>
        <v>0</v>
      </c>
      <c r="AA57" s="465"/>
      <c r="AB57" s="465">
        <v>0</v>
      </c>
      <c r="AC57" s="465">
        <v>0</v>
      </c>
      <c r="AD57" s="543">
        <f t="shared" si="7"/>
        <v>0</v>
      </c>
      <c r="AE57" s="465"/>
      <c r="AF57" s="465">
        <v>1550000</v>
      </c>
      <c r="AG57" s="465">
        <v>1550000</v>
      </c>
      <c r="AH57" s="543">
        <f t="shared" si="8"/>
        <v>0</v>
      </c>
      <c r="AI57" s="465"/>
      <c r="AJ57" s="465">
        <v>7500000</v>
      </c>
      <c r="AK57" s="465">
        <v>7500000</v>
      </c>
      <c r="AL57" s="543">
        <f t="shared" si="9"/>
        <v>0</v>
      </c>
      <c r="AN57" s="465">
        <v>0</v>
      </c>
      <c r="AO57" s="465">
        <v>0</v>
      </c>
      <c r="AP57" s="543">
        <f t="shared" si="10"/>
        <v>0</v>
      </c>
      <c r="AQ57" s="465"/>
      <c r="AR57" s="465">
        <v>0</v>
      </c>
      <c r="AS57" s="465">
        <v>0</v>
      </c>
      <c r="AT57" s="543">
        <f t="shared" si="11"/>
        <v>0</v>
      </c>
      <c r="AU57" s="465"/>
      <c r="AV57" s="465">
        <v>0</v>
      </c>
      <c r="AW57" s="465">
        <v>0</v>
      </c>
      <c r="AX57" s="543">
        <f t="shared" si="12"/>
        <v>0</v>
      </c>
      <c r="AY57" s="465"/>
      <c r="AZ57" s="465">
        <v>0</v>
      </c>
      <c r="BA57" s="465">
        <v>0</v>
      </c>
      <c r="BB57" s="543">
        <f t="shared" si="13"/>
        <v>0</v>
      </c>
      <c r="BC57" s="465"/>
      <c r="BD57" s="465">
        <v>0</v>
      </c>
      <c r="BE57" s="465">
        <v>0</v>
      </c>
      <c r="BF57" s="543">
        <f t="shared" si="14"/>
        <v>0</v>
      </c>
      <c r="BG57" s="465"/>
      <c r="BH57" s="465">
        <v>0</v>
      </c>
      <c r="BI57" s="465">
        <v>0</v>
      </c>
      <c r="BJ57" s="543">
        <f t="shared" si="15"/>
        <v>0</v>
      </c>
      <c r="BK57" s="465"/>
      <c r="BL57" s="465">
        <v>0</v>
      </c>
      <c r="BM57" s="465">
        <v>0</v>
      </c>
      <c r="BN57" s="543">
        <f t="shared" si="16"/>
        <v>0</v>
      </c>
      <c r="BO57" s="465"/>
      <c r="BP57" s="465">
        <v>0</v>
      </c>
      <c r="BQ57" s="465">
        <v>0</v>
      </c>
      <c r="BR57" s="543">
        <f t="shared" si="17"/>
        <v>0</v>
      </c>
      <c r="BS57" s="465"/>
      <c r="BT57" s="465">
        <v>0</v>
      </c>
      <c r="BU57" s="465">
        <v>0</v>
      </c>
      <c r="BV57" s="543">
        <f t="shared" si="18"/>
        <v>0</v>
      </c>
      <c r="BW57" s="465"/>
      <c r="BX57" s="465">
        <v>0</v>
      </c>
      <c r="BY57" s="465">
        <v>0</v>
      </c>
      <c r="BZ57" s="543">
        <f t="shared" si="19"/>
        <v>0</v>
      </c>
      <c r="CA57" s="465"/>
      <c r="CB57" s="465">
        <v>0</v>
      </c>
      <c r="CC57" s="465">
        <v>0</v>
      </c>
      <c r="CD57" s="543">
        <f t="shared" si="20"/>
        <v>0</v>
      </c>
      <c r="CE57" s="465"/>
      <c r="CF57" s="465">
        <v>0</v>
      </c>
      <c r="CG57" s="465">
        <v>0</v>
      </c>
      <c r="CH57" s="543">
        <f t="shared" si="21"/>
        <v>0</v>
      </c>
      <c r="CI57" s="465"/>
      <c r="CJ57" s="465">
        <v>0</v>
      </c>
      <c r="CK57" s="465">
        <v>0</v>
      </c>
      <c r="CL57" s="543">
        <f t="shared" si="22"/>
        <v>0</v>
      </c>
      <c r="CM57" s="465"/>
      <c r="CN57" s="465">
        <v>0</v>
      </c>
      <c r="CO57" s="465">
        <v>0</v>
      </c>
      <c r="CP57" s="543">
        <f t="shared" si="23"/>
        <v>0</v>
      </c>
      <c r="CQ57" s="465"/>
      <c r="CR57" s="465">
        <v>0</v>
      </c>
      <c r="CS57" s="465">
        <v>0</v>
      </c>
      <c r="CT57" s="465">
        <f t="shared" si="24"/>
        <v>0</v>
      </c>
      <c r="CU57" s="465"/>
      <c r="CV57" s="465">
        <v>0</v>
      </c>
      <c r="CW57" s="465">
        <v>0</v>
      </c>
      <c r="CX57" s="543">
        <f t="shared" si="25"/>
        <v>0</v>
      </c>
      <c r="CY57" s="471"/>
      <c r="CZ57" s="465">
        <v>0</v>
      </c>
      <c r="DA57" s="465">
        <v>0</v>
      </c>
      <c r="DB57" s="543">
        <f t="shared" si="26"/>
        <v>0</v>
      </c>
      <c r="DC57" s="471"/>
      <c r="DD57" s="465">
        <v>0</v>
      </c>
      <c r="DE57" s="465">
        <v>0</v>
      </c>
      <c r="DF57" s="543">
        <f t="shared" si="27"/>
        <v>0</v>
      </c>
      <c r="DG57" s="465"/>
      <c r="DH57" s="465">
        <v>0</v>
      </c>
      <c r="DI57" s="465">
        <v>0</v>
      </c>
      <c r="DJ57" s="543">
        <f t="shared" si="28"/>
        <v>0</v>
      </c>
      <c r="DK57" s="465"/>
      <c r="DL57" s="465">
        <v>0</v>
      </c>
      <c r="DM57" s="465">
        <v>0</v>
      </c>
      <c r="DN57" s="465">
        <f t="shared" si="29"/>
        <v>0</v>
      </c>
      <c r="DO57" s="465"/>
      <c r="DP57" s="471">
        <v>0</v>
      </c>
      <c r="DQ57" s="471">
        <v>0</v>
      </c>
      <c r="DR57" s="471">
        <f t="shared" si="30"/>
        <v>0</v>
      </c>
      <c r="DT57" s="471">
        <v>0</v>
      </c>
      <c r="DU57" s="471">
        <v>0</v>
      </c>
      <c r="DV57" s="471">
        <f t="shared" si="31"/>
        <v>0</v>
      </c>
      <c r="DX57" s="471">
        <v>0</v>
      </c>
      <c r="DY57" s="471">
        <v>0</v>
      </c>
      <c r="DZ57" s="471">
        <f t="shared" si="32"/>
        <v>0</v>
      </c>
      <c r="EB57" s="471">
        <v>0</v>
      </c>
      <c r="EC57" s="471">
        <v>0</v>
      </c>
      <c r="ED57" s="471">
        <f t="shared" si="33"/>
        <v>0</v>
      </c>
      <c r="EF57" s="471">
        <v>0</v>
      </c>
      <c r="EG57" s="471">
        <v>0</v>
      </c>
      <c r="EH57" s="471">
        <f t="shared" si="34"/>
        <v>0</v>
      </c>
      <c r="EJ57" s="471">
        <v>0</v>
      </c>
      <c r="EK57" s="471">
        <v>0</v>
      </c>
      <c r="EL57" s="471">
        <f t="shared" si="35"/>
        <v>0</v>
      </c>
      <c r="EM57" s="634"/>
      <c r="EN57" s="465">
        <v>0</v>
      </c>
      <c r="EO57" s="465">
        <v>0</v>
      </c>
      <c r="EP57" s="465">
        <f t="shared" si="36"/>
        <v>0</v>
      </c>
      <c r="EQ57" s="465"/>
      <c r="ER57" s="465"/>
      <c r="ES57" s="465">
        <v>0</v>
      </c>
      <c r="ET57" s="465">
        <f t="shared" si="37"/>
        <v>0</v>
      </c>
      <c r="EU57" s="465"/>
      <c r="EV57" s="465"/>
      <c r="EW57" s="465">
        <v>0</v>
      </c>
      <c r="EX57" s="465">
        <f t="shared" si="38"/>
        <v>0</v>
      </c>
      <c r="EY57" s="465"/>
      <c r="EZ57" s="465"/>
      <c r="FA57" s="465">
        <v>0</v>
      </c>
      <c r="FB57" s="465">
        <f t="shared" si="39"/>
        <v>0</v>
      </c>
      <c r="FC57" s="465"/>
      <c r="FD57" s="465">
        <f>FB57-FC57</f>
        <v>0</v>
      </c>
      <c r="FE57" s="465">
        <v>0</v>
      </c>
      <c r="FF57" s="465">
        <f t="shared" si="40"/>
        <v>0</v>
      </c>
      <c r="FG57" s="465"/>
      <c r="FH57" s="637">
        <v>0</v>
      </c>
      <c r="FI57" s="637">
        <v>0</v>
      </c>
      <c r="FJ57" s="637">
        <v>0</v>
      </c>
      <c r="FK57" s="637">
        <v>0</v>
      </c>
      <c r="FL57" s="637">
        <v>0</v>
      </c>
      <c r="FM57" s="637">
        <v>0</v>
      </c>
      <c r="FN57" s="637">
        <v>0</v>
      </c>
      <c r="FO57" s="637">
        <v>0</v>
      </c>
      <c r="FP57" s="637">
        <v>0</v>
      </c>
      <c r="FQ57" s="637">
        <v>0</v>
      </c>
      <c r="FR57" s="637">
        <v>0</v>
      </c>
      <c r="FS57" s="637">
        <v>0</v>
      </c>
      <c r="FT57" s="637">
        <v>0</v>
      </c>
      <c r="FU57" s="637">
        <v>0</v>
      </c>
      <c r="FV57" s="637">
        <v>0</v>
      </c>
      <c r="FW57" s="637">
        <v>0</v>
      </c>
      <c r="FX57" s="637">
        <v>0</v>
      </c>
      <c r="FY57" s="637">
        <v>0</v>
      </c>
      <c r="FZ57" s="637">
        <v>0</v>
      </c>
      <c r="GA57" s="637"/>
      <c r="GB57" s="644"/>
      <c r="GC57" s="644"/>
      <c r="GD57" s="644"/>
      <c r="GE57" s="644"/>
      <c r="GF57" s="644"/>
      <c r="GG57" s="644"/>
      <c r="GH57" s="644"/>
      <c r="GI57" s="644"/>
      <c r="GJ57" s="644"/>
      <c r="GK57" s="644"/>
      <c r="GL57" s="644"/>
      <c r="GM57" s="644"/>
      <c r="GN57" s="644"/>
      <c r="GO57" s="644"/>
      <c r="GP57" s="644"/>
      <c r="GQ57" s="644"/>
      <c r="GR57" s="644"/>
      <c r="GS57" s="644"/>
      <c r="GT57" s="644"/>
      <c r="GU57" s="637"/>
      <c r="GV57" s="587">
        <f t="shared" si="50"/>
        <v>63555777</v>
      </c>
      <c r="GW57" s="587">
        <f t="shared" si="50"/>
        <v>63555777</v>
      </c>
      <c r="GX57" s="468">
        <f t="shared" si="51"/>
        <v>0</v>
      </c>
      <c r="GZ57" s="472" t="s">
        <v>573</v>
      </c>
      <c r="HA57" s="468">
        <f>D57+H57+L57+X57+AN57+BH57+CB57+CV57+DT57+EN57+FH57+GB57</f>
        <v>53505777</v>
      </c>
      <c r="HB57" s="468">
        <f>E57+I57+M57+Y57+AO57+BI57+CC57+CW57+DU57+EO57+FI57+GC57</f>
        <v>53505777</v>
      </c>
      <c r="HC57" s="471">
        <f t="shared" si="52"/>
        <v>0</v>
      </c>
      <c r="HE57" s="471">
        <f>P57+AB57+AR57+BL57+CF57+CZ57+DX57+ER57+FL57+GF57</f>
        <v>0</v>
      </c>
      <c r="HF57" s="471">
        <f>Q57+AC57+AS57+BM57+CG57+DA57+DY57+ES57+FM57+GG57</f>
        <v>0</v>
      </c>
      <c r="HG57" s="471">
        <f t="shared" si="53"/>
        <v>0</v>
      </c>
      <c r="HI57" s="471">
        <f>T57+AF57+AV57+BP57+CJ57+DD57+EB57+EV57+FP57+GJ57</f>
        <v>2550000</v>
      </c>
      <c r="HJ57" s="471">
        <f>U57+AG57+AW57+BQ57+CK57+DE57+EC57+EW57+FQ57+GK57</f>
        <v>2550000</v>
      </c>
      <c r="HK57" s="471">
        <f t="shared" si="54"/>
        <v>0</v>
      </c>
      <c r="HN57" s="471">
        <f>AJ57+AZ57+BT57+CN57+DH57+DP57+EF57+EZ57+FT57+GN57</f>
        <v>7500000</v>
      </c>
      <c r="HO57" s="471">
        <f>AK57+BA57+BU57+CO57+DI57+DQ57+EG57+FA57+FU57+GO57</f>
        <v>7500000</v>
      </c>
      <c r="HP57" s="471">
        <f t="shared" si="55"/>
        <v>0</v>
      </c>
      <c r="HR57" s="531"/>
      <c r="HT57" s="471">
        <f>BX57+CR57+DL57+EJ57+FD57+FX57+GR57</f>
        <v>0</v>
      </c>
      <c r="HU57" s="471">
        <f>BY57+CS57+DM57+EK57+FE57+FY57+GS57</f>
        <v>0</v>
      </c>
      <c r="HV57" s="471">
        <f t="shared" si="56"/>
        <v>0</v>
      </c>
      <c r="HX57" s="473">
        <f t="shared" si="57"/>
        <v>0</v>
      </c>
      <c r="HY57" s="474">
        <v>0</v>
      </c>
      <c r="ID57" s="473">
        <f>HU57+HO57+HJ57+HF57+HB57</f>
        <v>63555777</v>
      </c>
      <c r="IE57" s="473">
        <f>HV57+HP57+HK57+HG57+HC57</f>
        <v>0</v>
      </c>
      <c r="IF57" s="473"/>
    </row>
    <row r="58" spans="1:240" x14ac:dyDescent="0.25">
      <c r="A58" s="107">
        <v>54</v>
      </c>
      <c r="B58" s="107" t="s">
        <v>375</v>
      </c>
      <c r="C58" s="634" t="s">
        <v>63</v>
      </c>
      <c r="D58" s="488">
        <v>1000000</v>
      </c>
      <c r="E58" s="488">
        <v>1000000</v>
      </c>
      <c r="F58" s="475">
        <f t="shared" si="1"/>
        <v>0</v>
      </c>
      <c r="G58" s="488"/>
      <c r="H58" s="465">
        <v>14800000</v>
      </c>
      <c r="I58" s="465">
        <v>14800000</v>
      </c>
      <c r="J58" s="463">
        <f t="shared" si="2"/>
        <v>0</v>
      </c>
      <c r="K58" s="488"/>
      <c r="L58" s="465">
        <v>14550000</v>
      </c>
      <c r="M58" s="465">
        <v>14550000</v>
      </c>
      <c r="N58" s="543">
        <f t="shared" si="3"/>
        <v>0</v>
      </c>
      <c r="O58" s="488"/>
      <c r="P58" s="465">
        <v>2500000</v>
      </c>
      <c r="Q58" s="465">
        <v>2500000</v>
      </c>
      <c r="R58" s="543">
        <f t="shared" si="4"/>
        <v>0</v>
      </c>
      <c r="S58" s="488"/>
      <c r="T58" s="465">
        <v>850000</v>
      </c>
      <c r="U58" s="465">
        <v>850000</v>
      </c>
      <c r="V58" s="543">
        <f t="shared" si="5"/>
        <v>0</v>
      </c>
      <c r="W58" s="488"/>
      <c r="X58" s="465">
        <v>20000000</v>
      </c>
      <c r="Y58" s="465">
        <v>20000000</v>
      </c>
      <c r="Z58" s="543">
        <f t="shared" si="6"/>
        <v>0</v>
      </c>
      <c r="AA58" s="488"/>
      <c r="AB58" s="465">
        <v>5000000</v>
      </c>
      <c r="AC58" s="465">
        <v>5000000</v>
      </c>
      <c r="AD58" s="543">
        <f t="shared" si="7"/>
        <v>0</v>
      </c>
      <c r="AE58" s="488"/>
      <c r="AF58" s="465">
        <v>0</v>
      </c>
      <c r="AG58" s="465">
        <v>0</v>
      </c>
      <c r="AH58" s="543">
        <f t="shared" si="8"/>
        <v>0</v>
      </c>
      <c r="AI58" s="488"/>
      <c r="AJ58" s="465">
        <v>7500000</v>
      </c>
      <c r="AK58" s="465">
        <v>7500000</v>
      </c>
      <c r="AL58" s="543">
        <f t="shared" si="9"/>
        <v>0</v>
      </c>
      <c r="AN58" s="465">
        <v>30000000</v>
      </c>
      <c r="AO58" s="465">
        <v>30000000</v>
      </c>
      <c r="AP58" s="543">
        <f t="shared" si="10"/>
        <v>0</v>
      </c>
      <c r="AQ58" s="488"/>
      <c r="AR58" s="465">
        <v>3000000</v>
      </c>
      <c r="AS58" s="465">
        <v>3000000</v>
      </c>
      <c r="AT58" s="543">
        <f t="shared" si="11"/>
        <v>0</v>
      </c>
      <c r="AU58" s="488"/>
      <c r="AV58" s="465">
        <v>2000000</v>
      </c>
      <c r="AW58" s="465">
        <v>0</v>
      </c>
      <c r="AX58" s="543">
        <f t="shared" si="12"/>
        <v>2000000</v>
      </c>
      <c r="AY58" s="488"/>
      <c r="AZ58" s="465">
        <v>10000000</v>
      </c>
      <c r="BA58" s="465">
        <v>10000000</v>
      </c>
      <c r="BB58" s="543">
        <f t="shared" si="13"/>
        <v>0</v>
      </c>
      <c r="BC58" s="488"/>
      <c r="BD58" s="465">
        <v>0</v>
      </c>
      <c r="BE58" s="465">
        <v>0</v>
      </c>
      <c r="BF58" s="543">
        <f t="shared" si="14"/>
        <v>0</v>
      </c>
      <c r="BG58" s="488"/>
      <c r="BH58" s="465">
        <v>55000000</v>
      </c>
      <c r="BI58" s="465">
        <v>55000000</v>
      </c>
      <c r="BJ58" s="543">
        <f t="shared" si="15"/>
        <v>0</v>
      </c>
      <c r="BK58" s="488"/>
      <c r="BL58" s="465">
        <v>5000000</v>
      </c>
      <c r="BM58" s="465">
        <v>5000000</v>
      </c>
      <c r="BN58" s="543">
        <f t="shared" si="16"/>
        <v>0</v>
      </c>
      <c r="BO58" s="488"/>
      <c r="BP58" s="465">
        <v>5000000</v>
      </c>
      <c r="BQ58" s="465">
        <v>0</v>
      </c>
      <c r="BR58" s="543">
        <f t="shared" si="17"/>
        <v>5000000</v>
      </c>
      <c r="BS58" s="488"/>
      <c r="BT58" s="465">
        <v>15000000</v>
      </c>
      <c r="BU58" s="465">
        <v>15000000</v>
      </c>
      <c r="BV58" s="543">
        <f t="shared" si="18"/>
        <v>0</v>
      </c>
      <c r="BW58" s="488"/>
      <c r="BX58" s="465">
        <v>1000000</v>
      </c>
      <c r="BY58" s="465">
        <f>549000+451000</f>
        <v>1000000</v>
      </c>
      <c r="BZ58" s="543">
        <f t="shared" si="19"/>
        <v>0</v>
      </c>
      <c r="CA58" s="488"/>
      <c r="CB58" s="468">
        <v>80000000</v>
      </c>
      <c r="CC58" s="465">
        <v>80000000</v>
      </c>
      <c r="CD58" s="543">
        <f t="shared" si="20"/>
        <v>0</v>
      </c>
      <c r="CE58" s="471"/>
      <c r="CF58" s="468">
        <v>10000000</v>
      </c>
      <c r="CG58" s="468">
        <f>5000000+5000000</f>
        <v>10000000</v>
      </c>
      <c r="CH58" s="543">
        <f t="shared" si="21"/>
        <v>0</v>
      </c>
      <c r="CI58" s="488"/>
      <c r="CJ58" s="468">
        <v>10000000</v>
      </c>
      <c r="CK58" s="468">
        <v>0</v>
      </c>
      <c r="CL58" s="543">
        <f t="shared" si="22"/>
        <v>10000000</v>
      </c>
      <c r="CM58" s="488"/>
      <c r="CN58" s="468">
        <v>30000000</v>
      </c>
      <c r="CO58" s="468">
        <v>30000000</v>
      </c>
      <c r="CP58" s="543">
        <f t="shared" si="23"/>
        <v>0</v>
      </c>
      <c r="CQ58" s="471"/>
      <c r="CR58" s="465">
        <v>5000000</v>
      </c>
      <c r="CS58" s="504">
        <f>2111000+549000+456150+1883850</f>
        <v>5000000</v>
      </c>
      <c r="CT58" s="465">
        <f t="shared" si="24"/>
        <v>0</v>
      </c>
      <c r="CU58" s="488"/>
      <c r="CV58" s="525">
        <v>80000000</v>
      </c>
      <c r="CW58" s="465">
        <v>80000000</v>
      </c>
      <c r="CX58" s="543">
        <f t="shared" si="25"/>
        <v>0</v>
      </c>
      <c r="CY58" s="471"/>
      <c r="CZ58" s="468">
        <v>20000000</v>
      </c>
      <c r="DA58" s="468">
        <f>19621817+269674.6</f>
        <v>19891491.600000001</v>
      </c>
      <c r="DB58" s="543">
        <f t="shared" si="26"/>
        <v>108508.39999999851</v>
      </c>
      <c r="DC58" s="471"/>
      <c r="DD58" s="468">
        <v>20000000</v>
      </c>
      <c r="DE58" s="468">
        <v>0</v>
      </c>
      <c r="DF58" s="543">
        <f t="shared" si="27"/>
        <v>20000000</v>
      </c>
      <c r="DG58" s="488"/>
      <c r="DH58" s="468">
        <v>50000000</v>
      </c>
      <c r="DI58" s="468">
        <v>50000000</v>
      </c>
      <c r="DJ58" s="543">
        <f t="shared" si="28"/>
        <v>0</v>
      </c>
      <c r="DK58" s="488"/>
      <c r="DL58" s="465">
        <v>6000000</v>
      </c>
      <c r="DM58" s="504">
        <f>2584850+2935786</f>
        <v>5520636</v>
      </c>
      <c r="DN58" s="465">
        <f t="shared" si="29"/>
        <v>479364</v>
      </c>
      <c r="DO58" s="488"/>
      <c r="DP58" s="471">
        <v>0</v>
      </c>
      <c r="DQ58" s="471">
        <v>0</v>
      </c>
      <c r="DR58" s="471">
        <f t="shared" si="30"/>
        <v>0</v>
      </c>
      <c r="DT58" s="471">
        <v>60000000</v>
      </c>
      <c r="DU58" s="471">
        <f>52335588.62+7664411.38</f>
        <v>60000000</v>
      </c>
      <c r="DV58" s="471">
        <f t="shared" si="31"/>
        <v>0</v>
      </c>
      <c r="DX58" s="471">
        <v>10000000</v>
      </c>
      <c r="DY58" s="471">
        <v>0</v>
      </c>
      <c r="DZ58" s="471">
        <f t="shared" si="32"/>
        <v>10000000</v>
      </c>
      <c r="EB58" s="471">
        <v>10000000</v>
      </c>
      <c r="EC58" s="471">
        <v>0</v>
      </c>
      <c r="ED58" s="471">
        <f t="shared" si="33"/>
        <v>10000000</v>
      </c>
      <c r="EF58" s="471">
        <v>20000000</v>
      </c>
      <c r="EG58" s="471">
        <f>15275932+4724068</f>
        <v>20000000</v>
      </c>
      <c r="EH58" s="471">
        <f t="shared" si="34"/>
        <v>0</v>
      </c>
      <c r="EJ58" s="471">
        <v>3000000</v>
      </c>
      <c r="EK58" s="471">
        <v>0</v>
      </c>
      <c r="EL58" s="471">
        <f t="shared" si="35"/>
        <v>3000000</v>
      </c>
      <c r="EM58" s="634"/>
      <c r="EN58" s="465">
        <v>200000000</v>
      </c>
      <c r="EO58" s="465">
        <f>57771338.62+24900000+56146267.35+6072899.2+55109494.83</f>
        <v>200000000</v>
      </c>
      <c r="EP58" s="465">
        <f t="shared" si="36"/>
        <v>0</v>
      </c>
      <c r="EQ58" s="465"/>
      <c r="ER58" s="465">
        <v>10000000</v>
      </c>
      <c r="ES58" s="465">
        <v>0</v>
      </c>
      <c r="ET58" s="465">
        <f t="shared" si="37"/>
        <v>10000000</v>
      </c>
      <c r="EU58" s="465"/>
      <c r="EV58" s="465">
        <v>10000000</v>
      </c>
      <c r="EW58" s="465">
        <v>0</v>
      </c>
      <c r="EX58" s="465">
        <f t="shared" si="38"/>
        <v>10000000</v>
      </c>
      <c r="EY58" s="465"/>
      <c r="EZ58" s="465">
        <v>25000000</v>
      </c>
      <c r="FA58" s="465">
        <f>22972212+2027788</f>
        <v>25000000</v>
      </c>
      <c r="FB58" s="465">
        <f t="shared" si="39"/>
        <v>0</v>
      </c>
      <c r="FC58" s="465"/>
      <c r="FD58" s="465">
        <v>3000000</v>
      </c>
      <c r="FE58" s="465">
        <v>0</v>
      </c>
      <c r="FF58" s="465">
        <f t="shared" si="40"/>
        <v>3000000</v>
      </c>
      <c r="FG58" s="465"/>
      <c r="FH58" s="637">
        <v>65000000</v>
      </c>
      <c r="FI58" s="639">
        <f>60561116.22+3420000</f>
        <v>63981116.219999999</v>
      </c>
      <c r="FJ58" s="637">
        <f t="shared" si="106"/>
        <v>1018883.7800000012</v>
      </c>
      <c r="FK58" s="637"/>
      <c r="FL58" s="637">
        <v>8000000</v>
      </c>
      <c r="FM58" s="637">
        <v>0</v>
      </c>
      <c r="FN58" s="637">
        <f t="shared" si="107"/>
        <v>8000000</v>
      </c>
      <c r="FO58" s="637"/>
      <c r="FP58" s="637">
        <v>5000000</v>
      </c>
      <c r="FQ58" s="637">
        <v>0</v>
      </c>
      <c r="FR58" s="637">
        <f t="shared" si="108"/>
        <v>5000000</v>
      </c>
      <c r="FS58" s="637"/>
      <c r="FT58" s="637">
        <v>18000000</v>
      </c>
      <c r="FU58" s="637">
        <f>7264212</f>
        <v>7264212</v>
      </c>
      <c r="FV58" s="637">
        <f t="shared" si="109"/>
        <v>10735788</v>
      </c>
      <c r="FW58" s="637"/>
      <c r="FX58" s="637">
        <v>3000000</v>
      </c>
      <c r="FY58" s="637">
        <v>0</v>
      </c>
      <c r="FZ58" s="637">
        <f t="shared" si="110"/>
        <v>3000000</v>
      </c>
      <c r="GA58" s="637"/>
      <c r="GB58" s="637">
        <v>90000000</v>
      </c>
      <c r="GC58" s="637">
        <v>0</v>
      </c>
      <c r="GD58" s="637">
        <f t="shared" ref="GD58:GD69" si="115">GB58-GC58</f>
        <v>90000000</v>
      </c>
      <c r="GE58" s="637"/>
      <c r="GF58" s="637">
        <v>22000000</v>
      </c>
      <c r="GG58" s="637">
        <v>0</v>
      </c>
      <c r="GH58" s="637">
        <f>GF58-GG58</f>
        <v>22000000</v>
      </c>
      <c r="GI58" s="637"/>
      <c r="GJ58" s="637">
        <v>3000000</v>
      </c>
      <c r="GK58" s="637">
        <v>0</v>
      </c>
      <c r="GL58" s="637">
        <f t="shared" ref="GL58:GL69" si="116">GJ58-GK58</f>
        <v>3000000</v>
      </c>
      <c r="GM58" s="637"/>
      <c r="GN58" s="637">
        <v>12000000</v>
      </c>
      <c r="GO58" s="637">
        <v>0</v>
      </c>
      <c r="GP58" s="637">
        <f t="shared" ref="GP58:GP69" si="117">GN58-GO58</f>
        <v>12000000</v>
      </c>
      <c r="GQ58" s="637"/>
      <c r="GR58" s="637">
        <v>3000000</v>
      </c>
      <c r="GS58" s="637">
        <v>0</v>
      </c>
      <c r="GT58" s="637">
        <f t="shared" ref="GT58:GT69" si="118">GR58-GS58</f>
        <v>3000000</v>
      </c>
      <c r="GU58" s="637"/>
      <c r="GV58" s="587">
        <f t="shared" si="50"/>
        <v>1083200000</v>
      </c>
      <c r="GW58" s="587">
        <f t="shared" si="50"/>
        <v>841857455.82000005</v>
      </c>
      <c r="GX58" s="468">
        <f t="shared" si="51"/>
        <v>241342544.17999995</v>
      </c>
      <c r="GZ58" s="519"/>
      <c r="HA58" s="468">
        <f>D58+H58+L58+X58+AN58+BH58+CB58+CV58+DT58+EN58+FH58+GB58</f>
        <v>710350000</v>
      </c>
      <c r="HB58" s="468">
        <f>E58+I58+M58+Y58+AO58+BI58+CC58+CW58+DU58+EO58+FI58+GC58</f>
        <v>619331116.22000003</v>
      </c>
      <c r="HC58" s="471">
        <f t="shared" si="52"/>
        <v>91018883.779999971</v>
      </c>
      <c r="HE58" s="471">
        <f>P58+AB58+AR58+BL58+CF58+CZ58+DX58+ER58+FL58+GF58</f>
        <v>95500000</v>
      </c>
      <c r="HF58" s="471">
        <f>Q58+AC58+AS58+BM58+CG58+DA58+DY58+ES58+FM58+GG58</f>
        <v>45391491.600000001</v>
      </c>
      <c r="HG58" s="471">
        <f t="shared" si="53"/>
        <v>50108508.399999999</v>
      </c>
      <c r="HI58" s="471">
        <f>T58+AF58+AV58+BP58+CJ58+DD58+EB58+EV58+FP58+GJ58</f>
        <v>65850000</v>
      </c>
      <c r="HJ58" s="471">
        <f>U58+AG58+AW58+BQ58+CK58+DE58+EC58+EW58+FQ58+GK58</f>
        <v>850000</v>
      </c>
      <c r="HK58" s="471">
        <f t="shared" si="54"/>
        <v>65000000</v>
      </c>
      <c r="HN58" s="471">
        <f>AJ58+AZ58+BT58+CN58+DH58+DP58+EF58+EZ58+FT58+GN58</f>
        <v>187500000</v>
      </c>
      <c r="HO58" s="471">
        <f>AK58+BA58+BU58+CO58+DI58+DQ58+EG58+FA58+FU58+GO58</f>
        <v>164764212</v>
      </c>
      <c r="HP58" s="471">
        <f t="shared" si="55"/>
        <v>22735788</v>
      </c>
      <c r="HR58" s="531"/>
      <c r="HT58" s="471">
        <f>BX58+CR58+DL58+EJ58+FD58+FX58+GR58</f>
        <v>24000000</v>
      </c>
      <c r="HU58" s="471">
        <f>BY58+CS58+DM58+EK58+FE58+FY58+GS58</f>
        <v>11520636</v>
      </c>
      <c r="HV58" s="471">
        <f t="shared" si="56"/>
        <v>12479364</v>
      </c>
      <c r="HX58" s="473">
        <f t="shared" si="57"/>
        <v>4819636</v>
      </c>
      <c r="HY58" s="474">
        <v>6701000</v>
      </c>
      <c r="ID58" s="473">
        <f>HU58+HO58+HJ58+HF58+HB58</f>
        <v>841857455.82000005</v>
      </c>
      <c r="IE58" s="473">
        <f>HV58+HP58+HK58+HG58+HC58</f>
        <v>241342544.17999998</v>
      </c>
      <c r="IF58" s="473"/>
    </row>
    <row r="59" spans="1:240" x14ac:dyDescent="0.25">
      <c r="A59" s="107">
        <v>55</v>
      </c>
      <c r="B59" s="107" t="s">
        <v>576</v>
      </c>
      <c r="C59" s="634" t="s">
        <v>74</v>
      </c>
      <c r="D59" s="488">
        <v>1000000</v>
      </c>
      <c r="E59" s="488">
        <v>1000000</v>
      </c>
      <c r="F59" s="475">
        <f t="shared" si="1"/>
        <v>0</v>
      </c>
      <c r="G59" s="488"/>
      <c r="H59" s="465">
        <v>15000000</v>
      </c>
      <c r="I59" s="465">
        <v>15000000</v>
      </c>
      <c r="J59" s="463">
        <f t="shared" si="2"/>
        <v>0</v>
      </c>
      <c r="K59" s="488"/>
      <c r="L59" s="465">
        <v>15000000</v>
      </c>
      <c r="M59" s="465">
        <v>15000000</v>
      </c>
      <c r="N59" s="543">
        <f t="shared" si="3"/>
        <v>0</v>
      </c>
      <c r="O59" s="488"/>
      <c r="P59" s="465">
        <v>2500000</v>
      </c>
      <c r="Q59" s="465">
        <v>2500000</v>
      </c>
      <c r="R59" s="543">
        <f t="shared" si="4"/>
        <v>0</v>
      </c>
      <c r="S59" s="488"/>
      <c r="T59" s="465">
        <v>0</v>
      </c>
      <c r="U59" s="465">
        <v>0</v>
      </c>
      <c r="V59" s="543">
        <f t="shared" si="5"/>
        <v>0</v>
      </c>
      <c r="W59" s="488"/>
      <c r="X59" s="465">
        <v>20000000</v>
      </c>
      <c r="Y59" s="465">
        <v>20000000</v>
      </c>
      <c r="Z59" s="543">
        <f t="shared" si="6"/>
        <v>0</v>
      </c>
      <c r="AA59" s="488"/>
      <c r="AB59" s="465">
        <v>1973000</v>
      </c>
      <c r="AC59" s="465">
        <v>1973000</v>
      </c>
      <c r="AD59" s="543">
        <f t="shared" si="7"/>
        <v>0</v>
      </c>
      <c r="AE59" s="488"/>
      <c r="AF59" s="465">
        <v>0</v>
      </c>
      <c r="AG59" s="465">
        <v>0</v>
      </c>
      <c r="AH59" s="543">
        <f t="shared" si="8"/>
        <v>0</v>
      </c>
      <c r="AI59" s="488"/>
      <c r="AJ59" s="465">
        <v>7500000</v>
      </c>
      <c r="AK59" s="465">
        <v>7500000</v>
      </c>
      <c r="AL59" s="543">
        <f t="shared" si="9"/>
        <v>0</v>
      </c>
      <c r="AM59" s="465"/>
      <c r="AN59" s="465">
        <v>30000000</v>
      </c>
      <c r="AO59" s="465">
        <v>30000000</v>
      </c>
      <c r="AP59" s="543">
        <f t="shared" si="10"/>
        <v>0</v>
      </c>
      <c r="AQ59" s="488"/>
      <c r="AR59" s="465">
        <v>3000000</v>
      </c>
      <c r="AS59" s="465">
        <v>0</v>
      </c>
      <c r="AT59" s="543">
        <f t="shared" si="11"/>
        <v>3000000</v>
      </c>
      <c r="AU59" s="488"/>
      <c r="AV59" s="465">
        <v>2000000</v>
      </c>
      <c r="AW59" s="465">
        <v>0</v>
      </c>
      <c r="AX59" s="543">
        <f t="shared" si="12"/>
        <v>2000000</v>
      </c>
      <c r="AY59" s="488"/>
      <c r="AZ59" s="465">
        <v>10000000</v>
      </c>
      <c r="BA59" s="465">
        <v>10000000</v>
      </c>
      <c r="BB59" s="543">
        <f t="shared" si="13"/>
        <v>0</v>
      </c>
      <c r="BC59" s="488"/>
      <c r="BD59" s="465">
        <v>0</v>
      </c>
      <c r="BE59" s="465">
        <v>0</v>
      </c>
      <c r="BF59" s="543">
        <f t="shared" si="14"/>
        <v>0</v>
      </c>
      <c r="BG59" s="488"/>
      <c r="BH59" s="465">
        <v>55000000</v>
      </c>
      <c r="BI59" s="465">
        <v>55000000</v>
      </c>
      <c r="BJ59" s="543">
        <f t="shared" si="15"/>
        <v>0</v>
      </c>
      <c r="BK59" s="488"/>
      <c r="BL59" s="465">
        <v>5000000</v>
      </c>
      <c r="BM59" s="465">
        <v>5000000</v>
      </c>
      <c r="BN59" s="543">
        <f t="shared" si="16"/>
        <v>0</v>
      </c>
      <c r="BO59" s="488"/>
      <c r="BP59" s="465">
        <v>5000000</v>
      </c>
      <c r="BQ59" s="465">
        <v>0</v>
      </c>
      <c r="BR59" s="543">
        <f t="shared" si="17"/>
        <v>5000000</v>
      </c>
      <c r="BS59" s="488"/>
      <c r="BT59" s="465">
        <v>15000000</v>
      </c>
      <c r="BU59" s="465">
        <v>15000000.000000268</v>
      </c>
      <c r="BV59" s="543">
        <f t="shared" si="18"/>
        <v>-2.6822090148925781E-7</v>
      </c>
      <c r="BW59" s="488"/>
      <c r="BX59" s="465">
        <v>1000000</v>
      </c>
      <c r="BY59" s="465">
        <v>1000000</v>
      </c>
      <c r="BZ59" s="543">
        <f t="shared" si="19"/>
        <v>0</v>
      </c>
      <c r="CA59" s="488"/>
      <c r="CB59" s="468">
        <v>80000000</v>
      </c>
      <c r="CC59" s="465">
        <f>66065739.34+13934260.66</f>
        <v>80000000</v>
      </c>
      <c r="CD59" s="543">
        <f t="shared" si="20"/>
        <v>0</v>
      </c>
      <c r="CE59" s="488"/>
      <c r="CF59" s="468">
        <v>10000000</v>
      </c>
      <c r="CG59" s="468">
        <v>8630000</v>
      </c>
      <c r="CH59" s="543">
        <f t="shared" si="21"/>
        <v>1370000</v>
      </c>
      <c r="CI59" s="488"/>
      <c r="CJ59" s="468">
        <v>10000000</v>
      </c>
      <c r="CK59" s="468">
        <v>0</v>
      </c>
      <c r="CL59" s="543">
        <f t="shared" si="22"/>
        <v>10000000</v>
      </c>
      <c r="CM59" s="488"/>
      <c r="CN59" s="468">
        <v>30000000</v>
      </c>
      <c r="CO59" s="468">
        <v>30000000</v>
      </c>
      <c r="CP59" s="543">
        <f t="shared" si="23"/>
        <v>0</v>
      </c>
      <c r="CQ59" s="488"/>
      <c r="CR59" s="465">
        <v>5000000</v>
      </c>
      <c r="CS59" s="468">
        <v>1640850</v>
      </c>
      <c r="CT59" s="465">
        <f t="shared" si="24"/>
        <v>3359150</v>
      </c>
      <c r="CU59" s="488"/>
      <c r="CV59" s="525">
        <v>80000000</v>
      </c>
      <c r="CW59" s="465">
        <f>41549786.14</f>
        <v>41549786.140000001</v>
      </c>
      <c r="CX59" s="543">
        <f t="shared" si="25"/>
        <v>38450213.859999999</v>
      </c>
      <c r="CY59" s="471"/>
      <c r="CZ59" s="468">
        <v>20000000</v>
      </c>
      <c r="DA59" s="468">
        <v>0</v>
      </c>
      <c r="DB59" s="543">
        <f t="shared" si="26"/>
        <v>20000000</v>
      </c>
      <c r="DC59" s="471"/>
      <c r="DD59" s="468">
        <v>20000000</v>
      </c>
      <c r="DE59" s="468">
        <v>0</v>
      </c>
      <c r="DF59" s="543">
        <f t="shared" si="27"/>
        <v>20000000</v>
      </c>
      <c r="DG59" s="488"/>
      <c r="DH59" s="468">
        <v>50000000</v>
      </c>
      <c r="DI59" s="468">
        <f>56727836.7-6727836.7</f>
        <v>50000000</v>
      </c>
      <c r="DJ59" s="543">
        <f t="shared" si="28"/>
        <v>0</v>
      </c>
      <c r="DK59" s="488"/>
      <c r="DL59" s="465">
        <v>6000000</v>
      </c>
      <c r="DM59" s="468">
        <v>0</v>
      </c>
      <c r="DN59" s="465">
        <f t="shared" si="29"/>
        <v>6000000</v>
      </c>
      <c r="DO59" s="488"/>
      <c r="DP59" s="471">
        <v>0</v>
      </c>
      <c r="DQ59" s="471">
        <v>0</v>
      </c>
      <c r="DR59" s="471">
        <f t="shared" si="30"/>
        <v>0</v>
      </c>
      <c r="DT59" s="471">
        <v>60000000</v>
      </c>
      <c r="DU59" s="471">
        <f>20717396+39282604</f>
        <v>60000000</v>
      </c>
      <c r="DV59" s="471">
        <f t="shared" si="31"/>
        <v>0</v>
      </c>
      <c r="DX59" s="471">
        <v>10000000</v>
      </c>
      <c r="DY59" s="471">
        <v>0</v>
      </c>
      <c r="DZ59" s="471">
        <f t="shared" si="32"/>
        <v>10000000</v>
      </c>
      <c r="EB59" s="471">
        <v>10000000</v>
      </c>
      <c r="EC59" s="471">
        <v>0</v>
      </c>
      <c r="ED59" s="471">
        <f t="shared" si="33"/>
        <v>10000000</v>
      </c>
      <c r="EF59" s="471">
        <v>20000000</v>
      </c>
      <c r="EG59" s="471">
        <f>634600+6727836.7+1692100+10645286</f>
        <v>19699822.699999999</v>
      </c>
      <c r="EH59" s="471">
        <f t="shared" si="34"/>
        <v>300177.30000000075</v>
      </c>
      <c r="EJ59" s="471">
        <v>3000000</v>
      </c>
      <c r="EK59" s="471">
        <v>0</v>
      </c>
      <c r="EL59" s="471">
        <f t="shared" si="35"/>
        <v>3000000</v>
      </c>
      <c r="EM59" s="634"/>
      <c r="EN59" s="465">
        <v>200000000</v>
      </c>
      <c r="EO59" s="485">
        <f>5934508.5+40091809.2+15900000</f>
        <v>61926317.700000003</v>
      </c>
      <c r="EP59" s="465">
        <f t="shared" si="36"/>
        <v>138073682.30000001</v>
      </c>
      <c r="EQ59" s="107"/>
      <c r="ER59" s="465">
        <v>10000000</v>
      </c>
      <c r="ES59" s="465">
        <v>0</v>
      </c>
      <c r="ET59" s="465">
        <f t="shared" si="37"/>
        <v>10000000</v>
      </c>
      <c r="EU59" s="107"/>
      <c r="EV59" s="475">
        <v>10000000</v>
      </c>
      <c r="EW59" s="475">
        <v>0</v>
      </c>
      <c r="EX59" s="465">
        <f t="shared" si="38"/>
        <v>10000000</v>
      </c>
      <c r="EY59" s="107"/>
      <c r="EZ59" s="465">
        <v>25000000</v>
      </c>
      <c r="FA59" s="465">
        <v>0</v>
      </c>
      <c r="FB59" s="465">
        <f t="shared" si="39"/>
        <v>25000000</v>
      </c>
      <c r="FC59" s="107"/>
      <c r="FD59" s="465">
        <v>3000000</v>
      </c>
      <c r="FE59" s="465">
        <v>0</v>
      </c>
      <c r="FF59" s="465">
        <f t="shared" si="40"/>
        <v>3000000</v>
      </c>
      <c r="FG59" s="107"/>
      <c r="FH59" s="637">
        <v>65000000</v>
      </c>
      <c r="FI59" s="637">
        <v>0</v>
      </c>
      <c r="FJ59" s="637">
        <f t="shared" si="106"/>
        <v>65000000</v>
      </c>
      <c r="FK59" s="637"/>
      <c r="FL59" s="637">
        <v>8000000</v>
      </c>
      <c r="FM59" s="637">
        <v>0</v>
      </c>
      <c r="FN59" s="637">
        <f t="shared" si="107"/>
        <v>8000000</v>
      </c>
      <c r="FO59" s="637"/>
      <c r="FP59" s="637">
        <v>5000000</v>
      </c>
      <c r="FQ59" s="637">
        <v>0</v>
      </c>
      <c r="FR59" s="637">
        <f t="shared" si="108"/>
        <v>5000000</v>
      </c>
      <c r="FS59" s="637"/>
      <c r="FT59" s="637">
        <v>18000000</v>
      </c>
      <c r="FU59" s="637">
        <v>0</v>
      </c>
      <c r="FV59" s="637">
        <f t="shared" si="109"/>
        <v>18000000</v>
      </c>
      <c r="FW59" s="637"/>
      <c r="FX59" s="637">
        <v>3000000</v>
      </c>
      <c r="FY59" s="637">
        <v>0</v>
      </c>
      <c r="FZ59" s="637">
        <f t="shared" si="110"/>
        <v>3000000</v>
      </c>
      <c r="GA59" s="637"/>
      <c r="GB59" s="637">
        <v>90000000</v>
      </c>
      <c r="GC59" s="637">
        <v>0</v>
      </c>
      <c r="GD59" s="637">
        <f t="shared" si="115"/>
        <v>90000000</v>
      </c>
      <c r="GE59" s="637"/>
      <c r="GF59" s="637">
        <v>22000000</v>
      </c>
      <c r="GG59" s="637">
        <v>0</v>
      </c>
      <c r="GH59" s="637">
        <f t="shared" ref="GH59:GH69" si="119">GF59-GG59</f>
        <v>22000000</v>
      </c>
      <c r="GI59" s="637"/>
      <c r="GJ59" s="637">
        <v>3000000</v>
      </c>
      <c r="GK59" s="637">
        <v>0</v>
      </c>
      <c r="GL59" s="637">
        <f t="shared" si="116"/>
        <v>3000000</v>
      </c>
      <c r="GM59" s="637"/>
      <c r="GN59" s="637">
        <v>12000000</v>
      </c>
      <c r="GO59" s="637">
        <v>0</v>
      </c>
      <c r="GP59" s="637">
        <f t="shared" si="117"/>
        <v>12000000</v>
      </c>
      <c r="GQ59" s="637"/>
      <c r="GR59" s="637">
        <v>3000000</v>
      </c>
      <c r="GS59" s="637">
        <v>0</v>
      </c>
      <c r="GT59" s="637">
        <f t="shared" si="118"/>
        <v>3000000</v>
      </c>
      <c r="GU59" s="637"/>
      <c r="GV59" s="587">
        <f t="shared" si="50"/>
        <v>1079973000</v>
      </c>
      <c r="GW59" s="587">
        <f t="shared" si="50"/>
        <v>532419776.5400002</v>
      </c>
      <c r="GX59" s="468">
        <f t="shared" si="51"/>
        <v>547553223.4599998</v>
      </c>
      <c r="GZ59" s="519"/>
      <c r="HA59" s="468">
        <f>D59+H59+L59+X59+AN59+BH59+CB59+CV59+DT59+EN59+FH59+GB59</f>
        <v>711000000</v>
      </c>
      <c r="HB59" s="468">
        <f>E59+I59+M59+Y59+AO59+BI59+CC59+CW59+DU59+EO59+FI59+GC59</f>
        <v>379476103.83999997</v>
      </c>
      <c r="HC59" s="471">
        <f t="shared" si="52"/>
        <v>331523896.16000003</v>
      </c>
      <c r="HE59" s="471">
        <f>P59+AB59+AR59+BL59+CF59+CZ59+DX59+ER59+FL59+GF59</f>
        <v>92473000</v>
      </c>
      <c r="HF59" s="471">
        <f>Q59+AC59+AS59+BM59+CG59+DA59+DY59+ES59+FM59+GG59</f>
        <v>18103000</v>
      </c>
      <c r="HG59" s="471">
        <f t="shared" si="53"/>
        <v>74370000</v>
      </c>
      <c r="HI59" s="471">
        <f>T59+AF59+AV59+BP59+CJ59+DD59+EB59+EV59+FP59+GJ59</f>
        <v>65000000</v>
      </c>
      <c r="HJ59" s="471">
        <f>U59+AG59+AW59+BQ59+CK59+DE59+EC59+EW59+FQ59+GK59</f>
        <v>0</v>
      </c>
      <c r="HK59" s="471">
        <f t="shared" si="54"/>
        <v>65000000</v>
      </c>
      <c r="HN59" s="471">
        <f>AJ59+AZ59+BT59+CN59+DH59+DP59+EF59+EZ59+FT59+GN59</f>
        <v>187500000</v>
      </c>
      <c r="HO59" s="471">
        <f>AK59+BA59+BU59+CO59+DI59+DQ59+EG59+FA59+FU59+GO59</f>
        <v>132199822.70000027</v>
      </c>
      <c r="HP59" s="471">
        <f t="shared" si="55"/>
        <v>55300177.299999729</v>
      </c>
      <c r="HR59" s="531"/>
      <c r="HT59" s="471">
        <f>BX59+CR59+DL59+EJ59+FD59+FX59+GR59</f>
        <v>24000000</v>
      </c>
      <c r="HU59" s="471">
        <f>BY59+CS59+DM59+EK59+FE59+FY59+GS59</f>
        <v>2640850</v>
      </c>
      <c r="HV59" s="471">
        <f t="shared" si="56"/>
        <v>21359150</v>
      </c>
      <c r="HX59" s="473">
        <f t="shared" si="57"/>
        <v>0</v>
      </c>
      <c r="HY59" s="474">
        <v>2640850</v>
      </c>
      <c r="ID59" s="473">
        <f>HU59+HO59+HJ59+HF59+HB59</f>
        <v>532419776.54000026</v>
      </c>
      <c r="IE59" s="473">
        <f>HV59+HP59+HK59+HG59+HC59</f>
        <v>547553223.4599998</v>
      </c>
      <c r="IF59" s="473"/>
    </row>
    <row r="60" spans="1:240" x14ac:dyDescent="0.25">
      <c r="A60" s="107">
        <v>56</v>
      </c>
      <c r="B60" s="107" t="s">
        <v>577</v>
      </c>
      <c r="C60" s="634" t="s">
        <v>74</v>
      </c>
      <c r="D60" s="488">
        <v>1000000</v>
      </c>
      <c r="E60" s="488">
        <v>1000000</v>
      </c>
      <c r="F60" s="475">
        <f t="shared" si="1"/>
        <v>0</v>
      </c>
      <c r="G60" s="488"/>
      <c r="H60" s="465">
        <v>15000000</v>
      </c>
      <c r="I60" s="465">
        <v>15000000</v>
      </c>
      <c r="J60" s="463">
        <f t="shared" si="2"/>
        <v>0</v>
      </c>
      <c r="K60" s="488"/>
      <c r="L60" s="465">
        <v>15000000</v>
      </c>
      <c r="M60" s="465">
        <v>15000000</v>
      </c>
      <c r="N60" s="543">
        <f t="shared" si="3"/>
        <v>0</v>
      </c>
      <c r="O60" s="488"/>
      <c r="P60" s="465">
        <v>2500000</v>
      </c>
      <c r="Q60" s="465">
        <v>2500000</v>
      </c>
      <c r="R60" s="543">
        <f t="shared" si="4"/>
        <v>0</v>
      </c>
      <c r="S60" s="488"/>
      <c r="T60" s="465">
        <v>1000000</v>
      </c>
      <c r="U60" s="465">
        <v>1000000</v>
      </c>
      <c r="V60" s="543">
        <f t="shared" si="5"/>
        <v>0</v>
      </c>
      <c r="W60" s="488"/>
      <c r="X60" s="465">
        <v>20000000</v>
      </c>
      <c r="Y60" s="465">
        <v>20000000</v>
      </c>
      <c r="Z60" s="543">
        <f t="shared" si="6"/>
        <v>0</v>
      </c>
      <c r="AA60" s="488"/>
      <c r="AB60" s="465">
        <v>5000000</v>
      </c>
      <c r="AC60" s="465">
        <v>5000000</v>
      </c>
      <c r="AD60" s="543">
        <f t="shared" si="7"/>
        <v>0</v>
      </c>
      <c r="AE60" s="488"/>
      <c r="AF60" s="465">
        <v>1550000</v>
      </c>
      <c r="AG60" s="465">
        <v>1550000</v>
      </c>
      <c r="AH60" s="543">
        <f t="shared" si="8"/>
        <v>0</v>
      </c>
      <c r="AI60" s="488"/>
      <c r="AJ60" s="465">
        <v>7500000</v>
      </c>
      <c r="AK60" s="465">
        <v>7500000</v>
      </c>
      <c r="AL60" s="543">
        <f t="shared" si="9"/>
        <v>0</v>
      </c>
      <c r="AM60" s="465"/>
      <c r="AN60" s="465">
        <v>30000000</v>
      </c>
      <c r="AO60" s="465">
        <v>30000000</v>
      </c>
      <c r="AP60" s="543">
        <f t="shared" si="10"/>
        <v>0</v>
      </c>
      <c r="AQ60" s="488"/>
      <c r="AR60" s="465">
        <v>3000000</v>
      </c>
      <c r="AS60" s="465">
        <v>3000000</v>
      </c>
      <c r="AT60" s="543">
        <f t="shared" si="11"/>
        <v>0</v>
      </c>
      <c r="AU60" s="488"/>
      <c r="AV60" s="465">
        <v>2000000</v>
      </c>
      <c r="AW60" s="465">
        <v>0</v>
      </c>
      <c r="AX60" s="543">
        <f t="shared" si="12"/>
        <v>2000000</v>
      </c>
      <c r="AY60" s="488"/>
      <c r="AZ60" s="465">
        <v>10000000</v>
      </c>
      <c r="BA60" s="465">
        <v>10000000</v>
      </c>
      <c r="BB60" s="543">
        <f t="shared" si="13"/>
        <v>0</v>
      </c>
      <c r="BC60" s="488"/>
      <c r="BD60" s="465">
        <v>0</v>
      </c>
      <c r="BE60" s="465">
        <v>0</v>
      </c>
      <c r="BF60" s="543">
        <f t="shared" si="14"/>
        <v>0</v>
      </c>
      <c r="BG60" s="488"/>
      <c r="BH60" s="465">
        <v>55000000</v>
      </c>
      <c r="BI60" s="465">
        <v>55000000</v>
      </c>
      <c r="BJ60" s="543">
        <f t="shared" si="15"/>
        <v>0</v>
      </c>
      <c r="BK60" s="488"/>
      <c r="BL60" s="465">
        <v>5000000</v>
      </c>
      <c r="BM60" s="465">
        <v>5000000</v>
      </c>
      <c r="BN60" s="543">
        <f t="shared" si="16"/>
        <v>0</v>
      </c>
      <c r="BO60" s="488"/>
      <c r="BP60" s="465">
        <v>5000000</v>
      </c>
      <c r="BQ60" s="465">
        <v>0</v>
      </c>
      <c r="BR60" s="543">
        <f t="shared" si="17"/>
        <v>5000000</v>
      </c>
      <c r="BS60" s="488"/>
      <c r="BT60" s="465">
        <v>15000000</v>
      </c>
      <c r="BU60" s="465">
        <v>15000000</v>
      </c>
      <c r="BV60" s="543">
        <f t="shared" si="18"/>
        <v>0</v>
      </c>
      <c r="BW60" s="488"/>
      <c r="BX60" s="465">
        <v>1000000</v>
      </c>
      <c r="BY60" s="465">
        <v>1000000</v>
      </c>
      <c r="BZ60" s="543">
        <f t="shared" si="19"/>
        <v>0</v>
      </c>
      <c r="CA60" s="488"/>
      <c r="CB60" s="468">
        <v>80000000</v>
      </c>
      <c r="CC60" s="465">
        <v>80000000</v>
      </c>
      <c r="CD60" s="543">
        <f t="shared" si="20"/>
        <v>0</v>
      </c>
      <c r="CE60" s="488"/>
      <c r="CF60" s="468">
        <v>10000000</v>
      </c>
      <c r="CG60" s="468">
        <v>10000000</v>
      </c>
      <c r="CH60" s="543">
        <f t="shared" si="21"/>
        <v>0</v>
      </c>
      <c r="CI60" s="488"/>
      <c r="CJ60" s="468">
        <v>10000000</v>
      </c>
      <c r="CK60" s="468">
        <v>0</v>
      </c>
      <c r="CL60" s="543">
        <f t="shared" si="22"/>
        <v>10000000</v>
      </c>
      <c r="CM60" s="488"/>
      <c r="CN60" s="468">
        <v>30000000</v>
      </c>
      <c r="CO60" s="490">
        <f>29916410+83590</f>
        <v>30000000</v>
      </c>
      <c r="CP60" s="543">
        <f t="shared" si="23"/>
        <v>0</v>
      </c>
      <c r="CQ60" s="488"/>
      <c r="CR60" s="465">
        <v>5000000</v>
      </c>
      <c r="CS60" s="468">
        <f>4444490+150000</f>
        <v>4594490</v>
      </c>
      <c r="CT60" s="465">
        <f t="shared" si="24"/>
        <v>405510</v>
      </c>
      <c r="CU60" s="488"/>
      <c r="CV60" s="525">
        <v>80000000</v>
      </c>
      <c r="CW60" s="465">
        <v>80000000</v>
      </c>
      <c r="CX60" s="543">
        <f t="shared" si="25"/>
        <v>0</v>
      </c>
      <c r="CY60" s="471"/>
      <c r="CZ60" s="468">
        <v>20000000</v>
      </c>
      <c r="DA60" s="468">
        <f>20090590-90590</f>
        <v>20000000</v>
      </c>
      <c r="DB60" s="543">
        <f t="shared" si="26"/>
        <v>0</v>
      </c>
      <c r="DC60" s="471"/>
      <c r="DD60" s="468">
        <v>20000000</v>
      </c>
      <c r="DE60" s="468">
        <v>0</v>
      </c>
      <c r="DF60" s="543">
        <f t="shared" si="27"/>
        <v>20000000</v>
      </c>
      <c r="DG60" s="488"/>
      <c r="DH60" s="468">
        <v>50000000</v>
      </c>
      <c r="DI60" s="505">
        <f>49023232+976768</f>
        <v>50000000</v>
      </c>
      <c r="DJ60" s="543">
        <f t="shared" si="28"/>
        <v>0</v>
      </c>
      <c r="DK60" s="488"/>
      <c r="DL60" s="465">
        <v>6000000</v>
      </c>
      <c r="DM60" s="468">
        <v>5083000</v>
      </c>
      <c r="DN60" s="465">
        <f t="shared" si="29"/>
        <v>917000</v>
      </c>
      <c r="DO60" s="488"/>
      <c r="DP60" s="471">
        <v>0</v>
      </c>
      <c r="DQ60" s="471">
        <v>0</v>
      </c>
      <c r="DR60" s="471">
        <f t="shared" si="30"/>
        <v>0</v>
      </c>
      <c r="DT60" s="471">
        <v>60000000</v>
      </c>
      <c r="DU60" s="471">
        <f>37366700+4100000+18533300</f>
        <v>60000000</v>
      </c>
      <c r="DV60" s="471">
        <f t="shared" si="31"/>
        <v>0</v>
      </c>
      <c r="DX60" s="471">
        <v>10000000</v>
      </c>
      <c r="DY60" s="471">
        <f>10040000-40000</f>
        <v>10000000</v>
      </c>
      <c r="DZ60" s="471">
        <f t="shared" si="32"/>
        <v>0</v>
      </c>
      <c r="EB60" s="471">
        <v>10000000</v>
      </c>
      <c r="EC60" s="471">
        <v>0</v>
      </c>
      <c r="ED60" s="471">
        <f t="shared" si="33"/>
        <v>10000000</v>
      </c>
      <c r="EF60" s="471">
        <v>20000000</v>
      </c>
      <c r="EG60" s="471">
        <v>20000000</v>
      </c>
      <c r="EH60" s="471">
        <f t="shared" si="34"/>
        <v>0</v>
      </c>
      <c r="EJ60" s="471">
        <v>3000000</v>
      </c>
      <c r="EK60" s="471">
        <f>2550000.17+449999.83</f>
        <v>3000000</v>
      </c>
      <c r="EL60" s="471">
        <f t="shared" si="35"/>
        <v>0</v>
      </c>
      <c r="EM60" s="634"/>
      <c r="EN60" s="465">
        <v>200000000</v>
      </c>
      <c r="EO60" s="465">
        <f>34966700+53500000-53500000+57100000+2172500+85590000+3900000+16270800</f>
        <v>200000000</v>
      </c>
      <c r="EP60" s="465">
        <f t="shared" si="36"/>
        <v>0</v>
      </c>
      <c r="EQ60" s="465"/>
      <c r="ER60" s="465">
        <v>10000000</v>
      </c>
      <c r="ES60" s="484">
        <f>3787200+40000+90590+3411600</f>
        <v>7329390</v>
      </c>
      <c r="ET60" s="465">
        <f t="shared" si="37"/>
        <v>2670610</v>
      </c>
      <c r="EU60" s="465"/>
      <c r="EV60" s="465">
        <v>10000000</v>
      </c>
      <c r="EW60" s="465">
        <v>0</v>
      </c>
      <c r="EX60" s="465">
        <f t="shared" si="38"/>
        <v>10000000</v>
      </c>
      <c r="EY60" s="465"/>
      <c r="EZ60" s="465">
        <v>25000000</v>
      </c>
      <c r="FA60" s="465">
        <f>10519700+30519700-30519700+12082187+2398113</f>
        <v>25000000</v>
      </c>
      <c r="FB60" s="465">
        <f t="shared" si="39"/>
        <v>0</v>
      </c>
      <c r="FC60" s="107"/>
      <c r="FD60" s="465">
        <v>3000000</v>
      </c>
      <c r="FE60" s="465">
        <f>1126750.17</f>
        <v>1126750.17</v>
      </c>
      <c r="FF60" s="465">
        <f t="shared" si="40"/>
        <v>1873249.83</v>
      </c>
      <c r="FG60" s="465"/>
      <c r="FH60" s="637">
        <v>65000000</v>
      </c>
      <c r="FI60" s="637">
        <f>37200000+26691757.25</f>
        <v>63891757.25</v>
      </c>
      <c r="FJ60" s="637">
        <f t="shared" si="106"/>
        <v>1108242.75</v>
      </c>
      <c r="FK60" s="637"/>
      <c r="FL60" s="637">
        <v>8000000</v>
      </c>
      <c r="FM60" s="637">
        <v>0</v>
      </c>
      <c r="FN60" s="637">
        <f t="shared" si="107"/>
        <v>8000000</v>
      </c>
      <c r="FO60" s="637"/>
      <c r="FP60" s="637">
        <v>5000000</v>
      </c>
      <c r="FQ60" s="637">
        <v>0</v>
      </c>
      <c r="FR60" s="637">
        <f t="shared" si="108"/>
        <v>5000000</v>
      </c>
      <c r="FS60" s="637"/>
      <c r="FT60" s="637">
        <v>18000000</v>
      </c>
      <c r="FU60" s="642">
        <f>8380385+6117985.95+3501629.05</f>
        <v>18000000</v>
      </c>
      <c r="FV60" s="637">
        <f t="shared" si="109"/>
        <v>0</v>
      </c>
      <c r="FW60" s="637"/>
      <c r="FX60" s="637">
        <v>3000000</v>
      </c>
      <c r="FY60" s="637">
        <v>0</v>
      </c>
      <c r="FZ60" s="637">
        <f t="shared" si="110"/>
        <v>3000000</v>
      </c>
      <c r="GA60" s="637"/>
      <c r="GB60" s="637">
        <v>90000000</v>
      </c>
      <c r="GC60" s="637">
        <v>0</v>
      </c>
      <c r="GD60" s="637">
        <f t="shared" si="115"/>
        <v>90000000</v>
      </c>
      <c r="GE60" s="637"/>
      <c r="GF60" s="637">
        <v>22000000</v>
      </c>
      <c r="GG60" s="637">
        <v>0</v>
      </c>
      <c r="GH60" s="637">
        <f t="shared" si="119"/>
        <v>22000000</v>
      </c>
      <c r="GI60" s="637"/>
      <c r="GJ60" s="637">
        <v>3000000</v>
      </c>
      <c r="GK60" s="637">
        <v>0</v>
      </c>
      <c r="GL60" s="637">
        <f t="shared" si="116"/>
        <v>3000000</v>
      </c>
      <c r="GM60" s="637"/>
      <c r="GN60" s="637">
        <v>12000000</v>
      </c>
      <c r="GO60" s="642">
        <f>11597960.95</f>
        <v>11597960.949999999</v>
      </c>
      <c r="GP60" s="637">
        <f t="shared" si="117"/>
        <v>402039.05000000075</v>
      </c>
      <c r="GQ60" s="637"/>
      <c r="GR60" s="637">
        <v>3000000</v>
      </c>
      <c r="GS60" s="637">
        <v>0</v>
      </c>
      <c r="GT60" s="637">
        <f t="shared" si="118"/>
        <v>3000000</v>
      </c>
      <c r="GU60" s="637"/>
      <c r="GV60" s="587">
        <f t="shared" si="50"/>
        <v>1085550000</v>
      </c>
      <c r="GW60" s="587">
        <f t="shared" si="50"/>
        <v>887173348.37</v>
      </c>
      <c r="GX60" s="468">
        <f t="shared" si="51"/>
        <v>198376651.63</v>
      </c>
      <c r="GZ60" s="519"/>
      <c r="HA60" s="468">
        <f>D60+H60+L60+X60+AN60+BH60+CB60+CV60+DT60+EN60+FH60+GB60</f>
        <v>711000000</v>
      </c>
      <c r="HB60" s="468">
        <f>E60+I60+M60+Y60+AO60+BI60+CC60+CW60+DU60+EO60+FI60+GC60</f>
        <v>619891757.25</v>
      </c>
      <c r="HC60" s="471">
        <f t="shared" si="52"/>
        <v>91108242.75</v>
      </c>
      <c r="HE60" s="471">
        <f>P60+AB60+AR60+BL60+CF60+CZ60+DX60+ER60+FL60+GF60</f>
        <v>95500000</v>
      </c>
      <c r="HF60" s="471">
        <f>Q60+AC60+AS60+BM60+CG60+DA60+DY60+ES60+FM60+GG60</f>
        <v>62829390</v>
      </c>
      <c r="HG60" s="471">
        <f t="shared" si="53"/>
        <v>32670610</v>
      </c>
      <c r="HI60" s="471">
        <f>T60+AF60+AV60+BP60+CJ60+DD60+EB60+EV60+FP60+GJ60</f>
        <v>67550000</v>
      </c>
      <c r="HJ60" s="471">
        <f>U60+AG60+AW60+BQ60+CK60+DE60+EC60+EW60+FQ60+GK60</f>
        <v>2550000</v>
      </c>
      <c r="HK60" s="471">
        <f t="shared" si="54"/>
        <v>65000000</v>
      </c>
      <c r="HN60" s="471">
        <f>AJ60+AZ60+BT60+CN60+DH60+DP60+EF60+EZ60+FT60+GN60</f>
        <v>187500000</v>
      </c>
      <c r="HO60" s="471">
        <f>AK60+BA60+BU60+CO60+DI60+DQ60+EG60+FA60+FU60+GO60</f>
        <v>187097960.94999999</v>
      </c>
      <c r="HP60" s="471">
        <f t="shared" si="55"/>
        <v>402039.05000001192</v>
      </c>
      <c r="HR60" s="531"/>
      <c r="HT60" s="471">
        <f>BX60+CR60+DL60+EJ60+FD60+FX60+GR60</f>
        <v>24000000</v>
      </c>
      <c r="HU60" s="471">
        <f>BY60+CS60+DM60+EK60+FE60+FY60+GS60</f>
        <v>14804240.17</v>
      </c>
      <c r="HV60" s="471">
        <f t="shared" si="56"/>
        <v>9195759.8300000001</v>
      </c>
      <c r="HX60" s="473">
        <f t="shared" si="57"/>
        <v>0</v>
      </c>
      <c r="HY60" s="474">
        <v>14804240.17</v>
      </c>
      <c r="ID60" s="473">
        <f>HU60+HO60+HJ60+HF60+HB60</f>
        <v>887173348.37</v>
      </c>
      <c r="IE60" s="473">
        <f>HV60+HP60+HK60+HG60+HC60</f>
        <v>198376651.63</v>
      </c>
      <c r="IF60" s="473"/>
    </row>
    <row r="61" spans="1:240" x14ac:dyDescent="0.25">
      <c r="A61" s="107">
        <v>57</v>
      </c>
      <c r="B61" s="107" t="s">
        <v>378</v>
      </c>
      <c r="C61" s="634" t="s">
        <v>63</v>
      </c>
      <c r="D61" s="488">
        <v>1000000</v>
      </c>
      <c r="E61" s="488">
        <v>1000000</v>
      </c>
      <c r="F61" s="475">
        <f t="shared" si="1"/>
        <v>0</v>
      </c>
      <c r="G61" s="488"/>
      <c r="H61" s="465">
        <v>15000000</v>
      </c>
      <c r="I61" s="465">
        <v>15000000</v>
      </c>
      <c r="J61" s="463">
        <f t="shared" si="2"/>
        <v>0</v>
      </c>
      <c r="K61" s="488"/>
      <c r="L61" s="465">
        <v>15000000</v>
      </c>
      <c r="M61" s="465">
        <v>15000000</v>
      </c>
      <c r="N61" s="543">
        <f t="shared" si="3"/>
        <v>0</v>
      </c>
      <c r="O61" s="488"/>
      <c r="P61" s="465">
        <v>0</v>
      </c>
      <c r="Q61" s="465">
        <v>0</v>
      </c>
      <c r="R61" s="543">
        <f t="shared" si="4"/>
        <v>0</v>
      </c>
      <c r="S61" s="488"/>
      <c r="T61" s="465">
        <v>0</v>
      </c>
      <c r="U61" s="465">
        <v>0</v>
      </c>
      <c r="V61" s="543">
        <f t="shared" si="5"/>
        <v>0</v>
      </c>
      <c r="W61" s="488"/>
      <c r="X61" s="465">
        <v>20000000</v>
      </c>
      <c r="Y61" s="465">
        <v>20000000</v>
      </c>
      <c r="Z61" s="543">
        <f t="shared" si="6"/>
        <v>0</v>
      </c>
      <c r="AA61" s="488"/>
      <c r="AB61" s="465">
        <v>0</v>
      </c>
      <c r="AC61" s="465">
        <v>0</v>
      </c>
      <c r="AD61" s="543">
        <f t="shared" si="7"/>
        <v>0</v>
      </c>
      <c r="AE61" s="488"/>
      <c r="AF61" s="465">
        <v>0</v>
      </c>
      <c r="AG61" s="465">
        <v>0</v>
      </c>
      <c r="AH61" s="543">
        <f t="shared" si="8"/>
        <v>0</v>
      </c>
      <c r="AI61" s="488"/>
      <c r="AJ61" s="465">
        <v>7500000</v>
      </c>
      <c r="AK61" s="465">
        <v>7500000</v>
      </c>
      <c r="AL61" s="543">
        <f t="shared" si="9"/>
        <v>0</v>
      </c>
      <c r="AM61" s="465"/>
      <c r="AN61" s="465">
        <v>30000000</v>
      </c>
      <c r="AO61" s="465">
        <v>30000000</v>
      </c>
      <c r="AP61" s="543">
        <f t="shared" si="10"/>
        <v>0</v>
      </c>
      <c r="AQ61" s="488"/>
      <c r="AR61" s="465">
        <v>3000000</v>
      </c>
      <c r="AS61" s="465">
        <v>3000000</v>
      </c>
      <c r="AT61" s="543">
        <f t="shared" si="11"/>
        <v>0</v>
      </c>
      <c r="AU61" s="488"/>
      <c r="AV61" s="465">
        <v>2000000</v>
      </c>
      <c r="AW61" s="465">
        <v>0</v>
      </c>
      <c r="AX61" s="543">
        <f t="shared" si="12"/>
        <v>2000000</v>
      </c>
      <c r="AY61" s="488"/>
      <c r="AZ61" s="465">
        <v>10000000</v>
      </c>
      <c r="BA61" s="465">
        <v>10000000</v>
      </c>
      <c r="BB61" s="543">
        <f t="shared" si="13"/>
        <v>0</v>
      </c>
      <c r="BC61" s="488"/>
      <c r="BD61" s="465">
        <v>0</v>
      </c>
      <c r="BE61" s="465">
        <v>0</v>
      </c>
      <c r="BF61" s="543">
        <f t="shared" si="14"/>
        <v>0</v>
      </c>
      <c r="BG61" s="488"/>
      <c r="BH61" s="465">
        <v>55000000</v>
      </c>
      <c r="BI61" s="465">
        <v>55000000</v>
      </c>
      <c r="BJ61" s="543">
        <f t="shared" si="15"/>
        <v>0</v>
      </c>
      <c r="BK61" s="488"/>
      <c r="BL61" s="465">
        <v>5000000</v>
      </c>
      <c r="BM61" s="465">
        <v>5000000</v>
      </c>
      <c r="BN61" s="543">
        <f t="shared" si="16"/>
        <v>0</v>
      </c>
      <c r="BO61" s="488"/>
      <c r="BP61" s="465">
        <v>5000000</v>
      </c>
      <c r="BQ61" s="465">
        <v>5000000</v>
      </c>
      <c r="BR61" s="543">
        <f t="shared" si="17"/>
        <v>0</v>
      </c>
      <c r="BS61" s="488"/>
      <c r="BT61" s="465">
        <v>15000000</v>
      </c>
      <c r="BU61" s="465">
        <v>15000000</v>
      </c>
      <c r="BV61" s="543">
        <f t="shared" si="18"/>
        <v>0</v>
      </c>
      <c r="BW61" s="488"/>
      <c r="BX61" s="465">
        <v>1000000</v>
      </c>
      <c r="BY61" s="465">
        <v>1000000</v>
      </c>
      <c r="BZ61" s="543">
        <f t="shared" si="19"/>
        <v>0</v>
      </c>
      <c r="CA61" s="488"/>
      <c r="CB61" s="468">
        <v>80000000</v>
      </c>
      <c r="CC61" s="465">
        <v>80000000</v>
      </c>
      <c r="CD61" s="543">
        <f t="shared" si="20"/>
        <v>0</v>
      </c>
      <c r="CE61" s="488"/>
      <c r="CF61" s="468">
        <v>10000000</v>
      </c>
      <c r="CG61" s="468">
        <v>10000000</v>
      </c>
      <c r="CH61" s="543">
        <f t="shared" si="21"/>
        <v>0</v>
      </c>
      <c r="CI61" s="488"/>
      <c r="CJ61" s="468">
        <v>10000000</v>
      </c>
      <c r="CK61" s="468">
        <f>952347+1050414.3</f>
        <v>2002761.3</v>
      </c>
      <c r="CL61" s="543">
        <f t="shared" si="22"/>
        <v>7997238.7000000002</v>
      </c>
      <c r="CM61" s="488"/>
      <c r="CN61" s="468">
        <v>30000000</v>
      </c>
      <c r="CO61" s="468">
        <v>30000000</v>
      </c>
      <c r="CP61" s="543">
        <f t="shared" si="23"/>
        <v>0</v>
      </c>
      <c r="CQ61" s="488"/>
      <c r="CR61" s="465">
        <v>5000000</v>
      </c>
      <c r="CS61" s="468">
        <f>3176500+402500</f>
        <v>3579000</v>
      </c>
      <c r="CT61" s="465">
        <f t="shared" si="24"/>
        <v>1421000</v>
      </c>
      <c r="CU61" s="488"/>
      <c r="CV61" s="525">
        <v>80000000</v>
      </c>
      <c r="CW61" s="465">
        <v>80000000</v>
      </c>
      <c r="CX61" s="543">
        <f t="shared" si="25"/>
        <v>0</v>
      </c>
      <c r="CY61" s="471"/>
      <c r="CZ61" s="468">
        <v>20000000</v>
      </c>
      <c r="DA61" s="468">
        <v>20000000</v>
      </c>
      <c r="DB61" s="543">
        <f t="shared" si="26"/>
        <v>0</v>
      </c>
      <c r="DC61" s="471"/>
      <c r="DD61" s="468">
        <v>20000000</v>
      </c>
      <c r="DE61" s="468">
        <v>0</v>
      </c>
      <c r="DF61" s="543">
        <f t="shared" si="27"/>
        <v>20000000</v>
      </c>
      <c r="DG61" s="488"/>
      <c r="DH61" s="468">
        <v>50000000</v>
      </c>
      <c r="DI61" s="468">
        <v>50000000</v>
      </c>
      <c r="DJ61" s="543">
        <f t="shared" si="28"/>
        <v>0</v>
      </c>
      <c r="DK61" s="488"/>
      <c r="DL61" s="465">
        <v>6000000</v>
      </c>
      <c r="DM61" s="468">
        <v>0</v>
      </c>
      <c r="DN61" s="465">
        <f t="shared" si="29"/>
        <v>6000000</v>
      </c>
      <c r="DO61" s="488"/>
      <c r="DP61" s="471">
        <v>0</v>
      </c>
      <c r="DQ61" s="471">
        <v>0</v>
      </c>
      <c r="DR61" s="471">
        <f t="shared" si="30"/>
        <v>0</v>
      </c>
      <c r="DT61" s="471">
        <v>60000000</v>
      </c>
      <c r="DU61" s="471">
        <f>37342275.12+22657724.88</f>
        <v>60000000</v>
      </c>
      <c r="DV61" s="471">
        <f t="shared" si="31"/>
        <v>0</v>
      </c>
      <c r="DX61" s="471">
        <v>10000000</v>
      </c>
      <c r="DY61" s="471">
        <f>9495650+504350</f>
        <v>10000000</v>
      </c>
      <c r="DZ61" s="471">
        <f t="shared" si="32"/>
        <v>0</v>
      </c>
      <c r="EB61" s="471">
        <v>10000000</v>
      </c>
      <c r="EC61" s="471">
        <v>0</v>
      </c>
      <c r="ED61" s="471">
        <f t="shared" si="33"/>
        <v>10000000</v>
      </c>
      <c r="EF61" s="471">
        <v>20000000</v>
      </c>
      <c r="EG61" s="471">
        <f>7784184+259100+11956716</f>
        <v>20000000</v>
      </c>
      <c r="EH61" s="471">
        <f t="shared" si="34"/>
        <v>0</v>
      </c>
      <c r="EJ61" s="471">
        <v>3000000</v>
      </c>
      <c r="EK61" s="471">
        <v>0</v>
      </c>
      <c r="EL61" s="471">
        <f t="shared" si="35"/>
        <v>3000000</v>
      </c>
      <c r="EM61" s="634"/>
      <c r="EN61" s="465">
        <v>200000000</v>
      </c>
      <c r="EO61" s="465">
        <f>17842275.12+78239715.2+25500000</f>
        <v>121581990.32000001</v>
      </c>
      <c r="EP61" s="465">
        <f t="shared" si="36"/>
        <v>78418009.679999992</v>
      </c>
      <c r="EQ61" s="465"/>
      <c r="ER61" s="465">
        <v>10000000</v>
      </c>
      <c r="ES61" s="465">
        <f>1986109</f>
        <v>1986109</v>
      </c>
      <c r="ET61" s="465">
        <f t="shared" si="37"/>
        <v>8013891</v>
      </c>
      <c r="EU61" s="465"/>
      <c r="EV61" s="465">
        <v>10000000</v>
      </c>
      <c r="EW61" s="465">
        <v>0</v>
      </c>
      <c r="EX61" s="465">
        <f t="shared" si="38"/>
        <v>10000000</v>
      </c>
      <c r="EY61" s="465"/>
      <c r="EZ61" s="465">
        <v>25000000</v>
      </c>
      <c r="FA61" s="465">
        <f>1138104+7422070+2846800</f>
        <v>11406974</v>
      </c>
      <c r="FB61" s="465">
        <f t="shared" si="39"/>
        <v>13593026</v>
      </c>
      <c r="FC61" s="107"/>
      <c r="FD61" s="465">
        <v>3000000</v>
      </c>
      <c r="FE61" s="465">
        <v>0</v>
      </c>
      <c r="FF61" s="465">
        <f t="shared" si="40"/>
        <v>3000000</v>
      </c>
      <c r="FG61" s="465"/>
      <c r="FH61" s="637">
        <v>65000000</v>
      </c>
      <c r="FI61" s="637">
        <v>0</v>
      </c>
      <c r="FJ61" s="637">
        <f t="shared" si="106"/>
        <v>65000000</v>
      </c>
      <c r="FK61" s="637"/>
      <c r="FL61" s="637">
        <v>8000000</v>
      </c>
      <c r="FM61" s="637">
        <v>0</v>
      </c>
      <c r="FN61" s="637">
        <f t="shared" si="107"/>
        <v>8000000</v>
      </c>
      <c r="FO61" s="637"/>
      <c r="FP61" s="637">
        <v>5000000</v>
      </c>
      <c r="FQ61" s="637">
        <v>0</v>
      </c>
      <c r="FR61" s="637">
        <f t="shared" si="108"/>
        <v>5000000</v>
      </c>
      <c r="FS61" s="637"/>
      <c r="FT61" s="637">
        <v>18000000</v>
      </c>
      <c r="FU61" s="637">
        <v>0</v>
      </c>
      <c r="FV61" s="637">
        <f t="shared" si="109"/>
        <v>18000000</v>
      </c>
      <c r="FW61" s="637"/>
      <c r="FX61" s="637">
        <v>3000000</v>
      </c>
      <c r="FY61" s="637">
        <v>0</v>
      </c>
      <c r="FZ61" s="637">
        <f t="shared" si="110"/>
        <v>3000000</v>
      </c>
      <c r="GA61" s="637"/>
      <c r="GB61" s="637">
        <v>90000000</v>
      </c>
      <c r="GC61" s="637">
        <v>0</v>
      </c>
      <c r="GD61" s="637">
        <f t="shared" si="115"/>
        <v>90000000</v>
      </c>
      <c r="GE61" s="637"/>
      <c r="GF61" s="637">
        <v>22000000</v>
      </c>
      <c r="GG61" s="637">
        <v>0</v>
      </c>
      <c r="GH61" s="637">
        <f t="shared" si="119"/>
        <v>22000000</v>
      </c>
      <c r="GI61" s="637"/>
      <c r="GJ61" s="637">
        <v>3000000</v>
      </c>
      <c r="GK61" s="637">
        <v>0</v>
      </c>
      <c r="GL61" s="637">
        <f t="shared" si="116"/>
        <v>3000000</v>
      </c>
      <c r="GM61" s="637"/>
      <c r="GN61" s="637">
        <v>12000000</v>
      </c>
      <c r="GO61" s="637">
        <v>0</v>
      </c>
      <c r="GP61" s="637">
        <f t="shared" si="117"/>
        <v>12000000</v>
      </c>
      <c r="GQ61" s="637"/>
      <c r="GR61" s="637">
        <v>3000000</v>
      </c>
      <c r="GS61" s="637">
        <v>0</v>
      </c>
      <c r="GT61" s="637">
        <f t="shared" si="118"/>
        <v>3000000</v>
      </c>
      <c r="GU61" s="637"/>
      <c r="GV61" s="587">
        <f t="shared" si="50"/>
        <v>1075500000</v>
      </c>
      <c r="GW61" s="587">
        <f t="shared" si="50"/>
        <v>683056834.62</v>
      </c>
      <c r="GX61" s="468">
        <f t="shared" si="51"/>
        <v>392443165.38</v>
      </c>
      <c r="GZ61" s="519"/>
      <c r="HA61" s="468">
        <f>D61+H61+L61+X61+AN61+BH61+CB61+CV61+DT61+EN61+FH61+GB61</f>
        <v>711000000</v>
      </c>
      <c r="HB61" s="468">
        <f>E61+I61+M61+Y61+AO61+BI61+CC61+CW61+DU61+EO61+FI61+GC61</f>
        <v>477581990.31999999</v>
      </c>
      <c r="HC61" s="471">
        <f t="shared" si="52"/>
        <v>233418009.68000001</v>
      </c>
      <c r="HE61" s="471">
        <f>P61+AB61+AR61+BL61+CF61+CZ61+DX61+ER61+FL61+GF61</f>
        <v>88000000</v>
      </c>
      <c r="HF61" s="471">
        <f>Q61+AC61+AS61+BM61+CG61+DA61+DY61+ES61+FM61+GG61</f>
        <v>49986109</v>
      </c>
      <c r="HG61" s="471">
        <f t="shared" si="53"/>
        <v>38013891</v>
      </c>
      <c r="HI61" s="471">
        <f>T61+AF61+AV61+BP61+CJ61+DD61+EB61+EV61+FP61+GJ61</f>
        <v>65000000</v>
      </c>
      <c r="HJ61" s="471">
        <f>U61+AG61+AW61+BQ61+CK61+DE61+EC61+EW61+FQ61+GK61</f>
        <v>7002761.2999999998</v>
      </c>
      <c r="HK61" s="471">
        <f t="shared" si="54"/>
        <v>57997238.700000003</v>
      </c>
      <c r="HN61" s="471">
        <f>AJ61+AZ61+BT61+CN61+DH61+DP61+EF61+EZ61+FT61+GN61</f>
        <v>187500000</v>
      </c>
      <c r="HO61" s="471">
        <f>AK61+BA61+BU61+CO61+DI61+DQ61+EG61+FA61+FU61+GO61</f>
        <v>143906974</v>
      </c>
      <c r="HP61" s="471">
        <f t="shared" si="55"/>
        <v>43593026</v>
      </c>
      <c r="HR61" s="531"/>
      <c r="HT61" s="471">
        <f>BX61+CR61+DL61+EJ61+FD61+FX61+GR61</f>
        <v>24000000</v>
      </c>
      <c r="HU61" s="471">
        <f>BY61+CS61+DM61+EK61+FE61+FY61+GS61</f>
        <v>4579000</v>
      </c>
      <c r="HV61" s="471">
        <f t="shared" si="56"/>
        <v>19421000</v>
      </c>
      <c r="HX61" s="473">
        <f t="shared" si="57"/>
        <v>0</v>
      </c>
      <c r="HY61" s="474">
        <v>4579000</v>
      </c>
      <c r="ID61" s="473">
        <f>HU61+HO61+HJ61+HF61+HB61</f>
        <v>683056834.62</v>
      </c>
      <c r="IE61" s="473">
        <f>HV61+HP61+HK61+HG61+HC61</f>
        <v>392443165.38</v>
      </c>
      <c r="IF61" s="473"/>
    </row>
    <row r="62" spans="1:240" x14ac:dyDescent="0.25">
      <c r="A62" s="107">
        <v>58</v>
      </c>
      <c r="B62" s="107" t="s">
        <v>379</v>
      </c>
      <c r="C62" s="634" t="s">
        <v>76</v>
      </c>
      <c r="D62" s="465">
        <v>0</v>
      </c>
      <c r="E62" s="465">
        <v>0</v>
      </c>
      <c r="F62" s="475">
        <f t="shared" si="1"/>
        <v>0</v>
      </c>
      <c r="G62" s="465"/>
      <c r="H62" s="465">
        <v>15000000</v>
      </c>
      <c r="I62" s="465">
        <v>15000000</v>
      </c>
      <c r="J62" s="463">
        <f t="shared" si="2"/>
        <v>0</v>
      </c>
      <c r="K62" s="465"/>
      <c r="L62" s="465">
        <v>15000000</v>
      </c>
      <c r="M62" s="465">
        <v>15000000</v>
      </c>
      <c r="N62" s="543">
        <f t="shared" si="3"/>
        <v>0</v>
      </c>
      <c r="O62" s="465"/>
      <c r="P62" s="465">
        <v>2500000</v>
      </c>
      <c r="Q62" s="465">
        <v>2500000</v>
      </c>
      <c r="R62" s="543">
        <f t="shared" si="4"/>
        <v>0</v>
      </c>
      <c r="S62" s="465"/>
      <c r="T62" s="465">
        <v>1000000</v>
      </c>
      <c r="U62" s="465">
        <v>1000000</v>
      </c>
      <c r="V62" s="543">
        <f t="shared" si="5"/>
        <v>0</v>
      </c>
      <c r="W62" s="465"/>
      <c r="X62" s="465">
        <v>20000000</v>
      </c>
      <c r="Y62" s="465">
        <v>20000000</v>
      </c>
      <c r="Z62" s="543">
        <f t="shared" si="6"/>
        <v>0</v>
      </c>
      <c r="AA62" s="465"/>
      <c r="AB62" s="465">
        <v>5000000</v>
      </c>
      <c r="AC62" s="465">
        <v>5000000</v>
      </c>
      <c r="AD62" s="543">
        <f t="shared" si="7"/>
        <v>0</v>
      </c>
      <c r="AE62" s="465"/>
      <c r="AF62" s="465">
        <v>2000000</v>
      </c>
      <c r="AG62" s="465">
        <v>2000000</v>
      </c>
      <c r="AH62" s="543">
        <f t="shared" si="8"/>
        <v>0</v>
      </c>
      <c r="AI62" s="465"/>
      <c r="AJ62" s="465">
        <v>7500000</v>
      </c>
      <c r="AK62" s="465">
        <v>7500000</v>
      </c>
      <c r="AL62" s="543">
        <f t="shared" si="9"/>
        <v>0</v>
      </c>
      <c r="AM62" s="465"/>
      <c r="AN62" s="465">
        <v>30000000</v>
      </c>
      <c r="AO62" s="465">
        <v>30000000</v>
      </c>
      <c r="AP62" s="543">
        <f t="shared" si="10"/>
        <v>0</v>
      </c>
      <c r="AQ62" s="465"/>
      <c r="AR62" s="465">
        <v>3000000</v>
      </c>
      <c r="AS62" s="465">
        <v>3000000</v>
      </c>
      <c r="AT62" s="543">
        <f t="shared" si="11"/>
        <v>0</v>
      </c>
      <c r="AU62" s="465"/>
      <c r="AV62" s="465">
        <v>2000000</v>
      </c>
      <c r="AW62" s="465">
        <v>2000000</v>
      </c>
      <c r="AX62" s="543">
        <f t="shared" si="12"/>
        <v>0</v>
      </c>
      <c r="AY62" s="465"/>
      <c r="AZ62" s="465">
        <v>10000000</v>
      </c>
      <c r="BA62" s="465">
        <v>10000000</v>
      </c>
      <c r="BB62" s="543">
        <f t="shared" si="13"/>
        <v>0</v>
      </c>
      <c r="BC62" s="465"/>
      <c r="BD62" s="465">
        <v>0</v>
      </c>
      <c r="BE62" s="465">
        <v>0</v>
      </c>
      <c r="BF62" s="543">
        <f t="shared" si="14"/>
        <v>0</v>
      </c>
      <c r="BG62" s="465"/>
      <c r="BH62" s="465">
        <v>55000000</v>
      </c>
      <c r="BI62" s="465">
        <v>9162250</v>
      </c>
      <c r="BJ62" s="543">
        <f t="shared" si="15"/>
        <v>45837750</v>
      </c>
      <c r="BK62" s="465"/>
      <c r="BL62" s="465">
        <v>5000000</v>
      </c>
      <c r="BM62" s="465">
        <v>5000000</v>
      </c>
      <c r="BN62" s="543">
        <f t="shared" si="16"/>
        <v>0</v>
      </c>
      <c r="BO62" s="465"/>
      <c r="BP62" s="465">
        <v>5000000</v>
      </c>
      <c r="BQ62" s="465">
        <v>5000000</v>
      </c>
      <c r="BR62" s="543">
        <f t="shared" si="17"/>
        <v>0</v>
      </c>
      <c r="BS62" s="465"/>
      <c r="BT62" s="465">
        <v>15000000</v>
      </c>
      <c r="BU62" s="465">
        <v>15000000</v>
      </c>
      <c r="BV62" s="543">
        <f t="shared" si="18"/>
        <v>0</v>
      </c>
      <c r="BW62" s="465"/>
      <c r="BX62" s="465">
        <v>1000000</v>
      </c>
      <c r="BY62" s="465">
        <v>1000000</v>
      </c>
      <c r="BZ62" s="543">
        <f t="shared" si="19"/>
        <v>0</v>
      </c>
      <c r="CA62" s="465"/>
      <c r="CB62" s="468">
        <v>80000000</v>
      </c>
      <c r="CC62" s="465">
        <v>0</v>
      </c>
      <c r="CD62" s="543">
        <f t="shared" si="20"/>
        <v>80000000</v>
      </c>
      <c r="CE62" s="465"/>
      <c r="CF62" s="468">
        <v>10000000</v>
      </c>
      <c r="CG62" s="468">
        <v>10000000</v>
      </c>
      <c r="CH62" s="543">
        <f t="shared" si="21"/>
        <v>0</v>
      </c>
      <c r="CI62" s="465"/>
      <c r="CJ62" s="468">
        <v>10000000</v>
      </c>
      <c r="CK62" s="468">
        <v>10000000</v>
      </c>
      <c r="CL62" s="543">
        <f t="shared" si="22"/>
        <v>0</v>
      </c>
      <c r="CM62" s="465"/>
      <c r="CN62" s="468">
        <v>30000000</v>
      </c>
      <c r="CO62" s="468">
        <v>30000000</v>
      </c>
      <c r="CP62" s="543">
        <f t="shared" si="23"/>
        <v>0</v>
      </c>
      <c r="CQ62" s="590"/>
      <c r="CR62" s="465">
        <v>5000000</v>
      </c>
      <c r="CS62" s="468">
        <v>5000000</v>
      </c>
      <c r="CT62" s="465">
        <f t="shared" si="24"/>
        <v>0</v>
      </c>
      <c r="CU62" s="465"/>
      <c r="CV62" s="525">
        <v>80000000</v>
      </c>
      <c r="CW62" s="465">
        <v>0</v>
      </c>
      <c r="CX62" s="543">
        <f t="shared" si="25"/>
        <v>80000000</v>
      </c>
      <c r="CY62" s="471"/>
      <c r="CZ62" s="468">
        <v>20000000</v>
      </c>
      <c r="DA62" s="468">
        <f>18000000+690000+1310000</f>
        <v>20000000</v>
      </c>
      <c r="DB62" s="543">
        <f t="shared" si="26"/>
        <v>0</v>
      </c>
      <c r="DC62" s="471"/>
      <c r="DD62" s="468">
        <v>20000000</v>
      </c>
      <c r="DE62" s="468">
        <v>20000000</v>
      </c>
      <c r="DF62" s="543">
        <f t="shared" si="27"/>
        <v>0</v>
      </c>
      <c r="DG62" s="465"/>
      <c r="DH62" s="468">
        <v>50000000</v>
      </c>
      <c r="DI62" s="468">
        <f>1698125+19527590+16173222+11010395+1590668</f>
        <v>50000000</v>
      </c>
      <c r="DJ62" s="543">
        <f t="shared" si="28"/>
        <v>0</v>
      </c>
      <c r="DK62" s="465"/>
      <c r="DL62" s="465">
        <v>6000000</v>
      </c>
      <c r="DM62" s="468">
        <v>6000000</v>
      </c>
      <c r="DN62" s="465">
        <f t="shared" si="29"/>
        <v>0</v>
      </c>
      <c r="DO62" s="465"/>
      <c r="DP62" s="471">
        <v>0</v>
      </c>
      <c r="DQ62" s="471">
        <v>0</v>
      </c>
      <c r="DR62" s="471">
        <f t="shared" si="30"/>
        <v>0</v>
      </c>
      <c r="DT62" s="471">
        <v>60000000</v>
      </c>
      <c r="DU62" s="540">
        <f>6000000+37375000+8806154</f>
        <v>52181154</v>
      </c>
      <c r="DV62" s="471">
        <f t="shared" si="31"/>
        <v>7818846</v>
      </c>
      <c r="DX62" s="471">
        <v>10000000</v>
      </c>
      <c r="DY62" s="471">
        <f>3569400+6430600</f>
        <v>10000000</v>
      </c>
      <c r="DZ62" s="471">
        <f t="shared" si="32"/>
        <v>0</v>
      </c>
      <c r="EB62" s="471">
        <v>10000000</v>
      </c>
      <c r="EC62" s="471">
        <f>3785734.25+1500000+4714265.75</f>
        <v>10000000</v>
      </c>
      <c r="ED62" s="471">
        <f t="shared" si="33"/>
        <v>0</v>
      </c>
      <c r="EF62" s="471">
        <v>20000000</v>
      </c>
      <c r="EG62" s="471">
        <f>15489899.1+4510100.9</f>
        <v>20000000</v>
      </c>
      <c r="EH62" s="471">
        <f t="shared" si="34"/>
        <v>0</v>
      </c>
      <c r="EJ62" s="471">
        <v>3000000</v>
      </c>
      <c r="EK62" s="471">
        <v>3000000</v>
      </c>
      <c r="EL62" s="471">
        <f t="shared" si="35"/>
        <v>0</v>
      </c>
      <c r="EM62" s="634"/>
      <c r="EN62" s="465">
        <v>200000000</v>
      </c>
      <c r="EO62" s="465">
        <f>31800000+47927500</f>
        <v>79727500</v>
      </c>
      <c r="EP62" s="465">
        <f t="shared" si="36"/>
        <v>120272500</v>
      </c>
      <c r="EQ62" s="465"/>
      <c r="ER62" s="465">
        <v>10000000</v>
      </c>
      <c r="ES62" s="485">
        <f>2822580+2166240</f>
        <v>4988820</v>
      </c>
      <c r="ET62" s="465">
        <f t="shared" si="37"/>
        <v>5011180</v>
      </c>
      <c r="EU62" s="465"/>
      <c r="EV62" s="465">
        <v>10000000</v>
      </c>
      <c r="EW62" s="485">
        <f>347484.25+9652515.75</f>
        <v>10000000</v>
      </c>
      <c r="EX62" s="465">
        <f t="shared" si="38"/>
        <v>0</v>
      </c>
      <c r="EY62" s="465"/>
      <c r="EZ62" s="465">
        <v>25000000</v>
      </c>
      <c r="FA62" s="484">
        <f>9746839.1+15253160.9</f>
        <v>25000000</v>
      </c>
      <c r="FB62" s="465">
        <f t="shared" si="39"/>
        <v>0</v>
      </c>
      <c r="FC62" s="465"/>
      <c r="FD62" s="465">
        <v>3000000</v>
      </c>
      <c r="FE62" s="483">
        <f>135123+553257</f>
        <v>688380</v>
      </c>
      <c r="FF62" s="465">
        <f t="shared" si="40"/>
        <v>2311620</v>
      </c>
      <c r="FG62" s="465"/>
      <c r="FH62" s="637">
        <v>65000000</v>
      </c>
      <c r="FI62" s="637">
        <v>0</v>
      </c>
      <c r="FJ62" s="637">
        <f t="shared" si="106"/>
        <v>65000000</v>
      </c>
      <c r="FK62" s="637"/>
      <c r="FL62" s="637">
        <v>8000000</v>
      </c>
      <c r="FM62" s="637">
        <v>0</v>
      </c>
      <c r="FN62" s="637">
        <f t="shared" si="107"/>
        <v>8000000</v>
      </c>
      <c r="FO62" s="637"/>
      <c r="FP62" s="637">
        <v>5000000</v>
      </c>
      <c r="FQ62" s="641">
        <v>435284.25</v>
      </c>
      <c r="FR62" s="637">
        <f t="shared" si="108"/>
        <v>4564715.75</v>
      </c>
      <c r="FS62" s="637"/>
      <c r="FT62" s="637">
        <v>18000000</v>
      </c>
      <c r="FU62" s="639">
        <f>8966334.1</f>
        <v>8966334.0999999996</v>
      </c>
      <c r="FV62" s="637">
        <f t="shared" si="109"/>
        <v>9033665.9000000004</v>
      </c>
      <c r="FW62" s="637"/>
      <c r="FX62" s="637">
        <v>3000000</v>
      </c>
      <c r="FY62" s="637">
        <v>0</v>
      </c>
      <c r="FZ62" s="637">
        <f t="shared" si="110"/>
        <v>3000000</v>
      </c>
      <c r="GA62" s="637"/>
      <c r="GB62" s="637">
        <v>90000000</v>
      </c>
      <c r="GC62" s="637">
        <v>0</v>
      </c>
      <c r="GD62" s="637">
        <f t="shared" si="115"/>
        <v>90000000</v>
      </c>
      <c r="GE62" s="637"/>
      <c r="GF62" s="637">
        <v>22000000</v>
      </c>
      <c r="GG62" s="637">
        <v>0</v>
      </c>
      <c r="GH62" s="637">
        <f t="shared" si="119"/>
        <v>22000000</v>
      </c>
      <c r="GI62" s="637"/>
      <c r="GJ62" s="637">
        <v>3000000</v>
      </c>
      <c r="GK62" s="637">
        <v>0</v>
      </c>
      <c r="GL62" s="637">
        <f t="shared" si="116"/>
        <v>3000000</v>
      </c>
      <c r="GM62" s="637"/>
      <c r="GN62" s="637">
        <v>12000000</v>
      </c>
      <c r="GO62" s="637">
        <v>0</v>
      </c>
      <c r="GP62" s="637">
        <f t="shared" si="117"/>
        <v>12000000</v>
      </c>
      <c r="GQ62" s="637"/>
      <c r="GR62" s="637">
        <v>3000000</v>
      </c>
      <c r="GS62" s="637">
        <v>0</v>
      </c>
      <c r="GT62" s="637">
        <f t="shared" si="118"/>
        <v>3000000</v>
      </c>
      <c r="GU62" s="637"/>
      <c r="GV62" s="587">
        <f t="shared" si="50"/>
        <v>1085000000</v>
      </c>
      <c r="GW62" s="587">
        <f t="shared" si="50"/>
        <v>524149722.35000002</v>
      </c>
      <c r="GX62" s="468">
        <f t="shared" si="51"/>
        <v>560850277.64999998</v>
      </c>
      <c r="GZ62" s="519"/>
      <c r="HA62" s="468">
        <f>D62+H62+L62+X62+AN62+BH62+CB62+CV62+DT62+EN62+FH62+GB62</f>
        <v>710000000</v>
      </c>
      <c r="HB62" s="468">
        <f>E62+I62+M62+Y62+AO62+BI62+CC62+CW62+DU62+EO62+FI62+GC62</f>
        <v>221070904</v>
      </c>
      <c r="HC62" s="471">
        <f t="shared" si="52"/>
        <v>488929096</v>
      </c>
      <c r="HE62" s="471">
        <f>P62+AB62+AR62+BL62+CF62+CZ62+DX62+ER62+FL62+GF62</f>
        <v>95500000</v>
      </c>
      <c r="HF62" s="471">
        <f>Q62+AC62+AS62+BM62+CG62+DA62+DY62+ES62+FM62+GG62</f>
        <v>60488820</v>
      </c>
      <c r="HG62" s="471">
        <f t="shared" si="53"/>
        <v>35011180</v>
      </c>
      <c r="HI62" s="471">
        <f>T62+AF62+AV62+BP62+CJ62+DD62+EB62+EV62+FP62+GJ62</f>
        <v>68000000</v>
      </c>
      <c r="HJ62" s="471">
        <f>U62+AG62+AW62+BQ62+CK62+DE62+EC62+EW62+FQ62+GK62</f>
        <v>60435284.25</v>
      </c>
      <c r="HK62" s="471">
        <f t="shared" si="54"/>
        <v>7564715.75</v>
      </c>
      <c r="HN62" s="471">
        <f>AJ62+AZ62+BT62+CN62+DH62+DP62+EF62+EZ62+FT62+GN62</f>
        <v>187500000</v>
      </c>
      <c r="HO62" s="471">
        <f>AK62+BA62+BU62+CO62+DI62+DQ62+EG62+FA62+FU62+GO62</f>
        <v>166466334.09999999</v>
      </c>
      <c r="HP62" s="471">
        <f t="shared" si="55"/>
        <v>21033665.900000006</v>
      </c>
      <c r="HR62" s="531"/>
      <c r="HT62" s="471">
        <f>BX62+CR62+DL62+EJ62+FD62+FX62+GR62</f>
        <v>24000000</v>
      </c>
      <c r="HU62" s="471">
        <f>BY62+CS62+DM62+EK62+FE62+FY62+GS62</f>
        <v>15688380</v>
      </c>
      <c r="HV62" s="471">
        <f t="shared" si="56"/>
        <v>8311620</v>
      </c>
      <c r="HX62" s="473">
        <f t="shared" si="57"/>
        <v>553257</v>
      </c>
      <c r="HY62" s="474">
        <v>15135123</v>
      </c>
      <c r="ID62" s="473">
        <f>HU62+HO62+HJ62+HF62+HB62</f>
        <v>524149722.35000002</v>
      </c>
      <c r="IE62" s="473">
        <f>HV62+HP62+HK62+HG62+HC62</f>
        <v>560850277.64999998</v>
      </c>
      <c r="IF62" s="473"/>
    </row>
    <row r="63" spans="1:240" x14ac:dyDescent="0.25">
      <c r="A63" s="107">
        <v>59</v>
      </c>
      <c r="B63" s="107" t="s">
        <v>380</v>
      </c>
      <c r="C63" s="634"/>
      <c r="D63" s="465">
        <v>0</v>
      </c>
      <c r="E63" s="465">
        <v>0</v>
      </c>
      <c r="F63" s="475">
        <f t="shared" si="1"/>
        <v>0</v>
      </c>
      <c r="G63" s="465"/>
      <c r="H63" s="465">
        <v>14750000</v>
      </c>
      <c r="I63" s="465">
        <v>14750000</v>
      </c>
      <c r="J63" s="463">
        <f t="shared" si="2"/>
        <v>0</v>
      </c>
      <c r="K63" s="465"/>
      <c r="L63" s="465">
        <v>13950000</v>
      </c>
      <c r="M63" s="465">
        <v>13950000</v>
      </c>
      <c r="N63" s="543">
        <f t="shared" si="3"/>
        <v>0</v>
      </c>
      <c r="O63" s="465"/>
      <c r="P63" s="465">
        <v>2500000</v>
      </c>
      <c r="Q63" s="465">
        <v>2500000</v>
      </c>
      <c r="R63" s="543">
        <f t="shared" si="4"/>
        <v>0</v>
      </c>
      <c r="S63" s="465"/>
      <c r="T63" s="465">
        <v>850000</v>
      </c>
      <c r="U63" s="465">
        <v>850000</v>
      </c>
      <c r="V63" s="543">
        <f t="shared" si="5"/>
        <v>0</v>
      </c>
      <c r="W63" s="465"/>
      <c r="X63" s="465">
        <v>0</v>
      </c>
      <c r="Y63" s="465">
        <v>0</v>
      </c>
      <c r="Z63" s="543">
        <f t="shared" si="6"/>
        <v>0</v>
      </c>
      <c r="AA63" s="465"/>
      <c r="AB63" s="465">
        <v>0</v>
      </c>
      <c r="AC63" s="465">
        <v>0</v>
      </c>
      <c r="AD63" s="543">
        <f t="shared" si="7"/>
        <v>0</v>
      </c>
      <c r="AE63" s="465"/>
      <c r="AF63" s="465">
        <v>0</v>
      </c>
      <c r="AG63" s="465">
        <v>0</v>
      </c>
      <c r="AH63" s="543">
        <f t="shared" si="8"/>
        <v>0</v>
      </c>
      <c r="AI63" s="465"/>
      <c r="AJ63" s="465">
        <v>0</v>
      </c>
      <c r="AK63" s="465">
        <v>0</v>
      </c>
      <c r="AL63" s="543">
        <f t="shared" si="9"/>
        <v>0</v>
      </c>
      <c r="AM63" s="465"/>
      <c r="AN63" s="465">
        <v>0</v>
      </c>
      <c r="AO63" s="465">
        <v>0</v>
      </c>
      <c r="AP63" s="543">
        <f t="shared" si="10"/>
        <v>0</v>
      </c>
      <c r="AQ63" s="465"/>
      <c r="AR63" s="465">
        <v>0</v>
      </c>
      <c r="AS63" s="465">
        <v>0</v>
      </c>
      <c r="AT63" s="543">
        <f t="shared" si="11"/>
        <v>0</v>
      </c>
      <c r="AU63" s="465"/>
      <c r="AV63" s="465">
        <v>0</v>
      </c>
      <c r="AW63" s="465">
        <v>0</v>
      </c>
      <c r="AX63" s="543">
        <f t="shared" si="12"/>
        <v>0</v>
      </c>
      <c r="AY63" s="465"/>
      <c r="AZ63" s="465">
        <v>0</v>
      </c>
      <c r="BA63" s="465">
        <v>0</v>
      </c>
      <c r="BB63" s="543">
        <f t="shared" si="13"/>
        <v>0</v>
      </c>
      <c r="BC63" s="465"/>
      <c r="BD63" s="465">
        <v>0</v>
      </c>
      <c r="BE63" s="465">
        <v>0</v>
      </c>
      <c r="BF63" s="543">
        <f t="shared" si="14"/>
        <v>0</v>
      </c>
      <c r="BG63" s="465"/>
      <c r="BH63" s="465">
        <v>55000000</v>
      </c>
      <c r="BI63" s="465">
        <f>48750000+6250000</f>
        <v>55000000</v>
      </c>
      <c r="BJ63" s="543">
        <f t="shared" si="15"/>
        <v>0</v>
      </c>
      <c r="BK63" s="465"/>
      <c r="BL63" s="465">
        <v>5000000</v>
      </c>
      <c r="BM63" s="465">
        <v>5000000</v>
      </c>
      <c r="BN63" s="543">
        <f t="shared" si="16"/>
        <v>0</v>
      </c>
      <c r="BO63" s="465"/>
      <c r="BP63" s="465">
        <v>5000000</v>
      </c>
      <c r="BQ63" s="465">
        <v>0</v>
      </c>
      <c r="BR63" s="543">
        <f t="shared" si="17"/>
        <v>5000000</v>
      </c>
      <c r="BS63" s="465"/>
      <c r="BT63" s="465">
        <v>15000000</v>
      </c>
      <c r="BU63" s="601">
        <f>14981050+18950</f>
        <v>15000000</v>
      </c>
      <c r="BV63" s="543">
        <f t="shared" si="18"/>
        <v>0</v>
      </c>
      <c r="BW63" s="465"/>
      <c r="BX63" s="465">
        <v>1000000</v>
      </c>
      <c r="BY63" s="467">
        <v>1000000</v>
      </c>
      <c r="BZ63" s="543">
        <f t="shared" si="19"/>
        <v>0</v>
      </c>
      <c r="CA63" s="465"/>
      <c r="CB63" s="465">
        <v>0</v>
      </c>
      <c r="CC63" s="465">
        <v>0</v>
      </c>
      <c r="CD63" s="543">
        <f t="shared" si="20"/>
        <v>0</v>
      </c>
      <c r="CE63" s="465"/>
      <c r="CF63" s="465">
        <v>0</v>
      </c>
      <c r="CG63" s="465">
        <v>0</v>
      </c>
      <c r="CH63" s="543">
        <f t="shared" si="21"/>
        <v>0</v>
      </c>
      <c r="CI63" s="465"/>
      <c r="CJ63" s="465">
        <v>0</v>
      </c>
      <c r="CK63" s="465">
        <v>0</v>
      </c>
      <c r="CL63" s="543">
        <f t="shared" si="22"/>
        <v>0</v>
      </c>
      <c r="CM63" s="465"/>
      <c r="CN63" s="465">
        <v>0</v>
      </c>
      <c r="CO63" s="465">
        <v>0</v>
      </c>
      <c r="CP63" s="543">
        <f t="shared" si="23"/>
        <v>0</v>
      </c>
      <c r="CQ63" s="465"/>
      <c r="CR63" s="465">
        <v>0</v>
      </c>
      <c r="CS63" s="465">
        <v>0</v>
      </c>
      <c r="CT63" s="465">
        <f t="shared" si="24"/>
        <v>0</v>
      </c>
      <c r="CU63" s="465"/>
      <c r="CV63" s="465">
        <v>0</v>
      </c>
      <c r="CW63" s="465">
        <v>0</v>
      </c>
      <c r="CX63" s="543">
        <f t="shared" si="25"/>
        <v>0</v>
      </c>
      <c r="CY63" s="471"/>
      <c r="CZ63" s="465">
        <v>0</v>
      </c>
      <c r="DA63" s="465">
        <v>0</v>
      </c>
      <c r="DB63" s="543">
        <f t="shared" si="26"/>
        <v>0</v>
      </c>
      <c r="DC63" s="471"/>
      <c r="DD63" s="468">
        <v>0</v>
      </c>
      <c r="DE63" s="468">
        <v>0</v>
      </c>
      <c r="DF63" s="543">
        <f t="shared" si="27"/>
        <v>0</v>
      </c>
      <c r="DG63" s="465"/>
      <c r="DH63" s="465">
        <v>0</v>
      </c>
      <c r="DI63" s="465">
        <v>0</v>
      </c>
      <c r="DJ63" s="543">
        <f t="shared" si="28"/>
        <v>0</v>
      </c>
      <c r="DK63" s="465"/>
      <c r="DL63" s="465">
        <v>0</v>
      </c>
      <c r="DM63" s="465">
        <v>0</v>
      </c>
      <c r="DN63" s="465">
        <f t="shared" si="29"/>
        <v>0</v>
      </c>
      <c r="DO63" s="465"/>
      <c r="DP63" s="471">
        <v>0</v>
      </c>
      <c r="DQ63" s="471">
        <v>0</v>
      </c>
      <c r="DR63" s="471">
        <f t="shared" si="30"/>
        <v>0</v>
      </c>
      <c r="DT63" s="471">
        <v>60000000</v>
      </c>
      <c r="DU63" s="471">
        <f>4550000+1200000+3600000+8400000+18900000+3600000-3600000+3600000+10416500</f>
        <v>50666500</v>
      </c>
      <c r="DV63" s="471">
        <f t="shared" si="31"/>
        <v>9333500</v>
      </c>
      <c r="DX63" s="471">
        <v>10000000</v>
      </c>
      <c r="DY63" s="471">
        <f>1392150+2427000</f>
        <v>3819150</v>
      </c>
      <c r="DZ63" s="471">
        <f t="shared" si="32"/>
        <v>6180850</v>
      </c>
      <c r="EB63" s="471">
        <v>10000000</v>
      </c>
      <c r="EC63" s="471">
        <v>0</v>
      </c>
      <c r="ED63" s="471">
        <f t="shared" si="33"/>
        <v>10000000</v>
      </c>
      <c r="EF63" s="471">
        <v>20000000</v>
      </c>
      <c r="EG63" s="540">
        <f>2407130+2098000+792600+1545875</f>
        <v>6843605</v>
      </c>
      <c r="EH63" s="471">
        <f t="shared" si="34"/>
        <v>13156395</v>
      </c>
      <c r="EJ63" s="471">
        <v>3000000</v>
      </c>
      <c r="EK63" s="553">
        <f>1550000</f>
        <v>1550000</v>
      </c>
      <c r="EL63" s="471">
        <f t="shared" si="35"/>
        <v>1450000</v>
      </c>
      <c r="EM63" s="634"/>
      <c r="EN63" s="465">
        <v>0</v>
      </c>
      <c r="EO63" s="465">
        <v>0</v>
      </c>
      <c r="EP63" s="465">
        <f t="shared" si="36"/>
        <v>0</v>
      </c>
      <c r="EQ63" s="465"/>
      <c r="ER63" s="465"/>
      <c r="ES63" s="465">
        <v>0</v>
      </c>
      <c r="ET63" s="465">
        <f t="shared" si="37"/>
        <v>0</v>
      </c>
      <c r="EU63" s="465"/>
      <c r="EV63" s="465"/>
      <c r="EW63" s="465">
        <v>0</v>
      </c>
      <c r="EX63" s="465">
        <f t="shared" si="38"/>
        <v>0</v>
      </c>
      <c r="EY63" s="465"/>
      <c r="EZ63" s="465"/>
      <c r="FA63" s="465">
        <v>0</v>
      </c>
      <c r="FB63" s="465">
        <f t="shared" si="39"/>
        <v>0</v>
      </c>
      <c r="FC63" s="465"/>
      <c r="FD63" s="465">
        <f>FB63-FC63</f>
        <v>0</v>
      </c>
      <c r="FE63" s="465">
        <v>0</v>
      </c>
      <c r="FF63" s="465">
        <f t="shared" si="40"/>
        <v>0</v>
      </c>
      <c r="FG63" s="465"/>
      <c r="FH63" s="637"/>
      <c r="FI63" s="637"/>
      <c r="FJ63" s="637"/>
      <c r="FK63" s="637"/>
      <c r="FL63" s="637"/>
      <c r="FM63" s="637"/>
      <c r="FN63" s="637"/>
      <c r="FO63" s="637"/>
      <c r="FP63" s="637"/>
      <c r="FQ63" s="637"/>
      <c r="FR63" s="637"/>
      <c r="FS63" s="637"/>
      <c r="FT63" s="637"/>
      <c r="FU63" s="637"/>
      <c r="FV63" s="637"/>
      <c r="FW63" s="637"/>
      <c r="FX63" s="637"/>
      <c r="FY63" s="637"/>
      <c r="FZ63" s="637"/>
      <c r="GA63" s="637"/>
      <c r="GB63" s="637">
        <v>90000000</v>
      </c>
      <c r="GC63" s="637">
        <v>0</v>
      </c>
      <c r="GD63" s="637">
        <f t="shared" si="115"/>
        <v>90000000</v>
      </c>
      <c r="GE63" s="637"/>
      <c r="GF63" s="637">
        <v>22000000</v>
      </c>
      <c r="GG63" s="637">
        <v>0</v>
      </c>
      <c r="GH63" s="637">
        <f t="shared" si="119"/>
        <v>22000000</v>
      </c>
      <c r="GI63" s="637"/>
      <c r="GJ63" s="637">
        <v>3000000</v>
      </c>
      <c r="GK63" s="637">
        <v>0</v>
      </c>
      <c r="GL63" s="637">
        <f t="shared" si="116"/>
        <v>3000000</v>
      </c>
      <c r="GM63" s="637"/>
      <c r="GN63" s="637">
        <v>12000000</v>
      </c>
      <c r="GO63" s="637">
        <v>0</v>
      </c>
      <c r="GP63" s="637">
        <f t="shared" si="117"/>
        <v>12000000</v>
      </c>
      <c r="GQ63" s="637"/>
      <c r="GR63" s="637">
        <v>3000000</v>
      </c>
      <c r="GS63" s="637">
        <v>0</v>
      </c>
      <c r="GT63" s="637">
        <f t="shared" si="118"/>
        <v>3000000</v>
      </c>
      <c r="GU63" s="637"/>
      <c r="GV63" s="587">
        <f t="shared" si="50"/>
        <v>346050000</v>
      </c>
      <c r="GW63" s="587">
        <f t="shared" si="50"/>
        <v>170929255</v>
      </c>
      <c r="GX63" s="468">
        <f t="shared" si="51"/>
        <v>175120745</v>
      </c>
      <c r="GZ63" s="519"/>
      <c r="HA63" s="468">
        <f>D63+H63+L63+X63+AN63+BH63+CB63+CV63+DT63+EN63+FH63+GB63</f>
        <v>233700000</v>
      </c>
      <c r="HB63" s="468">
        <f>E63+I63+M63+Y63+AO63+BI63+CC63+CW63+DU63+EO63+FI63+GC63</f>
        <v>134366500</v>
      </c>
      <c r="HC63" s="471">
        <f t="shared" si="52"/>
        <v>99333500</v>
      </c>
      <c r="HE63" s="471">
        <f>P63+AB63+AR63+BL63+CF63+CZ63+DX63+ER63+FL63+GF63</f>
        <v>39500000</v>
      </c>
      <c r="HF63" s="471">
        <f>Q63+AC63+AS63+BM63+CG63+DA63+DY63+ES63+FM63+GG63</f>
        <v>11319150</v>
      </c>
      <c r="HG63" s="471">
        <f t="shared" si="53"/>
        <v>28180850</v>
      </c>
      <c r="HI63" s="471">
        <f>T63+AF63+AV63+BP63+CJ63+DD63+EB63+EV63+FP63+GJ63</f>
        <v>18850000</v>
      </c>
      <c r="HJ63" s="471">
        <f>U63+AG63+AW63+BQ63+CK63+DE63+EC63+EW63+FQ63+GK63</f>
        <v>850000</v>
      </c>
      <c r="HK63" s="471">
        <f t="shared" si="54"/>
        <v>18000000</v>
      </c>
      <c r="HN63" s="471">
        <f>AJ63+AZ63+BT63+CN63+DH63+DP63+EF63+EZ63+FT63+GN63</f>
        <v>47000000</v>
      </c>
      <c r="HO63" s="471">
        <f>AK63+BA63+BU63+CO63+DI63+DQ63+EG63+FA63+FU63+GO63</f>
        <v>21843605</v>
      </c>
      <c r="HP63" s="471">
        <f t="shared" si="55"/>
        <v>25156395</v>
      </c>
      <c r="HR63" s="531"/>
      <c r="HT63" s="471">
        <f>BX63+CR63+DL63+EJ63+FD63+FX63+GR63</f>
        <v>7000000</v>
      </c>
      <c r="HU63" s="471">
        <f>BY63+CS63+DM63+EK63+FE63+FY63+GS63</f>
        <v>2550000</v>
      </c>
      <c r="HV63" s="471">
        <f t="shared" si="56"/>
        <v>4450000</v>
      </c>
      <c r="HX63" s="473">
        <f t="shared" si="57"/>
        <v>2550000</v>
      </c>
      <c r="HY63" s="474">
        <v>0</v>
      </c>
      <c r="ID63" s="473">
        <f>HU63+HO63+HJ63+HF63+HB63</f>
        <v>170929255</v>
      </c>
      <c r="IE63" s="473">
        <f>HV63+HP63+HK63+HG63+HC63</f>
        <v>175120745</v>
      </c>
      <c r="IF63" s="473"/>
    </row>
    <row r="64" spans="1:240" x14ac:dyDescent="0.25">
      <c r="A64" s="107">
        <v>60</v>
      </c>
      <c r="B64" s="107" t="s">
        <v>381</v>
      </c>
      <c r="C64" s="634" t="s">
        <v>61</v>
      </c>
      <c r="D64" s="465">
        <v>1000000</v>
      </c>
      <c r="E64" s="465">
        <v>1000000</v>
      </c>
      <c r="F64" s="475">
        <f t="shared" si="1"/>
        <v>0</v>
      </c>
      <c r="G64" s="465"/>
      <c r="H64" s="465">
        <v>15000000</v>
      </c>
      <c r="I64" s="465">
        <v>15000000</v>
      </c>
      <c r="J64" s="463">
        <f t="shared" si="2"/>
        <v>0</v>
      </c>
      <c r="K64" s="465"/>
      <c r="L64" s="465">
        <v>15000000</v>
      </c>
      <c r="M64" s="465">
        <v>15000000</v>
      </c>
      <c r="N64" s="543">
        <f t="shared" si="3"/>
        <v>0</v>
      </c>
      <c r="O64" s="465"/>
      <c r="P64" s="465">
        <v>2500000</v>
      </c>
      <c r="Q64" s="465">
        <v>2500000</v>
      </c>
      <c r="R64" s="543">
        <f t="shared" si="4"/>
        <v>0</v>
      </c>
      <c r="S64" s="465"/>
      <c r="T64" s="465">
        <v>1000000</v>
      </c>
      <c r="U64" s="465">
        <v>1000000</v>
      </c>
      <c r="V64" s="543">
        <f t="shared" si="5"/>
        <v>0</v>
      </c>
      <c r="W64" s="465"/>
      <c r="X64" s="465">
        <v>20000000</v>
      </c>
      <c r="Y64" s="465">
        <v>20000000</v>
      </c>
      <c r="Z64" s="543">
        <f t="shared" si="6"/>
        <v>0</v>
      </c>
      <c r="AA64" s="465"/>
      <c r="AB64" s="465">
        <v>5000000</v>
      </c>
      <c r="AC64" s="465">
        <v>5000000</v>
      </c>
      <c r="AD64" s="543">
        <f t="shared" si="7"/>
        <v>0</v>
      </c>
      <c r="AE64" s="465"/>
      <c r="AF64" s="465">
        <v>1750000</v>
      </c>
      <c r="AG64" s="283">
        <v>1750000</v>
      </c>
      <c r="AH64" s="543">
        <f t="shared" si="8"/>
        <v>0</v>
      </c>
      <c r="AI64" s="465"/>
      <c r="AJ64" s="465">
        <v>7500000</v>
      </c>
      <c r="AK64" s="465">
        <v>7500000</v>
      </c>
      <c r="AL64" s="543">
        <f t="shared" si="9"/>
        <v>0</v>
      </c>
      <c r="AM64" s="465"/>
      <c r="AN64" s="465">
        <v>30000000</v>
      </c>
      <c r="AO64" s="465">
        <v>30000000</v>
      </c>
      <c r="AP64" s="543">
        <f t="shared" si="10"/>
        <v>0</v>
      </c>
      <c r="AQ64" s="465"/>
      <c r="AR64" s="465">
        <v>3000000</v>
      </c>
      <c r="AS64" s="465">
        <v>0</v>
      </c>
      <c r="AT64" s="543">
        <f t="shared" si="11"/>
        <v>3000000</v>
      </c>
      <c r="AU64" s="465"/>
      <c r="AV64" s="465">
        <v>2000000</v>
      </c>
      <c r="AW64" s="465">
        <v>0</v>
      </c>
      <c r="AX64" s="543">
        <f t="shared" si="12"/>
        <v>2000000</v>
      </c>
      <c r="AY64" s="465"/>
      <c r="AZ64" s="465">
        <v>10000000</v>
      </c>
      <c r="BA64" s="465">
        <v>10000000</v>
      </c>
      <c r="BB64" s="543">
        <f t="shared" si="13"/>
        <v>0</v>
      </c>
      <c r="BC64" s="465"/>
      <c r="BD64" s="465">
        <v>0</v>
      </c>
      <c r="BE64" s="283">
        <v>0</v>
      </c>
      <c r="BF64" s="543">
        <f t="shared" si="14"/>
        <v>0</v>
      </c>
      <c r="BG64" s="465"/>
      <c r="BH64" s="465">
        <v>55000000</v>
      </c>
      <c r="BI64" s="465">
        <v>55000000</v>
      </c>
      <c r="BJ64" s="543">
        <f t="shared" si="15"/>
        <v>0</v>
      </c>
      <c r="BK64" s="465"/>
      <c r="BL64" s="465">
        <v>5000000</v>
      </c>
      <c r="BM64" s="465">
        <v>0</v>
      </c>
      <c r="BN64" s="543">
        <f t="shared" si="16"/>
        <v>5000000</v>
      </c>
      <c r="BO64" s="465"/>
      <c r="BP64" s="465">
        <v>5000000</v>
      </c>
      <c r="BQ64" s="465">
        <v>5000000</v>
      </c>
      <c r="BR64" s="543">
        <f t="shared" si="17"/>
        <v>0</v>
      </c>
      <c r="BS64" s="465"/>
      <c r="BT64" s="465">
        <v>15000000</v>
      </c>
      <c r="BU64" s="465">
        <v>15000000</v>
      </c>
      <c r="BV64" s="543">
        <f t="shared" si="18"/>
        <v>0</v>
      </c>
      <c r="BW64" s="465"/>
      <c r="BX64" s="465">
        <v>1000000</v>
      </c>
      <c r="BY64" s="465">
        <v>1000000</v>
      </c>
      <c r="BZ64" s="543">
        <f t="shared" si="19"/>
        <v>0</v>
      </c>
      <c r="CA64" s="465"/>
      <c r="CB64" s="468">
        <v>80000000</v>
      </c>
      <c r="CC64" s="465">
        <v>80000000</v>
      </c>
      <c r="CD64" s="543">
        <f t="shared" si="20"/>
        <v>0</v>
      </c>
      <c r="CE64" s="465"/>
      <c r="CF64" s="468">
        <v>10000000</v>
      </c>
      <c r="CG64" s="468">
        <v>0</v>
      </c>
      <c r="CH64" s="543">
        <f t="shared" si="21"/>
        <v>10000000</v>
      </c>
      <c r="CI64" s="465"/>
      <c r="CJ64" s="468">
        <v>10000000</v>
      </c>
      <c r="CK64" s="468">
        <v>10000000</v>
      </c>
      <c r="CL64" s="543">
        <f t="shared" si="22"/>
        <v>0</v>
      </c>
      <c r="CM64" s="465"/>
      <c r="CN64" s="468">
        <v>30000000</v>
      </c>
      <c r="CO64" s="468">
        <v>30000000</v>
      </c>
      <c r="CP64" s="543">
        <f t="shared" si="23"/>
        <v>0</v>
      </c>
      <c r="CQ64" s="465"/>
      <c r="CR64" s="465">
        <v>5000000</v>
      </c>
      <c r="CS64" s="468">
        <f>2415000+1000000+1585000</f>
        <v>5000000</v>
      </c>
      <c r="CT64" s="465">
        <f t="shared" si="24"/>
        <v>0</v>
      </c>
      <c r="CU64" s="465"/>
      <c r="CV64" s="525">
        <v>80000000</v>
      </c>
      <c r="CW64" s="465">
        <v>80000000</v>
      </c>
      <c r="CX64" s="543">
        <f t="shared" si="25"/>
        <v>0</v>
      </c>
      <c r="CY64" s="471"/>
      <c r="CZ64" s="468">
        <v>20000000</v>
      </c>
      <c r="DA64" s="468">
        <v>0</v>
      </c>
      <c r="DB64" s="543">
        <f t="shared" si="26"/>
        <v>20000000</v>
      </c>
      <c r="DC64" s="471"/>
      <c r="DD64" s="468">
        <v>20000000</v>
      </c>
      <c r="DE64" s="468">
        <v>20000000</v>
      </c>
      <c r="DF64" s="543">
        <f t="shared" si="27"/>
        <v>0</v>
      </c>
      <c r="DG64" s="465"/>
      <c r="DH64" s="468">
        <v>50000000</v>
      </c>
      <c r="DI64" s="468">
        <v>50000000</v>
      </c>
      <c r="DJ64" s="543">
        <f t="shared" si="28"/>
        <v>0</v>
      </c>
      <c r="DK64" s="465"/>
      <c r="DL64" s="465">
        <v>6000000</v>
      </c>
      <c r="DM64" s="468">
        <v>6000000</v>
      </c>
      <c r="DN64" s="465">
        <f t="shared" si="29"/>
        <v>0</v>
      </c>
      <c r="DO64" s="465"/>
      <c r="DP64" s="471">
        <v>0</v>
      </c>
      <c r="DQ64" s="471">
        <v>0</v>
      </c>
      <c r="DR64" s="471">
        <f t="shared" si="30"/>
        <v>0</v>
      </c>
      <c r="DT64" s="471">
        <v>60000000</v>
      </c>
      <c r="DU64" s="471">
        <f>28015649+1050000+30934351</f>
        <v>60000000</v>
      </c>
      <c r="DV64" s="471">
        <f t="shared" si="31"/>
        <v>0</v>
      </c>
      <c r="DX64" s="471">
        <v>10000000</v>
      </c>
      <c r="DY64" s="471">
        <v>0</v>
      </c>
      <c r="DZ64" s="471">
        <f t="shared" si="32"/>
        <v>10000000</v>
      </c>
      <c r="EB64" s="471">
        <v>10000000</v>
      </c>
      <c r="EC64" s="471">
        <v>1575000</v>
      </c>
      <c r="ED64" s="471">
        <f t="shared" si="33"/>
        <v>8425000</v>
      </c>
      <c r="EF64" s="471">
        <v>20000000</v>
      </c>
      <c r="EG64" s="471">
        <f>11507741+7531000+961259</f>
        <v>20000000</v>
      </c>
      <c r="EH64" s="471">
        <f t="shared" si="34"/>
        <v>0</v>
      </c>
      <c r="EJ64" s="471">
        <v>3000000</v>
      </c>
      <c r="EK64" s="471">
        <f>1340000</f>
        <v>1340000</v>
      </c>
      <c r="EL64" s="471">
        <f t="shared" si="35"/>
        <v>1660000</v>
      </c>
      <c r="EM64" s="634"/>
      <c r="EN64" s="465">
        <v>200000000</v>
      </c>
      <c r="EO64" s="465">
        <f>97800000+97930899+4269101</f>
        <v>200000000</v>
      </c>
      <c r="EP64" s="465">
        <f t="shared" si="36"/>
        <v>0</v>
      </c>
      <c r="EQ64" s="465"/>
      <c r="ER64" s="465">
        <v>10000000</v>
      </c>
      <c r="ES64" s="465">
        <v>0</v>
      </c>
      <c r="ET64" s="465">
        <f t="shared" si="37"/>
        <v>10000000</v>
      </c>
      <c r="EU64" s="465"/>
      <c r="EV64" s="465">
        <v>10000000</v>
      </c>
      <c r="EW64" s="465">
        <v>0</v>
      </c>
      <c r="EX64" s="465">
        <f t="shared" si="38"/>
        <v>10000000</v>
      </c>
      <c r="EY64" s="465"/>
      <c r="EZ64" s="465">
        <v>25000000</v>
      </c>
      <c r="FA64" s="465">
        <f>774591+6249380</f>
        <v>7023971</v>
      </c>
      <c r="FB64" s="465">
        <f t="shared" si="39"/>
        <v>17976029</v>
      </c>
      <c r="FC64" s="465"/>
      <c r="FD64" s="465">
        <v>3000000</v>
      </c>
      <c r="FE64" s="465">
        <v>0</v>
      </c>
      <c r="FF64" s="465">
        <f t="shared" si="40"/>
        <v>3000000</v>
      </c>
      <c r="FG64" s="465"/>
      <c r="FH64" s="637">
        <v>65000000</v>
      </c>
      <c r="FI64" s="637">
        <f>33863834+25800000</f>
        <v>59663834</v>
      </c>
      <c r="FJ64" s="637">
        <f t="shared" ref="FJ64:FJ67" si="120">FH64-FI64</f>
        <v>5336166</v>
      </c>
      <c r="FK64" s="637"/>
      <c r="FL64" s="637">
        <v>8000000</v>
      </c>
      <c r="FM64" s="637">
        <v>0</v>
      </c>
      <c r="FN64" s="637">
        <f t="shared" ref="FN64:FN67" si="121">FL64-FM64</f>
        <v>8000000</v>
      </c>
      <c r="FO64" s="637"/>
      <c r="FP64" s="637">
        <v>5000000</v>
      </c>
      <c r="FQ64" s="637">
        <v>0</v>
      </c>
      <c r="FR64" s="637">
        <f t="shared" ref="FR64:FR67" si="122">FP64-FQ64</f>
        <v>5000000</v>
      </c>
      <c r="FS64" s="637"/>
      <c r="FT64" s="637">
        <v>18000000</v>
      </c>
      <c r="FU64" s="637">
        <v>0</v>
      </c>
      <c r="FV64" s="637">
        <f t="shared" ref="FV64:FV67" si="123">FT64-FU64</f>
        <v>18000000</v>
      </c>
      <c r="FW64" s="637"/>
      <c r="FX64" s="637">
        <v>3000000</v>
      </c>
      <c r="FY64" s="637">
        <v>0</v>
      </c>
      <c r="FZ64" s="637">
        <f t="shared" ref="FZ64:FZ67" si="124">FX64-FY64</f>
        <v>3000000</v>
      </c>
      <c r="GA64" s="637"/>
      <c r="GB64" s="637">
        <v>90000000</v>
      </c>
      <c r="GC64" s="637">
        <v>0</v>
      </c>
      <c r="GD64" s="637">
        <f t="shared" si="115"/>
        <v>90000000</v>
      </c>
      <c r="GE64" s="637"/>
      <c r="GF64" s="637">
        <v>22000000</v>
      </c>
      <c r="GG64" s="637">
        <v>0</v>
      </c>
      <c r="GH64" s="637">
        <f t="shared" si="119"/>
        <v>22000000</v>
      </c>
      <c r="GI64" s="637"/>
      <c r="GJ64" s="637">
        <v>3000000</v>
      </c>
      <c r="GK64" s="637">
        <v>0</v>
      </c>
      <c r="GL64" s="637">
        <f t="shared" si="116"/>
        <v>3000000</v>
      </c>
      <c r="GM64" s="637"/>
      <c r="GN64" s="637">
        <v>12000000</v>
      </c>
      <c r="GO64" s="637">
        <v>0</v>
      </c>
      <c r="GP64" s="637">
        <f t="shared" si="117"/>
        <v>12000000</v>
      </c>
      <c r="GQ64" s="637"/>
      <c r="GR64" s="637">
        <v>3000000</v>
      </c>
      <c r="GS64" s="637">
        <v>0</v>
      </c>
      <c r="GT64" s="637">
        <f t="shared" si="118"/>
        <v>3000000</v>
      </c>
      <c r="GU64" s="637"/>
      <c r="GV64" s="587">
        <f t="shared" si="50"/>
        <v>1085750000</v>
      </c>
      <c r="GW64" s="587">
        <f t="shared" si="50"/>
        <v>815352805</v>
      </c>
      <c r="GX64" s="468">
        <f t="shared" si="51"/>
        <v>270397195</v>
      </c>
      <c r="GZ64" s="519"/>
      <c r="HA64" s="468">
        <f>D64+H64+L64+X64+AN64+BH64+CB64+CV64+DT64+EN64+FH64+GB64</f>
        <v>711000000</v>
      </c>
      <c r="HB64" s="468">
        <f>E64+I64+M64+Y64+AO64+BI64+CC64+CW64+DU64+EO64+FI64+GC64</f>
        <v>615663834</v>
      </c>
      <c r="HC64" s="471">
        <f t="shared" si="52"/>
        <v>95336166</v>
      </c>
      <c r="HE64" s="471">
        <f>P64+AB64+AR64+BL64+CF64+CZ64+DX64+ER64+FL64+GF64</f>
        <v>95500000</v>
      </c>
      <c r="HF64" s="471">
        <f>Q64+AC64+AS64+BM64+CG64+DA64+DY64+ES64+FM64+GG64</f>
        <v>7500000</v>
      </c>
      <c r="HG64" s="471">
        <f t="shared" si="53"/>
        <v>88000000</v>
      </c>
      <c r="HI64" s="471">
        <f>T64+AF64+AV64+BP64+CJ64+DD64+EB64+EV64+FP64+GJ64</f>
        <v>67750000</v>
      </c>
      <c r="HJ64" s="471">
        <f>U64+AG64+AW64+BQ64+CK64+DE64+EC64+EW64+FQ64+GK64</f>
        <v>39325000</v>
      </c>
      <c r="HK64" s="471">
        <f t="shared" si="54"/>
        <v>28425000</v>
      </c>
      <c r="HN64" s="471">
        <f>AJ64+AZ64+BT64+CN64+DH64+DP64+EF64+EZ64+FT64+GN64</f>
        <v>187500000</v>
      </c>
      <c r="HO64" s="471">
        <f>AK64+BA64+BU64+CO64+DI64+DQ64+EG64+FA64+FU64+GO64</f>
        <v>139523971</v>
      </c>
      <c r="HP64" s="471">
        <f t="shared" si="55"/>
        <v>47976029</v>
      </c>
      <c r="HR64" s="531"/>
      <c r="HT64" s="471">
        <f>BX64+CR64+DL64+EJ64+FD64+FX64+GR64</f>
        <v>24000000</v>
      </c>
      <c r="HU64" s="471">
        <f>BY64+CS64+DM64+EK64+FE64+FY64+GS64</f>
        <v>13340000</v>
      </c>
      <c r="HV64" s="471">
        <f t="shared" si="56"/>
        <v>10660000</v>
      </c>
      <c r="HX64" s="473">
        <f t="shared" si="57"/>
        <v>0</v>
      </c>
      <c r="HY64" s="474">
        <v>13340000</v>
      </c>
      <c r="ID64" s="473">
        <f>HU64+HO64+HJ64+HF64+HB64</f>
        <v>815352805</v>
      </c>
      <c r="IE64" s="473">
        <f>HV64+HP64+HK64+HG64+HC64</f>
        <v>270397195</v>
      </c>
      <c r="IF64" s="473"/>
    </row>
    <row r="65" spans="1:254" x14ac:dyDescent="0.25">
      <c r="A65" s="107">
        <v>61</v>
      </c>
      <c r="B65" s="107" t="s">
        <v>382</v>
      </c>
      <c r="C65" s="634" t="s">
        <v>76</v>
      </c>
      <c r="D65" s="465">
        <v>0</v>
      </c>
      <c r="E65" s="465">
        <v>0</v>
      </c>
      <c r="F65" s="475">
        <f t="shared" si="1"/>
        <v>0</v>
      </c>
      <c r="G65" s="465"/>
      <c r="H65" s="465">
        <v>0</v>
      </c>
      <c r="I65" s="465">
        <v>0</v>
      </c>
      <c r="J65" s="463">
        <f t="shared" si="2"/>
        <v>0</v>
      </c>
      <c r="K65" s="465"/>
      <c r="L65" s="465">
        <v>15000000</v>
      </c>
      <c r="M65" s="465">
        <f>3550000+5500000+2600000+2200000+1150000</f>
        <v>15000000</v>
      </c>
      <c r="N65" s="543">
        <f t="shared" si="3"/>
        <v>0</v>
      </c>
      <c r="O65" s="465"/>
      <c r="P65" s="465">
        <v>2500000</v>
      </c>
      <c r="Q65" s="465">
        <v>2500000</v>
      </c>
      <c r="R65" s="543">
        <f t="shared" si="4"/>
        <v>0</v>
      </c>
      <c r="S65" s="465"/>
      <c r="T65" s="465">
        <v>1000000</v>
      </c>
      <c r="U65" s="465">
        <v>1000000</v>
      </c>
      <c r="V65" s="543">
        <f t="shared" si="5"/>
        <v>0</v>
      </c>
      <c r="W65" s="465"/>
      <c r="X65" s="465">
        <v>17304600</v>
      </c>
      <c r="Y65" s="465">
        <f>2150000+1050000+14104600</f>
        <v>17304600</v>
      </c>
      <c r="Z65" s="543">
        <f t="shared" si="6"/>
        <v>0</v>
      </c>
      <c r="AA65" s="465"/>
      <c r="AB65" s="465">
        <v>5000000</v>
      </c>
      <c r="AC65" s="465">
        <v>5000000</v>
      </c>
      <c r="AD65" s="543">
        <f t="shared" si="7"/>
        <v>0</v>
      </c>
      <c r="AE65" s="465"/>
      <c r="AF65" s="465">
        <v>2000000</v>
      </c>
      <c r="AG65" s="465">
        <v>2000000</v>
      </c>
      <c r="AH65" s="543">
        <f t="shared" si="8"/>
        <v>0</v>
      </c>
      <c r="AI65" s="465"/>
      <c r="AJ65" s="465">
        <v>7500000</v>
      </c>
      <c r="AK65" s="465">
        <v>7500000</v>
      </c>
      <c r="AL65" s="543">
        <f t="shared" si="9"/>
        <v>0</v>
      </c>
      <c r="AM65" s="465"/>
      <c r="AN65" s="465">
        <v>30000000</v>
      </c>
      <c r="AO65" s="465">
        <v>13050000</v>
      </c>
      <c r="AP65" s="543">
        <f t="shared" si="10"/>
        <v>16950000</v>
      </c>
      <c r="AQ65" s="465"/>
      <c r="AR65" s="465">
        <v>3000000</v>
      </c>
      <c r="AS65" s="465">
        <f>102000+2898000</f>
        <v>3000000</v>
      </c>
      <c r="AT65" s="543">
        <f t="shared" si="11"/>
        <v>0</v>
      </c>
      <c r="AU65" s="465"/>
      <c r="AV65" s="465">
        <v>2000000</v>
      </c>
      <c r="AW65" s="465">
        <f>1114425+885575</f>
        <v>2000000</v>
      </c>
      <c r="AX65" s="543">
        <f t="shared" si="12"/>
        <v>0</v>
      </c>
      <c r="AY65" s="465"/>
      <c r="AZ65" s="465">
        <v>10000000</v>
      </c>
      <c r="BA65" s="465">
        <v>10000000</v>
      </c>
      <c r="BB65" s="543">
        <f t="shared" si="13"/>
        <v>0</v>
      </c>
      <c r="BC65" s="465"/>
      <c r="BD65" s="465">
        <v>0</v>
      </c>
      <c r="BE65" s="465">
        <v>0</v>
      </c>
      <c r="BF65" s="543">
        <f t="shared" si="14"/>
        <v>0</v>
      </c>
      <c r="BG65" s="465"/>
      <c r="BH65" s="465">
        <v>55000000</v>
      </c>
      <c r="BI65" s="465">
        <f>3900000+51100000</f>
        <v>55000000</v>
      </c>
      <c r="BJ65" s="543">
        <f t="shared" si="15"/>
        <v>0</v>
      </c>
      <c r="BK65" s="465"/>
      <c r="BL65" s="465">
        <v>5000000</v>
      </c>
      <c r="BM65" s="465">
        <v>5000000</v>
      </c>
      <c r="BN65" s="543">
        <f t="shared" si="16"/>
        <v>0</v>
      </c>
      <c r="BO65" s="465"/>
      <c r="BP65" s="465">
        <v>5000000</v>
      </c>
      <c r="BQ65" s="465">
        <f>4146425</f>
        <v>4146425</v>
      </c>
      <c r="BR65" s="543">
        <f t="shared" si="17"/>
        <v>853575</v>
      </c>
      <c r="BS65" s="465"/>
      <c r="BT65" s="465">
        <v>15000000</v>
      </c>
      <c r="BU65" s="465">
        <v>15000000</v>
      </c>
      <c r="BV65" s="543">
        <f t="shared" si="18"/>
        <v>0</v>
      </c>
      <c r="BW65" s="465"/>
      <c r="BX65" s="465">
        <v>1000000</v>
      </c>
      <c r="BY65" s="465">
        <v>1000000</v>
      </c>
      <c r="BZ65" s="543">
        <f t="shared" si="19"/>
        <v>0</v>
      </c>
      <c r="CA65" s="465"/>
      <c r="CB65" s="468">
        <v>80000000</v>
      </c>
      <c r="CC65" s="487">
        <f>7665000+7200000+3600000</f>
        <v>18465000</v>
      </c>
      <c r="CD65" s="543">
        <f t="shared" si="20"/>
        <v>61535000</v>
      </c>
      <c r="CE65" s="465"/>
      <c r="CF65" s="468">
        <v>10000000</v>
      </c>
      <c r="CG65" s="468">
        <f>6084600+3915400</f>
        <v>10000000</v>
      </c>
      <c r="CH65" s="543">
        <f t="shared" si="21"/>
        <v>0</v>
      </c>
      <c r="CI65" s="465"/>
      <c r="CJ65" s="468">
        <v>10000000</v>
      </c>
      <c r="CK65" s="468"/>
      <c r="CL65" s="543">
        <f t="shared" si="22"/>
        <v>10000000</v>
      </c>
      <c r="CM65" s="465"/>
      <c r="CN65" s="468">
        <v>30000000</v>
      </c>
      <c r="CO65" s="468">
        <v>30000000</v>
      </c>
      <c r="CP65" s="543">
        <f t="shared" si="23"/>
        <v>0</v>
      </c>
      <c r="CQ65" s="465"/>
      <c r="CR65" s="465">
        <v>5000000</v>
      </c>
      <c r="CS65" s="468">
        <v>5000000</v>
      </c>
      <c r="CT65" s="465">
        <f t="shared" si="24"/>
        <v>0</v>
      </c>
      <c r="CU65" s="465"/>
      <c r="CV65" s="525">
        <v>80000000</v>
      </c>
      <c r="CW65" s="465">
        <v>8100000</v>
      </c>
      <c r="CX65" s="543">
        <f t="shared" si="25"/>
        <v>71900000</v>
      </c>
      <c r="CY65" s="471"/>
      <c r="CZ65" s="468">
        <v>20000000</v>
      </c>
      <c r="DA65" s="468">
        <f>83780+912000+1869600+810600</f>
        <v>3675980</v>
      </c>
      <c r="DB65" s="543">
        <f t="shared" si="26"/>
        <v>16324020</v>
      </c>
      <c r="DC65" s="471"/>
      <c r="DD65" s="468">
        <v>20000000</v>
      </c>
      <c r="DE65" s="468">
        <v>0</v>
      </c>
      <c r="DF65" s="543">
        <f t="shared" si="27"/>
        <v>20000000</v>
      </c>
      <c r="DG65" s="465"/>
      <c r="DH65" s="468">
        <v>50000000</v>
      </c>
      <c r="DI65" s="468">
        <v>50000000</v>
      </c>
      <c r="DJ65" s="543">
        <f t="shared" si="28"/>
        <v>0</v>
      </c>
      <c r="DK65" s="465"/>
      <c r="DL65" s="465">
        <v>6000000</v>
      </c>
      <c r="DM65" s="468">
        <f>3217187.5+1920000+825987.5+36825</f>
        <v>6000000</v>
      </c>
      <c r="DN65" s="465">
        <f t="shared" si="29"/>
        <v>0</v>
      </c>
      <c r="DO65" s="465"/>
      <c r="DP65" s="471">
        <v>0</v>
      </c>
      <c r="DQ65" s="471">
        <v>0</v>
      </c>
      <c r="DR65" s="471">
        <f t="shared" si="30"/>
        <v>0</v>
      </c>
      <c r="DT65" s="471">
        <v>60000000</v>
      </c>
      <c r="DU65" s="471">
        <v>0</v>
      </c>
      <c r="DV65" s="471">
        <f t="shared" si="31"/>
        <v>60000000</v>
      </c>
      <c r="DX65" s="471">
        <v>10000000</v>
      </c>
      <c r="DY65" s="471">
        <v>0</v>
      </c>
      <c r="DZ65" s="471">
        <f t="shared" si="32"/>
        <v>10000000</v>
      </c>
      <c r="EB65" s="471">
        <v>10000000</v>
      </c>
      <c r="EC65" s="471">
        <v>0</v>
      </c>
      <c r="ED65" s="471">
        <f t="shared" si="33"/>
        <v>10000000</v>
      </c>
      <c r="EF65" s="471">
        <v>20000000</v>
      </c>
      <c r="EG65" s="471">
        <f>7586293+12413707</f>
        <v>20000000</v>
      </c>
      <c r="EH65" s="471">
        <f t="shared" si="34"/>
        <v>0</v>
      </c>
      <c r="EJ65" s="471">
        <v>3000000</v>
      </c>
      <c r="EK65" s="471">
        <f>1626562.5+302025</f>
        <v>1928587.5</v>
      </c>
      <c r="EL65" s="471">
        <f t="shared" si="35"/>
        <v>1071412.5</v>
      </c>
      <c r="EM65" s="634"/>
      <c r="EN65" s="465">
        <v>200000000</v>
      </c>
      <c r="EO65" s="465">
        <v>0</v>
      </c>
      <c r="EP65" s="465">
        <f t="shared" si="36"/>
        <v>200000000</v>
      </c>
      <c r="EQ65" s="465"/>
      <c r="ER65" s="465">
        <v>10000000</v>
      </c>
      <c r="ES65" s="465">
        <v>0</v>
      </c>
      <c r="ET65" s="465">
        <f t="shared" si="37"/>
        <v>10000000</v>
      </c>
      <c r="EU65" s="465"/>
      <c r="EV65" s="465">
        <v>10000000</v>
      </c>
      <c r="EW65" s="465">
        <v>0</v>
      </c>
      <c r="EX65" s="465">
        <f t="shared" si="38"/>
        <v>10000000</v>
      </c>
      <c r="EY65" s="465"/>
      <c r="EZ65" s="465">
        <v>25000000</v>
      </c>
      <c r="FA65" s="478">
        <f>3122153+1056600+469150+5730750+2542140+11878195</f>
        <v>24798988</v>
      </c>
      <c r="FB65" s="465">
        <f t="shared" si="39"/>
        <v>201012</v>
      </c>
      <c r="FC65" s="465"/>
      <c r="FD65" s="465">
        <v>3000000</v>
      </c>
      <c r="FE65" s="465">
        <v>0</v>
      </c>
      <c r="FF65" s="465">
        <f t="shared" si="40"/>
        <v>3000000</v>
      </c>
      <c r="FG65" s="465"/>
      <c r="FH65" s="637">
        <v>65000000</v>
      </c>
      <c r="FI65" s="637">
        <v>0</v>
      </c>
      <c r="FJ65" s="637">
        <f t="shared" si="120"/>
        <v>65000000</v>
      </c>
      <c r="FK65" s="637"/>
      <c r="FL65" s="637">
        <v>8000000</v>
      </c>
      <c r="FM65" s="637">
        <v>0</v>
      </c>
      <c r="FN65" s="637">
        <f t="shared" si="121"/>
        <v>8000000</v>
      </c>
      <c r="FO65" s="637"/>
      <c r="FP65" s="637">
        <v>5000000</v>
      </c>
      <c r="FQ65" s="637">
        <v>0</v>
      </c>
      <c r="FR65" s="637">
        <f t="shared" si="122"/>
        <v>5000000</v>
      </c>
      <c r="FS65" s="637"/>
      <c r="FT65" s="637">
        <v>18000000</v>
      </c>
      <c r="FU65" s="637">
        <v>0</v>
      </c>
      <c r="FV65" s="637">
        <f t="shared" si="123"/>
        <v>18000000</v>
      </c>
      <c r="FW65" s="637"/>
      <c r="FX65" s="637">
        <v>3000000</v>
      </c>
      <c r="FY65" s="637">
        <v>0</v>
      </c>
      <c r="FZ65" s="637">
        <f t="shared" si="124"/>
        <v>3000000</v>
      </c>
      <c r="GA65" s="637"/>
      <c r="GB65" s="637">
        <v>90000000</v>
      </c>
      <c r="GC65" s="637">
        <v>0</v>
      </c>
      <c r="GD65" s="637">
        <f t="shared" si="115"/>
        <v>90000000</v>
      </c>
      <c r="GE65" s="637"/>
      <c r="GF65" s="637">
        <v>22000000</v>
      </c>
      <c r="GG65" s="637">
        <v>0</v>
      </c>
      <c r="GH65" s="637">
        <f t="shared" si="119"/>
        <v>22000000</v>
      </c>
      <c r="GI65" s="637"/>
      <c r="GJ65" s="637">
        <v>3000000</v>
      </c>
      <c r="GK65" s="637">
        <v>0</v>
      </c>
      <c r="GL65" s="637">
        <f t="shared" si="116"/>
        <v>3000000</v>
      </c>
      <c r="GM65" s="637"/>
      <c r="GN65" s="637">
        <v>12000000</v>
      </c>
      <c r="GO65" s="637">
        <v>0</v>
      </c>
      <c r="GP65" s="637">
        <f t="shared" si="117"/>
        <v>12000000</v>
      </c>
      <c r="GQ65" s="637"/>
      <c r="GR65" s="637">
        <v>3000000</v>
      </c>
      <c r="GS65" s="637">
        <v>0</v>
      </c>
      <c r="GT65" s="637">
        <f t="shared" si="118"/>
        <v>3000000</v>
      </c>
      <c r="GU65" s="637"/>
      <c r="GV65" s="587">
        <f t="shared" si="50"/>
        <v>1067304600</v>
      </c>
      <c r="GW65" s="587">
        <f t="shared" si="50"/>
        <v>336469580.5</v>
      </c>
      <c r="GX65" s="468">
        <f t="shared" si="51"/>
        <v>730835019.5</v>
      </c>
      <c r="GZ65" s="519"/>
      <c r="HA65" s="468">
        <f>D65+H65+L65+X65+AN65+BH65+CB65+CV65+DT65+EN65+FH65+GB65</f>
        <v>692304600</v>
      </c>
      <c r="HB65" s="468">
        <f>E65+I65+M65+Y65+AO65+BI65+CC65+CW65+DU65+EO65+FI65+GC65</f>
        <v>126919600</v>
      </c>
      <c r="HC65" s="471">
        <f t="shared" si="52"/>
        <v>565385000</v>
      </c>
      <c r="HE65" s="471">
        <f>P65+AB65+AR65+BL65+CF65+CZ65+DX65+ER65+FL65+GF65</f>
        <v>95500000</v>
      </c>
      <c r="HF65" s="471">
        <f>Q65+AC65+AS65+BM65+CG65+DA65+DY65+ES65+FM65+GG65</f>
        <v>29175980</v>
      </c>
      <c r="HG65" s="471">
        <f t="shared" si="53"/>
        <v>66324020</v>
      </c>
      <c r="HI65" s="471">
        <f>T65+AF65+AV65+BP65+CJ65+DD65+EB65+EV65+FP65+GJ65</f>
        <v>68000000</v>
      </c>
      <c r="HJ65" s="471">
        <f>U65+AG65+AW65+BQ65+CK65+DE65+EC65+EW65+FQ65+GK65</f>
        <v>9146425</v>
      </c>
      <c r="HK65" s="471">
        <f t="shared" si="54"/>
        <v>58853575</v>
      </c>
      <c r="HN65" s="471">
        <f>AJ65+AZ65+BT65+CN65+DH65+DP65+EF65+EZ65+FT65+GN65</f>
        <v>187500000</v>
      </c>
      <c r="HO65" s="471">
        <f>AK65+BA65+BU65+CO65+DI65+DQ65+EG65+FA65+FU65+GO65</f>
        <v>157298988</v>
      </c>
      <c r="HP65" s="471">
        <f t="shared" si="55"/>
        <v>30201012</v>
      </c>
      <c r="HR65" s="531"/>
      <c r="HT65" s="471">
        <f>BX65+CR65+DL65+EJ65+FD65+FX65+GR65</f>
        <v>24000000</v>
      </c>
      <c r="HU65" s="471">
        <f>BY65+CS65+DM65+EK65+FE65+FY65+GS65</f>
        <v>13928587.5</v>
      </c>
      <c r="HV65" s="471">
        <f t="shared" si="56"/>
        <v>10071412.5</v>
      </c>
      <c r="HX65" s="473">
        <f t="shared" si="57"/>
        <v>0</v>
      </c>
      <c r="HY65" s="474">
        <v>13928587.5</v>
      </c>
      <c r="ID65" s="473">
        <f>HU65+HO65+HJ65+HF65+HB65</f>
        <v>336469580.5</v>
      </c>
      <c r="IE65" s="473">
        <f>HV65+HP65+HK65+HG65+HC65</f>
        <v>730835019.5</v>
      </c>
      <c r="IF65" s="473"/>
    </row>
    <row r="66" spans="1:254" x14ac:dyDescent="0.25">
      <c r="A66" s="107">
        <v>62</v>
      </c>
      <c r="B66" s="107" t="s">
        <v>578</v>
      </c>
      <c r="C66" s="634" t="s">
        <v>65</v>
      </c>
      <c r="D66" s="465">
        <v>0</v>
      </c>
      <c r="E66" s="465">
        <v>0</v>
      </c>
      <c r="F66" s="475">
        <f t="shared" si="1"/>
        <v>0</v>
      </c>
      <c r="G66" s="465"/>
      <c r="H66" s="465">
        <v>0</v>
      </c>
      <c r="I66" s="465">
        <v>0</v>
      </c>
      <c r="J66" s="463">
        <f t="shared" si="2"/>
        <v>0</v>
      </c>
      <c r="K66" s="465"/>
      <c r="L66" s="465">
        <v>0</v>
      </c>
      <c r="M66" s="465">
        <v>0</v>
      </c>
      <c r="N66" s="543">
        <f t="shared" si="3"/>
        <v>0</v>
      </c>
      <c r="O66" s="465"/>
      <c r="P66" s="465">
        <v>2500000</v>
      </c>
      <c r="Q66" s="465">
        <v>2500000</v>
      </c>
      <c r="R66" s="543">
        <f t="shared" si="4"/>
        <v>0</v>
      </c>
      <c r="S66" s="465"/>
      <c r="T66" s="465">
        <v>0</v>
      </c>
      <c r="U66" s="465">
        <v>0</v>
      </c>
      <c r="V66" s="543">
        <f t="shared" si="5"/>
        <v>0</v>
      </c>
      <c r="W66" s="465"/>
      <c r="X66" s="465">
        <v>20000000</v>
      </c>
      <c r="Y66" s="465">
        <v>20000000</v>
      </c>
      <c r="Z66" s="543">
        <f t="shared" si="6"/>
        <v>0</v>
      </c>
      <c r="AA66" s="465"/>
      <c r="AB66" s="465">
        <v>5000000</v>
      </c>
      <c r="AC66" s="465">
        <v>5000000</v>
      </c>
      <c r="AD66" s="543">
        <f t="shared" si="7"/>
        <v>0</v>
      </c>
      <c r="AE66" s="465"/>
      <c r="AF66" s="465">
        <v>2000000</v>
      </c>
      <c r="AG66" s="465">
        <v>2000000</v>
      </c>
      <c r="AH66" s="543">
        <f t="shared" si="8"/>
        <v>0</v>
      </c>
      <c r="AI66" s="465"/>
      <c r="AJ66" s="465">
        <v>7500000</v>
      </c>
      <c r="AK66" s="465">
        <v>7500000</v>
      </c>
      <c r="AL66" s="543">
        <f t="shared" si="9"/>
        <v>0</v>
      </c>
      <c r="AM66" s="465"/>
      <c r="AN66" s="465">
        <v>30000000</v>
      </c>
      <c r="AO66" s="465">
        <v>30000000</v>
      </c>
      <c r="AP66" s="543">
        <f t="shared" si="10"/>
        <v>0</v>
      </c>
      <c r="AQ66" s="465"/>
      <c r="AR66" s="465">
        <v>3000000</v>
      </c>
      <c r="AS66" s="465">
        <v>3000000</v>
      </c>
      <c r="AT66" s="543">
        <f t="shared" si="11"/>
        <v>0</v>
      </c>
      <c r="AU66" s="465"/>
      <c r="AV66" s="465">
        <v>2000000</v>
      </c>
      <c r="AW66" s="465">
        <v>2000000</v>
      </c>
      <c r="AX66" s="543">
        <f t="shared" si="12"/>
        <v>0</v>
      </c>
      <c r="AY66" s="465"/>
      <c r="AZ66" s="465">
        <v>10000000</v>
      </c>
      <c r="BA66" s="465">
        <v>10000000</v>
      </c>
      <c r="BB66" s="543">
        <f t="shared" si="13"/>
        <v>0</v>
      </c>
      <c r="BC66" s="465"/>
      <c r="BD66" s="465">
        <v>0</v>
      </c>
      <c r="BE66" s="465">
        <v>0</v>
      </c>
      <c r="BF66" s="543">
        <f t="shared" si="14"/>
        <v>0</v>
      </c>
      <c r="BG66" s="465"/>
      <c r="BH66" s="465">
        <v>55000000</v>
      </c>
      <c r="BI66" s="465">
        <f>17126125+4800000+33073875</f>
        <v>55000000</v>
      </c>
      <c r="BJ66" s="543">
        <f t="shared" si="15"/>
        <v>0</v>
      </c>
      <c r="BK66" s="465"/>
      <c r="BL66" s="465">
        <v>5000000</v>
      </c>
      <c r="BM66" s="465">
        <f>2500000+2500000</f>
        <v>5000000</v>
      </c>
      <c r="BN66" s="543">
        <f t="shared" si="16"/>
        <v>0</v>
      </c>
      <c r="BO66" s="465"/>
      <c r="BP66" s="465">
        <v>5000000</v>
      </c>
      <c r="BQ66" s="465">
        <v>5000000</v>
      </c>
      <c r="BR66" s="543">
        <f t="shared" si="17"/>
        <v>0</v>
      </c>
      <c r="BS66" s="465"/>
      <c r="BT66" s="465">
        <v>15000000</v>
      </c>
      <c r="BU66" s="465">
        <v>15000000</v>
      </c>
      <c r="BV66" s="543">
        <f t="shared" si="18"/>
        <v>0</v>
      </c>
      <c r="BW66" s="465"/>
      <c r="BX66" s="465">
        <v>1000000</v>
      </c>
      <c r="BY66" s="465">
        <v>1000000</v>
      </c>
      <c r="BZ66" s="543">
        <f t="shared" si="19"/>
        <v>0</v>
      </c>
      <c r="CA66" s="465"/>
      <c r="CB66" s="468">
        <v>80000000</v>
      </c>
      <c r="CC66" s="487">
        <f>22532600+1582875+20267007.5+31800000</f>
        <v>76182482.5</v>
      </c>
      <c r="CD66" s="543">
        <f t="shared" si="20"/>
        <v>3817517.5</v>
      </c>
      <c r="CE66" s="465"/>
      <c r="CF66" s="468">
        <v>10000000</v>
      </c>
      <c r="CG66" s="468">
        <v>10000000</v>
      </c>
      <c r="CH66" s="543">
        <f t="shared" si="21"/>
        <v>0</v>
      </c>
      <c r="CI66" s="465"/>
      <c r="CJ66" s="468">
        <v>10000000</v>
      </c>
      <c r="CK66" s="468">
        <v>7150000</v>
      </c>
      <c r="CL66" s="543">
        <f t="shared" si="22"/>
        <v>2850000</v>
      </c>
      <c r="CM66" s="465"/>
      <c r="CN66" s="468">
        <v>30000000</v>
      </c>
      <c r="CO66" s="468">
        <v>30000000</v>
      </c>
      <c r="CP66" s="543">
        <f t="shared" si="23"/>
        <v>0</v>
      </c>
      <c r="CQ66" s="465"/>
      <c r="CR66" s="465">
        <v>5000000</v>
      </c>
      <c r="CS66" s="468">
        <f>3250000+1750000</f>
        <v>5000000</v>
      </c>
      <c r="CT66" s="465">
        <f t="shared" si="24"/>
        <v>0</v>
      </c>
      <c r="CU66" s="465"/>
      <c r="CV66" s="525">
        <v>80000000</v>
      </c>
      <c r="CW66" s="465">
        <v>80000000</v>
      </c>
      <c r="CX66" s="543">
        <f t="shared" si="25"/>
        <v>0</v>
      </c>
      <c r="CY66" s="471"/>
      <c r="CZ66" s="468">
        <v>20000000</v>
      </c>
      <c r="DA66" s="468">
        <f>4026200+161000+3901800</f>
        <v>8089000</v>
      </c>
      <c r="DB66" s="543">
        <f t="shared" si="26"/>
        <v>11911000</v>
      </c>
      <c r="DC66" s="471"/>
      <c r="DD66" s="468">
        <v>20000000</v>
      </c>
      <c r="DE66" s="468">
        <v>0</v>
      </c>
      <c r="DF66" s="543">
        <f t="shared" si="27"/>
        <v>20000000</v>
      </c>
      <c r="DG66" s="465"/>
      <c r="DH66" s="468">
        <v>50000000</v>
      </c>
      <c r="DI66" s="468">
        <v>50000000</v>
      </c>
      <c r="DJ66" s="543">
        <f t="shared" si="28"/>
        <v>0</v>
      </c>
      <c r="DK66" s="465"/>
      <c r="DL66" s="465">
        <v>6000000</v>
      </c>
      <c r="DM66" s="468">
        <f>2500000</f>
        <v>2500000</v>
      </c>
      <c r="DN66" s="465">
        <f t="shared" si="29"/>
        <v>3500000</v>
      </c>
      <c r="DO66" s="465"/>
      <c r="DP66" s="471">
        <v>0</v>
      </c>
      <c r="DQ66" s="471">
        <v>0</v>
      </c>
      <c r="DR66" s="471">
        <f t="shared" si="30"/>
        <v>0</v>
      </c>
      <c r="DT66" s="471">
        <v>60000000</v>
      </c>
      <c r="DU66" s="471">
        <f>2100000+18300000+12600000+16541875</f>
        <v>49541875</v>
      </c>
      <c r="DV66" s="471">
        <f t="shared" si="31"/>
        <v>10458125</v>
      </c>
      <c r="DX66" s="471">
        <v>10000000</v>
      </c>
      <c r="DY66" s="471">
        <v>0</v>
      </c>
      <c r="DZ66" s="471">
        <f t="shared" si="32"/>
        <v>10000000</v>
      </c>
      <c r="EB66" s="471">
        <v>10000000</v>
      </c>
      <c r="EC66" s="471">
        <v>0</v>
      </c>
      <c r="ED66" s="471">
        <f t="shared" si="33"/>
        <v>10000000</v>
      </c>
      <c r="EF66" s="471">
        <v>20000000</v>
      </c>
      <c r="EG66" s="471">
        <f>10859525+209200+8931275</f>
        <v>20000000</v>
      </c>
      <c r="EH66" s="471">
        <f t="shared" si="34"/>
        <v>0</v>
      </c>
      <c r="EJ66" s="471">
        <v>3000000</v>
      </c>
      <c r="EK66" s="471">
        <v>0</v>
      </c>
      <c r="EL66" s="471">
        <f t="shared" si="35"/>
        <v>3000000</v>
      </c>
      <c r="EM66" s="634"/>
      <c r="EN66" s="465">
        <v>200000000</v>
      </c>
      <c r="EO66" s="465">
        <v>0</v>
      </c>
      <c r="EP66" s="465">
        <f t="shared" si="36"/>
        <v>200000000</v>
      </c>
      <c r="EQ66" s="465"/>
      <c r="ER66" s="465">
        <v>10000000</v>
      </c>
      <c r="ES66" s="465">
        <v>0</v>
      </c>
      <c r="ET66" s="465">
        <f t="shared" si="37"/>
        <v>10000000</v>
      </c>
      <c r="EU66" s="465"/>
      <c r="EV66" s="465">
        <v>10000000</v>
      </c>
      <c r="EW66" s="465">
        <v>0</v>
      </c>
      <c r="EX66" s="465">
        <f t="shared" si="38"/>
        <v>10000000</v>
      </c>
      <c r="EY66" s="465"/>
      <c r="EZ66" s="465">
        <v>25000000</v>
      </c>
      <c r="FA66" s="591">
        <f>3869485+7654695+1882985+10503460</f>
        <v>23910625</v>
      </c>
      <c r="FB66" s="465">
        <f t="shared" si="39"/>
        <v>1089375</v>
      </c>
      <c r="FC66" s="465"/>
      <c r="FD66" s="465">
        <v>3000000</v>
      </c>
      <c r="FE66" s="465">
        <v>0</v>
      </c>
      <c r="FF66" s="465">
        <f t="shared" si="40"/>
        <v>3000000</v>
      </c>
      <c r="FG66" s="465"/>
      <c r="FH66" s="637">
        <v>65000000</v>
      </c>
      <c r="FI66" s="637">
        <v>0</v>
      </c>
      <c r="FJ66" s="637">
        <f t="shared" si="120"/>
        <v>65000000</v>
      </c>
      <c r="FK66" s="637"/>
      <c r="FL66" s="637">
        <v>8000000</v>
      </c>
      <c r="FM66" s="637">
        <v>0</v>
      </c>
      <c r="FN66" s="637">
        <f t="shared" si="121"/>
        <v>8000000</v>
      </c>
      <c r="FO66" s="637"/>
      <c r="FP66" s="637">
        <v>5000000</v>
      </c>
      <c r="FQ66" s="637">
        <v>0</v>
      </c>
      <c r="FR66" s="637">
        <f t="shared" si="122"/>
        <v>5000000</v>
      </c>
      <c r="FS66" s="637"/>
      <c r="FT66" s="637">
        <v>18000000</v>
      </c>
      <c r="FU66" s="646">
        <v>0</v>
      </c>
      <c r="FV66" s="637">
        <f t="shared" si="123"/>
        <v>18000000</v>
      </c>
      <c r="FW66" s="637"/>
      <c r="FX66" s="637">
        <v>3000000</v>
      </c>
      <c r="FY66" s="637">
        <v>0</v>
      </c>
      <c r="FZ66" s="637">
        <f t="shared" si="124"/>
        <v>3000000</v>
      </c>
      <c r="GA66" s="637"/>
      <c r="GB66" s="637">
        <v>90000000</v>
      </c>
      <c r="GC66" s="637">
        <v>0</v>
      </c>
      <c r="GD66" s="637">
        <f t="shared" si="115"/>
        <v>90000000</v>
      </c>
      <c r="GE66" s="637"/>
      <c r="GF66" s="637">
        <v>22000000</v>
      </c>
      <c r="GG66" s="637">
        <v>0</v>
      </c>
      <c r="GH66" s="637">
        <f t="shared" si="119"/>
        <v>22000000</v>
      </c>
      <c r="GI66" s="637"/>
      <c r="GJ66" s="637">
        <v>3000000</v>
      </c>
      <c r="GK66" s="637">
        <v>0</v>
      </c>
      <c r="GL66" s="637">
        <f t="shared" si="116"/>
        <v>3000000</v>
      </c>
      <c r="GM66" s="637"/>
      <c r="GN66" s="637">
        <v>12000000</v>
      </c>
      <c r="GO66" s="637">
        <v>0</v>
      </c>
      <c r="GP66" s="637">
        <f t="shared" si="117"/>
        <v>12000000</v>
      </c>
      <c r="GQ66" s="637"/>
      <c r="GR66" s="637">
        <v>3000000</v>
      </c>
      <c r="GS66" s="637">
        <v>0</v>
      </c>
      <c r="GT66" s="637">
        <f t="shared" si="118"/>
        <v>3000000</v>
      </c>
      <c r="GU66" s="637"/>
      <c r="GV66" s="587">
        <f t="shared" si="50"/>
        <v>1054000000</v>
      </c>
      <c r="GW66" s="587">
        <f t="shared" si="50"/>
        <v>525373982.5</v>
      </c>
      <c r="GX66" s="468">
        <f t="shared" si="51"/>
        <v>528626017.5</v>
      </c>
      <c r="GZ66" s="519"/>
      <c r="HA66" s="468">
        <f>D66+H66+L66+X66+AN66+BH66+CB66+CV66+DT66+EN66+FH66+GB66</f>
        <v>680000000</v>
      </c>
      <c r="HB66" s="468">
        <f>E66+I66+M66+Y66+AO66+BI66+CC66+CW66+DU66+EO66+FI66+GC66</f>
        <v>310724357.5</v>
      </c>
      <c r="HC66" s="471">
        <f t="shared" si="52"/>
        <v>369275642.5</v>
      </c>
      <c r="HE66" s="471">
        <f>P66+AB66+AR66+BL66+CF66+CZ66+DX66+ER66+FL66+GF66</f>
        <v>95500000</v>
      </c>
      <c r="HF66" s="471">
        <f>Q66+AC66+AS66+BM66+CG66+DA66+DY66+ES66+FM66+GG66</f>
        <v>33589000</v>
      </c>
      <c r="HG66" s="471">
        <f t="shared" si="53"/>
        <v>61911000</v>
      </c>
      <c r="HI66" s="471">
        <f>T66+AF66+AV66+BP66+CJ66+DD66+EB66+EV66+FP66+GJ66</f>
        <v>67000000</v>
      </c>
      <c r="HJ66" s="471">
        <f>U66+AG66+AW66+BQ66+CK66+DE66+EC66+EW66+FQ66+GK66</f>
        <v>16150000</v>
      </c>
      <c r="HK66" s="471">
        <f t="shared" si="54"/>
        <v>50850000</v>
      </c>
      <c r="HN66" s="471">
        <f>AJ66+AZ66+BT66+CN66+DH66+DP66+EF66+EZ66+FT66+GN66</f>
        <v>187500000</v>
      </c>
      <c r="HO66" s="471">
        <f>AK66+BA66+BU66+CO66+DI66+DQ66+EG66+FA66+FU66+GO66</f>
        <v>156410625</v>
      </c>
      <c r="HP66" s="471">
        <f t="shared" si="55"/>
        <v>31089375</v>
      </c>
      <c r="HR66" s="531"/>
      <c r="HT66" s="471">
        <f>BX66+CR66+DL66+EJ66+FD66+FX66+GR66</f>
        <v>24000000</v>
      </c>
      <c r="HU66" s="471">
        <f>BY66+CS66+DM66+EK66+FE66+FY66+GS66</f>
        <v>8500000</v>
      </c>
      <c r="HV66" s="471">
        <f t="shared" si="56"/>
        <v>15500000</v>
      </c>
      <c r="HX66" s="473">
        <f t="shared" si="57"/>
        <v>0</v>
      </c>
      <c r="HY66" s="474">
        <v>8500000</v>
      </c>
      <c r="ID66" s="473">
        <f>HU66+HO66+HJ66+HF66+HB66</f>
        <v>525373982.5</v>
      </c>
      <c r="IE66" s="473">
        <f>HV66+HP66+HK66+HG66+HC66</f>
        <v>528626017.5</v>
      </c>
      <c r="IF66" s="473"/>
    </row>
    <row r="67" spans="1:254" x14ac:dyDescent="0.25">
      <c r="A67" s="107">
        <v>63</v>
      </c>
      <c r="B67" s="107" t="s">
        <v>384</v>
      </c>
      <c r="C67" s="634" t="s">
        <v>69</v>
      </c>
      <c r="D67" s="465">
        <v>0</v>
      </c>
      <c r="E67" s="465">
        <v>0</v>
      </c>
      <c r="F67" s="475">
        <f t="shared" si="1"/>
        <v>0</v>
      </c>
      <c r="G67" s="465"/>
      <c r="H67" s="465">
        <v>0</v>
      </c>
      <c r="I67" s="465">
        <v>0</v>
      </c>
      <c r="J67" s="463">
        <f t="shared" si="2"/>
        <v>0</v>
      </c>
      <c r="K67" s="465"/>
      <c r="L67" s="465">
        <f>15000000-15000000</f>
        <v>0</v>
      </c>
      <c r="M67" s="465">
        <f>15000000-15000000</f>
        <v>0</v>
      </c>
      <c r="N67" s="543">
        <f t="shared" si="3"/>
        <v>0</v>
      </c>
      <c r="O67" s="465"/>
      <c r="P67" s="465">
        <f>2500000-2500000</f>
        <v>0</v>
      </c>
      <c r="Q67" s="465">
        <f>2500000-2500000</f>
        <v>0</v>
      </c>
      <c r="R67" s="543">
        <f t="shared" si="4"/>
        <v>0</v>
      </c>
      <c r="S67" s="465"/>
      <c r="T67" s="465">
        <v>0</v>
      </c>
      <c r="U67" s="465">
        <v>0</v>
      </c>
      <c r="V67" s="543">
        <f t="shared" si="5"/>
        <v>0</v>
      </c>
      <c r="W67" s="465"/>
      <c r="X67" s="465">
        <v>20000000</v>
      </c>
      <c r="Y67" s="465">
        <v>20000000</v>
      </c>
      <c r="Z67" s="543">
        <f t="shared" si="6"/>
        <v>0</v>
      </c>
      <c r="AA67" s="465"/>
      <c r="AB67" s="465">
        <v>5000000</v>
      </c>
      <c r="AC67" s="465">
        <v>5000000</v>
      </c>
      <c r="AD67" s="543">
        <f t="shared" si="7"/>
        <v>0</v>
      </c>
      <c r="AE67" s="465"/>
      <c r="AF67" s="465">
        <v>1700000</v>
      </c>
      <c r="AG67" s="465">
        <v>1700000</v>
      </c>
      <c r="AH67" s="543">
        <f t="shared" si="8"/>
        <v>0</v>
      </c>
      <c r="AI67" s="465"/>
      <c r="AJ67" s="465">
        <v>7500000</v>
      </c>
      <c r="AK67" s="465">
        <v>7500000</v>
      </c>
      <c r="AL67" s="543">
        <f t="shared" si="9"/>
        <v>0</v>
      </c>
      <c r="AM67" s="465"/>
      <c r="AN67" s="465">
        <v>30000000</v>
      </c>
      <c r="AO67" s="465">
        <v>15000000</v>
      </c>
      <c r="AP67" s="543">
        <f t="shared" si="10"/>
        <v>15000000</v>
      </c>
      <c r="AQ67" s="465"/>
      <c r="AR67" s="465">
        <v>3000000</v>
      </c>
      <c r="AS67" s="465">
        <v>3000000</v>
      </c>
      <c r="AT67" s="543">
        <f t="shared" si="11"/>
        <v>0</v>
      </c>
      <c r="AU67" s="465"/>
      <c r="AV67" s="465">
        <v>2000000</v>
      </c>
      <c r="AW67" s="465">
        <v>0</v>
      </c>
      <c r="AX67" s="543">
        <f t="shared" si="12"/>
        <v>2000000</v>
      </c>
      <c r="AY67" s="465"/>
      <c r="AZ67" s="465">
        <v>10000000</v>
      </c>
      <c r="BA67" s="465">
        <v>948200</v>
      </c>
      <c r="BB67" s="543">
        <f t="shared" si="13"/>
        <v>9051800</v>
      </c>
      <c r="BC67" s="465"/>
      <c r="BD67" s="465">
        <v>0</v>
      </c>
      <c r="BE67" s="465">
        <v>0</v>
      </c>
      <c r="BF67" s="543">
        <f t="shared" si="14"/>
        <v>0</v>
      </c>
      <c r="BG67" s="465"/>
      <c r="BH67" s="465">
        <v>55000000</v>
      </c>
      <c r="BI67" s="465">
        <f>20387730+6150000</f>
        <v>26537730</v>
      </c>
      <c r="BJ67" s="543">
        <f t="shared" si="15"/>
        <v>28462270</v>
      </c>
      <c r="BK67" s="465"/>
      <c r="BL67" s="465">
        <v>5000000</v>
      </c>
      <c r="BM67" s="465">
        <v>5000000</v>
      </c>
      <c r="BN67" s="543">
        <f t="shared" si="16"/>
        <v>0</v>
      </c>
      <c r="BO67" s="465"/>
      <c r="BP67" s="465">
        <v>5000000</v>
      </c>
      <c r="BQ67" s="465">
        <v>0</v>
      </c>
      <c r="BR67" s="543">
        <f t="shared" si="17"/>
        <v>5000000</v>
      </c>
      <c r="BS67" s="465"/>
      <c r="BT67" s="465">
        <v>15000000</v>
      </c>
      <c r="BU67" s="465">
        <v>15000000</v>
      </c>
      <c r="BV67" s="543">
        <f t="shared" si="18"/>
        <v>0</v>
      </c>
      <c r="BW67" s="465"/>
      <c r="BX67" s="465">
        <v>1000000</v>
      </c>
      <c r="BY67" s="485">
        <v>1000000</v>
      </c>
      <c r="BZ67" s="543">
        <f t="shared" si="19"/>
        <v>0</v>
      </c>
      <c r="CA67" s="465"/>
      <c r="CB67" s="468">
        <v>80000000</v>
      </c>
      <c r="CC67" s="465">
        <f>62468050+1050000-62468050+48032050-8973480</f>
        <v>40108570</v>
      </c>
      <c r="CD67" s="543">
        <f t="shared" si="20"/>
        <v>39891430</v>
      </c>
      <c r="CE67" s="465"/>
      <c r="CF67" s="468">
        <v>10000000</v>
      </c>
      <c r="CG67" s="468">
        <f>10000000-1700000+1700000</f>
        <v>10000000</v>
      </c>
      <c r="CH67" s="543">
        <f t="shared" si="21"/>
        <v>0</v>
      </c>
      <c r="CI67" s="465"/>
      <c r="CJ67" s="468">
        <v>10000000</v>
      </c>
      <c r="CK67" s="468">
        <v>0</v>
      </c>
      <c r="CL67" s="543">
        <f t="shared" si="22"/>
        <v>10000000</v>
      </c>
      <c r="CM67" s="465"/>
      <c r="CN67" s="468">
        <v>30000000</v>
      </c>
      <c r="CO67" s="468">
        <v>30000000.000000004</v>
      </c>
      <c r="CP67" s="543">
        <f t="shared" si="23"/>
        <v>0</v>
      </c>
      <c r="CQ67" s="465"/>
      <c r="CR67" s="465">
        <v>5000000</v>
      </c>
      <c r="CS67" s="504">
        <f>4822500</f>
        <v>4822500</v>
      </c>
      <c r="CT67" s="465">
        <f t="shared" si="24"/>
        <v>177500</v>
      </c>
      <c r="CU67" s="465"/>
      <c r="CV67" s="525">
        <v>80000000</v>
      </c>
      <c r="CW67" s="465">
        <f>55469000-3000000-10790337.78+38321337.78</f>
        <v>80000000</v>
      </c>
      <c r="CX67" s="543">
        <f t="shared" si="25"/>
        <v>0</v>
      </c>
      <c r="CY67" s="471"/>
      <c r="CZ67" s="525">
        <v>20000000</v>
      </c>
      <c r="DA67" s="465">
        <v>20000000</v>
      </c>
      <c r="DB67" s="543">
        <f t="shared" si="26"/>
        <v>0</v>
      </c>
      <c r="DC67" s="471"/>
      <c r="DD67" s="525">
        <v>20000000</v>
      </c>
      <c r="DE67" s="465">
        <v>0</v>
      </c>
      <c r="DF67" s="543">
        <f t="shared" si="27"/>
        <v>20000000</v>
      </c>
      <c r="DG67" s="465"/>
      <c r="DH67" s="525">
        <v>50000000</v>
      </c>
      <c r="DI67" s="465">
        <f>3602787.63+3600650+21378060+1031119</f>
        <v>29612616.629999999</v>
      </c>
      <c r="DJ67" s="543">
        <f t="shared" si="28"/>
        <v>20387383.370000001</v>
      </c>
      <c r="DK67" s="465"/>
      <c r="DL67" s="525">
        <v>6000000</v>
      </c>
      <c r="DM67" s="465">
        <v>0</v>
      </c>
      <c r="DN67" s="465">
        <f t="shared" si="29"/>
        <v>6000000</v>
      </c>
      <c r="DO67" s="465"/>
      <c r="DP67" s="471">
        <v>0</v>
      </c>
      <c r="DQ67" s="471">
        <v>0</v>
      </c>
      <c r="DR67" s="471">
        <f t="shared" si="30"/>
        <v>0</v>
      </c>
      <c r="DT67" s="471">
        <v>60000000</v>
      </c>
      <c r="DU67" s="471">
        <f>17100000-17100000+42579912.22</f>
        <v>42579912.219999999</v>
      </c>
      <c r="DV67" s="471">
        <f t="shared" si="31"/>
        <v>17420087.780000001</v>
      </c>
      <c r="DX67" s="471">
        <v>10000000</v>
      </c>
      <c r="DY67" s="471">
        <f>5229550-3600650+4300000+2500000</f>
        <v>8428900</v>
      </c>
      <c r="DZ67" s="471">
        <f t="shared" si="32"/>
        <v>1571100</v>
      </c>
      <c r="EB67" s="471">
        <v>10000000</v>
      </c>
      <c r="EC67" s="471">
        <v>0</v>
      </c>
      <c r="ED67" s="471">
        <f t="shared" si="33"/>
        <v>10000000</v>
      </c>
      <c r="EF67" s="471">
        <v>20000000</v>
      </c>
      <c r="EG67" s="471">
        <v>0</v>
      </c>
      <c r="EH67" s="471">
        <f t="shared" si="34"/>
        <v>20000000</v>
      </c>
      <c r="EJ67" s="471">
        <v>3000000</v>
      </c>
      <c r="EK67" s="471">
        <v>0</v>
      </c>
      <c r="EL67" s="471">
        <f t="shared" si="35"/>
        <v>3000000</v>
      </c>
      <c r="EM67" s="634"/>
      <c r="EN67" s="465">
        <v>200000000</v>
      </c>
      <c r="EO67" s="465">
        <v>0</v>
      </c>
      <c r="EP67" s="465">
        <f t="shared" si="36"/>
        <v>200000000</v>
      </c>
      <c r="EQ67" s="465"/>
      <c r="ER67" s="465">
        <v>10000000</v>
      </c>
      <c r="ES67" s="465">
        <v>0</v>
      </c>
      <c r="ET67" s="465">
        <f t="shared" si="37"/>
        <v>10000000</v>
      </c>
      <c r="EU67" s="465"/>
      <c r="EV67" s="465">
        <v>10000000</v>
      </c>
      <c r="EW67" s="465">
        <v>0</v>
      </c>
      <c r="EX67" s="465">
        <f t="shared" si="38"/>
        <v>10000000</v>
      </c>
      <c r="EY67" s="465"/>
      <c r="EZ67" s="465">
        <v>25000000</v>
      </c>
      <c r="FA67" s="465">
        <v>0</v>
      </c>
      <c r="FB67" s="465">
        <f t="shared" si="39"/>
        <v>25000000</v>
      </c>
      <c r="FC67" s="465"/>
      <c r="FD67" s="465">
        <v>3000000</v>
      </c>
      <c r="FE67" s="465">
        <v>0</v>
      </c>
      <c r="FF67" s="465">
        <f t="shared" si="40"/>
        <v>3000000</v>
      </c>
      <c r="FG67" s="465"/>
      <c r="FH67" s="637">
        <v>65000000</v>
      </c>
      <c r="FI67" s="637">
        <v>0</v>
      </c>
      <c r="FJ67" s="637">
        <f t="shared" si="120"/>
        <v>65000000</v>
      </c>
      <c r="FK67" s="637"/>
      <c r="FL67" s="637">
        <v>8000000</v>
      </c>
      <c r="FM67" s="637">
        <v>0</v>
      </c>
      <c r="FN67" s="637">
        <f t="shared" si="121"/>
        <v>8000000</v>
      </c>
      <c r="FO67" s="637"/>
      <c r="FP67" s="637">
        <v>5000000</v>
      </c>
      <c r="FQ67" s="637">
        <v>0</v>
      </c>
      <c r="FR67" s="637">
        <f t="shared" si="122"/>
        <v>5000000</v>
      </c>
      <c r="FS67" s="637"/>
      <c r="FT67" s="637">
        <v>18000000</v>
      </c>
      <c r="FU67" s="637">
        <v>0</v>
      </c>
      <c r="FV67" s="637">
        <f t="shared" si="123"/>
        <v>18000000</v>
      </c>
      <c r="FW67" s="637"/>
      <c r="FX67" s="637">
        <v>3000000</v>
      </c>
      <c r="FY67" s="637">
        <v>0</v>
      </c>
      <c r="FZ67" s="637">
        <f t="shared" si="124"/>
        <v>3000000</v>
      </c>
      <c r="GA67" s="637"/>
      <c r="GB67" s="637">
        <v>90000000</v>
      </c>
      <c r="GC67" s="637">
        <v>0</v>
      </c>
      <c r="GD67" s="637">
        <f t="shared" si="115"/>
        <v>90000000</v>
      </c>
      <c r="GE67" s="637"/>
      <c r="GF67" s="637">
        <v>22000000</v>
      </c>
      <c r="GG67" s="637">
        <v>0</v>
      </c>
      <c r="GH67" s="637">
        <f t="shared" si="119"/>
        <v>22000000</v>
      </c>
      <c r="GI67" s="637"/>
      <c r="GJ67" s="637">
        <v>3000000</v>
      </c>
      <c r="GK67" s="637">
        <v>0</v>
      </c>
      <c r="GL67" s="637">
        <f t="shared" si="116"/>
        <v>3000000</v>
      </c>
      <c r="GM67" s="637"/>
      <c r="GN67" s="637">
        <v>12000000</v>
      </c>
      <c r="GO67" s="637">
        <v>0</v>
      </c>
      <c r="GP67" s="637">
        <f t="shared" si="117"/>
        <v>12000000</v>
      </c>
      <c r="GQ67" s="637"/>
      <c r="GR67" s="637">
        <v>3000000</v>
      </c>
      <c r="GS67" s="637">
        <v>0</v>
      </c>
      <c r="GT67" s="637">
        <f t="shared" si="118"/>
        <v>3000000</v>
      </c>
      <c r="GU67" s="637"/>
      <c r="GV67" s="587">
        <f t="shared" si="50"/>
        <v>1051200000</v>
      </c>
      <c r="GW67" s="587">
        <f t="shared" si="50"/>
        <v>366238428.85000002</v>
      </c>
      <c r="GX67" s="468">
        <f t="shared" si="51"/>
        <v>684961571.14999998</v>
      </c>
      <c r="GZ67" s="519"/>
      <c r="HA67" s="468">
        <f>D67+H67+L67+X67+AN67+BH67+CB67+CV67+DT67+EN67+FH67+GB67</f>
        <v>680000000</v>
      </c>
      <c r="HB67" s="468">
        <f>E67+I67+M67+Y67+AO67+BI67+CC67+CW67+DU67+EO67+FI67+GC67</f>
        <v>224226212.22</v>
      </c>
      <c r="HC67" s="471">
        <f t="shared" si="52"/>
        <v>455773787.77999997</v>
      </c>
      <c r="HE67" s="471">
        <f>P67+AB67+AR67+BL67+CF67+CZ67+DX67+ER67+FL67+GF67</f>
        <v>93000000</v>
      </c>
      <c r="HF67" s="471">
        <f>Q67+AC67+AS67+BM67+CG67+DA67+DY67+ES67+FM67+GG67</f>
        <v>51428900</v>
      </c>
      <c r="HG67" s="471">
        <f t="shared" si="53"/>
        <v>41571100</v>
      </c>
      <c r="HI67" s="471">
        <f>T67+AF67+AV67+BP67+CJ67+DD67+EB67+EV67+FP67+GJ67</f>
        <v>66700000</v>
      </c>
      <c r="HJ67" s="471">
        <f>U67+AG67+AW67+BQ67+CK67+DE67+EC67+EW67+FQ67+GK67</f>
        <v>1700000</v>
      </c>
      <c r="HK67" s="471">
        <f t="shared" si="54"/>
        <v>65000000</v>
      </c>
      <c r="HN67" s="471">
        <f>AJ67+AZ67+BT67+CN67+DH67+DP67+EF67+EZ67+FT67+GN67</f>
        <v>187500000</v>
      </c>
      <c r="HO67" s="471">
        <f>AK67+BA67+BU67+CO67+DI67+DQ67+EG67+FA67+FU67+GO67</f>
        <v>83060816.629999995</v>
      </c>
      <c r="HP67" s="471">
        <f t="shared" si="55"/>
        <v>104439183.37</v>
      </c>
      <c r="HR67" s="531"/>
      <c r="HT67" s="471">
        <f>BX67+CR67+DL67+EJ67+FD67+FX67+GR67</f>
        <v>24000000</v>
      </c>
      <c r="HU67" s="471">
        <f>BY67+CS67+DM67+EK67+FE67+FY67+GS67</f>
        <v>5822500</v>
      </c>
      <c r="HV67" s="471">
        <f t="shared" si="56"/>
        <v>18177500</v>
      </c>
      <c r="HX67" s="473">
        <f t="shared" si="57"/>
        <v>5822500</v>
      </c>
      <c r="HY67" s="474">
        <v>0</v>
      </c>
      <c r="ID67" s="473">
        <f>HU67+HO67+HJ67+HF67+HB67</f>
        <v>366238428.85000002</v>
      </c>
      <c r="IE67" s="473">
        <f>HV67+HP67+HK67+HG67+HC67</f>
        <v>684961571.14999998</v>
      </c>
      <c r="IF67" s="473"/>
    </row>
    <row r="68" spans="1:254" x14ac:dyDescent="0.25">
      <c r="A68" s="107">
        <v>64</v>
      </c>
      <c r="B68" s="107" t="s">
        <v>385</v>
      </c>
      <c r="C68" s="634" t="s">
        <v>65</v>
      </c>
      <c r="D68" s="465">
        <v>0</v>
      </c>
      <c r="E68" s="465">
        <v>0</v>
      </c>
      <c r="F68" s="475">
        <f t="shared" si="1"/>
        <v>0</v>
      </c>
      <c r="G68" s="465"/>
      <c r="H68" s="465">
        <v>0</v>
      </c>
      <c r="I68" s="465">
        <v>0</v>
      </c>
      <c r="J68" s="463">
        <f t="shared" si="2"/>
        <v>0</v>
      </c>
      <c r="K68" s="465"/>
      <c r="L68" s="465">
        <v>0</v>
      </c>
      <c r="M68" s="465">
        <v>0</v>
      </c>
      <c r="N68" s="543">
        <f t="shared" si="3"/>
        <v>0</v>
      </c>
      <c r="O68" s="465"/>
      <c r="P68" s="465">
        <v>0</v>
      </c>
      <c r="Q68" s="465">
        <v>0</v>
      </c>
      <c r="R68" s="543">
        <f t="shared" si="4"/>
        <v>0</v>
      </c>
      <c r="S68" s="465"/>
      <c r="T68" s="465">
        <v>0</v>
      </c>
      <c r="U68" s="465">
        <v>0</v>
      </c>
      <c r="V68" s="543">
        <f t="shared" si="5"/>
        <v>0</v>
      </c>
      <c r="W68" s="465"/>
      <c r="X68" s="465">
        <v>0</v>
      </c>
      <c r="Y68" s="465">
        <v>0</v>
      </c>
      <c r="Z68" s="543">
        <f t="shared" si="6"/>
        <v>0</v>
      </c>
      <c r="AA68" s="465"/>
      <c r="AB68" s="465">
        <v>0</v>
      </c>
      <c r="AC68" s="465">
        <v>0</v>
      </c>
      <c r="AD68" s="543">
        <f t="shared" si="7"/>
        <v>0</v>
      </c>
      <c r="AE68" s="465"/>
      <c r="AF68" s="465">
        <v>0</v>
      </c>
      <c r="AG68" s="465">
        <v>0</v>
      </c>
      <c r="AH68" s="543">
        <f t="shared" si="8"/>
        <v>0</v>
      </c>
      <c r="AI68" s="465"/>
      <c r="AJ68" s="465">
        <v>0</v>
      </c>
      <c r="AK68" s="465">
        <v>0</v>
      </c>
      <c r="AL68" s="543">
        <f t="shared" si="9"/>
        <v>0</v>
      </c>
      <c r="AM68" s="519"/>
      <c r="AN68" s="465">
        <v>30000000</v>
      </c>
      <c r="AO68" s="465">
        <f>3600000+1550000+3250000+2100000+3600000</f>
        <v>14100000</v>
      </c>
      <c r="AP68" s="543">
        <f t="shared" si="10"/>
        <v>15900000</v>
      </c>
      <c r="AQ68" s="465"/>
      <c r="AR68" s="465">
        <v>3000000</v>
      </c>
      <c r="AS68" s="465">
        <v>3000000</v>
      </c>
      <c r="AT68" s="543">
        <f t="shared" si="11"/>
        <v>0</v>
      </c>
      <c r="AU68" s="465"/>
      <c r="AV68" s="465">
        <v>2000000</v>
      </c>
      <c r="AW68" s="465">
        <v>2000000</v>
      </c>
      <c r="AX68" s="543">
        <f t="shared" si="12"/>
        <v>0</v>
      </c>
      <c r="AY68" s="465"/>
      <c r="AZ68" s="465">
        <v>10000000</v>
      </c>
      <c r="BA68" s="465">
        <f>3277300+1253245+3039115+692800+1727520+10020-10020+10020</f>
        <v>10000000</v>
      </c>
      <c r="BB68" s="543">
        <f t="shared" si="13"/>
        <v>0</v>
      </c>
      <c r="BC68" s="465"/>
      <c r="BD68" s="465">
        <v>0</v>
      </c>
      <c r="BE68" s="465">
        <v>0</v>
      </c>
      <c r="BF68" s="543">
        <f t="shared" si="14"/>
        <v>0</v>
      </c>
      <c r="BG68" s="465"/>
      <c r="BH68" s="465">
        <v>55000000</v>
      </c>
      <c r="BI68" s="487">
        <f>22900000+7200000+15300000+7200000+2400000</f>
        <v>55000000</v>
      </c>
      <c r="BJ68" s="543">
        <f t="shared" si="15"/>
        <v>0</v>
      </c>
      <c r="BK68" s="465"/>
      <c r="BL68" s="465">
        <v>5000000</v>
      </c>
      <c r="BM68" s="465">
        <v>5000000</v>
      </c>
      <c r="BN68" s="543">
        <f t="shared" si="16"/>
        <v>0</v>
      </c>
      <c r="BO68" s="465"/>
      <c r="BP68" s="465">
        <v>5000000</v>
      </c>
      <c r="BQ68" s="465">
        <v>0</v>
      </c>
      <c r="BR68" s="543">
        <f t="shared" si="17"/>
        <v>5000000</v>
      </c>
      <c r="BS68" s="465"/>
      <c r="BT68" s="465">
        <v>15000000</v>
      </c>
      <c r="BU68" s="465">
        <f>5759014+594100+8646886-5759014+5759014</f>
        <v>15000000</v>
      </c>
      <c r="BV68" s="543">
        <f t="shared" si="18"/>
        <v>0</v>
      </c>
      <c r="BW68" s="465"/>
      <c r="BX68" s="465">
        <v>1000000</v>
      </c>
      <c r="BY68" s="465">
        <v>0</v>
      </c>
      <c r="BZ68" s="543">
        <f t="shared" si="19"/>
        <v>1000000</v>
      </c>
      <c r="CA68" s="465"/>
      <c r="CB68" s="468">
        <v>0</v>
      </c>
      <c r="CC68" s="465">
        <v>0</v>
      </c>
      <c r="CD68" s="543">
        <f t="shared" si="20"/>
        <v>0</v>
      </c>
      <c r="CE68" s="465"/>
      <c r="CF68" s="468">
        <v>0</v>
      </c>
      <c r="CG68" s="468">
        <v>0</v>
      </c>
      <c r="CH68" s="543">
        <f t="shared" si="21"/>
        <v>0</v>
      </c>
      <c r="CI68" s="465"/>
      <c r="CJ68" s="468">
        <v>0</v>
      </c>
      <c r="CK68" s="468">
        <v>0</v>
      </c>
      <c r="CL68" s="543">
        <f t="shared" si="22"/>
        <v>0</v>
      </c>
      <c r="CM68" s="465"/>
      <c r="CN68" s="468">
        <v>0</v>
      </c>
      <c r="CO68" s="468">
        <v>0</v>
      </c>
      <c r="CP68" s="543">
        <f t="shared" si="23"/>
        <v>0</v>
      </c>
      <c r="CQ68" s="465"/>
      <c r="CR68" s="465">
        <v>0</v>
      </c>
      <c r="CS68" s="468">
        <v>0</v>
      </c>
      <c r="CT68" s="465">
        <f t="shared" si="24"/>
        <v>0</v>
      </c>
      <c r="CU68" s="465"/>
      <c r="CV68" s="525">
        <v>80000000</v>
      </c>
      <c r="CW68" s="487">
        <f>1200000</f>
        <v>1200000</v>
      </c>
      <c r="CX68" s="543">
        <f t="shared" si="25"/>
        <v>78800000</v>
      </c>
      <c r="CY68" s="471"/>
      <c r="CZ68" s="468">
        <v>20000000</v>
      </c>
      <c r="DA68" s="468">
        <f>15300000+490290+2384458.5</f>
        <v>18174748.5</v>
      </c>
      <c r="DB68" s="543">
        <f t="shared" si="26"/>
        <v>1825251.5</v>
      </c>
      <c r="DC68" s="471"/>
      <c r="DD68" s="468">
        <v>20000000</v>
      </c>
      <c r="DE68" s="468"/>
      <c r="DF68" s="543">
        <f t="shared" si="27"/>
        <v>20000000</v>
      </c>
      <c r="DG68" s="465"/>
      <c r="DH68" s="468">
        <v>50000000</v>
      </c>
      <c r="DI68" s="468">
        <f>1967169+2141070+41668450+4077598+145713</f>
        <v>50000000</v>
      </c>
      <c r="DJ68" s="543">
        <f t="shared" si="28"/>
        <v>0</v>
      </c>
      <c r="DK68" s="465"/>
      <c r="DL68" s="465">
        <v>6000000</v>
      </c>
      <c r="DM68" s="468">
        <v>0</v>
      </c>
      <c r="DN68" s="465">
        <f t="shared" si="29"/>
        <v>6000000</v>
      </c>
      <c r="DO68" s="465"/>
      <c r="DP68" s="471">
        <v>0</v>
      </c>
      <c r="DQ68" s="471">
        <v>0</v>
      </c>
      <c r="DR68" s="471">
        <f t="shared" si="30"/>
        <v>0</v>
      </c>
      <c r="DT68" s="471">
        <v>0</v>
      </c>
      <c r="DU68" s="471">
        <v>0</v>
      </c>
      <c r="DV68" s="471">
        <f t="shared" si="31"/>
        <v>0</v>
      </c>
      <c r="DX68" s="471">
        <v>0</v>
      </c>
      <c r="DY68" s="471">
        <v>0</v>
      </c>
      <c r="DZ68" s="471">
        <f t="shared" si="32"/>
        <v>0</v>
      </c>
      <c r="EB68" s="471">
        <v>0</v>
      </c>
      <c r="EC68" s="471">
        <v>0</v>
      </c>
      <c r="ED68" s="471">
        <f t="shared" si="33"/>
        <v>0</v>
      </c>
      <c r="EF68" s="471">
        <v>0</v>
      </c>
      <c r="EG68" s="471">
        <v>0</v>
      </c>
      <c r="EH68" s="471">
        <f t="shared" si="34"/>
        <v>0</v>
      </c>
      <c r="EJ68" s="471">
        <v>0</v>
      </c>
      <c r="EK68" s="471">
        <v>0</v>
      </c>
      <c r="EL68" s="471">
        <f t="shared" si="35"/>
        <v>0</v>
      </c>
      <c r="EM68" s="634"/>
      <c r="EN68" s="465">
        <v>200000000</v>
      </c>
      <c r="EO68" s="465">
        <v>0</v>
      </c>
      <c r="EP68" s="465">
        <f t="shared" si="36"/>
        <v>200000000</v>
      </c>
      <c r="EQ68" s="465"/>
      <c r="ER68" s="465">
        <v>10000000</v>
      </c>
      <c r="ES68" s="465">
        <v>0</v>
      </c>
      <c r="ET68" s="465">
        <f t="shared" si="37"/>
        <v>10000000</v>
      </c>
      <c r="EU68" s="465"/>
      <c r="EV68" s="465">
        <v>10000000</v>
      </c>
      <c r="EW68" s="465">
        <v>0</v>
      </c>
      <c r="EX68" s="465">
        <f t="shared" si="38"/>
        <v>10000000</v>
      </c>
      <c r="EY68" s="465"/>
      <c r="EZ68" s="465">
        <v>25000000</v>
      </c>
      <c r="FA68" s="483">
        <f>4868997+1584175</f>
        <v>6453172</v>
      </c>
      <c r="FB68" s="465">
        <f t="shared" si="39"/>
        <v>18546828</v>
      </c>
      <c r="FC68" s="465"/>
      <c r="FD68" s="465">
        <v>3000000</v>
      </c>
      <c r="FE68" s="465">
        <v>0</v>
      </c>
      <c r="FF68" s="465">
        <f t="shared" si="40"/>
        <v>3000000</v>
      </c>
      <c r="FG68" s="465"/>
      <c r="FH68" s="637"/>
      <c r="FI68" s="637"/>
      <c r="FJ68" s="637"/>
      <c r="FK68" s="637"/>
      <c r="FL68" s="637"/>
      <c r="FM68" s="637"/>
      <c r="FN68" s="637"/>
      <c r="FO68" s="637"/>
      <c r="FP68" s="637"/>
      <c r="FQ68" s="637"/>
      <c r="FR68" s="637"/>
      <c r="FS68" s="637"/>
      <c r="FT68" s="637"/>
      <c r="FU68" s="637"/>
      <c r="FV68" s="637"/>
      <c r="FW68" s="637"/>
      <c r="FX68" s="637"/>
      <c r="FY68" s="637"/>
      <c r="FZ68" s="637"/>
      <c r="GA68" s="637"/>
      <c r="GB68" s="637">
        <v>90000000</v>
      </c>
      <c r="GC68" s="637">
        <v>0</v>
      </c>
      <c r="GD68" s="637">
        <f t="shared" si="115"/>
        <v>90000000</v>
      </c>
      <c r="GE68" s="637"/>
      <c r="GF68" s="637">
        <v>22000000</v>
      </c>
      <c r="GG68" s="637">
        <v>0</v>
      </c>
      <c r="GH68" s="637">
        <f t="shared" si="119"/>
        <v>22000000</v>
      </c>
      <c r="GI68" s="637"/>
      <c r="GJ68" s="637">
        <v>3000000</v>
      </c>
      <c r="GK68" s="637">
        <v>0</v>
      </c>
      <c r="GL68" s="637">
        <f t="shared" si="116"/>
        <v>3000000</v>
      </c>
      <c r="GM68" s="637"/>
      <c r="GN68" s="637">
        <v>12000000</v>
      </c>
      <c r="GO68" s="637">
        <v>0</v>
      </c>
      <c r="GP68" s="637">
        <f t="shared" si="117"/>
        <v>12000000</v>
      </c>
      <c r="GQ68" s="637"/>
      <c r="GR68" s="637">
        <v>3000000</v>
      </c>
      <c r="GS68" s="637">
        <v>0</v>
      </c>
      <c r="GT68" s="637">
        <f t="shared" si="118"/>
        <v>3000000</v>
      </c>
      <c r="GU68" s="637"/>
      <c r="GV68" s="587">
        <f t="shared" si="50"/>
        <v>680000000</v>
      </c>
      <c r="GW68" s="587">
        <f t="shared" si="50"/>
        <v>179927920.5</v>
      </c>
      <c r="GX68" s="468">
        <f t="shared" si="51"/>
        <v>500072079.5</v>
      </c>
      <c r="GZ68" s="519"/>
      <c r="HA68" s="468">
        <f>D68+H68+L68+X68+AN68+BH68+CB68+CV68+DT68+EN68+FH68+GB68</f>
        <v>455000000</v>
      </c>
      <c r="HB68" s="468">
        <f>E68+I68+M68+Y68+AO68+BI68+CC68+CW68+DU68+EO68+FI68+GC68</f>
        <v>70300000</v>
      </c>
      <c r="HC68" s="471">
        <f t="shared" si="52"/>
        <v>384700000</v>
      </c>
      <c r="HE68" s="471">
        <f>P68+AB68+AR68+BL68+CF68+CZ68+DX68+ER68+FL68+GF68</f>
        <v>60000000</v>
      </c>
      <c r="HF68" s="471">
        <f>Q68+AC68+AS68+BM68+CG68+DA68+DY68+ES68+FM68+GG68</f>
        <v>26174748.5</v>
      </c>
      <c r="HG68" s="471">
        <f t="shared" si="53"/>
        <v>33825251.5</v>
      </c>
      <c r="HI68" s="471">
        <f>T68+AF68+AV68+BP68+CJ68+DD68+EB68+EV68+FP68+GJ68</f>
        <v>40000000</v>
      </c>
      <c r="HJ68" s="471">
        <f>U68+AG68+AW68+BQ68+CK68+DE68+EC68+EW68+FQ68+GK68</f>
        <v>2000000</v>
      </c>
      <c r="HK68" s="471">
        <f t="shared" si="54"/>
        <v>38000000</v>
      </c>
      <c r="HN68" s="471">
        <f>AJ68+AZ68+BT68+CN68+DH68+DP68+EF68+EZ68+FT68+GN68</f>
        <v>112000000</v>
      </c>
      <c r="HO68" s="471">
        <f>AK68+BA68+BU68+CO68+DI68+DQ68+EG68+FA68+FU68+GO68</f>
        <v>81453172</v>
      </c>
      <c r="HP68" s="471">
        <f t="shared" si="55"/>
        <v>30546828</v>
      </c>
      <c r="HR68" s="531"/>
      <c r="HT68" s="471">
        <f>BX68+CR68+DL68+EJ68+FD68+FX68+GR68</f>
        <v>13000000</v>
      </c>
      <c r="HU68" s="471">
        <f>BY68+CS68+DM68+EK68+FE68+FY68+GS68</f>
        <v>0</v>
      </c>
      <c r="HV68" s="471">
        <f t="shared" si="56"/>
        <v>13000000</v>
      </c>
      <c r="HX68" s="473">
        <f t="shared" si="57"/>
        <v>0</v>
      </c>
      <c r="HY68" s="474">
        <v>0</v>
      </c>
      <c r="ID68" s="473">
        <f>HU68+HO68+HJ68+HF68+HB68</f>
        <v>179927920.5</v>
      </c>
      <c r="IE68" s="473">
        <f>HV68+HP68+HK68+HG68+HC68</f>
        <v>500072079.5</v>
      </c>
      <c r="IF68" s="473"/>
    </row>
    <row r="69" spans="1:254" x14ac:dyDescent="0.25">
      <c r="A69" s="107">
        <v>65</v>
      </c>
      <c r="B69" s="107" t="s">
        <v>386</v>
      </c>
      <c r="C69" s="634" t="s">
        <v>65</v>
      </c>
      <c r="D69" s="465">
        <v>0</v>
      </c>
      <c r="E69" s="465">
        <v>0</v>
      </c>
      <c r="F69" s="475">
        <f>D69-E69</f>
        <v>0</v>
      </c>
      <c r="G69" s="465"/>
      <c r="H69" s="465">
        <v>0</v>
      </c>
      <c r="I69" s="465">
        <v>0</v>
      </c>
      <c r="J69" s="463">
        <f>H69-I69</f>
        <v>0</v>
      </c>
      <c r="K69" s="465"/>
      <c r="L69" s="465">
        <v>0</v>
      </c>
      <c r="M69" s="465">
        <v>0</v>
      </c>
      <c r="N69" s="543">
        <f>L69-M69</f>
        <v>0</v>
      </c>
      <c r="O69" s="465"/>
      <c r="P69" s="465">
        <v>0</v>
      </c>
      <c r="Q69" s="465">
        <v>0</v>
      </c>
      <c r="R69" s="543">
        <f>P69-Q69</f>
        <v>0</v>
      </c>
      <c r="S69" s="465"/>
      <c r="T69" s="465">
        <v>0</v>
      </c>
      <c r="U69" s="465">
        <v>0</v>
      </c>
      <c r="V69" s="543">
        <f>T69-U69</f>
        <v>0</v>
      </c>
      <c r="W69" s="465"/>
      <c r="X69" s="465">
        <v>0</v>
      </c>
      <c r="Y69" s="465">
        <v>0</v>
      </c>
      <c r="Z69" s="543">
        <f>X69-Y69</f>
        <v>0</v>
      </c>
      <c r="AA69" s="465"/>
      <c r="AB69" s="465">
        <v>0</v>
      </c>
      <c r="AC69" s="465">
        <v>0</v>
      </c>
      <c r="AD69" s="543">
        <f>AB69-AC69</f>
        <v>0</v>
      </c>
      <c r="AE69" s="465"/>
      <c r="AF69" s="465">
        <v>0</v>
      </c>
      <c r="AG69" s="465">
        <v>0</v>
      </c>
      <c r="AH69" s="543">
        <f>AF69-AG69</f>
        <v>0</v>
      </c>
      <c r="AI69" s="465"/>
      <c r="AJ69" s="465">
        <v>0</v>
      </c>
      <c r="AK69" s="465">
        <v>0</v>
      </c>
      <c r="AL69" s="543">
        <f>AJ69-AK69</f>
        <v>0</v>
      </c>
      <c r="AM69" s="519"/>
      <c r="AN69" s="465">
        <v>0</v>
      </c>
      <c r="AO69" s="465">
        <v>0</v>
      </c>
      <c r="AP69" s="543">
        <f>AN69-AO69</f>
        <v>0</v>
      </c>
      <c r="AQ69" s="465"/>
      <c r="AR69" s="465">
        <v>0</v>
      </c>
      <c r="AS69" s="465">
        <v>0</v>
      </c>
      <c r="AT69" s="543">
        <f>AR69-AS69</f>
        <v>0</v>
      </c>
      <c r="AU69" s="465"/>
      <c r="AV69" s="465">
        <v>0</v>
      </c>
      <c r="AW69" s="465">
        <v>0</v>
      </c>
      <c r="AX69" s="543">
        <f>AV69-AW69</f>
        <v>0</v>
      </c>
      <c r="AY69" s="465"/>
      <c r="AZ69" s="465">
        <v>0</v>
      </c>
      <c r="BA69" s="465">
        <v>0</v>
      </c>
      <c r="BB69" s="543">
        <f>AZ69-BA69</f>
        <v>0</v>
      </c>
      <c r="BC69" s="465"/>
      <c r="BD69" s="465">
        <v>0</v>
      </c>
      <c r="BE69" s="465">
        <v>0</v>
      </c>
      <c r="BF69" s="543">
        <f>BD69-BE69</f>
        <v>0</v>
      </c>
      <c r="BG69" s="465"/>
      <c r="BH69" s="465">
        <v>55000000</v>
      </c>
      <c r="BI69" s="465">
        <v>55000000</v>
      </c>
      <c r="BJ69" s="543">
        <f>BH69-BI69</f>
        <v>0</v>
      </c>
      <c r="BK69" s="465"/>
      <c r="BL69" s="465">
        <v>5000000</v>
      </c>
      <c r="BM69" s="465">
        <v>630000</v>
      </c>
      <c r="BN69" s="543">
        <f>BL69-BM69</f>
        <v>4370000</v>
      </c>
      <c r="BO69" s="465"/>
      <c r="BP69" s="465">
        <v>5000000</v>
      </c>
      <c r="BQ69" s="465">
        <v>0</v>
      </c>
      <c r="BR69" s="543">
        <f>BP69-BQ69</f>
        <v>5000000</v>
      </c>
      <c r="BS69" s="465"/>
      <c r="BT69" s="465">
        <v>15000000</v>
      </c>
      <c r="BU69" s="465">
        <v>15000000</v>
      </c>
      <c r="BV69" s="543">
        <f>BT69-BU69</f>
        <v>0</v>
      </c>
      <c r="BW69" s="465"/>
      <c r="BX69" s="465">
        <v>1000000</v>
      </c>
      <c r="BY69" s="465">
        <v>0</v>
      </c>
      <c r="BZ69" s="543">
        <f>BX69-BY69</f>
        <v>1000000</v>
      </c>
      <c r="CA69" s="465"/>
      <c r="CB69" s="468">
        <v>80000000</v>
      </c>
      <c r="CC69" s="465">
        <v>80000000</v>
      </c>
      <c r="CD69" s="543">
        <f>CB69-CC69</f>
        <v>0</v>
      </c>
      <c r="CE69" s="465"/>
      <c r="CF69" s="468">
        <v>10000000</v>
      </c>
      <c r="CG69" s="468">
        <v>0</v>
      </c>
      <c r="CH69" s="543">
        <f>CF69-CG69</f>
        <v>10000000</v>
      </c>
      <c r="CI69" s="465"/>
      <c r="CJ69" s="468">
        <v>10000000</v>
      </c>
      <c r="CK69" s="468">
        <v>0</v>
      </c>
      <c r="CL69" s="543">
        <f>CJ69-CK69</f>
        <v>10000000</v>
      </c>
      <c r="CM69" s="465"/>
      <c r="CN69" s="468">
        <v>30000000</v>
      </c>
      <c r="CO69" s="481">
        <f>5328226+7362720+527200+1261800+2952005+7682515</f>
        <v>25114466</v>
      </c>
      <c r="CP69" s="543">
        <f>CN69-CO69</f>
        <v>4885534</v>
      </c>
      <c r="CQ69" s="465"/>
      <c r="CR69" s="465">
        <v>5000000</v>
      </c>
      <c r="CS69" s="468">
        <v>0</v>
      </c>
      <c r="CT69" s="465">
        <f>CR69-CS69</f>
        <v>5000000</v>
      </c>
      <c r="CU69" s="465"/>
      <c r="CV69" s="525">
        <v>80000000</v>
      </c>
      <c r="CW69" s="465">
        <f>64803500+15196500</f>
        <v>80000000</v>
      </c>
      <c r="CX69" s="543">
        <f>CV69-CW69</f>
        <v>0</v>
      </c>
      <c r="CY69" s="471"/>
      <c r="CZ69" s="468">
        <v>20000000</v>
      </c>
      <c r="DA69" s="468">
        <v>0</v>
      </c>
      <c r="DB69" s="543">
        <f>CZ69-DA69</f>
        <v>20000000</v>
      </c>
      <c r="DC69" s="471"/>
      <c r="DD69" s="468">
        <v>20000000</v>
      </c>
      <c r="DE69" s="468">
        <v>0</v>
      </c>
      <c r="DF69" s="543">
        <f>DD69-DE69</f>
        <v>20000000</v>
      </c>
      <c r="DG69" s="465"/>
      <c r="DH69" s="468">
        <v>50000000</v>
      </c>
      <c r="DI69" s="468"/>
      <c r="DJ69" s="543">
        <f>DH69-DI69</f>
        <v>50000000</v>
      </c>
      <c r="DK69" s="465"/>
      <c r="DL69" s="465">
        <v>6000000</v>
      </c>
      <c r="DM69" s="468">
        <v>0</v>
      </c>
      <c r="DN69" s="465">
        <f>DL69-DM69</f>
        <v>6000000</v>
      </c>
      <c r="DO69" s="465"/>
      <c r="DP69" s="471">
        <v>0</v>
      </c>
      <c r="DQ69" s="471">
        <v>0</v>
      </c>
      <c r="DR69" s="471">
        <f>DP69-DQ69</f>
        <v>0</v>
      </c>
      <c r="DT69" s="471">
        <v>60000000</v>
      </c>
      <c r="DU69" s="471">
        <f>18000000+30353500+11646500</f>
        <v>60000000</v>
      </c>
      <c r="DV69" s="471">
        <f>DT69-DU69</f>
        <v>0</v>
      </c>
      <c r="DX69" s="471">
        <v>10000000</v>
      </c>
      <c r="DY69" s="471">
        <v>0</v>
      </c>
      <c r="DZ69" s="471">
        <f>DX69-DY69</f>
        <v>10000000</v>
      </c>
      <c r="EB69" s="471">
        <v>10000000</v>
      </c>
      <c r="EC69" s="471">
        <v>0</v>
      </c>
      <c r="ED69" s="471">
        <f>EB69-EC69</f>
        <v>10000000</v>
      </c>
      <c r="EF69" s="471">
        <v>20000000</v>
      </c>
      <c r="EG69" s="471">
        <v>0</v>
      </c>
      <c r="EH69" s="471">
        <f>EF69-EG69</f>
        <v>20000000</v>
      </c>
      <c r="EJ69" s="471">
        <v>3000000</v>
      </c>
      <c r="EK69" s="471">
        <v>0</v>
      </c>
      <c r="EL69" s="471">
        <f>EJ69-EK69</f>
        <v>3000000</v>
      </c>
      <c r="EM69" s="634"/>
      <c r="EN69" s="465">
        <v>200000000</v>
      </c>
      <c r="EO69" s="484">
        <f>10353500+71555250+1200000+29149000+10800000+1500000+27600000+47842250</f>
        <v>200000000</v>
      </c>
      <c r="EP69" s="465">
        <f>EN69-EO69</f>
        <v>0</v>
      </c>
      <c r="EQ69" s="465"/>
      <c r="ER69" s="465">
        <v>10000000</v>
      </c>
      <c r="ES69" s="465">
        <v>0</v>
      </c>
      <c r="ET69" s="465">
        <f>ER69-ES69</f>
        <v>10000000</v>
      </c>
      <c r="EU69" s="465"/>
      <c r="EV69" s="465">
        <v>10000000</v>
      </c>
      <c r="EW69" s="465">
        <v>0</v>
      </c>
      <c r="EX69" s="465">
        <f>EV69-EW69</f>
        <v>10000000</v>
      </c>
      <c r="EY69" s="465"/>
      <c r="EZ69" s="465">
        <v>25000000</v>
      </c>
      <c r="FA69" s="465">
        <v>0</v>
      </c>
      <c r="FB69" s="465">
        <f>EZ69-FA69</f>
        <v>25000000</v>
      </c>
      <c r="FC69" s="465"/>
      <c r="FD69" s="465">
        <v>3000000</v>
      </c>
      <c r="FE69" s="465">
        <v>0</v>
      </c>
      <c r="FF69" s="465">
        <f>FD69-FE69</f>
        <v>3000000</v>
      </c>
      <c r="FG69" s="465"/>
      <c r="FH69" s="637">
        <v>65000000</v>
      </c>
      <c r="FI69" s="639">
        <f>8361033</f>
        <v>8361033</v>
      </c>
      <c r="FJ69" s="637">
        <f t="shared" ref="FJ69:FJ70" si="125">FH69-FI69</f>
        <v>56638967</v>
      </c>
      <c r="FK69" s="637"/>
      <c r="FL69" s="637">
        <v>8000000</v>
      </c>
      <c r="FM69" s="637">
        <v>0</v>
      </c>
      <c r="FN69" s="637">
        <f t="shared" ref="FN69:FN70" si="126">FL69-FM69</f>
        <v>8000000</v>
      </c>
      <c r="FO69" s="637"/>
      <c r="FP69" s="637">
        <v>5000000</v>
      </c>
      <c r="FQ69" s="637">
        <v>0</v>
      </c>
      <c r="FR69" s="637">
        <f t="shared" ref="FR69:FR70" si="127">FP69-FQ69</f>
        <v>5000000</v>
      </c>
      <c r="FS69" s="637"/>
      <c r="FT69" s="637">
        <v>18000000</v>
      </c>
      <c r="FU69" s="637">
        <v>0</v>
      </c>
      <c r="FV69" s="637">
        <f t="shared" ref="FV69:FV70" si="128">FT69-FU69</f>
        <v>18000000</v>
      </c>
      <c r="FW69" s="637"/>
      <c r="FX69" s="637">
        <v>3000000</v>
      </c>
      <c r="FY69" s="637">
        <v>0</v>
      </c>
      <c r="FZ69" s="637">
        <f t="shared" ref="FZ69:FZ70" si="129">FX69-FY69</f>
        <v>3000000</v>
      </c>
      <c r="GA69" s="637"/>
      <c r="GB69" s="637">
        <v>90000000</v>
      </c>
      <c r="GC69" s="637">
        <v>0</v>
      </c>
      <c r="GD69" s="637">
        <f t="shared" si="115"/>
        <v>90000000</v>
      </c>
      <c r="GE69" s="637"/>
      <c r="GF69" s="637">
        <v>22000000</v>
      </c>
      <c r="GG69" s="637">
        <v>0</v>
      </c>
      <c r="GH69" s="637">
        <f t="shared" si="119"/>
        <v>22000000</v>
      </c>
      <c r="GI69" s="637"/>
      <c r="GJ69" s="637">
        <v>3000000</v>
      </c>
      <c r="GK69" s="637">
        <v>0</v>
      </c>
      <c r="GL69" s="637">
        <f t="shared" si="116"/>
        <v>3000000</v>
      </c>
      <c r="GM69" s="637"/>
      <c r="GN69" s="637">
        <v>12000000</v>
      </c>
      <c r="GO69" s="637">
        <v>0</v>
      </c>
      <c r="GP69" s="637">
        <f t="shared" si="117"/>
        <v>12000000</v>
      </c>
      <c r="GQ69" s="637"/>
      <c r="GR69" s="637">
        <v>3000000</v>
      </c>
      <c r="GS69" s="637">
        <v>0</v>
      </c>
      <c r="GT69" s="637">
        <f t="shared" si="118"/>
        <v>3000000</v>
      </c>
      <c r="GU69" s="637"/>
      <c r="GV69" s="587">
        <f t="shared" ref="GV69:GW70" si="130">D69+H69+L69+P69+T69+X69+AB69+AF69+AJ69+AN69+AR69+AV69+AZ69+BD69+BH69+BL69+BP69+BT69+BX69+CB69+CF69+CJ69+CN69+CR69+CV69+CZ69+DD69+DH69+DL69+DP69+DT69+DX69+EB69+EF69+EJ69+EN69+ER69+EV69+EZ69+FD69+FH69+FL69+FP69+FT69+FX69+GB69+GF69+GJ69+GN69+GR69</f>
        <v>972000000</v>
      </c>
      <c r="GW69" s="587">
        <f t="shared" si="130"/>
        <v>524105499</v>
      </c>
      <c r="GX69" s="468">
        <f t="shared" ref="GX69:GX70" si="131">GV69-GW69</f>
        <v>447894501</v>
      </c>
      <c r="GZ69" s="519"/>
      <c r="HA69" s="468">
        <f>D69+H69+L69+X69+AN69+BH69+CB69+CV69+DT69+EN69+FH69+GB69</f>
        <v>630000000</v>
      </c>
      <c r="HB69" s="468">
        <f>E69+I69+M69+Y69+AO69+BI69+CC69+CW69+DU69+EO69+FI69+GC69</f>
        <v>483361033</v>
      </c>
      <c r="HC69" s="471">
        <f t="shared" ref="HC69:HC70" si="132">HA69-HB69</f>
        <v>146638967</v>
      </c>
      <c r="HE69" s="471">
        <f>P69+AB69+AR69+BL69+CF69+CZ69+DX69+ER69+FL69+GF69</f>
        <v>85000000</v>
      </c>
      <c r="HF69" s="471">
        <f>Q69+AC69+AS69+BM69+CG69+DA69+DY69+ES69+FM69+GG69</f>
        <v>630000</v>
      </c>
      <c r="HG69" s="471">
        <f t="shared" ref="HG69" si="133">HE69-HF69</f>
        <v>84370000</v>
      </c>
      <c r="HI69" s="471">
        <f>T69+AF69+AV69+BP69+CJ69+DD69+EB69+EV69+FP69+GJ69</f>
        <v>63000000</v>
      </c>
      <c r="HJ69" s="471">
        <f>U69+AG69+AW69+BQ69+CK69+DE69+EC69+EW69+FQ69+GK69</f>
        <v>0</v>
      </c>
      <c r="HK69" s="471">
        <f t="shared" ref="HK69:HK71" si="134">HI69-HJ69</f>
        <v>63000000</v>
      </c>
      <c r="HN69" s="471">
        <f>AJ69+AZ69+BT69+CN69+DH69+DP69+EF69+EZ69+FT69+GN69</f>
        <v>170000000</v>
      </c>
      <c r="HO69" s="471">
        <f>AK69+BA69+BU69+CO69+DI69+DQ69+EG69+FA69+FU69+GO69</f>
        <v>40114466</v>
      </c>
      <c r="HP69" s="471">
        <f t="shared" ref="HP69" si="135">HN69-HO69</f>
        <v>129885534</v>
      </c>
      <c r="HR69" s="531"/>
      <c r="HT69" s="471">
        <f>BX69+CR69+DL69+EJ69+FD69+FX69+GR69</f>
        <v>24000000</v>
      </c>
      <c r="HU69" s="471">
        <f>BY69+CS69+DM69+EK69+FE69+FY69+GS69</f>
        <v>0</v>
      </c>
      <c r="HV69" s="471">
        <f t="shared" ref="HV69" si="136">HT69-HU69</f>
        <v>24000000</v>
      </c>
      <c r="HX69" s="473">
        <f>HU69-HY69</f>
        <v>0</v>
      </c>
      <c r="HY69" s="474">
        <v>0</v>
      </c>
      <c r="ID69" s="473">
        <f>HU69+HO69+HJ69+HF69+HB69</f>
        <v>524105499</v>
      </c>
      <c r="IE69" s="473">
        <f>HV69+HP69+HK69+HG69+HC69</f>
        <v>447894501</v>
      </c>
      <c r="IF69" s="473"/>
    </row>
    <row r="70" spans="1:254" x14ac:dyDescent="0.25">
      <c r="A70" s="107">
        <v>66</v>
      </c>
      <c r="B70" s="107" t="s">
        <v>387</v>
      </c>
      <c r="C70" s="634"/>
      <c r="D70" s="465"/>
      <c r="E70" s="465"/>
      <c r="F70" s="475">
        <f>D70-E70</f>
        <v>0</v>
      </c>
      <c r="G70" s="465"/>
      <c r="H70" s="465"/>
      <c r="I70" s="465"/>
      <c r="J70" s="463">
        <f>H70-I70</f>
        <v>0</v>
      </c>
      <c r="K70" s="465"/>
      <c r="L70" s="465"/>
      <c r="M70" s="465"/>
      <c r="N70" s="543">
        <f>L70-M70</f>
        <v>0</v>
      </c>
      <c r="O70" s="465"/>
      <c r="P70" s="465"/>
      <c r="Q70" s="465"/>
      <c r="R70" s="543">
        <f>P70-Q70</f>
        <v>0</v>
      </c>
      <c r="S70" s="465"/>
      <c r="T70" s="465"/>
      <c r="U70" s="465"/>
      <c r="V70" s="543">
        <f>T70-U70</f>
        <v>0</v>
      </c>
      <c r="W70" s="465"/>
      <c r="X70" s="465"/>
      <c r="Y70" s="465"/>
      <c r="Z70" s="543">
        <f>X70-Y70</f>
        <v>0</v>
      </c>
      <c r="AA70" s="465"/>
      <c r="AB70" s="465"/>
      <c r="AC70" s="465"/>
      <c r="AD70" s="543">
        <f>AB70-AC70</f>
        <v>0</v>
      </c>
      <c r="AE70" s="465"/>
      <c r="AF70" s="465"/>
      <c r="AG70" s="465"/>
      <c r="AH70" s="543">
        <f>AF70-AG70</f>
        <v>0</v>
      </c>
      <c r="AI70" s="465"/>
      <c r="AJ70" s="465"/>
      <c r="AK70" s="465"/>
      <c r="AL70" s="543">
        <f>AJ70-AK70</f>
        <v>0</v>
      </c>
      <c r="AM70" s="519"/>
      <c r="AN70" s="465"/>
      <c r="AO70" s="465"/>
      <c r="AP70" s="543">
        <f>AN70-AO70</f>
        <v>0</v>
      </c>
      <c r="AQ70" s="465"/>
      <c r="AR70" s="465"/>
      <c r="AS70" s="465"/>
      <c r="AT70" s="543">
        <f>AR70-AS70</f>
        <v>0</v>
      </c>
      <c r="AU70" s="465"/>
      <c r="AV70" s="465"/>
      <c r="AW70" s="465"/>
      <c r="AX70" s="543">
        <f>AV70-AW70</f>
        <v>0</v>
      </c>
      <c r="AY70" s="465"/>
      <c r="AZ70" s="465"/>
      <c r="BA70" s="465"/>
      <c r="BB70" s="543">
        <f>AZ70-BA70</f>
        <v>0</v>
      </c>
      <c r="BC70" s="465"/>
      <c r="BD70" s="465"/>
      <c r="BE70" s="465"/>
      <c r="BF70" s="543">
        <f>BD70-BE70</f>
        <v>0</v>
      </c>
      <c r="BG70" s="465"/>
      <c r="BH70" s="465"/>
      <c r="BI70" s="465"/>
      <c r="BJ70" s="543">
        <f>BH70-BI70</f>
        <v>0</v>
      </c>
      <c r="BK70" s="465"/>
      <c r="BL70" s="465"/>
      <c r="BM70" s="465"/>
      <c r="BN70" s="543">
        <f>BL70-BM70</f>
        <v>0</v>
      </c>
      <c r="BO70" s="465"/>
      <c r="BP70" s="465"/>
      <c r="BQ70" s="465"/>
      <c r="BR70" s="543">
        <f>BP70-BQ70</f>
        <v>0</v>
      </c>
      <c r="BS70" s="465"/>
      <c r="BT70" s="465"/>
      <c r="BU70" s="465"/>
      <c r="BV70" s="543">
        <f>BT70-BU70</f>
        <v>0</v>
      </c>
      <c r="BW70" s="465"/>
      <c r="BX70" s="465"/>
      <c r="BY70" s="465"/>
      <c r="BZ70" s="543">
        <f>BX70-BY70</f>
        <v>0</v>
      </c>
      <c r="CA70" s="465"/>
      <c r="CB70" s="468"/>
      <c r="CC70" s="465"/>
      <c r="CD70" s="543">
        <f>CB70-CC70</f>
        <v>0</v>
      </c>
      <c r="CE70" s="465"/>
      <c r="CF70" s="468"/>
      <c r="CG70" s="468"/>
      <c r="CH70" s="543">
        <f>CF70-CG70</f>
        <v>0</v>
      </c>
      <c r="CI70" s="465"/>
      <c r="CJ70" s="468"/>
      <c r="CK70" s="468"/>
      <c r="CL70" s="543">
        <f>CJ70-CK70</f>
        <v>0</v>
      </c>
      <c r="CM70" s="465"/>
      <c r="CN70" s="468"/>
      <c r="CO70" s="468"/>
      <c r="CP70" s="543">
        <f>CN70-CO70</f>
        <v>0</v>
      </c>
      <c r="CQ70" s="465"/>
      <c r="CR70" s="465"/>
      <c r="CS70" s="468"/>
      <c r="CT70" s="465">
        <f>CR70-CS70</f>
        <v>0</v>
      </c>
      <c r="CU70" s="465"/>
      <c r="CV70" s="525"/>
      <c r="CW70" s="465"/>
      <c r="CX70" s="543">
        <f>CV70-CW70</f>
        <v>0</v>
      </c>
      <c r="CY70" s="471"/>
      <c r="CZ70" s="468"/>
      <c r="DA70" s="468"/>
      <c r="DB70" s="543">
        <f>CZ70-DA70</f>
        <v>0</v>
      </c>
      <c r="DC70" s="471"/>
      <c r="DD70" s="468"/>
      <c r="DE70" s="468"/>
      <c r="DF70" s="543">
        <f>DD70-DE70</f>
        <v>0</v>
      </c>
      <c r="DG70" s="465"/>
      <c r="DH70" s="468"/>
      <c r="DI70" s="468"/>
      <c r="DJ70" s="543">
        <f>DH70-DI70</f>
        <v>0</v>
      </c>
      <c r="DK70" s="465"/>
      <c r="DL70" s="465"/>
      <c r="DM70" s="468"/>
      <c r="DN70" s="465">
        <f>DL70-DM70</f>
        <v>0</v>
      </c>
      <c r="DO70" s="465"/>
      <c r="DP70" s="471">
        <v>0</v>
      </c>
      <c r="DQ70" s="471">
        <v>0</v>
      </c>
      <c r="DR70" s="471">
        <f>DP70-DQ70</f>
        <v>0</v>
      </c>
      <c r="DT70" s="471">
        <v>60000000</v>
      </c>
      <c r="DU70" s="549">
        <f>5900000+1500000+4500000+4500000+18000000+3139000+13500000+8961000</f>
        <v>60000000</v>
      </c>
      <c r="DV70" s="471">
        <f>DT70-DU70</f>
        <v>0</v>
      </c>
      <c r="DX70" s="471">
        <v>10000000</v>
      </c>
      <c r="DY70" s="471">
        <f>3774870+954060</f>
        <v>4728930</v>
      </c>
      <c r="DZ70" s="471">
        <f>DX70-DY70</f>
        <v>5271070</v>
      </c>
      <c r="EB70" s="471">
        <v>10000000</v>
      </c>
      <c r="EC70" s="471">
        <v>0</v>
      </c>
      <c r="ED70" s="471">
        <f>EB70-EC70</f>
        <v>10000000</v>
      </c>
      <c r="EF70" s="471">
        <v>20000000</v>
      </c>
      <c r="EG70" s="471">
        <f>398400+916400+7799100+775600+2154000+732000+3836400+3388100</f>
        <v>20000000</v>
      </c>
      <c r="EH70" s="471">
        <f>EF70-EG70</f>
        <v>0</v>
      </c>
      <c r="EJ70" s="471">
        <v>3000000</v>
      </c>
      <c r="EK70" s="471">
        <v>0</v>
      </c>
      <c r="EL70" s="471">
        <f>EJ70-EK70</f>
        <v>3000000</v>
      </c>
      <c r="EM70" s="634"/>
      <c r="EN70" s="465">
        <v>0</v>
      </c>
      <c r="EO70" s="465">
        <v>0</v>
      </c>
      <c r="EP70" s="465">
        <f>EN70-EO70</f>
        <v>0</v>
      </c>
      <c r="EQ70" s="465"/>
      <c r="ER70" s="465"/>
      <c r="ES70" s="465">
        <v>0</v>
      </c>
      <c r="ET70" s="465">
        <f>ER70-ES70</f>
        <v>0</v>
      </c>
      <c r="EU70" s="465"/>
      <c r="EV70" s="465"/>
      <c r="EW70" s="465">
        <v>0</v>
      </c>
      <c r="EX70" s="465">
        <f>EV70-EW70</f>
        <v>0</v>
      </c>
      <c r="EY70" s="465"/>
      <c r="EZ70" s="465"/>
      <c r="FA70" s="465">
        <v>0</v>
      </c>
      <c r="FB70" s="465">
        <f>EZ70-FA70</f>
        <v>0</v>
      </c>
      <c r="FC70" s="465"/>
      <c r="FD70" s="465">
        <v>0</v>
      </c>
      <c r="FE70" s="465">
        <v>0</v>
      </c>
      <c r="FF70" s="465">
        <f>FD70-FE70</f>
        <v>0</v>
      </c>
      <c r="FG70" s="465"/>
      <c r="FH70" s="637">
        <v>65000000</v>
      </c>
      <c r="FI70" s="638">
        <f>19300746.85</f>
        <v>19300746.850000001</v>
      </c>
      <c r="FJ70" s="637">
        <f t="shared" si="125"/>
        <v>45699253.149999999</v>
      </c>
      <c r="FK70" s="637"/>
      <c r="FL70" s="637">
        <v>8000000</v>
      </c>
      <c r="FM70" s="639">
        <v>968999.23</v>
      </c>
      <c r="FN70" s="637">
        <f t="shared" si="126"/>
        <v>7031000.7699999996</v>
      </c>
      <c r="FO70" s="637"/>
      <c r="FP70" s="637">
        <v>5000000</v>
      </c>
      <c r="FQ70" s="637">
        <v>0</v>
      </c>
      <c r="FR70" s="637">
        <f t="shared" si="127"/>
        <v>5000000</v>
      </c>
      <c r="FS70" s="637"/>
      <c r="FT70" s="637">
        <v>18000000</v>
      </c>
      <c r="FU70" s="646">
        <f>5195300+5784638+5216000+1448000</f>
        <v>17643938</v>
      </c>
      <c r="FV70" s="637">
        <f t="shared" si="128"/>
        <v>356062</v>
      </c>
      <c r="FW70" s="637"/>
      <c r="FX70" s="637">
        <v>3000000</v>
      </c>
      <c r="FY70" s="637">
        <v>0</v>
      </c>
      <c r="FZ70" s="637">
        <f t="shared" si="129"/>
        <v>3000000</v>
      </c>
      <c r="GA70" s="637"/>
      <c r="GB70" s="644">
        <v>0</v>
      </c>
      <c r="GC70" s="644"/>
      <c r="GD70" s="644"/>
      <c r="GE70" s="644"/>
      <c r="GF70" s="644"/>
      <c r="GG70" s="644"/>
      <c r="GH70" s="644"/>
      <c r="GI70" s="644"/>
      <c r="GJ70" s="644"/>
      <c r="GK70" s="644"/>
      <c r="GL70" s="644"/>
      <c r="GM70" s="644"/>
      <c r="GN70" s="644"/>
      <c r="GO70" s="644"/>
      <c r="GP70" s="644"/>
      <c r="GQ70" s="644"/>
      <c r="GR70" s="644"/>
      <c r="GS70" s="644"/>
      <c r="GT70" s="644"/>
      <c r="GU70" s="637"/>
      <c r="GV70" s="587">
        <f t="shared" si="130"/>
        <v>202000000</v>
      </c>
      <c r="GW70" s="587">
        <f t="shared" si="130"/>
        <v>122642614.08</v>
      </c>
      <c r="GX70" s="468">
        <f t="shared" si="131"/>
        <v>79357385.920000002</v>
      </c>
      <c r="GZ70" s="519"/>
      <c r="HA70" s="468">
        <f>D70+H70+L70+X70+AN70+BH70+CB70+CV70+DT70+EN70+FH70+GB70</f>
        <v>125000000</v>
      </c>
      <c r="HB70" s="468">
        <f>E70+I70+M70+Y70+AO70+BI70+CC70+CW70+DU70+EO70+FI70+GC70</f>
        <v>79300746.849999994</v>
      </c>
      <c r="HC70" s="471">
        <f t="shared" si="132"/>
        <v>45699253.150000006</v>
      </c>
      <c r="HE70" s="471">
        <f>P70+AB70+AR70+BL70+CF70+CZ70+DX70+ER70+FL70+GF70</f>
        <v>18000000</v>
      </c>
      <c r="HF70" s="471">
        <f>Q70+AC70+AS70+BM70+CG70+DA70+DY70+ES70+FM70+GG70</f>
        <v>5697929.2300000004</v>
      </c>
      <c r="HG70" s="471">
        <f>HE70-HF70</f>
        <v>12302070.77</v>
      </c>
      <c r="HI70" s="471">
        <f>T70+AF70+AV70+BP70+CJ70+DD70+EB70+EV70+FP70+GJ70</f>
        <v>15000000</v>
      </c>
      <c r="HJ70" s="471">
        <f>U70+AG70+AW70+BQ70+CK70+DE70+EC70+EW70+FQ70+GK70</f>
        <v>0</v>
      </c>
      <c r="HK70" s="471">
        <f t="shared" si="134"/>
        <v>15000000</v>
      </c>
      <c r="HN70" s="471">
        <f>AJ70+AZ70+BT70+CN70+DH70+DP70+EF70+EZ70+FT70+GN70</f>
        <v>38000000</v>
      </c>
      <c r="HO70" s="471">
        <f>AK70+BA70+BU70+CO70+DI70+DQ70+EG70+FA70+FU70+GO70</f>
        <v>37643938</v>
      </c>
      <c r="HP70" s="471">
        <f>HN70-HO70</f>
        <v>356062</v>
      </c>
      <c r="HR70" s="531"/>
      <c r="HT70" s="471">
        <f>BX70+CR70+DL70+EJ70+FD70+FX70+GR70</f>
        <v>6000000</v>
      </c>
      <c r="HU70" s="471">
        <f>BY70+CS70+DM70+EK70+FE70+FY70+GS70</f>
        <v>0</v>
      </c>
      <c r="HV70" s="471">
        <f>HT70-HU70</f>
        <v>6000000</v>
      </c>
      <c r="HX70" s="473">
        <f>HU70-HY70</f>
        <v>0</v>
      </c>
      <c r="HY70" s="474">
        <v>0</v>
      </c>
      <c r="ID70" s="473">
        <f>HU70+HO70+HJ70+HF70+HB70</f>
        <v>122642614.08</v>
      </c>
      <c r="IE70" s="473">
        <f>HV70+HP70+HK70+HG70+HC70</f>
        <v>79357385.920000002</v>
      </c>
      <c r="IF70" s="473"/>
    </row>
    <row r="71" spans="1:254" x14ac:dyDescent="0.25">
      <c r="A71" s="471"/>
      <c r="B71" s="107" t="s">
        <v>532</v>
      </c>
      <c r="C71" s="634"/>
      <c r="D71" s="465">
        <f t="shared" ref="D71:V71" si="137">SUM(D4:D70)</f>
        <v>49000000</v>
      </c>
      <c r="E71" s="465">
        <f t="shared" si="137"/>
        <v>49000000</v>
      </c>
      <c r="F71" s="465">
        <f t="shared" si="137"/>
        <v>0</v>
      </c>
      <c r="G71" s="465">
        <f t="shared" si="137"/>
        <v>0</v>
      </c>
      <c r="H71" s="465">
        <f t="shared" si="137"/>
        <v>906002360</v>
      </c>
      <c r="I71" s="465">
        <f t="shared" si="137"/>
        <v>906002360</v>
      </c>
      <c r="J71" s="465">
        <f t="shared" si="137"/>
        <v>0</v>
      </c>
      <c r="K71" s="465">
        <f t="shared" si="137"/>
        <v>0</v>
      </c>
      <c r="L71" s="465">
        <f t="shared" si="137"/>
        <v>882584870</v>
      </c>
      <c r="M71" s="465">
        <f t="shared" si="137"/>
        <v>882584870</v>
      </c>
      <c r="N71" s="465">
        <f t="shared" si="137"/>
        <v>0</v>
      </c>
      <c r="O71" s="465">
        <f t="shared" si="137"/>
        <v>0</v>
      </c>
      <c r="P71" s="465">
        <f t="shared" si="137"/>
        <v>125000000</v>
      </c>
      <c r="Q71" s="465">
        <f t="shared" si="137"/>
        <v>125000000</v>
      </c>
      <c r="R71" s="465">
        <f t="shared" si="137"/>
        <v>0</v>
      </c>
      <c r="S71" s="465">
        <f t="shared" si="137"/>
        <v>0</v>
      </c>
      <c r="T71" s="465">
        <f t="shared" si="137"/>
        <v>44780017</v>
      </c>
      <c r="U71" s="465">
        <f t="shared" si="137"/>
        <v>44780017</v>
      </c>
      <c r="V71" s="465">
        <f t="shared" si="137"/>
        <v>0</v>
      </c>
      <c r="W71" s="465"/>
      <c r="X71" s="465">
        <f>SUM(X4:X70)</f>
        <v>1056748332</v>
      </c>
      <c r="Y71" s="465">
        <f>SUM(Y4:Y70)</f>
        <v>1056748332</v>
      </c>
      <c r="Z71" s="465">
        <f>SUM(Z4:Z70)</f>
        <v>0</v>
      </c>
      <c r="AA71" s="465"/>
      <c r="AB71" s="465">
        <f t="shared" ref="AB71:CM71" si="138">SUM(AB4:AB70)</f>
        <v>213503149</v>
      </c>
      <c r="AC71" s="465">
        <f t="shared" si="138"/>
        <v>213503149</v>
      </c>
      <c r="AD71" s="465">
        <f t="shared" si="138"/>
        <v>0</v>
      </c>
      <c r="AE71" s="465">
        <f t="shared" si="138"/>
        <v>0</v>
      </c>
      <c r="AF71" s="465">
        <f t="shared" si="138"/>
        <v>67864298</v>
      </c>
      <c r="AG71" s="465">
        <f t="shared" si="138"/>
        <v>67864298</v>
      </c>
      <c r="AH71" s="465">
        <f t="shared" si="138"/>
        <v>0</v>
      </c>
      <c r="AI71" s="465">
        <f t="shared" si="138"/>
        <v>0</v>
      </c>
      <c r="AJ71" s="465">
        <f t="shared" si="138"/>
        <v>401667626</v>
      </c>
      <c r="AK71" s="465">
        <f t="shared" si="138"/>
        <v>401667626</v>
      </c>
      <c r="AL71" s="465">
        <f t="shared" si="138"/>
        <v>0</v>
      </c>
      <c r="AM71" s="465">
        <f t="shared" si="138"/>
        <v>0</v>
      </c>
      <c r="AN71" s="465">
        <f t="shared" si="138"/>
        <v>1620000000</v>
      </c>
      <c r="AO71" s="465">
        <f t="shared" si="138"/>
        <v>1550605631</v>
      </c>
      <c r="AP71" s="465">
        <f t="shared" si="138"/>
        <v>69394369</v>
      </c>
      <c r="AQ71" s="465">
        <f t="shared" si="138"/>
        <v>0</v>
      </c>
      <c r="AR71" s="465">
        <f t="shared" si="138"/>
        <v>162000000</v>
      </c>
      <c r="AS71" s="465">
        <f t="shared" si="138"/>
        <v>139026701</v>
      </c>
      <c r="AT71" s="465">
        <f t="shared" si="138"/>
        <v>22973299</v>
      </c>
      <c r="AU71" s="465">
        <f t="shared" si="138"/>
        <v>0</v>
      </c>
      <c r="AV71" s="465">
        <f t="shared" si="138"/>
        <v>108000000</v>
      </c>
      <c r="AW71" s="465">
        <f t="shared" si="138"/>
        <v>50395605</v>
      </c>
      <c r="AX71" s="465">
        <f t="shared" si="138"/>
        <v>57604395</v>
      </c>
      <c r="AY71" s="465">
        <f t="shared" si="138"/>
        <v>0</v>
      </c>
      <c r="AZ71" s="465">
        <f t="shared" si="138"/>
        <v>540000000</v>
      </c>
      <c r="BA71" s="465">
        <f t="shared" si="138"/>
        <v>524826681</v>
      </c>
      <c r="BB71" s="465">
        <f t="shared" si="138"/>
        <v>15173319</v>
      </c>
      <c r="BC71" s="465">
        <f t="shared" si="138"/>
        <v>0</v>
      </c>
      <c r="BD71" s="465">
        <f t="shared" si="138"/>
        <v>0</v>
      </c>
      <c r="BE71" s="465">
        <f t="shared" si="138"/>
        <v>0</v>
      </c>
      <c r="BF71" s="465">
        <f t="shared" si="138"/>
        <v>0</v>
      </c>
      <c r="BG71" s="465">
        <f t="shared" si="138"/>
        <v>0</v>
      </c>
      <c r="BH71" s="465">
        <f t="shared" si="138"/>
        <v>3025000000</v>
      </c>
      <c r="BI71" s="465">
        <f t="shared" si="138"/>
        <v>2787328915</v>
      </c>
      <c r="BJ71" s="465">
        <f t="shared" si="138"/>
        <v>237671085</v>
      </c>
      <c r="BK71" s="465">
        <f t="shared" si="138"/>
        <v>0</v>
      </c>
      <c r="BL71" s="465">
        <f t="shared" si="138"/>
        <v>275000000</v>
      </c>
      <c r="BM71" s="465">
        <f t="shared" si="138"/>
        <v>233498994.15000001</v>
      </c>
      <c r="BN71" s="465">
        <f t="shared" si="138"/>
        <v>41501005.850000001</v>
      </c>
      <c r="BO71" s="465">
        <f t="shared" si="138"/>
        <v>0</v>
      </c>
      <c r="BP71" s="465">
        <f t="shared" si="138"/>
        <v>275000000</v>
      </c>
      <c r="BQ71" s="465">
        <f t="shared" si="138"/>
        <v>105080317.5</v>
      </c>
      <c r="BR71" s="465">
        <f t="shared" si="138"/>
        <v>169919682.5</v>
      </c>
      <c r="BS71" s="465">
        <f t="shared" si="138"/>
        <v>0</v>
      </c>
      <c r="BT71" s="465">
        <f t="shared" si="138"/>
        <v>825000000</v>
      </c>
      <c r="BU71" s="465">
        <f t="shared" si="138"/>
        <v>820219619.00000024</v>
      </c>
      <c r="BV71" s="465">
        <f t="shared" si="138"/>
        <v>4780380.9999997318</v>
      </c>
      <c r="BW71" s="465">
        <f t="shared" si="138"/>
        <v>0</v>
      </c>
      <c r="BX71" s="465">
        <f t="shared" si="138"/>
        <v>55000000</v>
      </c>
      <c r="BY71" s="465">
        <f t="shared" si="138"/>
        <v>41236282.25</v>
      </c>
      <c r="BZ71" s="465">
        <f t="shared" si="138"/>
        <v>13763717.75</v>
      </c>
      <c r="CA71" s="465">
        <f t="shared" si="138"/>
        <v>0</v>
      </c>
      <c r="CB71" s="465">
        <f t="shared" si="138"/>
        <v>4400000000</v>
      </c>
      <c r="CC71" s="465">
        <f t="shared" si="138"/>
        <v>3859819660.23</v>
      </c>
      <c r="CD71" s="465">
        <f t="shared" si="138"/>
        <v>540180339.76999998</v>
      </c>
      <c r="CE71" s="465">
        <f t="shared" si="138"/>
        <v>0</v>
      </c>
      <c r="CF71" s="465">
        <f t="shared" si="138"/>
        <v>550000000</v>
      </c>
      <c r="CG71" s="465">
        <f t="shared" si="138"/>
        <v>446602363.27999997</v>
      </c>
      <c r="CH71" s="465">
        <f t="shared" si="138"/>
        <v>103397636.72</v>
      </c>
      <c r="CI71" s="465">
        <f t="shared" si="138"/>
        <v>0</v>
      </c>
      <c r="CJ71" s="465">
        <f t="shared" si="138"/>
        <v>550000000</v>
      </c>
      <c r="CK71" s="465">
        <f t="shared" si="138"/>
        <v>168349893.80000001</v>
      </c>
      <c r="CL71" s="465">
        <f t="shared" si="138"/>
        <v>381650106.19999999</v>
      </c>
      <c r="CM71" s="465">
        <f t="shared" si="138"/>
        <v>0</v>
      </c>
      <c r="CN71" s="465">
        <f t="shared" ref="CN71:EL71" si="139">SUM(CN4:CN70)</f>
        <v>1650000000</v>
      </c>
      <c r="CO71" s="465">
        <f t="shared" si="139"/>
        <v>1627904363</v>
      </c>
      <c r="CP71" s="465">
        <f t="shared" si="139"/>
        <v>22095637</v>
      </c>
      <c r="CQ71" s="465">
        <f t="shared" si="139"/>
        <v>0</v>
      </c>
      <c r="CR71" s="465">
        <f t="shared" si="139"/>
        <v>275000000</v>
      </c>
      <c r="CS71" s="465">
        <f t="shared" si="139"/>
        <v>185562988.25</v>
      </c>
      <c r="CT71" s="465">
        <f t="shared" si="139"/>
        <v>89437011.75</v>
      </c>
      <c r="CU71" s="465">
        <f t="shared" si="139"/>
        <v>0</v>
      </c>
      <c r="CV71" s="465">
        <f t="shared" si="139"/>
        <v>4400000000</v>
      </c>
      <c r="CW71" s="465">
        <f t="shared" si="139"/>
        <v>3661935846.9400001</v>
      </c>
      <c r="CX71" s="465">
        <f t="shared" si="139"/>
        <v>738064153.05999994</v>
      </c>
      <c r="CY71" s="465">
        <f t="shared" si="139"/>
        <v>0</v>
      </c>
      <c r="CZ71" s="465">
        <f t="shared" si="139"/>
        <v>1100000000</v>
      </c>
      <c r="DA71" s="465">
        <f t="shared" si="139"/>
        <v>732491167.44000006</v>
      </c>
      <c r="DB71" s="465">
        <f t="shared" si="139"/>
        <v>367508832.55999994</v>
      </c>
      <c r="DC71" s="465">
        <f t="shared" si="139"/>
        <v>0</v>
      </c>
      <c r="DD71" s="465">
        <f t="shared" si="139"/>
        <v>1100000000</v>
      </c>
      <c r="DE71" s="465">
        <f t="shared" si="139"/>
        <v>196823219.5</v>
      </c>
      <c r="DF71" s="465">
        <f t="shared" si="139"/>
        <v>903176780.5</v>
      </c>
      <c r="DG71" s="465">
        <f t="shared" si="139"/>
        <v>0</v>
      </c>
      <c r="DH71" s="465">
        <f t="shared" si="139"/>
        <v>2750000000</v>
      </c>
      <c r="DI71" s="465">
        <f t="shared" si="139"/>
        <v>2553515300.3400002</v>
      </c>
      <c r="DJ71" s="465">
        <f t="shared" si="139"/>
        <v>196484699.66</v>
      </c>
      <c r="DK71" s="465">
        <f t="shared" si="139"/>
        <v>0</v>
      </c>
      <c r="DL71" s="465">
        <f t="shared" si="139"/>
        <v>330000000</v>
      </c>
      <c r="DM71" s="465">
        <f t="shared" si="139"/>
        <v>145104468.90000001</v>
      </c>
      <c r="DN71" s="465">
        <f t="shared" si="139"/>
        <v>184895531.09999999</v>
      </c>
      <c r="DO71" s="465">
        <f t="shared" si="139"/>
        <v>0</v>
      </c>
      <c r="DP71" s="465">
        <f t="shared" si="139"/>
        <v>50000000</v>
      </c>
      <c r="DQ71" s="465">
        <f t="shared" si="139"/>
        <v>49618920</v>
      </c>
      <c r="DR71" s="465">
        <f t="shared" si="139"/>
        <v>381080</v>
      </c>
      <c r="DS71" s="465">
        <f t="shared" si="139"/>
        <v>0</v>
      </c>
      <c r="DT71" s="465">
        <f t="shared" si="139"/>
        <v>3300000000</v>
      </c>
      <c r="DU71" s="465">
        <f t="shared" si="139"/>
        <v>2820038686.52</v>
      </c>
      <c r="DV71" s="465">
        <f t="shared" si="139"/>
        <v>479961313.48000002</v>
      </c>
      <c r="DW71" s="465">
        <f t="shared" si="139"/>
        <v>0</v>
      </c>
      <c r="DX71" s="465">
        <f t="shared" si="139"/>
        <v>550000000</v>
      </c>
      <c r="DY71" s="465">
        <f t="shared" si="139"/>
        <v>243702419.63</v>
      </c>
      <c r="DZ71" s="465">
        <f t="shared" si="139"/>
        <v>306297580.37</v>
      </c>
      <c r="EA71" s="465">
        <f t="shared" si="139"/>
        <v>0</v>
      </c>
      <c r="EB71" s="465">
        <f t="shared" si="139"/>
        <v>550000000</v>
      </c>
      <c r="EC71" s="465">
        <f t="shared" si="139"/>
        <v>38127300</v>
      </c>
      <c r="ED71" s="465">
        <f t="shared" si="139"/>
        <v>511872700</v>
      </c>
      <c r="EE71" s="465">
        <f t="shared" si="139"/>
        <v>0</v>
      </c>
      <c r="EF71" s="465">
        <f t="shared" si="139"/>
        <v>1100000000</v>
      </c>
      <c r="EG71" s="465">
        <f t="shared" si="139"/>
        <v>959051646.4000001</v>
      </c>
      <c r="EH71" s="465">
        <f t="shared" si="139"/>
        <v>140948353.59999999</v>
      </c>
      <c r="EI71" s="465">
        <f t="shared" si="139"/>
        <v>0</v>
      </c>
      <c r="EJ71" s="465">
        <f t="shared" si="139"/>
        <v>165000000</v>
      </c>
      <c r="EK71" s="465">
        <f t="shared" si="139"/>
        <v>32950439</v>
      </c>
      <c r="EL71" s="465">
        <f t="shared" si="139"/>
        <v>132049561</v>
      </c>
      <c r="EN71" s="465">
        <f>SUM(EN4:EN70)</f>
        <v>11000000000</v>
      </c>
      <c r="EO71" s="465"/>
      <c r="EP71" s="465">
        <f>EN71-EO71</f>
        <v>11000000000</v>
      </c>
      <c r="EQ71" s="465"/>
      <c r="ER71" s="465">
        <f>SUM(ER4:ER70)</f>
        <v>550000000</v>
      </c>
      <c r="ES71" s="465">
        <f>SUM(ES4:ES70)</f>
        <v>109055564.13</v>
      </c>
      <c r="ET71" s="465">
        <f>SUM(ET4:ET70)</f>
        <v>440944435.87</v>
      </c>
      <c r="EU71" s="465"/>
      <c r="EV71" s="465">
        <f>SUM(EV4:EV70)</f>
        <v>550000000</v>
      </c>
      <c r="EW71" s="465">
        <f>SUM(EW4:EW70)</f>
        <v>22435350</v>
      </c>
      <c r="EX71" s="465">
        <f>SUM(EX4:EX70)</f>
        <v>527564650</v>
      </c>
      <c r="EY71" s="465"/>
      <c r="EZ71" s="465">
        <f>SUM(EZ4:EZ70)</f>
        <v>1375000000</v>
      </c>
      <c r="FA71" s="465">
        <f>SUM(FA4:FA70)</f>
        <v>906859326.0999999</v>
      </c>
      <c r="FB71" s="465">
        <f>SUM(FB4:FB70)</f>
        <v>468140673.89999998</v>
      </c>
      <c r="FC71" s="465"/>
      <c r="FD71" s="465">
        <f>SUM(FD4:FD70)</f>
        <v>165000000</v>
      </c>
      <c r="FE71" s="465">
        <f>SUM(FE4:FE70)</f>
        <v>6863835.1699999999</v>
      </c>
      <c r="FF71" s="465">
        <f>SUM(FF4:FF70)</f>
        <v>158136164.83000001</v>
      </c>
      <c r="FG71" s="465"/>
      <c r="FH71" s="637">
        <f t="shared" ref="FH71:FZ71" si="140">SUM(FH4:FH70)</f>
        <v>3575000000</v>
      </c>
      <c r="FI71" s="637">
        <f t="shared" si="140"/>
        <v>1079590585.29</v>
      </c>
      <c r="FJ71" s="637">
        <f t="shared" si="140"/>
        <v>2495409414.7099996</v>
      </c>
      <c r="FK71" s="637">
        <f t="shared" si="140"/>
        <v>0</v>
      </c>
      <c r="FL71" s="637">
        <f t="shared" si="140"/>
        <v>440000000</v>
      </c>
      <c r="FM71" s="637">
        <f t="shared" si="140"/>
        <v>13474673.09</v>
      </c>
      <c r="FN71" s="637">
        <f t="shared" si="140"/>
        <v>426525326.90999997</v>
      </c>
      <c r="FO71" s="637">
        <f t="shared" si="140"/>
        <v>0</v>
      </c>
      <c r="FP71" s="637">
        <f t="shared" si="140"/>
        <v>275000000</v>
      </c>
      <c r="FQ71" s="637">
        <f t="shared" si="140"/>
        <v>435284.25</v>
      </c>
      <c r="FR71" s="637">
        <f t="shared" si="140"/>
        <v>274564715.75</v>
      </c>
      <c r="FS71" s="637">
        <f t="shared" si="140"/>
        <v>0</v>
      </c>
      <c r="FT71" s="637">
        <f t="shared" si="140"/>
        <v>990000000</v>
      </c>
      <c r="FU71" s="637">
        <f t="shared" si="140"/>
        <v>223113132.68000001</v>
      </c>
      <c r="FV71" s="637">
        <f t="shared" si="140"/>
        <v>766886867.31999981</v>
      </c>
      <c r="FW71" s="637">
        <f t="shared" si="140"/>
        <v>0</v>
      </c>
      <c r="FX71" s="637">
        <f t="shared" si="140"/>
        <v>165000000</v>
      </c>
      <c r="FY71" s="637">
        <f t="shared" si="140"/>
        <v>6795355</v>
      </c>
      <c r="FZ71" s="637">
        <f t="shared" si="140"/>
        <v>158204645</v>
      </c>
      <c r="GA71" s="637"/>
      <c r="GB71" s="637">
        <f>SUM(GB4:GB70)</f>
        <v>4950000000</v>
      </c>
      <c r="GC71" s="637">
        <f t="shared" ref="GC71:GD71" si="141">SUM(GC4:GC70)</f>
        <v>11405720.9</v>
      </c>
      <c r="GD71" s="637">
        <f t="shared" si="141"/>
        <v>4938594279.1000004</v>
      </c>
      <c r="GE71" s="637"/>
      <c r="GF71" s="637">
        <f>SUM(GF4:GF70)</f>
        <v>1210000000</v>
      </c>
      <c r="GG71" s="637">
        <f t="shared" ref="GG71:GH71" si="142">SUM(GG4:GG70)</f>
        <v>0</v>
      </c>
      <c r="GH71" s="637">
        <f t="shared" si="142"/>
        <v>1210000000</v>
      </c>
      <c r="GI71" s="637"/>
      <c r="GJ71" s="637">
        <f>SUM(GJ4:GJ70)</f>
        <v>165000000</v>
      </c>
      <c r="GK71" s="637">
        <f t="shared" ref="GK71:GL71" si="143">SUM(GK4:GK70)</f>
        <v>0</v>
      </c>
      <c r="GL71" s="637">
        <f t="shared" si="143"/>
        <v>165000000</v>
      </c>
      <c r="GM71" s="637"/>
      <c r="GN71" s="637">
        <f>SUM(GN4:GN70)</f>
        <v>660000000</v>
      </c>
      <c r="GO71" s="637">
        <f t="shared" ref="GO71:GP71" si="144">SUM(GO4:GO70)</f>
        <v>22279439.949999999</v>
      </c>
      <c r="GP71" s="637">
        <f t="shared" si="144"/>
        <v>637720560.04999995</v>
      </c>
      <c r="GQ71" s="637"/>
      <c r="GR71" s="637">
        <f>SUM(GR4:GR70)</f>
        <v>165000000</v>
      </c>
      <c r="GS71" s="637">
        <f t="shared" ref="GS71:GT71" si="145">SUM(GS4:GS70)</f>
        <v>0</v>
      </c>
      <c r="GT71" s="637">
        <f t="shared" si="145"/>
        <v>165000000</v>
      </c>
      <c r="GU71" s="637"/>
      <c r="GV71" s="587">
        <f>SUM(GV4:GV70)</f>
        <v>59687150652</v>
      </c>
      <c r="GW71" s="587">
        <f>SUM(GW4:GW70)</f>
        <v>36815048997.330002</v>
      </c>
      <c r="GX71" s="468">
        <f>GV71-GW71</f>
        <v>22872101654.669998</v>
      </c>
      <c r="GZ71" s="465"/>
      <c r="HA71" s="468">
        <f>SUM(HA4:HA70)</f>
        <v>39164335562</v>
      </c>
      <c r="HB71" s="468">
        <f>SUM(HB4:HB70)</f>
        <v>25356833257.52</v>
      </c>
      <c r="HC71" s="471">
        <f>HA71-HB71</f>
        <v>13807502304.48</v>
      </c>
      <c r="HE71" s="471">
        <f>SUM(HE4:HE70)</f>
        <v>5175503149</v>
      </c>
      <c r="HF71" s="471">
        <f>SUM(HF4:HF70)</f>
        <v>2256355031.7199998</v>
      </c>
      <c r="HG71" s="471">
        <f>HE71-HF71</f>
        <v>2919148117.2800002</v>
      </c>
      <c r="HH71" s="107"/>
      <c r="HI71" s="468">
        <f>SUM(HI4:HI70)</f>
        <v>3685644315</v>
      </c>
      <c r="HJ71" s="468">
        <f>SUM(HJ4:HJ70)</f>
        <v>694291285.04999995</v>
      </c>
      <c r="HK71" s="471">
        <f t="shared" si="134"/>
        <v>2991353029.9499998</v>
      </c>
      <c r="HL71" s="107"/>
      <c r="HM71" s="107"/>
      <c r="HN71" s="471">
        <f>SUM(HN4:HN70)</f>
        <v>10341667626</v>
      </c>
      <c r="HO71" s="471">
        <f>SUM(HO4:HO70)</f>
        <v>8089056054.4700003</v>
      </c>
      <c r="HP71" s="471">
        <f>HN71-HO71</f>
        <v>2252611571.5299997</v>
      </c>
      <c r="HQ71" s="107"/>
      <c r="HR71" s="107"/>
      <c r="HS71" s="107"/>
      <c r="HT71" s="471">
        <f>SUM(HT4:HT70)</f>
        <v>1320000000</v>
      </c>
      <c r="HU71" s="471">
        <f>SUM(HU4:HU70)</f>
        <v>418513368.56999999</v>
      </c>
      <c r="HV71" s="471">
        <f>HT71-HU71</f>
        <v>901486631.43000007</v>
      </c>
      <c r="HW71" s="107"/>
      <c r="HX71" s="473">
        <f>SUM(HX4:HX70)</f>
        <v>49343184</v>
      </c>
      <c r="HY71" s="475">
        <v>369170184.56999999</v>
      </c>
      <c r="HZ71" s="471"/>
      <c r="IA71" s="107"/>
      <c r="IB71" s="107"/>
      <c r="IC71" s="471"/>
      <c r="ID71" s="471">
        <v>5839381386.7900009</v>
      </c>
      <c r="IE71" s="471">
        <v>1467286239.2099991</v>
      </c>
      <c r="IF71" s="531"/>
      <c r="IG71" s="588">
        <f>ID71-IH71</f>
        <v>0</v>
      </c>
      <c r="IH71" s="474">
        <v>5839381386.79</v>
      </c>
      <c r="IK71" s="471">
        <f>BD71+BX71+CR71+DL71+EJ71</f>
        <v>825000000</v>
      </c>
      <c r="IL71" s="471">
        <f>BE71+BY71+CS71+DM71+EK71</f>
        <v>404854178.39999998</v>
      </c>
      <c r="IM71" s="471">
        <f>BF71+BZ71+CT71+DN71+EL71</f>
        <v>420145821.60000002</v>
      </c>
      <c r="IO71" s="473">
        <f>IL71-IP71</f>
        <v>159801060.67999998</v>
      </c>
      <c r="IP71" s="474">
        <v>245053117.72</v>
      </c>
      <c r="IR71" s="473">
        <f>IL71+ID71+HU71+HO71+HJ71</f>
        <v>15446096273.279999</v>
      </c>
      <c r="IS71" s="473">
        <f>IM71+IE71+HV71+HP71+HK71</f>
        <v>8032883293.7199984</v>
      </c>
      <c r="IT71" s="473"/>
    </row>
    <row r="72" spans="1:254" s="474" customFormat="1" x14ac:dyDescent="0.25">
      <c r="B72" s="474" t="s">
        <v>579</v>
      </c>
      <c r="HA72" s="524"/>
      <c r="HB72" s="524"/>
      <c r="HC72" s="531"/>
      <c r="HX72" s="473"/>
      <c r="IC72" s="473"/>
    </row>
    <row r="73" spans="1:254" s="523" customFormat="1" x14ac:dyDescent="0.25">
      <c r="A73" s="470"/>
      <c r="B73" s="602"/>
      <c r="C73" s="602"/>
      <c r="D73" s="470"/>
      <c r="E73" s="470"/>
      <c r="F73" s="470"/>
      <c r="G73" s="470"/>
      <c r="H73" s="470"/>
      <c r="I73" s="470"/>
      <c r="J73" s="470"/>
      <c r="K73" s="470"/>
      <c r="L73" s="470"/>
      <c r="M73" s="470"/>
      <c r="N73" s="470"/>
      <c r="O73" s="470"/>
      <c r="P73" s="470"/>
      <c r="Q73" s="470"/>
      <c r="R73" s="470"/>
      <c r="S73" s="470"/>
      <c r="T73" s="470"/>
      <c r="U73" s="470"/>
      <c r="V73" s="470"/>
      <c r="W73" s="470"/>
      <c r="X73" s="470"/>
      <c r="Y73" s="470"/>
      <c r="Z73" s="470"/>
      <c r="AA73" s="470"/>
      <c r="AB73" s="470"/>
      <c r="AC73" s="470"/>
      <c r="AD73" s="470"/>
      <c r="AE73" s="470"/>
      <c r="AF73" s="470"/>
      <c r="AG73" s="470"/>
      <c r="AH73" s="470"/>
      <c r="AI73" s="470"/>
      <c r="AJ73" s="470"/>
      <c r="AK73" s="470"/>
      <c r="AL73" s="470"/>
      <c r="AM73" s="470"/>
      <c r="AN73" s="470"/>
      <c r="AO73" s="470"/>
      <c r="AP73" s="470"/>
      <c r="AQ73" s="470"/>
      <c r="AR73" s="470"/>
      <c r="AS73" s="470"/>
      <c r="AT73" s="470"/>
      <c r="AU73" s="470"/>
      <c r="AV73" s="470"/>
      <c r="AW73" s="470"/>
      <c r="AX73" s="470"/>
      <c r="AY73" s="470"/>
      <c r="AZ73" s="470"/>
      <c r="BA73" s="470"/>
      <c r="BB73" s="470"/>
      <c r="BC73" s="470"/>
      <c r="BD73" s="470"/>
      <c r="BE73" s="470"/>
      <c r="BF73" s="470"/>
      <c r="BG73" s="470"/>
      <c r="BH73" s="470"/>
      <c r="BI73" s="470"/>
      <c r="BJ73" s="470"/>
      <c r="BK73" s="470"/>
      <c r="BL73" s="470"/>
      <c r="BM73" s="470"/>
      <c r="BN73" s="470"/>
      <c r="BO73" s="470"/>
      <c r="BP73" s="470"/>
      <c r="BQ73" s="470"/>
      <c r="BR73" s="470"/>
      <c r="BS73" s="470"/>
      <c r="BT73" s="470"/>
      <c r="BU73" s="470"/>
      <c r="BV73" s="470"/>
      <c r="BW73" s="470"/>
      <c r="BX73" s="470"/>
      <c r="BY73" s="470"/>
      <c r="BZ73" s="470"/>
      <c r="CA73" s="470"/>
      <c r="CB73" s="470"/>
      <c r="CC73" s="470"/>
      <c r="CD73" s="470"/>
      <c r="CE73" s="470"/>
      <c r="CF73" s="470"/>
      <c r="CG73" s="470"/>
      <c r="CH73" s="470"/>
      <c r="CI73" s="470"/>
      <c r="CJ73" s="470"/>
      <c r="CK73" s="470"/>
      <c r="CL73" s="470"/>
      <c r="CM73" s="470"/>
      <c r="CN73" s="470"/>
      <c r="CO73" s="470"/>
      <c r="CP73" s="470"/>
      <c r="CQ73" s="470"/>
      <c r="CR73" s="470"/>
      <c r="CS73" s="470"/>
      <c r="CT73" s="470"/>
      <c r="CU73" s="470"/>
      <c r="CV73" s="470"/>
      <c r="CW73" s="470"/>
      <c r="CX73" s="470"/>
      <c r="CY73" s="470"/>
      <c r="CZ73" s="470"/>
      <c r="DA73" s="470"/>
      <c r="DB73" s="470"/>
      <c r="DC73" s="470"/>
      <c r="DD73" s="470"/>
      <c r="DE73" s="470"/>
      <c r="DF73" s="470"/>
      <c r="DG73" s="470"/>
      <c r="DH73" s="470"/>
      <c r="DI73" s="470"/>
      <c r="DJ73" s="470"/>
      <c r="DK73" s="470"/>
      <c r="DL73" s="470"/>
      <c r="DM73" s="470"/>
      <c r="DN73" s="470"/>
      <c r="DO73" s="470"/>
      <c r="DP73" s="470"/>
      <c r="DQ73" s="470"/>
      <c r="DR73" s="470"/>
      <c r="DS73" s="470"/>
      <c r="DT73" s="470"/>
      <c r="DU73" s="470"/>
      <c r="DV73" s="470"/>
      <c r="DW73" s="470"/>
      <c r="DX73" s="470"/>
      <c r="DY73" s="470"/>
      <c r="DZ73" s="470"/>
      <c r="EA73" s="470"/>
      <c r="EB73" s="470"/>
      <c r="EC73" s="470"/>
      <c r="ED73" s="470"/>
      <c r="EE73" s="470"/>
      <c r="EF73" s="470"/>
      <c r="EG73" s="470"/>
      <c r="EH73" s="470"/>
      <c r="EI73" s="470"/>
      <c r="EJ73" s="470"/>
      <c r="EK73" s="470"/>
      <c r="EL73" s="470"/>
      <c r="EM73" s="470"/>
      <c r="EN73" s="470"/>
      <c r="EO73" s="470"/>
      <c r="EP73" s="470"/>
      <c r="EQ73" s="470"/>
      <c r="ER73" s="470"/>
      <c r="ES73" s="470"/>
      <c r="ET73" s="470"/>
      <c r="EU73" s="470"/>
      <c r="EV73" s="470"/>
      <c r="EW73" s="470"/>
      <c r="EX73" s="470"/>
      <c r="EY73" s="470"/>
      <c r="EZ73" s="470"/>
      <c r="FA73" s="470"/>
      <c r="FB73" s="470"/>
      <c r="FC73" s="470"/>
      <c r="FD73" s="470"/>
      <c r="FE73" s="470"/>
      <c r="FF73" s="470"/>
      <c r="FG73" s="470"/>
      <c r="FH73" s="470"/>
      <c r="FI73" s="470"/>
      <c r="FJ73" s="470"/>
      <c r="FK73" s="470"/>
      <c r="FL73" s="470"/>
      <c r="FM73" s="470"/>
      <c r="FN73" s="470"/>
      <c r="FO73" s="470"/>
      <c r="FP73" s="470"/>
      <c r="FQ73" s="470"/>
      <c r="FR73" s="470"/>
      <c r="FS73" s="470"/>
      <c r="FT73" s="470"/>
      <c r="FU73" s="470"/>
      <c r="FV73" s="470"/>
      <c r="FW73" s="470"/>
      <c r="FX73" s="470"/>
      <c r="FY73" s="470"/>
      <c r="FZ73" s="470"/>
      <c r="GA73" s="470"/>
      <c r="GB73" s="470"/>
      <c r="GC73" s="470"/>
      <c r="GD73" s="470"/>
      <c r="GE73" s="470"/>
      <c r="GF73" s="470"/>
      <c r="GG73" s="470"/>
      <c r="GH73" s="470"/>
      <c r="GI73" s="470"/>
      <c r="GJ73" s="470"/>
      <c r="GK73" s="470"/>
      <c r="GL73" s="470"/>
      <c r="GM73" s="470"/>
      <c r="GN73" s="470"/>
      <c r="GO73" s="470"/>
      <c r="GP73" s="470"/>
      <c r="GQ73" s="470"/>
      <c r="GR73" s="470"/>
      <c r="GS73" s="470"/>
      <c r="GT73" s="470"/>
      <c r="GU73" s="470"/>
      <c r="GV73" s="470"/>
      <c r="GW73" s="470"/>
      <c r="GX73" s="470"/>
      <c r="GY73" s="470"/>
      <c r="GZ73" s="470"/>
      <c r="HA73" s="470"/>
      <c r="HB73" s="470"/>
      <c r="HC73" s="470"/>
      <c r="HD73" s="470"/>
      <c r="HE73" s="470"/>
      <c r="HF73" s="470"/>
      <c r="HG73" s="470"/>
      <c r="HH73" s="470"/>
      <c r="HI73" s="470"/>
      <c r="HJ73" s="470"/>
      <c r="HK73" s="470" t="s">
        <v>503</v>
      </c>
      <c r="HL73" s="470"/>
      <c r="HM73" s="470"/>
      <c r="HN73" s="470"/>
      <c r="HO73" s="470"/>
      <c r="HP73" s="470" t="s">
        <v>503</v>
      </c>
      <c r="HQ73" s="470"/>
      <c r="HR73" s="470"/>
      <c r="HS73" s="470"/>
      <c r="HT73" s="470"/>
      <c r="HU73" s="470"/>
      <c r="HV73" s="470"/>
    </row>
    <row r="74" spans="1:254" x14ac:dyDescent="0.25">
      <c r="A74" s="519"/>
      <c r="B74" s="603"/>
      <c r="C74" s="603"/>
      <c r="H74" s="519"/>
      <c r="I74" s="519"/>
      <c r="J74" s="519"/>
      <c r="L74" s="519"/>
      <c r="M74" s="519"/>
      <c r="N74" s="519"/>
      <c r="P74" s="519"/>
      <c r="Q74" s="519"/>
      <c r="R74" s="519"/>
      <c r="T74" s="519"/>
      <c r="U74" s="519"/>
      <c r="V74" s="519"/>
      <c r="X74" s="519"/>
      <c r="Y74" s="519"/>
      <c r="Z74" s="519"/>
      <c r="AB74" s="519"/>
      <c r="AC74" s="519"/>
      <c r="AD74" s="519"/>
      <c r="AF74" s="519"/>
      <c r="AG74" s="519"/>
      <c r="AH74" s="519"/>
      <c r="AJ74" s="519"/>
      <c r="AK74" s="519"/>
      <c r="AL74" s="519"/>
      <c r="AM74" s="519"/>
      <c r="AN74" s="519"/>
      <c r="AO74" s="519"/>
      <c r="AP74" s="519"/>
      <c r="AR74" s="519"/>
      <c r="AS74" s="519"/>
      <c r="AT74" s="519"/>
      <c r="AV74" s="519"/>
      <c r="AW74" s="519"/>
      <c r="AX74" s="519"/>
      <c r="AZ74" s="519"/>
      <c r="BA74" s="519"/>
      <c r="BB74" s="519"/>
      <c r="BD74" s="519"/>
      <c r="BE74" s="519"/>
      <c r="BF74" s="519"/>
      <c r="BH74" s="519"/>
      <c r="BI74" s="519"/>
      <c r="BJ74" s="519"/>
      <c r="BL74" s="519"/>
      <c r="BM74" s="519"/>
      <c r="BN74" s="519"/>
      <c r="BP74" s="519"/>
      <c r="BQ74" s="519"/>
      <c r="BR74" s="519"/>
      <c r="BT74" s="519"/>
      <c r="BU74" s="519"/>
      <c r="BV74" s="519"/>
      <c r="BX74" s="519"/>
      <c r="BY74" s="519"/>
      <c r="BZ74" s="519"/>
      <c r="CB74" s="519"/>
      <c r="CC74" s="519"/>
      <c r="CD74" s="519"/>
      <c r="CF74" s="519"/>
      <c r="CG74" s="519"/>
      <c r="CH74" s="519"/>
      <c r="CJ74" s="519"/>
      <c r="CK74" s="519"/>
      <c r="CL74" s="519"/>
      <c r="CN74" s="519"/>
      <c r="CO74" s="519"/>
      <c r="CP74" s="519"/>
      <c r="CR74" s="519"/>
      <c r="CS74" s="519"/>
      <c r="CT74" s="519"/>
      <c r="CV74" s="519"/>
      <c r="CW74" s="519"/>
      <c r="CX74" s="519"/>
      <c r="CZ74" s="519"/>
      <c r="DA74" s="519"/>
      <c r="DB74" s="519"/>
      <c r="DD74" s="519"/>
      <c r="DE74" s="519"/>
      <c r="DQ74" s="521"/>
      <c r="EF74" s="473"/>
      <c r="GV74" s="473"/>
      <c r="GW74" s="474"/>
      <c r="GY74" s="470"/>
      <c r="HC74" s="472" t="s">
        <v>504</v>
      </c>
    </row>
    <row r="75" spans="1:254" s="445" customFormat="1" x14ac:dyDescent="0.25">
      <c r="B75" s="604"/>
      <c r="C75" s="604"/>
      <c r="D75" s="447" t="s">
        <v>411</v>
      </c>
      <c r="E75" s="447"/>
      <c r="F75" s="448"/>
      <c r="G75" s="448"/>
      <c r="H75" s="449" t="s">
        <v>412</v>
      </c>
      <c r="I75" s="449"/>
      <c r="J75" s="449"/>
      <c r="K75" s="448"/>
      <c r="L75" s="449" t="s">
        <v>413</v>
      </c>
      <c r="M75" s="449"/>
      <c r="N75" s="449"/>
      <c r="O75" s="448"/>
      <c r="P75" s="449" t="s">
        <v>507</v>
      </c>
      <c r="Q75" s="449"/>
      <c r="R75" s="449"/>
      <c r="S75" s="448"/>
      <c r="T75" s="449" t="s">
        <v>580</v>
      </c>
      <c r="U75" s="449"/>
      <c r="V75" s="449"/>
      <c r="W75" s="448"/>
      <c r="Z75" s="605"/>
      <c r="AA75" s="576"/>
      <c r="AB75" s="605"/>
      <c r="AC75" s="605"/>
      <c r="AD75" s="605"/>
      <c r="AE75" s="576"/>
      <c r="AF75" s="605"/>
      <c r="AG75" s="605"/>
      <c r="AH75" s="605"/>
      <c r="AI75" s="576"/>
      <c r="AJ75" s="605"/>
      <c r="AK75" s="605"/>
      <c r="AL75" s="605"/>
      <c r="AM75" s="605"/>
      <c r="AN75" s="605"/>
      <c r="AO75" s="605"/>
      <c r="AP75" s="605"/>
      <c r="AQ75" s="576"/>
      <c r="AR75" s="605"/>
      <c r="AS75" s="605"/>
      <c r="AT75" s="605"/>
      <c r="AU75" s="576"/>
      <c r="AV75" s="605"/>
      <c r="AW75" s="605"/>
      <c r="AX75" s="605"/>
      <c r="AY75" s="576"/>
      <c r="AZ75" s="605"/>
      <c r="BA75" s="605"/>
      <c r="BB75" s="605"/>
      <c r="BC75" s="576"/>
      <c r="BD75" s="605"/>
      <c r="BE75" s="605"/>
      <c r="BF75" s="605"/>
      <c r="BG75" s="576"/>
      <c r="BH75" s="605"/>
      <c r="BI75" s="605"/>
      <c r="BJ75" s="605"/>
      <c r="BK75" s="576"/>
      <c r="BL75" s="605"/>
      <c r="BM75" s="605"/>
      <c r="BN75" s="605"/>
      <c r="BO75" s="576"/>
      <c r="BP75" s="605"/>
      <c r="BQ75" s="605"/>
      <c r="BR75" s="605"/>
      <c r="BS75" s="576"/>
      <c r="BT75" s="605"/>
      <c r="BU75" s="605"/>
      <c r="BV75" s="605"/>
      <c r="BW75" s="576"/>
      <c r="BX75" s="605"/>
      <c r="BY75" s="605"/>
      <c r="BZ75" s="605"/>
      <c r="CA75" s="576"/>
      <c r="CB75" s="605"/>
      <c r="CC75" s="605"/>
      <c r="CD75" s="605"/>
      <c r="CE75" s="576"/>
      <c r="CF75" s="605"/>
      <c r="CG75" s="605"/>
      <c r="CH75" s="605"/>
      <c r="CI75" s="576"/>
      <c r="CJ75" s="519"/>
      <c r="CK75" s="519"/>
      <c r="CL75" s="605"/>
      <c r="CM75" s="576"/>
      <c r="CN75" s="605"/>
      <c r="CO75" s="605"/>
      <c r="CP75" s="605"/>
      <c r="CQ75" s="576"/>
      <c r="CR75" s="605"/>
      <c r="CS75" s="605"/>
      <c r="CT75" s="605"/>
      <c r="CU75" s="576"/>
      <c r="CV75" s="605"/>
      <c r="CW75" s="605"/>
      <c r="CX75" s="605"/>
      <c r="CY75" s="576"/>
      <c r="CZ75" s="605"/>
      <c r="DA75" s="605"/>
      <c r="DB75" s="605"/>
      <c r="DC75" s="576"/>
      <c r="DD75" s="605"/>
      <c r="DE75" s="605"/>
      <c r="DF75" s="605"/>
      <c r="DG75" s="576"/>
      <c r="DH75" s="605"/>
      <c r="DI75" s="606">
        <v>49777434.5</v>
      </c>
      <c r="DJ75" s="605"/>
      <c r="DK75" s="576"/>
      <c r="DL75" s="605"/>
      <c r="DM75" s="605"/>
      <c r="DN75" s="605"/>
      <c r="DO75" s="576"/>
      <c r="DP75" s="605"/>
      <c r="DQ75" s="605"/>
      <c r="DR75" s="605"/>
      <c r="DS75" s="605"/>
      <c r="DT75" s="605"/>
      <c r="DU75" s="605"/>
      <c r="DV75" s="605"/>
      <c r="DW75" s="605"/>
      <c r="DX75" s="605"/>
      <c r="DY75" s="605"/>
      <c r="DZ75" s="605"/>
      <c r="EA75" s="605"/>
      <c r="EB75" s="605"/>
      <c r="EC75" s="605"/>
      <c r="ED75" s="605"/>
      <c r="EE75" s="605"/>
      <c r="EF75" s="605"/>
      <c r="EG75" s="605"/>
      <c r="EH75" s="605"/>
      <c r="EI75" s="605"/>
      <c r="EJ75" s="605"/>
      <c r="EK75" s="605"/>
      <c r="EL75" s="605"/>
      <c r="EM75" s="576"/>
      <c r="EN75" s="576"/>
      <c r="EO75" s="576"/>
      <c r="EP75" s="576"/>
      <c r="EQ75" s="576"/>
      <c r="ER75" s="576"/>
      <c r="ES75" s="576"/>
      <c r="ET75" s="576"/>
      <c r="EU75" s="576"/>
      <c r="EV75" s="576"/>
      <c r="EW75" s="576"/>
      <c r="EX75" s="576"/>
      <c r="EY75" s="576"/>
      <c r="EZ75" s="576"/>
      <c r="FA75" s="576"/>
      <c r="FB75" s="576"/>
      <c r="FC75" s="576"/>
      <c r="FD75" s="576"/>
      <c r="FE75" s="576"/>
      <c r="FF75" s="576"/>
      <c r="FG75" s="576"/>
      <c r="FH75" s="576"/>
      <c r="FI75" s="576"/>
      <c r="FJ75" s="576"/>
      <c r="FK75" s="576"/>
      <c r="FL75" s="576"/>
      <c r="FM75" s="576"/>
      <c r="FN75" s="576"/>
      <c r="FO75" s="576"/>
      <c r="FP75" s="576"/>
      <c r="FQ75" s="576"/>
      <c r="FR75" s="576"/>
      <c r="FS75" s="576"/>
      <c r="FT75" s="576"/>
      <c r="FU75" s="576"/>
      <c r="FV75" s="576"/>
      <c r="FW75" s="576"/>
      <c r="FX75" s="576"/>
      <c r="FY75" s="576"/>
      <c r="FZ75" s="576"/>
      <c r="GA75" s="576"/>
      <c r="GB75" s="576"/>
      <c r="GC75" s="576"/>
      <c r="GD75" s="576"/>
      <c r="GE75" s="576"/>
      <c r="GF75" s="576"/>
      <c r="GG75" s="576"/>
      <c r="GH75" s="576"/>
      <c r="GI75" s="576"/>
      <c r="GJ75" s="576"/>
      <c r="GK75" s="576"/>
      <c r="GL75" s="576"/>
      <c r="GM75" s="576"/>
      <c r="GN75" s="576"/>
      <c r="GO75" s="576"/>
      <c r="GP75" s="576"/>
      <c r="GQ75" s="576"/>
      <c r="GR75" s="576"/>
      <c r="GS75" s="576"/>
      <c r="GT75" s="576"/>
      <c r="GU75" s="576"/>
      <c r="GV75" s="605"/>
      <c r="GW75" s="607"/>
      <c r="GX75" s="605"/>
      <c r="GY75" s="576"/>
      <c r="GZ75" s="605"/>
      <c r="HA75" s="605"/>
      <c r="HB75" s="605"/>
      <c r="HC75" s="605"/>
      <c r="HD75" s="605"/>
      <c r="HE75" s="605"/>
      <c r="HF75" s="605"/>
      <c r="HG75" s="605"/>
      <c r="HH75" s="605"/>
      <c r="HI75" s="605"/>
      <c r="HJ75" s="605"/>
      <c r="HK75" s="605"/>
      <c r="HL75" s="605"/>
      <c r="HM75" s="605"/>
      <c r="HN75" s="605"/>
      <c r="HO75" s="607">
        <f>HO73-HO71</f>
        <v>-8089056054.4700003</v>
      </c>
      <c r="HP75" s="605"/>
      <c r="HQ75" s="605"/>
      <c r="HR75" s="605"/>
      <c r="HS75" s="605"/>
    </row>
    <row r="76" spans="1:254" s="445" customFormat="1" ht="63" x14ac:dyDescent="0.25">
      <c r="A76" s="530"/>
      <c r="B76" s="608"/>
      <c r="C76" s="608"/>
      <c r="D76" s="575" t="s">
        <v>54</v>
      </c>
      <c r="E76" s="575" t="s">
        <v>462</v>
      </c>
      <c r="F76" s="575"/>
      <c r="G76" s="575"/>
      <c r="H76" s="530" t="s">
        <v>54</v>
      </c>
      <c r="I76" s="530" t="s">
        <v>462</v>
      </c>
      <c r="J76" s="530" t="s">
        <v>56</v>
      </c>
      <c r="K76" s="575"/>
      <c r="L76" s="530" t="s">
        <v>54</v>
      </c>
      <c r="M76" s="530" t="s">
        <v>462</v>
      </c>
      <c r="N76" s="530" t="s">
        <v>56</v>
      </c>
      <c r="O76" s="575"/>
      <c r="P76" s="530" t="s">
        <v>54</v>
      </c>
      <c r="Q76" s="530" t="s">
        <v>462</v>
      </c>
      <c r="R76" s="530" t="s">
        <v>56</v>
      </c>
      <c r="S76" s="575"/>
      <c r="T76" s="530" t="s">
        <v>581</v>
      </c>
      <c r="U76" s="530" t="s">
        <v>582</v>
      </c>
      <c r="V76" s="457" t="s">
        <v>583</v>
      </c>
      <c r="X76" s="575" t="s">
        <v>584</v>
      </c>
      <c r="Y76" s="457" t="s">
        <v>505</v>
      </c>
      <c r="Z76" s="605"/>
      <c r="AA76" s="569"/>
      <c r="AB76" s="605"/>
      <c r="AC76" s="605"/>
      <c r="AD76" s="605"/>
      <c r="AE76" s="569"/>
      <c r="AF76" s="605"/>
      <c r="AG76" s="605"/>
      <c r="AH76" s="605"/>
      <c r="AI76" s="569"/>
      <c r="AJ76" s="605"/>
      <c r="AK76" s="605"/>
      <c r="AL76" s="605"/>
      <c r="AM76" s="605"/>
      <c r="AN76" s="605"/>
      <c r="AO76" s="605"/>
      <c r="AP76" s="605"/>
      <c r="AQ76" s="569"/>
      <c r="AR76" s="605"/>
      <c r="AS76" s="605"/>
      <c r="AT76" s="605"/>
      <c r="AU76" s="569"/>
      <c r="AV76" s="605"/>
      <c r="AW76" s="605"/>
      <c r="AX76" s="605"/>
      <c r="AY76" s="569"/>
      <c r="AZ76" s="605"/>
      <c r="BA76" s="605"/>
      <c r="BB76" s="605"/>
      <c r="BC76" s="569"/>
      <c r="BD76" s="605"/>
      <c r="BE76" s="605"/>
      <c r="BF76" s="605"/>
      <c r="BG76" s="569"/>
      <c r="BH76" s="605"/>
      <c r="BI76" s="605"/>
      <c r="BJ76" s="605"/>
      <c r="BK76" s="569"/>
      <c r="BL76" s="605"/>
      <c r="BM76" s="605"/>
      <c r="BN76" s="605"/>
      <c r="BO76" s="569"/>
      <c r="BP76" s="605"/>
      <c r="BQ76" s="605"/>
      <c r="BR76" s="605"/>
      <c r="BS76" s="569"/>
      <c r="BT76" s="605"/>
      <c r="BU76" s="605"/>
      <c r="BV76" s="605"/>
      <c r="BW76" s="569"/>
      <c r="BX76" s="605"/>
      <c r="BY76" s="605"/>
      <c r="BZ76" s="605"/>
      <c r="CA76" s="569"/>
      <c r="CB76" s="605"/>
      <c r="CC76" s="605"/>
      <c r="CD76" s="605"/>
      <c r="CE76" s="569"/>
      <c r="CF76" s="605"/>
      <c r="CG76" s="605"/>
      <c r="CH76" s="605"/>
      <c r="CI76" s="569"/>
      <c r="CJ76" s="605"/>
      <c r="CK76" s="605"/>
      <c r="CL76" s="605"/>
      <c r="CM76" s="569"/>
      <c r="CN76" s="605"/>
      <c r="CO76" s="605"/>
      <c r="CP76" s="605"/>
      <c r="CQ76" s="569"/>
      <c r="CR76" s="605"/>
      <c r="CS76" s="605"/>
      <c r="CT76" s="605"/>
      <c r="CU76" s="569"/>
      <c r="CV76" s="605"/>
      <c r="CW76" s="605"/>
      <c r="CX76" s="605"/>
      <c r="CY76" s="569"/>
      <c r="CZ76" s="605"/>
      <c r="DA76" s="605"/>
      <c r="DB76" s="605"/>
      <c r="DC76" s="569"/>
      <c r="DD76" s="605"/>
      <c r="DE76" s="605"/>
      <c r="DF76" s="605"/>
      <c r="DG76" s="569"/>
      <c r="DH76" s="605"/>
      <c r="DI76" s="607">
        <v>222565.5</v>
      </c>
      <c r="DJ76" s="605"/>
      <c r="DK76" s="569"/>
      <c r="DL76" s="605"/>
      <c r="DM76" s="605"/>
      <c r="DN76" s="605"/>
      <c r="DO76" s="569"/>
      <c r="DP76" s="605"/>
      <c r="DQ76" s="605"/>
      <c r="DR76" s="605"/>
      <c r="DS76" s="605"/>
      <c r="DT76" s="605"/>
      <c r="DU76" s="605"/>
      <c r="DV76" s="605"/>
      <c r="DW76" s="605"/>
      <c r="DX76" s="605"/>
      <c r="DY76" s="605"/>
      <c r="DZ76" s="605"/>
      <c r="EA76" s="605"/>
      <c r="EB76" s="605"/>
      <c r="EC76" s="605"/>
      <c r="ED76" s="605"/>
      <c r="EE76" s="605"/>
      <c r="EF76" s="605"/>
      <c r="EG76" s="605"/>
      <c r="EH76" s="605"/>
      <c r="EI76" s="605"/>
      <c r="EJ76" s="605"/>
      <c r="EK76" s="605"/>
      <c r="EL76" s="605"/>
      <c r="EM76" s="569"/>
      <c r="EN76" s="569"/>
      <c r="EO76" s="569"/>
      <c r="EP76" s="569"/>
      <c r="EQ76" s="569"/>
      <c r="ER76" s="569"/>
      <c r="ES76" s="569"/>
      <c r="ET76" s="569"/>
      <c r="EU76" s="569"/>
      <c r="EV76" s="569"/>
      <c r="EW76" s="569"/>
      <c r="EX76" s="569"/>
      <c r="EY76" s="569"/>
      <c r="EZ76" s="569"/>
      <c r="FA76" s="569"/>
      <c r="FB76" s="569"/>
      <c r="FC76" s="569"/>
      <c r="FD76" s="569"/>
      <c r="FE76" s="569"/>
      <c r="FF76" s="569"/>
      <c r="FG76" s="569"/>
      <c r="FH76" s="569"/>
      <c r="FI76" s="569"/>
      <c r="FJ76" s="569"/>
      <c r="FK76" s="569"/>
      <c r="FL76" s="569"/>
      <c r="FM76" s="569"/>
      <c r="FN76" s="569"/>
      <c r="FO76" s="569"/>
      <c r="FP76" s="569"/>
      <c r="FQ76" s="569"/>
      <c r="FR76" s="569"/>
      <c r="FS76" s="569"/>
      <c r="FT76" s="569"/>
      <c r="FU76" s="569"/>
      <c r="FV76" s="569"/>
      <c r="FW76" s="569"/>
      <c r="FX76" s="569"/>
      <c r="FY76" s="569"/>
      <c r="FZ76" s="569"/>
      <c r="GA76" s="569"/>
      <c r="GB76" s="569"/>
      <c r="GC76" s="569"/>
      <c r="GD76" s="569"/>
      <c r="GE76" s="569"/>
      <c r="GF76" s="569"/>
      <c r="GG76" s="569"/>
      <c r="GH76" s="569"/>
      <c r="GI76" s="569"/>
      <c r="GJ76" s="569"/>
      <c r="GK76" s="569"/>
      <c r="GL76" s="569"/>
      <c r="GM76" s="569"/>
      <c r="GN76" s="569"/>
      <c r="GO76" s="569"/>
      <c r="GP76" s="569"/>
      <c r="GQ76" s="569"/>
      <c r="GR76" s="569"/>
      <c r="GS76" s="569"/>
      <c r="GT76" s="569"/>
      <c r="GU76" s="569"/>
      <c r="GV76" s="605"/>
      <c r="GW76" s="605"/>
      <c r="GX76" s="605"/>
      <c r="GY76" s="569"/>
      <c r="GZ76" s="605"/>
      <c r="HA76" s="605"/>
      <c r="HB76" s="607" t="e">
        <v>#REF!</v>
      </c>
      <c r="HC76" s="605"/>
      <c r="HD76" s="605"/>
      <c r="HE76" s="605"/>
      <c r="HF76" s="605"/>
      <c r="HG76" s="605"/>
      <c r="HH76" s="605"/>
      <c r="HI76" s="605"/>
      <c r="HJ76" s="605"/>
      <c r="HK76" s="605"/>
      <c r="HL76" s="605"/>
      <c r="HM76" s="605"/>
      <c r="HN76" s="605"/>
      <c r="HO76" s="605"/>
      <c r="HP76" s="605"/>
      <c r="HQ76" s="605"/>
      <c r="HR76" s="605"/>
      <c r="HS76" s="605"/>
    </row>
    <row r="77" spans="1:254" s="464" customFormat="1" x14ac:dyDescent="0.25">
      <c r="A77" s="282"/>
      <c r="B77" s="609" t="s">
        <v>585</v>
      </c>
      <c r="C77" s="609"/>
      <c r="D77" s="282" t="s">
        <v>471</v>
      </c>
      <c r="E77" s="282" t="s">
        <v>471</v>
      </c>
      <c r="F77" s="282"/>
      <c r="G77" s="282"/>
      <c r="H77" s="282" t="s">
        <v>471</v>
      </c>
      <c r="I77" s="282" t="s">
        <v>471</v>
      </c>
      <c r="J77" s="282" t="s">
        <v>471</v>
      </c>
      <c r="K77" s="282"/>
      <c r="L77" s="282" t="s">
        <v>471</v>
      </c>
      <c r="M77" s="282" t="s">
        <v>471</v>
      </c>
      <c r="N77" s="282" t="s">
        <v>471</v>
      </c>
      <c r="O77" s="282"/>
      <c r="P77" s="282" t="s">
        <v>471</v>
      </c>
      <c r="Q77" s="282" t="s">
        <v>471</v>
      </c>
      <c r="R77" s="282" t="s">
        <v>471</v>
      </c>
      <c r="S77" s="282"/>
      <c r="T77" s="282" t="s">
        <v>471</v>
      </c>
      <c r="U77" s="282" t="s">
        <v>471</v>
      </c>
      <c r="V77" s="282" t="s">
        <v>471</v>
      </c>
      <c r="X77" s="282" t="s">
        <v>471</v>
      </c>
      <c r="Y77" s="282" t="s">
        <v>471</v>
      </c>
      <c r="Z77" s="454"/>
      <c r="AA77" s="454"/>
      <c r="AB77" s="454"/>
      <c r="AC77" s="454"/>
      <c r="AD77" s="454"/>
      <c r="AE77" s="454"/>
      <c r="AF77" s="454"/>
      <c r="AG77" s="454"/>
      <c r="AH77" s="454"/>
      <c r="AI77" s="454"/>
      <c r="AJ77" s="454"/>
      <c r="AK77" s="454"/>
      <c r="AL77" s="454"/>
      <c r="AM77" s="454"/>
      <c r="AN77" s="454"/>
      <c r="AO77" s="454"/>
      <c r="AP77" s="454"/>
      <c r="AQ77" s="454"/>
      <c r="AR77" s="454"/>
      <c r="AS77" s="454"/>
      <c r="AT77" s="454"/>
      <c r="AU77" s="454"/>
      <c r="AV77" s="454"/>
      <c r="AW77" s="454"/>
      <c r="AX77" s="454"/>
      <c r="AY77" s="454"/>
      <c r="AZ77" s="454"/>
      <c r="BA77" s="454"/>
      <c r="BB77" s="454"/>
      <c r="BC77" s="454"/>
      <c r="BD77" s="454"/>
      <c r="BE77" s="454"/>
      <c r="BF77" s="454"/>
      <c r="BG77" s="454"/>
      <c r="BH77" s="454"/>
      <c r="BI77" s="454"/>
      <c r="BJ77" s="454"/>
      <c r="BK77" s="454"/>
      <c r="BL77" s="454"/>
      <c r="BM77" s="454"/>
      <c r="BN77" s="454"/>
      <c r="BO77" s="454"/>
      <c r="BP77" s="454"/>
      <c r="BQ77" s="454"/>
      <c r="BR77" s="454"/>
      <c r="BS77" s="454"/>
      <c r="BT77" s="454"/>
      <c r="BU77" s="454"/>
      <c r="BV77" s="454"/>
      <c r="BW77" s="454"/>
      <c r="BX77" s="454"/>
      <c r="BY77" s="454"/>
      <c r="BZ77" s="454"/>
      <c r="CA77" s="454"/>
      <c r="CB77" s="454"/>
      <c r="CC77" s="454"/>
      <c r="CD77" s="454"/>
      <c r="CE77" s="454"/>
      <c r="CF77" s="454"/>
      <c r="CG77" s="454"/>
      <c r="CH77" s="454"/>
      <c r="CI77" s="454"/>
      <c r="CJ77" s="454"/>
      <c r="CK77" s="454"/>
      <c r="CL77" s="454"/>
      <c r="CM77" s="454"/>
      <c r="CN77" s="454"/>
      <c r="CO77" s="454"/>
      <c r="CP77" s="454"/>
      <c r="CQ77" s="454"/>
      <c r="CR77" s="454"/>
      <c r="CS77" s="454"/>
      <c r="CT77" s="454"/>
      <c r="CU77" s="454"/>
      <c r="CV77" s="454"/>
      <c r="CW77" s="454"/>
      <c r="CX77" s="454"/>
      <c r="CY77" s="454"/>
      <c r="CZ77" s="454"/>
      <c r="DA77" s="454"/>
      <c r="DB77" s="454"/>
      <c r="DC77" s="454"/>
      <c r="DD77" s="454"/>
      <c r="DE77" s="454"/>
      <c r="DF77" s="454"/>
      <c r="DG77" s="454"/>
      <c r="DH77" s="454"/>
      <c r="DI77" s="454"/>
      <c r="DJ77" s="454"/>
      <c r="DK77" s="454"/>
      <c r="DL77" s="454"/>
      <c r="DM77" s="454"/>
      <c r="DN77" s="454"/>
      <c r="DO77" s="454"/>
      <c r="DP77" s="454"/>
      <c r="DQ77" s="454"/>
      <c r="DR77" s="454"/>
      <c r="DS77" s="454"/>
      <c r="DT77" s="454"/>
      <c r="DU77" s="454"/>
      <c r="DV77" s="454"/>
      <c r="DW77" s="454"/>
      <c r="DX77" s="454"/>
      <c r="DY77" s="454"/>
      <c r="DZ77" s="454"/>
      <c r="EA77" s="454"/>
      <c r="EB77" s="454"/>
      <c r="EC77" s="454"/>
      <c r="ED77" s="454"/>
      <c r="EE77" s="454"/>
      <c r="EF77" s="454"/>
      <c r="EG77" s="454"/>
      <c r="EH77" s="454"/>
      <c r="EI77" s="454"/>
      <c r="EJ77" s="454"/>
      <c r="EK77" s="454"/>
      <c r="EL77" s="454"/>
      <c r="EM77" s="454"/>
      <c r="EN77" s="454"/>
      <c r="EO77" s="454"/>
      <c r="EP77" s="454"/>
      <c r="EQ77" s="454"/>
      <c r="ER77" s="454"/>
      <c r="ES77" s="454"/>
      <c r="ET77" s="454"/>
      <c r="EU77" s="454"/>
      <c r="EV77" s="454"/>
      <c r="EW77" s="454"/>
      <c r="EX77" s="454"/>
      <c r="EY77" s="454"/>
      <c r="EZ77" s="454"/>
      <c r="FA77" s="454"/>
      <c r="FB77" s="454"/>
      <c r="FC77" s="454"/>
      <c r="FD77" s="454"/>
      <c r="FE77" s="454"/>
      <c r="FF77" s="454"/>
      <c r="FG77" s="454"/>
      <c r="FH77" s="454"/>
      <c r="FI77" s="454"/>
      <c r="FJ77" s="454"/>
      <c r="FK77" s="454"/>
      <c r="FL77" s="454"/>
      <c r="FM77" s="454"/>
      <c r="FN77" s="454"/>
      <c r="FO77" s="454"/>
      <c r="FP77" s="454"/>
      <c r="FQ77" s="454"/>
      <c r="FR77" s="454"/>
      <c r="FS77" s="454"/>
      <c r="FT77" s="454"/>
      <c r="FU77" s="454"/>
      <c r="FV77" s="454"/>
      <c r="FW77" s="454"/>
      <c r="FX77" s="454"/>
      <c r="FY77" s="454"/>
      <c r="FZ77" s="454"/>
      <c r="GA77" s="454"/>
      <c r="GB77" s="454"/>
      <c r="GC77" s="454"/>
      <c r="GD77" s="454"/>
      <c r="GE77" s="454"/>
      <c r="GF77" s="454"/>
      <c r="GG77" s="454"/>
      <c r="GH77" s="454"/>
      <c r="GI77" s="454"/>
      <c r="GJ77" s="454"/>
      <c r="GK77" s="454"/>
      <c r="GL77" s="454"/>
      <c r="GM77" s="454"/>
      <c r="GN77" s="454"/>
      <c r="GO77" s="454"/>
      <c r="GP77" s="454"/>
      <c r="GQ77" s="454"/>
      <c r="GR77" s="454"/>
      <c r="GS77" s="454"/>
      <c r="GT77" s="454"/>
      <c r="GU77" s="454"/>
      <c r="GV77" s="454"/>
      <c r="GW77" s="454"/>
      <c r="GX77" s="454"/>
      <c r="GY77" s="454"/>
      <c r="GZ77" s="454"/>
      <c r="HA77" s="454"/>
      <c r="HB77" s="454"/>
      <c r="HC77" s="454"/>
      <c r="HD77" s="454"/>
      <c r="HE77" s="454"/>
      <c r="HF77" s="454"/>
      <c r="HG77" s="454"/>
      <c r="HH77" s="454"/>
      <c r="HI77" s="454"/>
      <c r="HJ77" s="454"/>
      <c r="HK77" s="454"/>
      <c r="HL77" s="454"/>
      <c r="HM77" s="454"/>
      <c r="HN77" s="454"/>
      <c r="HO77" s="454"/>
      <c r="HP77" s="454"/>
      <c r="HQ77" s="454"/>
      <c r="HR77" s="454"/>
      <c r="HS77" s="454"/>
    </row>
    <row r="78" spans="1:254" x14ac:dyDescent="0.25">
      <c r="A78" s="107">
        <v>1</v>
      </c>
      <c r="B78" s="518" t="s">
        <v>586</v>
      </c>
      <c r="C78" s="610"/>
      <c r="D78" s="611">
        <v>0</v>
      </c>
      <c r="E78" s="611">
        <v>0</v>
      </c>
      <c r="F78" s="612">
        <f>D78-E78</f>
        <v>0</v>
      </c>
      <c r="G78" s="612"/>
      <c r="H78" s="613">
        <v>1650000</v>
      </c>
      <c r="I78" s="613">
        <v>1650000</v>
      </c>
      <c r="J78" s="614">
        <f>H78-I78</f>
        <v>0</v>
      </c>
      <c r="K78" s="612"/>
      <c r="L78" s="614">
        <v>1770000</v>
      </c>
      <c r="M78" s="614">
        <v>1770000</v>
      </c>
      <c r="N78" s="614">
        <f>L78-M78</f>
        <v>0</v>
      </c>
      <c r="O78" s="612"/>
      <c r="P78" s="615">
        <v>3000000</v>
      </c>
      <c r="Q78" s="614">
        <v>2380000</v>
      </c>
      <c r="R78" s="614">
        <f>P78-Q78</f>
        <v>620000</v>
      </c>
      <c r="S78" s="612"/>
      <c r="T78" s="611">
        <v>6420000</v>
      </c>
      <c r="U78" s="611">
        <v>5800000</v>
      </c>
      <c r="V78" s="611">
        <f>T78-U78</f>
        <v>620000</v>
      </c>
      <c r="X78" s="465">
        <v>0</v>
      </c>
      <c r="Y78" s="465">
        <v>5800000</v>
      </c>
      <c r="Z78" s="454"/>
      <c r="AA78" s="470"/>
      <c r="AB78" s="523"/>
      <c r="AC78" s="523"/>
      <c r="AD78" s="523"/>
      <c r="AE78" s="470"/>
      <c r="AF78" s="523"/>
      <c r="AG78" s="523"/>
      <c r="AH78" s="523"/>
      <c r="AI78" s="470"/>
      <c r="AJ78" s="523"/>
      <c r="AK78" s="523"/>
      <c r="AL78" s="523"/>
      <c r="AM78" s="523"/>
      <c r="AN78" s="523"/>
      <c r="AO78" s="523"/>
      <c r="AP78" s="523"/>
      <c r="AQ78" s="470"/>
      <c r="AR78" s="523"/>
      <c r="AS78" s="523"/>
      <c r="AT78" s="523"/>
      <c r="AU78" s="470"/>
      <c r="AV78" s="523"/>
      <c r="AW78" s="523"/>
      <c r="AX78" s="523"/>
      <c r="AY78" s="470"/>
      <c r="AZ78" s="523"/>
      <c r="BA78" s="523"/>
      <c r="BB78" s="523"/>
      <c r="BC78" s="470"/>
      <c r="BD78" s="523"/>
      <c r="BE78" s="523"/>
      <c r="BF78" s="523"/>
      <c r="BG78" s="470"/>
      <c r="BH78" s="523"/>
      <c r="BI78" s="523"/>
      <c r="BJ78" s="523"/>
      <c r="BK78" s="470"/>
      <c r="BL78" s="523"/>
      <c r="BM78" s="523"/>
      <c r="BN78" s="523"/>
      <c r="BO78" s="470"/>
      <c r="BP78" s="523"/>
      <c r="BQ78" s="523"/>
      <c r="BR78" s="523"/>
      <c r="BS78" s="470"/>
      <c r="BT78" s="523"/>
      <c r="BU78" s="523"/>
      <c r="BV78" s="523"/>
      <c r="BW78" s="470"/>
      <c r="BX78" s="523"/>
      <c r="BY78" s="523"/>
      <c r="BZ78" s="523"/>
      <c r="CA78" s="470"/>
      <c r="CB78" s="523"/>
      <c r="CC78" s="523"/>
      <c r="CD78" s="523"/>
      <c r="CE78" s="470"/>
      <c r="CF78" s="523"/>
      <c r="CG78" s="523"/>
      <c r="CH78" s="523"/>
      <c r="CI78" s="470"/>
      <c r="CJ78" s="523"/>
      <c r="CK78" s="523"/>
      <c r="CL78" s="523"/>
      <c r="CM78" s="470"/>
      <c r="CN78" s="523"/>
      <c r="CO78" s="523"/>
      <c r="CP78" s="523"/>
      <c r="CQ78" s="470"/>
      <c r="CR78" s="523"/>
      <c r="CS78" s="523"/>
      <c r="CT78" s="523"/>
      <c r="CU78" s="470"/>
      <c r="CV78" s="523"/>
      <c r="CW78" s="523"/>
      <c r="CX78" s="523"/>
      <c r="CY78" s="470"/>
      <c r="CZ78" s="523"/>
      <c r="DA78" s="523"/>
      <c r="DB78" s="523"/>
      <c r="DC78" s="470"/>
      <c r="DD78" s="523"/>
      <c r="DE78" s="523"/>
      <c r="DF78" s="523"/>
      <c r="DG78" s="470"/>
      <c r="DH78" s="523"/>
      <c r="DI78" s="523"/>
      <c r="DJ78" s="523"/>
      <c r="DK78" s="470"/>
      <c r="DL78" s="523"/>
      <c r="DM78" s="523"/>
      <c r="DN78" s="523"/>
      <c r="DO78" s="470"/>
      <c r="DP78" s="523"/>
      <c r="DQ78" s="523"/>
      <c r="DR78" s="523"/>
      <c r="DS78" s="523"/>
      <c r="DT78" s="523"/>
      <c r="DU78" s="523"/>
      <c r="DV78" s="523"/>
      <c r="DW78" s="523"/>
      <c r="DX78" s="523"/>
      <c r="DY78" s="523"/>
      <c r="DZ78" s="523"/>
      <c r="EA78" s="523"/>
      <c r="EB78" s="523"/>
      <c r="EC78" s="523"/>
      <c r="ED78" s="523"/>
      <c r="EE78" s="523"/>
      <c r="EF78" s="523"/>
      <c r="EG78" s="523"/>
      <c r="EH78" s="523"/>
      <c r="EI78" s="523"/>
      <c r="EJ78" s="523"/>
      <c r="EK78" s="523"/>
      <c r="EL78" s="523"/>
      <c r="EM78" s="470"/>
      <c r="EN78" s="470"/>
      <c r="EO78" s="470"/>
      <c r="EP78" s="470"/>
      <c r="EQ78" s="470"/>
      <c r="ER78" s="470"/>
      <c r="ES78" s="470"/>
      <c r="ET78" s="470"/>
      <c r="EU78" s="470"/>
      <c r="EV78" s="470"/>
      <c r="EW78" s="470"/>
      <c r="EX78" s="470"/>
      <c r="EY78" s="470"/>
      <c r="EZ78" s="470"/>
      <c r="FA78" s="470"/>
      <c r="FB78" s="470"/>
      <c r="FC78" s="470"/>
      <c r="FD78" s="470"/>
      <c r="FE78" s="470"/>
      <c r="FF78" s="470"/>
      <c r="FG78" s="470"/>
      <c r="FH78" s="470"/>
      <c r="FI78" s="470"/>
      <c r="FJ78" s="470"/>
      <c r="FK78" s="470"/>
      <c r="FL78" s="470"/>
      <c r="FM78" s="470"/>
      <c r="FN78" s="470"/>
      <c r="FO78" s="470"/>
      <c r="FP78" s="470"/>
      <c r="FQ78" s="470"/>
      <c r="FR78" s="470"/>
      <c r="FS78" s="470"/>
      <c r="FT78" s="470"/>
      <c r="FU78" s="470"/>
      <c r="FV78" s="470"/>
      <c r="FW78" s="470"/>
      <c r="FX78" s="470"/>
      <c r="FY78" s="470"/>
      <c r="FZ78" s="470"/>
      <c r="GA78" s="470"/>
      <c r="GB78" s="470"/>
      <c r="GC78" s="470"/>
      <c r="GD78" s="470"/>
      <c r="GE78" s="470"/>
      <c r="GF78" s="470"/>
      <c r="GG78" s="470"/>
      <c r="GH78" s="470"/>
      <c r="GI78" s="470"/>
      <c r="GJ78" s="470"/>
      <c r="GK78" s="470"/>
      <c r="GL78" s="470"/>
      <c r="GM78" s="470"/>
      <c r="GN78" s="470"/>
      <c r="GO78" s="470"/>
      <c r="GP78" s="470"/>
      <c r="GQ78" s="470"/>
      <c r="GR78" s="470"/>
      <c r="GS78" s="470"/>
      <c r="GT78" s="470"/>
      <c r="GU78" s="470"/>
      <c r="GV78" s="523"/>
      <c r="GW78" s="523"/>
      <c r="GX78" s="523"/>
      <c r="GY78" s="470"/>
      <c r="GZ78" s="523"/>
      <c r="HA78" s="523"/>
      <c r="HB78" s="523"/>
      <c r="HC78" s="523"/>
      <c r="HD78" s="523"/>
      <c r="HE78" s="523"/>
      <c r="HF78" s="523"/>
      <c r="HG78" s="523"/>
      <c r="HH78" s="523"/>
      <c r="HI78" s="523"/>
      <c r="HJ78" s="523"/>
      <c r="HK78" s="523"/>
      <c r="HL78" s="523"/>
      <c r="HM78" s="523"/>
      <c r="HN78" s="523"/>
      <c r="HO78" s="523"/>
      <c r="HP78" s="523"/>
      <c r="HQ78" s="523"/>
      <c r="HR78" s="523"/>
      <c r="HS78" s="523"/>
    </row>
    <row r="79" spans="1:254" x14ac:dyDescent="0.25">
      <c r="A79" s="107">
        <v>2</v>
      </c>
      <c r="B79" s="518" t="s">
        <v>587</v>
      </c>
      <c r="C79" s="518"/>
      <c r="D79" s="465">
        <v>0</v>
      </c>
      <c r="E79" s="465">
        <v>0</v>
      </c>
      <c r="F79" s="612">
        <f t="shared" ref="F79:F138" si="146">D79-E79</f>
        <v>0</v>
      </c>
      <c r="G79" s="616"/>
      <c r="H79" s="583">
        <v>1650000</v>
      </c>
      <c r="I79" s="498">
        <v>0</v>
      </c>
      <c r="J79" s="614">
        <f t="shared" ref="J79:J138" si="147">H79-I79</f>
        <v>1650000</v>
      </c>
      <c r="K79" s="616"/>
      <c r="L79" s="498">
        <v>1770000</v>
      </c>
      <c r="M79" s="498">
        <v>0</v>
      </c>
      <c r="N79" s="614">
        <f t="shared" ref="N79:N138" si="148">L79-M79</f>
        <v>1770000</v>
      </c>
      <c r="O79" s="616"/>
      <c r="P79" s="461">
        <v>3000000</v>
      </c>
      <c r="Q79" s="498">
        <v>0</v>
      </c>
      <c r="R79" s="614">
        <f t="shared" ref="R79:R137" si="149">P79-Q79</f>
        <v>3000000</v>
      </c>
      <c r="S79" s="616"/>
      <c r="T79" s="465">
        <v>6420000</v>
      </c>
      <c r="U79" s="465">
        <v>0</v>
      </c>
      <c r="V79" s="611">
        <f t="shared" ref="V79:V137" si="150">T79-U79</f>
        <v>6420000</v>
      </c>
      <c r="X79" s="465">
        <v>0</v>
      </c>
      <c r="Y79" s="465">
        <v>0</v>
      </c>
      <c r="Z79" s="454"/>
      <c r="AA79" s="470"/>
      <c r="AB79" s="523"/>
      <c r="AC79" s="523"/>
      <c r="AD79" s="523"/>
      <c r="AE79" s="470"/>
      <c r="AF79" s="523"/>
      <c r="AG79" s="523"/>
      <c r="AH79" s="523"/>
      <c r="AI79" s="470"/>
      <c r="AJ79" s="523"/>
      <c r="AK79" s="523"/>
      <c r="AL79" s="523"/>
      <c r="AM79" s="523"/>
      <c r="AN79" s="523"/>
      <c r="AO79" s="523"/>
      <c r="AP79" s="523"/>
      <c r="AQ79" s="470"/>
      <c r="AR79" s="523"/>
      <c r="AS79" s="523"/>
      <c r="AT79" s="523"/>
      <c r="AU79" s="470"/>
      <c r="AV79" s="523"/>
      <c r="AW79" s="523"/>
      <c r="AX79" s="523"/>
      <c r="AY79" s="470"/>
      <c r="AZ79" s="523"/>
      <c r="BA79" s="523"/>
      <c r="BB79" s="523"/>
      <c r="BC79" s="470"/>
      <c r="BD79" s="523"/>
      <c r="BE79" s="523"/>
      <c r="BF79" s="523"/>
      <c r="BG79" s="470"/>
      <c r="BH79" s="523"/>
      <c r="BI79" s="523"/>
      <c r="BJ79" s="523"/>
      <c r="BK79" s="470"/>
      <c r="BL79" s="523"/>
      <c r="BM79" s="523"/>
      <c r="BN79" s="523"/>
      <c r="BO79" s="470"/>
      <c r="BP79" s="523"/>
      <c r="BQ79" s="523"/>
      <c r="BR79" s="523"/>
      <c r="BS79" s="470"/>
      <c r="BT79" s="523"/>
      <c r="BU79" s="523"/>
      <c r="BV79" s="523"/>
      <c r="BW79" s="470"/>
      <c r="BX79" s="523"/>
      <c r="BY79" s="523"/>
      <c r="BZ79" s="523"/>
      <c r="CA79" s="470"/>
      <c r="CB79" s="523"/>
      <c r="CC79" s="523"/>
      <c r="CD79" s="523"/>
      <c r="CE79" s="470"/>
      <c r="CF79" s="523"/>
      <c r="CG79" s="523"/>
      <c r="CH79" s="523"/>
      <c r="CI79" s="470"/>
      <c r="CJ79" s="523"/>
      <c r="CK79" s="523"/>
      <c r="CL79" s="523"/>
      <c r="CM79" s="470"/>
      <c r="CN79" s="523"/>
      <c r="CO79" s="523"/>
      <c r="CP79" s="523"/>
      <c r="CQ79" s="470"/>
      <c r="CR79" s="523"/>
      <c r="CS79" s="523"/>
      <c r="CT79" s="523"/>
      <c r="CU79" s="470"/>
      <c r="CV79" s="523"/>
      <c r="CW79" s="523"/>
      <c r="CX79" s="523"/>
      <c r="CY79" s="470"/>
      <c r="CZ79" s="523"/>
      <c r="DA79" s="523"/>
      <c r="DB79" s="523"/>
      <c r="DC79" s="470"/>
      <c r="DD79" s="523"/>
      <c r="DE79" s="523"/>
      <c r="DF79" s="523"/>
      <c r="DG79" s="470"/>
      <c r="DH79" s="523"/>
      <c r="DI79" s="523"/>
      <c r="DJ79" s="523"/>
      <c r="DK79" s="470"/>
      <c r="DL79" s="523"/>
      <c r="DM79" s="523"/>
      <c r="DN79" s="523"/>
      <c r="DO79" s="470"/>
      <c r="DP79" s="523"/>
      <c r="DQ79" s="523"/>
      <c r="DR79" s="523"/>
      <c r="DS79" s="523"/>
      <c r="DT79" s="523"/>
      <c r="DU79" s="523"/>
      <c r="DV79" s="523"/>
      <c r="DW79" s="523"/>
      <c r="DX79" s="523"/>
      <c r="DY79" s="523"/>
      <c r="DZ79" s="523"/>
      <c r="EA79" s="523"/>
      <c r="EB79" s="523"/>
      <c r="EC79" s="523"/>
      <c r="ED79" s="523"/>
      <c r="EE79" s="523"/>
      <c r="EF79" s="523"/>
      <c r="EG79" s="523"/>
      <c r="EH79" s="523"/>
      <c r="EI79" s="523"/>
      <c r="EJ79" s="523"/>
      <c r="EK79" s="523"/>
      <c r="EL79" s="523"/>
      <c r="EM79" s="470"/>
      <c r="EN79" s="470"/>
      <c r="EO79" s="470"/>
      <c r="EP79" s="470"/>
      <c r="EQ79" s="470"/>
      <c r="ER79" s="470"/>
      <c r="ES79" s="470"/>
      <c r="ET79" s="470"/>
      <c r="EU79" s="470"/>
      <c r="EV79" s="470"/>
      <c r="EW79" s="470"/>
      <c r="EX79" s="470"/>
      <c r="EY79" s="470"/>
      <c r="EZ79" s="470"/>
      <c r="FA79" s="470"/>
      <c r="FB79" s="470"/>
      <c r="FC79" s="470"/>
      <c r="FD79" s="470"/>
      <c r="FE79" s="470"/>
      <c r="FF79" s="470"/>
      <c r="FG79" s="470"/>
      <c r="FH79" s="470"/>
      <c r="FI79" s="470"/>
      <c r="FJ79" s="470"/>
      <c r="FK79" s="470"/>
      <c r="FL79" s="470"/>
      <c r="FM79" s="470"/>
      <c r="FN79" s="470"/>
      <c r="FO79" s="470"/>
      <c r="FP79" s="470"/>
      <c r="FQ79" s="470"/>
      <c r="FR79" s="470"/>
      <c r="FS79" s="470"/>
      <c r="FT79" s="470"/>
      <c r="FU79" s="470"/>
      <c r="FV79" s="470"/>
      <c r="FW79" s="470"/>
      <c r="FX79" s="470"/>
      <c r="FY79" s="470"/>
      <c r="FZ79" s="470"/>
      <c r="GA79" s="470"/>
      <c r="GB79" s="470"/>
      <c r="GC79" s="470"/>
      <c r="GD79" s="470"/>
      <c r="GE79" s="470"/>
      <c r="GF79" s="470"/>
      <c r="GG79" s="470"/>
      <c r="GH79" s="470"/>
      <c r="GI79" s="470"/>
      <c r="GJ79" s="470"/>
      <c r="GK79" s="470"/>
      <c r="GL79" s="470"/>
      <c r="GM79" s="470"/>
      <c r="GN79" s="470"/>
      <c r="GO79" s="470"/>
      <c r="GP79" s="470"/>
      <c r="GQ79" s="470"/>
      <c r="GR79" s="470"/>
      <c r="GS79" s="470"/>
      <c r="GT79" s="470"/>
      <c r="GU79" s="470"/>
      <c r="GV79" s="523"/>
      <c r="GW79" s="523"/>
      <c r="GX79" s="523"/>
      <c r="GY79" s="470"/>
      <c r="GZ79" s="523"/>
      <c r="HA79" s="523"/>
      <c r="HB79" s="523"/>
      <c r="HC79" s="523"/>
      <c r="HD79" s="523"/>
      <c r="HE79" s="523"/>
      <c r="HF79" s="523"/>
      <c r="HG79" s="523"/>
      <c r="HH79" s="523"/>
      <c r="HI79" s="523"/>
      <c r="HJ79" s="523"/>
      <c r="HK79" s="523"/>
      <c r="HL79" s="523"/>
      <c r="HM79" s="523"/>
      <c r="HN79" s="523"/>
      <c r="HO79" s="523"/>
      <c r="HP79" s="523"/>
      <c r="HQ79" s="523"/>
      <c r="HR79" s="523"/>
      <c r="HS79" s="523"/>
    </row>
    <row r="80" spans="1:254" x14ac:dyDescent="0.25">
      <c r="A80" s="107">
        <v>3</v>
      </c>
      <c r="B80" s="518" t="s">
        <v>588</v>
      </c>
      <c r="C80" s="518"/>
      <c r="D80" s="465">
        <v>0</v>
      </c>
      <c r="E80" s="465">
        <v>0</v>
      </c>
      <c r="F80" s="612">
        <f t="shared" si="146"/>
        <v>0</v>
      </c>
      <c r="G80" s="616"/>
      <c r="H80" s="583">
        <v>1650000</v>
      </c>
      <c r="I80" s="461">
        <v>1130000</v>
      </c>
      <c r="J80" s="614">
        <f t="shared" si="147"/>
        <v>520000</v>
      </c>
      <c r="K80" s="616"/>
      <c r="L80" s="498">
        <v>1770000</v>
      </c>
      <c r="M80" s="498">
        <v>1770000</v>
      </c>
      <c r="N80" s="614">
        <f t="shared" si="148"/>
        <v>0</v>
      </c>
      <c r="O80" s="616"/>
      <c r="P80" s="461">
        <v>3000000</v>
      </c>
      <c r="Q80" s="461">
        <v>3000000</v>
      </c>
      <c r="R80" s="614">
        <f t="shared" si="149"/>
        <v>0</v>
      </c>
      <c r="S80" s="616"/>
      <c r="T80" s="465">
        <v>6420000</v>
      </c>
      <c r="U80" s="465">
        <v>5900000</v>
      </c>
      <c r="V80" s="611">
        <f t="shared" si="150"/>
        <v>520000</v>
      </c>
      <c r="X80" s="465">
        <v>0</v>
      </c>
      <c r="Y80" s="465">
        <v>5900000</v>
      </c>
      <c r="Z80" s="454"/>
      <c r="AA80" s="470"/>
      <c r="AB80" s="523"/>
      <c r="AC80" s="523"/>
      <c r="AD80" s="523"/>
      <c r="AE80" s="470"/>
      <c r="AF80" s="523"/>
      <c r="AG80" s="523"/>
      <c r="AH80" s="523"/>
      <c r="AI80" s="470"/>
      <c r="AJ80" s="523"/>
      <c r="AK80" s="523"/>
      <c r="AL80" s="523"/>
      <c r="AM80" s="523"/>
      <c r="AN80" s="523"/>
      <c r="AO80" s="523"/>
      <c r="AP80" s="523"/>
      <c r="AQ80" s="470"/>
      <c r="AR80" s="523"/>
      <c r="AS80" s="523"/>
      <c r="AT80" s="523"/>
      <c r="AU80" s="470"/>
      <c r="AV80" s="523"/>
      <c r="AW80" s="523"/>
      <c r="AX80" s="523"/>
      <c r="AY80" s="470"/>
      <c r="AZ80" s="523"/>
      <c r="BA80" s="523"/>
      <c r="BB80" s="523"/>
      <c r="BC80" s="470"/>
      <c r="BD80" s="523"/>
      <c r="BE80" s="523"/>
      <c r="BF80" s="523"/>
      <c r="BG80" s="470"/>
      <c r="BH80" s="523"/>
      <c r="BI80" s="523"/>
      <c r="BJ80" s="523"/>
      <c r="BK80" s="470"/>
      <c r="BL80" s="523"/>
      <c r="BM80" s="523"/>
      <c r="BN80" s="523"/>
      <c r="BO80" s="470"/>
      <c r="BP80" s="523"/>
      <c r="BQ80" s="523"/>
      <c r="BR80" s="523"/>
      <c r="BS80" s="470"/>
      <c r="BT80" s="523"/>
      <c r="BU80" s="523"/>
      <c r="BV80" s="523"/>
      <c r="BW80" s="470"/>
      <c r="BX80" s="523"/>
      <c r="BY80" s="523"/>
      <c r="BZ80" s="523"/>
      <c r="CA80" s="470"/>
      <c r="CB80" s="523"/>
      <c r="CC80" s="523"/>
      <c r="CD80" s="523"/>
      <c r="CE80" s="470"/>
      <c r="CF80" s="523"/>
      <c r="CG80" s="523"/>
      <c r="CH80" s="523"/>
      <c r="CI80" s="470"/>
      <c r="CJ80" s="523"/>
      <c r="CK80" s="523"/>
      <c r="CL80" s="523"/>
      <c r="CM80" s="470"/>
      <c r="CN80" s="523"/>
      <c r="CO80" s="523"/>
      <c r="CP80" s="523"/>
      <c r="CQ80" s="470"/>
      <c r="CR80" s="523"/>
      <c r="CS80" s="523"/>
      <c r="CT80" s="523"/>
      <c r="CU80" s="470"/>
      <c r="CV80" s="523"/>
      <c r="CW80" s="523"/>
      <c r="CX80" s="523"/>
      <c r="CY80" s="470"/>
      <c r="CZ80" s="523"/>
      <c r="DA80" s="523"/>
      <c r="DB80" s="523"/>
      <c r="DC80" s="470"/>
      <c r="DD80" s="523"/>
      <c r="DE80" s="523"/>
      <c r="DF80" s="523"/>
      <c r="DG80" s="470"/>
      <c r="DH80" s="523"/>
      <c r="DI80" s="523"/>
      <c r="DJ80" s="523"/>
      <c r="DK80" s="470"/>
      <c r="DL80" s="523"/>
      <c r="DM80" s="523"/>
      <c r="DN80" s="523"/>
      <c r="DO80" s="470"/>
      <c r="DP80" s="523"/>
      <c r="DQ80" s="523"/>
      <c r="DR80" s="523"/>
      <c r="DS80" s="523"/>
      <c r="DT80" s="523"/>
      <c r="DU80" s="523"/>
      <c r="DV80" s="523"/>
      <c r="DW80" s="523"/>
      <c r="DX80" s="523"/>
      <c r="DY80" s="523"/>
      <c r="DZ80" s="523"/>
      <c r="EA80" s="523"/>
      <c r="EB80" s="523"/>
      <c r="EC80" s="523"/>
      <c r="ED80" s="523"/>
      <c r="EE80" s="523"/>
      <c r="EF80" s="523"/>
      <c r="EG80" s="523"/>
      <c r="EH80" s="523"/>
      <c r="EI80" s="523"/>
      <c r="EJ80" s="523"/>
      <c r="EK80" s="523"/>
      <c r="EL80" s="523"/>
      <c r="EM80" s="470"/>
      <c r="EN80" s="470"/>
      <c r="EO80" s="470"/>
      <c r="EP80" s="470"/>
      <c r="EQ80" s="470"/>
      <c r="ER80" s="470"/>
      <c r="ES80" s="470"/>
      <c r="ET80" s="470"/>
      <c r="EU80" s="470"/>
      <c r="EV80" s="470"/>
      <c r="EW80" s="470"/>
      <c r="EX80" s="470"/>
      <c r="EY80" s="470"/>
      <c r="EZ80" s="470"/>
      <c r="FA80" s="470"/>
      <c r="FB80" s="470"/>
      <c r="FC80" s="470"/>
      <c r="FD80" s="470"/>
      <c r="FE80" s="470"/>
      <c r="FF80" s="470"/>
      <c r="FG80" s="470"/>
      <c r="FH80" s="470"/>
      <c r="FI80" s="470"/>
      <c r="FJ80" s="470"/>
      <c r="FK80" s="470"/>
      <c r="FL80" s="470"/>
      <c r="FM80" s="470"/>
      <c r="FN80" s="470"/>
      <c r="FO80" s="470"/>
      <c r="FP80" s="470"/>
      <c r="FQ80" s="470"/>
      <c r="FR80" s="470"/>
      <c r="FS80" s="470"/>
      <c r="FT80" s="470"/>
      <c r="FU80" s="470"/>
      <c r="FV80" s="470"/>
      <c r="FW80" s="470"/>
      <c r="FX80" s="470"/>
      <c r="FY80" s="470"/>
      <c r="FZ80" s="470"/>
      <c r="GA80" s="470"/>
      <c r="GB80" s="470"/>
      <c r="GC80" s="470"/>
      <c r="GD80" s="470"/>
      <c r="GE80" s="470"/>
      <c r="GF80" s="470"/>
      <c r="GG80" s="470"/>
      <c r="GH80" s="470"/>
      <c r="GI80" s="470"/>
      <c r="GJ80" s="470"/>
      <c r="GK80" s="470"/>
      <c r="GL80" s="470"/>
      <c r="GM80" s="470"/>
      <c r="GN80" s="470"/>
      <c r="GO80" s="470"/>
      <c r="GP80" s="470"/>
      <c r="GQ80" s="470"/>
      <c r="GR80" s="470"/>
      <c r="GS80" s="470"/>
      <c r="GT80" s="470"/>
      <c r="GU80" s="470"/>
      <c r="GV80" s="523"/>
      <c r="GW80" s="523"/>
      <c r="GX80" s="523"/>
      <c r="GY80" s="470"/>
      <c r="GZ80" s="523"/>
      <c r="HA80" s="523"/>
      <c r="HB80" s="523"/>
      <c r="HC80" s="523"/>
      <c r="HD80" s="523"/>
      <c r="HE80" s="523"/>
      <c r="HF80" s="523"/>
      <c r="HG80" s="523"/>
      <c r="HH80" s="523"/>
      <c r="HI80" s="523"/>
      <c r="HJ80" s="523"/>
      <c r="HK80" s="523"/>
      <c r="HL80" s="523"/>
      <c r="HM80" s="523"/>
      <c r="HN80" s="523"/>
      <c r="HO80" s="523"/>
      <c r="HP80" s="523"/>
      <c r="HQ80" s="523"/>
      <c r="HR80" s="523"/>
      <c r="HS80" s="523"/>
    </row>
    <row r="81" spans="1:227" x14ac:dyDescent="0.25">
      <c r="A81" s="107">
        <v>4</v>
      </c>
      <c r="B81" s="518" t="s">
        <v>589</v>
      </c>
      <c r="C81" s="518"/>
      <c r="D81" s="465">
        <v>0</v>
      </c>
      <c r="E81" s="465">
        <v>0</v>
      </c>
      <c r="F81" s="612">
        <f t="shared" si="146"/>
        <v>0</v>
      </c>
      <c r="G81" s="616"/>
      <c r="H81" s="583">
        <v>1650000</v>
      </c>
      <c r="I81" s="461">
        <v>1650000</v>
      </c>
      <c r="J81" s="614">
        <f t="shared" si="147"/>
        <v>0</v>
      </c>
      <c r="K81" s="616"/>
      <c r="L81" s="498">
        <v>1770000</v>
      </c>
      <c r="M81" s="498">
        <v>1770000</v>
      </c>
      <c r="N81" s="614">
        <f t="shared" si="148"/>
        <v>0</v>
      </c>
      <c r="O81" s="616"/>
      <c r="P81" s="461">
        <v>3000000</v>
      </c>
      <c r="Q81" s="498">
        <v>2380000</v>
      </c>
      <c r="R81" s="614">
        <f t="shared" si="149"/>
        <v>620000</v>
      </c>
      <c r="S81" s="616"/>
      <c r="T81" s="465">
        <v>6420000</v>
      </c>
      <c r="U81" s="465">
        <v>5800000</v>
      </c>
      <c r="V81" s="611">
        <f t="shared" si="150"/>
        <v>620000</v>
      </c>
      <c r="X81" s="465">
        <v>0</v>
      </c>
      <c r="Y81" s="465">
        <v>5800000</v>
      </c>
      <c r="Z81" s="454"/>
      <c r="AA81" s="470"/>
      <c r="AB81" s="523"/>
      <c r="AC81" s="523"/>
      <c r="AD81" s="523"/>
      <c r="AE81" s="470"/>
      <c r="AF81" s="523"/>
      <c r="AG81" s="523"/>
      <c r="AH81" s="523"/>
      <c r="AI81" s="470"/>
      <c r="AJ81" s="523"/>
      <c r="AK81" s="523"/>
      <c r="AL81" s="523"/>
      <c r="AM81" s="523"/>
      <c r="AN81" s="523"/>
      <c r="AO81" s="523"/>
      <c r="AP81" s="523"/>
      <c r="AQ81" s="470"/>
      <c r="AR81" s="523"/>
      <c r="AS81" s="523"/>
      <c r="AT81" s="523"/>
      <c r="AU81" s="470"/>
      <c r="AV81" s="523"/>
      <c r="AW81" s="523"/>
      <c r="AX81" s="523"/>
      <c r="AY81" s="470"/>
      <c r="AZ81" s="523"/>
      <c r="BA81" s="523"/>
      <c r="BB81" s="523"/>
      <c r="BC81" s="470"/>
      <c r="BD81" s="523"/>
      <c r="BE81" s="523"/>
      <c r="BF81" s="523"/>
      <c r="BG81" s="470"/>
      <c r="BH81" s="523"/>
      <c r="BI81" s="523"/>
      <c r="BJ81" s="523"/>
      <c r="BK81" s="470"/>
      <c r="BL81" s="523"/>
      <c r="BM81" s="523"/>
      <c r="BN81" s="523"/>
      <c r="BO81" s="470"/>
      <c r="BP81" s="523"/>
      <c r="BQ81" s="523"/>
      <c r="BR81" s="523"/>
      <c r="BS81" s="470"/>
      <c r="BT81" s="523"/>
      <c r="BU81" s="523"/>
      <c r="BV81" s="523"/>
      <c r="BW81" s="470"/>
      <c r="BX81" s="523"/>
      <c r="BY81" s="523"/>
      <c r="BZ81" s="523"/>
      <c r="CA81" s="470"/>
      <c r="CB81" s="523"/>
      <c r="CC81" s="523"/>
      <c r="CD81" s="523"/>
      <c r="CE81" s="470"/>
      <c r="CF81" s="523"/>
      <c r="CG81" s="523"/>
      <c r="CH81" s="523"/>
      <c r="CI81" s="470"/>
      <c r="CJ81" s="523"/>
      <c r="CK81" s="523"/>
      <c r="CL81" s="523"/>
      <c r="CM81" s="470"/>
      <c r="CN81" s="523"/>
      <c r="CO81" s="523"/>
      <c r="CP81" s="523"/>
      <c r="CQ81" s="470"/>
      <c r="CR81" s="523"/>
      <c r="CS81" s="523"/>
      <c r="CT81" s="523"/>
      <c r="CU81" s="470"/>
      <c r="CV81" s="523"/>
      <c r="CW81" s="523"/>
      <c r="CX81" s="523"/>
      <c r="CY81" s="470"/>
      <c r="CZ81" s="523"/>
      <c r="DA81" s="523"/>
      <c r="DB81" s="523"/>
      <c r="DC81" s="470"/>
      <c r="DD81" s="523"/>
      <c r="DE81" s="523"/>
      <c r="DF81" s="523"/>
      <c r="DG81" s="470"/>
      <c r="DH81" s="523"/>
      <c r="DI81" s="523"/>
      <c r="DJ81" s="523"/>
      <c r="DK81" s="470"/>
      <c r="DL81" s="523"/>
      <c r="DM81" s="523"/>
      <c r="DN81" s="523"/>
      <c r="DO81" s="470"/>
      <c r="DP81" s="523"/>
      <c r="DQ81" s="523"/>
      <c r="DR81" s="523"/>
      <c r="DS81" s="523"/>
      <c r="DT81" s="523"/>
      <c r="DU81" s="523"/>
      <c r="DV81" s="523"/>
      <c r="DW81" s="523"/>
      <c r="DX81" s="523"/>
      <c r="DY81" s="523"/>
      <c r="DZ81" s="523"/>
      <c r="EA81" s="523"/>
      <c r="EB81" s="523"/>
      <c r="EC81" s="523"/>
      <c r="ED81" s="523"/>
      <c r="EE81" s="523"/>
      <c r="EF81" s="523"/>
      <c r="EG81" s="523"/>
      <c r="EH81" s="523"/>
      <c r="EI81" s="523"/>
      <c r="EJ81" s="523"/>
      <c r="EK81" s="523"/>
      <c r="EL81" s="523"/>
      <c r="EM81" s="470"/>
      <c r="EN81" s="470"/>
      <c r="EO81" s="470"/>
      <c r="EP81" s="470"/>
      <c r="EQ81" s="470"/>
      <c r="ER81" s="470"/>
      <c r="ES81" s="470"/>
      <c r="ET81" s="470"/>
      <c r="EU81" s="470"/>
      <c r="EV81" s="470"/>
      <c r="EW81" s="470"/>
      <c r="EX81" s="470"/>
      <c r="EY81" s="470"/>
      <c r="EZ81" s="470"/>
      <c r="FA81" s="470"/>
      <c r="FB81" s="470"/>
      <c r="FC81" s="470"/>
      <c r="FD81" s="470"/>
      <c r="FE81" s="470"/>
      <c r="FF81" s="470"/>
      <c r="FG81" s="470"/>
      <c r="FH81" s="470"/>
      <c r="FI81" s="470"/>
      <c r="FJ81" s="470"/>
      <c r="FK81" s="470"/>
      <c r="FL81" s="470"/>
      <c r="FM81" s="470"/>
      <c r="FN81" s="470"/>
      <c r="FO81" s="470"/>
      <c r="FP81" s="470"/>
      <c r="FQ81" s="470"/>
      <c r="FR81" s="470"/>
      <c r="FS81" s="470"/>
      <c r="FT81" s="470"/>
      <c r="FU81" s="470"/>
      <c r="FV81" s="470"/>
      <c r="FW81" s="470"/>
      <c r="FX81" s="470"/>
      <c r="FY81" s="470"/>
      <c r="FZ81" s="470"/>
      <c r="GA81" s="470"/>
      <c r="GB81" s="470"/>
      <c r="GC81" s="470"/>
      <c r="GD81" s="470"/>
      <c r="GE81" s="470"/>
      <c r="GF81" s="470"/>
      <c r="GG81" s="470"/>
      <c r="GH81" s="470"/>
      <c r="GI81" s="470"/>
      <c r="GJ81" s="470"/>
      <c r="GK81" s="470"/>
      <c r="GL81" s="470"/>
      <c r="GM81" s="470"/>
      <c r="GN81" s="470"/>
      <c r="GO81" s="470"/>
      <c r="GP81" s="470"/>
      <c r="GQ81" s="470"/>
      <c r="GR81" s="470"/>
      <c r="GS81" s="470"/>
      <c r="GT81" s="470"/>
      <c r="GU81" s="470"/>
      <c r="GV81" s="523"/>
      <c r="GW81" s="523"/>
      <c r="GX81" s="523"/>
      <c r="GY81" s="470"/>
      <c r="GZ81" s="523"/>
      <c r="HA81" s="523"/>
      <c r="HB81" s="523"/>
      <c r="HC81" s="523"/>
      <c r="HD81" s="523"/>
      <c r="HE81" s="523"/>
      <c r="HF81" s="523"/>
      <c r="HG81" s="523"/>
      <c r="HH81" s="523"/>
      <c r="HI81" s="523"/>
      <c r="HJ81" s="523"/>
      <c r="HK81" s="523"/>
      <c r="HL81" s="523"/>
      <c r="HM81" s="523"/>
      <c r="HN81" s="523"/>
      <c r="HO81" s="523"/>
      <c r="HP81" s="523"/>
      <c r="HQ81" s="523"/>
      <c r="HR81" s="523"/>
      <c r="HS81" s="523"/>
    </row>
    <row r="82" spans="1:227" x14ac:dyDescent="0.25">
      <c r="A82" s="107">
        <v>5</v>
      </c>
      <c r="B82" s="518" t="s">
        <v>590</v>
      </c>
      <c r="C82" s="518"/>
      <c r="D82" s="465">
        <v>0</v>
      </c>
      <c r="E82" s="465">
        <v>0</v>
      </c>
      <c r="F82" s="612">
        <f t="shared" si="146"/>
        <v>0</v>
      </c>
      <c r="G82" s="616"/>
      <c r="H82" s="583">
        <v>1650000</v>
      </c>
      <c r="I82" s="498">
        <v>1650000</v>
      </c>
      <c r="J82" s="614">
        <f t="shared" si="147"/>
        <v>0</v>
      </c>
      <c r="K82" s="616"/>
      <c r="L82" s="498">
        <v>1770000</v>
      </c>
      <c r="M82" s="498">
        <v>1770000</v>
      </c>
      <c r="N82" s="614">
        <f t="shared" si="148"/>
        <v>0</v>
      </c>
      <c r="O82" s="616"/>
      <c r="P82" s="461">
        <v>3000000</v>
      </c>
      <c r="Q82" s="498">
        <v>80000</v>
      </c>
      <c r="R82" s="614">
        <f t="shared" si="149"/>
        <v>2920000</v>
      </c>
      <c r="S82" s="616"/>
      <c r="T82" s="465">
        <v>6420000</v>
      </c>
      <c r="U82" s="465">
        <v>3500000</v>
      </c>
      <c r="V82" s="611">
        <f t="shared" si="150"/>
        <v>2920000</v>
      </c>
      <c r="X82" s="465">
        <v>0</v>
      </c>
      <c r="Y82" s="465">
        <v>3500000</v>
      </c>
      <c r="Z82" s="454"/>
      <c r="AA82" s="470"/>
      <c r="AB82" s="523"/>
      <c r="AC82" s="523"/>
      <c r="AD82" s="523"/>
      <c r="AE82" s="470"/>
      <c r="AF82" s="523"/>
      <c r="AG82" s="523"/>
      <c r="AH82" s="523"/>
      <c r="AI82" s="470"/>
      <c r="AJ82" s="523"/>
      <c r="AK82" s="523"/>
      <c r="AL82" s="523"/>
      <c r="AM82" s="523"/>
      <c r="AN82" s="523"/>
      <c r="AO82" s="523"/>
      <c r="AP82" s="523"/>
      <c r="AQ82" s="470"/>
      <c r="AR82" s="523"/>
      <c r="AS82" s="523"/>
      <c r="AT82" s="523"/>
      <c r="AU82" s="470"/>
      <c r="AV82" s="523"/>
      <c r="AW82" s="523"/>
      <c r="AX82" s="523"/>
      <c r="AY82" s="470"/>
      <c r="AZ82" s="523"/>
      <c r="BA82" s="523"/>
      <c r="BB82" s="523"/>
      <c r="BC82" s="470"/>
      <c r="BD82" s="523"/>
      <c r="BE82" s="523"/>
      <c r="BF82" s="523"/>
      <c r="BG82" s="470"/>
      <c r="BH82" s="523"/>
      <c r="BI82" s="523"/>
      <c r="BJ82" s="523"/>
      <c r="BK82" s="470"/>
      <c r="BL82" s="523"/>
      <c r="BM82" s="523"/>
      <c r="BN82" s="523"/>
      <c r="BO82" s="470"/>
      <c r="BP82" s="523"/>
      <c r="BQ82" s="523"/>
      <c r="BR82" s="523"/>
      <c r="BS82" s="470"/>
      <c r="BT82" s="523"/>
      <c r="BU82" s="523"/>
      <c r="BV82" s="523"/>
      <c r="BW82" s="470"/>
      <c r="BX82" s="523"/>
      <c r="BY82" s="523"/>
      <c r="BZ82" s="523"/>
      <c r="CA82" s="470"/>
      <c r="CB82" s="523"/>
      <c r="CC82" s="523"/>
      <c r="CD82" s="523"/>
      <c r="CE82" s="470"/>
      <c r="CF82" s="523"/>
      <c r="CG82" s="523"/>
      <c r="CH82" s="523"/>
      <c r="CI82" s="470"/>
      <c r="CJ82" s="523"/>
      <c r="CK82" s="523"/>
      <c r="CL82" s="523"/>
      <c r="CM82" s="470"/>
      <c r="CN82" s="523"/>
      <c r="CO82" s="523"/>
      <c r="CP82" s="523"/>
      <c r="CQ82" s="470"/>
      <c r="CR82" s="523"/>
      <c r="CS82" s="523"/>
      <c r="CT82" s="523"/>
      <c r="CU82" s="470"/>
      <c r="CV82" s="523"/>
      <c r="CW82" s="523"/>
      <c r="CX82" s="523"/>
      <c r="CY82" s="470"/>
      <c r="CZ82" s="523"/>
      <c r="DA82" s="523"/>
      <c r="DB82" s="523"/>
      <c r="DC82" s="470"/>
      <c r="DD82" s="523"/>
      <c r="DE82" s="523"/>
      <c r="DF82" s="523"/>
      <c r="DG82" s="470"/>
      <c r="DH82" s="523"/>
      <c r="DI82" s="523"/>
      <c r="DJ82" s="523"/>
      <c r="DK82" s="470"/>
      <c r="DL82" s="523"/>
      <c r="DM82" s="523"/>
      <c r="DN82" s="523"/>
      <c r="DO82" s="470"/>
      <c r="DP82" s="523"/>
      <c r="DQ82" s="523"/>
      <c r="DR82" s="523"/>
      <c r="DS82" s="523"/>
      <c r="DT82" s="523"/>
      <c r="DU82" s="523"/>
      <c r="DV82" s="523"/>
      <c r="DW82" s="523"/>
      <c r="DX82" s="523"/>
      <c r="DY82" s="523"/>
      <c r="DZ82" s="523"/>
      <c r="EA82" s="523"/>
      <c r="EB82" s="523"/>
      <c r="EC82" s="523"/>
      <c r="ED82" s="523"/>
      <c r="EE82" s="523"/>
      <c r="EF82" s="523"/>
      <c r="EG82" s="523"/>
      <c r="EH82" s="523"/>
      <c r="EI82" s="523"/>
      <c r="EJ82" s="523"/>
      <c r="EK82" s="523"/>
      <c r="EL82" s="523"/>
      <c r="EM82" s="470"/>
      <c r="EN82" s="470"/>
      <c r="EO82" s="470"/>
      <c r="EP82" s="470"/>
      <c r="EQ82" s="470"/>
      <c r="ER82" s="470"/>
      <c r="ES82" s="470"/>
      <c r="ET82" s="470"/>
      <c r="EU82" s="470"/>
      <c r="EV82" s="470"/>
      <c r="EW82" s="470"/>
      <c r="EX82" s="470"/>
      <c r="EY82" s="470"/>
      <c r="EZ82" s="470"/>
      <c r="FA82" s="470"/>
      <c r="FB82" s="470"/>
      <c r="FC82" s="470"/>
      <c r="FD82" s="470"/>
      <c r="FE82" s="470"/>
      <c r="FF82" s="470"/>
      <c r="FG82" s="470"/>
      <c r="FH82" s="470"/>
      <c r="FI82" s="470"/>
      <c r="FJ82" s="470"/>
      <c r="FK82" s="470"/>
      <c r="FL82" s="470"/>
      <c r="FM82" s="470"/>
      <c r="FN82" s="470"/>
      <c r="FO82" s="470"/>
      <c r="FP82" s="470"/>
      <c r="FQ82" s="470"/>
      <c r="FR82" s="470"/>
      <c r="FS82" s="470"/>
      <c r="FT82" s="470"/>
      <c r="FU82" s="470"/>
      <c r="FV82" s="470"/>
      <c r="FW82" s="470"/>
      <c r="FX82" s="470"/>
      <c r="FY82" s="470"/>
      <c r="FZ82" s="470"/>
      <c r="GA82" s="470"/>
      <c r="GB82" s="470"/>
      <c r="GC82" s="470"/>
      <c r="GD82" s="470"/>
      <c r="GE82" s="470"/>
      <c r="GF82" s="470"/>
      <c r="GG82" s="470"/>
      <c r="GH82" s="470"/>
      <c r="GI82" s="470"/>
      <c r="GJ82" s="470"/>
      <c r="GK82" s="470"/>
      <c r="GL82" s="470"/>
      <c r="GM82" s="470"/>
      <c r="GN82" s="470"/>
      <c r="GO82" s="470"/>
      <c r="GP82" s="470"/>
      <c r="GQ82" s="470"/>
      <c r="GR82" s="470"/>
      <c r="GS82" s="470"/>
      <c r="GT82" s="470"/>
      <c r="GU82" s="470"/>
      <c r="GV82" s="523"/>
      <c r="GW82" s="523"/>
      <c r="GX82" s="523"/>
      <c r="GY82" s="470"/>
      <c r="GZ82" s="523"/>
      <c r="HA82" s="523"/>
      <c r="HB82" s="523"/>
      <c r="HC82" s="523"/>
      <c r="HD82" s="523"/>
      <c r="HE82" s="523"/>
      <c r="HF82" s="523"/>
      <c r="HG82" s="523"/>
      <c r="HH82" s="523"/>
      <c r="HI82" s="523"/>
      <c r="HJ82" s="523"/>
      <c r="HK82" s="523"/>
      <c r="HL82" s="523"/>
      <c r="HM82" s="523"/>
      <c r="HN82" s="523"/>
      <c r="HO82" s="523"/>
      <c r="HP82" s="523"/>
      <c r="HQ82" s="523"/>
      <c r="HR82" s="523"/>
      <c r="HS82" s="523"/>
    </row>
    <row r="83" spans="1:227" x14ac:dyDescent="0.25">
      <c r="A83" s="107">
        <v>6</v>
      </c>
      <c r="B83" s="518" t="s">
        <v>591</v>
      </c>
      <c r="C83" s="518"/>
      <c r="D83" s="465">
        <v>0</v>
      </c>
      <c r="E83" s="465">
        <v>0</v>
      </c>
      <c r="F83" s="612">
        <f t="shared" si="146"/>
        <v>0</v>
      </c>
      <c r="G83" s="616"/>
      <c r="H83" s="583">
        <v>1650000</v>
      </c>
      <c r="I83" s="498">
        <v>1650000</v>
      </c>
      <c r="J83" s="614">
        <f t="shared" si="147"/>
        <v>0</v>
      </c>
      <c r="K83" s="616"/>
      <c r="L83" s="498">
        <v>1770000</v>
      </c>
      <c r="M83" s="498">
        <v>1350000</v>
      </c>
      <c r="N83" s="614">
        <f t="shared" si="148"/>
        <v>420000</v>
      </c>
      <c r="O83" s="616"/>
      <c r="P83" s="461">
        <v>3000000</v>
      </c>
      <c r="Q83" s="498">
        <v>3000000</v>
      </c>
      <c r="R83" s="614">
        <f t="shared" si="149"/>
        <v>0</v>
      </c>
      <c r="S83" s="616"/>
      <c r="T83" s="465">
        <v>6420000</v>
      </c>
      <c r="U83" s="465">
        <v>6000000</v>
      </c>
      <c r="V83" s="611">
        <f t="shared" si="150"/>
        <v>420000</v>
      </c>
      <c r="X83" s="465">
        <v>0</v>
      </c>
      <c r="Y83" s="465">
        <v>6000000</v>
      </c>
      <c r="Z83" s="454"/>
      <c r="AA83" s="470"/>
      <c r="AB83" s="523"/>
      <c r="AC83" s="523"/>
      <c r="AD83" s="523"/>
      <c r="AE83" s="470"/>
      <c r="AF83" s="523"/>
      <c r="AG83" s="523"/>
      <c r="AH83" s="523"/>
      <c r="AI83" s="470"/>
      <c r="AJ83" s="523"/>
      <c r="AK83" s="523"/>
      <c r="AL83" s="523"/>
      <c r="AM83" s="523"/>
      <c r="AN83" s="523"/>
      <c r="AO83" s="523"/>
      <c r="AP83" s="523"/>
      <c r="AQ83" s="470"/>
      <c r="AR83" s="523"/>
      <c r="AS83" s="523"/>
      <c r="AT83" s="523"/>
      <c r="AU83" s="470"/>
      <c r="AV83" s="523"/>
      <c r="AW83" s="523"/>
      <c r="AX83" s="523"/>
      <c r="AY83" s="470"/>
      <c r="AZ83" s="523"/>
      <c r="BA83" s="523"/>
      <c r="BB83" s="523"/>
      <c r="BC83" s="470"/>
      <c r="BD83" s="523"/>
      <c r="BE83" s="523"/>
      <c r="BF83" s="523"/>
      <c r="BG83" s="470"/>
      <c r="BH83" s="523"/>
      <c r="BI83" s="523"/>
      <c r="BJ83" s="523"/>
      <c r="BK83" s="470"/>
      <c r="BL83" s="523"/>
      <c r="BM83" s="523"/>
      <c r="BN83" s="523"/>
      <c r="BO83" s="470"/>
      <c r="BP83" s="523"/>
      <c r="BQ83" s="523"/>
      <c r="BR83" s="523"/>
      <c r="BS83" s="470"/>
      <c r="BT83" s="523"/>
      <c r="BU83" s="523"/>
      <c r="BV83" s="523"/>
      <c r="BW83" s="470"/>
      <c r="BX83" s="523"/>
      <c r="BY83" s="523"/>
      <c r="BZ83" s="523"/>
      <c r="CA83" s="470"/>
      <c r="CB83" s="523"/>
      <c r="CC83" s="523"/>
      <c r="CD83" s="523"/>
      <c r="CE83" s="470"/>
      <c r="CF83" s="523"/>
      <c r="CG83" s="523"/>
      <c r="CH83" s="523"/>
      <c r="CI83" s="470"/>
      <c r="CJ83" s="523"/>
      <c r="CK83" s="523"/>
      <c r="CL83" s="523"/>
      <c r="CM83" s="470"/>
      <c r="CN83" s="523"/>
      <c r="CO83" s="523"/>
      <c r="CP83" s="523"/>
      <c r="CQ83" s="470"/>
      <c r="CR83" s="523"/>
      <c r="CS83" s="523"/>
      <c r="CT83" s="523"/>
      <c r="CU83" s="470"/>
      <c r="CV83" s="523"/>
      <c r="CW83" s="523"/>
      <c r="CX83" s="523"/>
      <c r="CY83" s="470"/>
      <c r="CZ83" s="523"/>
      <c r="DA83" s="523"/>
      <c r="DB83" s="523"/>
      <c r="DC83" s="470"/>
      <c r="DD83" s="523"/>
      <c r="DE83" s="523"/>
      <c r="DF83" s="523"/>
      <c r="DG83" s="470"/>
      <c r="DH83" s="523"/>
      <c r="DI83" s="523"/>
      <c r="DJ83" s="523"/>
      <c r="DK83" s="470"/>
      <c r="DL83" s="523"/>
      <c r="DM83" s="523"/>
      <c r="DN83" s="523"/>
      <c r="DO83" s="470"/>
      <c r="DP83" s="523"/>
      <c r="DQ83" s="523"/>
      <c r="DR83" s="523"/>
      <c r="DS83" s="523"/>
      <c r="DT83" s="523"/>
      <c r="DU83" s="523"/>
      <c r="DV83" s="523"/>
      <c r="DW83" s="523"/>
      <c r="DX83" s="523"/>
      <c r="DY83" s="523"/>
      <c r="DZ83" s="523"/>
      <c r="EA83" s="523"/>
      <c r="EB83" s="523"/>
      <c r="EC83" s="523"/>
      <c r="ED83" s="523"/>
      <c r="EE83" s="523"/>
      <c r="EF83" s="523"/>
      <c r="EG83" s="523"/>
      <c r="EH83" s="523"/>
      <c r="EI83" s="523"/>
      <c r="EJ83" s="523"/>
      <c r="EK83" s="523"/>
      <c r="EL83" s="523"/>
      <c r="EM83" s="470"/>
      <c r="EN83" s="470"/>
      <c r="EO83" s="470"/>
      <c r="EP83" s="470"/>
      <c r="EQ83" s="470"/>
      <c r="ER83" s="470"/>
      <c r="ES83" s="470"/>
      <c r="ET83" s="470"/>
      <c r="EU83" s="470"/>
      <c r="EV83" s="470"/>
      <c r="EW83" s="470"/>
      <c r="EX83" s="470"/>
      <c r="EY83" s="470"/>
      <c r="EZ83" s="470"/>
      <c r="FA83" s="470"/>
      <c r="FB83" s="470"/>
      <c r="FC83" s="470"/>
      <c r="FD83" s="470"/>
      <c r="FE83" s="470"/>
      <c r="FF83" s="470"/>
      <c r="FG83" s="470"/>
      <c r="FH83" s="470"/>
      <c r="FI83" s="470"/>
      <c r="FJ83" s="470"/>
      <c r="FK83" s="470"/>
      <c r="FL83" s="470"/>
      <c r="FM83" s="470"/>
      <c r="FN83" s="470"/>
      <c r="FO83" s="470"/>
      <c r="FP83" s="470"/>
      <c r="FQ83" s="470"/>
      <c r="FR83" s="470"/>
      <c r="FS83" s="470"/>
      <c r="FT83" s="470"/>
      <c r="FU83" s="470"/>
      <c r="FV83" s="470"/>
      <c r="FW83" s="470"/>
      <c r="FX83" s="470"/>
      <c r="FY83" s="470"/>
      <c r="FZ83" s="470"/>
      <c r="GA83" s="470"/>
      <c r="GB83" s="470"/>
      <c r="GC83" s="470"/>
      <c r="GD83" s="470"/>
      <c r="GE83" s="470"/>
      <c r="GF83" s="470"/>
      <c r="GG83" s="470"/>
      <c r="GH83" s="470"/>
      <c r="GI83" s="470"/>
      <c r="GJ83" s="470"/>
      <c r="GK83" s="470"/>
      <c r="GL83" s="470"/>
      <c r="GM83" s="470"/>
      <c r="GN83" s="470"/>
      <c r="GO83" s="470"/>
      <c r="GP83" s="470"/>
      <c r="GQ83" s="470"/>
      <c r="GR83" s="470"/>
      <c r="GS83" s="470"/>
      <c r="GT83" s="470"/>
      <c r="GU83" s="470"/>
      <c r="GV83" s="523"/>
      <c r="GW83" s="523"/>
      <c r="GX83" s="523"/>
      <c r="GY83" s="470"/>
      <c r="GZ83" s="523"/>
      <c r="HA83" s="523"/>
      <c r="HB83" s="523"/>
      <c r="HC83" s="523"/>
      <c r="HD83" s="523"/>
      <c r="HE83" s="523"/>
      <c r="HF83" s="523"/>
      <c r="HG83" s="523"/>
      <c r="HH83" s="523"/>
      <c r="HI83" s="523"/>
      <c r="HJ83" s="523"/>
      <c r="HK83" s="523"/>
      <c r="HL83" s="523"/>
      <c r="HM83" s="523"/>
      <c r="HN83" s="523"/>
      <c r="HO83" s="523"/>
      <c r="HP83" s="523"/>
      <c r="HQ83" s="523"/>
      <c r="HR83" s="523"/>
      <c r="HS83" s="523"/>
    </row>
    <row r="84" spans="1:227" x14ac:dyDescent="0.25">
      <c r="A84" s="107">
        <v>7</v>
      </c>
      <c r="B84" s="518" t="s">
        <v>592</v>
      </c>
      <c r="C84" s="518"/>
      <c r="D84" s="465">
        <v>0</v>
      </c>
      <c r="E84" s="465">
        <v>0</v>
      </c>
      <c r="F84" s="612">
        <f t="shared" si="146"/>
        <v>0</v>
      </c>
      <c r="G84" s="616"/>
      <c r="H84" s="583">
        <v>1650000</v>
      </c>
      <c r="I84" s="461">
        <v>1650000</v>
      </c>
      <c r="J84" s="614">
        <f t="shared" si="147"/>
        <v>0</v>
      </c>
      <c r="K84" s="616"/>
      <c r="L84" s="498">
        <v>1770000</v>
      </c>
      <c r="M84" s="498">
        <v>1770000</v>
      </c>
      <c r="N84" s="614">
        <f t="shared" si="148"/>
        <v>0</v>
      </c>
      <c r="O84" s="616"/>
      <c r="P84" s="461">
        <v>3000000</v>
      </c>
      <c r="Q84" s="461">
        <v>3000000</v>
      </c>
      <c r="R84" s="614">
        <f t="shared" si="149"/>
        <v>0</v>
      </c>
      <c r="S84" s="616"/>
      <c r="T84" s="465">
        <v>6420000</v>
      </c>
      <c r="U84" s="465">
        <v>6420000</v>
      </c>
      <c r="V84" s="611">
        <f t="shared" si="150"/>
        <v>0</v>
      </c>
      <c r="X84" s="465">
        <v>0</v>
      </c>
      <c r="Y84" s="465">
        <v>6420000</v>
      </c>
      <c r="Z84" s="454"/>
      <c r="AA84" s="470"/>
      <c r="AB84" s="523"/>
      <c r="AC84" s="523"/>
      <c r="AD84" s="523"/>
      <c r="AE84" s="470"/>
      <c r="AF84" s="523"/>
      <c r="AG84" s="523"/>
      <c r="AH84" s="523"/>
      <c r="AI84" s="470"/>
      <c r="AJ84" s="523"/>
      <c r="AK84" s="523"/>
      <c r="AL84" s="523"/>
      <c r="AM84" s="523"/>
      <c r="AN84" s="523"/>
      <c r="AO84" s="523"/>
      <c r="AP84" s="523"/>
      <c r="AQ84" s="470"/>
      <c r="AR84" s="523"/>
      <c r="AS84" s="523"/>
      <c r="AT84" s="523"/>
      <c r="AU84" s="470"/>
      <c r="AV84" s="523"/>
      <c r="AW84" s="523"/>
      <c r="AX84" s="523"/>
      <c r="AY84" s="470"/>
      <c r="AZ84" s="523"/>
      <c r="BA84" s="523"/>
      <c r="BB84" s="523"/>
      <c r="BC84" s="470"/>
      <c r="BD84" s="523"/>
      <c r="BE84" s="523"/>
      <c r="BF84" s="523"/>
      <c r="BG84" s="470"/>
      <c r="BH84" s="523"/>
      <c r="BI84" s="523"/>
      <c r="BJ84" s="523"/>
      <c r="BK84" s="470"/>
      <c r="BL84" s="523"/>
      <c r="BM84" s="523"/>
      <c r="BN84" s="523"/>
      <c r="BO84" s="470"/>
      <c r="BP84" s="523"/>
      <c r="BQ84" s="523"/>
      <c r="BR84" s="523"/>
      <c r="BS84" s="470"/>
      <c r="BT84" s="523"/>
      <c r="BU84" s="523"/>
      <c r="BV84" s="523"/>
      <c r="BW84" s="470"/>
      <c r="BX84" s="523"/>
      <c r="BY84" s="523"/>
      <c r="BZ84" s="523"/>
      <c r="CA84" s="470"/>
      <c r="CB84" s="523"/>
      <c r="CC84" s="523"/>
      <c r="CD84" s="523"/>
      <c r="CE84" s="470"/>
      <c r="CF84" s="523"/>
      <c r="CG84" s="523"/>
      <c r="CH84" s="523"/>
      <c r="CI84" s="470"/>
      <c r="CJ84" s="523"/>
      <c r="CK84" s="523"/>
      <c r="CL84" s="523"/>
      <c r="CM84" s="470"/>
      <c r="CN84" s="523"/>
      <c r="CO84" s="523"/>
      <c r="CP84" s="523"/>
      <c r="CQ84" s="470"/>
      <c r="CR84" s="523"/>
      <c r="CS84" s="523"/>
      <c r="CT84" s="523"/>
      <c r="CU84" s="470"/>
      <c r="CV84" s="523"/>
      <c r="CW84" s="523"/>
      <c r="CX84" s="523"/>
      <c r="CY84" s="470"/>
      <c r="CZ84" s="523"/>
      <c r="DA84" s="523"/>
      <c r="DB84" s="523"/>
      <c r="DC84" s="470"/>
      <c r="DD84" s="523"/>
      <c r="DE84" s="523"/>
      <c r="DF84" s="523"/>
      <c r="DG84" s="470"/>
      <c r="DH84" s="523"/>
      <c r="DI84" s="523"/>
      <c r="DJ84" s="523"/>
      <c r="DK84" s="470"/>
      <c r="DL84" s="523"/>
      <c r="DM84" s="523"/>
      <c r="DN84" s="523"/>
      <c r="DO84" s="470"/>
      <c r="DP84" s="523"/>
      <c r="DQ84" s="523"/>
      <c r="DR84" s="523"/>
      <c r="DS84" s="523"/>
      <c r="DT84" s="523"/>
      <c r="DU84" s="523"/>
      <c r="DV84" s="523"/>
      <c r="DW84" s="523"/>
      <c r="DX84" s="523"/>
      <c r="DY84" s="523"/>
      <c r="DZ84" s="523"/>
      <c r="EA84" s="523"/>
      <c r="EB84" s="523"/>
      <c r="EC84" s="523"/>
      <c r="ED84" s="523"/>
      <c r="EE84" s="523"/>
      <c r="EF84" s="523"/>
      <c r="EG84" s="523"/>
      <c r="EH84" s="523"/>
      <c r="EI84" s="523"/>
      <c r="EJ84" s="523"/>
      <c r="EK84" s="523"/>
      <c r="EL84" s="523"/>
      <c r="EM84" s="470"/>
      <c r="EN84" s="470"/>
      <c r="EO84" s="470"/>
      <c r="EP84" s="470"/>
      <c r="EQ84" s="470"/>
      <c r="ER84" s="470"/>
      <c r="ES84" s="470"/>
      <c r="ET84" s="470"/>
      <c r="EU84" s="470"/>
      <c r="EV84" s="470"/>
      <c r="EW84" s="470"/>
      <c r="EX84" s="470"/>
      <c r="EY84" s="470"/>
      <c r="EZ84" s="470"/>
      <c r="FA84" s="470"/>
      <c r="FB84" s="470"/>
      <c r="FC84" s="470"/>
      <c r="FD84" s="470"/>
      <c r="FE84" s="470"/>
      <c r="FF84" s="470"/>
      <c r="FG84" s="470"/>
      <c r="FH84" s="470"/>
      <c r="FI84" s="470"/>
      <c r="FJ84" s="470"/>
      <c r="FK84" s="470"/>
      <c r="FL84" s="470"/>
      <c r="FM84" s="470"/>
      <c r="FN84" s="470"/>
      <c r="FO84" s="470"/>
      <c r="FP84" s="470"/>
      <c r="FQ84" s="470"/>
      <c r="FR84" s="470"/>
      <c r="FS84" s="470"/>
      <c r="FT84" s="470"/>
      <c r="FU84" s="470"/>
      <c r="FV84" s="470"/>
      <c r="FW84" s="470"/>
      <c r="FX84" s="470"/>
      <c r="FY84" s="470"/>
      <c r="FZ84" s="470"/>
      <c r="GA84" s="470"/>
      <c r="GB84" s="470"/>
      <c r="GC84" s="470"/>
      <c r="GD84" s="470"/>
      <c r="GE84" s="470"/>
      <c r="GF84" s="470"/>
      <c r="GG84" s="470"/>
      <c r="GH84" s="470"/>
      <c r="GI84" s="470"/>
      <c r="GJ84" s="470"/>
      <c r="GK84" s="470"/>
      <c r="GL84" s="470"/>
      <c r="GM84" s="470"/>
      <c r="GN84" s="470"/>
      <c r="GO84" s="470"/>
      <c r="GP84" s="470"/>
      <c r="GQ84" s="470"/>
      <c r="GR84" s="470"/>
      <c r="GS84" s="470"/>
      <c r="GT84" s="470"/>
      <c r="GU84" s="470"/>
      <c r="GV84" s="523"/>
      <c r="GW84" s="523"/>
      <c r="GX84" s="523"/>
      <c r="GY84" s="470"/>
      <c r="GZ84" s="523"/>
      <c r="HA84" s="523"/>
      <c r="HB84" s="523"/>
      <c r="HC84" s="523"/>
      <c r="HD84" s="523"/>
      <c r="HE84" s="523"/>
      <c r="HF84" s="523"/>
      <c r="HG84" s="523"/>
      <c r="HH84" s="523"/>
      <c r="HI84" s="523"/>
      <c r="HJ84" s="523"/>
      <c r="HK84" s="523"/>
      <c r="HL84" s="523"/>
      <c r="HM84" s="523"/>
      <c r="HN84" s="523"/>
      <c r="HO84" s="523"/>
      <c r="HP84" s="523"/>
      <c r="HQ84" s="523"/>
      <c r="HR84" s="523"/>
      <c r="HS84" s="523"/>
    </row>
    <row r="85" spans="1:227" x14ac:dyDescent="0.25">
      <c r="A85" s="107">
        <v>8</v>
      </c>
      <c r="B85" s="518" t="s">
        <v>593</v>
      </c>
      <c r="C85" s="518"/>
      <c r="D85" s="465">
        <v>0</v>
      </c>
      <c r="E85" s="465">
        <v>0</v>
      </c>
      <c r="F85" s="612">
        <f t="shared" si="146"/>
        <v>0</v>
      </c>
      <c r="G85" s="616"/>
      <c r="H85" s="583">
        <v>1650000</v>
      </c>
      <c r="I85" s="498">
        <v>1650000</v>
      </c>
      <c r="J85" s="614">
        <f t="shared" si="147"/>
        <v>0</v>
      </c>
      <c r="K85" s="616"/>
      <c r="L85" s="498">
        <v>1770000</v>
      </c>
      <c r="M85" s="498">
        <v>1770000</v>
      </c>
      <c r="N85" s="614">
        <f t="shared" si="148"/>
        <v>0</v>
      </c>
      <c r="O85" s="616"/>
      <c r="P85" s="461">
        <v>3000000</v>
      </c>
      <c r="Q85" s="498">
        <v>980000</v>
      </c>
      <c r="R85" s="614">
        <f t="shared" si="149"/>
        <v>2020000</v>
      </c>
      <c r="S85" s="616"/>
      <c r="T85" s="465">
        <v>6420000</v>
      </c>
      <c r="U85" s="465">
        <v>4400000</v>
      </c>
      <c r="V85" s="611">
        <f t="shared" si="150"/>
        <v>2020000</v>
      </c>
      <c r="X85" s="465">
        <v>0</v>
      </c>
      <c r="Y85" s="465">
        <v>4400000</v>
      </c>
      <c r="Z85" s="454"/>
      <c r="AA85" s="470"/>
      <c r="AB85" s="523"/>
      <c r="AC85" s="523"/>
      <c r="AD85" s="523"/>
      <c r="AE85" s="470"/>
      <c r="AF85" s="523"/>
      <c r="AG85" s="523"/>
      <c r="AH85" s="523"/>
      <c r="AI85" s="470"/>
      <c r="AJ85" s="523"/>
      <c r="AK85" s="523"/>
      <c r="AL85" s="523"/>
      <c r="AM85" s="523"/>
      <c r="AN85" s="523"/>
      <c r="AO85" s="523"/>
      <c r="AP85" s="523"/>
      <c r="AQ85" s="470"/>
      <c r="AR85" s="523"/>
      <c r="AS85" s="523"/>
      <c r="AT85" s="523"/>
      <c r="AU85" s="470"/>
      <c r="AV85" s="523"/>
      <c r="AW85" s="523"/>
      <c r="AX85" s="523"/>
      <c r="AY85" s="470"/>
      <c r="AZ85" s="523"/>
      <c r="BA85" s="523"/>
      <c r="BB85" s="523"/>
      <c r="BC85" s="470"/>
      <c r="BD85" s="523"/>
      <c r="BE85" s="523"/>
      <c r="BF85" s="523"/>
      <c r="BG85" s="470"/>
      <c r="BH85" s="523"/>
      <c r="BI85" s="523"/>
      <c r="BJ85" s="523"/>
      <c r="BK85" s="470"/>
      <c r="BL85" s="523"/>
      <c r="BM85" s="523"/>
      <c r="BN85" s="523"/>
      <c r="BO85" s="470"/>
      <c r="BP85" s="523"/>
      <c r="BQ85" s="523"/>
      <c r="BR85" s="523"/>
      <c r="BS85" s="470"/>
      <c r="BT85" s="523"/>
      <c r="BU85" s="523"/>
      <c r="BV85" s="523"/>
      <c r="BW85" s="470"/>
      <c r="BX85" s="523"/>
      <c r="BY85" s="523"/>
      <c r="BZ85" s="523"/>
      <c r="CA85" s="470"/>
      <c r="CB85" s="523"/>
      <c r="CC85" s="523"/>
      <c r="CD85" s="523"/>
      <c r="CE85" s="470"/>
      <c r="CF85" s="523"/>
      <c r="CG85" s="523"/>
      <c r="CH85" s="523"/>
      <c r="CI85" s="470"/>
      <c r="CJ85" s="523"/>
      <c r="CK85" s="523"/>
      <c r="CL85" s="523"/>
      <c r="CM85" s="470"/>
      <c r="CN85" s="523"/>
      <c r="CO85" s="523"/>
      <c r="CP85" s="523"/>
      <c r="CQ85" s="470"/>
      <c r="CR85" s="523"/>
      <c r="CS85" s="523"/>
      <c r="CT85" s="523"/>
      <c r="CU85" s="470"/>
      <c r="CV85" s="523"/>
      <c r="CW85" s="523"/>
      <c r="CX85" s="523"/>
      <c r="CY85" s="470"/>
      <c r="CZ85" s="523"/>
      <c r="DA85" s="523"/>
      <c r="DB85" s="523"/>
      <c r="DC85" s="470"/>
      <c r="DD85" s="523"/>
      <c r="DE85" s="523"/>
      <c r="DF85" s="523"/>
      <c r="DG85" s="470"/>
      <c r="DH85" s="523"/>
      <c r="DI85" s="523"/>
      <c r="DJ85" s="523"/>
      <c r="DK85" s="470"/>
      <c r="DL85" s="523"/>
      <c r="DM85" s="523"/>
      <c r="DN85" s="523"/>
      <c r="DO85" s="470"/>
      <c r="DP85" s="523"/>
      <c r="DQ85" s="523"/>
      <c r="DR85" s="523"/>
      <c r="DS85" s="523"/>
      <c r="DT85" s="523"/>
      <c r="DU85" s="523"/>
      <c r="DV85" s="523"/>
      <c r="DW85" s="523"/>
      <c r="DX85" s="523"/>
      <c r="DY85" s="523"/>
      <c r="DZ85" s="523"/>
      <c r="EA85" s="523"/>
      <c r="EB85" s="523"/>
      <c r="EC85" s="523"/>
      <c r="ED85" s="523"/>
      <c r="EE85" s="523"/>
      <c r="EF85" s="523"/>
      <c r="EG85" s="523"/>
      <c r="EH85" s="523"/>
      <c r="EI85" s="523"/>
      <c r="EJ85" s="523"/>
      <c r="EK85" s="523"/>
      <c r="EL85" s="523"/>
      <c r="EM85" s="470"/>
      <c r="EN85" s="470"/>
      <c r="EO85" s="470"/>
      <c r="EP85" s="470"/>
      <c r="EQ85" s="470"/>
      <c r="ER85" s="470"/>
      <c r="ES85" s="470"/>
      <c r="ET85" s="470"/>
      <c r="EU85" s="470"/>
      <c r="EV85" s="470"/>
      <c r="EW85" s="470"/>
      <c r="EX85" s="470"/>
      <c r="EY85" s="470"/>
      <c r="EZ85" s="470"/>
      <c r="FA85" s="470"/>
      <c r="FB85" s="470"/>
      <c r="FC85" s="470"/>
      <c r="FD85" s="470"/>
      <c r="FE85" s="470"/>
      <c r="FF85" s="470"/>
      <c r="FG85" s="470"/>
      <c r="FH85" s="470"/>
      <c r="FI85" s="470"/>
      <c r="FJ85" s="470"/>
      <c r="FK85" s="470"/>
      <c r="FL85" s="470"/>
      <c r="FM85" s="470"/>
      <c r="FN85" s="470"/>
      <c r="FO85" s="470"/>
      <c r="FP85" s="470"/>
      <c r="FQ85" s="470"/>
      <c r="FR85" s="470"/>
      <c r="FS85" s="470"/>
      <c r="FT85" s="470"/>
      <c r="FU85" s="470"/>
      <c r="FV85" s="470"/>
      <c r="FW85" s="470"/>
      <c r="FX85" s="470"/>
      <c r="FY85" s="470"/>
      <c r="FZ85" s="470"/>
      <c r="GA85" s="470"/>
      <c r="GB85" s="470"/>
      <c r="GC85" s="470"/>
      <c r="GD85" s="470"/>
      <c r="GE85" s="470"/>
      <c r="GF85" s="470"/>
      <c r="GG85" s="470"/>
      <c r="GH85" s="470"/>
      <c r="GI85" s="470"/>
      <c r="GJ85" s="470"/>
      <c r="GK85" s="470"/>
      <c r="GL85" s="470"/>
      <c r="GM85" s="470"/>
      <c r="GN85" s="470"/>
      <c r="GO85" s="470"/>
      <c r="GP85" s="470"/>
      <c r="GQ85" s="470"/>
      <c r="GR85" s="470"/>
      <c r="GS85" s="470"/>
      <c r="GT85" s="470"/>
      <c r="GU85" s="470"/>
      <c r="GV85" s="523"/>
      <c r="GW85" s="523"/>
      <c r="GX85" s="523"/>
      <c r="GY85" s="470"/>
      <c r="GZ85" s="523"/>
      <c r="HA85" s="523"/>
      <c r="HB85" s="523"/>
      <c r="HC85" s="523"/>
      <c r="HD85" s="523"/>
      <c r="HE85" s="523"/>
      <c r="HF85" s="523"/>
      <c r="HG85" s="523"/>
      <c r="HH85" s="523"/>
      <c r="HI85" s="523"/>
      <c r="HJ85" s="523"/>
      <c r="HK85" s="523"/>
      <c r="HL85" s="523"/>
      <c r="HM85" s="523"/>
      <c r="HN85" s="523"/>
      <c r="HO85" s="523"/>
      <c r="HP85" s="523"/>
      <c r="HQ85" s="523"/>
      <c r="HR85" s="523"/>
      <c r="HS85" s="523"/>
    </row>
    <row r="86" spans="1:227" x14ac:dyDescent="0.25">
      <c r="A86" s="107">
        <v>9</v>
      </c>
      <c r="B86" s="518" t="s">
        <v>594</v>
      </c>
      <c r="C86" s="518"/>
      <c r="D86" s="465">
        <v>0</v>
      </c>
      <c r="E86" s="465">
        <v>0</v>
      </c>
      <c r="F86" s="612">
        <f t="shared" si="146"/>
        <v>0</v>
      </c>
      <c r="G86" s="616"/>
      <c r="H86" s="583">
        <v>1650000</v>
      </c>
      <c r="I86" s="498">
        <v>1650000</v>
      </c>
      <c r="J86" s="614">
        <f t="shared" si="147"/>
        <v>0</v>
      </c>
      <c r="K86" s="616"/>
      <c r="L86" s="498">
        <v>1770000</v>
      </c>
      <c r="M86" s="498">
        <v>1770000</v>
      </c>
      <c r="N86" s="614">
        <f t="shared" si="148"/>
        <v>0</v>
      </c>
      <c r="O86" s="616"/>
      <c r="P86" s="461">
        <v>3000000</v>
      </c>
      <c r="Q86" s="498">
        <v>2980000</v>
      </c>
      <c r="R86" s="614">
        <f t="shared" si="149"/>
        <v>20000</v>
      </c>
      <c r="S86" s="616"/>
      <c r="T86" s="465">
        <v>6420000</v>
      </c>
      <c r="U86" s="465">
        <v>6400000</v>
      </c>
      <c r="V86" s="611">
        <f t="shared" si="150"/>
        <v>20000</v>
      </c>
      <c r="X86" s="465">
        <v>0</v>
      </c>
      <c r="Y86" s="465">
        <v>6400000</v>
      </c>
      <c r="Z86" s="454"/>
      <c r="AA86" s="470"/>
      <c r="AB86" s="523"/>
      <c r="AC86" s="523"/>
      <c r="AD86" s="523"/>
      <c r="AE86" s="470"/>
      <c r="AF86" s="523"/>
      <c r="AG86" s="523"/>
      <c r="AH86" s="523"/>
      <c r="AI86" s="470"/>
      <c r="AJ86" s="523"/>
      <c r="AK86" s="523"/>
      <c r="AL86" s="523"/>
      <c r="AM86" s="523"/>
      <c r="AN86" s="523"/>
      <c r="AO86" s="523"/>
      <c r="AP86" s="523"/>
      <c r="AQ86" s="470"/>
      <c r="AR86" s="523"/>
      <c r="AS86" s="523"/>
      <c r="AT86" s="523"/>
      <c r="AU86" s="470"/>
      <c r="AV86" s="523"/>
      <c r="AW86" s="523"/>
      <c r="AX86" s="523"/>
      <c r="AY86" s="470"/>
      <c r="AZ86" s="523"/>
      <c r="BA86" s="523"/>
      <c r="BB86" s="523"/>
      <c r="BC86" s="470"/>
      <c r="BD86" s="523"/>
      <c r="BE86" s="523"/>
      <c r="BF86" s="523"/>
      <c r="BG86" s="470"/>
      <c r="BH86" s="523"/>
      <c r="BI86" s="523"/>
      <c r="BJ86" s="523"/>
      <c r="BK86" s="470"/>
      <c r="BL86" s="523"/>
      <c r="BM86" s="523"/>
      <c r="BN86" s="523"/>
      <c r="BO86" s="470"/>
      <c r="BP86" s="523"/>
      <c r="BQ86" s="523"/>
      <c r="BR86" s="523"/>
      <c r="BS86" s="470"/>
      <c r="BT86" s="523"/>
      <c r="BU86" s="523"/>
      <c r="BV86" s="523"/>
      <c r="BW86" s="470"/>
      <c r="BX86" s="523"/>
      <c r="BY86" s="523"/>
      <c r="BZ86" s="523"/>
      <c r="CA86" s="470"/>
      <c r="CB86" s="523"/>
      <c r="CC86" s="523"/>
      <c r="CD86" s="523"/>
      <c r="CE86" s="470"/>
      <c r="CF86" s="523"/>
      <c r="CG86" s="523"/>
      <c r="CH86" s="523"/>
      <c r="CI86" s="470"/>
      <c r="CJ86" s="523"/>
      <c r="CK86" s="523"/>
      <c r="CL86" s="523"/>
      <c r="CM86" s="470"/>
      <c r="CN86" s="523"/>
      <c r="CO86" s="523"/>
      <c r="CP86" s="523"/>
      <c r="CQ86" s="470"/>
      <c r="CR86" s="523"/>
      <c r="CS86" s="523"/>
      <c r="CT86" s="523"/>
      <c r="CU86" s="470"/>
      <c r="CV86" s="523"/>
      <c r="CW86" s="523"/>
      <c r="CX86" s="523"/>
      <c r="CY86" s="470"/>
      <c r="CZ86" s="523"/>
      <c r="DA86" s="523"/>
      <c r="DB86" s="523"/>
      <c r="DC86" s="470"/>
      <c r="DD86" s="523"/>
      <c r="DE86" s="523"/>
      <c r="DF86" s="523"/>
      <c r="DG86" s="470"/>
      <c r="DH86" s="523"/>
      <c r="DI86" s="523"/>
      <c r="DJ86" s="523"/>
      <c r="DK86" s="470"/>
      <c r="DL86" s="523"/>
      <c r="DM86" s="523"/>
      <c r="DN86" s="523"/>
      <c r="DO86" s="470"/>
      <c r="DP86" s="523"/>
      <c r="DQ86" s="523"/>
      <c r="DR86" s="523"/>
      <c r="DS86" s="523"/>
      <c r="DT86" s="523"/>
      <c r="DU86" s="523"/>
      <c r="DV86" s="523"/>
      <c r="DW86" s="523"/>
      <c r="DX86" s="523"/>
      <c r="DY86" s="523"/>
      <c r="DZ86" s="523"/>
      <c r="EA86" s="523"/>
      <c r="EB86" s="523"/>
      <c r="EC86" s="523"/>
      <c r="ED86" s="523"/>
      <c r="EE86" s="523"/>
      <c r="EF86" s="523"/>
      <c r="EG86" s="523"/>
      <c r="EH86" s="523"/>
      <c r="EI86" s="523"/>
      <c r="EJ86" s="523"/>
      <c r="EK86" s="523"/>
      <c r="EL86" s="523"/>
      <c r="EM86" s="470"/>
      <c r="EN86" s="470"/>
      <c r="EO86" s="470"/>
      <c r="EP86" s="470"/>
      <c r="EQ86" s="470"/>
      <c r="ER86" s="470"/>
      <c r="ES86" s="470"/>
      <c r="ET86" s="470"/>
      <c r="EU86" s="470"/>
      <c r="EV86" s="470"/>
      <c r="EW86" s="470"/>
      <c r="EX86" s="470"/>
      <c r="EY86" s="470"/>
      <c r="EZ86" s="470"/>
      <c r="FA86" s="470"/>
      <c r="FB86" s="470"/>
      <c r="FC86" s="470"/>
      <c r="FD86" s="470"/>
      <c r="FE86" s="470"/>
      <c r="FF86" s="470"/>
      <c r="FG86" s="470"/>
      <c r="FH86" s="470"/>
      <c r="FI86" s="470"/>
      <c r="FJ86" s="470"/>
      <c r="FK86" s="470"/>
      <c r="FL86" s="470"/>
      <c r="FM86" s="470"/>
      <c r="FN86" s="470"/>
      <c r="FO86" s="470"/>
      <c r="FP86" s="470"/>
      <c r="FQ86" s="470"/>
      <c r="FR86" s="470"/>
      <c r="FS86" s="470"/>
      <c r="FT86" s="470"/>
      <c r="FU86" s="470"/>
      <c r="FV86" s="470"/>
      <c r="FW86" s="470"/>
      <c r="FX86" s="470"/>
      <c r="FY86" s="470"/>
      <c r="FZ86" s="470"/>
      <c r="GA86" s="470"/>
      <c r="GB86" s="470"/>
      <c r="GC86" s="470"/>
      <c r="GD86" s="470"/>
      <c r="GE86" s="470"/>
      <c r="GF86" s="470"/>
      <c r="GG86" s="470"/>
      <c r="GH86" s="470"/>
      <c r="GI86" s="470"/>
      <c r="GJ86" s="470"/>
      <c r="GK86" s="470"/>
      <c r="GL86" s="470"/>
      <c r="GM86" s="470"/>
      <c r="GN86" s="470"/>
      <c r="GO86" s="470"/>
      <c r="GP86" s="470"/>
      <c r="GQ86" s="470"/>
      <c r="GR86" s="470"/>
      <c r="GS86" s="470"/>
      <c r="GT86" s="470"/>
      <c r="GU86" s="470"/>
      <c r="GV86" s="523"/>
      <c r="GW86" s="523"/>
      <c r="GX86" s="523"/>
      <c r="GY86" s="470"/>
      <c r="GZ86" s="523"/>
      <c r="HA86" s="523"/>
      <c r="HB86" s="523"/>
      <c r="HC86" s="523"/>
      <c r="HD86" s="523"/>
      <c r="HE86" s="523"/>
      <c r="HF86" s="523"/>
      <c r="HG86" s="523"/>
      <c r="HH86" s="523"/>
      <c r="HI86" s="523"/>
      <c r="HJ86" s="523"/>
      <c r="HK86" s="523"/>
      <c r="HL86" s="523"/>
      <c r="HM86" s="523"/>
      <c r="HN86" s="523"/>
      <c r="HO86" s="523"/>
      <c r="HP86" s="523"/>
      <c r="HQ86" s="523"/>
      <c r="HR86" s="523"/>
      <c r="HS86" s="523"/>
    </row>
    <row r="87" spans="1:227" x14ac:dyDescent="0.25">
      <c r="A87" s="107">
        <v>10</v>
      </c>
      <c r="B87" s="518" t="s">
        <v>595</v>
      </c>
      <c r="C87" s="518"/>
      <c r="D87" s="465">
        <v>0</v>
      </c>
      <c r="E87" s="465">
        <v>0</v>
      </c>
      <c r="F87" s="612">
        <f t="shared" si="146"/>
        <v>0</v>
      </c>
      <c r="G87" s="616"/>
      <c r="H87" s="583">
        <v>1650000</v>
      </c>
      <c r="I87" s="498">
        <v>1200000</v>
      </c>
      <c r="J87" s="614">
        <f t="shared" si="147"/>
        <v>450000</v>
      </c>
      <c r="K87" s="616"/>
      <c r="L87" s="498">
        <v>1770000</v>
      </c>
      <c r="M87" s="498">
        <v>0</v>
      </c>
      <c r="N87" s="614">
        <f t="shared" si="148"/>
        <v>1770000</v>
      </c>
      <c r="O87" s="616"/>
      <c r="P87" s="461">
        <v>3000000</v>
      </c>
      <c r="Q87" s="498">
        <v>0</v>
      </c>
      <c r="R87" s="614">
        <f t="shared" si="149"/>
        <v>3000000</v>
      </c>
      <c r="S87" s="616"/>
      <c r="T87" s="465">
        <v>6420000</v>
      </c>
      <c r="U87" s="465">
        <v>1200000</v>
      </c>
      <c r="V87" s="611">
        <f t="shared" si="150"/>
        <v>5220000</v>
      </c>
      <c r="X87" s="465">
        <v>0</v>
      </c>
      <c r="Y87" s="465">
        <v>1200000</v>
      </c>
      <c r="Z87" s="454"/>
      <c r="AA87" s="470"/>
      <c r="AB87" s="523"/>
      <c r="AC87" s="523"/>
      <c r="AD87" s="523"/>
      <c r="AE87" s="470"/>
      <c r="AF87" s="523"/>
      <c r="AG87" s="523"/>
      <c r="AH87" s="523"/>
      <c r="AI87" s="470"/>
      <c r="AJ87" s="523"/>
      <c r="AK87" s="523"/>
      <c r="AL87" s="523"/>
      <c r="AM87" s="523"/>
      <c r="AN87" s="523"/>
      <c r="AO87" s="523"/>
      <c r="AP87" s="523"/>
      <c r="AQ87" s="470"/>
      <c r="AR87" s="523"/>
      <c r="AS87" s="523"/>
      <c r="AT87" s="523"/>
      <c r="AU87" s="470"/>
      <c r="AV87" s="523"/>
      <c r="AW87" s="523"/>
      <c r="AX87" s="523"/>
      <c r="AY87" s="470"/>
      <c r="AZ87" s="523"/>
      <c r="BA87" s="523"/>
      <c r="BB87" s="523"/>
      <c r="BC87" s="470"/>
      <c r="BD87" s="523"/>
      <c r="BE87" s="523"/>
      <c r="BF87" s="523"/>
      <c r="BG87" s="470"/>
      <c r="BH87" s="523"/>
      <c r="BI87" s="523"/>
      <c r="BJ87" s="523"/>
      <c r="BK87" s="470"/>
      <c r="BL87" s="523"/>
      <c r="BM87" s="523"/>
      <c r="BN87" s="523"/>
      <c r="BO87" s="470"/>
      <c r="BP87" s="523"/>
      <c r="BQ87" s="523"/>
      <c r="BR87" s="523"/>
      <c r="BS87" s="470"/>
      <c r="BT87" s="523"/>
      <c r="BU87" s="523"/>
      <c r="BV87" s="523"/>
      <c r="BW87" s="470"/>
      <c r="BX87" s="523"/>
      <c r="BY87" s="523"/>
      <c r="BZ87" s="523"/>
      <c r="CA87" s="470"/>
      <c r="CB87" s="523"/>
      <c r="CC87" s="523"/>
      <c r="CD87" s="523"/>
      <c r="CE87" s="470"/>
      <c r="CF87" s="523"/>
      <c r="CG87" s="523"/>
      <c r="CH87" s="523"/>
      <c r="CI87" s="470"/>
      <c r="CJ87" s="523"/>
      <c r="CK87" s="523"/>
      <c r="CL87" s="523"/>
      <c r="CM87" s="470"/>
      <c r="CN87" s="523"/>
      <c r="CO87" s="523"/>
      <c r="CP87" s="523"/>
      <c r="CQ87" s="470"/>
      <c r="CR87" s="523"/>
      <c r="CS87" s="523"/>
      <c r="CT87" s="523"/>
      <c r="CU87" s="470"/>
      <c r="CV87" s="523"/>
      <c r="CW87" s="523"/>
      <c r="CX87" s="523"/>
      <c r="CY87" s="470"/>
      <c r="CZ87" s="523"/>
      <c r="DA87" s="523"/>
      <c r="DB87" s="523"/>
      <c r="DC87" s="470"/>
      <c r="DD87" s="523"/>
      <c r="DE87" s="523"/>
      <c r="DF87" s="523"/>
      <c r="DG87" s="470"/>
      <c r="DH87" s="523"/>
      <c r="DI87" s="523"/>
      <c r="DJ87" s="523"/>
      <c r="DK87" s="470"/>
      <c r="DL87" s="523"/>
      <c r="DM87" s="523"/>
      <c r="DN87" s="523"/>
      <c r="DO87" s="470"/>
      <c r="DP87" s="523"/>
      <c r="DQ87" s="523"/>
      <c r="DR87" s="523"/>
      <c r="DS87" s="523"/>
      <c r="DT87" s="523"/>
      <c r="DU87" s="523"/>
      <c r="DV87" s="523"/>
      <c r="DW87" s="523"/>
      <c r="DX87" s="523"/>
      <c r="DY87" s="523"/>
      <c r="DZ87" s="523"/>
      <c r="EA87" s="523"/>
      <c r="EB87" s="523"/>
      <c r="EC87" s="523"/>
      <c r="ED87" s="523"/>
      <c r="EE87" s="523"/>
      <c r="EF87" s="523"/>
      <c r="EG87" s="523"/>
      <c r="EH87" s="523"/>
      <c r="EI87" s="523"/>
      <c r="EJ87" s="523"/>
      <c r="EK87" s="523"/>
      <c r="EL87" s="523"/>
      <c r="EM87" s="470"/>
      <c r="EN87" s="470"/>
      <c r="EO87" s="470"/>
      <c r="EP87" s="470"/>
      <c r="EQ87" s="470"/>
      <c r="ER87" s="470"/>
      <c r="ES87" s="470"/>
      <c r="ET87" s="470"/>
      <c r="EU87" s="470"/>
      <c r="EV87" s="470"/>
      <c r="EW87" s="470"/>
      <c r="EX87" s="470"/>
      <c r="EY87" s="470"/>
      <c r="EZ87" s="470"/>
      <c r="FA87" s="470"/>
      <c r="FB87" s="470"/>
      <c r="FC87" s="470"/>
      <c r="FD87" s="470"/>
      <c r="FE87" s="470"/>
      <c r="FF87" s="470"/>
      <c r="FG87" s="470"/>
      <c r="FH87" s="470"/>
      <c r="FI87" s="470"/>
      <c r="FJ87" s="470"/>
      <c r="FK87" s="470"/>
      <c r="FL87" s="470"/>
      <c r="FM87" s="470"/>
      <c r="FN87" s="470"/>
      <c r="FO87" s="470"/>
      <c r="FP87" s="470"/>
      <c r="FQ87" s="470"/>
      <c r="FR87" s="470"/>
      <c r="FS87" s="470"/>
      <c r="FT87" s="470"/>
      <c r="FU87" s="470"/>
      <c r="FV87" s="470"/>
      <c r="FW87" s="470"/>
      <c r="FX87" s="470"/>
      <c r="FY87" s="470"/>
      <c r="FZ87" s="470"/>
      <c r="GA87" s="470"/>
      <c r="GB87" s="470"/>
      <c r="GC87" s="470"/>
      <c r="GD87" s="470"/>
      <c r="GE87" s="470"/>
      <c r="GF87" s="470"/>
      <c r="GG87" s="470"/>
      <c r="GH87" s="470"/>
      <c r="GI87" s="470"/>
      <c r="GJ87" s="470"/>
      <c r="GK87" s="470"/>
      <c r="GL87" s="470"/>
      <c r="GM87" s="470"/>
      <c r="GN87" s="470"/>
      <c r="GO87" s="470"/>
      <c r="GP87" s="470"/>
      <c r="GQ87" s="470"/>
      <c r="GR87" s="470"/>
      <c r="GS87" s="470"/>
      <c r="GT87" s="470"/>
      <c r="GU87" s="470"/>
      <c r="GV87" s="523"/>
      <c r="GW87" s="523"/>
      <c r="GX87" s="523"/>
      <c r="GY87" s="470"/>
      <c r="GZ87" s="523"/>
      <c r="HA87" s="523"/>
      <c r="HB87" s="523"/>
      <c r="HC87" s="523"/>
      <c r="HD87" s="523"/>
      <c r="HE87" s="523"/>
      <c r="HF87" s="523"/>
      <c r="HG87" s="523"/>
      <c r="HH87" s="523"/>
      <c r="HI87" s="523"/>
      <c r="HJ87" s="523"/>
      <c r="HK87" s="523"/>
      <c r="HL87" s="523"/>
      <c r="HM87" s="523"/>
      <c r="HN87" s="523"/>
      <c r="HO87" s="523"/>
      <c r="HP87" s="523"/>
      <c r="HQ87" s="523"/>
      <c r="HR87" s="523"/>
      <c r="HS87" s="523"/>
    </row>
    <row r="88" spans="1:227" x14ac:dyDescent="0.25">
      <c r="A88" s="107">
        <v>11</v>
      </c>
      <c r="B88" s="518" t="s">
        <v>596</v>
      </c>
      <c r="C88" s="518"/>
      <c r="D88" s="465">
        <v>0</v>
      </c>
      <c r="E88" s="465">
        <v>0</v>
      </c>
      <c r="F88" s="612">
        <f t="shared" si="146"/>
        <v>0</v>
      </c>
      <c r="G88" s="616"/>
      <c r="H88" s="583">
        <v>1650000</v>
      </c>
      <c r="I88" s="583">
        <v>1650000</v>
      </c>
      <c r="J88" s="614">
        <f t="shared" si="147"/>
        <v>0</v>
      </c>
      <c r="K88" s="616"/>
      <c r="L88" s="498">
        <v>1770000</v>
      </c>
      <c r="M88" s="498">
        <v>1770000</v>
      </c>
      <c r="N88" s="614">
        <f t="shared" si="148"/>
        <v>0</v>
      </c>
      <c r="O88" s="616"/>
      <c r="P88" s="461">
        <v>3000000</v>
      </c>
      <c r="Q88" s="461">
        <v>3000000</v>
      </c>
      <c r="R88" s="614">
        <f t="shared" si="149"/>
        <v>0</v>
      </c>
      <c r="S88" s="616"/>
      <c r="T88" s="465">
        <v>6420000</v>
      </c>
      <c r="U88" s="465">
        <v>6420000</v>
      </c>
      <c r="V88" s="611">
        <f t="shared" si="150"/>
        <v>0</v>
      </c>
      <c r="X88" s="465">
        <v>0</v>
      </c>
      <c r="Y88" s="465">
        <v>6420000</v>
      </c>
      <c r="Z88" s="454"/>
      <c r="AA88" s="470"/>
      <c r="AB88" s="523"/>
      <c r="AC88" s="523"/>
      <c r="AD88" s="523"/>
      <c r="AE88" s="470"/>
      <c r="AF88" s="523"/>
      <c r="AG88" s="523"/>
      <c r="AH88" s="523"/>
      <c r="AI88" s="470"/>
      <c r="AJ88" s="523"/>
      <c r="AK88" s="523"/>
      <c r="AL88" s="523"/>
      <c r="AM88" s="523"/>
      <c r="AN88" s="523"/>
      <c r="AO88" s="523"/>
      <c r="AP88" s="523"/>
      <c r="AQ88" s="470"/>
      <c r="AR88" s="523"/>
      <c r="AS88" s="523"/>
      <c r="AT88" s="523"/>
      <c r="AU88" s="470"/>
      <c r="AV88" s="523"/>
      <c r="AW88" s="523"/>
      <c r="AX88" s="523"/>
      <c r="AY88" s="470"/>
      <c r="AZ88" s="523"/>
      <c r="BA88" s="523"/>
      <c r="BB88" s="523"/>
      <c r="BC88" s="470"/>
      <c r="BD88" s="523"/>
      <c r="BE88" s="523"/>
      <c r="BF88" s="523"/>
      <c r="BG88" s="470"/>
      <c r="BH88" s="523"/>
      <c r="BI88" s="523"/>
      <c r="BJ88" s="523"/>
      <c r="BK88" s="470"/>
      <c r="BL88" s="523"/>
      <c r="BM88" s="523"/>
      <c r="BN88" s="523"/>
      <c r="BO88" s="470"/>
      <c r="BP88" s="523"/>
      <c r="BQ88" s="523"/>
      <c r="BR88" s="523"/>
      <c r="BS88" s="470"/>
      <c r="BT88" s="523"/>
      <c r="BU88" s="523"/>
      <c r="BV88" s="523"/>
      <c r="BW88" s="470"/>
      <c r="BX88" s="523"/>
      <c r="BY88" s="523"/>
      <c r="BZ88" s="523"/>
      <c r="CA88" s="470"/>
      <c r="CB88" s="523"/>
      <c r="CC88" s="523"/>
      <c r="CD88" s="523"/>
      <c r="CE88" s="470"/>
      <c r="CF88" s="523"/>
      <c r="CG88" s="523"/>
      <c r="CH88" s="523"/>
      <c r="CI88" s="470"/>
      <c r="CJ88" s="523"/>
      <c r="CK88" s="523"/>
      <c r="CL88" s="523"/>
      <c r="CM88" s="470"/>
      <c r="CN88" s="523"/>
      <c r="CO88" s="523"/>
      <c r="CP88" s="523"/>
      <c r="CQ88" s="470"/>
      <c r="CR88" s="523"/>
      <c r="CS88" s="523"/>
      <c r="CT88" s="523"/>
      <c r="CU88" s="470"/>
      <c r="CV88" s="523"/>
      <c r="CW88" s="523"/>
      <c r="CX88" s="523"/>
      <c r="CY88" s="470"/>
      <c r="CZ88" s="523"/>
      <c r="DA88" s="523"/>
      <c r="DB88" s="523"/>
      <c r="DC88" s="470"/>
      <c r="DD88" s="523"/>
      <c r="DE88" s="523"/>
      <c r="DF88" s="523"/>
      <c r="DG88" s="470"/>
      <c r="DH88" s="523"/>
      <c r="DI88" s="523"/>
      <c r="DJ88" s="523"/>
      <c r="DK88" s="470"/>
      <c r="DL88" s="523"/>
      <c r="DM88" s="523"/>
      <c r="DN88" s="523"/>
      <c r="DO88" s="470"/>
      <c r="DP88" s="523"/>
      <c r="DQ88" s="523"/>
      <c r="DR88" s="523"/>
      <c r="DS88" s="523"/>
      <c r="DT88" s="523"/>
      <c r="DU88" s="523"/>
      <c r="DV88" s="523"/>
      <c r="DW88" s="523"/>
      <c r="DX88" s="523"/>
      <c r="DY88" s="523"/>
      <c r="DZ88" s="523"/>
      <c r="EA88" s="523"/>
      <c r="EB88" s="523"/>
      <c r="EC88" s="523"/>
      <c r="ED88" s="523"/>
      <c r="EE88" s="523"/>
      <c r="EF88" s="523"/>
      <c r="EG88" s="523"/>
      <c r="EH88" s="523"/>
      <c r="EI88" s="523"/>
      <c r="EJ88" s="523"/>
      <c r="EK88" s="523"/>
      <c r="EL88" s="523"/>
      <c r="EM88" s="470"/>
      <c r="EN88" s="470"/>
      <c r="EO88" s="470"/>
      <c r="EP88" s="470"/>
      <c r="EQ88" s="470"/>
      <c r="ER88" s="470"/>
      <c r="ES88" s="470"/>
      <c r="ET88" s="470"/>
      <c r="EU88" s="470"/>
      <c r="EV88" s="470"/>
      <c r="EW88" s="470"/>
      <c r="EX88" s="470"/>
      <c r="EY88" s="470"/>
      <c r="EZ88" s="470"/>
      <c r="FA88" s="470"/>
      <c r="FB88" s="470"/>
      <c r="FC88" s="470"/>
      <c r="FD88" s="470"/>
      <c r="FE88" s="470"/>
      <c r="FF88" s="470"/>
      <c r="FG88" s="470"/>
      <c r="FH88" s="470"/>
      <c r="FI88" s="470"/>
      <c r="FJ88" s="470"/>
      <c r="FK88" s="470"/>
      <c r="FL88" s="470"/>
      <c r="FM88" s="470"/>
      <c r="FN88" s="470"/>
      <c r="FO88" s="470"/>
      <c r="FP88" s="470"/>
      <c r="FQ88" s="470"/>
      <c r="FR88" s="470"/>
      <c r="FS88" s="470"/>
      <c r="FT88" s="470"/>
      <c r="FU88" s="470"/>
      <c r="FV88" s="470"/>
      <c r="FW88" s="470"/>
      <c r="FX88" s="470"/>
      <c r="FY88" s="470"/>
      <c r="FZ88" s="470"/>
      <c r="GA88" s="470"/>
      <c r="GB88" s="470"/>
      <c r="GC88" s="470"/>
      <c r="GD88" s="470"/>
      <c r="GE88" s="470"/>
      <c r="GF88" s="470"/>
      <c r="GG88" s="470"/>
      <c r="GH88" s="470"/>
      <c r="GI88" s="470"/>
      <c r="GJ88" s="470"/>
      <c r="GK88" s="470"/>
      <c r="GL88" s="470"/>
      <c r="GM88" s="470"/>
      <c r="GN88" s="470"/>
      <c r="GO88" s="470"/>
      <c r="GP88" s="470"/>
      <c r="GQ88" s="470"/>
      <c r="GR88" s="470"/>
      <c r="GS88" s="470"/>
      <c r="GT88" s="470"/>
      <c r="GU88" s="470"/>
      <c r="GV88" s="523"/>
      <c r="GW88" s="523"/>
      <c r="GX88" s="523"/>
      <c r="GY88" s="470"/>
      <c r="GZ88" s="523"/>
      <c r="HA88" s="523"/>
      <c r="HB88" s="523"/>
      <c r="HC88" s="523"/>
      <c r="HD88" s="523"/>
      <c r="HE88" s="523"/>
      <c r="HF88" s="523"/>
      <c r="HG88" s="523"/>
      <c r="HH88" s="523"/>
      <c r="HI88" s="523"/>
      <c r="HJ88" s="523"/>
      <c r="HK88" s="523"/>
      <c r="HL88" s="523"/>
      <c r="HM88" s="523"/>
      <c r="HN88" s="523"/>
      <c r="HO88" s="523"/>
      <c r="HP88" s="523"/>
      <c r="HQ88" s="523"/>
      <c r="HR88" s="523"/>
      <c r="HS88" s="523"/>
    </row>
    <row r="89" spans="1:227" x14ac:dyDescent="0.25">
      <c r="A89" s="107">
        <v>12</v>
      </c>
      <c r="B89" s="518" t="s">
        <v>597</v>
      </c>
      <c r="C89" s="518"/>
      <c r="D89" s="465">
        <v>0</v>
      </c>
      <c r="E89" s="465">
        <v>0</v>
      </c>
      <c r="F89" s="612">
        <f t="shared" si="146"/>
        <v>0</v>
      </c>
      <c r="G89" s="616"/>
      <c r="H89" s="583">
        <v>1650000</v>
      </c>
      <c r="I89" s="461">
        <v>1650000</v>
      </c>
      <c r="J89" s="614">
        <f t="shared" si="147"/>
        <v>0</v>
      </c>
      <c r="K89" s="616"/>
      <c r="L89" s="498">
        <v>1770000</v>
      </c>
      <c r="M89" s="498">
        <v>1770000</v>
      </c>
      <c r="N89" s="614">
        <f t="shared" si="148"/>
        <v>0</v>
      </c>
      <c r="O89" s="616"/>
      <c r="P89" s="461">
        <v>3000000</v>
      </c>
      <c r="Q89" s="498">
        <v>2030000</v>
      </c>
      <c r="R89" s="614">
        <f t="shared" si="149"/>
        <v>970000</v>
      </c>
      <c r="S89" s="616"/>
      <c r="T89" s="465">
        <v>6420000</v>
      </c>
      <c r="U89" s="465">
        <v>5450000</v>
      </c>
      <c r="V89" s="611">
        <f t="shared" si="150"/>
        <v>970000</v>
      </c>
      <c r="X89" s="465">
        <v>0</v>
      </c>
      <c r="Y89" s="465">
        <v>5450000</v>
      </c>
      <c r="Z89" s="454"/>
      <c r="AA89" s="470"/>
      <c r="AB89" s="523"/>
      <c r="AC89" s="523"/>
      <c r="AD89" s="523"/>
      <c r="AE89" s="470"/>
      <c r="AF89" s="523"/>
      <c r="AG89" s="523"/>
      <c r="AH89" s="523"/>
      <c r="AI89" s="470"/>
      <c r="AJ89" s="523"/>
      <c r="AK89" s="523"/>
      <c r="AL89" s="523"/>
      <c r="AM89" s="523"/>
      <c r="AN89" s="523"/>
      <c r="AO89" s="523"/>
      <c r="AP89" s="523"/>
      <c r="AQ89" s="470"/>
      <c r="AR89" s="523"/>
      <c r="AS89" s="523"/>
      <c r="AT89" s="523"/>
      <c r="AU89" s="470"/>
      <c r="AV89" s="523"/>
      <c r="AW89" s="523"/>
      <c r="AX89" s="523"/>
      <c r="AY89" s="470"/>
      <c r="AZ89" s="523"/>
      <c r="BA89" s="523"/>
      <c r="BB89" s="523"/>
      <c r="BC89" s="470"/>
      <c r="BD89" s="523"/>
      <c r="BE89" s="523"/>
      <c r="BF89" s="523"/>
      <c r="BG89" s="470"/>
      <c r="BH89" s="523"/>
      <c r="BI89" s="523"/>
      <c r="BJ89" s="523"/>
      <c r="BK89" s="470"/>
      <c r="BL89" s="523"/>
      <c r="BM89" s="523"/>
      <c r="BN89" s="523"/>
      <c r="BO89" s="470"/>
      <c r="BP89" s="523"/>
      <c r="BQ89" s="523"/>
      <c r="BR89" s="523"/>
      <c r="BS89" s="470"/>
      <c r="BT89" s="523"/>
      <c r="BU89" s="523"/>
      <c r="BV89" s="523"/>
      <c r="BW89" s="470"/>
      <c r="BX89" s="523"/>
      <c r="BY89" s="523"/>
      <c r="BZ89" s="523"/>
      <c r="CA89" s="470"/>
      <c r="CB89" s="523"/>
      <c r="CC89" s="523"/>
      <c r="CD89" s="523"/>
      <c r="CE89" s="470"/>
      <c r="CF89" s="523"/>
      <c r="CG89" s="523"/>
      <c r="CH89" s="523"/>
      <c r="CI89" s="470"/>
      <c r="CJ89" s="523"/>
      <c r="CK89" s="523"/>
      <c r="CL89" s="523"/>
      <c r="CM89" s="470"/>
      <c r="CN89" s="523"/>
      <c r="CO89" s="523"/>
      <c r="CP89" s="523"/>
      <c r="CQ89" s="470"/>
      <c r="CR89" s="523"/>
      <c r="CS89" s="523"/>
      <c r="CT89" s="523"/>
      <c r="CU89" s="470"/>
      <c r="CV89" s="523"/>
      <c r="CW89" s="523"/>
      <c r="CX89" s="523"/>
      <c r="CY89" s="470"/>
      <c r="CZ89" s="523"/>
      <c r="DA89" s="523"/>
      <c r="DB89" s="523"/>
      <c r="DC89" s="470"/>
      <c r="DD89" s="523"/>
      <c r="DE89" s="523"/>
      <c r="DF89" s="523"/>
      <c r="DG89" s="470"/>
      <c r="DH89" s="523"/>
      <c r="DI89" s="523"/>
      <c r="DJ89" s="523"/>
      <c r="DK89" s="470"/>
      <c r="DL89" s="523"/>
      <c r="DM89" s="523"/>
      <c r="DN89" s="523"/>
      <c r="DO89" s="470"/>
      <c r="DP89" s="523"/>
      <c r="DQ89" s="523"/>
      <c r="DR89" s="523"/>
      <c r="DS89" s="523"/>
      <c r="DT89" s="523"/>
      <c r="DU89" s="523"/>
      <c r="DV89" s="523"/>
      <c r="DW89" s="523"/>
      <c r="DX89" s="523"/>
      <c r="DY89" s="523"/>
      <c r="DZ89" s="523"/>
      <c r="EA89" s="523"/>
      <c r="EB89" s="523"/>
      <c r="EC89" s="523"/>
      <c r="ED89" s="523"/>
      <c r="EE89" s="523"/>
      <c r="EF89" s="523"/>
      <c r="EG89" s="523"/>
      <c r="EH89" s="523"/>
      <c r="EI89" s="523"/>
      <c r="EJ89" s="523"/>
      <c r="EK89" s="523"/>
      <c r="EL89" s="523"/>
      <c r="EM89" s="470"/>
      <c r="EN89" s="470"/>
      <c r="EO89" s="470"/>
      <c r="EP89" s="470"/>
      <c r="EQ89" s="470"/>
      <c r="ER89" s="470"/>
      <c r="ES89" s="470"/>
      <c r="ET89" s="470"/>
      <c r="EU89" s="470"/>
      <c r="EV89" s="470"/>
      <c r="EW89" s="470"/>
      <c r="EX89" s="470"/>
      <c r="EY89" s="470"/>
      <c r="EZ89" s="470"/>
      <c r="FA89" s="470"/>
      <c r="FB89" s="470"/>
      <c r="FC89" s="470"/>
      <c r="FD89" s="470"/>
      <c r="FE89" s="470"/>
      <c r="FF89" s="470"/>
      <c r="FG89" s="470"/>
      <c r="FH89" s="470"/>
      <c r="FI89" s="470"/>
      <c r="FJ89" s="470"/>
      <c r="FK89" s="470"/>
      <c r="FL89" s="470"/>
      <c r="FM89" s="470"/>
      <c r="FN89" s="470"/>
      <c r="FO89" s="470"/>
      <c r="FP89" s="470"/>
      <c r="FQ89" s="470"/>
      <c r="FR89" s="470"/>
      <c r="FS89" s="470"/>
      <c r="FT89" s="470"/>
      <c r="FU89" s="470"/>
      <c r="FV89" s="470"/>
      <c r="FW89" s="470"/>
      <c r="FX89" s="470"/>
      <c r="FY89" s="470"/>
      <c r="FZ89" s="470"/>
      <c r="GA89" s="470"/>
      <c r="GB89" s="470"/>
      <c r="GC89" s="470"/>
      <c r="GD89" s="470"/>
      <c r="GE89" s="470"/>
      <c r="GF89" s="470"/>
      <c r="GG89" s="470"/>
      <c r="GH89" s="470"/>
      <c r="GI89" s="470"/>
      <c r="GJ89" s="470"/>
      <c r="GK89" s="470"/>
      <c r="GL89" s="470"/>
      <c r="GM89" s="470"/>
      <c r="GN89" s="470"/>
      <c r="GO89" s="470"/>
      <c r="GP89" s="470"/>
      <c r="GQ89" s="470"/>
      <c r="GR89" s="470"/>
      <c r="GS89" s="470"/>
      <c r="GT89" s="470"/>
      <c r="GU89" s="470"/>
      <c r="GV89" s="523"/>
      <c r="GW89" s="523"/>
      <c r="GX89" s="523"/>
      <c r="GY89" s="470"/>
      <c r="GZ89" s="523"/>
      <c r="HA89" s="523"/>
      <c r="HB89" s="523"/>
      <c r="HC89" s="523"/>
      <c r="HD89" s="523"/>
      <c r="HE89" s="523"/>
      <c r="HF89" s="523"/>
      <c r="HG89" s="523"/>
      <c r="HH89" s="523"/>
      <c r="HI89" s="523"/>
      <c r="HJ89" s="523"/>
      <c r="HK89" s="523"/>
      <c r="HL89" s="523"/>
      <c r="HM89" s="523"/>
      <c r="HN89" s="523"/>
      <c r="HO89" s="523"/>
      <c r="HP89" s="523"/>
      <c r="HQ89" s="523"/>
      <c r="HR89" s="523"/>
      <c r="HS89" s="523"/>
    </row>
    <row r="90" spans="1:227" x14ac:dyDescent="0.25">
      <c r="A90" s="107">
        <v>13</v>
      </c>
      <c r="B90" s="518" t="s">
        <v>598</v>
      </c>
      <c r="C90" s="518"/>
      <c r="D90" s="465">
        <v>0</v>
      </c>
      <c r="E90" s="465">
        <v>0</v>
      </c>
      <c r="F90" s="612">
        <f t="shared" si="146"/>
        <v>0</v>
      </c>
      <c r="G90" s="616"/>
      <c r="H90" s="583">
        <v>1650000</v>
      </c>
      <c r="I90" s="461">
        <v>1650000</v>
      </c>
      <c r="J90" s="614">
        <f t="shared" si="147"/>
        <v>0</v>
      </c>
      <c r="K90" s="616"/>
      <c r="L90" s="498">
        <v>1770000</v>
      </c>
      <c r="M90" s="498">
        <v>1770000</v>
      </c>
      <c r="N90" s="614">
        <f t="shared" si="148"/>
        <v>0</v>
      </c>
      <c r="O90" s="616"/>
      <c r="P90" s="461">
        <v>3000000</v>
      </c>
      <c r="Q90" s="461">
        <v>3000000</v>
      </c>
      <c r="R90" s="614">
        <f t="shared" si="149"/>
        <v>0</v>
      </c>
      <c r="S90" s="616"/>
      <c r="T90" s="465">
        <v>6420000</v>
      </c>
      <c r="U90" s="465">
        <v>6420000</v>
      </c>
      <c r="V90" s="611">
        <f t="shared" si="150"/>
        <v>0</v>
      </c>
      <c r="X90" s="465">
        <v>0</v>
      </c>
      <c r="Y90" s="465">
        <v>6420000</v>
      </c>
      <c r="Z90" s="454"/>
      <c r="AA90" s="470"/>
      <c r="AB90" s="523"/>
      <c r="AC90" s="523"/>
      <c r="AD90" s="523"/>
      <c r="AE90" s="470"/>
      <c r="AF90" s="523"/>
      <c r="AG90" s="523"/>
      <c r="AH90" s="523"/>
      <c r="AI90" s="470"/>
      <c r="AJ90" s="523"/>
      <c r="AK90" s="523"/>
      <c r="AL90" s="523"/>
      <c r="AM90" s="523"/>
      <c r="AN90" s="523"/>
      <c r="AO90" s="523"/>
      <c r="AP90" s="523"/>
      <c r="AQ90" s="470"/>
      <c r="AR90" s="523"/>
      <c r="AS90" s="523"/>
      <c r="AT90" s="523"/>
      <c r="AU90" s="470"/>
      <c r="AV90" s="523"/>
      <c r="AW90" s="523"/>
      <c r="AX90" s="523"/>
      <c r="AY90" s="470"/>
      <c r="AZ90" s="523"/>
      <c r="BA90" s="523"/>
      <c r="BB90" s="523"/>
      <c r="BC90" s="470"/>
      <c r="BD90" s="523"/>
      <c r="BE90" s="523"/>
      <c r="BF90" s="523"/>
      <c r="BG90" s="470"/>
      <c r="BH90" s="523"/>
      <c r="BI90" s="523"/>
      <c r="BJ90" s="523"/>
      <c r="BK90" s="470"/>
      <c r="BL90" s="523"/>
      <c r="BM90" s="523"/>
      <c r="BN90" s="523"/>
      <c r="BO90" s="470"/>
      <c r="BP90" s="523"/>
      <c r="BQ90" s="523"/>
      <c r="BR90" s="523"/>
      <c r="BS90" s="470"/>
      <c r="BT90" s="523"/>
      <c r="BU90" s="523"/>
      <c r="BV90" s="523"/>
      <c r="BW90" s="470"/>
      <c r="BX90" s="523"/>
      <c r="BY90" s="523"/>
      <c r="BZ90" s="523"/>
      <c r="CA90" s="470"/>
      <c r="CB90" s="523"/>
      <c r="CC90" s="523"/>
      <c r="CD90" s="523"/>
      <c r="CE90" s="470"/>
      <c r="CF90" s="523"/>
      <c r="CG90" s="523"/>
      <c r="CH90" s="523"/>
      <c r="CI90" s="470"/>
      <c r="CJ90" s="523"/>
      <c r="CK90" s="523"/>
      <c r="CL90" s="523"/>
      <c r="CM90" s="470"/>
      <c r="CN90" s="523"/>
      <c r="CO90" s="523"/>
      <c r="CP90" s="523"/>
      <c r="CQ90" s="470"/>
      <c r="CR90" s="523"/>
      <c r="CS90" s="523"/>
      <c r="CT90" s="523"/>
      <c r="CU90" s="470"/>
      <c r="CV90" s="523"/>
      <c r="CW90" s="523"/>
      <c r="CX90" s="523"/>
      <c r="CY90" s="470"/>
      <c r="CZ90" s="523"/>
      <c r="DA90" s="523"/>
      <c r="DB90" s="523"/>
      <c r="DC90" s="470"/>
      <c r="DD90" s="523"/>
      <c r="DE90" s="523"/>
      <c r="DF90" s="523"/>
      <c r="DG90" s="470"/>
      <c r="DH90" s="523"/>
      <c r="DI90" s="523"/>
      <c r="DJ90" s="523"/>
      <c r="DK90" s="470"/>
      <c r="DL90" s="523"/>
      <c r="DM90" s="523"/>
      <c r="DN90" s="523"/>
      <c r="DO90" s="470"/>
      <c r="DP90" s="523"/>
      <c r="DQ90" s="523"/>
      <c r="DR90" s="523"/>
      <c r="DS90" s="523"/>
      <c r="DT90" s="523"/>
      <c r="DU90" s="523"/>
      <c r="DV90" s="523"/>
      <c r="DW90" s="523"/>
      <c r="DX90" s="523"/>
      <c r="DY90" s="523"/>
      <c r="DZ90" s="523"/>
      <c r="EA90" s="523"/>
      <c r="EB90" s="523"/>
      <c r="EC90" s="523"/>
      <c r="ED90" s="523"/>
      <c r="EE90" s="523"/>
      <c r="EF90" s="523"/>
      <c r="EG90" s="523"/>
      <c r="EH90" s="523"/>
      <c r="EI90" s="523"/>
      <c r="EJ90" s="523"/>
      <c r="EK90" s="523"/>
      <c r="EL90" s="523"/>
      <c r="EM90" s="470"/>
      <c r="EN90" s="470"/>
      <c r="EO90" s="470"/>
      <c r="EP90" s="470"/>
      <c r="EQ90" s="470"/>
      <c r="ER90" s="470"/>
      <c r="ES90" s="470"/>
      <c r="ET90" s="470"/>
      <c r="EU90" s="470"/>
      <c r="EV90" s="470"/>
      <c r="EW90" s="470"/>
      <c r="EX90" s="470"/>
      <c r="EY90" s="470"/>
      <c r="EZ90" s="470"/>
      <c r="FA90" s="470"/>
      <c r="FB90" s="470"/>
      <c r="FC90" s="470"/>
      <c r="FD90" s="470"/>
      <c r="FE90" s="470"/>
      <c r="FF90" s="470"/>
      <c r="FG90" s="470"/>
      <c r="FH90" s="470"/>
      <c r="FI90" s="470"/>
      <c r="FJ90" s="470"/>
      <c r="FK90" s="470"/>
      <c r="FL90" s="470"/>
      <c r="FM90" s="470"/>
      <c r="FN90" s="470"/>
      <c r="FO90" s="470"/>
      <c r="FP90" s="470"/>
      <c r="FQ90" s="470"/>
      <c r="FR90" s="470"/>
      <c r="FS90" s="470"/>
      <c r="FT90" s="470"/>
      <c r="FU90" s="470"/>
      <c r="FV90" s="470"/>
      <c r="FW90" s="470"/>
      <c r="FX90" s="470"/>
      <c r="FY90" s="470"/>
      <c r="FZ90" s="470"/>
      <c r="GA90" s="470"/>
      <c r="GB90" s="470"/>
      <c r="GC90" s="470"/>
      <c r="GD90" s="470"/>
      <c r="GE90" s="470"/>
      <c r="GF90" s="470"/>
      <c r="GG90" s="470"/>
      <c r="GH90" s="470"/>
      <c r="GI90" s="470"/>
      <c r="GJ90" s="470"/>
      <c r="GK90" s="470"/>
      <c r="GL90" s="470"/>
      <c r="GM90" s="470"/>
      <c r="GN90" s="470"/>
      <c r="GO90" s="470"/>
      <c r="GP90" s="470"/>
      <c r="GQ90" s="470"/>
      <c r="GR90" s="470"/>
      <c r="GS90" s="470"/>
      <c r="GT90" s="470"/>
      <c r="GU90" s="470"/>
      <c r="GV90" s="523"/>
      <c r="GW90" s="523"/>
      <c r="GX90" s="523"/>
      <c r="GY90" s="470"/>
      <c r="GZ90" s="523"/>
      <c r="HA90" s="523"/>
      <c r="HB90" s="523"/>
      <c r="HC90" s="523"/>
      <c r="HD90" s="523"/>
      <c r="HE90" s="523"/>
      <c r="HF90" s="523"/>
      <c r="HG90" s="523"/>
      <c r="HH90" s="523"/>
      <c r="HI90" s="523"/>
      <c r="HJ90" s="523"/>
      <c r="HK90" s="523"/>
      <c r="HL90" s="523"/>
      <c r="HM90" s="523"/>
      <c r="HN90" s="523"/>
      <c r="HO90" s="523"/>
      <c r="HP90" s="523"/>
      <c r="HQ90" s="523"/>
      <c r="HR90" s="523"/>
      <c r="HS90" s="523"/>
    </row>
    <row r="91" spans="1:227" x14ac:dyDescent="0.25">
      <c r="A91" s="107">
        <v>14</v>
      </c>
      <c r="B91" s="518" t="s">
        <v>599</v>
      </c>
      <c r="C91" s="518"/>
      <c r="D91" s="465">
        <v>0</v>
      </c>
      <c r="E91" s="465">
        <v>0</v>
      </c>
      <c r="F91" s="612">
        <f t="shared" si="146"/>
        <v>0</v>
      </c>
      <c r="G91" s="616"/>
      <c r="H91" s="583">
        <v>1650000</v>
      </c>
      <c r="I91" s="498">
        <v>1650000</v>
      </c>
      <c r="J91" s="614">
        <f t="shared" si="147"/>
        <v>0</v>
      </c>
      <c r="K91" s="616"/>
      <c r="L91" s="498">
        <v>1770000</v>
      </c>
      <c r="M91" s="498">
        <v>1770000</v>
      </c>
      <c r="N91" s="614">
        <f t="shared" si="148"/>
        <v>0</v>
      </c>
      <c r="O91" s="616"/>
      <c r="P91" s="461">
        <v>3000000</v>
      </c>
      <c r="Q91" s="498">
        <v>0</v>
      </c>
      <c r="R91" s="614">
        <f t="shared" si="149"/>
        <v>3000000</v>
      </c>
      <c r="S91" s="616"/>
      <c r="T91" s="465">
        <v>6420000</v>
      </c>
      <c r="U91" s="465">
        <v>3420000</v>
      </c>
      <c r="V91" s="611">
        <f t="shared" si="150"/>
        <v>3000000</v>
      </c>
      <c r="X91" s="465">
        <v>0</v>
      </c>
      <c r="Y91" s="465">
        <v>3420000</v>
      </c>
      <c r="Z91" s="454"/>
      <c r="AA91" s="470"/>
      <c r="AB91" s="523"/>
      <c r="AC91" s="523"/>
      <c r="AD91" s="523"/>
      <c r="AE91" s="470"/>
      <c r="AF91" s="523"/>
      <c r="AG91" s="523"/>
      <c r="AH91" s="523"/>
      <c r="AI91" s="470"/>
      <c r="AJ91" s="523"/>
      <c r="AK91" s="523"/>
      <c r="AL91" s="523"/>
      <c r="AM91" s="523"/>
      <c r="AN91" s="523"/>
      <c r="AO91" s="523"/>
      <c r="AP91" s="523"/>
      <c r="AQ91" s="470"/>
      <c r="AR91" s="523"/>
      <c r="AS91" s="523"/>
      <c r="AT91" s="523"/>
      <c r="AU91" s="470"/>
      <c r="AV91" s="523"/>
      <c r="AW91" s="523"/>
      <c r="AX91" s="523"/>
      <c r="AY91" s="470"/>
      <c r="AZ91" s="523"/>
      <c r="BA91" s="523"/>
      <c r="BB91" s="523"/>
      <c r="BC91" s="470"/>
      <c r="BD91" s="523"/>
      <c r="BE91" s="523"/>
      <c r="BF91" s="523"/>
      <c r="BG91" s="470"/>
      <c r="BH91" s="523"/>
      <c r="BI91" s="523"/>
      <c r="BJ91" s="523"/>
      <c r="BK91" s="470"/>
      <c r="BL91" s="523"/>
      <c r="BM91" s="523"/>
      <c r="BN91" s="523"/>
      <c r="BO91" s="470"/>
      <c r="BP91" s="523"/>
      <c r="BQ91" s="523"/>
      <c r="BR91" s="523"/>
      <c r="BS91" s="470"/>
      <c r="BT91" s="523"/>
      <c r="BU91" s="523"/>
      <c r="BV91" s="523"/>
      <c r="BW91" s="470"/>
      <c r="BX91" s="523"/>
      <c r="BY91" s="523"/>
      <c r="BZ91" s="523"/>
      <c r="CA91" s="470"/>
      <c r="CB91" s="523"/>
      <c r="CC91" s="523"/>
      <c r="CD91" s="523"/>
      <c r="CE91" s="470"/>
      <c r="CF91" s="523"/>
      <c r="CG91" s="523"/>
      <c r="CH91" s="523"/>
      <c r="CI91" s="470"/>
      <c r="CJ91" s="523"/>
      <c r="CK91" s="523"/>
      <c r="CL91" s="523"/>
      <c r="CM91" s="470"/>
      <c r="CN91" s="523"/>
      <c r="CO91" s="523"/>
      <c r="CP91" s="523"/>
      <c r="CQ91" s="470"/>
      <c r="CR91" s="523"/>
      <c r="CS91" s="523"/>
      <c r="CT91" s="523"/>
      <c r="CU91" s="470"/>
      <c r="CV91" s="523"/>
      <c r="CW91" s="523"/>
      <c r="CX91" s="523"/>
      <c r="CY91" s="470"/>
      <c r="CZ91" s="523"/>
      <c r="DA91" s="523"/>
      <c r="DB91" s="523"/>
      <c r="DC91" s="470"/>
      <c r="DD91" s="523"/>
      <c r="DE91" s="523"/>
      <c r="DF91" s="523"/>
      <c r="DG91" s="470"/>
      <c r="DH91" s="523"/>
      <c r="DI91" s="523"/>
      <c r="DJ91" s="523"/>
      <c r="DK91" s="470"/>
      <c r="DL91" s="523"/>
      <c r="DM91" s="523"/>
      <c r="DN91" s="523"/>
      <c r="DO91" s="470"/>
      <c r="DP91" s="523"/>
      <c r="DQ91" s="523"/>
      <c r="DR91" s="523"/>
      <c r="DS91" s="523"/>
      <c r="DT91" s="523"/>
      <c r="DU91" s="523"/>
      <c r="DV91" s="523"/>
      <c r="DW91" s="523"/>
      <c r="DX91" s="523"/>
      <c r="DY91" s="523"/>
      <c r="DZ91" s="523"/>
      <c r="EA91" s="523"/>
      <c r="EB91" s="523"/>
      <c r="EC91" s="523"/>
      <c r="ED91" s="523"/>
      <c r="EE91" s="523"/>
      <c r="EF91" s="523"/>
      <c r="EG91" s="523"/>
      <c r="EH91" s="523"/>
      <c r="EI91" s="523"/>
      <c r="EJ91" s="523"/>
      <c r="EK91" s="523"/>
      <c r="EL91" s="523"/>
      <c r="EM91" s="470"/>
      <c r="EN91" s="470"/>
      <c r="EO91" s="470"/>
      <c r="EP91" s="470"/>
      <c r="EQ91" s="470"/>
      <c r="ER91" s="470"/>
      <c r="ES91" s="470"/>
      <c r="ET91" s="470"/>
      <c r="EU91" s="470"/>
      <c r="EV91" s="470"/>
      <c r="EW91" s="470"/>
      <c r="EX91" s="470"/>
      <c r="EY91" s="470"/>
      <c r="EZ91" s="470"/>
      <c r="FA91" s="470"/>
      <c r="FB91" s="470"/>
      <c r="FC91" s="470"/>
      <c r="FD91" s="470"/>
      <c r="FE91" s="470"/>
      <c r="FF91" s="470"/>
      <c r="FG91" s="470"/>
      <c r="FH91" s="470"/>
      <c r="FI91" s="470"/>
      <c r="FJ91" s="470"/>
      <c r="FK91" s="470"/>
      <c r="FL91" s="470"/>
      <c r="FM91" s="470"/>
      <c r="FN91" s="470"/>
      <c r="FO91" s="470"/>
      <c r="FP91" s="470"/>
      <c r="FQ91" s="470"/>
      <c r="FR91" s="470"/>
      <c r="FS91" s="470"/>
      <c r="FT91" s="470"/>
      <c r="FU91" s="470"/>
      <c r="FV91" s="470"/>
      <c r="FW91" s="470"/>
      <c r="FX91" s="470"/>
      <c r="FY91" s="470"/>
      <c r="FZ91" s="470"/>
      <c r="GA91" s="470"/>
      <c r="GB91" s="470"/>
      <c r="GC91" s="470"/>
      <c r="GD91" s="470"/>
      <c r="GE91" s="470"/>
      <c r="GF91" s="470"/>
      <c r="GG91" s="470"/>
      <c r="GH91" s="470"/>
      <c r="GI91" s="470"/>
      <c r="GJ91" s="470"/>
      <c r="GK91" s="470"/>
      <c r="GL91" s="470"/>
      <c r="GM91" s="470"/>
      <c r="GN91" s="470"/>
      <c r="GO91" s="470"/>
      <c r="GP91" s="470"/>
      <c r="GQ91" s="470"/>
      <c r="GR91" s="470"/>
      <c r="GS91" s="470"/>
      <c r="GT91" s="470"/>
      <c r="GU91" s="470"/>
      <c r="GV91" s="523"/>
      <c r="GW91" s="523"/>
      <c r="GX91" s="523"/>
      <c r="GY91" s="470"/>
      <c r="GZ91" s="523"/>
      <c r="HA91" s="523"/>
      <c r="HB91" s="523"/>
      <c r="HC91" s="523"/>
      <c r="HD91" s="523"/>
      <c r="HE91" s="523"/>
      <c r="HF91" s="523"/>
      <c r="HG91" s="523"/>
      <c r="HH91" s="523"/>
      <c r="HI91" s="523"/>
      <c r="HJ91" s="523"/>
      <c r="HK91" s="523"/>
      <c r="HL91" s="523"/>
      <c r="HM91" s="523"/>
      <c r="HN91" s="523"/>
      <c r="HO91" s="523"/>
      <c r="HP91" s="523"/>
      <c r="HQ91" s="523"/>
      <c r="HR91" s="523"/>
      <c r="HS91" s="523"/>
    </row>
    <row r="92" spans="1:227" x14ac:dyDescent="0.25">
      <c r="A92" s="107">
        <v>15</v>
      </c>
      <c r="B92" s="518" t="s">
        <v>600</v>
      </c>
      <c r="C92" s="518"/>
      <c r="D92" s="465">
        <v>0</v>
      </c>
      <c r="E92" s="465">
        <v>0</v>
      </c>
      <c r="F92" s="612">
        <f t="shared" si="146"/>
        <v>0</v>
      </c>
      <c r="G92" s="616"/>
      <c r="H92" s="583">
        <v>1650000</v>
      </c>
      <c r="I92" s="461">
        <v>1650000</v>
      </c>
      <c r="J92" s="614">
        <f t="shared" si="147"/>
        <v>0</v>
      </c>
      <c r="K92" s="616"/>
      <c r="L92" s="498">
        <v>1770000</v>
      </c>
      <c r="M92" s="498">
        <v>1750000</v>
      </c>
      <c r="N92" s="614">
        <f t="shared" si="148"/>
        <v>20000</v>
      </c>
      <c r="O92" s="616"/>
      <c r="P92" s="461">
        <v>3000000</v>
      </c>
      <c r="Q92" s="498">
        <v>0</v>
      </c>
      <c r="R92" s="614">
        <f t="shared" si="149"/>
        <v>3000000</v>
      </c>
      <c r="S92" s="616"/>
      <c r="T92" s="465">
        <v>6420000</v>
      </c>
      <c r="U92" s="465">
        <v>3400000</v>
      </c>
      <c r="V92" s="611">
        <f t="shared" si="150"/>
        <v>3020000</v>
      </c>
      <c r="X92" s="465">
        <v>0</v>
      </c>
      <c r="Y92" s="465">
        <v>3400000</v>
      </c>
      <c r="Z92" s="454"/>
      <c r="AA92" s="470"/>
      <c r="AB92" s="523"/>
      <c r="AC92" s="523"/>
      <c r="AD92" s="523"/>
      <c r="AE92" s="470"/>
      <c r="AF92" s="523"/>
      <c r="AG92" s="523"/>
      <c r="AH92" s="523"/>
      <c r="AI92" s="470"/>
      <c r="AJ92" s="523"/>
      <c r="AK92" s="523"/>
      <c r="AL92" s="523"/>
      <c r="AM92" s="523"/>
      <c r="AN92" s="523"/>
      <c r="AO92" s="523"/>
      <c r="AP92" s="523"/>
      <c r="AQ92" s="470"/>
      <c r="AR92" s="523"/>
      <c r="AS92" s="523"/>
      <c r="AT92" s="523"/>
      <c r="AU92" s="470"/>
      <c r="AV92" s="523"/>
      <c r="AW92" s="523"/>
      <c r="AX92" s="523"/>
      <c r="AY92" s="470"/>
      <c r="AZ92" s="523"/>
      <c r="BA92" s="523"/>
      <c r="BB92" s="523"/>
      <c r="BC92" s="470"/>
      <c r="BD92" s="523"/>
      <c r="BE92" s="523"/>
      <c r="BF92" s="523"/>
      <c r="BG92" s="470"/>
      <c r="BH92" s="523"/>
      <c r="BI92" s="523"/>
      <c r="BJ92" s="523"/>
      <c r="BK92" s="470"/>
      <c r="BL92" s="523"/>
      <c r="BM92" s="523"/>
      <c r="BN92" s="523"/>
      <c r="BO92" s="470"/>
      <c r="BP92" s="523"/>
      <c r="BQ92" s="523"/>
      <c r="BR92" s="523"/>
      <c r="BS92" s="470"/>
      <c r="BT92" s="523"/>
      <c r="BU92" s="523"/>
      <c r="BV92" s="523"/>
      <c r="BW92" s="470"/>
      <c r="BX92" s="523"/>
      <c r="BY92" s="523"/>
      <c r="BZ92" s="523"/>
      <c r="CA92" s="470"/>
      <c r="CB92" s="523"/>
      <c r="CC92" s="523"/>
      <c r="CD92" s="523"/>
      <c r="CE92" s="470"/>
      <c r="CF92" s="523"/>
      <c r="CG92" s="523"/>
      <c r="CH92" s="523"/>
      <c r="CI92" s="470"/>
      <c r="CJ92" s="523"/>
      <c r="CK92" s="523"/>
      <c r="CL92" s="523"/>
      <c r="CM92" s="470"/>
      <c r="CN92" s="523"/>
      <c r="CO92" s="523"/>
      <c r="CP92" s="523"/>
      <c r="CQ92" s="470"/>
      <c r="CR92" s="523"/>
      <c r="CS92" s="523"/>
      <c r="CT92" s="523"/>
      <c r="CU92" s="470"/>
      <c r="CV92" s="523"/>
      <c r="CW92" s="523"/>
      <c r="CX92" s="523"/>
      <c r="CY92" s="470"/>
      <c r="CZ92" s="523"/>
      <c r="DA92" s="523"/>
      <c r="DB92" s="523"/>
      <c r="DC92" s="470"/>
      <c r="DD92" s="523"/>
      <c r="DE92" s="523"/>
      <c r="DF92" s="523"/>
      <c r="DG92" s="470"/>
      <c r="DH92" s="523"/>
      <c r="DI92" s="523"/>
      <c r="DJ92" s="523"/>
      <c r="DK92" s="470"/>
      <c r="DL92" s="523"/>
      <c r="DM92" s="523"/>
      <c r="DN92" s="523"/>
      <c r="DO92" s="470"/>
      <c r="DP92" s="523"/>
      <c r="DQ92" s="523"/>
      <c r="DR92" s="523"/>
      <c r="DS92" s="523"/>
      <c r="DT92" s="523"/>
      <c r="DU92" s="523"/>
      <c r="DV92" s="523"/>
      <c r="DW92" s="523"/>
      <c r="DX92" s="523"/>
      <c r="DY92" s="523"/>
      <c r="DZ92" s="523"/>
      <c r="EA92" s="523"/>
      <c r="EB92" s="523"/>
      <c r="EC92" s="523"/>
      <c r="ED92" s="523"/>
      <c r="EE92" s="523"/>
      <c r="EF92" s="523"/>
      <c r="EG92" s="523"/>
      <c r="EH92" s="523"/>
      <c r="EI92" s="523"/>
      <c r="EJ92" s="523"/>
      <c r="EK92" s="523"/>
      <c r="EL92" s="523"/>
      <c r="EM92" s="470"/>
      <c r="EN92" s="470"/>
      <c r="EO92" s="470"/>
      <c r="EP92" s="470"/>
      <c r="EQ92" s="470"/>
      <c r="ER92" s="470"/>
      <c r="ES92" s="470"/>
      <c r="ET92" s="470"/>
      <c r="EU92" s="470"/>
      <c r="EV92" s="470"/>
      <c r="EW92" s="470"/>
      <c r="EX92" s="470"/>
      <c r="EY92" s="470"/>
      <c r="EZ92" s="470"/>
      <c r="FA92" s="470"/>
      <c r="FB92" s="470"/>
      <c r="FC92" s="470"/>
      <c r="FD92" s="470"/>
      <c r="FE92" s="470"/>
      <c r="FF92" s="470"/>
      <c r="FG92" s="470"/>
      <c r="FH92" s="470"/>
      <c r="FI92" s="470"/>
      <c r="FJ92" s="470"/>
      <c r="FK92" s="470"/>
      <c r="FL92" s="470"/>
      <c r="FM92" s="470"/>
      <c r="FN92" s="470"/>
      <c r="FO92" s="470"/>
      <c r="FP92" s="470"/>
      <c r="FQ92" s="470"/>
      <c r="FR92" s="470"/>
      <c r="FS92" s="470"/>
      <c r="FT92" s="470"/>
      <c r="FU92" s="470"/>
      <c r="FV92" s="470"/>
      <c r="FW92" s="470"/>
      <c r="FX92" s="470"/>
      <c r="FY92" s="470"/>
      <c r="FZ92" s="470"/>
      <c r="GA92" s="470"/>
      <c r="GB92" s="470"/>
      <c r="GC92" s="470"/>
      <c r="GD92" s="470"/>
      <c r="GE92" s="470"/>
      <c r="GF92" s="470"/>
      <c r="GG92" s="470"/>
      <c r="GH92" s="470"/>
      <c r="GI92" s="470"/>
      <c r="GJ92" s="470"/>
      <c r="GK92" s="470"/>
      <c r="GL92" s="470"/>
      <c r="GM92" s="470"/>
      <c r="GN92" s="470"/>
      <c r="GO92" s="470"/>
      <c r="GP92" s="470"/>
      <c r="GQ92" s="470"/>
      <c r="GR92" s="470"/>
      <c r="GS92" s="470"/>
      <c r="GT92" s="470"/>
      <c r="GU92" s="470"/>
      <c r="GV92" s="523"/>
      <c r="GW92" s="523"/>
      <c r="GX92" s="523"/>
      <c r="GY92" s="470"/>
      <c r="GZ92" s="523"/>
      <c r="HA92" s="523"/>
      <c r="HB92" s="523"/>
      <c r="HC92" s="523"/>
      <c r="HD92" s="523"/>
      <c r="HE92" s="523"/>
      <c r="HF92" s="523"/>
      <c r="HG92" s="523"/>
      <c r="HH92" s="523"/>
      <c r="HI92" s="523"/>
      <c r="HJ92" s="523"/>
      <c r="HK92" s="523"/>
      <c r="HL92" s="523"/>
      <c r="HM92" s="523"/>
      <c r="HN92" s="523"/>
      <c r="HO92" s="523"/>
      <c r="HP92" s="523"/>
      <c r="HQ92" s="523"/>
      <c r="HR92" s="523"/>
      <c r="HS92" s="523"/>
    </row>
    <row r="93" spans="1:227" x14ac:dyDescent="0.25">
      <c r="A93" s="107">
        <v>16</v>
      </c>
      <c r="B93" s="518" t="s">
        <v>601</v>
      </c>
      <c r="C93" s="518"/>
      <c r="D93" s="465">
        <v>0</v>
      </c>
      <c r="E93" s="465">
        <v>0</v>
      </c>
      <c r="F93" s="612">
        <f t="shared" si="146"/>
        <v>0</v>
      </c>
      <c r="G93" s="616"/>
      <c r="H93" s="583">
        <v>1650000</v>
      </c>
      <c r="I93" s="461">
        <v>1650000</v>
      </c>
      <c r="J93" s="614">
        <f t="shared" si="147"/>
        <v>0</v>
      </c>
      <c r="K93" s="616"/>
      <c r="L93" s="498">
        <v>1770000</v>
      </c>
      <c r="M93" s="498">
        <v>1770000</v>
      </c>
      <c r="N93" s="614">
        <f t="shared" si="148"/>
        <v>0</v>
      </c>
      <c r="O93" s="616"/>
      <c r="P93" s="461">
        <v>3000000</v>
      </c>
      <c r="Q93" s="498">
        <v>2480000</v>
      </c>
      <c r="R93" s="614">
        <f t="shared" si="149"/>
        <v>520000</v>
      </c>
      <c r="S93" s="616"/>
      <c r="T93" s="465">
        <v>6420000</v>
      </c>
      <c r="U93" s="465">
        <v>5900000</v>
      </c>
      <c r="V93" s="611">
        <f t="shared" si="150"/>
        <v>520000</v>
      </c>
      <c r="X93" s="465">
        <v>0</v>
      </c>
      <c r="Y93" s="465">
        <v>5900000</v>
      </c>
      <c r="Z93" s="454"/>
      <c r="AA93" s="470"/>
      <c r="AB93" s="523"/>
      <c r="AC93" s="523"/>
      <c r="AD93" s="523"/>
      <c r="AE93" s="470"/>
      <c r="AF93" s="523"/>
      <c r="AG93" s="523"/>
      <c r="AH93" s="523"/>
      <c r="AI93" s="470"/>
      <c r="AJ93" s="523"/>
      <c r="AK93" s="523"/>
      <c r="AL93" s="523"/>
      <c r="AM93" s="523"/>
      <c r="AN93" s="523"/>
      <c r="AO93" s="523"/>
      <c r="AP93" s="523"/>
      <c r="AQ93" s="470"/>
      <c r="AR93" s="523"/>
      <c r="AS93" s="523"/>
      <c r="AT93" s="523"/>
      <c r="AU93" s="470"/>
      <c r="AV93" s="523"/>
      <c r="AW93" s="523"/>
      <c r="AX93" s="523"/>
      <c r="AY93" s="470"/>
      <c r="AZ93" s="523"/>
      <c r="BA93" s="523"/>
      <c r="BB93" s="523"/>
      <c r="BC93" s="470"/>
      <c r="BD93" s="523"/>
      <c r="BE93" s="523"/>
      <c r="BF93" s="523"/>
      <c r="BG93" s="470"/>
      <c r="BH93" s="523"/>
      <c r="BI93" s="523"/>
      <c r="BJ93" s="523"/>
      <c r="BK93" s="470"/>
      <c r="BL93" s="523"/>
      <c r="BM93" s="523"/>
      <c r="BN93" s="523"/>
      <c r="BO93" s="470"/>
      <c r="BP93" s="523"/>
      <c r="BQ93" s="523"/>
      <c r="BR93" s="523"/>
      <c r="BS93" s="470"/>
      <c r="BT93" s="523"/>
      <c r="BU93" s="523"/>
      <c r="BV93" s="523"/>
      <c r="BW93" s="470"/>
      <c r="BX93" s="523"/>
      <c r="BY93" s="523"/>
      <c r="BZ93" s="523"/>
      <c r="CA93" s="470"/>
      <c r="CB93" s="523"/>
      <c r="CC93" s="523"/>
      <c r="CD93" s="523"/>
      <c r="CE93" s="470"/>
      <c r="CF93" s="523"/>
      <c r="CG93" s="523"/>
      <c r="CH93" s="523"/>
      <c r="CI93" s="470"/>
      <c r="CJ93" s="523"/>
      <c r="CK93" s="523"/>
      <c r="CL93" s="523"/>
      <c r="CM93" s="470"/>
      <c r="CN93" s="523"/>
      <c r="CO93" s="523"/>
      <c r="CP93" s="523"/>
      <c r="CQ93" s="470"/>
      <c r="CR93" s="523"/>
      <c r="CS93" s="523"/>
      <c r="CT93" s="523"/>
      <c r="CU93" s="470"/>
      <c r="CV93" s="523"/>
      <c r="CW93" s="523"/>
      <c r="CX93" s="523"/>
      <c r="CY93" s="470"/>
      <c r="CZ93" s="523"/>
      <c r="DA93" s="523"/>
      <c r="DB93" s="523"/>
      <c r="DC93" s="470"/>
      <c r="DD93" s="523"/>
      <c r="DE93" s="523"/>
      <c r="DF93" s="523"/>
      <c r="DG93" s="470"/>
      <c r="DH93" s="523"/>
      <c r="DI93" s="523"/>
      <c r="DJ93" s="523"/>
      <c r="DK93" s="470"/>
      <c r="DL93" s="523"/>
      <c r="DM93" s="523"/>
      <c r="DN93" s="523"/>
      <c r="DO93" s="470"/>
      <c r="DP93" s="523"/>
      <c r="DQ93" s="523"/>
      <c r="DR93" s="523"/>
      <c r="DS93" s="523"/>
      <c r="DT93" s="523"/>
      <c r="DU93" s="523"/>
      <c r="DV93" s="523"/>
      <c r="DW93" s="523"/>
      <c r="DX93" s="523"/>
      <c r="DY93" s="523"/>
      <c r="DZ93" s="523"/>
      <c r="EA93" s="523"/>
      <c r="EB93" s="523"/>
      <c r="EC93" s="523"/>
      <c r="ED93" s="523"/>
      <c r="EE93" s="523"/>
      <c r="EF93" s="523"/>
      <c r="EG93" s="523"/>
      <c r="EH93" s="523"/>
      <c r="EI93" s="523"/>
      <c r="EJ93" s="523"/>
      <c r="EK93" s="523"/>
      <c r="EL93" s="523"/>
      <c r="EM93" s="470"/>
      <c r="EN93" s="470"/>
      <c r="EO93" s="470"/>
      <c r="EP93" s="470"/>
      <c r="EQ93" s="470"/>
      <c r="ER93" s="470"/>
      <c r="ES93" s="470"/>
      <c r="ET93" s="470"/>
      <c r="EU93" s="470"/>
      <c r="EV93" s="470"/>
      <c r="EW93" s="470"/>
      <c r="EX93" s="470"/>
      <c r="EY93" s="470"/>
      <c r="EZ93" s="470"/>
      <c r="FA93" s="470"/>
      <c r="FB93" s="470"/>
      <c r="FC93" s="470"/>
      <c r="FD93" s="470"/>
      <c r="FE93" s="470"/>
      <c r="FF93" s="470"/>
      <c r="FG93" s="470"/>
      <c r="FH93" s="470"/>
      <c r="FI93" s="470"/>
      <c r="FJ93" s="470"/>
      <c r="FK93" s="470"/>
      <c r="FL93" s="470"/>
      <c r="FM93" s="470"/>
      <c r="FN93" s="470"/>
      <c r="FO93" s="470"/>
      <c r="FP93" s="470"/>
      <c r="FQ93" s="470"/>
      <c r="FR93" s="470"/>
      <c r="FS93" s="470"/>
      <c r="FT93" s="470"/>
      <c r="FU93" s="470"/>
      <c r="FV93" s="470"/>
      <c r="FW93" s="470"/>
      <c r="FX93" s="470"/>
      <c r="FY93" s="470"/>
      <c r="FZ93" s="470"/>
      <c r="GA93" s="470"/>
      <c r="GB93" s="470"/>
      <c r="GC93" s="470"/>
      <c r="GD93" s="470"/>
      <c r="GE93" s="470"/>
      <c r="GF93" s="470"/>
      <c r="GG93" s="470"/>
      <c r="GH93" s="470"/>
      <c r="GI93" s="470"/>
      <c r="GJ93" s="470"/>
      <c r="GK93" s="470"/>
      <c r="GL93" s="470"/>
      <c r="GM93" s="470"/>
      <c r="GN93" s="470"/>
      <c r="GO93" s="470"/>
      <c r="GP93" s="470"/>
      <c r="GQ93" s="470"/>
      <c r="GR93" s="470"/>
      <c r="GS93" s="470"/>
      <c r="GT93" s="470"/>
      <c r="GU93" s="470"/>
      <c r="GV93" s="523"/>
      <c r="GW93" s="523"/>
      <c r="GX93" s="523"/>
      <c r="GY93" s="470"/>
      <c r="GZ93" s="523"/>
      <c r="HA93" s="523"/>
      <c r="HB93" s="523"/>
      <c r="HC93" s="523"/>
      <c r="HD93" s="523"/>
      <c r="HE93" s="523"/>
      <c r="HF93" s="523"/>
      <c r="HG93" s="523"/>
      <c r="HH93" s="523"/>
      <c r="HI93" s="523"/>
      <c r="HJ93" s="523"/>
      <c r="HK93" s="523"/>
      <c r="HL93" s="523"/>
      <c r="HM93" s="523"/>
      <c r="HN93" s="523"/>
      <c r="HO93" s="523"/>
      <c r="HP93" s="523"/>
      <c r="HQ93" s="523"/>
      <c r="HR93" s="523"/>
      <c r="HS93" s="523"/>
    </row>
    <row r="94" spans="1:227" x14ac:dyDescent="0.25">
      <c r="A94" s="107">
        <v>17</v>
      </c>
      <c r="B94" s="518" t="s">
        <v>602</v>
      </c>
      <c r="C94" s="518"/>
      <c r="D94" s="465">
        <v>0</v>
      </c>
      <c r="E94" s="465">
        <v>0</v>
      </c>
      <c r="F94" s="612">
        <f t="shared" si="146"/>
        <v>0</v>
      </c>
      <c r="G94" s="616"/>
      <c r="H94" s="583">
        <v>1650000</v>
      </c>
      <c r="I94" s="498">
        <v>1650000</v>
      </c>
      <c r="J94" s="614">
        <f t="shared" si="147"/>
        <v>0</v>
      </c>
      <c r="K94" s="616"/>
      <c r="L94" s="498">
        <v>1770000</v>
      </c>
      <c r="M94" s="498">
        <v>1770000</v>
      </c>
      <c r="N94" s="614">
        <f t="shared" si="148"/>
        <v>0</v>
      </c>
      <c r="O94" s="616"/>
      <c r="P94" s="461">
        <v>3000000</v>
      </c>
      <c r="Q94" s="498">
        <v>3000000</v>
      </c>
      <c r="R94" s="614">
        <f t="shared" si="149"/>
        <v>0</v>
      </c>
      <c r="S94" s="616"/>
      <c r="T94" s="465">
        <v>6420000</v>
      </c>
      <c r="U94" s="465">
        <v>6420000</v>
      </c>
      <c r="V94" s="611">
        <f t="shared" si="150"/>
        <v>0</v>
      </c>
      <c r="X94" s="465">
        <v>0</v>
      </c>
      <c r="Y94" s="465">
        <v>6420000</v>
      </c>
      <c r="Z94" s="454"/>
      <c r="AA94" s="470"/>
      <c r="AB94" s="523"/>
      <c r="AC94" s="523"/>
      <c r="AD94" s="523"/>
      <c r="AE94" s="470"/>
      <c r="AF94" s="523"/>
      <c r="AG94" s="523"/>
      <c r="AH94" s="523"/>
      <c r="AI94" s="470"/>
      <c r="AJ94" s="523"/>
      <c r="AK94" s="523"/>
      <c r="AL94" s="523"/>
      <c r="AM94" s="523"/>
      <c r="AN94" s="523"/>
      <c r="AO94" s="523"/>
      <c r="AP94" s="523"/>
      <c r="AQ94" s="470"/>
      <c r="AR94" s="523"/>
      <c r="AS94" s="523"/>
      <c r="AT94" s="523"/>
      <c r="AU94" s="470"/>
      <c r="AV94" s="523"/>
      <c r="AW94" s="523"/>
      <c r="AX94" s="523"/>
      <c r="AY94" s="470"/>
      <c r="AZ94" s="523"/>
      <c r="BA94" s="523"/>
      <c r="BB94" s="523"/>
      <c r="BC94" s="470"/>
      <c r="BD94" s="523"/>
      <c r="BE94" s="523"/>
      <c r="BF94" s="523"/>
      <c r="BG94" s="470"/>
      <c r="BH94" s="523"/>
      <c r="BI94" s="523"/>
      <c r="BJ94" s="523"/>
      <c r="BK94" s="470"/>
      <c r="BL94" s="523"/>
      <c r="BM94" s="523"/>
      <c r="BN94" s="523"/>
      <c r="BO94" s="470"/>
      <c r="BP94" s="523"/>
      <c r="BQ94" s="523"/>
      <c r="BR94" s="523"/>
      <c r="BS94" s="470"/>
      <c r="BT94" s="523"/>
      <c r="BU94" s="523"/>
      <c r="BV94" s="523"/>
      <c r="BW94" s="470"/>
      <c r="BX94" s="523"/>
      <c r="BY94" s="523"/>
      <c r="BZ94" s="523"/>
      <c r="CA94" s="470"/>
      <c r="CB94" s="523"/>
      <c r="CC94" s="523"/>
      <c r="CD94" s="523"/>
      <c r="CE94" s="470"/>
      <c r="CF94" s="523"/>
      <c r="CG94" s="523"/>
      <c r="CH94" s="523"/>
      <c r="CI94" s="470"/>
      <c r="CJ94" s="523"/>
      <c r="CK94" s="523"/>
      <c r="CL94" s="523"/>
      <c r="CM94" s="470"/>
      <c r="CN94" s="523"/>
      <c r="CO94" s="523"/>
      <c r="CP94" s="523"/>
      <c r="CQ94" s="470"/>
      <c r="CR94" s="523"/>
      <c r="CS94" s="523"/>
      <c r="CT94" s="523"/>
      <c r="CU94" s="470"/>
      <c r="CV94" s="523"/>
      <c r="CW94" s="523"/>
      <c r="CX94" s="523"/>
      <c r="CY94" s="470"/>
      <c r="CZ94" s="523"/>
      <c r="DA94" s="523"/>
      <c r="DB94" s="523"/>
      <c r="DC94" s="470"/>
      <c r="DD94" s="523"/>
      <c r="DE94" s="523"/>
      <c r="DF94" s="523"/>
      <c r="DG94" s="470"/>
      <c r="DH94" s="523"/>
      <c r="DI94" s="523"/>
      <c r="DJ94" s="523"/>
      <c r="DK94" s="470"/>
      <c r="DL94" s="523"/>
      <c r="DM94" s="523"/>
      <c r="DN94" s="523"/>
      <c r="DO94" s="470"/>
      <c r="DP94" s="523"/>
      <c r="DQ94" s="523"/>
      <c r="DR94" s="523"/>
      <c r="DS94" s="523"/>
      <c r="DT94" s="523"/>
      <c r="DU94" s="523"/>
      <c r="DV94" s="523"/>
      <c r="DW94" s="523"/>
      <c r="DX94" s="523"/>
      <c r="DY94" s="523"/>
      <c r="DZ94" s="523"/>
      <c r="EA94" s="523"/>
      <c r="EB94" s="523"/>
      <c r="EC94" s="523"/>
      <c r="ED94" s="523"/>
      <c r="EE94" s="523"/>
      <c r="EF94" s="523"/>
      <c r="EG94" s="523"/>
      <c r="EH94" s="523"/>
      <c r="EI94" s="523"/>
      <c r="EJ94" s="523"/>
      <c r="EK94" s="523"/>
      <c r="EL94" s="523"/>
      <c r="EM94" s="470"/>
      <c r="EN94" s="470"/>
      <c r="EO94" s="470"/>
      <c r="EP94" s="470"/>
      <c r="EQ94" s="470"/>
      <c r="ER94" s="470"/>
      <c r="ES94" s="470"/>
      <c r="ET94" s="470"/>
      <c r="EU94" s="470"/>
      <c r="EV94" s="470"/>
      <c r="EW94" s="470"/>
      <c r="EX94" s="470"/>
      <c r="EY94" s="470"/>
      <c r="EZ94" s="470"/>
      <c r="FA94" s="470"/>
      <c r="FB94" s="470"/>
      <c r="FC94" s="470"/>
      <c r="FD94" s="470"/>
      <c r="FE94" s="470"/>
      <c r="FF94" s="470"/>
      <c r="FG94" s="470"/>
      <c r="FH94" s="470"/>
      <c r="FI94" s="470"/>
      <c r="FJ94" s="470"/>
      <c r="FK94" s="470"/>
      <c r="FL94" s="470"/>
      <c r="FM94" s="470"/>
      <c r="FN94" s="470"/>
      <c r="FO94" s="470"/>
      <c r="FP94" s="470"/>
      <c r="FQ94" s="470"/>
      <c r="FR94" s="470"/>
      <c r="FS94" s="470"/>
      <c r="FT94" s="470"/>
      <c r="FU94" s="470"/>
      <c r="FV94" s="470"/>
      <c r="FW94" s="470"/>
      <c r="FX94" s="470"/>
      <c r="FY94" s="470"/>
      <c r="FZ94" s="470"/>
      <c r="GA94" s="470"/>
      <c r="GB94" s="470"/>
      <c r="GC94" s="470"/>
      <c r="GD94" s="470"/>
      <c r="GE94" s="470"/>
      <c r="GF94" s="470"/>
      <c r="GG94" s="470"/>
      <c r="GH94" s="470"/>
      <c r="GI94" s="470"/>
      <c r="GJ94" s="470"/>
      <c r="GK94" s="470"/>
      <c r="GL94" s="470"/>
      <c r="GM94" s="470"/>
      <c r="GN94" s="470"/>
      <c r="GO94" s="470"/>
      <c r="GP94" s="470"/>
      <c r="GQ94" s="470"/>
      <c r="GR94" s="470"/>
      <c r="GS94" s="470"/>
      <c r="GT94" s="470"/>
      <c r="GU94" s="470"/>
      <c r="GV94" s="523"/>
      <c r="GW94" s="523"/>
      <c r="GX94" s="523"/>
      <c r="GY94" s="470"/>
      <c r="GZ94" s="523"/>
      <c r="HA94" s="523"/>
      <c r="HB94" s="523"/>
      <c r="HC94" s="523"/>
      <c r="HD94" s="523"/>
      <c r="HE94" s="523"/>
      <c r="HF94" s="523"/>
      <c r="HG94" s="523"/>
      <c r="HH94" s="523"/>
      <c r="HI94" s="523"/>
      <c r="HJ94" s="523"/>
      <c r="HK94" s="523"/>
      <c r="HL94" s="523"/>
      <c r="HM94" s="523"/>
      <c r="HN94" s="523"/>
      <c r="HO94" s="523"/>
      <c r="HP94" s="523"/>
      <c r="HQ94" s="523"/>
      <c r="HR94" s="523"/>
      <c r="HS94" s="523"/>
    </row>
    <row r="95" spans="1:227" x14ac:dyDescent="0.25">
      <c r="A95" s="107">
        <v>18</v>
      </c>
      <c r="B95" s="518" t="s">
        <v>603</v>
      </c>
      <c r="C95" s="518"/>
      <c r="D95" s="465">
        <v>0</v>
      </c>
      <c r="E95" s="465">
        <v>0</v>
      </c>
      <c r="F95" s="612">
        <f t="shared" si="146"/>
        <v>0</v>
      </c>
      <c r="G95" s="616"/>
      <c r="H95" s="583">
        <v>1650000</v>
      </c>
      <c r="I95" s="461">
        <v>1650000</v>
      </c>
      <c r="J95" s="614">
        <f t="shared" si="147"/>
        <v>0</v>
      </c>
      <c r="K95" s="616"/>
      <c r="L95" s="498">
        <v>1770000</v>
      </c>
      <c r="M95" s="498">
        <v>1770000</v>
      </c>
      <c r="N95" s="614">
        <f t="shared" si="148"/>
        <v>0</v>
      </c>
      <c r="O95" s="616"/>
      <c r="P95" s="461">
        <v>3000000</v>
      </c>
      <c r="Q95" s="498">
        <v>2580000</v>
      </c>
      <c r="R95" s="614">
        <f t="shared" si="149"/>
        <v>420000</v>
      </c>
      <c r="S95" s="616"/>
      <c r="T95" s="465">
        <v>6420000</v>
      </c>
      <c r="U95" s="465">
        <v>6000000</v>
      </c>
      <c r="V95" s="611">
        <f t="shared" si="150"/>
        <v>420000</v>
      </c>
      <c r="X95" s="465">
        <v>0</v>
      </c>
      <c r="Y95" s="465">
        <v>6000000</v>
      </c>
      <c r="Z95" s="454"/>
      <c r="AA95" s="470"/>
      <c r="AB95" s="523"/>
      <c r="AC95" s="523"/>
      <c r="AD95" s="523"/>
      <c r="AE95" s="470"/>
      <c r="AF95" s="523"/>
      <c r="AG95" s="523"/>
      <c r="AH95" s="523"/>
      <c r="AI95" s="470"/>
      <c r="AJ95" s="523"/>
      <c r="AK95" s="523"/>
      <c r="AL95" s="523"/>
      <c r="AM95" s="523"/>
      <c r="AN95" s="523"/>
      <c r="AO95" s="523"/>
      <c r="AP95" s="523"/>
      <c r="AQ95" s="470"/>
      <c r="AR95" s="523"/>
      <c r="AS95" s="523"/>
      <c r="AT95" s="523"/>
      <c r="AU95" s="470"/>
      <c r="AV95" s="523"/>
      <c r="AW95" s="523"/>
      <c r="AX95" s="523"/>
      <c r="AY95" s="470"/>
      <c r="AZ95" s="523"/>
      <c r="BA95" s="523"/>
      <c r="BB95" s="523"/>
      <c r="BC95" s="470"/>
      <c r="BD95" s="523"/>
      <c r="BE95" s="523"/>
      <c r="BF95" s="523"/>
      <c r="BG95" s="470"/>
      <c r="BH95" s="523"/>
      <c r="BI95" s="523"/>
      <c r="BJ95" s="523"/>
      <c r="BK95" s="470"/>
      <c r="BL95" s="523"/>
      <c r="BM95" s="523"/>
      <c r="BN95" s="523"/>
      <c r="BO95" s="470"/>
      <c r="BP95" s="523"/>
      <c r="BQ95" s="523"/>
      <c r="BR95" s="523"/>
      <c r="BS95" s="470"/>
      <c r="BT95" s="523"/>
      <c r="BU95" s="523"/>
      <c r="BV95" s="523"/>
      <c r="BW95" s="470"/>
      <c r="BX95" s="523"/>
      <c r="BY95" s="523"/>
      <c r="BZ95" s="523"/>
      <c r="CA95" s="470"/>
      <c r="CB95" s="523"/>
      <c r="CC95" s="523"/>
      <c r="CD95" s="523"/>
      <c r="CE95" s="470"/>
      <c r="CF95" s="523"/>
      <c r="CG95" s="523"/>
      <c r="CH95" s="523"/>
      <c r="CI95" s="470"/>
      <c r="CJ95" s="523"/>
      <c r="CK95" s="523"/>
      <c r="CL95" s="523"/>
      <c r="CM95" s="470"/>
      <c r="CN95" s="523"/>
      <c r="CO95" s="523"/>
      <c r="CP95" s="523"/>
      <c r="CQ95" s="470"/>
      <c r="CR95" s="523"/>
      <c r="CS95" s="523"/>
      <c r="CT95" s="523"/>
      <c r="CU95" s="470"/>
      <c r="CV95" s="523"/>
      <c r="CW95" s="523"/>
      <c r="CX95" s="523"/>
      <c r="CY95" s="470"/>
      <c r="CZ95" s="523"/>
      <c r="DA95" s="523"/>
      <c r="DB95" s="523"/>
      <c r="DC95" s="470"/>
      <c r="DD95" s="523"/>
      <c r="DE95" s="523"/>
      <c r="DF95" s="523"/>
      <c r="DG95" s="470"/>
      <c r="DH95" s="523"/>
      <c r="DI95" s="523"/>
      <c r="DJ95" s="523"/>
      <c r="DK95" s="470"/>
      <c r="DL95" s="523"/>
      <c r="DM95" s="523"/>
      <c r="DN95" s="523"/>
      <c r="DO95" s="470"/>
      <c r="DP95" s="523"/>
      <c r="DQ95" s="523"/>
      <c r="DR95" s="523"/>
      <c r="DS95" s="523"/>
      <c r="DT95" s="523"/>
      <c r="DU95" s="523"/>
      <c r="DV95" s="523"/>
      <c r="DW95" s="523"/>
      <c r="DX95" s="523"/>
      <c r="DY95" s="523"/>
      <c r="DZ95" s="523"/>
      <c r="EA95" s="523"/>
      <c r="EB95" s="523"/>
      <c r="EC95" s="523"/>
      <c r="ED95" s="523"/>
      <c r="EE95" s="523"/>
      <c r="EF95" s="523"/>
      <c r="EG95" s="523"/>
      <c r="EH95" s="523"/>
      <c r="EI95" s="523"/>
      <c r="EJ95" s="523"/>
      <c r="EK95" s="523"/>
      <c r="EL95" s="523"/>
      <c r="EM95" s="470"/>
      <c r="EN95" s="470"/>
      <c r="EO95" s="470"/>
      <c r="EP95" s="470"/>
      <c r="EQ95" s="470"/>
      <c r="ER95" s="470"/>
      <c r="ES95" s="470"/>
      <c r="ET95" s="470"/>
      <c r="EU95" s="470"/>
      <c r="EV95" s="470"/>
      <c r="EW95" s="470"/>
      <c r="EX95" s="470"/>
      <c r="EY95" s="470"/>
      <c r="EZ95" s="470"/>
      <c r="FA95" s="470"/>
      <c r="FB95" s="470"/>
      <c r="FC95" s="470"/>
      <c r="FD95" s="470"/>
      <c r="FE95" s="470"/>
      <c r="FF95" s="470"/>
      <c r="FG95" s="470"/>
      <c r="FH95" s="470"/>
      <c r="FI95" s="470"/>
      <c r="FJ95" s="470"/>
      <c r="FK95" s="470"/>
      <c r="FL95" s="470"/>
      <c r="FM95" s="470"/>
      <c r="FN95" s="470"/>
      <c r="FO95" s="470"/>
      <c r="FP95" s="470"/>
      <c r="FQ95" s="470"/>
      <c r="FR95" s="470"/>
      <c r="FS95" s="470"/>
      <c r="FT95" s="470"/>
      <c r="FU95" s="470"/>
      <c r="FV95" s="470"/>
      <c r="FW95" s="470"/>
      <c r="FX95" s="470"/>
      <c r="FY95" s="470"/>
      <c r="FZ95" s="470"/>
      <c r="GA95" s="470"/>
      <c r="GB95" s="470"/>
      <c r="GC95" s="470"/>
      <c r="GD95" s="470"/>
      <c r="GE95" s="470"/>
      <c r="GF95" s="470"/>
      <c r="GG95" s="470"/>
      <c r="GH95" s="470"/>
      <c r="GI95" s="470"/>
      <c r="GJ95" s="470"/>
      <c r="GK95" s="470"/>
      <c r="GL95" s="470"/>
      <c r="GM95" s="470"/>
      <c r="GN95" s="470"/>
      <c r="GO95" s="470"/>
      <c r="GP95" s="470"/>
      <c r="GQ95" s="470"/>
      <c r="GR95" s="470"/>
      <c r="GS95" s="470"/>
      <c r="GT95" s="470"/>
      <c r="GU95" s="470"/>
      <c r="GV95" s="523"/>
      <c r="GW95" s="523"/>
      <c r="GX95" s="523"/>
      <c r="GY95" s="470"/>
      <c r="GZ95" s="523"/>
      <c r="HA95" s="523"/>
      <c r="HB95" s="523"/>
      <c r="HC95" s="523"/>
      <c r="HD95" s="523"/>
      <c r="HE95" s="523"/>
      <c r="HF95" s="523"/>
      <c r="HG95" s="523"/>
      <c r="HH95" s="523"/>
      <c r="HI95" s="523"/>
      <c r="HJ95" s="523"/>
      <c r="HK95" s="523"/>
      <c r="HL95" s="523"/>
      <c r="HM95" s="523"/>
      <c r="HN95" s="523"/>
      <c r="HO95" s="523"/>
      <c r="HP95" s="523"/>
      <c r="HQ95" s="523"/>
      <c r="HR95" s="523"/>
      <c r="HS95" s="523"/>
    </row>
    <row r="96" spans="1:227" x14ac:dyDescent="0.25">
      <c r="A96" s="107">
        <v>19</v>
      </c>
      <c r="B96" s="518" t="s">
        <v>604</v>
      </c>
      <c r="C96" s="518"/>
      <c r="D96" s="465">
        <v>0</v>
      </c>
      <c r="E96" s="465">
        <v>0</v>
      </c>
      <c r="F96" s="612">
        <f t="shared" si="146"/>
        <v>0</v>
      </c>
      <c r="G96" s="616"/>
      <c r="H96" s="583">
        <v>1650000</v>
      </c>
      <c r="I96" s="498">
        <v>0</v>
      </c>
      <c r="J96" s="614">
        <f t="shared" si="147"/>
        <v>1650000</v>
      </c>
      <c r="K96" s="616"/>
      <c r="L96" s="498">
        <v>1770000</v>
      </c>
      <c r="M96" s="498">
        <v>0</v>
      </c>
      <c r="N96" s="614">
        <f t="shared" si="148"/>
        <v>1770000</v>
      </c>
      <c r="O96" s="616"/>
      <c r="P96" s="461">
        <v>3000000</v>
      </c>
      <c r="Q96" s="498">
        <v>0</v>
      </c>
      <c r="R96" s="614">
        <f t="shared" si="149"/>
        <v>3000000</v>
      </c>
      <c r="S96" s="616"/>
      <c r="T96" s="465">
        <v>6420000</v>
      </c>
      <c r="U96" s="465">
        <v>0</v>
      </c>
      <c r="V96" s="611">
        <f t="shared" si="150"/>
        <v>6420000</v>
      </c>
      <c r="X96" s="465">
        <v>0</v>
      </c>
      <c r="Y96" s="465">
        <v>0</v>
      </c>
      <c r="Z96" s="454"/>
      <c r="AA96" s="470"/>
      <c r="AB96" s="523"/>
      <c r="AC96" s="523"/>
      <c r="AD96" s="523"/>
      <c r="AE96" s="470"/>
      <c r="AF96" s="523"/>
      <c r="AG96" s="523"/>
      <c r="AH96" s="523"/>
      <c r="AI96" s="470"/>
      <c r="AJ96" s="523"/>
      <c r="AK96" s="523"/>
      <c r="AL96" s="523"/>
      <c r="AM96" s="523"/>
      <c r="AN96" s="523"/>
      <c r="AO96" s="523"/>
      <c r="AP96" s="523"/>
      <c r="AQ96" s="470"/>
      <c r="AR96" s="523"/>
      <c r="AS96" s="523"/>
      <c r="AT96" s="523"/>
      <c r="AU96" s="470"/>
      <c r="AV96" s="523"/>
      <c r="AW96" s="523"/>
      <c r="AX96" s="523"/>
      <c r="AY96" s="470"/>
      <c r="AZ96" s="523"/>
      <c r="BA96" s="523"/>
      <c r="BB96" s="523"/>
      <c r="BC96" s="470"/>
      <c r="BD96" s="523"/>
      <c r="BE96" s="523"/>
      <c r="BF96" s="523"/>
      <c r="BG96" s="470"/>
      <c r="BH96" s="523"/>
      <c r="BI96" s="523"/>
      <c r="BJ96" s="523"/>
      <c r="BK96" s="470"/>
      <c r="BL96" s="523"/>
      <c r="BM96" s="523"/>
      <c r="BN96" s="523"/>
      <c r="BO96" s="470"/>
      <c r="BP96" s="523"/>
      <c r="BQ96" s="523"/>
      <c r="BR96" s="523"/>
      <c r="BS96" s="470"/>
      <c r="BT96" s="523"/>
      <c r="BU96" s="523"/>
      <c r="BV96" s="523"/>
      <c r="BW96" s="470"/>
      <c r="BX96" s="523"/>
      <c r="BY96" s="523"/>
      <c r="BZ96" s="523"/>
      <c r="CA96" s="470"/>
      <c r="CB96" s="523"/>
      <c r="CC96" s="523"/>
      <c r="CD96" s="523"/>
      <c r="CE96" s="470"/>
      <c r="CF96" s="523"/>
      <c r="CG96" s="523"/>
      <c r="CH96" s="523"/>
      <c r="CI96" s="470"/>
      <c r="CJ96" s="523"/>
      <c r="CK96" s="523"/>
      <c r="CL96" s="523"/>
      <c r="CM96" s="470"/>
      <c r="CN96" s="523"/>
      <c r="CO96" s="523"/>
      <c r="CP96" s="523"/>
      <c r="CQ96" s="470"/>
      <c r="CR96" s="523"/>
      <c r="CS96" s="523"/>
      <c r="CT96" s="523"/>
      <c r="CU96" s="470"/>
      <c r="CV96" s="523"/>
      <c r="CW96" s="523"/>
      <c r="CX96" s="523"/>
      <c r="CY96" s="470"/>
      <c r="CZ96" s="523"/>
      <c r="DA96" s="523"/>
      <c r="DB96" s="523"/>
      <c r="DC96" s="470"/>
      <c r="DD96" s="523"/>
      <c r="DE96" s="523"/>
      <c r="DF96" s="523"/>
      <c r="DG96" s="470"/>
      <c r="DH96" s="523"/>
      <c r="DI96" s="523"/>
      <c r="DJ96" s="523"/>
      <c r="DK96" s="470"/>
      <c r="DL96" s="523"/>
      <c r="DM96" s="523"/>
      <c r="DN96" s="523"/>
      <c r="DO96" s="470"/>
      <c r="DP96" s="523"/>
      <c r="DQ96" s="523"/>
      <c r="DR96" s="523"/>
      <c r="DS96" s="523"/>
      <c r="DT96" s="523"/>
      <c r="DU96" s="523"/>
      <c r="DV96" s="523"/>
      <c r="DW96" s="523"/>
      <c r="DX96" s="523"/>
      <c r="DY96" s="523"/>
      <c r="DZ96" s="523"/>
      <c r="EA96" s="523"/>
      <c r="EB96" s="523"/>
      <c r="EC96" s="523"/>
      <c r="ED96" s="523"/>
      <c r="EE96" s="523"/>
      <c r="EF96" s="523"/>
      <c r="EG96" s="523"/>
      <c r="EH96" s="523"/>
      <c r="EI96" s="523"/>
      <c r="EJ96" s="523"/>
      <c r="EK96" s="523"/>
      <c r="EL96" s="523"/>
      <c r="EM96" s="470"/>
      <c r="EN96" s="470"/>
      <c r="EO96" s="470"/>
      <c r="EP96" s="470"/>
      <c r="EQ96" s="470"/>
      <c r="ER96" s="470"/>
      <c r="ES96" s="470"/>
      <c r="ET96" s="470"/>
      <c r="EU96" s="470"/>
      <c r="EV96" s="470"/>
      <c r="EW96" s="470"/>
      <c r="EX96" s="470"/>
      <c r="EY96" s="470"/>
      <c r="EZ96" s="470"/>
      <c r="FA96" s="470"/>
      <c r="FB96" s="470"/>
      <c r="FC96" s="470"/>
      <c r="FD96" s="470"/>
      <c r="FE96" s="470"/>
      <c r="FF96" s="470"/>
      <c r="FG96" s="470"/>
      <c r="FH96" s="470"/>
      <c r="FI96" s="470"/>
      <c r="FJ96" s="470"/>
      <c r="FK96" s="470"/>
      <c r="FL96" s="470"/>
      <c r="FM96" s="470"/>
      <c r="FN96" s="470"/>
      <c r="FO96" s="470"/>
      <c r="FP96" s="470"/>
      <c r="FQ96" s="470"/>
      <c r="FR96" s="470"/>
      <c r="FS96" s="470"/>
      <c r="FT96" s="470"/>
      <c r="FU96" s="470"/>
      <c r="FV96" s="470"/>
      <c r="FW96" s="470"/>
      <c r="FX96" s="470"/>
      <c r="FY96" s="470"/>
      <c r="FZ96" s="470"/>
      <c r="GA96" s="470"/>
      <c r="GB96" s="470"/>
      <c r="GC96" s="470"/>
      <c r="GD96" s="470"/>
      <c r="GE96" s="470"/>
      <c r="GF96" s="470"/>
      <c r="GG96" s="470"/>
      <c r="GH96" s="470"/>
      <c r="GI96" s="470"/>
      <c r="GJ96" s="470"/>
      <c r="GK96" s="470"/>
      <c r="GL96" s="470"/>
      <c r="GM96" s="470"/>
      <c r="GN96" s="470"/>
      <c r="GO96" s="470"/>
      <c r="GP96" s="470"/>
      <c r="GQ96" s="470"/>
      <c r="GR96" s="470"/>
      <c r="GS96" s="470"/>
      <c r="GT96" s="470"/>
      <c r="GU96" s="470"/>
      <c r="GV96" s="523"/>
      <c r="GW96" s="523"/>
      <c r="GX96" s="523"/>
      <c r="GY96" s="470"/>
      <c r="GZ96" s="523"/>
      <c r="HA96" s="523"/>
      <c r="HB96" s="523"/>
      <c r="HC96" s="523"/>
      <c r="HD96" s="523"/>
      <c r="HE96" s="523"/>
      <c r="HF96" s="523"/>
      <c r="HG96" s="523"/>
      <c r="HH96" s="523"/>
      <c r="HI96" s="523"/>
      <c r="HJ96" s="523"/>
      <c r="HK96" s="523"/>
      <c r="HL96" s="523"/>
      <c r="HM96" s="523"/>
      <c r="HN96" s="523"/>
      <c r="HO96" s="523"/>
      <c r="HP96" s="523"/>
      <c r="HQ96" s="523"/>
      <c r="HR96" s="523"/>
      <c r="HS96" s="523"/>
    </row>
    <row r="97" spans="1:227" x14ac:dyDescent="0.25">
      <c r="A97" s="107">
        <v>20</v>
      </c>
      <c r="B97" s="518" t="s">
        <v>605</v>
      </c>
      <c r="C97" s="518"/>
      <c r="D97" s="465">
        <v>0</v>
      </c>
      <c r="E97" s="465">
        <v>0</v>
      </c>
      <c r="F97" s="612">
        <f t="shared" si="146"/>
        <v>0</v>
      </c>
      <c r="G97" s="616"/>
      <c r="H97" s="583">
        <v>1650000</v>
      </c>
      <c r="I97" s="498">
        <v>0</v>
      </c>
      <c r="J97" s="614">
        <f t="shared" si="147"/>
        <v>1650000</v>
      </c>
      <c r="K97" s="616"/>
      <c r="L97" s="498">
        <v>1770000</v>
      </c>
      <c r="M97" s="498">
        <v>0</v>
      </c>
      <c r="N97" s="614">
        <f t="shared" si="148"/>
        <v>1770000</v>
      </c>
      <c r="O97" s="616"/>
      <c r="P97" s="461">
        <v>3000000</v>
      </c>
      <c r="Q97" s="498">
        <v>0</v>
      </c>
      <c r="R97" s="614">
        <f t="shared" si="149"/>
        <v>3000000</v>
      </c>
      <c r="S97" s="616"/>
      <c r="T97" s="465">
        <v>6420000</v>
      </c>
      <c r="U97" s="465">
        <v>0</v>
      </c>
      <c r="V97" s="611">
        <f t="shared" si="150"/>
        <v>6420000</v>
      </c>
      <c r="X97" s="465">
        <v>0</v>
      </c>
      <c r="Y97" s="465">
        <v>0</v>
      </c>
      <c r="Z97" s="454"/>
      <c r="AA97" s="470"/>
      <c r="AB97" s="523"/>
      <c r="AC97" s="523"/>
      <c r="AD97" s="523"/>
      <c r="AE97" s="470"/>
      <c r="AF97" s="523"/>
      <c r="AG97" s="523"/>
      <c r="AH97" s="523"/>
      <c r="AI97" s="470"/>
      <c r="AJ97" s="523"/>
      <c r="AK97" s="523"/>
      <c r="AL97" s="523"/>
      <c r="AM97" s="523"/>
      <c r="AN97" s="523"/>
      <c r="AO97" s="523"/>
      <c r="AP97" s="523"/>
      <c r="AQ97" s="470"/>
      <c r="AR97" s="523"/>
      <c r="AS97" s="523"/>
      <c r="AT97" s="523"/>
      <c r="AU97" s="470"/>
      <c r="AV97" s="523"/>
      <c r="AW97" s="523"/>
      <c r="AX97" s="523"/>
      <c r="AY97" s="470"/>
      <c r="AZ97" s="523"/>
      <c r="BA97" s="523"/>
      <c r="BB97" s="523"/>
      <c r="BC97" s="470"/>
      <c r="BD97" s="523"/>
      <c r="BE97" s="523"/>
      <c r="BF97" s="523"/>
      <c r="BG97" s="470"/>
      <c r="BH97" s="523"/>
      <c r="BI97" s="523"/>
      <c r="BJ97" s="523"/>
      <c r="BK97" s="470"/>
      <c r="BL97" s="523"/>
      <c r="BM97" s="523"/>
      <c r="BN97" s="523"/>
      <c r="BO97" s="470"/>
      <c r="BP97" s="523"/>
      <c r="BQ97" s="523"/>
      <c r="BR97" s="523"/>
      <c r="BS97" s="470"/>
      <c r="BT97" s="523"/>
      <c r="BU97" s="523"/>
      <c r="BV97" s="523"/>
      <c r="BW97" s="470"/>
      <c r="BX97" s="523"/>
      <c r="BY97" s="523"/>
      <c r="BZ97" s="523"/>
      <c r="CA97" s="470"/>
      <c r="CB97" s="523"/>
      <c r="CC97" s="523"/>
      <c r="CD97" s="523"/>
      <c r="CE97" s="470"/>
      <c r="CF97" s="523"/>
      <c r="CG97" s="523"/>
      <c r="CH97" s="523"/>
      <c r="CI97" s="470"/>
      <c r="CJ97" s="523"/>
      <c r="CK97" s="523"/>
      <c r="CL97" s="523"/>
      <c r="CM97" s="470"/>
      <c r="CN97" s="523"/>
      <c r="CO97" s="523"/>
      <c r="CP97" s="523"/>
      <c r="CQ97" s="470"/>
      <c r="CR97" s="523"/>
      <c r="CS97" s="523"/>
      <c r="CT97" s="523"/>
      <c r="CU97" s="470"/>
      <c r="CV97" s="523"/>
      <c r="CW97" s="523"/>
      <c r="CX97" s="523"/>
      <c r="CY97" s="470"/>
      <c r="CZ97" s="523"/>
      <c r="DA97" s="523"/>
      <c r="DB97" s="523"/>
      <c r="DC97" s="470"/>
      <c r="DD97" s="523"/>
      <c r="DE97" s="523"/>
      <c r="DF97" s="523"/>
      <c r="DG97" s="470"/>
      <c r="DH97" s="523"/>
      <c r="DI97" s="523"/>
      <c r="DJ97" s="523"/>
      <c r="DK97" s="470"/>
      <c r="DL97" s="523"/>
      <c r="DM97" s="523"/>
      <c r="DN97" s="523"/>
      <c r="DO97" s="470"/>
      <c r="DP97" s="523"/>
      <c r="DQ97" s="523"/>
      <c r="DR97" s="523"/>
      <c r="DS97" s="523"/>
      <c r="DT97" s="523"/>
      <c r="DU97" s="523"/>
      <c r="DV97" s="523"/>
      <c r="DW97" s="523"/>
      <c r="DX97" s="523"/>
      <c r="DY97" s="523"/>
      <c r="DZ97" s="523"/>
      <c r="EA97" s="523"/>
      <c r="EB97" s="523"/>
      <c r="EC97" s="523"/>
      <c r="ED97" s="523"/>
      <c r="EE97" s="523"/>
      <c r="EF97" s="523"/>
      <c r="EG97" s="523"/>
      <c r="EH97" s="523"/>
      <c r="EI97" s="523"/>
      <c r="EJ97" s="523"/>
      <c r="EK97" s="523"/>
      <c r="EL97" s="523"/>
      <c r="EM97" s="470"/>
      <c r="EN97" s="470"/>
      <c r="EO97" s="470"/>
      <c r="EP97" s="470"/>
      <c r="EQ97" s="470"/>
      <c r="ER97" s="470"/>
      <c r="ES97" s="470"/>
      <c r="ET97" s="470"/>
      <c r="EU97" s="470"/>
      <c r="EV97" s="470"/>
      <c r="EW97" s="470"/>
      <c r="EX97" s="470"/>
      <c r="EY97" s="470"/>
      <c r="EZ97" s="470"/>
      <c r="FA97" s="470"/>
      <c r="FB97" s="470"/>
      <c r="FC97" s="470"/>
      <c r="FD97" s="470"/>
      <c r="FE97" s="470"/>
      <c r="FF97" s="470"/>
      <c r="FG97" s="470"/>
      <c r="FH97" s="470"/>
      <c r="FI97" s="470"/>
      <c r="FJ97" s="470"/>
      <c r="FK97" s="470"/>
      <c r="FL97" s="470"/>
      <c r="FM97" s="470"/>
      <c r="FN97" s="470"/>
      <c r="FO97" s="470"/>
      <c r="FP97" s="470"/>
      <c r="FQ97" s="470"/>
      <c r="FR97" s="470"/>
      <c r="FS97" s="470"/>
      <c r="FT97" s="470"/>
      <c r="FU97" s="470"/>
      <c r="FV97" s="470"/>
      <c r="FW97" s="470"/>
      <c r="FX97" s="470"/>
      <c r="FY97" s="470"/>
      <c r="FZ97" s="470"/>
      <c r="GA97" s="470"/>
      <c r="GB97" s="470"/>
      <c r="GC97" s="470"/>
      <c r="GD97" s="470"/>
      <c r="GE97" s="470"/>
      <c r="GF97" s="470"/>
      <c r="GG97" s="470"/>
      <c r="GH97" s="470"/>
      <c r="GI97" s="470"/>
      <c r="GJ97" s="470"/>
      <c r="GK97" s="470"/>
      <c r="GL97" s="470"/>
      <c r="GM97" s="470"/>
      <c r="GN97" s="470"/>
      <c r="GO97" s="470"/>
      <c r="GP97" s="470"/>
      <c r="GQ97" s="470"/>
      <c r="GR97" s="470"/>
      <c r="GS97" s="470"/>
      <c r="GT97" s="470"/>
      <c r="GU97" s="470"/>
      <c r="GV97" s="523"/>
      <c r="GW97" s="523"/>
      <c r="GX97" s="523"/>
      <c r="GY97" s="470"/>
      <c r="GZ97" s="523"/>
      <c r="HA97" s="523"/>
      <c r="HB97" s="523"/>
      <c r="HC97" s="523"/>
      <c r="HD97" s="523"/>
      <c r="HE97" s="523"/>
      <c r="HF97" s="523"/>
      <c r="HG97" s="523"/>
      <c r="HH97" s="523"/>
      <c r="HI97" s="523"/>
      <c r="HJ97" s="523"/>
      <c r="HK97" s="523"/>
      <c r="HL97" s="523"/>
      <c r="HM97" s="523"/>
      <c r="HN97" s="523"/>
      <c r="HO97" s="523"/>
      <c r="HP97" s="523"/>
      <c r="HQ97" s="523"/>
      <c r="HR97" s="523"/>
      <c r="HS97" s="523"/>
    </row>
    <row r="98" spans="1:227" x14ac:dyDescent="0.25">
      <c r="A98" s="107">
        <v>21</v>
      </c>
      <c r="B98" s="518" t="s">
        <v>606</v>
      </c>
      <c r="C98" s="518"/>
      <c r="D98" s="465">
        <v>0</v>
      </c>
      <c r="E98" s="465">
        <v>0</v>
      </c>
      <c r="F98" s="612">
        <f t="shared" si="146"/>
        <v>0</v>
      </c>
      <c r="G98" s="616"/>
      <c r="H98" s="583">
        <v>1650000</v>
      </c>
      <c r="I98" s="461">
        <v>1650000</v>
      </c>
      <c r="J98" s="614">
        <f t="shared" si="147"/>
        <v>0</v>
      </c>
      <c r="K98" s="616"/>
      <c r="L98" s="498">
        <v>1770000</v>
      </c>
      <c r="M98" s="498">
        <v>1770000</v>
      </c>
      <c r="N98" s="614">
        <f t="shared" si="148"/>
        <v>0</v>
      </c>
      <c r="O98" s="616"/>
      <c r="P98" s="461">
        <v>3000000</v>
      </c>
      <c r="Q98" s="498">
        <v>896032</v>
      </c>
      <c r="R98" s="614">
        <f t="shared" si="149"/>
        <v>2103968</v>
      </c>
      <c r="S98" s="616"/>
      <c r="T98" s="465">
        <v>6420000</v>
      </c>
      <c r="U98" s="465">
        <v>4316032</v>
      </c>
      <c r="V98" s="611">
        <f t="shared" si="150"/>
        <v>2103968</v>
      </c>
      <c r="X98" s="465">
        <v>0</v>
      </c>
      <c r="Y98" s="465">
        <v>4316032</v>
      </c>
      <c r="Z98" s="454"/>
      <c r="AA98" s="470"/>
      <c r="AB98" s="523"/>
      <c r="AC98" s="523"/>
      <c r="AD98" s="523"/>
      <c r="AE98" s="470"/>
      <c r="AF98" s="523"/>
      <c r="AG98" s="523"/>
      <c r="AH98" s="523"/>
      <c r="AI98" s="470"/>
      <c r="AJ98" s="523"/>
      <c r="AK98" s="523"/>
      <c r="AL98" s="523"/>
      <c r="AM98" s="523"/>
      <c r="AN98" s="523"/>
      <c r="AO98" s="523"/>
      <c r="AP98" s="523"/>
      <c r="AQ98" s="470"/>
      <c r="AR98" s="523"/>
      <c r="AS98" s="523"/>
      <c r="AT98" s="523"/>
      <c r="AU98" s="470"/>
      <c r="AV98" s="523"/>
      <c r="AW98" s="523"/>
      <c r="AX98" s="523"/>
      <c r="AY98" s="470"/>
      <c r="AZ98" s="523"/>
      <c r="BA98" s="523"/>
      <c r="BB98" s="523"/>
      <c r="BC98" s="470"/>
      <c r="BD98" s="523"/>
      <c r="BE98" s="523"/>
      <c r="BF98" s="523"/>
      <c r="BG98" s="470"/>
      <c r="BH98" s="523"/>
      <c r="BI98" s="523"/>
      <c r="BJ98" s="523"/>
      <c r="BK98" s="470"/>
      <c r="BL98" s="523"/>
      <c r="BM98" s="523"/>
      <c r="BN98" s="523"/>
      <c r="BO98" s="470"/>
      <c r="BP98" s="523"/>
      <c r="BQ98" s="523"/>
      <c r="BR98" s="523"/>
      <c r="BS98" s="470"/>
      <c r="BT98" s="523"/>
      <c r="BU98" s="523"/>
      <c r="BV98" s="523"/>
      <c r="BW98" s="470"/>
      <c r="BX98" s="523"/>
      <c r="BY98" s="523"/>
      <c r="BZ98" s="523"/>
      <c r="CA98" s="470"/>
      <c r="CB98" s="523"/>
      <c r="CC98" s="523"/>
      <c r="CD98" s="523"/>
      <c r="CE98" s="470"/>
      <c r="CF98" s="523"/>
      <c r="CG98" s="523"/>
      <c r="CH98" s="523"/>
      <c r="CI98" s="470"/>
      <c r="CJ98" s="523"/>
      <c r="CK98" s="523"/>
      <c r="CL98" s="523"/>
      <c r="CM98" s="470"/>
      <c r="CN98" s="523"/>
      <c r="CO98" s="523"/>
      <c r="CP98" s="523"/>
      <c r="CQ98" s="470"/>
      <c r="CR98" s="523"/>
      <c r="CS98" s="523"/>
      <c r="CT98" s="523"/>
      <c r="CU98" s="470"/>
      <c r="CV98" s="523"/>
      <c r="CW98" s="523"/>
      <c r="CX98" s="523"/>
      <c r="CY98" s="470"/>
      <c r="CZ98" s="523"/>
      <c r="DA98" s="523"/>
      <c r="DB98" s="523"/>
      <c r="DC98" s="470"/>
      <c r="DD98" s="523"/>
      <c r="DE98" s="523"/>
      <c r="DF98" s="523"/>
      <c r="DG98" s="470"/>
      <c r="DH98" s="523"/>
      <c r="DI98" s="523"/>
      <c r="DJ98" s="523"/>
      <c r="DK98" s="470"/>
      <c r="DL98" s="523"/>
      <c r="DM98" s="523"/>
      <c r="DN98" s="523"/>
      <c r="DO98" s="470"/>
      <c r="DP98" s="523"/>
      <c r="DQ98" s="523"/>
      <c r="DR98" s="523"/>
      <c r="DS98" s="523"/>
      <c r="DT98" s="523"/>
      <c r="DU98" s="523"/>
      <c r="DV98" s="523"/>
      <c r="DW98" s="523"/>
      <c r="DX98" s="523"/>
      <c r="DY98" s="523"/>
      <c r="DZ98" s="523"/>
      <c r="EA98" s="523"/>
      <c r="EB98" s="523"/>
      <c r="EC98" s="523"/>
      <c r="ED98" s="523"/>
      <c r="EE98" s="523"/>
      <c r="EF98" s="523"/>
      <c r="EG98" s="523"/>
      <c r="EH98" s="523"/>
      <c r="EI98" s="523"/>
      <c r="EJ98" s="523"/>
      <c r="EK98" s="523"/>
      <c r="EL98" s="523"/>
      <c r="EM98" s="470"/>
      <c r="EN98" s="470"/>
      <c r="EO98" s="470"/>
      <c r="EP98" s="470"/>
      <c r="EQ98" s="470"/>
      <c r="ER98" s="470"/>
      <c r="ES98" s="470"/>
      <c r="ET98" s="470"/>
      <c r="EU98" s="470"/>
      <c r="EV98" s="470"/>
      <c r="EW98" s="470"/>
      <c r="EX98" s="470"/>
      <c r="EY98" s="470"/>
      <c r="EZ98" s="470"/>
      <c r="FA98" s="470"/>
      <c r="FB98" s="470"/>
      <c r="FC98" s="470"/>
      <c r="FD98" s="470"/>
      <c r="FE98" s="470"/>
      <c r="FF98" s="470"/>
      <c r="FG98" s="470"/>
      <c r="FH98" s="470"/>
      <c r="FI98" s="470"/>
      <c r="FJ98" s="470"/>
      <c r="FK98" s="470"/>
      <c r="FL98" s="470"/>
      <c r="FM98" s="470"/>
      <c r="FN98" s="470"/>
      <c r="FO98" s="470"/>
      <c r="FP98" s="470"/>
      <c r="FQ98" s="470"/>
      <c r="FR98" s="470"/>
      <c r="FS98" s="470"/>
      <c r="FT98" s="470"/>
      <c r="FU98" s="470"/>
      <c r="FV98" s="470"/>
      <c r="FW98" s="470"/>
      <c r="FX98" s="470"/>
      <c r="FY98" s="470"/>
      <c r="FZ98" s="470"/>
      <c r="GA98" s="470"/>
      <c r="GB98" s="470"/>
      <c r="GC98" s="470"/>
      <c r="GD98" s="470"/>
      <c r="GE98" s="470"/>
      <c r="GF98" s="470"/>
      <c r="GG98" s="470"/>
      <c r="GH98" s="470"/>
      <c r="GI98" s="470"/>
      <c r="GJ98" s="470"/>
      <c r="GK98" s="470"/>
      <c r="GL98" s="470"/>
      <c r="GM98" s="470"/>
      <c r="GN98" s="470"/>
      <c r="GO98" s="470"/>
      <c r="GP98" s="470"/>
      <c r="GQ98" s="470"/>
      <c r="GR98" s="470"/>
      <c r="GS98" s="470"/>
      <c r="GT98" s="470"/>
      <c r="GU98" s="470"/>
      <c r="GV98" s="523"/>
      <c r="GW98" s="523"/>
      <c r="GX98" s="523"/>
      <c r="GY98" s="470"/>
      <c r="GZ98" s="523"/>
      <c r="HA98" s="523"/>
      <c r="HB98" s="523"/>
      <c r="HC98" s="523"/>
      <c r="HD98" s="523"/>
      <c r="HE98" s="523"/>
      <c r="HF98" s="523"/>
      <c r="HG98" s="523"/>
      <c r="HH98" s="523"/>
      <c r="HI98" s="523"/>
      <c r="HJ98" s="523"/>
      <c r="HK98" s="523"/>
      <c r="HL98" s="523"/>
      <c r="HM98" s="523"/>
      <c r="HN98" s="523"/>
      <c r="HO98" s="523"/>
      <c r="HP98" s="523"/>
      <c r="HQ98" s="523"/>
      <c r="HR98" s="523"/>
      <c r="HS98" s="523"/>
    </row>
    <row r="99" spans="1:227" x14ac:dyDescent="0.25">
      <c r="A99" s="107">
        <v>22</v>
      </c>
      <c r="B99" s="518" t="s">
        <v>607</v>
      </c>
      <c r="C99" s="518"/>
      <c r="D99" s="465">
        <v>0</v>
      </c>
      <c r="E99" s="465">
        <v>0</v>
      </c>
      <c r="F99" s="612">
        <f t="shared" si="146"/>
        <v>0</v>
      </c>
      <c r="G99" s="616"/>
      <c r="H99" s="583">
        <v>1650000</v>
      </c>
      <c r="I99" s="498">
        <v>0</v>
      </c>
      <c r="J99" s="614">
        <f t="shared" si="147"/>
        <v>1650000</v>
      </c>
      <c r="K99" s="616"/>
      <c r="L99" s="498">
        <v>1770000</v>
      </c>
      <c r="M99" s="498">
        <v>0</v>
      </c>
      <c r="N99" s="614">
        <f t="shared" si="148"/>
        <v>1770000</v>
      </c>
      <c r="O99" s="616"/>
      <c r="P99" s="461">
        <v>3000000</v>
      </c>
      <c r="Q99" s="498">
        <v>0</v>
      </c>
      <c r="R99" s="614">
        <f t="shared" si="149"/>
        <v>3000000</v>
      </c>
      <c r="S99" s="616"/>
      <c r="T99" s="465">
        <v>6420000</v>
      </c>
      <c r="U99" s="465">
        <v>0</v>
      </c>
      <c r="V99" s="611">
        <f t="shared" si="150"/>
        <v>6420000</v>
      </c>
      <c r="X99" s="465">
        <v>0</v>
      </c>
      <c r="Y99" s="465">
        <v>0</v>
      </c>
      <c r="Z99" s="454"/>
      <c r="AA99" s="470"/>
      <c r="AB99" s="523"/>
      <c r="AC99" s="523"/>
      <c r="AD99" s="523"/>
      <c r="AE99" s="470"/>
      <c r="AF99" s="523"/>
      <c r="AG99" s="523"/>
      <c r="AH99" s="523"/>
      <c r="AI99" s="470"/>
      <c r="AJ99" s="523"/>
      <c r="AK99" s="523"/>
      <c r="AL99" s="523"/>
      <c r="AM99" s="523"/>
      <c r="AN99" s="523"/>
      <c r="AO99" s="523"/>
      <c r="AP99" s="523"/>
      <c r="AQ99" s="470"/>
      <c r="AR99" s="523"/>
      <c r="AS99" s="523"/>
      <c r="AT99" s="523"/>
      <c r="AU99" s="470"/>
      <c r="AV99" s="523"/>
      <c r="AW99" s="523"/>
      <c r="AX99" s="523"/>
      <c r="AY99" s="470"/>
      <c r="AZ99" s="523"/>
      <c r="BA99" s="523"/>
      <c r="BB99" s="523"/>
      <c r="BC99" s="470"/>
      <c r="BD99" s="523"/>
      <c r="BE99" s="523"/>
      <c r="BF99" s="523"/>
      <c r="BG99" s="470"/>
      <c r="BH99" s="523"/>
      <c r="BI99" s="523"/>
      <c r="BJ99" s="523"/>
      <c r="BK99" s="470"/>
      <c r="BL99" s="523"/>
      <c r="BM99" s="523"/>
      <c r="BN99" s="523"/>
      <c r="BO99" s="470"/>
      <c r="BP99" s="523"/>
      <c r="BQ99" s="523"/>
      <c r="BR99" s="523"/>
      <c r="BS99" s="470"/>
      <c r="BT99" s="523"/>
      <c r="BU99" s="523"/>
      <c r="BV99" s="523"/>
      <c r="BW99" s="470"/>
      <c r="BX99" s="523"/>
      <c r="BY99" s="523"/>
      <c r="BZ99" s="523"/>
      <c r="CA99" s="470"/>
      <c r="CB99" s="523"/>
      <c r="CC99" s="523"/>
      <c r="CD99" s="523"/>
      <c r="CE99" s="470"/>
      <c r="CF99" s="523"/>
      <c r="CG99" s="523"/>
      <c r="CH99" s="523"/>
      <c r="CI99" s="470"/>
      <c r="CJ99" s="523"/>
      <c r="CK99" s="523"/>
      <c r="CL99" s="523"/>
      <c r="CM99" s="470"/>
      <c r="CN99" s="523"/>
      <c r="CO99" s="523"/>
      <c r="CP99" s="523"/>
      <c r="CQ99" s="470"/>
      <c r="CR99" s="523"/>
      <c r="CS99" s="523"/>
      <c r="CT99" s="523"/>
      <c r="CU99" s="470"/>
      <c r="CV99" s="523"/>
      <c r="CW99" s="523"/>
      <c r="CX99" s="523"/>
      <c r="CY99" s="470"/>
      <c r="CZ99" s="523"/>
      <c r="DA99" s="523"/>
      <c r="DB99" s="523"/>
      <c r="DC99" s="470"/>
      <c r="DD99" s="523"/>
      <c r="DE99" s="523"/>
      <c r="DF99" s="523"/>
      <c r="DG99" s="470"/>
      <c r="DH99" s="523"/>
      <c r="DI99" s="523"/>
      <c r="DJ99" s="523"/>
      <c r="DK99" s="470"/>
      <c r="DL99" s="523"/>
      <c r="DM99" s="523"/>
      <c r="DN99" s="523"/>
      <c r="DO99" s="470"/>
      <c r="DP99" s="523"/>
      <c r="DQ99" s="523"/>
      <c r="DR99" s="523"/>
      <c r="DS99" s="523"/>
      <c r="DT99" s="523"/>
      <c r="DU99" s="523"/>
      <c r="DV99" s="523"/>
      <c r="DW99" s="523"/>
      <c r="DX99" s="523"/>
      <c r="DY99" s="523"/>
      <c r="DZ99" s="523"/>
      <c r="EA99" s="523"/>
      <c r="EB99" s="523"/>
      <c r="EC99" s="523"/>
      <c r="ED99" s="523"/>
      <c r="EE99" s="523"/>
      <c r="EF99" s="523"/>
      <c r="EG99" s="523"/>
      <c r="EH99" s="523"/>
      <c r="EI99" s="523"/>
      <c r="EJ99" s="523"/>
      <c r="EK99" s="523"/>
      <c r="EL99" s="523"/>
      <c r="EM99" s="470"/>
      <c r="EN99" s="470"/>
      <c r="EO99" s="470"/>
      <c r="EP99" s="470"/>
      <c r="EQ99" s="470"/>
      <c r="ER99" s="470"/>
      <c r="ES99" s="470"/>
      <c r="ET99" s="470"/>
      <c r="EU99" s="470"/>
      <c r="EV99" s="470"/>
      <c r="EW99" s="470"/>
      <c r="EX99" s="470"/>
      <c r="EY99" s="470"/>
      <c r="EZ99" s="470"/>
      <c r="FA99" s="470"/>
      <c r="FB99" s="470"/>
      <c r="FC99" s="470"/>
      <c r="FD99" s="470"/>
      <c r="FE99" s="470"/>
      <c r="FF99" s="470"/>
      <c r="FG99" s="470"/>
      <c r="FH99" s="470"/>
      <c r="FI99" s="470"/>
      <c r="FJ99" s="470"/>
      <c r="FK99" s="470"/>
      <c r="FL99" s="470"/>
      <c r="FM99" s="470"/>
      <c r="FN99" s="470"/>
      <c r="FO99" s="470"/>
      <c r="FP99" s="470"/>
      <c r="FQ99" s="470"/>
      <c r="FR99" s="470"/>
      <c r="FS99" s="470"/>
      <c r="FT99" s="470"/>
      <c r="FU99" s="470"/>
      <c r="FV99" s="470"/>
      <c r="FW99" s="470"/>
      <c r="FX99" s="470"/>
      <c r="FY99" s="470"/>
      <c r="FZ99" s="470"/>
      <c r="GA99" s="470"/>
      <c r="GB99" s="470"/>
      <c r="GC99" s="470"/>
      <c r="GD99" s="470"/>
      <c r="GE99" s="470"/>
      <c r="GF99" s="470"/>
      <c r="GG99" s="470"/>
      <c r="GH99" s="470"/>
      <c r="GI99" s="470"/>
      <c r="GJ99" s="470"/>
      <c r="GK99" s="470"/>
      <c r="GL99" s="470"/>
      <c r="GM99" s="470"/>
      <c r="GN99" s="470"/>
      <c r="GO99" s="470"/>
      <c r="GP99" s="470"/>
      <c r="GQ99" s="470"/>
      <c r="GR99" s="470"/>
      <c r="GS99" s="470"/>
      <c r="GT99" s="470"/>
      <c r="GU99" s="470"/>
      <c r="GV99" s="523"/>
      <c r="GW99" s="523"/>
      <c r="GX99" s="523"/>
      <c r="GY99" s="470"/>
      <c r="GZ99" s="523"/>
      <c r="HA99" s="523"/>
      <c r="HB99" s="523"/>
      <c r="HC99" s="523"/>
      <c r="HD99" s="523"/>
      <c r="HE99" s="523"/>
      <c r="HF99" s="523"/>
      <c r="HG99" s="523"/>
      <c r="HH99" s="523"/>
      <c r="HI99" s="523"/>
      <c r="HJ99" s="523"/>
      <c r="HK99" s="523"/>
      <c r="HL99" s="523"/>
      <c r="HM99" s="523"/>
      <c r="HN99" s="523"/>
      <c r="HO99" s="523"/>
      <c r="HP99" s="523"/>
      <c r="HQ99" s="523"/>
      <c r="HR99" s="523"/>
      <c r="HS99" s="523"/>
    </row>
    <row r="100" spans="1:227" x14ac:dyDescent="0.25">
      <c r="A100" s="107">
        <v>23</v>
      </c>
      <c r="B100" s="518" t="s">
        <v>608</v>
      </c>
      <c r="C100" s="518"/>
      <c r="D100" s="465">
        <v>0</v>
      </c>
      <c r="E100" s="465">
        <v>0</v>
      </c>
      <c r="F100" s="612">
        <f t="shared" si="146"/>
        <v>0</v>
      </c>
      <c r="G100" s="616"/>
      <c r="H100" s="583">
        <v>1650000</v>
      </c>
      <c r="I100" s="498">
        <v>700000</v>
      </c>
      <c r="J100" s="614">
        <f t="shared" si="147"/>
        <v>950000</v>
      </c>
      <c r="K100" s="616"/>
      <c r="L100" s="498">
        <v>1770000</v>
      </c>
      <c r="M100" s="498">
        <v>0</v>
      </c>
      <c r="N100" s="614">
        <f t="shared" si="148"/>
        <v>1770000</v>
      </c>
      <c r="O100" s="616"/>
      <c r="P100" s="461">
        <v>3000000</v>
      </c>
      <c r="Q100" s="498">
        <v>0</v>
      </c>
      <c r="R100" s="614">
        <f t="shared" si="149"/>
        <v>3000000</v>
      </c>
      <c r="S100" s="616"/>
      <c r="T100" s="465">
        <v>6420000</v>
      </c>
      <c r="U100" s="465">
        <v>700000</v>
      </c>
      <c r="V100" s="611">
        <f t="shared" si="150"/>
        <v>5720000</v>
      </c>
      <c r="X100" s="465">
        <v>0</v>
      </c>
      <c r="Y100" s="465">
        <v>700000</v>
      </c>
      <c r="Z100" s="454"/>
      <c r="AA100" s="470"/>
      <c r="AB100" s="523"/>
      <c r="AC100" s="523"/>
      <c r="AD100" s="523"/>
      <c r="AE100" s="470"/>
      <c r="AF100" s="523"/>
      <c r="AG100" s="523"/>
      <c r="AH100" s="523"/>
      <c r="AI100" s="470"/>
      <c r="AJ100" s="523"/>
      <c r="AK100" s="523"/>
      <c r="AL100" s="523"/>
      <c r="AM100" s="523"/>
      <c r="AN100" s="523"/>
      <c r="AO100" s="523"/>
      <c r="AP100" s="523"/>
      <c r="AQ100" s="470"/>
      <c r="AR100" s="523"/>
      <c r="AS100" s="523"/>
      <c r="AT100" s="523"/>
      <c r="AU100" s="470"/>
      <c r="AV100" s="523"/>
      <c r="AW100" s="523"/>
      <c r="AX100" s="523"/>
      <c r="AY100" s="470"/>
      <c r="AZ100" s="523"/>
      <c r="BA100" s="523"/>
      <c r="BB100" s="523"/>
      <c r="BC100" s="470"/>
      <c r="BD100" s="523"/>
      <c r="BE100" s="523"/>
      <c r="BF100" s="523"/>
      <c r="BG100" s="470"/>
      <c r="BH100" s="523"/>
      <c r="BI100" s="523"/>
      <c r="BJ100" s="523"/>
      <c r="BK100" s="470"/>
      <c r="BL100" s="523"/>
      <c r="BM100" s="523"/>
      <c r="BN100" s="523"/>
      <c r="BO100" s="470"/>
      <c r="BP100" s="523"/>
      <c r="BQ100" s="523"/>
      <c r="BR100" s="523"/>
      <c r="BS100" s="470"/>
      <c r="BT100" s="523"/>
      <c r="BU100" s="523"/>
      <c r="BV100" s="523"/>
      <c r="BW100" s="470"/>
      <c r="BX100" s="523"/>
      <c r="BY100" s="523"/>
      <c r="BZ100" s="523"/>
      <c r="CA100" s="470"/>
      <c r="CB100" s="523"/>
      <c r="CC100" s="523"/>
      <c r="CD100" s="523"/>
      <c r="CE100" s="470"/>
      <c r="CF100" s="523"/>
      <c r="CG100" s="523"/>
      <c r="CH100" s="523"/>
      <c r="CI100" s="470"/>
      <c r="CJ100" s="523"/>
      <c r="CK100" s="523"/>
      <c r="CL100" s="523"/>
      <c r="CM100" s="470"/>
      <c r="CN100" s="523"/>
      <c r="CO100" s="523"/>
      <c r="CP100" s="523"/>
      <c r="CQ100" s="470"/>
      <c r="CR100" s="523"/>
      <c r="CS100" s="523"/>
      <c r="CT100" s="523"/>
      <c r="CU100" s="470"/>
      <c r="CV100" s="523"/>
      <c r="CW100" s="523"/>
      <c r="CX100" s="523"/>
      <c r="CY100" s="470"/>
      <c r="CZ100" s="523"/>
      <c r="DA100" s="523"/>
      <c r="DB100" s="523"/>
      <c r="DC100" s="470"/>
      <c r="DD100" s="523"/>
      <c r="DE100" s="523"/>
      <c r="DF100" s="523"/>
      <c r="DG100" s="470"/>
      <c r="DH100" s="523"/>
      <c r="DI100" s="523"/>
      <c r="DJ100" s="523"/>
      <c r="DK100" s="470"/>
      <c r="DL100" s="523"/>
      <c r="DM100" s="523"/>
      <c r="DN100" s="523"/>
      <c r="DO100" s="470"/>
      <c r="DP100" s="523"/>
      <c r="DQ100" s="523"/>
      <c r="DR100" s="523"/>
      <c r="DS100" s="523"/>
      <c r="DT100" s="523"/>
      <c r="DU100" s="523"/>
      <c r="DV100" s="523"/>
      <c r="DW100" s="523"/>
      <c r="DX100" s="523"/>
      <c r="DY100" s="523"/>
      <c r="DZ100" s="523"/>
      <c r="EA100" s="523"/>
      <c r="EB100" s="523"/>
      <c r="EC100" s="523"/>
      <c r="ED100" s="523"/>
      <c r="EE100" s="523"/>
      <c r="EF100" s="523"/>
      <c r="EG100" s="523"/>
      <c r="EH100" s="523"/>
      <c r="EI100" s="523"/>
      <c r="EJ100" s="523"/>
      <c r="EK100" s="523"/>
      <c r="EL100" s="523"/>
      <c r="EM100" s="470"/>
      <c r="EN100" s="470"/>
      <c r="EO100" s="470"/>
      <c r="EP100" s="470"/>
      <c r="EQ100" s="470"/>
      <c r="ER100" s="470"/>
      <c r="ES100" s="470"/>
      <c r="ET100" s="470"/>
      <c r="EU100" s="470"/>
      <c r="EV100" s="470"/>
      <c r="EW100" s="470"/>
      <c r="EX100" s="470"/>
      <c r="EY100" s="470"/>
      <c r="EZ100" s="470"/>
      <c r="FA100" s="470"/>
      <c r="FB100" s="470"/>
      <c r="FC100" s="470"/>
      <c r="FD100" s="470"/>
      <c r="FE100" s="470"/>
      <c r="FF100" s="470"/>
      <c r="FG100" s="470"/>
      <c r="FH100" s="470"/>
      <c r="FI100" s="470"/>
      <c r="FJ100" s="470"/>
      <c r="FK100" s="470"/>
      <c r="FL100" s="470"/>
      <c r="FM100" s="470"/>
      <c r="FN100" s="470"/>
      <c r="FO100" s="470"/>
      <c r="FP100" s="470"/>
      <c r="FQ100" s="470"/>
      <c r="FR100" s="470"/>
      <c r="FS100" s="470"/>
      <c r="FT100" s="470"/>
      <c r="FU100" s="470"/>
      <c r="FV100" s="470"/>
      <c r="FW100" s="470"/>
      <c r="FX100" s="470"/>
      <c r="FY100" s="470"/>
      <c r="FZ100" s="470"/>
      <c r="GA100" s="470"/>
      <c r="GB100" s="470"/>
      <c r="GC100" s="470"/>
      <c r="GD100" s="470"/>
      <c r="GE100" s="470"/>
      <c r="GF100" s="470"/>
      <c r="GG100" s="470"/>
      <c r="GH100" s="470"/>
      <c r="GI100" s="470"/>
      <c r="GJ100" s="470"/>
      <c r="GK100" s="470"/>
      <c r="GL100" s="470"/>
      <c r="GM100" s="470"/>
      <c r="GN100" s="470"/>
      <c r="GO100" s="470"/>
      <c r="GP100" s="470"/>
      <c r="GQ100" s="470"/>
      <c r="GR100" s="470"/>
      <c r="GS100" s="470"/>
      <c r="GT100" s="470"/>
      <c r="GU100" s="470"/>
      <c r="GV100" s="523"/>
      <c r="GW100" s="523"/>
      <c r="GX100" s="523"/>
      <c r="GY100" s="470"/>
      <c r="GZ100" s="523"/>
      <c r="HA100" s="523"/>
      <c r="HB100" s="523"/>
      <c r="HC100" s="523"/>
      <c r="HD100" s="523"/>
      <c r="HE100" s="523"/>
      <c r="HF100" s="523"/>
      <c r="HG100" s="523"/>
      <c r="HH100" s="523"/>
      <c r="HI100" s="523"/>
      <c r="HJ100" s="523"/>
      <c r="HK100" s="523"/>
      <c r="HL100" s="523"/>
      <c r="HM100" s="523"/>
      <c r="HN100" s="523"/>
      <c r="HO100" s="523"/>
      <c r="HP100" s="523"/>
      <c r="HQ100" s="523"/>
      <c r="HR100" s="523"/>
      <c r="HS100" s="523"/>
    </row>
    <row r="101" spans="1:227" x14ac:dyDescent="0.25">
      <c r="A101" s="107">
        <v>24</v>
      </c>
      <c r="B101" s="518" t="s">
        <v>609</v>
      </c>
      <c r="C101" s="518"/>
      <c r="D101" s="465">
        <v>0</v>
      </c>
      <c r="E101" s="465">
        <v>0</v>
      </c>
      <c r="F101" s="612">
        <f t="shared" si="146"/>
        <v>0</v>
      </c>
      <c r="G101" s="616"/>
      <c r="H101" s="583">
        <v>1650000</v>
      </c>
      <c r="I101" s="498">
        <v>0</v>
      </c>
      <c r="J101" s="614">
        <f t="shared" si="147"/>
        <v>1650000</v>
      </c>
      <c r="K101" s="616"/>
      <c r="L101" s="498">
        <v>1770000</v>
      </c>
      <c r="M101" s="498">
        <v>0</v>
      </c>
      <c r="N101" s="614">
        <f t="shared" si="148"/>
        <v>1770000</v>
      </c>
      <c r="O101" s="616"/>
      <c r="P101" s="461">
        <v>3000000</v>
      </c>
      <c r="Q101" s="498">
        <v>0</v>
      </c>
      <c r="R101" s="614">
        <f t="shared" si="149"/>
        <v>3000000</v>
      </c>
      <c r="S101" s="616"/>
      <c r="T101" s="465">
        <v>6420000</v>
      </c>
      <c r="U101" s="465">
        <v>0</v>
      </c>
      <c r="V101" s="611">
        <f t="shared" si="150"/>
        <v>6420000</v>
      </c>
      <c r="X101" s="465">
        <v>0</v>
      </c>
      <c r="Y101" s="465">
        <v>0</v>
      </c>
      <c r="Z101" s="454"/>
      <c r="AA101" s="470"/>
      <c r="AB101" s="523"/>
      <c r="AC101" s="523"/>
      <c r="AD101" s="523"/>
      <c r="AE101" s="470"/>
      <c r="AF101" s="523"/>
      <c r="AG101" s="523"/>
      <c r="AH101" s="523"/>
      <c r="AI101" s="470"/>
      <c r="AJ101" s="523"/>
      <c r="AK101" s="523"/>
      <c r="AL101" s="523"/>
      <c r="AM101" s="523"/>
      <c r="AN101" s="523"/>
      <c r="AO101" s="523"/>
      <c r="AP101" s="523"/>
      <c r="AQ101" s="470"/>
      <c r="AR101" s="523"/>
      <c r="AS101" s="523"/>
      <c r="AT101" s="523"/>
      <c r="AU101" s="470"/>
      <c r="AV101" s="523"/>
      <c r="AW101" s="523"/>
      <c r="AX101" s="523"/>
      <c r="AY101" s="470"/>
      <c r="AZ101" s="523"/>
      <c r="BA101" s="523"/>
      <c r="BB101" s="523"/>
      <c r="BC101" s="470"/>
      <c r="BD101" s="523"/>
      <c r="BE101" s="523"/>
      <c r="BF101" s="523"/>
      <c r="BG101" s="470"/>
      <c r="BH101" s="523"/>
      <c r="BI101" s="523"/>
      <c r="BJ101" s="523"/>
      <c r="BK101" s="470"/>
      <c r="BL101" s="523"/>
      <c r="BM101" s="523"/>
      <c r="BN101" s="523"/>
      <c r="BO101" s="470"/>
      <c r="BP101" s="523"/>
      <c r="BQ101" s="523"/>
      <c r="BR101" s="523"/>
      <c r="BS101" s="470"/>
      <c r="BT101" s="523"/>
      <c r="BU101" s="523"/>
      <c r="BV101" s="523"/>
      <c r="BW101" s="470"/>
      <c r="BX101" s="523"/>
      <c r="BY101" s="523"/>
      <c r="BZ101" s="523"/>
      <c r="CA101" s="470"/>
      <c r="CB101" s="523"/>
      <c r="CC101" s="523"/>
      <c r="CD101" s="523"/>
      <c r="CE101" s="470"/>
      <c r="CF101" s="523"/>
      <c r="CG101" s="523"/>
      <c r="CH101" s="523"/>
      <c r="CI101" s="470"/>
      <c r="CJ101" s="523"/>
      <c r="CK101" s="523"/>
      <c r="CL101" s="523"/>
      <c r="CM101" s="470"/>
      <c r="CN101" s="523"/>
      <c r="CO101" s="523"/>
      <c r="CP101" s="523"/>
      <c r="CQ101" s="470"/>
      <c r="CR101" s="523"/>
      <c r="CS101" s="523"/>
      <c r="CT101" s="523"/>
      <c r="CU101" s="470"/>
      <c r="CV101" s="523"/>
      <c r="CW101" s="523"/>
      <c r="CX101" s="523"/>
      <c r="CY101" s="470"/>
      <c r="CZ101" s="523"/>
      <c r="DA101" s="523"/>
      <c r="DB101" s="523"/>
      <c r="DC101" s="470"/>
      <c r="DD101" s="523"/>
      <c r="DE101" s="523"/>
      <c r="DF101" s="523"/>
      <c r="DG101" s="470"/>
      <c r="DH101" s="523"/>
      <c r="DI101" s="523"/>
      <c r="DJ101" s="523"/>
      <c r="DK101" s="470"/>
      <c r="DL101" s="523"/>
      <c r="DM101" s="523"/>
      <c r="DN101" s="523"/>
      <c r="DO101" s="470"/>
      <c r="DP101" s="523"/>
      <c r="DQ101" s="523"/>
      <c r="DR101" s="523"/>
      <c r="DS101" s="523"/>
      <c r="DT101" s="523"/>
      <c r="DU101" s="523"/>
      <c r="DV101" s="523"/>
      <c r="DW101" s="523"/>
      <c r="DX101" s="523"/>
      <c r="DY101" s="523"/>
      <c r="DZ101" s="523"/>
      <c r="EA101" s="523"/>
      <c r="EB101" s="523"/>
      <c r="EC101" s="523"/>
      <c r="ED101" s="523"/>
      <c r="EE101" s="523"/>
      <c r="EF101" s="523"/>
      <c r="EG101" s="523"/>
      <c r="EH101" s="523"/>
      <c r="EI101" s="523"/>
      <c r="EJ101" s="523"/>
      <c r="EK101" s="523"/>
      <c r="EL101" s="523"/>
      <c r="EM101" s="470"/>
      <c r="EN101" s="470"/>
      <c r="EO101" s="470"/>
      <c r="EP101" s="470"/>
      <c r="EQ101" s="470"/>
      <c r="ER101" s="470"/>
      <c r="ES101" s="470"/>
      <c r="ET101" s="470"/>
      <c r="EU101" s="470"/>
      <c r="EV101" s="470"/>
      <c r="EW101" s="470"/>
      <c r="EX101" s="470"/>
      <c r="EY101" s="470"/>
      <c r="EZ101" s="470"/>
      <c r="FA101" s="470"/>
      <c r="FB101" s="470"/>
      <c r="FC101" s="470"/>
      <c r="FD101" s="470"/>
      <c r="FE101" s="470"/>
      <c r="FF101" s="470"/>
      <c r="FG101" s="470"/>
      <c r="FH101" s="470"/>
      <c r="FI101" s="470"/>
      <c r="FJ101" s="470"/>
      <c r="FK101" s="470"/>
      <c r="FL101" s="470"/>
      <c r="FM101" s="470"/>
      <c r="FN101" s="470"/>
      <c r="FO101" s="470"/>
      <c r="FP101" s="470"/>
      <c r="FQ101" s="470"/>
      <c r="FR101" s="470"/>
      <c r="FS101" s="470"/>
      <c r="FT101" s="470"/>
      <c r="FU101" s="470"/>
      <c r="FV101" s="470"/>
      <c r="FW101" s="470"/>
      <c r="FX101" s="470"/>
      <c r="FY101" s="470"/>
      <c r="FZ101" s="470"/>
      <c r="GA101" s="470"/>
      <c r="GB101" s="470"/>
      <c r="GC101" s="470"/>
      <c r="GD101" s="470"/>
      <c r="GE101" s="470"/>
      <c r="GF101" s="470"/>
      <c r="GG101" s="470"/>
      <c r="GH101" s="470"/>
      <c r="GI101" s="470"/>
      <c r="GJ101" s="470"/>
      <c r="GK101" s="470"/>
      <c r="GL101" s="470"/>
      <c r="GM101" s="470"/>
      <c r="GN101" s="470"/>
      <c r="GO101" s="470"/>
      <c r="GP101" s="470"/>
      <c r="GQ101" s="470"/>
      <c r="GR101" s="470"/>
      <c r="GS101" s="470"/>
      <c r="GT101" s="470"/>
      <c r="GU101" s="470"/>
      <c r="GV101" s="523"/>
      <c r="GW101" s="523"/>
      <c r="GX101" s="523"/>
      <c r="GY101" s="470"/>
      <c r="GZ101" s="523"/>
      <c r="HA101" s="523"/>
      <c r="HB101" s="523"/>
      <c r="HC101" s="523"/>
      <c r="HD101" s="523"/>
      <c r="HE101" s="523"/>
      <c r="HF101" s="523"/>
      <c r="HG101" s="523"/>
      <c r="HH101" s="523"/>
      <c r="HI101" s="523"/>
      <c r="HJ101" s="523"/>
      <c r="HK101" s="523"/>
      <c r="HL101" s="523"/>
      <c r="HM101" s="523"/>
      <c r="HN101" s="523"/>
      <c r="HO101" s="523"/>
      <c r="HP101" s="523"/>
      <c r="HQ101" s="523"/>
      <c r="HR101" s="523"/>
      <c r="HS101" s="523"/>
    </row>
    <row r="102" spans="1:227" x14ac:dyDescent="0.25">
      <c r="A102" s="107">
        <v>25</v>
      </c>
      <c r="B102" s="518" t="s">
        <v>610</v>
      </c>
      <c r="C102" s="518"/>
      <c r="D102" s="465">
        <v>0</v>
      </c>
      <c r="E102" s="465">
        <v>0</v>
      </c>
      <c r="F102" s="612">
        <f t="shared" si="146"/>
        <v>0</v>
      </c>
      <c r="G102" s="616"/>
      <c r="H102" s="583">
        <v>1650000</v>
      </c>
      <c r="I102" s="498">
        <v>0</v>
      </c>
      <c r="J102" s="614">
        <f t="shared" si="147"/>
        <v>1650000</v>
      </c>
      <c r="K102" s="616"/>
      <c r="L102" s="498">
        <v>1770000</v>
      </c>
      <c r="M102" s="498">
        <v>0</v>
      </c>
      <c r="N102" s="614">
        <f t="shared" si="148"/>
        <v>1770000</v>
      </c>
      <c r="O102" s="616"/>
      <c r="P102" s="461">
        <v>3000000</v>
      </c>
      <c r="Q102" s="498">
        <v>0</v>
      </c>
      <c r="R102" s="614">
        <f t="shared" si="149"/>
        <v>3000000</v>
      </c>
      <c r="S102" s="616"/>
      <c r="T102" s="465">
        <v>6420000</v>
      </c>
      <c r="U102" s="465">
        <v>0</v>
      </c>
      <c r="V102" s="611">
        <f t="shared" si="150"/>
        <v>6420000</v>
      </c>
      <c r="X102" s="465">
        <v>0</v>
      </c>
      <c r="Y102" s="465">
        <v>0</v>
      </c>
      <c r="Z102" s="454"/>
      <c r="AA102" s="470"/>
      <c r="AB102" s="523"/>
      <c r="AC102" s="523"/>
      <c r="AD102" s="523"/>
      <c r="AE102" s="470"/>
      <c r="AF102" s="523"/>
      <c r="AG102" s="523"/>
      <c r="AH102" s="523"/>
      <c r="AI102" s="470"/>
      <c r="AJ102" s="523"/>
      <c r="AK102" s="523"/>
      <c r="AL102" s="523"/>
      <c r="AM102" s="523"/>
      <c r="AN102" s="523"/>
      <c r="AO102" s="523"/>
      <c r="AP102" s="523"/>
      <c r="AQ102" s="470"/>
      <c r="AR102" s="523"/>
      <c r="AS102" s="523"/>
      <c r="AT102" s="523"/>
      <c r="AU102" s="470"/>
      <c r="AV102" s="523"/>
      <c r="AW102" s="523"/>
      <c r="AX102" s="523"/>
      <c r="AY102" s="470"/>
      <c r="AZ102" s="523"/>
      <c r="BA102" s="523"/>
      <c r="BB102" s="523"/>
      <c r="BC102" s="470"/>
      <c r="BD102" s="523"/>
      <c r="BE102" s="523"/>
      <c r="BF102" s="523"/>
      <c r="BG102" s="470"/>
      <c r="BH102" s="523"/>
      <c r="BI102" s="523"/>
      <c r="BJ102" s="523"/>
      <c r="BK102" s="470"/>
      <c r="BL102" s="523"/>
      <c r="BM102" s="523"/>
      <c r="BN102" s="523"/>
      <c r="BO102" s="470"/>
      <c r="BP102" s="523"/>
      <c r="BQ102" s="523"/>
      <c r="BR102" s="523"/>
      <c r="BS102" s="470"/>
      <c r="BT102" s="523"/>
      <c r="BU102" s="523"/>
      <c r="BV102" s="523"/>
      <c r="BW102" s="470"/>
      <c r="BX102" s="523"/>
      <c r="BY102" s="523"/>
      <c r="BZ102" s="523"/>
      <c r="CA102" s="470"/>
      <c r="CB102" s="523"/>
      <c r="CC102" s="523"/>
      <c r="CD102" s="523"/>
      <c r="CE102" s="470"/>
      <c r="CF102" s="523"/>
      <c r="CG102" s="523"/>
      <c r="CH102" s="523"/>
      <c r="CI102" s="470"/>
      <c r="CJ102" s="523"/>
      <c r="CK102" s="523"/>
      <c r="CL102" s="523"/>
      <c r="CM102" s="470"/>
      <c r="CN102" s="523"/>
      <c r="CO102" s="523"/>
      <c r="CP102" s="523"/>
      <c r="CQ102" s="470"/>
      <c r="CR102" s="523"/>
      <c r="CS102" s="523"/>
      <c r="CT102" s="523"/>
      <c r="CU102" s="470"/>
      <c r="CV102" s="523"/>
      <c r="CW102" s="523"/>
      <c r="CX102" s="523"/>
      <c r="CY102" s="470"/>
      <c r="CZ102" s="523"/>
      <c r="DA102" s="523"/>
      <c r="DB102" s="523"/>
      <c r="DC102" s="470"/>
      <c r="DD102" s="523"/>
      <c r="DE102" s="523"/>
      <c r="DF102" s="523"/>
      <c r="DG102" s="470"/>
      <c r="DH102" s="523"/>
      <c r="DI102" s="523"/>
      <c r="DJ102" s="523"/>
      <c r="DK102" s="470"/>
      <c r="DL102" s="523"/>
      <c r="DM102" s="523"/>
      <c r="DN102" s="523"/>
      <c r="DO102" s="470"/>
      <c r="DP102" s="523"/>
      <c r="DQ102" s="523"/>
      <c r="DR102" s="523"/>
      <c r="DS102" s="523"/>
      <c r="DT102" s="523"/>
      <c r="DU102" s="523"/>
      <c r="DV102" s="523"/>
      <c r="DW102" s="523"/>
      <c r="DX102" s="523"/>
      <c r="DY102" s="523"/>
      <c r="DZ102" s="523"/>
      <c r="EA102" s="523"/>
      <c r="EB102" s="523"/>
      <c r="EC102" s="523"/>
      <c r="ED102" s="523"/>
      <c r="EE102" s="523"/>
      <c r="EF102" s="523"/>
      <c r="EG102" s="523"/>
      <c r="EH102" s="523"/>
      <c r="EI102" s="523"/>
      <c r="EJ102" s="523"/>
      <c r="EK102" s="523"/>
      <c r="EL102" s="523"/>
      <c r="EM102" s="470"/>
      <c r="EN102" s="470"/>
      <c r="EO102" s="470"/>
      <c r="EP102" s="470"/>
      <c r="EQ102" s="470"/>
      <c r="ER102" s="470"/>
      <c r="ES102" s="470"/>
      <c r="ET102" s="470"/>
      <c r="EU102" s="470"/>
      <c r="EV102" s="470"/>
      <c r="EW102" s="470"/>
      <c r="EX102" s="470"/>
      <c r="EY102" s="470"/>
      <c r="EZ102" s="470"/>
      <c r="FA102" s="470"/>
      <c r="FB102" s="470"/>
      <c r="FC102" s="470"/>
      <c r="FD102" s="470"/>
      <c r="FE102" s="470"/>
      <c r="FF102" s="470"/>
      <c r="FG102" s="470"/>
      <c r="FH102" s="470"/>
      <c r="FI102" s="470"/>
      <c r="FJ102" s="470"/>
      <c r="FK102" s="470"/>
      <c r="FL102" s="470"/>
      <c r="FM102" s="470"/>
      <c r="FN102" s="470"/>
      <c r="FO102" s="470"/>
      <c r="FP102" s="470"/>
      <c r="FQ102" s="470"/>
      <c r="FR102" s="470"/>
      <c r="FS102" s="470"/>
      <c r="FT102" s="470"/>
      <c r="FU102" s="470"/>
      <c r="FV102" s="470"/>
      <c r="FW102" s="470"/>
      <c r="FX102" s="470"/>
      <c r="FY102" s="470"/>
      <c r="FZ102" s="470"/>
      <c r="GA102" s="470"/>
      <c r="GB102" s="470"/>
      <c r="GC102" s="470"/>
      <c r="GD102" s="470"/>
      <c r="GE102" s="470"/>
      <c r="GF102" s="470"/>
      <c r="GG102" s="470"/>
      <c r="GH102" s="470"/>
      <c r="GI102" s="470"/>
      <c r="GJ102" s="470"/>
      <c r="GK102" s="470"/>
      <c r="GL102" s="470"/>
      <c r="GM102" s="470"/>
      <c r="GN102" s="470"/>
      <c r="GO102" s="470"/>
      <c r="GP102" s="470"/>
      <c r="GQ102" s="470"/>
      <c r="GR102" s="470"/>
      <c r="GS102" s="470"/>
      <c r="GT102" s="470"/>
      <c r="GU102" s="470"/>
      <c r="GV102" s="523"/>
      <c r="GW102" s="523"/>
      <c r="GX102" s="523"/>
      <c r="GY102" s="470"/>
      <c r="GZ102" s="523"/>
      <c r="HA102" s="523"/>
      <c r="HB102" s="523"/>
      <c r="HC102" s="523"/>
      <c r="HD102" s="523"/>
      <c r="HE102" s="523"/>
      <c r="HF102" s="523"/>
      <c r="HG102" s="523"/>
      <c r="HH102" s="523"/>
      <c r="HI102" s="523"/>
      <c r="HJ102" s="523"/>
      <c r="HK102" s="523"/>
      <c r="HL102" s="523"/>
      <c r="HM102" s="523"/>
      <c r="HN102" s="523"/>
      <c r="HO102" s="523"/>
      <c r="HP102" s="523"/>
      <c r="HQ102" s="523"/>
      <c r="HR102" s="523"/>
      <c r="HS102" s="523"/>
    </row>
    <row r="103" spans="1:227" x14ac:dyDescent="0.25">
      <c r="A103" s="107">
        <v>26</v>
      </c>
      <c r="B103" s="518" t="s">
        <v>611</v>
      </c>
      <c r="C103" s="518"/>
      <c r="D103" s="465">
        <v>0</v>
      </c>
      <c r="E103" s="465">
        <v>0</v>
      </c>
      <c r="F103" s="612">
        <f t="shared" si="146"/>
        <v>0</v>
      </c>
      <c r="G103" s="616"/>
      <c r="H103" s="583">
        <v>1650000</v>
      </c>
      <c r="I103" s="498">
        <v>1650000</v>
      </c>
      <c r="J103" s="614">
        <f t="shared" si="147"/>
        <v>0</v>
      </c>
      <c r="K103" s="616"/>
      <c r="L103" s="498">
        <v>1770000</v>
      </c>
      <c r="M103" s="498">
        <v>1770000</v>
      </c>
      <c r="N103" s="614">
        <f t="shared" si="148"/>
        <v>0</v>
      </c>
      <c r="O103" s="616"/>
      <c r="P103" s="461">
        <v>3000000</v>
      </c>
      <c r="Q103" s="498">
        <v>0</v>
      </c>
      <c r="R103" s="614">
        <f t="shared" si="149"/>
        <v>3000000</v>
      </c>
      <c r="S103" s="616"/>
      <c r="T103" s="465">
        <v>6420000</v>
      </c>
      <c r="U103" s="465">
        <v>3420000</v>
      </c>
      <c r="V103" s="611">
        <f t="shared" si="150"/>
        <v>3000000</v>
      </c>
      <c r="X103" s="465">
        <v>0</v>
      </c>
      <c r="Y103" s="465">
        <v>3420000</v>
      </c>
      <c r="Z103" s="454"/>
      <c r="AA103" s="470"/>
      <c r="AB103" s="523"/>
      <c r="AC103" s="523"/>
      <c r="AD103" s="523"/>
      <c r="AE103" s="470"/>
      <c r="AF103" s="523"/>
      <c r="AG103" s="523"/>
      <c r="AH103" s="523"/>
      <c r="AI103" s="470"/>
      <c r="AJ103" s="523"/>
      <c r="AK103" s="523"/>
      <c r="AL103" s="523"/>
      <c r="AM103" s="523"/>
      <c r="AN103" s="523"/>
      <c r="AO103" s="523"/>
      <c r="AP103" s="523"/>
      <c r="AQ103" s="470"/>
      <c r="AR103" s="523"/>
      <c r="AS103" s="523"/>
      <c r="AT103" s="523"/>
      <c r="AU103" s="470"/>
      <c r="AV103" s="523"/>
      <c r="AW103" s="523"/>
      <c r="AX103" s="523"/>
      <c r="AY103" s="470"/>
      <c r="AZ103" s="523"/>
      <c r="BA103" s="523"/>
      <c r="BB103" s="523"/>
      <c r="BC103" s="470"/>
      <c r="BD103" s="523"/>
      <c r="BE103" s="523"/>
      <c r="BF103" s="523"/>
      <c r="BG103" s="470"/>
      <c r="BH103" s="523"/>
      <c r="BI103" s="523"/>
      <c r="BJ103" s="523"/>
      <c r="BK103" s="470"/>
      <c r="BL103" s="523"/>
      <c r="BM103" s="523"/>
      <c r="BN103" s="523"/>
      <c r="BO103" s="470"/>
      <c r="BP103" s="523"/>
      <c r="BQ103" s="523"/>
      <c r="BR103" s="523"/>
      <c r="BS103" s="470"/>
      <c r="BT103" s="523"/>
      <c r="BU103" s="523"/>
      <c r="BV103" s="523"/>
      <c r="BW103" s="470"/>
      <c r="BX103" s="523"/>
      <c r="BY103" s="523"/>
      <c r="BZ103" s="523"/>
      <c r="CA103" s="470"/>
      <c r="CB103" s="523"/>
      <c r="CC103" s="523"/>
      <c r="CD103" s="523"/>
      <c r="CE103" s="470"/>
      <c r="CF103" s="523"/>
      <c r="CG103" s="523"/>
      <c r="CH103" s="523"/>
      <c r="CI103" s="470"/>
      <c r="CJ103" s="523"/>
      <c r="CK103" s="523"/>
      <c r="CL103" s="523"/>
      <c r="CM103" s="470"/>
      <c r="CN103" s="523"/>
      <c r="CO103" s="523"/>
      <c r="CP103" s="523"/>
      <c r="CQ103" s="470"/>
      <c r="CR103" s="523"/>
      <c r="CS103" s="523"/>
      <c r="CT103" s="523"/>
      <c r="CU103" s="470"/>
      <c r="CV103" s="523"/>
      <c r="CW103" s="523"/>
      <c r="CX103" s="523"/>
      <c r="CY103" s="470"/>
      <c r="CZ103" s="523"/>
      <c r="DA103" s="523"/>
      <c r="DB103" s="523"/>
      <c r="DC103" s="470"/>
      <c r="DD103" s="523"/>
      <c r="DE103" s="523"/>
      <c r="DF103" s="523"/>
      <c r="DG103" s="470"/>
      <c r="DH103" s="523"/>
      <c r="DI103" s="523"/>
      <c r="DJ103" s="523"/>
      <c r="DK103" s="470"/>
      <c r="DL103" s="523"/>
      <c r="DM103" s="523"/>
      <c r="DN103" s="523"/>
      <c r="DO103" s="470"/>
      <c r="DP103" s="523"/>
      <c r="DQ103" s="523"/>
      <c r="DR103" s="523"/>
      <c r="DS103" s="523"/>
      <c r="DT103" s="523"/>
      <c r="DU103" s="523"/>
      <c r="DV103" s="523"/>
      <c r="DW103" s="523"/>
      <c r="DX103" s="523"/>
      <c r="DY103" s="523"/>
      <c r="DZ103" s="523"/>
      <c r="EA103" s="523"/>
      <c r="EB103" s="523"/>
      <c r="EC103" s="523"/>
      <c r="ED103" s="523"/>
      <c r="EE103" s="523"/>
      <c r="EF103" s="523"/>
      <c r="EG103" s="523"/>
      <c r="EH103" s="523"/>
      <c r="EI103" s="523"/>
      <c r="EJ103" s="523"/>
      <c r="EK103" s="523"/>
      <c r="EL103" s="523"/>
      <c r="EM103" s="470"/>
      <c r="EN103" s="470"/>
      <c r="EO103" s="470"/>
      <c r="EP103" s="470"/>
      <c r="EQ103" s="470"/>
      <c r="ER103" s="470"/>
      <c r="ES103" s="470"/>
      <c r="ET103" s="470"/>
      <c r="EU103" s="470"/>
      <c r="EV103" s="470"/>
      <c r="EW103" s="470"/>
      <c r="EX103" s="470"/>
      <c r="EY103" s="470"/>
      <c r="EZ103" s="470"/>
      <c r="FA103" s="470"/>
      <c r="FB103" s="470"/>
      <c r="FC103" s="470"/>
      <c r="FD103" s="470"/>
      <c r="FE103" s="470"/>
      <c r="FF103" s="470"/>
      <c r="FG103" s="470"/>
      <c r="FH103" s="470"/>
      <c r="FI103" s="470"/>
      <c r="FJ103" s="470"/>
      <c r="FK103" s="470"/>
      <c r="FL103" s="470"/>
      <c r="FM103" s="470"/>
      <c r="FN103" s="470"/>
      <c r="FO103" s="470"/>
      <c r="FP103" s="470"/>
      <c r="FQ103" s="470"/>
      <c r="FR103" s="470"/>
      <c r="FS103" s="470"/>
      <c r="FT103" s="470"/>
      <c r="FU103" s="470"/>
      <c r="FV103" s="470"/>
      <c r="FW103" s="470"/>
      <c r="FX103" s="470"/>
      <c r="FY103" s="470"/>
      <c r="FZ103" s="470"/>
      <c r="GA103" s="470"/>
      <c r="GB103" s="470"/>
      <c r="GC103" s="470"/>
      <c r="GD103" s="470"/>
      <c r="GE103" s="470"/>
      <c r="GF103" s="470"/>
      <c r="GG103" s="470"/>
      <c r="GH103" s="470"/>
      <c r="GI103" s="470"/>
      <c r="GJ103" s="470"/>
      <c r="GK103" s="470"/>
      <c r="GL103" s="470"/>
      <c r="GM103" s="470"/>
      <c r="GN103" s="470"/>
      <c r="GO103" s="470"/>
      <c r="GP103" s="470"/>
      <c r="GQ103" s="470"/>
      <c r="GR103" s="470"/>
      <c r="GS103" s="470"/>
      <c r="GT103" s="470"/>
      <c r="GU103" s="470"/>
      <c r="GV103" s="523"/>
      <c r="GW103" s="523"/>
      <c r="GX103" s="523"/>
      <c r="GY103" s="470"/>
      <c r="GZ103" s="523"/>
      <c r="HA103" s="523"/>
      <c r="HB103" s="523"/>
      <c r="HC103" s="523"/>
      <c r="HD103" s="523"/>
      <c r="HE103" s="523"/>
      <c r="HF103" s="523"/>
      <c r="HG103" s="523"/>
      <c r="HH103" s="523"/>
      <c r="HI103" s="523"/>
      <c r="HJ103" s="523"/>
      <c r="HK103" s="523"/>
      <c r="HL103" s="523"/>
      <c r="HM103" s="523"/>
      <c r="HN103" s="523"/>
      <c r="HO103" s="523"/>
      <c r="HP103" s="523"/>
      <c r="HQ103" s="523"/>
      <c r="HR103" s="523"/>
      <c r="HS103" s="523"/>
    </row>
    <row r="104" spans="1:227" x14ac:dyDescent="0.25">
      <c r="A104" s="107">
        <v>27</v>
      </c>
      <c r="B104" s="518" t="s">
        <v>612</v>
      </c>
      <c r="C104" s="518"/>
      <c r="D104" s="465">
        <v>0</v>
      </c>
      <c r="E104" s="465">
        <v>0</v>
      </c>
      <c r="F104" s="612">
        <f t="shared" si="146"/>
        <v>0</v>
      </c>
      <c r="G104" s="616"/>
      <c r="H104" s="583">
        <v>1650000</v>
      </c>
      <c r="I104" s="584">
        <v>1500000</v>
      </c>
      <c r="J104" s="614">
        <f t="shared" si="147"/>
        <v>150000</v>
      </c>
      <c r="K104" s="616"/>
      <c r="L104" s="498">
        <v>1770000</v>
      </c>
      <c r="M104" s="498">
        <v>1770000</v>
      </c>
      <c r="N104" s="614">
        <f t="shared" si="148"/>
        <v>0</v>
      </c>
      <c r="O104" s="616"/>
      <c r="P104" s="461">
        <v>3000000</v>
      </c>
      <c r="Q104" s="498">
        <v>2330000</v>
      </c>
      <c r="R104" s="614">
        <f t="shared" si="149"/>
        <v>670000</v>
      </c>
      <c r="S104" s="616"/>
      <c r="T104" s="465">
        <v>6420000</v>
      </c>
      <c r="U104" s="465">
        <v>5600000</v>
      </c>
      <c r="V104" s="611">
        <f t="shared" si="150"/>
        <v>820000</v>
      </c>
      <c r="X104" s="465">
        <v>0</v>
      </c>
      <c r="Y104" s="465">
        <v>5600000</v>
      </c>
      <c r="Z104" s="454"/>
      <c r="AA104" s="470"/>
      <c r="AB104" s="523"/>
      <c r="AC104" s="523"/>
      <c r="AD104" s="523"/>
      <c r="AE104" s="470"/>
      <c r="AF104" s="523"/>
      <c r="AG104" s="523"/>
      <c r="AH104" s="523"/>
      <c r="AI104" s="470"/>
      <c r="AJ104" s="523"/>
      <c r="AK104" s="523"/>
      <c r="AL104" s="523"/>
      <c r="AM104" s="523"/>
      <c r="AN104" s="523"/>
      <c r="AO104" s="523"/>
      <c r="AP104" s="523"/>
      <c r="AQ104" s="470"/>
      <c r="AR104" s="523"/>
      <c r="AS104" s="523"/>
      <c r="AT104" s="523"/>
      <c r="AU104" s="470"/>
      <c r="AV104" s="523"/>
      <c r="AW104" s="523"/>
      <c r="AX104" s="523"/>
      <c r="AY104" s="470"/>
      <c r="AZ104" s="523"/>
      <c r="BA104" s="523"/>
      <c r="BB104" s="523"/>
      <c r="BC104" s="470"/>
      <c r="BD104" s="523"/>
      <c r="BE104" s="523"/>
      <c r="BF104" s="523"/>
      <c r="BG104" s="470"/>
      <c r="BH104" s="523"/>
      <c r="BI104" s="523"/>
      <c r="BJ104" s="523"/>
      <c r="BK104" s="470"/>
      <c r="BL104" s="523"/>
      <c r="BM104" s="523"/>
      <c r="BN104" s="523"/>
      <c r="BO104" s="470"/>
      <c r="BP104" s="523"/>
      <c r="BQ104" s="523"/>
      <c r="BR104" s="523"/>
      <c r="BS104" s="470"/>
      <c r="BT104" s="523"/>
      <c r="BU104" s="523"/>
      <c r="BV104" s="523"/>
      <c r="BW104" s="470"/>
      <c r="BX104" s="523"/>
      <c r="BY104" s="523"/>
      <c r="BZ104" s="523"/>
      <c r="CA104" s="470"/>
      <c r="CB104" s="523"/>
      <c r="CC104" s="523"/>
      <c r="CD104" s="523"/>
      <c r="CE104" s="470"/>
      <c r="CF104" s="523"/>
      <c r="CG104" s="523"/>
      <c r="CH104" s="523"/>
      <c r="CI104" s="470"/>
      <c r="CJ104" s="523"/>
      <c r="CK104" s="523"/>
      <c r="CL104" s="523"/>
      <c r="CM104" s="470"/>
      <c r="CN104" s="523"/>
      <c r="CO104" s="523"/>
      <c r="CP104" s="523"/>
      <c r="CQ104" s="470"/>
      <c r="CR104" s="523"/>
      <c r="CS104" s="523"/>
      <c r="CT104" s="523"/>
      <c r="CU104" s="470"/>
      <c r="CV104" s="523"/>
      <c r="CW104" s="523"/>
      <c r="CX104" s="523"/>
      <c r="CY104" s="470"/>
      <c r="CZ104" s="523"/>
      <c r="DA104" s="523"/>
      <c r="DB104" s="523"/>
      <c r="DC104" s="470"/>
      <c r="DD104" s="523"/>
      <c r="DE104" s="523"/>
      <c r="DF104" s="523"/>
      <c r="DG104" s="470"/>
      <c r="DH104" s="523"/>
      <c r="DI104" s="523"/>
      <c r="DJ104" s="523"/>
      <c r="DK104" s="470"/>
      <c r="DL104" s="523"/>
      <c r="DM104" s="523"/>
      <c r="DN104" s="523"/>
      <c r="DO104" s="470"/>
      <c r="DP104" s="523"/>
      <c r="DQ104" s="523"/>
      <c r="DR104" s="523"/>
      <c r="DS104" s="523"/>
      <c r="DT104" s="523"/>
      <c r="DU104" s="523"/>
      <c r="DV104" s="523"/>
      <c r="DW104" s="523"/>
      <c r="DX104" s="523"/>
      <c r="DY104" s="523"/>
      <c r="DZ104" s="523"/>
      <c r="EA104" s="523"/>
      <c r="EB104" s="523"/>
      <c r="EC104" s="523"/>
      <c r="ED104" s="523"/>
      <c r="EE104" s="523"/>
      <c r="EF104" s="523"/>
      <c r="EG104" s="523"/>
      <c r="EH104" s="523"/>
      <c r="EI104" s="523"/>
      <c r="EJ104" s="523"/>
      <c r="EK104" s="523"/>
      <c r="EL104" s="523"/>
      <c r="EM104" s="470"/>
      <c r="EN104" s="470"/>
      <c r="EO104" s="470"/>
      <c r="EP104" s="470"/>
      <c r="EQ104" s="470"/>
      <c r="ER104" s="470"/>
      <c r="ES104" s="470"/>
      <c r="ET104" s="470"/>
      <c r="EU104" s="470"/>
      <c r="EV104" s="470"/>
      <c r="EW104" s="470"/>
      <c r="EX104" s="470"/>
      <c r="EY104" s="470"/>
      <c r="EZ104" s="470"/>
      <c r="FA104" s="470"/>
      <c r="FB104" s="470"/>
      <c r="FC104" s="470"/>
      <c r="FD104" s="470"/>
      <c r="FE104" s="470"/>
      <c r="FF104" s="470"/>
      <c r="FG104" s="470"/>
      <c r="FH104" s="470"/>
      <c r="FI104" s="470"/>
      <c r="FJ104" s="470"/>
      <c r="FK104" s="470"/>
      <c r="FL104" s="470"/>
      <c r="FM104" s="470"/>
      <c r="FN104" s="470"/>
      <c r="FO104" s="470"/>
      <c r="FP104" s="470"/>
      <c r="FQ104" s="470"/>
      <c r="FR104" s="470"/>
      <c r="FS104" s="470"/>
      <c r="FT104" s="470"/>
      <c r="FU104" s="470"/>
      <c r="FV104" s="470"/>
      <c r="FW104" s="470"/>
      <c r="FX104" s="470"/>
      <c r="FY104" s="470"/>
      <c r="FZ104" s="470"/>
      <c r="GA104" s="470"/>
      <c r="GB104" s="470"/>
      <c r="GC104" s="470"/>
      <c r="GD104" s="470"/>
      <c r="GE104" s="470"/>
      <c r="GF104" s="470"/>
      <c r="GG104" s="470"/>
      <c r="GH104" s="470"/>
      <c r="GI104" s="470"/>
      <c r="GJ104" s="470"/>
      <c r="GK104" s="470"/>
      <c r="GL104" s="470"/>
      <c r="GM104" s="470"/>
      <c r="GN104" s="470"/>
      <c r="GO104" s="470"/>
      <c r="GP104" s="470"/>
      <c r="GQ104" s="470"/>
      <c r="GR104" s="470"/>
      <c r="GS104" s="470"/>
      <c r="GT104" s="470"/>
      <c r="GU104" s="470"/>
      <c r="GV104" s="523"/>
      <c r="GW104" s="523"/>
      <c r="GX104" s="523"/>
      <c r="GY104" s="470"/>
      <c r="GZ104" s="523"/>
      <c r="HA104" s="523"/>
      <c r="HB104" s="523"/>
      <c r="HC104" s="523"/>
      <c r="HD104" s="523"/>
      <c r="HE104" s="523"/>
      <c r="HF104" s="523"/>
      <c r="HG104" s="523"/>
      <c r="HH104" s="523"/>
      <c r="HI104" s="523"/>
      <c r="HJ104" s="523"/>
      <c r="HK104" s="523"/>
      <c r="HL104" s="523"/>
      <c r="HM104" s="523"/>
      <c r="HN104" s="523"/>
      <c r="HO104" s="523"/>
      <c r="HP104" s="523"/>
      <c r="HQ104" s="523"/>
      <c r="HR104" s="523"/>
      <c r="HS104" s="523"/>
    </row>
    <row r="105" spans="1:227" x14ac:dyDescent="0.25">
      <c r="A105" s="107">
        <v>28</v>
      </c>
      <c r="B105" s="518" t="s">
        <v>613</v>
      </c>
      <c r="C105" s="518"/>
      <c r="D105" s="465">
        <v>0</v>
      </c>
      <c r="E105" s="465">
        <v>0</v>
      </c>
      <c r="F105" s="612">
        <f t="shared" si="146"/>
        <v>0</v>
      </c>
      <c r="G105" s="616"/>
      <c r="H105" s="583">
        <v>1650000</v>
      </c>
      <c r="I105" s="498">
        <v>1650000</v>
      </c>
      <c r="J105" s="614">
        <f t="shared" si="147"/>
        <v>0</v>
      </c>
      <c r="K105" s="616"/>
      <c r="L105" s="498">
        <v>1770000</v>
      </c>
      <c r="M105" s="498">
        <v>1770000</v>
      </c>
      <c r="N105" s="614">
        <f t="shared" si="148"/>
        <v>0</v>
      </c>
      <c r="O105" s="616"/>
      <c r="P105" s="461">
        <v>3000000</v>
      </c>
      <c r="Q105" s="461">
        <v>3000000</v>
      </c>
      <c r="R105" s="614">
        <f t="shared" si="149"/>
        <v>0</v>
      </c>
      <c r="S105" s="616"/>
      <c r="T105" s="465">
        <v>6420000</v>
      </c>
      <c r="U105" s="465">
        <v>6420000</v>
      </c>
      <c r="V105" s="611">
        <f t="shared" si="150"/>
        <v>0</v>
      </c>
      <c r="X105" s="465">
        <v>0</v>
      </c>
      <c r="Y105" s="465">
        <v>6420000</v>
      </c>
      <c r="Z105" s="454"/>
      <c r="AA105" s="470"/>
      <c r="AB105" s="523"/>
      <c r="AC105" s="523"/>
      <c r="AD105" s="523"/>
      <c r="AE105" s="470"/>
      <c r="AF105" s="523"/>
      <c r="AG105" s="523"/>
      <c r="AH105" s="523"/>
      <c r="AI105" s="470"/>
      <c r="AJ105" s="523"/>
      <c r="AK105" s="523"/>
      <c r="AL105" s="523"/>
      <c r="AM105" s="523"/>
      <c r="AN105" s="523"/>
      <c r="AO105" s="523"/>
      <c r="AP105" s="523"/>
      <c r="AQ105" s="470"/>
      <c r="AR105" s="523"/>
      <c r="AS105" s="523"/>
      <c r="AT105" s="523"/>
      <c r="AU105" s="470"/>
      <c r="AV105" s="523"/>
      <c r="AW105" s="523"/>
      <c r="AX105" s="523"/>
      <c r="AY105" s="470"/>
      <c r="AZ105" s="523"/>
      <c r="BA105" s="523"/>
      <c r="BB105" s="523"/>
      <c r="BC105" s="470"/>
      <c r="BD105" s="523"/>
      <c r="BE105" s="523"/>
      <c r="BF105" s="523"/>
      <c r="BG105" s="470"/>
      <c r="BH105" s="523"/>
      <c r="BI105" s="523"/>
      <c r="BJ105" s="523"/>
      <c r="BK105" s="470"/>
      <c r="BL105" s="523"/>
      <c r="BM105" s="523"/>
      <c r="BN105" s="523"/>
      <c r="BO105" s="470"/>
      <c r="BP105" s="523"/>
      <c r="BQ105" s="523"/>
      <c r="BR105" s="523"/>
      <c r="BS105" s="470"/>
      <c r="BT105" s="523"/>
      <c r="BU105" s="523"/>
      <c r="BV105" s="523"/>
      <c r="BW105" s="470"/>
      <c r="BX105" s="523"/>
      <c r="BY105" s="523"/>
      <c r="BZ105" s="523"/>
      <c r="CA105" s="470"/>
      <c r="CB105" s="523"/>
      <c r="CC105" s="523"/>
      <c r="CD105" s="523"/>
      <c r="CE105" s="470"/>
      <c r="CF105" s="523"/>
      <c r="CG105" s="523"/>
      <c r="CH105" s="523"/>
      <c r="CI105" s="470"/>
      <c r="CJ105" s="523"/>
      <c r="CK105" s="523"/>
      <c r="CL105" s="523"/>
      <c r="CM105" s="470"/>
      <c r="CN105" s="523"/>
      <c r="CO105" s="523"/>
      <c r="CP105" s="523"/>
      <c r="CQ105" s="470"/>
      <c r="CR105" s="523"/>
      <c r="CS105" s="523"/>
      <c r="CT105" s="523"/>
      <c r="CU105" s="470"/>
      <c r="CV105" s="523"/>
      <c r="CW105" s="523"/>
      <c r="CX105" s="523"/>
      <c r="CY105" s="470"/>
      <c r="CZ105" s="523"/>
      <c r="DA105" s="523"/>
      <c r="DB105" s="523"/>
      <c r="DC105" s="470"/>
      <c r="DD105" s="523"/>
      <c r="DE105" s="523"/>
      <c r="DF105" s="523"/>
      <c r="DG105" s="470"/>
      <c r="DH105" s="523"/>
      <c r="DI105" s="523"/>
      <c r="DJ105" s="523"/>
      <c r="DK105" s="470"/>
      <c r="DL105" s="523"/>
      <c r="DM105" s="523"/>
      <c r="DN105" s="523"/>
      <c r="DO105" s="470"/>
      <c r="DP105" s="523"/>
      <c r="DQ105" s="523"/>
      <c r="DR105" s="523"/>
      <c r="DS105" s="523"/>
      <c r="DT105" s="523"/>
      <c r="DU105" s="523"/>
      <c r="DV105" s="523"/>
      <c r="DW105" s="523"/>
      <c r="DX105" s="523"/>
      <c r="DY105" s="523"/>
      <c r="DZ105" s="523"/>
      <c r="EA105" s="523"/>
      <c r="EB105" s="523"/>
      <c r="EC105" s="523"/>
      <c r="ED105" s="523"/>
      <c r="EE105" s="523"/>
      <c r="EF105" s="523"/>
      <c r="EG105" s="523"/>
      <c r="EH105" s="523"/>
      <c r="EI105" s="523"/>
      <c r="EJ105" s="523"/>
      <c r="EK105" s="523"/>
      <c r="EL105" s="523"/>
      <c r="EM105" s="470"/>
      <c r="EN105" s="470"/>
      <c r="EO105" s="470"/>
      <c r="EP105" s="470"/>
      <c r="EQ105" s="470"/>
      <c r="ER105" s="470"/>
      <c r="ES105" s="470"/>
      <c r="ET105" s="470"/>
      <c r="EU105" s="470"/>
      <c r="EV105" s="470"/>
      <c r="EW105" s="470"/>
      <c r="EX105" s="470"/>
      <c r="EY105" s="470"/>
      <c r="EZ105" s="470"/>
      <c r="FA105" s="470"/>
      <c r="FB105" s="470"/>
      <c r="FC105" s="470"/>
      <c r="FD105" s="470"/>
      <c r="FE105" s="470"/>
      <c r="FF105" s="470"/>
      <c r="FG105" s="470"/>
      <c r="FH105" s="470"/>
      <c r="FI105" s="470"/>
      <c r="FJ105" s="470"/>
      <c r="FK105" s="470"/>
      <c r="FL105" s="470"/>
      <c r="FM105" s="470"/>
      <c r="FN105" s="470"/>
      <c r="FO105" s="470"/>
      <c r="FP105" s="470"/>
      <c r="FQ105" s="470"/>
      <c r="FR105" s="470"/>
      <c r="FS105" s="470"/>
      <c r="FT105" s="470"/>
      <c r="FU105" s="470"/>
      <c r="FV105" s="470"/>
      <c r="FW105" s="470"/>
      <c r="FX105" s="470"/>
      <c r="FY105" s="470"/>
      <c r="FZ105" s="470"/>
      <c r="GA105" s="470"/>
      <c r="GB105" s="470"/>
      <c r="GC105" s="470"/>
      <c r="GD105" s="470"/>
      <c r="GE105" s="470"/>
      <c r="GF105" s="470"/>
      <c r="GG105" s="470"/>
      <c r="GH105" s="470"/>
      <c r="GI105" s="470"/>
      <c r="GJ105" s="470"/>
      <c r="GK105" s="470"/>
      <c r="GL105" s="470"/>
      <c r="GM105" s="470"/>
      <c r="GN105" s="470"/>
      <c r="GO105" s="470"/>
      <c r="GP105" s="470"/>
      <c r="GQ105" s="470"/>
      <c r="GR105" s="470"/>
      <c r="GS105" s="470"/>
      <c r="GT105" s="470"/>
      <c r="GU105" s="470"/>
      <c r="GV105" s="523"/>
      <c r="GW105" s="523"/>
      <c r="GX105" s="523"/>
      <c r="GY105" s="470"/>
      <c r="GZ105" s="523"/>
      <c r="HA105" s="523"/>
      <c r="HB105" s="523"/>
      <c r="HC105" s="523"/>
      <c r="HD105" s="523"/>
      <c r="HE105" s="523"/>
      <c r="HF105" s="523"/>
      <c r="HG105" s="523"/>
      <c r="HH105" s="523"/>
      <c r="HI105" s="523"/>
      <c r="HJ105" s="523"/>
      <c r="HK105" s="523"/>
      <c r="HL105" s="523"/>
      <c r="HM105" s="523"/>
      <c r="HN105" s="523"/>
      <c r="HO105" s="523"/>
      <c r="HP105" s="523"/>
      <c r="HQ105" s="523"/>
      <c r="HR105" s="523"/>
      <c r="HS105" s="523"/>
    </row>
    <row r="106" spans="1:227" x14ac:dyDescent="0.25">
      <c r="A106" s="107">
        <v>29</v>
      </c>
      <c r="B106" s="518" t="s">
        <v>614</v>
      </c>
      <c r="C106" s="518"/>
      <c r="D106" s="465">
        <v>0</v>
      </c>
      <c r="E106" s="465">
        <v>0</v>
      </c>
      <c r="F106" s="612">
        <f t="shared" si="146"/>
        <v>0</v>
      </c>
      <c r="G106" s="616"/>
      <c r="H106" s="583">
        <v>1650000</v>
      </c>
      <c r="I106" s="498">
        <v>0</v>
      </c>
      <c r="J106" s="614">
        <f t="shared" si="147"/>
        <v>1650000</v>
      </c>
      <c r="K106" s="616"/>
      <c r="L106" s="498">
        <v>1770000</v>
      </c>
      <c r="M106" s="498">
        <v>0</v>
      </c>
      <c r="N106" s="614">
        <f t="shared" si="148"/>
        <v>1770000</v>
      </c>
      <c r="O106" s="616"/>
      <c r="P106" s="461">
        <v>0</v>
      </c>
      <c r="Q106" s="498">
        <v>0</v>
      </c>
      <c r="R106" s="614">
        <f t="shared" si="149"/>
        <v>0</v>
      </c>
      <c r="S106" s="616"/>
      <c r="T106" s="465">
        <v>3420000</v>
      </c>
      <c r="U106" s="465">
        <v>0</v>
      </c>
      <c r="V106" s="611">
        <f t="shared" si="150"/>
        <v>3420000</v>
      </c>
      <c r="X106" s="465">
        <v>0</v>
      </c>
      <c r="Y106" s="465">
        <v>0</v>
      </c>
      <c r="Z106" s="454"/>
      <c r="AA106" s="470"/>
      <c r="AB106" s="523"/>
      <c r="AC106" s="523"/>
      <c r="AD106" s="523"/>
      <c r="AE106" s="470"/>
      <c r="AF106" s="523"/>
      <c r="AG106" s="523"/>
      <c r="AH106" s="523"/>
      <c r="AI106" s="470"/>
      <c r="AJ106" s="523"/>
      <c r="AK106" s="523"/>
      <c r="AL106" s="523"/>
      <c r="AM106" s="523"/>
      <c r="AN106" s="523"/>
      <c r="AO106" s="523"/>
      <c r="AP106" s="523"/>
      <c r="AQ106" s="470"/>
      <c r="AR106" s="523"/>
      <c r="AS106" s="523"/>
      <c r="AT106" s="523"/>
      <c r="AU106" s="470"/>
      <c r="AV106" s="523"/>
      <c r="AW106" s="523"/>
      <c r="AX106" s="523"/>
      <c r="AY106" s="470"/>
      <c r="AZ106" s="523"/>
      <c r="BA106" s="523"/>
      <c r="BB106" s="523"/>
      <c r="BC106" s="470"/>
      <c r="BD106" s="523"/>
      <c r="BE106" s="523"/>
      <c r="BF106" s="523"/>
      <c r="BG106" s="470"/>
      <c r="BH106" s="523"/>
      <c r="BI106" s="523"/>
      <c r="BJ106" s="523"/>
      <c r="BK106" s="470"/>
      <c r="BL106" s="523"/>
      <c r="BM106" s="523"/>
      <c r="BN106" s="523"/>
      <c r="BO106" s="470"/>
      <c r="BP106" s="523"/>
      <c r="BQ106" s="523"/>
      <c r="BR106" s="523"/>
      <c r="BS106" s="470"/>
      <c r="BT106" s="523"/>
      <c r="BU106" s="523"/>
      <c r="BV106" s="523"/>
      <c r="BW106" s="470"/>
      <c r="BX106" s="523"/>
      <c r="BY106" s="523"/>
      <c r="BZ106" s="523"/>
      <c r="CA106" s="470"/>
      <c r="CB106" s="523"/>
      <c r="CC106" s="523"/>
      <c r="CD106" s="523"/>
      <c r="CE106" s="470"/>
      <c r="CF106" s="523"/>
      <c r="CG106" s="523"/>
      <c r="CH106" s="523"/>
      <c r="CI106" s="470"/>
      <c r="CJ106" s="523"/>
      <c r="CK106" s="523"/>
      <c r="CL106" s="523"/>
      <c r="CM106" s="470"/>
      <c r="CN106" s="523"/>
      <c r="CO106" s="523"/>
      <c r="CP106" s="523"/>
      <c r="CQ106" s="470"/>
      <c r="CR106" s="523"/>
      <c r="CS106" s="523"/>
      <c r="CT106" s="523"/>
      <c r="CU106" s="470"/>
      <c r="CV106" s="523"/>
      <c r="CW106" s="523"/>
      <c r="CX106" s="523"/>
      <c r="CY106" s="470"/>
      <c r="CZ106" s="523"/>
      <c r="DA106" s="523"/>
      <c r="DB106" s="523"/>
      <c r="DC106" s="470"/>
      <c r="DD106" s="523"/>
      <c r="DE106" s="523"/>
      <c r="DF106" s="523"/>
      <c r="DG106" s="470"/>
      <c r="DH106" s="523"/>
      <c r="DI106" s="523"/>
      <c r="DJ106" s="523"/>
      <c r="DK106" s="470"/>
      <c r="DL106" s="523"/>
      <c r="DM106" s="523"/>
      <c r="DN106" s="523"/>
      <c r="DO106" s="470"/>
      <c r="DP106" s="523"/>
      <c r="DQ106" s="523"/>
      <c r="DR106" s="523"/>
      <c r="DS106" s="523"/>
      <c r="DT106" s="523"/>
      <c r="DU106" s="523"/>
      <c r="DV106" s="523"/>
      <c r="DW106" s="523"/>
      <c r="DX106" s="523"/>
      <c r="DY106" s="523"/>
      <c r="DZ106" s="523"/>
      <c r="EA106" s="523"/>
      <c r="EB106" s="523"/>
      <c r="EC106" s="523"/>
      <c r="ED106" s="523"/>
      <c r="EE106" s="523"/>
      <c r="EF106" s="523"/>
      <c r="EG106" s="523"/>
      <c r="EH106" s="523"/>
      <c r="EI106" s="523"/>
      <c r="EJ106" s="523"/>
      <c r="EK106" s="523"/>
      <c r="EL106" s="523"/>
      <c r="EM106" s="470"/>
      <c r="EN106" s="470"/>
      <c r="EO106" s="470"/>
      <c r="EP106" s="470"/>
      <c r="EQ106" s="470"/>
      <c r="ER106" s="470"/>
      <c r="ES106" s="470"/>
      <c r="ET106" s="470"/>
      <c r="EU106" s="470"/>
      <c r="EV106" s="470"/>
      <c r="EW106" s="470"/>
      <c r="EX106" s="470"/>
      <c r="EY106" s="470"/>
      <c r="EZ106" s="470"/>
      <c r="FA106" s="470"/>
      <c r="FB106" s="470"/>
      <c r="FC106" s="470"/>
      <c r="FD106" s="470"/>
      <c r="FE106" s="470"/>
      <c r="FF106" s="470"/>
      <c r="FG106" s="470"/>
      <c r="FH106" s="470"/>
      <c r="FI106" s="470"/>
      <c r="FJ106" s="470"/>
      <c r="FK106" s="470"/>
      <c r="FL106" s="470"/>
      <c r="FM106" s="470"/>
      <c r="FN106" s="470"/>
      <c r="FO106" s="470"/>
      <c r="FP106" s="470"/>
      <c r="FQ106" s="470"/>
      <c r="FR106" s="470"/>
      <c r="FS106" s="470"/>
      <c r="FT106" s="470"/>
      <c r="FU106" s="470"/>
      <c r="FV106" s="470"/>
      <c r="FW106" s="470"/>
      <c r="FX106" s="470"/>
      <c r="FY106" s="470"/>
      <c r="FZ106" s="470"/>
      <c r="GA106" s="470"/>
      <c r="GB106" s="470"/>
      <c r="GC106" s="470"/>
      <c r="GD106" s="470"/>
      <c r="GE106" s="470"/>
      <c r="GF106" s="470"/>
      <c r="GG106" s="470"/>
      <c r="GH106" s="470"/>
      <c r="GI106" s="470"/>
      <c r="GJ106" s="470"/>
      <c r="GK106" s="470"/>
      <c r="GL106" s="470"/>
      <c r="GM106" s="470"/>
      <c r="GN106" s="470"/>
      <c r="GO106" s="470"/>
      <c r="GP106" s="470"/>
      <c r="GQ106" s="470"/>
      <c r="GR106" s="470"/>
      <c r="GS106" s="470"/>
      <c r="GT106" s="470"/>
      <c r="GU106" s="470"/>
      <c r="GV106" s="523"/>
      <c r="GW106" s="523"/>
      <c r="GX106" s="523"/>
      <c r="GY106" s="470"/>
      <c r="GZ106" s="523"/>
      <c r="HA106" s="523"/>
      <c r="HB106" s="523"/>
      <c r="HC106" s="523"/>
      <c r="HD106" s="523"/>
      <c r="HE106" s="523"/>
      <c r="HF106" s="523"/>
      <c r="HG106" s="523"/>
      <c r="HH106" s="523"/>
      <c r="HI106" s="523"/>
      <c r="HJ106" s="523"/>
      <c r="HK106" s="523"/>
      <c r="HL106" s="523"/>
      <c r="HM106" s="523"/>
      <c r="HN106" s="523"/>
      <c r="HO106" s="523"/>
      <c r="HP106" s="523"/>
      <c r="HQ106" s="523"/>
      <c r="HR106" s="523"/>
      <c r="HS106" s="523"/>
    </row>
    <row r="107" spans="1:227" x14ac:dyDescent="0.25">
      <c r="A107" s="107">
        <v>30</v>
      </c>
      <c r="B107" s="518" t="s">
        <v>615</v>
      </c>
      <c r="C107" s="518"/>
      <c r="D107" s="465">
        <v>0</v>
      </c>
      <c r="E107" s="465">
        <v>0</v>
      </c>
      <c r="F107" s="612">
        <f t="shared" si="146"/>
        <v>0</v>
      </c>
      <c r="G107" s="616"/>
      <c r="H107" s="583">
        <v>1650000</v>
      </c>
      <c r="I107" s="461">
        <v>1650000</v>
      </c>
      <c r="J107" s="614">
        <f t="shared" si="147"/>
        <v>0</v>
      </c>
      <c r="K107" s="616"/>
      <c r="L107" s="498">
        <v>1770000</v>
      </c>
      <c r="M107" s="498">
        <v>1770000</v>
      </c>
      <c r="N107" s="614">
        <f t="shared" si="148"/>
        <v>0</v>
      </c>
      <c r="O107" s="616"/>
      <c r="P107" s="461">
        <v>3000000</v>
      </c>
      <c r="Q107" s="498">
        <v>2880000</v>
      </c>
      <c r="R107" s="614">
        <f t="shared" si="149"/>
        <v>120000</v>
      </c>
      <c r="S107" s="616"/>
      <c r="T107" s="465">
        <v>6420000</v>
      </c>
      <c r="U107" s="465">
        <v>6300000</v>
      </c>
      <c r="V107" s="611">
        <f t="shared" si="150"/>
        <v>120000</v>
      </c>
      <c r="X107" s="465">
        <v>0</v>
      </c>
      <c r="Y107" s="465">
        <v>6300000</v>
      </c>
      <c r="Z107" s="454"/>
      <c r="AA107" s="470"/>
      <c r="AB107" s="523"/>
      <c r="AC107" s="523"/>
      <c r="AD107" s="523"/>
      <c r="AE107" s="470"/>
      <c r="AF107" s="523"/>
      <c r="AG107" s="523"/>
      <c r="AH107" s="523"/>
      <c r="AI107" s="470"/>
      <c r="AJ107" s="523"/>
      <c r="AK107" s="523"/>
      <c r="AL107" s="523"/>
      <c r="AM107" s="523"/>
      <c r="AN107" s="523"/>
      <c r="AO107" s="523"/>
      <c r="AP107" s="523"/>
      <c r="AQ107" s="470"/>
      <c r="AR107" s="523"/>
      <c r="AS107" s="523"/>
      <c r="AT107" s="523"/>
      <c r="AU107" s="470"/>
      <c r="AV107" s="523"/>
      <c r="AW107" s="523"/>
      <c r="AX107" s="523"/>
      <c r="AY107" s="470"/>
      <c r="AZ107" s="523"/>
      <c r="BA107" s="523"/>
      <c r="BB107" s="523"/>
      <c r="BC107" s="470"/>
      <c r="BD107" s="523"/>
      <c r="BE107" s="523"/>
      <c r="BF107" s="523"/>
      <c r="BG107" s="470"/>
      <c r="BH107" s="523"/>
      <c r="BI107" s="523"/>
      <c r="BJ107" s="523"/>
      <c r="BK107" s="470"/>
      <c r="BL107" s="523"/>
      <c r="BM107" s="523"/>
      <c r="BN107" s="523"/>
      <c r="BO107" s="470"/>
      <c r="BP107" s="523"/>
      <c r="BQ107" s="523"/>
      <c r="BR107" s="523"/>
      <c r="BS107" s="470"/>
      <c r="BT107" s="523"/>
      <c r="BU107" s="523"/>
      <c r="BV107" s="523"/>
      <c r="BW107" s="470"/>
      <c r="BX107" s="523"/>
      <c r="BY107" s="523"/>
      <c r="BZ107" s="523"/>
      <c r="CA107" s="470"/>
      <c r="CB107" s="523"/>
      <c r="CC107" s="523"/>
      <c r="CD107" s="523"/>
      <c r="CE107" s="470"/>
      <c r="CF107" s="523"/>
      <c r="CG107" s="523"/>
      <c r="CH107" s="523"/>
      <c r="CI107" s="470"/>
      <c r="CJ107" s="523"/>
      <c r="CK107" s="523"/>
      <c r="CL107" s="523"/>
      <c r="CM107" s="470"/>
      <c r="CN107" s="523"/>
      <c r="CO107" s="523"/>
      <c r="CP107" s="523"/>
      <c r="CQ107" s="470"/>
      <c r="CR107" s="523"/>
      <c r="CS107" s="523"/>
      <c r="CT107" s="523"/>
      <c r="CU107" s="470"/>
      <c r="CV107" s="523"/>
      <c r="CW107" s="523"/>
      <c r="CX107" s="523"/>
      <c r="CY107" s="470"/>
      <c r="CZ107" s="523"/>
      <c r="DA107" s="523"/>
      <c r="DB107" s="523"/>
      <c r="DC107" s="470"/>
      <c r="DD107" s="523"/>
      <c r="DE107" s="523"/>
      <c r="DF107" s="523"/>
      <c r="DG107" s="470"/>
      <c r="DH107" s="523"/>
      <c r="DI107" s="523"/>
      <c r="DJ107" s="523"/>
      <c r="DK107" s="470"/>
      <c r="DL107" s="523"/>
      <c r="DM107" s="523"/>
      <c r="DN107" s="523"/>
      <c r="DO107" s="470"/>
      <c r="DP107" s="523"/>
      <c r="DQ107" s="523"/>
      <c r="DR107" s="523"/>
      <c r="DS107" s="523"/>
      <c r="DT107" s="523"/>
      <c r="DU107" s="523"/>
      <c r="DV107" s="523"/>
      <c r="DW107" s="523"/>
      <c r="DX107" s="523"/>
      <c r="DY107" s="523"/>
      <c r="DZ107" s="523"/>
      <c r="EA107" s="523"/>
      <c r="EB107" s="523"/>
      <c r="EC107" s="523"/>
      <c r="ED107" s="523"/>
      <c r="EE107" s="523"/>
      <c r="EF107" s="523"/>
      <c r="EG107" s="523"/>
      <c r="EH107" s="523"/>
      <c r="EI107" s="523"/>
      <c r="EJ107" s="523"/>
      <c r="EK107" s="523"/>
      <c r="EL107" s="523"/>
      <c r="EM107" s="470"/>
      <c r="EN107" s="470"/>
      <c r="EO107" s="470"/>
      <c r="EP107" s="470"/>
      <c r="EQ107" s="470"/>
      <c r="ER107" s="470"/>
      <c r="ES107" s="470"/>
      <c r="ET107" s="470"/>
      <c r="EU107" s="470"/>
      <c r="EV107" s="470"/>
      <c r="EW107" s="470"/>
      <c r="EX107" s="470"/>
      <c r="EY107" s="470"/>
      <c r="EZ107" s="470"/>
      <c r="FA107" s="470"/>
      <c r="FB107" s="470"/>
      <c r="FC107" s="470"/>
      <c r="FD107" s="470"/>
      <c r="FE107" s="470"/>
      <c r="FF107" s="470"/>
      <c r="FG107" s="470"/>
      <c r="FH107" s="470"/>
      <c r="FI107" s="470"/>
      <c r="FJ107" s="470"/>
      <c r="FK107" s="470"/>
      <c r="FL107" s="470"/>
      <c r="FM107" s="470"/>
      <c r="FN107" s="470"/>
      <c r="FO107" s="470"/>
      <c r="FP107" s="470"/>
      <c r="FQ107" s="470"/>
      <c r="FR107" s="470"/>
      <c r="FS107" s="470"/>
      <c r="FT107" s="470"/>
      <c r="FU107" s="470"/>
      <c r="FV107" s="470"/>
      <c r="FW107" s="470"/>
      <c r="FX107" s="470"/>
      <c r="FY107" s="470"/>
      <c r="FZ107" s="470"/>
      <c r="GA107" s="470"/>
      <c r="GB107" s="470"/>
      <c r="GC107" s="470"/>
      <c r="GD107" s="470"/>
      <c r="GE107" s="470"/>
      <c r="GF107" s="470"/>
      <c r="GG107" s="470"/>
      <c r="GH107" s="470"/>
      <c r="GI107" s="470"/>
      <c r="GJ107" s="470"/>
      <c r="GK107" s="470"/>
      <c r="GL107" s="470"/>
      <c r="GM107" s="470"/>
      <c r="GN107" s="470"/>
      <c r="GO107" s="470"/>
      <c r="GP107" s="470"/>
      <c r="GQ107" s="470"/>
      <c r="GR107" s="470"/>
      <c r="GS107" s="470"/>
      <c r="GT107" s="470"/>
      <c r="GU107" s="470"/>
      <c r="GV107" s="523"/>
      <c r="GW107" s="523"/>
      <c r="GX107" s="523"/>
      <c r="GY107" s="470"/>
      <c r="GZ107" s="523"/>
      <c r="HA107" s="523"/>
      <c r="HB107" s="523"/>
      <c r="HC107" s="523"/>
      <c r="HD107" s="523"/>
      <c r="HE107" s="523"/>
      <c r="HF107" s="523"/>
      <c r="HG107" s="523"/>
      <c r="HH107" s="523"/>
      <c r="HI107" s="523"/>
      <c r="HJ107" s="523"/>
      <c r="HK107" s="523"/>
      <c r="HL107" s="523"/>
      <c r="HM107" s="523"/>
      <c r="HN107" s="523"/>
      <c r="HO107" s="523"/>
      <c r="HP107" s="523"/>
      <c r="HQ107" s="523"/>
      <c r="HR107" s="523"/>
      <c r="HS107" s="523"/>
    </row>
    <row r="108" spans="1:227" x14ac:dyDescent="0.25">
      <c r="A108" s="107">
        <v>31</v>
      </c>
      <c r="B108" s="518" t="s">
        <v>616</v>
      </c>
      <c r="C108" s="518"/>
      <c r="D108" s="465">
        <v>0</v>
      </c>
      <c r="E108" s="465">
        <v>0</v>
      </c>
      <c r="F108" s="612">
        <f t="shared" si="146"/>
        <v>0</v>
      </c>
      <c r="G108" s="616"/>
      <c r="H108" s="583">
        <v>1650000</v>
      </c>
      <c r="I108" s="461">
        <v>1650000</v>
      </c>
      <c r="J108" s="614">
        <f t="shared" si="147"/>
        <v>0</v>
      </c>
      <c r="K108" s="616"/>
      <c r="L108" s="498">
        <v>1770000</v>
      </c>
      <c r="M108" s="498">
        <v>1770000</v>
      </c>
      <c r="N108" s="614">
        <f t="shared" si="148"/>
        <v>0</v>
      </c>
      <c r="O108" s="616"/>
      <c r="P108" s="461">
        <v>3000000</v>
      </c>
      <c r="Q108" s="498">
        <v>4230000</v>
      </c>
      <c r="R108" s="614">
        <f t="shared" si="149"/>
        <v>-1230000</v>
      </c>
      <c r="S108" s="616"/>
      <c r="T108" s="465">
        <v>6420000</v>
      </c>
      <c r="U108" s="465">
        <v>7650000</v>
      </c>
      <c r="V108" s="611">
        <f t="shared" si="150"/>
        <v>-1230000</v>
      </c>
      <c r="X108" s="465">
        <v>0</v>
      </c>
      <c r="Y108" s="465">
        <v>7650000</v>
      </c>
      <c r="Z108" s="454"/>
      <c r="AA108" s="470"/>
      <c r="AB108" s="523"/>
      <c r="AC108" s="523"/>
      <c r="AD108" s="523"/>
      <c r="AE108" s="470"/>
      <c r="AF108" s="523"/>
      <c r="AG108" s="523"/>
      <c r="AH108" s="523"/>
      <c r="AI108" s="470"/>
      <c r="AJ108" s="523"/>
      <c r="AK108" s="523"/>
      <c r="AL108" s="523"/>
      <c r="AM108" s="523"/>
      <c r="AN108" s="523"/>
      <c r="AO108" s="523"/>
      <c r="AP108" s="523"/>
      <c r="AQ108" s="470"/>
      <c r="AR108" s="523"/>
      <c r="AS108" s="523"/>
      <c r="AT108" s="523"/>
      <c r="AU108" s="470"/>
      <c r="AV108" s="523"/>
      <c r="AW108" s="523"/>
      <c r="AX108" s="523"/>
      <c r="AY108" s="470"/>
      <c r="AZ108" s="523"/>
      <c r="BA108" s="523"/>
      <c r="BB108" s="523"/>
      <c r="BC108" s="470"/>
      <c r="BD108" s="523"/>
      <c r="BE108" s="523"/>
      <c r="BF108" s="523"/>
      <c r="BG108" s="470"/>
      <c r="BH108" s="523"/>
      <c r="BI108" s="523"/>
      <c r="BJ108" s="523"/>
      <c r="BK108" s="470"/>
      <c r="BL108" s="523"/>
      <c r="BM108" s="523"/>
      <c r="BN108" s="523"/>
      <c r="BO108" s="470"/>
      <c r="BP108" s="523"/>
      <c r="BQ108" s="523"/>
      <c r="BR108" s="523"/>
      <c r="BS108" s="470"/>
      <c r="BT108" s="523"/>
      <c r="BU108" s="523"/>
      <c r="BV108" s="523"/>
      <c r="BW108" s="470"/>
      <c r="BX108" s="523"/>
      <c r="BY108" s="523"/>
      <c r="BZ108" s="523"/>
      <c r="CA108" s="470"/>
      <c r="CB108" s="523"/>
      <c r="CC108" s="523"/>
      <c r="CD108" s="523"/>
      <c r="CE108" s="470"/>
      <c r="CF108" s="523"/>
      <c r="CG108" s="523"/>
      <c r="CH108" s="523"/>
      <c r="CI108" s="470"/>
      <c r="CJ108" s="523"/>
      <c r="CK108" s="523"/>
      <c r="CL108" s="523"/>
      <c r="CM108" s="470"/>
      <c r="CN108" s="523"/>
      <c r="CO108" s="523"/>
      <c r="CP108" s="523"/>
      <c r="CQ108" s="470"/>
      <c r="CR108" s="523"/>
      <c r="CS108" s="523"/>
      <c r="CT108" s="523"/>
      <c r="CU108" s="470"/>
      <c r="CV108" s="523"/>
      <c r="CW108" s="523"/>
      <c r="CX108" s="523"/>
      <c r="CY108" s="470"/>
      <c r="CZ108" s="523"/>
      <c r="DA108" s="523"/>
      <c r="DB108" s="523"/>
      <c r="DC108" s="470"/>
      <c r="DD108" s="523"/>
      <c r="DE108" s="523"/>
      <c r="DF108" s="523"/>
      <c r="DG108" s="470"/>
      <c r="DH108" s="523"/>
      <c r="DI108" s="523"/>
      <c r="DJ108" s="523"/>
      <c r="DK108" s="470"/>
      <c r="DL108" s="523"/>
      <c r="DM108" s="523"/>
      <c r="DN108" s="523"/>
      <c r="DO108" s="470"/>
      <c r="DP108" s="523"/>
      <c r="DQ108" s="523"/>
      <c r="DR108" s="523"/>
      <c r="DS108" s="523"/>
      <c r="DT108" s="523"/>
      <c r="DU108" s="523"/>
      <c r="DV108" s="523"/>
      <c r="DW108" s="523"/>
      <c r="DX108" s="523"/>
      <c r="DY108" s="523"/>
      <c r="DZ108" s="523"/>
      <c r="EA108" s="523"/>
      <c r="EB108" s="523"/>
      <c r="EC108" s="523"/>
      <c r="ED108" s="523"/>
      <c r="EE108" s="523"/>
      <c r="EF108" s="523"/>
      <c r="EG108" s="523"/>
      <c r="EH108" s="523"/>
      <c r="EI108" s="523"/>
      <c r="EJ108" s="523"/>
      <c r="EK108" s="523"/>
      <c r="EL108" s="523"/>
      <c r="EM108" s="470"/>
      <c r="EN108" s="470"/>
      <c r="EO108" s="470"/>
      <c r="EP108" s="470"/>
      <c r="EQ108" s="470"/>
      <c r="ER108" s="470"/>
      <c r="ES108" s="470"/>
      <c r="ET108" s="470"/>
      <c r="EU108" s="470"/>
      <c r="EV108" s="470"/>
      <c r="EW108" s="470"/>
      <c r="EX108" s="470"/>
      <c r="EY108" s="470"/>
      <c r="EZ108" s="470"/>
      <c r="FA108" s="470"/>
      <c r="FB108" s="470"/>
      <c r="FC108" s="470"/>
      <c r="FD108" s="470"/>
      <c r="FE108" s="470"/>
      <c r="FF108" s="470"/>
      <c r="FG108" s="470"/>
      <c r="FH108" s="470"/>
      <c r="FI108" s="470"/>
      <c r="FJ108" s="470"/>
      <c r="FK108" s="470"/>
      <c r="FL108" s="470"/>
      <c r="FM108" s="470"/>
      <c r="FN108" s="470"/>
      <c r="FO108" s="470"/>
      <c r="FP108" s="470"/>
      <c r="FQ108" s="470"/>
      <c r="FR108" s="470"/>
      <c r="FS108" s="470"/>
      <c r="FT108" s="470"/>
      <c r="FU108" s="470"/>
      <c r="FV108" s="470"/>
      <c r="FW108" s="470"/>
      <c r="FX108" s="470"/>
      <c r="FY108" s="470"/>
      <c r="FZ108" s="470"/>
      <c r="GA108" s="470"/>
      <c r="GB108" s="470"/>
      <c r="GC108" s="470"/>
      <c r="GD108" s="470"/>
      <c r="GE108" s="470"/>
      <c r="GF108" s="470"/>
      <c r="GG108" s="470"/>
      <c r="GH108" s="470"/>
      <c r="GI108" s="470"/>
      <c r="GJ108" s="470"/>
      <c r="GK108" s="470"/>
      <c r="GL108" s="470"/>
      <c r="GM108" s="470"/>
      <c r="GN108" s="470"/>
      <c r="GO108" s="470"/>
      <c r="GP108" s="470"/>
      <c r="GQ108" s="470"/>
      <c r="GR108" s="470"/>
      <c r="GS108" s="470"/>
      <c r="GT108" s="470"/>
      <c r="GU108" s="470"/>
      <c r="GV108" s="523"/>
      <c r="GW108" s="523"/>
      <c r="GX108" s="523"/>
      <c r="GY108" s="470"/>
      <c r="GZ108" s="523"/>
      <c r="HA108" s="523"/>
      <c r="HB108" s="523"/>
      <c r="HC108" s="523"/>
      <c r="HD108" s="523"/>
      <c r="HE108" s="523"/>
      <c r="HF108" s="523"/>
      <c r="HG108" s="523"/>
      <c r="HH108" s="523"/>
      <c r="HI108" s="523"/>
      <c r="HJ108" s="523"/>
      <c r="HK108" s="523"/>
      <c r="HL108" s="523"/>
      <c r="HM108" s="523"/>
      <c r="HN108" s="523"/>
      <c r="HO108" s="523"/>
      <c r="HP108" s="523"/>
      <c r="HQ108" s="523"/>
      <c r="HR108" s="523"/>
      <c r="HS108" s="523"/>
    </row>
    <row r="109" spans="1:227" x14ac:dyDescent="0.25">
      <c r="A109" s="107">
        <v>32</v>
      </c>
      <c r="B109" s="518" t="s">
        <v>617</v>
      </c>
      <c r="C109" s="518"/>
      <c r="D109" s="465">
        <v>0</v>
      </c>
      <c r="E109" s="465">
        <v>0</v>
      </c>
      <c r="F109" s="612">
        <f t="shared" si="146"/>
        <v>0</v>
      </c>
      <c r="G109" s="616"/>
      <c r="H109" s="583">
        <v>1650000</v>
      </c>
      <c r="I109" s="498">
        <v>1650000</v>
      </c>
      <c r="J109" s="614">
        <f t="shared" si="147"/>
        <v>0</v>
      </c>
      <c r="K109" s="616"/>
      <c r="L109" s="498">
        <v>1770000</v>
      </c>
      <c r="M109" s="498">
        <v>1770000</v>
      </c>
      <c r="N109" s="614">
        <f t="shared" si="148"/>
        <v>0</v>
      </c>
      <c r="O109" s="616"/>
      <c r="P109" s="461">
        <v>3000000</v>
      </c>
      <c r="Q109" s="498">
        <v>2480000</v>
      </c>
      <c r="R109" s="614">
        <f t="shared" si="149"/>
        <v>520000</v>
      </c>
      <c r="S109" s="616"/>
      <c r="T109" s="465">
        <v>6420000</v>
      </c>
      <c r="U109" s="465">
        <v>5900000</v>
      </c>
      <c r="V109" s="611">
        <f t="shared" si="150"/>
        <v>520000</v>
      </c>
      <c r="X109" s="465">
        <v>0</v>
      </c>
      <c r="Y109" s="465">
        <v>5900000</v>
      </c>
      <c r="Z109" s="454"/>
      <c r="AA109" s="470"/>
      <c r="AB109" s="523"/>
      <c r="AC109" s="523"/>
      <c r="AD109" s="523"/>
      <c r="AE109" s="470"/>
      <c r="AF109" s="523"/>
      <c r="AG109" s="523"/>
      <c r="AH109" s="523"/>
      <c r="AI109" s="470"/>
      <c r="AJ109" s="523"/>
      <c r="AK109" s="523"/>
      <c r="AL109" s="523"/>
      <c r="AM109" s="523"/>
      <c r="AN109" s="523"/>
      <c r="AO109" s="523"/>
      <c r="AP109" s="523"/>
      <c r="AQ109" s="470"/>
      <c r="AR109" s="523"/>
      <c r="AS109" s="523"/>
      <c r="AT109" s="523"/>
      <c r="AU109" s="470"/>
      <c r="AV109" s="523"/>
      <c r="AW109" s="523"/>
      <c r="AX109" s="523"/>
      <c r="AY109" s="470"/>
      <c r="AZ109" s="523"/>
      <c r="BA109" s="523"/>
      <c r="BB109" s="523"/>
      <c r="BC109" s="470"/>
      <c r="BD109" s="523"/>
      <c r="BE109" s="523"/>
      <c r="BF109" s="523"/>
      <c r="BG109" s="470"/>
      <c r="BH109" s="523"/>
      <c r="BI109" s="523"/>
      <c r="BJ109" s="523"/>
      <c r="BK109" s="470"/>
      <c r="BL109" s="523"/>
      <c r="BM109" s="523"/>
      <c r="BN109" s="523"/>
      <c r="BO109" s="470"/>
      <c r="BP109" s="523"/>
      <c r="BQ109" s="523"/>
      <c r="BR109" s="523"/>
      <c r="BS109" s="470"/>
      <c r="BT109" s="523"/>
      <c r="BU109" s="523"/>
      <c r="BV109" s="523"/>
      <c r="BW109" s="470"/>
      <c r="BX109" s="523"/>
      <c r="BY109" s="523"/>
      <c r="BZ109" s="523"/>
      <c r="CA109" s="470"/>
      <c r="CB109" s="523"/>
      <c r="CC109" s="523"/>
      <c r="CD109" s="523"/>
      <c r="CE109" s="470"/>
      <c r="CF109" s="523"/>
      <c r="CG109" s="523"/>
      <c r="CH109" s="523"/>
      <c r="CI109" s="470"/>
      <c r="CJ109" s="523"/>
      <c r="CK109" s="523"/>
      <c r="CL109" s="523"/>
      <c r="CM109" s="470"/>
      <c r="CN109" s="523"/>
      <c r="CO109" s="523"/>
      <c r="CP109" s="523"/>
      <c r="CQ109" s="470"/>
      <c r="CR109" s="523"/>
      <c r="CS109" s="523"/>
      <c r="CT109" s="523"/>
      <c r="CU109" s="470"/>
      <c r="CV109" s="523"/>
      <c r="CW109" s="523"/>
      <c r="CX109" s="523"/>
      <c r="CY109" s="470"/>
      <c r="CZ109" s="523"/>
      <c r="DA109" s="523"/>
      <c r="DB109" s="523"/>
      <c r="DC109" s="470"/>
      <c r="DD109" s="523"/>
      <c r="DE109" s="523"/>
      <c r="DF109" s="523"/>
      <c r="DG109" s="470"/>
      <c r="DH109" s="523"/>
      <c r="DI109" s="523"/>
      <c r="DJ109" s="523"/>
      <c r="DK109" s="470"/>
      <c r="DL109" s="523"/>
      <c r="DM109" s="523"/>
      <c r="DN109" s="523"/>
      <c r="DO109" s="470"/>
      <c r="DP109" s="523"/>
      <c r="DQ109" s="523"/>
      <c r="DR109" s="523"/>
      <c r="DS109" s="523"/>
      <c r="DT109" s="523"/>
      <c r="DU109" s="523"/>
      <c r="DV109" s="523"/>
      <c r="DW109" s="523"/>
      <c r="DX109" s="523"/>
      <c r="DY109" s="523"/>
      <c r="DZ109" s="523"/>
      <c r="EA109" s="523"/>
      <c r="EB109" s="523"/>
      <c r="EC109" s="523"/>
      <c r="ED109" s="523"/>
      <c r="EE109" s="523"/>
      <c r="EF109" s="523"/>
      <c r="EG109" s="523"/>
      <c r="EH109" s="523"/>
      <c r="EI109" s="523"/>
      <c r="EJ109" s="523"/>
      <c r="EK109" s="523"/>
      <c r="EL109" s="523"/>
      <c r="EM109" s="470"/>
      <c r="EN109" s="470"/>
      <c r="EO109" s="470"/>
      <c r="EP109" s="470"/>
      <c r="EQ109" s="470"/>
      <c r="ER109" s="470"/>
      <c r="ES109" s="470"/>
      <c r="ET109" s="470"/>
      <c r="EU109" s="470"/>
      <c r="EV109" s="470"/>
      <c r="EW109" s="470"/>
      <c r="EX109" s="470"/>
      <c r="EY109" s="470"/>
      <c r="EZ109" s="470"/>
      <c r="FA109" s="470"/>
      <c r="FB109" s="470"/>
      <c r="FC109" s="470"/>
      <c r="FD109" s="470"/>
      <c r="FE109" s="470"/>
      <c r="FF109" s="470"/>
      <c r="FG109" s="470"/>
      <c r="FH109" s="470"/>
      <c r="FI109" s="470"/>
      <c r="FJ109" s="470"/>
      <c r="FK109" s="470"/>
      <c r="FL109" s="470"/>
      <c r="FM109" s="470"/>
      <c r="FN109" s="470"/>
      <c r="FO109" s="470"/>
      <c r="FP109" s="470"/>
      <c r="FQ109" s="470"/>
      <c r="FR109" s="470"/>
      <c r="FS109" s="470"/>
      <c r="FT109" s="470"/>
      <c r="FU109" s="470"/>
      <c r="FV109" s="470"/>
      <c r="FW109" s="470"/>
      <c r="FX109" s="470"/>
      <c r="FY109" s="470"/>
      <c r="FZ109" s="470"/>
      <c r="GA109" s="470"/>
      <c r="GB109" s="470"/>
      <c r="GC109" s="470"/>
      <c r="GD109" s="470"/>
      <c r="GE109" s="470"/>
      <c r="GF109" s="470"/>
      <c r="GG109" s="470"/>
      <c r="GH109" s="470"/>
      <c r="GI109" s="470"/>
      <c r="GJ109" s="470"/>
      <c r="GK109" s="470"/>
      <c r="GL109" s="470"/>
      <c r="GM109" s="470"/>
      <c r="GN109" s="470"/>
      <c r="GO109" s="470"/>
      <c r="GP109" s="470"/>
      <c r="GQ109" s="470"/>
      <c r="GR109" s="470"/>
      <c r="GS109" s="470"/>
      <c r="GT109" s="470"/>
      <c r="GU109" s="470"/>
      <c r="GV109" s="523"/>
      <c r="GW109" s="523"/>
      <c r="GX109" s="523"/>
      <c r="GY109" s="470"/>
      <c r="GZ109" s="523"/>
      <c r="HA109" s="523"/>
      <c r="HB109" s="523"/>
      <c r="HC109" s="523"/>
      <c r="HD109" s="523"/>
      <c r="HE109" s="523"/>
      <c r="HF109" s="523"/>
      <c r="HG109" s="523"/>
      <c r="HH109" s="523"/>
      <c r="HI109" s="523"/>
      <c r="HJ109" s="523"/>
      <c r="HK109" s="523"/>
      <c r="HL109" s="523"/>
      <c r="HM109" s="523"/>
      <c r="HN109" s="523"/>
      <c r="HO109" s="523"/>
      <c r="HP109" s="523"/>
      <c r="HQ109" s="523"/>
      <c r="HR109" s="523"/>
      <c r="HS109" s="523"/>
    </row>
    <row r="110" spans="1:227" x14ac:dyDescent="0.25">
      <c r="A110" s="107">
        <v>33</v>
      </c>
      <c r="B110" s="518" t="s">
        <v>618</v>
      </c>
      <c r="C110" s="518"/>
      <c r="D110" s="465">
        <v>0</v>
      </c>
      <c r="E110" s="465">
        <v>0</v>
      </c>
      <c r="F110" s="612">
        <f t="shared" si="146"/>
        <v>0</v>
      </c>
      <c r="G110" s="616"/>
      <c r="H110" s="583">
        <v>1650000</v>
      </c>
      <c r="I110" s="615">
        <v>700000</v>
      </c>
      <c r="J110" s="614">
        <f t="shared" si="147"/>
        <v>950000</v>
      </c>
      <c r="K110" s="616"/>
      <c r="L110" s="498">
        <v>1770000</v>
      </c>
      <c r="M110" s="498">
        <v>0</v>
      </c>
      <c r="N110" s="614">
        <f t="shared" si="148"/>
        <v>1770000</v>
      </c>
      <c r="O110" s="616"/>
      <c r="P110" s="461">
        <v>3000000</v>
      </c>
      <c r="Q110" s="498">
        <v>1500000</v>
      </c>
      <c r="R110" s="614">
        <f t="shared" si="149"/>
        <v>1500000</v>
      </c>
      <c r="S110" s="616"/>
      <c r="T110" s="465">
        <v>6420000</v>
      </c>
      <c r="U110" s="465">
        <v>2200000</v>
      </c>
      <c r="V110" s="611">
        <f t="shared" si="150"/>
        <v>4220000</v>
      </c>
      <c r="X110" s="465">
        <v>0</v>
      </c>
      <c r="Y110" s="465">
        <v>2200000</v>
      </c>
      <c r="Z110" s="454"/>
      <c r="AA110" s="470"/>
      <c r="AB110" s="523"/>
      <c r="AC110" s="523"/>
      <c r="AD110" s="523"/>
      <c r="AE110" s="470"/>
      <c r="AF110" s="523"/>
      <c r="AG110" s="523"/>
      <c r="AH110" s="523"/>
      <c r="AI110" s="470"/>
      <c r="AJ110" s="523"/>
      <c r="AK110" s="523"/>
      <c r="AL110" s="523"/>
      <c r="AM110" s="523"/>
      <c r="AN110" s="523"/>
      <c r="AO110" s="523"/>
      <c r="AP110" s="523"/>
      <c r="AQ110" s="470"/>
      <c r="AR110" s="523"/>
      <c r="AS110" s="523"/>
      <c r="AT110" s="523"/>
      <c r="AU110" s="470"/>
      <c r="AV110" s="523"/>
      <c r="AW110" s="523"/>
      <c r="AX110" s="523"/>
      <c r="AY110" s="470"/>
      <c r="AZ110" s="523"/>
      <c r="BA110" s="523"/>
      <c r="BB110" s="523"/>
      <c r="BC110" s="470"/>
      <c r="BD110" s="523"/>
      <c r="BE110" s="523"/>
      <c r="BF110" s="523"/>
      <c r="BG110" s="470"/>
      <c r="BH110" s="523"/>
      <c r="BI110" s="523"/>
      <c r="BJ110" s="523"/>
      <c r="BK110" s="470"/>
      <c r="BL110" s="523"/>
      <c r="BM110" s="523"/>
      <c r="BN110" s="523"/>
      <c r="BO110" s="470"/>
      <c r="BP110" s="523"/>
      <c r="BQ110" s="523"/>
      <c r="BR110" s="523"/>
      <c r="BS110" s="470"/>
      <c r="BT110" s="523"/>
      <c r="BU110" s="523"/>
      <c r="BV110" s="523"/>
      <c r="BW110" s="470"/>
      <c r="BX110" s="523"/>
      <c r="BY110" s="523"/>
      <c r="BZ110" s="523"/>
      <c r="CA110" s="470"/>
      <c r="CB110" s="523"/>
      <c r="CC110" s="523"/>
      <c r="CD110" s="523"/>
      <c r="CE110" s="470"/>
      <c r="CF110" s="523"/>
      <c r="CG110" s="523"/>
      <c r="CH110" s="523"/>
      <c r="CI110" s="470"/>
      <c r="CJ110" s="523"/>
      <c r="CK110" s="523"/>
      <c r="CL110" s="523"/>
      <c r="CM110" s="470"/>
      <c r="CN110" s="523"/>
      <c r="CO110" s="523"/>
      <c r="CP110" s="523"/>
      <c r="CQ110" s="470"/>
      <c r="CR110" s="523"/>
      <c r="CS110" s="523"/>
      <c r="CT110" s="523"/>
      <c r="CU110" s="470"/>
      <c r="CV110" s="523"/>
      <c r="CW110" s="523"/>
      <c r="CX110" s="523"/>
      <c r="CY110" s="470"/>
      <c r="CZ110" s="523"/>
      <c r="DA110" s="523"/>
      <c r="DB110" s="523"/>
      <c r="DC110" s="470"/>
      <c r="DD110" s="523"/>
      <c r="DE110" s="523"/>
      <c r="DF110" s="523"/>
      <c r="DG110" s="470"/>
      <c r="DH110" s="523"/>
      <c r="DI110" s="523"/>
      <c r="DJ110" s="523"/>
      <c r="DK110" s="470"/>
      <c r="DL110" s="523"/>
      <c r="DM110" s="523"/>
      <c r="DN110" s="523"/>
      <c r="DO110" s="470"/>
      <c r="DP110" s="523"/>
      <c r="DQ110" s="523"/>
      <c r="DR110" s="523"/>
      <c r="DS110" s="523"/>
      <c r="DT110" s="523"/>
      <c r="DU110" s="523"/>
      <c r="DV110" s="523"/>
      <c r="DW110" s="523"/>
      <c r="DX110" s="523"/>
      <c r="DY110" s="523"/>
      <c r="DZ110" s="523"/>
      <c r="EA110" s="523"/>
      <c r="EB110" s="523"/>
      <c r="EC110" s="523"/>
      <c r="ED110" s="523"/>
      <c r="EE110" s="523"/>
      <c r="EF110" s="523"/>
      <c r="EG110" s="523"/>
      <c r="EH110" s="523"/>
      <c r="EI110" s="523"/>
      <c r="EJ110" s="523"/>
      <c r="EK110" s="523"/>
      <c r="EL110" s="523"/>
      <c r="EM110" s="470"/>
      <c r="EN110" s="470"/>
      <c r="EO110" s="470"/>
      <c r="EP110" s="470"/>
      <c r="EQ110" s="470"/>
      <c r="ER110" s="470"/>
      <c r="ES110" s="470"/>
      <c r="ET110" s="470"/>
      <c r="EU110" s="470"/>
      <c r="EV110" s="470"/>
      <c r="EW110" s="470"/>
      <c r="EX110" s="470"/>
      <c r="EY110" s="470"/>
      <c r="EZ110" s="470"/>
      <c r="FA110" s="470"/>
      <c r="FB110" s="470"/>
      <c r="FC110" s="470"/>
      <c r="FD110" s="470"/>
      <c r="FE110" s="470"/>
      <c r="FF110" s="470"/>
      <c r="FG110" s="470"/>
      <c r="FH110" s="470"/>
      <c r="FI110" s="470"/>
      <c r="FJ110" s="470"/>
      <c r="FK110" s="470"/>
      <c r="FL110" s="470"/>
      <c r="FM110" s="470"/>
      <c r="FN110" s="470"/>
      <c r="FO110" s="470"/>
      <c r="FP110" s="470"/>
      <c r="FQ110" s="470"/>
      <c r="FR110" s="470"/>
      <c r="FS110" s="470"/>
      <c r="FT110" s="470"/>
      <c r="FU110" s="470"/>
      <c r="FV110" s="470"/>
      <c r="FW110" s="470"/>
      <c r="FX110" s="470"/>
      <c r="FY110" s="470"/>
      <c r="FZ110" s="470"/>
      <c r="GA110" s="470"/>
      <c r="GB110" s="470"/>
      <c r="GC110" s="470"/>
      <c r="GD110" s="470"/>
      <c r="GE110" s="470"/>
      <c r="GF110" s="470"/>
      <c r="GG110" s="470"/>
      <c r="GH110" s="470"/>
      <c r="GI110" s="470"/>
      <c r="GJ110" s="470"/>
      <c r="GK110" s="470"/>
      <c r="GL110" s="470"/>
      <c r="GM110" s="470"/>
      <c r="GN110" s="470"/>
      <c r="GO110" s="470"/>
      <c r="GP110" s="470"/>
      <c r="GQ110" s="470"/>
      <c r="GR110" s="470"/>
      <c r="GS110" s="470"/>
      <c r="GT110" s="470"/>
      <c r="GU110" s="470"/>
      <c r="GV110" s="523"/>
      <c r="GW110" s="523"/>
      <c r="GX110" s="523"/>
      <c r="GY110" s="470"/>
      <c r="GZ110" s="523"/>
      <c r="HA110" s="523"/>
      <c r="HB110" s="523"/>
      <c r="HC110" s="523"/>
      <c r="HD110" s="523"/>
      <c r="HE110" s="523"/>
      <c r="HF110" s="523"/>
      <c r="HG110" s="523"/>
      <c r="HH110" s="523"/>
      <c r="HI110" s="523"/>
      <c r="HJ110" s="523"/>
      <c r="HK110" s="523"/>
      <c r="HL110" s="523"/>
      <c r="HM110" s="523"/>
      <c r="HN110" s="523"/>
      <c r="HO110" s="523"/>
      <c r="HP110" s="523"/>
      <c r="HQ110" s="523"/>
      <c r="HR110" s="523"/>
      <c r="HS110" s="523"/>
    </row>
    <row r="111" spans="1:227" x14ac:dyDescent="0.25">
      <c r="A111" s="107">
        <v>34</v>
      </c>
      <c r="B111" s="518" t="s">
        <v>619</v>
      </c>
      <c r="C111" s="518"/>
      <c r="D111" s="465">
        <v>0</v>
      </c>
      <c r="E111" s="465">
        <v>0</v>
      </c>
      <c r="F111" s="612">
        <f t="shared" si="146"/>
        <v>0</v>
      </c>
      <c r="G111" s="616"/>
      <c r="H111" s="583">
        <v>1650000</v>
      </c>
      <c r="I111" s="498">
        <v>1650000</v>
      </c>
      <c r="J111" s="614">
        <f t="shared" si="147"/>
        <v>0</v>
      </c>
      <c r="K111" s="616"/>
      <c r="L111" s="498">
        <v>1770000</v>
      </c>
      <c r="M111" s="498">
        <v>1770000</v>
      </c>
      <c r="N111" s="614">
        <f t="shared" si="148"/>
        <v>0</v>
      </c>
      <c r="O111" s="616"/>
      <c r="P111" s="461">
        <v>3000000</v>
      </c>
      <c r="Q111" s="498">
        <v>4380000</v>
      </c>
      <c r="R111" s="614">
        <f t="shared" si="149"/>
        <v>-1380000</v>
      </c>
      <c r="S111" s="616"/>
      <c r="T111" s="465">
        <v>6420000</v>
      </c>
      <c r="U111" s="465">
        <v>7800000</v>
      </c>
      <c r="V111" s="611">
        <f t="shared" si="150"/>
        <v>-1380000</v>
      </c>
      <c r="X111" s="465">
        <v>0</v>
      </c>
      <c r="Y111" s="465">
        <v>7800000</v>
      </c>
      <c r="Z111" s="454"/>
      <c r="AA111" s="470"/>
      <c r="AB111" s="523"/>
      <c r="AC111" s="523"/>
      <c r="AD111" s="523"/>
      <c r="AE111" s="470"/>
      <c r="AF111" s="523"/>
      <c r="AG111" s="523"/>
      <c r="AH111" s="523"/>
      <c r="AI111" s="470"/>
      <c r="AJ111" s="523"/>
      <c r="AK111" s="523"/>
      <c r="AL111" s="523"/>
      <c r="AM111" s="523"/>
      <c r="AN111" s="523"/>
      <c r="AO111" s="523"/>
      <c r="AP111" s="523"/>
      <c r="AQ111" s="470"/>
      <c r="AR111" s="523"/>
      <c r="AS111" s="523"/>
      <c r="AT111" s="523"/>
      <c r="AU111" s="470"/>
      <c r="AV111" s="523"/>
      <c r="AW111" s="523"/>
      <c r="AX111" s="523"/>
      <c r="AY111" s="470"/>
      <c r="AZ111" s="523"/>
      <c r="BA111" s="523"/>
      <c r="BB111" s="523"/>
      <c r="BC111" s="470"/>
      <c r="BD111" s="523"/>
      <c r="BE111" s="523"/>
      <c r="BF111" s="523"/>
      <c r="BG111" s="470"/>
      <c r="BH111" s="523"/>
      <c r="BI111" s="523"/>
      <c r="BJ111" s="523"/>
      <c r="BK111" s="470"/>
      <c r="BL111" s="523"/>
      <c r="BM111" s="523"/>
      <c r="BN111" s="523"/>
      <c r="BO111" s="470"/>
      <c r="BP111" s="523"/>
      <c r="BQ111" s="523"/>
      <c r="BR111" s="523"/>
      <c r="BS111" s="470"/>
      <c r="BT111" s="523"/>
      <c r="BU111" s="523"/>
      <c r="BV111" s="523"/>
      <c r="BW111" s="470"/>
      <c r="BX111" s="523"/>
      <c r="BY111" s="523"/>
      <c r="BZ111" s="523"/>
      <c r="CA111" s="470"/>
      <c r="CB111" s="523"/>
      <c r="CC111" s="523"/>
      <c r="CD111" s="523"/>
      <c r="CE111" s="470"/>
      <c r="CF111" s="523"/>
      <c r="CG111" s="523"/>
      <c r="CH111" s="523"/>
      <c r="CI111" s="470"/>
      <c r="CJ111" s="523"/>
      <c r="CK111" s="523"/>
      <c r="CL111" s="523"/>
      <c r="CM111" s="470"/>
      <c r="CN111" s="523"/>
      <c r="CO111" s="523"/>
      <c r="CP111" s="523"/>
      <c r="CQ111" s="470"/>
      <c r="CR111" s="523"/>
      <c r="CS111" s="523"/>
      <c r="CT111" s="523"/>
      <c r="CU111" s="470"/>
      <c r="CV111" s="523"/>
      <c r="CW111" s="523"/>
      <c r="CX111" s="523"/>
      <c r="CY111" s="470"/>
      <c r="CZ111" s="523"/>
      <c r="DA111" s="523"/>
      <c r="DB111" s="523"/>
      <c r="DC111" s="470"/>
      <c r="DD111" s="523"/>
      <c r="DE111" s="523"/>
      <c r="DF111" s="523"/>
      <c r="DG111" s="470"/>
      <c r="DH111" s="523"/>
      <c r="DI111" s="523"/>
      <c r="DJ111" s="523"/>
      <c r="DK111" s="470"/>
      <c r="DL111" s="523"/>
      <c r="DM111" s="523"/>
      <c r="DN111" s="523"/>
      <c r="DO111" s="470"/>
      <c r="DP111" s="523"/>
      <c r="DQ111" s="523"/>
      <c r="DR111" s="523"/>
      <c r="DS111" s="523"/>
      <c r="DT111" s="523"/>
      <c r="DU111" s="523"/>
      <c r="DV111" s="523"/>
      <c r="DW111" s="523"/>
      <c r="DX111" s="523"/>
      <c r="DY111" s="523"/>
      <c r="DZ111" s="523"/>
      <c r="EA111" s="523"/>
      <c r="EB111" s="523"/>
      <c r="EC111" s="523"/>
      <c r="ED111" s="523"/>
      <c r="EE111" s="523"/>
      <c r="EF111" s="523"/>
      <c r="EG111" s="523"/>
      <c r="EH111" s="523"/>
      <c r="EI111" s="523"/>
      <c r="EJ111" s="523"/>
      <c r="EK111" s="523"/>
      <c r="EL111" s="523"/>
      <c r="EM111" s="470"/>
      <c r="EN111" s="470"/>
      <c r="EO111" s="470"/>
      <c r="EP111" s="470"/>
      <c r="EQ111" s="470"/>
      <c r="ER111" s="470"/>
      <c r="ES111" s="470"/>
      <c r="ET111" s="470"/>
      <c r="EU111" s="470"/>
      <c r="EV111" s="470"/>
      <c r="EW111" s="470"/>
      <c r="EX111" s="470"/>
      <c r="EY111" s="470"/>
      <c r="EZ111" s="470"/>
      <c r="FA111" s="470"/>
      <c r="FB111" s="470"/>
      <c r="FC111" s="470"/>
      <c r="FD111" s="470"/>
      <c r="FE111" s="470"/>
      <c r="FF111" s="470"/>
      <c r="FG111" s="470"/>
      <c r="FH111" s="470"/>
      <c r="FI111" s="470"/>
      <c r="FJ111" s="470"/>
      <c r="FK111" s="470"/>
      <c r="FL111" s="470"/>
      <c r="FM111" s="470"/>
      <c r="FN111" s="470"/>
      <c r="FO111" s="470"/>
      <c r="FP111" s="470"/>
      <c r="FQ111" s="470"/>
      <c r="FR111" s="470"/>
      <c r="FS111" s="470"/>
      <c r="FT111" s="470"/>
      <c r="FU111" s="470"/>
      <c r="FV111" s="470"/>
      <c r="FW111" s="470"/>
      <c r="FX111" s="470"/>
      <c r="FY111" s="470"/>
      <c r="FZ111" s="470"/>
      <c r="GA111" s="470"/>
      <c r="GB111" s="470"/>
      <c r="GC111" s="470"/>
      <c r="GD111" s="470"/>
      <c r="GE111" s="470"/>
      <c r="GF111" s="470"/>
      <c r="GG111" s="470"/>
      <c r="GH111" s="470"/>
      <c r="GI111" s="470"/>
      <c r="GJ111" s="470"/>
      <c r="GK111" s="470"/>
      <c r="GL111" s="470"/>
      <c r="GM111" s="470"/>
      <c r="GN111" s="470"/>
      <c r="GO111" s="470"/>
      <c r="GP111" s="470"/>
      <c r="GQ111" s="470"/>
      <c r="GR111" s="470"/>
      <c r="GS111" s="470"/>
      <c r="GT111" s="470"/>
      <c r="GU111" s="470"/>
      <c r="GV111" s="523"/>
      <c r="GW111" s="523"/>
      <c r="GX111" s="523"/>
      <c r="GY111" s="470"/>
      <c r="GZ111" s="523"/>
      <c r="HA111" s="523"/>
      <c r="HB111" s="523"/>
      <c r="HC111" s="523"/>
      <c r="HD111" s="523"/>
      <c r="HE111" s="523"/>
      <c r="HF111" s="523"/>
      <c r="HG111" s="523"/>
      <c r="HH111" s="523"/>
      <c r="HI111" s="523"/>
      <c r="HJ111" s="523"/>
      <c r="HK111" s="523"/>
      <c r="HL111" s="523"/>
      <c r="HM111" s="523"/>
      <c r="HN111" s="523"/>
      <c r="HO111" s="523"/>
      <c r="HP111" s="523"/>
      <c r="HQ111" s="523"/>
      <c r="HR111" s="523"/>
      <c r="HS111" s="523"/>
    </row>
    <row r="112" spans="1:227" x14ac:dyDescent="0.25">
      <c r="A112" s="107">
        <v>35</v>
      </c>
      <c r="B112" s="518" t="s">
        <v>620</v>
      </c>
      <c r="C112" s="518"/>
      <c r="D112" s="465">
        <v>0</v>
      </c>
      <c r="E112" s="465">
        <v>0</v>
      </c>
      <c r="F112" s="612">
        <f t="shared" si="146"/>
        <v>0</v>
      </c>
      <c r="G112" s="616"/>
      <c r="H112" s="583">
        <v>1650000</v>
      </c>
      <c r="I112" s="498">
        <v>1650000</v>
      </c>
      <c r="J112" s="614">
        <f t="shared" si="147"/>
        <v>0</v>
      </c>
      <c r="K112" s="616"/>
      <c r="L112" s="498">
        <v>1770000</v>
      </c>
      <c r="M112" s="498">
        <v>1770000</v>
      </c>
      <c r="N112" s="614">
        <f t="shared" si="148"/>
        <v>0</v>
      </c>
      <c r="O112" s="616"/>
      <c r="P112" s="461">
        <v>3000000</v>
      </c>
      <c r="Q112" s="498">
        <v>2600000</v>
      </c>
      <c r="R112" s="614">
        <f t="shared" si="149"/>
        <v>400000</v>
      </c>
      <c r="S112" s="616"/>
      <c r="T112" s="465">
        <v>6420000</v>
      </c>
      <c r="U112" s="465">
        <v>6020000</v>
      </c>
      <c r="V112" s="611">
        <f t="shared" si="150"/>
        <v>400000</v>
      </c>
      <c r="X112" s="465">
        <v>0</v>
      </c>
      <c r="Y112" s="465">
        <v>6020000</v>
      </c>
      <c r="Z112" s="454"/>
      <c r="AA112" s="470"/>
      <c r="AB112" s="523"/>
      <c r="AC112" s="523"/>
      <c r="AD112" s="523"/>
      <c r="AE112" s="470"/>
      <c r="AF112" s="523"/>
      <c r="AG112" s="523"/>
      <c r="AH112" s="523"/>
      <c r="AI112" s="470"/>
      <c r="AJ112" s="523"/>
      <c r="AK112" s="523"/>
      <c r="AL112" s="523"/>
      <c r="AM112" s="523"/>
      <c r="AN112" s="523"/>
      <c r="AO112" s="523"/>
      <c r="AP112" s="523"/>
      <c r="AQ112" s="470"/>
      <c r="AR112" s="523"/>
      <c r="AS112" s="523"/>
      <c r="AT112" s="523"/>
      <c r="AU112" s="470"/>
      <c r="AV112" s="523"/>
      <c r="AW112" s="523"/>
      <c r="AX112" s="523"/>
      <c r="AY112" s="470"/>
      <c r="AZ112" s="523"/>
      <c r="BA112" s="523"/>
      <c r="BB112" s="523"/>
      <c r="BC112" s="470"/>
      <c r="BD112" s="523"/>
      <c r="BE112" s="523"/>
      <c r="BF112" s="523"/>
      <c r="BG112" s="470"/>
      <c r="BH112" s="523"/>
      <c r="BI112" s="523"/>
      <c r="BJ112" s="523"/>
      <c r="BK112" s="470"/>
      <c r="BL112" s="523"/>
      <c r="BM112" s="523"/>
      <c r="BN112" s="523"/>
      <c r="BO112" s="470"/>
      <c r="BP112" s="523"/>
      <c r="BQ112" s="523"/>
      <c r="BR112" s="523"/>
      <c r="BS112" s="470"/>
      <c r="BT112" s="523"/>
      <c r="BU112" s="523"/>
      <c r="BV112" s="523"/>
      <c r="BW112" s="470"/>
      <c r="BX112" s="523"/>
      <c r="BY112" s="523"/>
      <c r="BZ112" s="523"/>
      <c r="CA112" s="470"/>
      <c r="CB112" s="523"/>
      <c r="CC112" s="523"/>
      <c r="CD112" s="523"/>
      <c r="CE112" s="470"/>
      <c r="CF112" s="523"/>
      <c r="CG112" s="523"/>
      <c r="CH112" s="523"/>
      <c r="CI112" s="470"/>
      <c r="CJ112" s="523"/>
      <c r="CK112" s="523"/>
      <c r="CL112" s="523"/>
      <c r="CM112" s="470"/>
      <c r="CN112" s="523"/>
      <c r="CO112" s="523"/>
      <c r="CP112" s="523"/>
      <c r="CQ112" s="470"/>
      <c r="CR112" s="523"/>
      <c r="CS112" s="523"/>
      <c r="CT112" s="523"/>
      <c r="CU112" s="470"/>
      <c r="CV112" s="523"/>
      <c r="CW112" s="523"/>
      <c r="CX112" s="523"/>
      <c r="CY112" s="470"/>
      <c r="CZ112" s="523"/>
      <c r="DA112" s="523"/>
      <c r="DB112" s="523"/>
      <c r="DC112" s="470"/>
      <c r="DD112" s="523"/>
      <c r="DE112" s="523"/>
      <c r="DF112" s="523"/>
      <c r="DG112" s="470"/>
      <c r="DH112" s="523"/>
      <c r="DI112" s="523"/>
      <c r="DJ112" s="523"/>
      <c r="DK112" s="470"/>
      <c r="DL112" s="523"/>
      <c r="DM112" s="523"/>
      <c r="DN112" s="523"/>
      <c r="DO112" s="470"/>
      <c r="DP112" s="523"/>
      <c r="DQ112" s="523"/>
      <c r="DR112" s="523"/>
      <c r="DS112" s="523"/>
      <c r="DT112" s="523"/>
      <c r="DU112" s="523"/>
      <c r="DV112" s="523"/>
      <c r="DW112" s="523"/>
      <c r="DX112" s="523"/>
      <c r="DY112" s="523"/>
      <c r="DZ112" s="523"/>
      <c r="EA112" s="523"/>
      <c r="EB112" s="523"/>
      <c r="EC112" s="523"/>
      <c r="ED112" s="523"/>
      <c r="EE112" s="523"/>
      <c r="EF112" s="523"/>
      <c r="EG112" s="523"/>
      <c r="EH112" s="523"/>
      <c r="EI112" s="523"/>
      <c r="EJ112" s="523"/>
      <c r="EK112" s="523"/>
      <c r="EL112" s="523"/>
      <c r="EM112" s="470"/>
      <c r="EN112" s="470"/>
      <c r="EO112" s="470"/>
      <c r="EP112" s="470"/>
      <c r="EQ112" s="470"/>
      <c r="ER112" s="470"/>
      <c r="ES112" s="470"/>
      <c r="ET112" s="470"/>
      <c r="EU112" s="470"/>
      <c r="EV112" s="470"/>
      <c r="EW112" s="470"/>
      <c r="EX112" s="470"/>
      <c r="EY112" s="470"/>
      <c r="EZ112" s="470"/>
      <c r="FA112" s="470"/>
      <c r="FB112" s="470"/>
      <c r="FC112" s="470"/>
      <c r="FD112" s="470"/>
      <c r="FE112" s="470"/>
      <c r="FF112" s="470"/>
      <c r="FG112" s="470"/>
      <c r="FH112" s="470"/>
      <c r="FI112" s="470"/>
      <c r="FJ112" s="470"/>
      <c r="FK112" s="470"/>
      <c r="FL112" s="470"/>
      <c r="FM112" s="470"/>
      <c r="FN112" s="470"/>
      <c r="FO112" s="470"/>
      <c r="FP112" s="470"/>
      <c r="FQ112" s="470"/>
      <c r="FR112" s="470"/>
      <c r="FS112" s="470"/>
      <c r="FT112" s="470"/>
      <c r="FU112" s="470"/>
      <c r="FV112" s="470"/>
      <c r="FW112" s="470"/>
      <c r="FX112" s="470"/>
      <c r="FY112" s="470"/>
      <c r="FZ112" s="470"/>
      <c r="GA112" s="470"/>
      <c r="GB112" s="470"/>
      <c r="GC112" s="470"/>
      <c r="GD112" s="470"/>
      <c r="GE112" s="470"/>
      <c r="GF112" s="470"/>
      <c r="GG112" s="470"/>
      <c r="GH112" s="470"/>
      <c r="GI112" s="470"/>
      <c r="GJ112" s="470"/>
      <c r="GK112" s="470"/>
      <c r="GL112" s="470"/>
      <c r="GM112" s="470"/>
      <c r="GN112" s="470"/>
      <c r="GO112" s="470"/>
      <c r="GP112" s="470"/>
      <c r="GQ112" s="470"/>
      <c r="GR112" s="470"/>
      <c r="GS112" s="470"/>
      <c r="GT112" s="470"/>
      <c r="GU112" s="470"/>
      <c r="GV112" s="523"/>
      <c r="GW112" s="523"/>
      <c r="GX112" s="523"/>
      <c r="GY112" s="470"/>
      <c r="GZ112" s="523"/>
      <c r="HA112" s="523"/>
      <c r="HB112" s="523"/>
      <c r="HC112" s="523"/>
      <c r="HD112" s="523"/>
      <c r="HE112" s="523"/>
      <c r="HF112" s="523"/>
      <c r="HG112" s="523"/>
      <c r="HH112" s="523"/>
      <c r="HI112" s="523"/>
      <c r="HJ112" s="523"/>
      <c r="HK112" s="523"/>
      <c r="HL112" s="523"/>
      <c r="HM112" s="523"/>
      <c r="HN112" s="523"/>
      <c r="HO112" s="523"/>
      <c r="HP112" s="523"/>
      <c r="HQ112" s="523"/>
      <c r="HR112" s="523"/>
      <c r="HS112" s="523"/>
    </row>
    <row r="113" spans="1:227" x14ac:dyDescent="0.25">
      <c r="A113" s="107">
        <v>36</v>
      </c>
      <c r="B113" s="518" t="s">
        <v>621</v>
      </c>
      <c r="C113" s="518"/>
      <c r="D113" s="465">
        <v>0</v>
      </c>
      <c r="E113" s="465">
        <v>0</v>
      </c>
      <c r="F113" s="612">
        <f t="shared" si="146"/>
        <v>0</v>
      </c>
      <c r="G113" s="616"/>
      <c r="H113" s="583">
        <v>1650000</v>
      </c>
      <c r="I113" s="498">
        <v>1650000</v>
      </c>
      <c r="J113" s="614">
        <f t="shared" si="147"/>
        <v>0</v>
      </c>
      <c r="K113" s="616"/>
      <c r="L113" s="498">
        <v>1770000</v>
      </c>
      <c r="M113" s="498">
        <v>1770000</v>
      </c>
      <c r="N113" s="614">
        <f t="shared" si="148"/>
        <v>0</v>
      </c>
      <c r="O113" s="616"/>
      <c r="P113" s="461">
        <v>3000000</v>
      </c>
      <c r="Q113" s="498">
        <v>3280000</v>
      </c>
      <c r="R113" s="614">
        <f t="shared" si="149"/>
        <v>-280000</v>
      </c>
      <c r="S113" s="616"/>
      <c r="T113" s="465">
        <v>6420000</v>
      </c>
      <c r="U113" s="465">
        <v>6700000</v>
      </c>
      <c r="V113" s="611">
        <f t="shared" si="150"/>
        <v>-280000</v>
      </c>
      <c r="X113" s="465">
        <v>0</v>
      </c>
      <c r="Y113" s="465">
        <v>6700000</v>
      </c>
      <c r="Z113" s="454"/>
      <c r="AA113" s="470"/>
      <c r="AB113" s="523"/>
      <c r="AC113" s="523"/>
      <c r="AD113" s="523"/>
      <c r="AE113" s="470"/>
      <c r="AF113" s="523"/>
      <c r="AG113" s="523"/>
      <c r="AH113" s="523"/>
      <c r="AI113" s="470"/>
      <c r="AJ113" s="523"/>
      <c r="AK113" s="523"/>
      <c r="AL113" s="523"/>
      <c r="AM113" s="523"/>
      <c r="AN113" s="523"/>
      <c r="AO113" s="523"/>
      <c r="AP113" s="523"/>
      <c r="AQ113" s="470"/>
      <c r="AR113" s="523"/>
      <c r="AS113" s="523"/>
      <c r="AT113" s="523"/>
      <c r="AU113" s="470"/>
      <c r="AV113" s="523"/>
      <c r="AW113" s="523"/>
      <c r="AX113" s="523"/>
      <c r="AY113" s="470"/>
      <c r="AZ113" s="523"/>
      <c r="BA113" s="523"/>
      <c r="BB113" s="523"/>
      <c r="BC113" s="470"/>
      <c r="BD113" s="523"/>
      <c r="BE113" s="523"/>
      <c r="BF113" s="523"/>
      <c r="BG113" s="470"/>
      <c r="BH113" s="523"/>
      <c r="BI113" s="523"/>
      <c r="BJ113" s="523"/>
      <c r="BK113" s="470"/>
      <c r="BL113" s="523"/>
      <c r="BM113" s="523"/>
      <c r="BN113" s="523"/>
      <c r="BO113" s="470"/>
      <c r="BP113" s="523"/>
      <c r="BQ113" s="523"/>
      <c r="BR113" s="523"/>
      <c r="BS113" s="470"/>
      <c r="BT113" s="523"/>
      <c r="BU113" s="523"/>
      <c r="BV113" s="523"/>
      <c r="BW113" s="470"/>
      <c r="BX113" s="523"/>
      <c r="BY113" s="523"/>
      <c r="BZ113" s="523"/>
      <c r="CA113" s="470"/>
      <c r="CB113" s="523"/>
      <c r="CC113" s="523"/>
      <c r="CD113" s="523"/>
      <c r="CE113" s="470"/>
      <c r="CF113" s="523"/>
      <c r="CG113" s="523"/>
      <c r="CH113" s="523"/>
      <c r="CI113" s="470"/>
      <c r="CJ113" s="523"/>
      <c r="CK113" s="523"/>
      <c r="CL113" s="523"/>
      <c r="CM113" s="470"/>
      <c r="CN113" s="523"/>
      <c r="CO113" s="523"/>
      <c r="CP113" s="523"/>
      <c r="CQ113" s="470"/>
      <c r="CR113" s="523"/>
      <c r="CS113" s="523"/>
      <c r="CT113" s="523"/>
      <c r="CU113" s="470"/>
      <c r="CV113" s="523"/>
      <c r="CW113" s="523"/>
      <c r="CX113" s="523"/>
      <c r="CY113" s="470"/>
      <c r="CZ113" s="523"/>
      <c r="DA113" s="523"/>
      <c r="DB113" s="523"/>
      <c r="DC113" s="470"/>
      <c r="DD113" s="523"/>
      <c r="DE113" s="523"/>
      <c r="DF113" s="523"/>
      <c r="DG113" s="470"/>
      <c r="DH113" s="523"/>
      <c r="DI113" s="523"/>
      <c r="DJ113" s="523"/>
      <c r="DK113" s="470"/>
      <c r="DL113" s="523"/>
      <c r="DM113" s="523"/>
      <c r="DN113" s="523"/>
      <c r="DO113" s="470"/>
      <c r="DP113" s="523"/>
      <c r="DQ113" s="523"/>
      <c r="DR113" s="523"/>
      <c r="DS113" s="523"/>
      <c r="DT113" s="523"/>
      <c r="DU113" s="523"/>
      <c r="DV113" s="523"/>
      <c r="DW113" s="523"/>
      <c r="DX113" s="523"/>
      <c r="DY113" s="523"/>
      <c r="DZ113" s="523"/>
      <c r="EA113" s="523"/>
      <c r="EB113" s="523"/>
      <c r="EC113" s="523"/>
      <c r="ED113" s="523"/>
      <c r="EE113" s="523"/>
      <c r="EF113" s="523"/>
      <c r="EG113" s="523"/>
      <c r="EH113" s="523"/>
      <c r="EI113" s="523"/>
      <c r="EJ113" s="523"/>
      <c r="EK113" s="523"/>
      <c r="EL113" s="523"/>
      <c r="EM113" s="470"/>
      <c r="EN113" s="470"/>
      <c r="EO113" s="470"/>
      <c r="EP113" s="470"/>
      <c r="EQ113" s="470"/>
      <c r="ER113" s="470"/>
      <c r="ES113" s="470"/>
      <c r="ET113" s="470"/>
      <c r="EU113" s="470"/>
      <c r="EV113" s="470"/>
      <c r="EW113" s="470"/>
      <c r="EX113" s="470"/>
      <c r="EY113" s="470"/>
      <c r="EZ113" s="470"/>
      <c r="FA113" s="470"/>
      <c r="FB113" s="470"/>
      <c r="FC113" s="470"/>
      <c r="FD113" s="470"/>
      <c r="FE113" s="470"/>
      <c r="FF113" s="470"/>
      <c r="FG113" s="470"/>
      <c r="FH113" s="470"/>
      <c r="FI113" s="470"/>
      <c r="FJ113" s="470"/>
      <c r="FK113" s="470"/>
      <c r="FL113" s="470"/>
      <c r="FM113" s="470"/>
      <c r="FN113" s="470"/>
      <c r="FO113" s="470"/>
      <c r="FP113" s="470"/>
      <c r="FQ113" s="470"/>
      <c r="FR113" s="470"/>
      <c r="FS113" s="470"/>
      <c r="FT113" s="470"/>
      <c r="FU113" s="470"/>
      <c r="FV113" s="470"/>
      <c r="FW113" s="470"/>
      <c r="FX113" s="470"/>
      <c r="FY113" s="470"/>
      <c r="FZ113" s="470"/>
      <c r="GA113" s="470"/>
      <c r="GB113" s="470"/>
      <c r="GC113" s="470"/>
      <c r="GD113" s="470"/>
      <c r="GE113" s="470"/>
      <c r="GF113" s="470"/>
      <c r="GG113" s="470"/>
      <c r="GH113" s="470"/>
      <c r="GI113" s="470"/>
      <c r="GJ113" s="470"/>
      <c r="GK113" s="470"/>
      <c r="GL113" s="470"/>
      <c r="GM113" s="470"/>
      <c r="GN113" s="470"/>
      <c r="GO113" s="470"/>
      <c r="GP113" s="470"/>
      <c r="GQ113" s="470"/>
      <c r="GR113" s="470"/>
      <c r="GS113" s="470"/>
      <c r="GT113" s="470"/>
      <c r="GU113" s="470"/>
      <c r="GV113" s="523"/>
      <c r="GW113" s="523"/>
      <c r="GX113" s="523"/>
      <c r="GY113" s="470"/>
      <c r="GZ113" s="523"/>
      <c r="HA113" s="523"/>
      <c r="HB113" s="523"/>
      <c r="HC113" s="523"/>
      <c r="HD113" s="523"/>
      <c r="HE113" s="523"/>
      <c r="HF113" s="523"/>
      <c r="HG113" s="523"/>
      <c r="HH113" s="523"/>
      <c r="HI113" s="523"/>
      <c r="HJ113" s="523"/>
      <c r="HK113" s="523"/>
      <c r="HL113" s="523"/>
      <c r="HM113" s="523"/>
      <c r="HN113" s="523"/>
      <c r="HO113" s="523"/>
      <c r="HP113" s="523"/>
      <c r="HQ113" s="523"/>
      <c r="HR113" s="523"/>
      <c r="HS113" s="523"/>
    </row>
    <row r="114" spans="1:227" x14ac:dyDescent="0.25">
      <c r="A114" s="107">
        <v>37</v>
      </c>
      <c r="B114" s="518" t="s">
        <v>622</v>
      </c>
      <c r="C114" s="518"/>
      <c r="D114" s="465">
        <v>0</v>
      </c>
      <c r="E114" s="465">
        <v>0</v>
      </c>
      <c r="F114" s="612">
        <f t="shared" si="146"/>
        <v>0</v>
      </c>
      <c r="G114" s="616"/>
      <c r="H114" s="583">
        <v>1650000</v>
      </c>
      <c r="I114" s="583">
        <v>1650000</v>
      </c>
      <c r="J114" s="614">
        <f t="shared" si="147"/>
        <v>0</v>
      </c>
      <c r="K114" s="616"/>
      <c r="L114" s="498">
        <v>1770000</v>
      </c>
      <c r="M114" s="498">
        <v>1770000</v>
      </c>
      <c r="N114" s="614">
        <f t="shared" si="148"/>
        <v>0</v>
      </c>
      <c r="O114" s="616"/>
      <c r="P114" s="461">
        <v>3000000</v>
      </c>
      <c r="Q114" s="498">
        <v>2480000</v>
      </c>
      <c r="R114" s="614">
        <f t="shared" si="149"/>
        <v>520000</v>
      </c>
      <c r="S114" s="616"/>
      <c r="T114" s="465">
        <v>6420000</v>
      </c>
      <c r="U114" s="465">
        <v>5900000</v>
      </c>
      <c r="V114" s="611">
        <f t="shared" si="150"/>
        <v>520000</v>
      </c>
      <c r="X114" s="465">
        <v>0</v>
      </c>
      <c r="Y114" s="465">
        <v>5900000</v>
      </c>
      <c r="Z114" s="454"/>
      <c r="AA114" s="470"/>
      <c r="AB114" s="523"/>
      <c r="AC114" s="523"/>
      <c r="AD114" s="523"/>
      <c r="AE114" s="470"/>
      <c r="AF114" s="523"/>
      <c r="AG114" s="523"/>
      <c r="AH114" s="523"/>
      <c r="AI114" s="470"/>
      <c r="AJ114" s="523"/>
      <c r="AK114" s="523"/>
      <c r="AL114" s="523"/>
      <c r="AM114" s="523"/>
      <c r="AN114" s="523"/>
      <c r="AO114" s="523"/>
      <c r="AP114" s="523"/>
      <c r="AQ114" s="470"/>
      <c r="AR114" s="523"/>
      <c r="AS114" s="523"/>
      <c r="AT114" s="523"/>
      <c r="AU114" s="470"/>
      <c r="AV114" s="523"/>
      <c r="AW114" s="523"/>
      <c r="AX114" s="523"/>
      <c r="AY114" s="470"/>
      <c r="AZ114" s="523"/>
      <c r="BA114" s="523"/>
      <c r="BB114" s="523"/>
      <c r="BC114" s="470"/>
      <c r="BD114" s="523"/>
      <c r="BE114" s="523"/>
      <c r="BF114" s="523"/>
      <c r="BG114" s="470"/>
      <c r="BH114" s="523"/>
      <c r="BI114" s="523"/>
      <c r="BJ114" s="523"/>
      <c r="BK114" s="470"/>
      <c r="BL114" s="523"/>
      <c r="BM114" s="523"/>
      <c r="BN114" s="523"/>
      <c r="BO114" s="470"/>
      <c r="BP114" s="523"/>
      <c r="BQ114" s="523"/>
      <c r="BR114" s="523"/>
      <c r="BS114" s="470"/>
      <c r="BT114" s="523"/>
      <c r="BU114" s="523"/>
      <c r="BV114" s="523"/>
      <c r="BW114" s="470"/>
      <c r="BX114" s="523"/>
      <c r="BY114" s="523"/>
      <c r="BZ114" s="523"/>
      <c r="CA114" s="470"/>
      <c r="CB114" s="523"/>
      <c r="CC114" s="523"/>
      <c r="CD114" s="523"/>
      <c r="CE114" s="470"/>
      <c r="CF114" s="523"/>
      <c r="CG114" s="523"/>
      <c r="CH114" s="523"/>
      <c r="CI114" s="470"/>
      <c r="CJ114" s="523"/>
      <c r="CK114" s="523"/>
      <c r="CL114" s="523"/>
      <c r="CM114" s="470"/>
      <c r="CN114" s="523"/>
      <c r="CO114" s="523"/>
      <c r="CP114" s="523"/>
      <c r="CQ114" s="470"/>
      <c r="CR114" s="523"/>
      <c r="CS114" s="523"/>
      <c r="CT114" s="523"/>
      <c r="CU114" s="470"/>
      <c r="CV114" s="523"/>
      <c r="CW114" s="523"/>
      <c r="CX114" s="523"/>
      <c r="CY114" s="470"/>
      <c r="CZ114" s="523"/>
      <c r="DA114" s="523"/>
      <c r="DB114" s="523"/>
      <c r="DC114" s="470"/>
      <c r="DD114" s="523"/>
      <c r="DE114" s="523"/>
      <c r="DF114" s="523"/>
      <c r="DG114" s="470"/>
      <c r="DH114" s="523"/>
      <c r="DI114" s="523"/>
      <c r="DJ114" s="523"/>
      <c r="DK114" s="470"/>
      <c r="DL114" s="523"/>
      <c r="DM114" s="523"/>
      <c r="DN114" s="523"/>
      <c r="DO114" s="470"/>
      <c r="DP114" s="523"/>
      <c r="DQ114" s="523"/>
      <c r="DR114" s="523"/>
      <c r="DS114" s="523"/>
      <c r="DT114" s="523"/>
      <c r="DU114" s="523"/>
      <c r="DV114" s="523"/>
      <c r="DW114" s="523"/>
      <c r="DX114" s="523"/>
      <c r="DY114" s="523"/>
      <c r="DZ114" s="523"/>
      <c r="EA114" s="523"/>
      <c r="EB114" s="523"/>
      <c r="EC114" s="523"/>
      <c r="ED114" s="523"/>
      <c r="EE114" s="523"/>
      <c r="EF114" s="523"/>
      <c r="EG114" s="523"/>
      <c r="EH114" s="523"/>
      <c r="EI114" s="523"/>
      <c r="EJ114" s="523"/>
      <c r="EK114" s="523"/>
      <c r="EL114" s="523"/>
      <c r="EM114" s="470"/>
      <c r="EN114" s="470"/>
      <c r="EO114" s="470"/>
      <c r="EP114" s="470"/>
      <c r="EQ114" s="470"/>
      <c r="ER114" s="470"/>
      <c r="ES114" s="470"/>
      <c r="ET114" s="470"/>
      <c r="EU114" s="470"/>
      <c r="EV114" s="470"/>
      <c r="EW114" s="470"/>
      <c r="EX114" s="470"/>
      <c r="EY114" s="470"/>
      <c r="EZ114" s="470"/>
      <c r="FA114" s="470"/>
      <c r="FB114" s="470"/>
      <c r="FC114" s="470"/>
      <c r="FD114" s="470"/>
      <c r="FE114" s="470"/>
      <c r="FF114" s="470"/>
      <c r="FG114" s="470"/>
      <c r="FH114" s="470"/>
      <c r="FI114" s="470"/>
      <c r="FJ114" s="470"/>
      <c r="FK114" s="470"/>
      <c r="FL114" s="470"/>
      <c r="FM114" s="470"/>
      <c r="FN114" s="470"/>
      <c r="FO114" s="470"/>
      <c r="FP114" s="470"/>
      <c r="FQ114" s="470"/>
      <c r="FR114" s="470"/>
      <c r="FS114" s="470"/>
      <c r="FT114" s="470"/>
      <c r="FU114" s="470"/>
      <c r="FV114" s="470"/>
      <c r="FW114" s="470"/>
      <c r="FX114" s="470"/>
      <c r="FY114" s="470"/>
      <c r="FZ114" s="470"/>
      <c r="GA114" s="470"/>
      <c r="GB114" s="470"/>
      <c r="GC114" s="470"/>
      <c r="GD114" s="470"/>
      <c r="GE114" s="470"/>
      <c r="GF114" s="470"/>
      <c r="GG114" s="470"/>
      <c r="GH114" s="470"/>
      <c r="GI114" s="470"/>
      <c r="GJ114" s="470"/>
      <c r="GK114" s="470"/>
      <c r="GL114" s="470"/>
      <c r="GM114" s="470"/>
      <c r="GN114" s="470"/>
      <c r="GO114" s="470"/>
      <c r="GP114" s="470"/>
      <c r="GQ114" s="470"/>
      <c r="GR114" s="470"/>
      <c r="GS114" s="470"/>
      <c r="GT114" s="470"/>
      <c r="GU114" s="470"/>
      <c r="GV114" s="523"/>
      <c r="GW114" s="523"/>
      <c r="GX114" s="523"/>
      <c r="GY114" s="470"/>
      <c r="GZ114" s="523"/>
      <c r="HA114" s="523"/>
      <c r="HB114" s="523"/>
      <c r="HC114" s="523"/>
      <c r="HD114" s="523"/>
      <c r="HE114" s="523"/>
      <c r="HF114" s="523"/>
      <c r="HG114" s="523"/>
      <c r="HH114" s="523"/>
      <c r="HI114" s="523"/>
      <c r="HJ114" s="523"/>
      <c r="HK114" s="523"/>
      <c r="HL114" s="523"/>
      <c r="HM114" s="523"/>
      <c r="HN114" s="523"/>
      <c r="HO114" s="523"/>
      <c r="HP114" s="523"/>
      <c r="HQ114" s="523"/>
      <c r="HR114" s="523"/>
      <c r="HS114" s="523"/>
    </row>
    <row r="115" spans="1:227" x14ac:dyDescent="0.25">
      <c r="A115" s="107">
        <v>38</v>
      </c>
      <c r="B115" s="518" t="s">
        <v>623</v>
      </c>
      <c r="C115" s="518"/>
      <c r="D115" s="465">
        <v>0</v>
      </c>
      <c r="E115" s="465">
        <v>0</v>
      </c>
      <c r="F115" s="612">
        <f t="shared" si="146"/>
        <v>0</v>
      </c>
      <c r="G115" s="616"/>
      <c r="H115" s="583">
        <v>1650000</v>
      </c>
      <c r="I115" s="461">
        <v>1500000</v>
      </c>
      <c r="J115" s="614">
        <f t="shared" si="147"/>
        <v>150000</v>
      </c>
      <c r="K115" s="616"/>
      <c r="L115" s="498">
        <v>1770000</v>
      </c>
      <c r="M115" s="498">
        <v>1500000</v>
      </c>
      <c r="N115" s="614">
        <f t="shared" si="148"/>
        <v>270000</v>
      </c>
      <c r="O115" s="616"/>
      <c r="P115" s="461">
        <v>3000000</v>
      </c>
      <c r="Q115" s="498">
        <v>3000000</v>
      </c>
      <c r="R115" s="614">
        <f t="shared" si="149"/>
        <v>0</v>
      </c>
      <c r="S115" s="616"/>
      <c r="T115" s="465">
        <v>6420000</v>
      </c>
      <c r="U115" s="465">
        <v>6000000</v>
      </c>
      <c r="V115" s="611">
        <f t="shared" si="150"/>
        <v>420000</v>
      </c>
      <c r="X115" s="465">
        <v>0</v>
      </c>
      <c r="Y115" s="465">
        <v>6000000</v>
      </c>
      <c r="Z115" s="454"/>
      <c r="AA115" s="470"/>
      <c r="AB115" s="523"/>
      <c r="AC115" s="523"/>
      <c r="AD115" s="523"/>
      <c r="AE115" s="470"/>
      <c r="AF115" s="523"/>
      <c r="AG115" s="523"/>
      <c r="AH115" s="523"/>
      <c r="AI115" s="470"/>
      <c r="AJ115" s="523"/>
      <c r="AK115" s="523"/>
      <c r="AL115" s="523"/>
      <c r="AM115" s="523"/>
      <c r="AN115" s="523"/>
      <c r="AO115" s="523"/>
      <c r="AP115" s="523"/>
      <c r="AQ115" s="470"/>
      <c r="AR115" s="523"/>
      <c r="AS115" s="523"/>
      <c r="AT115" s="523"/>
      <c r="AU115" s="470"/>
      <c r="AV115" s="523"/>
      <c r="AW115" s="523"/>
      <c r="AX115" s="523"/>
      <c r="AY115" s="470"/>
      <c r="AZ115" s="523"/>
      <c r="BA115" s="523"/>
      <c r="BB115" s="523"/>
      <c r="BC115" s="470"/>
      <c r="BD115" s="523"/>
      <c r="BE115" s="523"/>
      <c r="BF115" s="523"/>
      <c r="BG115" s="470"/>
      <c r="BH115" s="523"/>
      <c r="BI115" s="523"/>
      <c r="BJ115" s="523"/>
      <c r="BK115" s="470"/>
      <c r="BL115" s="523"/>
      <c r="BM115" s="523"/>
      <c r="BN115" s="523"/>
      <c r="BO115" s="470"/>
      <c r="BP115" s="523"/>
      <c r="BQ115" s="523"/>
      <c r="BR115" s="523"/>
      <c r="BS115" s="470"/>
      <c r="BT115" s="523"/>
      <c r="BU115" s="523"/>
      <c r="BV115" s="523"/>
      <c r="BW115" s="470"/>
      <c r="BX115" s="523"/>
      <c r="BY115" s="523"/>
      <c r="BZ115" s="523"/>
      <c r="CA115" s="470"/>
      <c r="CB115" s="523"/>
      <c r="CC115" s="523"/>
      <c r="CD115" s="523"/>
      <c r="CE115" s="470"/>
      <c r="CF115" s="523"/>
      <c r="CG115" s="523"/>
      <c r="CH115" s="523"/>
      <c r="CI115" s="470"/>
      <c r="CJ115" s="523"/>
      <c r="CK115" s="523"/>
      <c r="CL115" s="523"/>
      <c r="CM115" s="470"/>
      <c r="CN115" s="523"/>
      <c r="CO115" s="523"/>
      <c r="CP115" s="523"/>
      <c r="CQ115" s="470"/>
      <c r="CR115" s="523"/>
      <c r="CS115" s="523"/>
      <c r="CT115" s="523"/>
      <c r="CU115" s="470"/>
      <c r="CV115" s="523"/>
      <c r="CW115" s="523"/>
      <c r="CX115" s="523"/>
      <c r="CY115" s="470"/>
      <c r="CZ115" s="523"/>
      <c r="DA115" s="523"/>
      <c r="DB115" s="523"/>
      <c r="DC115" s="470"/>
      <c r="DD115" s="523"/>
      <c r="DE115" s="523"/>
      <c r="DF115" s="523"/>
      <c r="DG115" s="470"/>
      <c r="DH115" s="523"/>
      <c r="DI115" s="523"/>
      <c r="DJ115" s="523"/>
      <c r="DK115" s="470"/>
      <c r="DL115" s="523"/>
      <c r="DM115" s="523"/>
      <c r="DN115" s="523"/>
      <c r="DO115" s="470"/>
      <c r="DP115" s="523"/>
      <c r="DQ115" s="523"/>
      <c r="DR115" s="523"/>
      <c r="DS115" s="523"/>
      <c r="DT115" s="523"/>
      <c r="DU115" s="523"/>
      <c r="DV115" s="523"/>
      <c r="DW115" s="523"/>
      <c r="DX115" s="523"/>
      <c r="DY115" s="523"/>
      <c r="DZ115" s="523"/>
      <c r="EA115" s="523"/>
      <c r="EB115" s="523"/>
      <c r="EC115" s="523"/>
      <c r="ED115" s="523"/>
      <c r="EE115" s="523"/>
      <c r="EF115" s="523"/>
      <c r="EG115" s="523"/>
      <c r="EH115" s="523"/>
      <c r="EI115" s="523"/>
      <c r="EJ115" s="523"/>
      <c r="EK115" s="523"/>
      <c r="EL115" s="523"/>
      <c r="EM115" s="470"/>
      <c r="EN115" s="470"/>
      <c r="EO115" s="470"/>
      <c r="EP115" s="470"/>
      <c r="EQ115" s="470"/>
      <c r="ER115" s="470"/>
      <c r="ES115" s="470"/>
      <c r="ET115" s="470"/>
      <c r="EU115" s="470"/>
      <c r="EV115" s="470"/>
      <c r="EW115" s="470"/>
      <c r="EX115" s="470"/>
      <c r="EY115" s="470"/>
      <c r="EZ115" s="470"/>
      <c r="FA115" s="470"/>
      <c r="FB115" s="470"/>
      <c r="FC115" s="470"/>
      <c r="FD115" s="470"/>
      <c r="FE115" s="470"/>
      <c r="FF115" s="470"/>
      <c r="FG115" s="470"/>
      <c r="FH115" s="470"/>
      <c r="FI115" s="470"/>
      <c r="FJ115" s="470"/>
      <c r="FK115" s="470"/>
      <c r="FL115" s="470"/>
      <c r="FM115" s="470"/>
      <c r="FN115" s="470"/>
      <c r="FO115" s="470"/>
      <c r="FP115" s="470"/>
      <c r="FQ115" s="470"/>
      <c r="FR115" s="470"/>
      <c r="FS115" s="470"/>
      <c r="FT115" s="470"/>
      <c r="FU115" s="470"/>
      <c r="FV115" s="470"/>
      <c r="FW115" s="470"/>
      <c r="FX115" s="470"/>
      <c r="FY115" s="470"/>
      <c r="FZ115" s="470"/>
      <c r="GA115" s="470"/>
      <c r="GB115" s="470"/>
      <c r="GC115" s="470"/>
      <c r="GD115" s="470"/>
      <c r="GE115" s="470"/>
      <c r="GF115" s="470"/>
      <c r="GG115" s="470"/>
      <c r="GH115" s="470"/>
      <c r="GI115" s="470"/>
      <c r="GJ115" s="470"/>
      <c r="GK115" s="470"/>
      <c r="GL115" s="470"/>
      <c r="GM115" s="470"/>
      <c r="GN115" s="470"/>
      <c r="GO115" s="470"/>
      <c r="GP115" s="470"/>
      <c r="GQ115" s="470"/>
      <c r="GR115" s="470"/>
      <c r="GS115" s="470"/>
      <c r="GT115" s="470"/>
      <c r="GU115" s="470"/>
      <c r="GV115" s="523"/>
      <c r="GW115" s="523"/>
      <c r="GX115" s="523"/>
      <c r="GY115" s="470"/>
      <c r="GZ115" s="523"/>
      <c r="HA115" s="523"/>
      <c r="HB115" s="523"/>
      <c r="HC115" s="523"/>
      <c r="HD115" s="523"/>
      <c r="HE115" s="523"/>
      <c r="HF115" s="523"/>
      <c r="HG115" s="523"/>
      <c r="HH115" s="523"/>
      <c r="HI115" s="523"/>
      <c r="HJ115" s="523"/>
      <c r="HK115" s="523"/>
      <c r="HL115" s="523"/>
      <c r="HM115" s="523"/>
      <c r="HN115" s="523"/>
      <c r="HO115" s="523"/>
      <c r="HP115" s="523"/>
      <c r="HQ115" s="523"/>
      <c r="HR115" s="523"/>
      <c r="HS115" s="523"/>
    </row>
    <row r="116" spans="1:227" x14ac:dyDescent="0.25">
      <c r="A116" s="107">
        <v>39</v>
      </c>
      <c r="B116" s="518" t="s">
        <v>624</v>
      </c>
      <c r="C116" s="518"/>
      <c r="D116" s="465">
        <v>0</v>
      </c>
      <c r="E116" s="465">
        <v>0</v>
      </c>
      <c r="F116" s="612">
        <f t="shared" si="146"/>
        <v>0</v>
      </c>
      <c r="G116" s="616"/>
      <c r="H116" s="583">
        <v>1650000</v>
      </c>
      <c r="I116" s="498">
        <v>1650000</v>
      </c>
      <c r="J116" s="614">
        <f t="shared" si="147"/>
        <v>0</v>
      </c>
      <c r="K116" s="616"/>
      <c r="L116" s="498">
        <v>1770000</v>
      </c>
      <c r="M116" s="498">
        <v>1770000</v>
      </c>
      <c r="N116" s="614">
        <f t="shared" si="148"/>
        <v>0</v>
      </c>
      <c r="O116" s="616"/>
      <c r="P116" s="461">
        <v>3000000</v>
      </c>
      <c r="Q116" s="498">
        <v>0</v>
      </c>
      <c r="R116" s="614">
        <f t="shared" si="149"/>
        <v>3000000</v>
      </c>
      <c r="S116" s="616"/>
      <c r="T116" s="465">
        <v>6420000</v>
      </c>
      <c r="U116" s="465">
        <v>3420000</v>
      </c>
      <c r="V116" s="611">
        <f t="shared" si="150"/>
        <v>3000000</v>
      </c>
      <c r="X116" s="465">
        <v>0</v>
      </c>
      <c r="Y116" s="465">
        <v>3420000</v>
      </c>
      <c r="Z116" s="454"/>
      <c r="AA116" s="470"/>
      <c r="AB116" s="523"/>
      <c r="AC116" s="523"/>
      <c r="AD116" s="523"/>
      <c r="AE116" s="470"/>
      <c r="AF116" s="523"/>
      <c r="AG116" s="523"/>
      <c r="AH116" s="523"/>
      <c r="AI116" s="470"/>
      <c r="AJ116" s="523"/>
      <c r="AK116" s="523"/>
      <c r="AL116" s="523"/>
      <c r="AM116" s="523"/>
      <c r="AN116" s="523"/>
      <c r="AO116" s="523"/>
      <c r="AP116" s="523"/>
      <c r="AQ116" s="470"/>
      <c r="AR116" s="523"/>
      <c r="AS116" s="523"/>
      <c r="AT116" s="523"/>
      <c r="AU116" s="470"/>
      <c r="AV116" s="523"/>
      <c r="AW116" s="523"/>
      <c r="AX116" s="523"/>
      <c r="AY116" s="470"/>
      <c r="AZ116" s="523"/>
      <c r="BA116" s="523"/>
      <c r="BB116" s="523"/>
      <c r="BC116" s="470"/>
      <c r="BD116" s="523"/>
      <c r="BE116" s="523"/>
      <c r="BF116" s="523"/>
      <c r="BG116" s="470"/>
      <c r="BH116" s="523"/>
      <c r="BI116" s="523"/>
      <c r="BJ116" s="523"/>
      <c r="BK116" s="470"/>
      <c r="BL116" s="523"/>
      <c r="BM116" s="523"/>
      <c r="BN116" s="523"/>
      <c r="BO116" s="470"/>
      <c r="BP116" s="523"/>
      <c r="BQ116" s="523"/>
      <c r="BR116" s="523"/>
      <c r="BS116" s="470"/>
      <c r="BT116" s="523"/>
      <c r="BU116" s="523"/>
      <c r="BV116" s="523"/>
      <c r="BW116" s="470"/>
      <c r="BX116" s="523"/>
      <c r="BY116" s="523"/>
      <c r="BZ116" s="523"/>
      <c r="CA116" s="470"/>
      <c r="CB116" s="523"/>
      <c r="CC116" s="523"/>
      <c r="CD116" s="523"/>
      <c r="CE116" s="470"/>
      <c r="CF116" s="523"/>
      <c r="CG116" s="523"/>
      <c r="CH116" s="523"/>
      <c r="CI116" s="470"/>
      <c r="CJ116" s="523"/>
      <c r="CK116" s="523"/>
      <c r="CL116" s="523"/>
      <c r="CM116" s="470"/>
      <c r="CN116" s="523"/>
      <c r="CO116" s="523"/>
      <c r="CP116" s="523"/>
      <c r="CQ116" s="470"/>
      <c r="CR116" s="523"/>
      <c r="CS116" s="523"/>
      <c r="CT116" s="523"/>
      <c r="CU116" s="470"/>
      <c r="CV116" s="523"/>
      <c r="CW116" s="523"/>
      <c r="CX116" s="523"/>
      <c r="CY116" s="470"/>
      <c r="CZ116" s="523"/>
      <c r="DA116" s="523"/>
      <c r="DB116" s="523"/>
      <c r="DC116" s="470"/>
      <c r="DD116" s="523"/>
      <c r="DE116" s="523"/>
      <c r="DF116" s="523"/>
      <c r="DG116" s="470"/>
      <c r="DH116" s="523"/>
      <c r="DI116" s="523"/>
      <c r="DJ116" s="523"/>
      <c r="DK116" s="470"/>
      <c r="DL116" s="523"/>
      <c r="DM116" s="523"/>
      <c r="DN116" s="523"/>
      <c r="DO116" s="470"/>
      <c r="DP116" s="523"/>
      <c r="DQ116" s="523"/>
      <c r="DR116" s="523"/>
      <c r="DS116" s="523"/>
      <c r="DT116" s="523"/>
      <c r="DU116" s="523"/>
      <c r="DV116" s="523"/>
      <c r="DW116" s="523"/>
      <c r="DX116" s="523"/>
      <c r="DY116" s="523"/>
      <c r="DZ116" s="523"/>
      <c r="EA116" s="523"/>
      <c r="EB116" s="523"/>
      <c r="EC116" s="523"/>
      <c r="ED116" s="523"/>
      <c r="EE116" s="523"/>
      <c r="EF116" s="523"/>
      <c r="EG116" s="523"/>
      <c r="EH116" s="523"/>
      <c r="EI116" s="523"/>
      <c r="EJ116" s="523"/>
      <c r="EK116" s="523"/>
      <c r="EL116" s="523"/>
      <c r="EM116" s="470"/>
      <c r="EN116" s="470"/>
      <c r="EO116" s="470"/>
      <c r="EP116" s="470"/>
      <c r="EQ116" s="470"/>
      <c r="ER116" s="470"/>
      <c r="ES116" s="470"/>
      <c r="ET116" s="470"/>
      <c r="EU116" s="470"/>
      <c r="EV116" s="470"/>
      <c r="EW116" s="470"/>
      <c r="EX116" s="470"/>
      <c r="EY116" s="470"/>
      <c r="EZ116" s="470"/>
      <c r="FA116" s="470"/>
      <c r="FB116" s="470"/>
      <c r="FC116" s="470"/>
      <c r="FD116" s="470"/>
      <c r="FE116" s="470"/>
      <c r="FF116" s="470"/>
      <c r="FG116" s="470"/>
      <c r="FH116" s="470"/>
      <c r="FI116" s="470"/>
      <c r="FJ116" s="470"/>
      <c r="FK116" s="470"/>
      <c r="FL116" s="470"/>
      <c r="FM116" s="470"/>
      <c r="FN116" s="470"/>
      <c r="FO116" s="470"/>
      <c r="FP116" s="470"/>
      <c r="FQ116" s="470"/>
      <c r="FR116" s="470"/>
      <c r="FS116" s="470"/>
      <c r="FT116" s="470"/>
      <c r="FU116" s="470"/>
      <c r="FV116" s="470"/>
      <c r="FW116" s="470"/>
      <c r="FX116" s="470"/>
      <c r="FY116" s="470"/>
      <c r="FZ116" s="470"/>
      <c r="GA116" s="470"/>
      <c r="GB116" s="470"/>
      <c r="GC116" s="470"/>
      <c r="GD116" s="470"/>
      <c r="GE116" s="470"/>
      <c r="GF116" s="470"/>
      <c r="GG116" s="470"/>
      <c r="GH116" s="470"/>
      <c r="GI116" s="470"/>
      <c r="GJ116" s="470"/>
      <c r="GK116" s="470"/>
      <c r="GL116" s="470"/>
      <c r="GM116" s="470"/>
      <c r="GN116" s="470"/>
      <c r="GO116" s="470"/>
      <c r="GP116" s="470"/>
      <c r="GQ116" s="470"/>
      <c r="GR116" s="470"/>
      <c r="GS116" s="470"/>
      <c r="GT116" s="470"/>
      <c r="GU116" s="470"/>
      <c r="GV116" s="523"/>
      <c r="GW116" s="523"/>
      <c r="GX116" s="523"/>
      <c r="GY116" s="470"/>
      <c r="GZ116" s="523"/>
      <c r="HA116" s="523"/>
      <c r="HB116" s="523"/>
      <c r="HC116" s="523"/>
      <c r="HD116" s="523"/>
      <c r="HE116" s="523"/>
      <c r="HF116" s="523"/>
      <c r="HG116" s="523"/>
      <c r="HH116" s="523"/>
      <c r="HI116" s="523"/>
      <c r="HJ116" s="523"/>
      <c r="HK116" s="523"/>
      <c r="HL116" s="523"/>
      <c r="HM116" s="523"/>
      <c r="HN116" s="523"/>
      <c r="HO116" s="523"/>
      <c r="HP116" s="523"/>
      <c r="HQ116" s="523"/>
      <c r="HR116" s="523"/>
      <c r="HS116" s="523"/>
    </row>
    <row r="117" spans="1:227" x14ac:dyDescent="0.25">
      <c r="A117" s="107">
        <v>40</v>
      </c>
      <c r="B117" s="518" t="s">
        <v>625</v>
      </c>
      <c r="C117" s="518"/>
      <c r="D117" s="465">
        <v>0</v>
      </c>
      <c r="E117" s="465">
        <v>0</v>
      </c>
      <c r="F117" s="612">
        <f t="shared" si="146"/>
        <v>0</v>
      </c>
      <c r="G117" s="616"/>
      <c r="H117" s="583">
        <v>1650000</v>
      </c>
      <c r="I117" s="461">
        <v>1650000</v>
      </c>
      <c r="J117" s="614">
        <f t="shared" si="147"/>
        <v>0</v>
      </c>
      <c r="K117" s="616"/>
      <c r="L117" s="498">
        <v>1770000</v>
      </c>
      <c r="M117" s="498">
        <v>1750000</v>
      </c>
      <c r="N117" s="614">
        <f t="shared" si="148"/>
        <v>20000</v>
      </c>
      <c r="O117" s="616"/>
      <c r="P117" s="461">
        <v>3000000</v>
      </c>
      <c r="Q117" s="498">
        <v>2700000</v>
      </c>
      <c r="R117" s="614">
        <f t="shared" si="149"/>
        <v>300000</v>
      </c>
      <c r="S117" s="616"/>
      <c r="T117" s="465">
        <v>6420000</v>
      </c>
      <c r="U117" s="465">
        <v>6100000</v>
      </c>
      <c r="V117" s="611">
        <f t="shared" si="150"/>
        <v>320000</v>
      </c>
      <c r="X117" s="465">
        <v>0</v>
      </c>
      <c r="Y117" s="465">
        <v>6100000</v>
      </c>
      <c r="Z117" s="454"/>
      <c r="AA117" s="470"/>
      <c r="AB117" s="523"/>
      <c r="AC117" s="523"/>
      <c r="AD117" s="523"/>
      <c r="AE117" s="470"/>
      <c r="AF117" s="523"/>
      <c r="AG117" s="523"/>
      <c r="AH117" s="523"/>
      <c r="AI117" s="470"/>
      <c r="AJ117" s="523"/>
      <c r="AK117" s="523"/>
      <c r="AL117" s="523"/>
      <c r="AM117" s="523"/>
      <c r="AN117" s="523"/>
      <c r="AO117" s="523"/>
      <c r="AP117" s="523"/>
      <c r="AQ117" s="470"/>
      <c r="AR117" s="523"/>
      <c r="AS117" s="523"/>
      <c r="AT117" s="523"/>
      <c r="AU117" s="470"/>
      <c r="AV117" s="523"/>
      <c r="AW117" s="523"/>
      <c r="AX117" s="523"/>
      <c r="AY117" s="470"/>
      <c r="AZ117" s="523"/>
      <c r="BA117" s="523"/>
      <c r="BB117" s="523"/>
      <c r="BC117" s="470"/>
      <c r="BD117" s="523"/>
      <c r="BE117" s="523"/>
      <c r="BF117" s="523"/>
      <c r="BG117" s="470"/>
      <c r="BH117" s="523"/>
      <c r="BI117" s="523"/>
      <c r="BJ117" s="523"/>
      <c r="BK117" s="470"/>
      <c r="BL117" s="523"/>
      <c r="BM117" s="523"/>
      <c r="BN117" s="523"/>
      <c r="BO117" s="470"/>
      <c r="BP117" s="523"/>
      <c r="BQ117" s="523"/>
      <c r="BR117" s="523"/>
      <c r="BS117" s="470"/>
      <c r="BT117" s="523"/>
      <c r="BU117" s="523"/>
      <c r="BV117" s="523"/>
      <c r="BW117" s="470"/>
      <c r="BX117" s="523"/>
      <c r="BY117" s="523"/>
      <c r="BZ117" s="523"/>
      <c r="CA117" s="470"/>
      <c r="CB117" s="523"/>
      <c r="CC117" s="523"/>
      <c r="CD117" s="523"/>
      <c r="CE117" s="470"/>
      <c r="CF117" s="523"/>
      <c r="CG117" s="523"/>
      <c r="CH117" s="523"/>
      <c r="CI117" s="470"/>
      <c r="CJ117" s="523"/>
      <c r="CK117" s="523"/>
      <c r="CL117" s="523"/>
      <c r="CM117" s="470"/>
      <c r="CN117" s="523"/>
      <c r="CO117" s="523"/>
      <c r="CP117" s="523"/>
      <c r="CQ117" s="470"/>
      <c r="CR117" s="523"/>
      <c r="CS117" s="523"/>
      <c r="CT117" s="523"/>
      <c r="CU117" s="470"/>
      <c r="CV117" s="523"/>
      <c r="CW117" s="523"/>
      <c r="CX117" s="523"/>
      <c r="CY117" s="470"/>
      <c r="CZ117" s="523"/>
      <c r="DA117" s="523"/>
      <c r="DB117" s="523"/>
      <c r="DC117" s="470"/>
      <c r="DD117" s="523"/>
      <c r="DE117" s="523"/>
      <c r="DF117" s="523"/>
      <c r="DG117" s="470"/>
      <c r="DH117" s="523"/>
      <c r="DI117" s="523"/>
      <c r="DJ117" s="523"/>
      <c r="DK117" s="470"/>
      <c r="DL117" s="523"/>
      <c r="DM117" s="523"/>
      <c r="DN117" s="523"/>
      <c r="DO117" s="470"/>
      <c r="DP117" s="523"/>
      <c r="DQ117" s="523"/>
      <c r="DR117" s="523"/>
      <c r="DS117" s="523"/>
      <c r="DT117" s="523"/>
      <c r="DU117" s="523"/>
      <c r="DV117" s="523"/>
      <c r="DW117" s="523"/>
      <c r="DX117" s="523"/>
      <c r="DY117" s="523"/>
      <c r="DZ117" s="523"/>
      <c r="EA117" s="523"/>
      <c r="EB117" s="523"/>
      <c r="EC117" s="523"/>
      <c r="ED117" s="523"/>
      <c r="EE117" s="523"/>
      <c r="EF117" s="523"/>
      <c r="EG117" s="523"/>
      <c r="EH117" s="523"/>
      <c r="EI117" s="523"/>
      <c r="EJ117" s="523"/>
      <c r="EK117" s="523"/>
      <c r="EL117" s="523"/>
      <c r="EM117" s="470"/>
      <c r="EN117" s="470"/>
      <c r="EO117" s="470"/>
      <c r="EP117" s="470"/>
      <c r="EQ117" s="470"/>
      <c r="ER117" s="470"/>
      <c r="ES117" s="470"/>
      <c r="ET117" s="470"/>
      <c r="EU117" s="470"/>
      <c r="EV117" s="470"/>
      <c r="EW117" s="470"/>
      <c r="EX117" s="470"/>
      <c r="EY117" s="470"/>
      <c r="EZ117" s="470"/>
      <c r="FA117" s="470"/>
      <c r="FB117" s="470"/>
      <c r="FC117" s="470"/>
      <c r="FD117" s="470"/>
      <c r="FE117" s="470"/>
      <c r="FF117" s="470"/>
      <c r="FG117" s="470"/>
      <c r="FH117" s="470"/>
      <c r="FI117" s="470"/>
      <c r="FJ117" s="470"/>
      <c r="FK117" s="470"/>
      <c r="FL117" s="470"/>
      <c r="FM117" s="470"/>
      <c r="FN117" s="470"/>
      <c r="FO117" s="470"/>
      <c r="FP117" s="470"/>
      <c r="FQ117" s="470"/>
      <c r="FR117" s="470"/>
      <c r="FS117" s="470"/>
      <c r="FT117" s="470"/>
      <c r="FU117" s="470"/>
      <c r="FV117" s="470"/>
      <c r="FW117" s="470"/>
      <c r="FX117" s="470"/>
      <c r="FY117" s="470"/>
      <c r="FZ117" s="470"/>
      <c r="GA117" s="470"/>
      <c r="GB117" s="470"/>
      <c r="GC117" s="470"/>
      <c r="GD117" s="470"/>
      <c r="GE117" s="470"/>
      <c r="GF117" s="470"/>
      <c r="GG117" s="470"/>
      <c r="GH117" s="470"/>
      <c r="GI117" s="470"/>
      <c r="GJ117" s="470"/>
      <c r="GK117" s="470"/>
      <c r="GL117" s="470"/>
      <c r="GM117" s="470"/>
      <c r="GN117" s="470"/>
      <c r="GO117" s="470"/>
      <c r="GP117" s="470"/>
      <c r="GQ117" s="470"/>
      <c r="GR117" s="470"/>
      <c r="GS117" s="470"/>
      <c r="GT117" s="470"/>
      <c r="GU117" s="470"/>
      <c r="GV117" s="523"/>
      <c r="GW117" s="523"/>
      <c r="GX117" s="523"/>
      <c r="GY117" s="470"/>
      <c r="GZ117" s="523"/>
      <c r="HA117" s="523"/>
      <c r="HB117" s="523"/>
      <c r="HC117" s="523"/>
      <c r="HD117" s="523"/>
      <c r="HE117" s="523"/>
      <c r="HF117" s="523"/>
      <c r="HG117" s="523"/>
      <c r="HH117" s="523"/>
      <c r="HI117" s="523"/>
      <c r="HJ117" s="523"/>
      <c r="HK117" s="523"/>
      <c r="HL117" s="523"/>
      <c r="HM117" s="523"/>
      <c r="HN117" s="523"/>
      <c r="HO117" s="523"/>
      <c r="HP117" s="523"/>
      <c r="HQ117" s="523"/>
      <c r="HR117" s="523"/>
      <c r="HS117" s="523"/>
    </row>
    <row r="118" spans="1:227" x14ac:dyDescent="0.25">
      <c r="A118" s="107">
        <v>41</v>
      </c>
      <c r="B118" s="518" t="s">
        <v>626</v>
      </c>
      <c r="C118" s="518"/>
      <c r="D118" s="465">
        <v>0</v>
      </c>
      <c r="E118" s="465">
        <v>0</v>
      </c>
      <c r="F118" s="612">
        <f t="shared" si="146"/>
        <v>0</v>
      </c>
      <c r="G118" s="616"/>
      <c r="H118" s="583">
        <v>1650000</v>
      </c>
      <c r="I118" s="461">
        <v>1650000</v>
      </c>
      <c r="J118" s="614">
        <f t="shared" si="147"/>
        <v>0</v>
      </c>
      <c r="K118" s="616"/>
      <c r="L118" s="498">
        <v>1770000</v>
      </c>
      <c r="M118" s="498">
        <v>1770000</v>
      </c>
      <c r="N118" s="614">
        <f t="shared" si="148"/>
        <v>0</v>
      </c>
      <c r="O118" s="616"/>
      <c r="P118" s="461">
        <v>3000000</v>
      </c>
      <c r="Q118" s="498">
        <v>3480000</v>
      </c>
      <c r="R118" s="614">
        <f t="shared" si="149"/>
        <v>-480000</v>
      </c>
      <c r="S118" s="616"/>
      <c r="T118" s="465">
        <v>6420000</v>
      </c>
      <c r="U118" s="465">
        <v>6900000</v>
      </c>
      <c r="V118" s="611">
        <f t="shared" si="150"/>
        <v>-480000</v>
      </c>
      <c r="X118" s="465">
        <v>0</v>
      </c>
      <c r="Y118" s="465">
        <v>6900000</v>
      </c>
      <c r="Z118" s="454"/>
      <c r="AA118" s="470"/>
      <c r="AB118" s="523"/>
      <c r="AC118" s="523"/>
      <c r="AD118" s="523"/>
      <c r="AE118" s="470"/>
      <c r="AF118" s="523"/>
      <c r="AG118" s="523"/>
      <c r="AH118" s="523"/>
      <c r="AI118" s="470"/>
      <c r="AJ118" s="523"/>
      <c r="AK118" s="523"/>
      <c r="AL118" s="523"/>
      <c r="AM118" s="523"/>
      <c r="AN118" s="523"/>
      <c r="AO118" s="523"/>
      <c r="AP118" s="523"/>
      <c r="AQ118" s="470"/>
      <c r="AR118" s="523"/>
      <c r="AS118" s="523"/>
      <c r="AT118" s="523"/>
      <c r="AU118" s="470"/>
      <c r="AV118" s="523"/>
      <c r="AW118" s="523"/>
      <c r="AX118" s="523"/>
      <c r="AY118" s="470"/>
      <c r="AZ118" s="523"/>
      <c r="BA118" s="523"/>
      <c r="BB118" s="523"/>
      <c r="BC118" s="470"/>
      <c r="BD118" s="523"/>
      <c r="BE118" s="523"/>
      <c r="BF118" s="523"/>
      <c r="BG118" s="470"/>
      <c r="BH118" s="523"/>
      <c r="BI118" s="523"/>
      <c r="BJ118" s="523"/>
      <c r="BK118" s="470"/>
      <c r="BL118" s="523"/>
      <c r="BM118" s="523"/>
      <c r="BN118" s="523"/>
      <c r="BO118" s="470"/>
      <c r="BP118" s="523"/>
      <c r="BQ118" s="523"/>
      <c r="BR118" s="523"/>
      <c r="BS118" s="470"/>
      <c r="BT118" s="523"/>
      <c r="BU118" s="523"/>
      <c r="BV118" s="523"/>
      <c r="BW118" s="470"/>
      <c r="BX118" s="523"/>
      <c r="BY118" s="523"/>
      <c r="BZ118" s="523"/>
      <c r="CA118" s="470"/>
      <c r="CB118" s="523"/>
      <c r="CC118" s="523"/>
      <c r="CD118" s="523"/>
      <c r="CE118" s="470"/>
      <c r="CF118" s="523"/>
      <c r="CG118" s="523"/>
      <c r="CH118" s="523"/>
      <c r="CI118" s="470"/>
      <c r="CJ118" s="523"/>
      <c r="CK118" s="523"/>
      <c r="CL118" s="523"/>
      <c r="CM118" s="470"/>
      <c r="CN118" s="523"/>
      <c r="CO118" s="523"/>
      <c r="CP118" s="523"/>
      <c r="CQ118" s="470"/>
      <c r="CR118" s="523"/>
      <c r="CS118" s="523"/>
      <c r="CT118" s="523"/>
      <c r="CU118" s="470"/>
      <c r="CV118" s="523"/>
      <c r="CW118" s="523"/>
      <c r="CX118" s="523"/>
      <c r="CY118" s="470"/>
      <c r="CZ118" s="523"/>
      <c r="DA118" s="523"/>
      <c r="DB118" s="523"/>
      <c r="DC118" s="470"/>
      <c r="DD118" s="523"/>
      <c r="DE118" s="523"/>
      <c r="DF118" s="523"/>
      <c r="DG118" s="470"/>
      <c r="DH118" s="523"/>
      <c r="DI118" s="523"/>
      <c r="DJ118" s="523"/>
      <c r="DK118" s="470"/>
      <c r="DL118" s="523"/>
      <c r="DM118" s="523"/>
      <c r="DN118" s="523"/>
      <c r="DO118" s="470"/>
      <c r="DP118" s="523"/>
      <c r="DQ118" s="523"/>
      <c r="DR118" s="523"/>
      <c r="DS118" s="523"/>
      <c r="DT118" s="523"/>
      <c r="DU118" s="523"/>
      <c r="DV118" s="523"/>
      <c r="DW118" s="523"/>
      <c r="DX118" s="523"/>
      <c r="DY118" s="523"/>
      <c r="DZ118" s="523"/>
      <c r="EA118" s="523"/>
      <c r="EB118" s="523"/>
      <c r="EC118" s="523"/>
      <c r="ED118" s="523"/>
      <c r="EE118" s="523"/>
      <c r="EF118" s="523"/>
      <c r="EG118" s="523"/>
      <c r="EH118" s="523"/>
      <c r="EI118" s="523"/>
      <c r="EJ118" s="523"/>
      <c r="EK118" s="523"/>
      <c r="EL118" s="523"/>
      <c r="EM118" s="470"/>
      <c r="EN118" s="470"/>
      <c r="EO118" s="470"/>
      <c r="EP118" s="470"/>
      <c r="EQ118" s="470"/>
      <c r="ER118" s="470"/>
      <c r="ES118" s="470"/>
      <c r="ET118" s="470"/>
      <c r="EU118" s="470"/>
      <c r="EV118" s="470"/>
      <c r="EW118" s="470"/>
      <c r="EX118" s="470"/>
      <c r="EY118" s="470"/>
      <c r="EZ118" s="470"/>
      <c r="FA118" s="470"/>
      <c r="FB118" s="470"/>
      <c r="FC118" s="470"/>
      <c r="FD118" s="470"/>
      <c r="FE118" s="470"/>
      <c r="FF118" s="470"/>
      <c r="FG118" s="470"/>
      <c r="FH118" s="470"/>
      <c r="FI118" s="470"/>
      <c r="FJ118" s="470"/>
      <c r="FK118" s="470"/>
      <c r="FL118" s="470"/>
      <c r="FM118" s="470"/>
      <c r="FN118" s="470"/>
      <c r="FO118" s="470"/>
      <c r="FP118" s="470"/>
      <c r="FQ118" s="470"/>
      <c r="FR118" s="470"/>
      <c r="FS118" s="470"/>
      <c r="FT118" s="470"/>
      <c r="FU118" s="470"/>
      <c r="FV118" s="470"/>
      <c r="FW118" s="470"/>
      <c r="FX118" s="470"/>
      <c r="FY118" s="470"/>
      <c r="FZ118" s="470"/>
      <c r="GA118" s="470"/>
      <c r="GB118" s="470"/>
      <c r="GC118" s="470"/>
      <c r="GD118" s="470"/>
      <c r="GE118" s="470"/>
      <c r="GF118" s="470"/>
      <c r="GG118" s="470"/>
      <c r="GH118" s="470"/>
      <c r="GI118" s="470"/>
      <c r="GJ118" s="470"/>
      <c r="GK118" s="470"/>
      <c r="GL118" s="470"/>
      <c r="GM118" s="470"/>
      <c r="GN118" s="470"/>
      <c r="GO118" s="470"/>
      <c r="GP118" s="470"/>
      <c r="GQ118" s="470"/>
      <c r="GR118" s="470"/>
      <c r="GS118" s="470"/>
      <c r="GT118" s="470"/>
      <c r="GU118" s="470"/>
      <c r="GV118" s="523"/>
      <c r="GW118" s="523"/>
      <c r="GX118" s="523"/>
      <c r="GY118" s="470"/>
      <c r="GZ118" s="523"/>
      <c r="HA118" s="523"/>
      <c r="HB118" s="523"/>
      <c r="HC118" s="523"/>
      <c r="HD118" s="523"/>
      <c r="HE118" s="523"/>
      <c r="HF118" s="523"/>
      <c r="HG118" s="523"/>
      <c r="HH118" s="523"/>
      <c r="HI118" s="523"/>
      <c r="HJ118" s="523"/>
      <c r="HK118" s="523"/>
      <c r="HL118" s="523"/>
      <c r="HM118" s="523"/>
      <c r="HN118" s="523"/>
      <c r="HO118" s="523"/>
      <c r="HP118" s="523"/>
      <c r="HQ118" s="523"/>
      <c r="HR118" s="523"/>
      <c r="HS118" s="523"/>
    </row>
    <row r="119" spans="1:227" x14ac:dyDescent="0.25">
      <c r="A119" s="107">
        <v>42</v>
      </c>
      <c r="B119" s="518" t="s">
        <v>627</v>
      </c>
      <c r="C119" s="518"/>
      <c r="D119" s="465">
        <v>0</v>
      </c>
      <c r="E119" s="465">
        <v>0</v>
      </c>
      <c r="F119" s="612">
        <f t="shared" si="146"/>
        <v>0</v>
      </c>
      <c r="G119" s="616"/>
      <c r="H119" s="583">
        <v>1650000</v>
      </c>
      <c r="I119" s="498">
        <v>0</v>
      </c>
      <c r="J119" s="614">
        <f t="shared" si="147"/>
        <v>1650000</v>
      </c>
      <c r="K119" s="616"/>
      <c r="L119" s="498">
        <v>1770000</v>
      </c>
      <c r="M119" s="498">
        <v>0</v>
      </c>
      <c r="N119" s="614">
        <f t="shared" si="148"/>
        <v>1770000</v>
      </c>
      <c r="O119" s="616"/>
      <c r="P119" s="461">
        <v>3000000</v>
      </c>
      <c r="Q119" s="498">
        <v>0</v>
      </c>
      <c r="R119" s="614">
        <f t="shared" si="149"/>
        <v>3000000</v>
      </c>
      <c r="S119" s="616"/>
      <c r="T119" s="465">
        <v>6420000</v>
      </c>
      <c r="U119" s="465">
        <v>0</v>
      </c>
      <c r="V119" s="611">
        <f t="shared" si="150"/>
        <v>6420000</v>
      </c>
      <c r="X119" s="465">
        <v>0</v>
      </c>
      <c r="Y119" s="465">
        <v>0</v>
      </c>
      <c r="Z119" s="454"/>
      <c r="AA119" s="470"/>
      <c r="AB119" s="523"/>
      <c r="AC119" s="523"/>
      <c r="AD119" s="523"/>
      <c r="AE119" s="470"/>
      <c r="AF119" s="523"/>
      <c r="AG119" s="523"/>
      <c r="AH119" s="523"/>
      <c r="AI119" s="470"/>
      <c r="AJ119" s="523"/>
      <c r="AK119" s="523"/>
      <c r="AL119" s="523"/>
      <c r="AM119" s="523"/>
      <c r="AN119" s="523"/>
      <c r="AO119" s="523"/>
      <c r="AP119" s="523"/>
      <c r="AQ119" s="470"/>
      <c r="AR119" s="523"/>
      <c r="AS119" s="523"/>
      <c r="AT119" s="523"/>
      <c r="AU119" s="470"/>
      <c r="AV119" s="523"/>
      <c r="AW119" s="523"/>
      <c r="AX119" s="523"/>
      <c r="AY119" s="470"/>
      <c r="AZ119" s="523"/>
      <c r="BA119" s="523"/>
      <c r="BB119" s="523"/>
      <c r="BC119" s="470"/>
      <c r="BD119" s="523"/>
      <c r="BE119" s="523"/>
      <c r="BF119" s="523"/>
      <c r="BG119" s="470"/>
      <c r="BH119" s="523"/>
      <c r="BI119" s="523"/>
      <c r="BJ119" s="523"/>
      <c r="BK119" s="470"/>
      <c r="BL119" s="523"/>
      <c r="BM119" s="523"/>
      <c r="BN119" s="523"/>
      <c r="BO119" s="470"/>
      <c r="BP119" s="523"/>
      <c r="BQ119" s="523"/>
      <c r="BR119" s="523"/>
      <c r="BS119" s="470"/>
      <c r="BT119" s="523"/>
      <c r="BU119" s="523"/>
      <c r="BV119" s="523"/>
      <c r="BW119" s="470"/>
      <c r="BX119" s="523"/>
      <c r="BY119" s="523"/>
      <c r="BZ119" s="523"/>
      <c r="CA119" s="470"/>
      <c r="CB119" s="523"/>
      <c r="CC119" s="523"/>
      <c r="CD119" s="523"/>
      <c r="CE119" s="470"/>
      <c r="CF119" s="523"/>
      <c r="CG119" s="523"/>
      <c r="CH119" s="523"/>
      <c r="CI119" s="470"/>
      <c r="CJ119" s="523"/>
      <c r="CK119" s="523"/>
      <c r="CL119" s="523"/>
      <c r="CM119" s="470"/>
      <c r="CN119" s="523"/>
      <c r="CO119" s="523"/>
      <c r="CP119" s="523"/>
      <c r="CQ119" s="470"/>
      <c r="CR119" s="523"/>
      <c r="CS119" s="523"/>
      <c r="CT119" s="523"/>
      <c r="CU119" s="470"/>
      <c r="CV119" s="523"/>
      <c r="CW119" s="523"/>
      <c r="CX119" s="523"/>
      <c r="CY119" s="470"/>
      <c r="CZ119" s="523"/>
      <c r="DA119" s="523"/>
      <c r="DB119" s="523"/>
      <c r="DC119" s="470"/>
      <c r="DD119" s="523"/>
      <c r="DE119" s="523"/>
      <c r="DF119" s="523"/>
      <c r="DG119" s="470"/>
      <c r="DH119" s="523"/>
      <c r="DI119" s="523"/>
      <c r="DJ119" s="523"/>
      <c r="DK119" s="470"/>
      <c r="DL119" s="523"/>
      <c r="DM119" s="523"/>
      <c r="DN119" s="523"/>
      <c r="DO119" s="470"/>
      <c r="DP119" s="523"/>
      <c r="DQ119" s="523"/>
      <c r="DR119" s="523"/>
      <c r="DS119" s="523"/>
      <c r="DT119" s="523"/>
      <c r="DU119" s="523"/>
      <c r="DV119" s="523"/>
      <c r="DW119" s="523"/>
      <c r="DX119" s="523"/>
      <c r="DY119" s="523"/>
      <c r="DZ119" s="523"/>
      <c r="EA119" s="523"/>
      <c r="EB119" s="523"/>
      <c r="EC119" s="523"/>
      <c r="ED119" s="523"/>
      <c r="EE119" s="523"/>
      <c r="EF119" s="523"/>
      <c r="EG119" s="523"/>
      <c r="EH119" s="523"/>
      <c r="EI119" s="523"/>
      <c r="EJ119" s="523"/>
      <c r="EK119" s="523"/>
      <c r="EL119" s="523"/>
      <c r="EM119" s="470"/>
      <c r="EN119" s="470"/>
      <c r="EO119" s="470"/>
      <c r="EP119" s="470"/>
      <c r="EQ119" s="470"/>
      <c r="ER119" s="470"/>
      <c r="ES119" s="470"/>
      <c r="ET119" s="470"/>
      <c r="EU119" s="470"/>
      <c r="EV119" s="470"/>
      <c r="EW119" s="470"/>
      <c r="EX119" s="470"/>
      <c r="EY119" s="470"/>
      <c r="EZ119" s="470"/>
      <c r="FA119" s="470"/>
      <c r="FB119" s="470"/>
      <c r="FC119" s="470"/>
      <c r="FD119" s="470"/>
      <c r="FE119" s="470"/>
      <c r="FF119" s="470"/>
      <c r="FG119" s="470"/>
      <c r="FH119" s="470"/>
      <c r="FI119" s="470"/>
      <c r="FJ119" s="470"/>
      <c r="FK119" s="470"/>
      <c r="FL119" s="470"/>
      <c r="FM119" s="470"/>
      <c r="FN119" s="470"/>
      <c r="FO119" s="470"/>
      <c r="FP119" s="470"/>
      <c r="FQ119" s="470"/>
      <c r="FR119" s="470"/>
      <c r="FS119" s="470"/>
      <c r="FT119" s="470"/>
      <c r="FU119" s="470"/>
      <c r="FV119" s="470"/>
      <c r="FW119" s="470"/>
      <c r="FX119" s="470"/>
      <c r="FY119" s="470"/>
      <c r="FZ119" s="470"/>
      <c r="GA119" s="470"/>
      <c r="GB119" s="470"/>
      <c r="GC119" s="470"/>
      <c r="GD119" s="470"/>
      <c r="GE119" s="470"/>
      <c r="GF119" s="470"/>
      <c r="GG119" s="470"/>
      <c r="GH119" s="470"/>
      <c r="GI119" s="470"/>
      <c r="GJ119" s="470"/>
      <c r="GK119" s="470"/>
      <c r="GL119" s="470"/>
      <c r="GM119" s="470"/>
      <c r="GN119" s="470"/>
      <c r="GO119" s="470"/>
      <c r="GP119" s="470"/>
      <c r="GQ119" s="470"/>
      <c r="GR119" s="470"/>
      <c r="GS119" s="470"/>
      <c r="GT119" s="470"/>
      <c r="GU119" s="470"/>
      <c r="GV119" s="523"/>
      <c r="GW119" s="523"/>
      <c r="GX119" s="523"/>
      <c r="GY119" s="470"/>
      <c r="GZ119" s="523"/>
      <c r="HA119" s="523"/>
      <c r="HB119" s="523"/>
      <c r="HC119" s="523"/>
      <c r="HD119" s="523"/>
      <c r="HE119" s="523"/>
      <c r="HF119" s="523"/>
      <c r="HG119" s="523"/>
      <c r="HH119" s="523"/>
      <c r="HI119" s="523"/>
      <c r="HJ119" s="523"/>
      <c r="HK119" s="523"/>
      <c r="HL119" s="523"/>
      <c r="HM119" s="523"/>
      <c r="HN119" s="523"/>
      <c r="HO119" s="523"/>
      <c r="HP119" s="523"/>
      <c r="HQ119" s="523"/>
      <c r="HR119" s="523"/>
      <c r="HS119" s="523"/>
    </row>
    <row r="120" spans="1:227" x14ac:dyDescent="0.25">
      <c r="A120" s="107">
        <v>43</v>
      </c>
      <c r="B120" s="518" t="s">
        <v>628</v>
      </c>
      <c r="C120" s="518"/>
      <c r="D120" s="465">
        <v>0</v>
      </c>
      <c r="E120" s="465">
        <v>0</v>
      </c>
      <c r="F120" s="612">
        <f t="shared" si="146"/>
        <v>0</v>
      </c>
      <c r="G120" s="616"/>
      <c r="H120" s="583">
        <v>1650000</v>
      </c>
      <c r="I120" s="461">
        <v>1650000</v>
      </c>
      <c r="J120" s="614">
        <f t="shared" si="147"/>
        <v>0</v>
      </c>
      <c r="K120" s="616"/>
      <c r="L120" s="498">
        <v>1770000</v>
      </c>
      <c r="M120" s="498">
        <v>1770000</v>
      </c>
      <c r="N120" s="614">
        <f t="shared" si="148"/>
        <v>0</v>
      </c>
      <c r="O120" s="616"/>
      <c r="P120" s="461">
        <v>3000000</v>
      </c>
      <c r="Q120" s="498">
        <v>2710000</v>
      </c>
      <c r="R120" s="614">
        <f t="shared" si="149"/>
        <v>290000</v>
      </c>
      <c r="S120" s="616"/>
      <c r="T120" s="465">
        <v>6420000</v>
      </c>
      <c r="U120" s="465">
        <v>6130000</v>
      </c>
      <c r="V120" s="611">
        <f t="shared" si="150"/>
        <v>290000</v>
      </c>
      <c r="X120" s="465">
        <v>0</v>
      </c>
      <c r="Y120" s="465">
        <v>6130000</v>
      </c>
      <c r="Z120" s="454"/>
      <c r="AA120" s="470"/>
      <c r="AB120" s="523"/>
      <c r="AC120" s="523"/>
      <c r="AD120" s="523"/>
      <c r="AE120" s="470"/>
      <c r="AF120" s="523"/>
      <c r="AG120" s="523"/>
      <c r="AH120" s="523"/>
      <c r="AI120" s="470"/>
      <c r="AJ120" s="523"/>
      <c r="AK120" s="523"/>
      <c r="AL120" s="523"/>
      <c r="AM120" s="523"/>
      <c r="AN120" s="523"/>
      <c r="AO120" s="523"/>
      <c r="AP120" s="523"/>
      <c r="AQ120" s="470"/>
      <c r="AR120" s="523"/>
      <c r="AS120" s="523"/>
      <c r="AT120" s="523"/>
      <c r="AU120" s="470"/>
      <c r="AV120" s="523"/>
      <c r="AW120" s="523"/>
      <c r="AX120" s="523"/>
      <c r="AY120" s="470"/>
      <c r="AZ120" s="523"/>
      <c r="BA120" s="523"/>
      <c r="BB120" s="523"/>
      <c r="BC120" s="470"/>
      <c r="BD120" s="523"/>
      <c r="BE120" s="523"/>
      <c r="BF120" s="523"/>
      <c r="BG120" s="470"/>
      <c r="BH120" s="523"/>
      <c r="BI120" s="523"/>
      <c r="BJ120" s="523"/>
      <c r="BK120" s="470"/>
      <c r="BL120" s="523"/>
      <c r="BM120" s="523"/>
      <c r="BN120" s="523"/>
      <c r="BO120" s="470"/>
      <c r="BP120" s="523"/>
      <c r="BQ120" s="523"/>
      <c r="BR120" s="523"/>
      <c r="BS120" s="470"/>
      <c r="BT120" s="523"/>
      <c r="BU120" s="523"/>
      <c r="BV120" s="523"/>
      <c r="BW120" s="470"/>
      <c r="BX120" s="523"/>
      <c r="BY120" s="523"/>
      <c r="BZ120" s="523"/>
      <c r="CA120" s="470"/>
      <c r="CB120" s="523"/>
      <c r="CC120" s="523"/>
      <c r="CD120" s="523"/>
      <c r="CE120" s="470"/>
      <c r="CF120" s="523"/>
      <c r="CG120" s="523"/>
      <c r="CH120" s="523"/>
      <c r="CI120" s="470"/>
      <c r="CJ120" s="523"/>
      <c r="CK120" s="523"/>
      <c r="CL120" s="523"/>
      <c r="CM120" s="470"/>
      <c r="CN120" s="523"/>
      <c r="CO120" s="523"/>
      <c r="CP120" s="523"/>
      <c r="CQ120" s="470"/>
      <c r="CR120" s="523"/>
      <c r="CS120" s="523"/>
      <c r="CT120" s="523"/>
      <c r="CU120" s="470"/>
      <c r="CV120" s="523"/>
      <c r="CW120" s="523"/>
      <c r="CX120" s="523"/>
      <c r="CY120" s="470"/>
      <c r="CZ120" s="523"/>
      <c r="DA120" s="523"/>
      <c r="DB120" s="523"/>
      <c r="DC120" s="470"/>
      <c r="DD120" s="523"/>
      <c r="DE120" s="523"/>
      <c r="DF120" s="523"/>
      <c r="DG120" s="470"/>
      <c r="DH120" s="523"/>
      <c r="DI120" s="523"/>
      <c r="DJ120" s="523"/>
      <c r="DK120" s="470"/>
      <c r="DL120" s="523"/>
      <c r="DM120" s="523"/>
      <c r="DN120" s="523"/>
      <c r="DO120" s="470"/>
      <c r="DP120" s="523"/>
      <c r="DQ120" s="523"/>
      <c r="DR120" s="523"/>
      <c r="DS120" s="523"/>
      <c r="DT120" s="523"/>
      <c r="DU120" s="523"/>
      <c r="DV120" s="523"/>
      <c r="DW120" s="523"/>
      <c r="DX120" s="523"/>
      <c r="DY120" s="523"/>
      <c r="DZ120" s="523"/>
      <c r="EA120" s="523"/>
      <c r="EB120" s="523"/>
      <c r="EC120" s="523"/>
      <c r="ED120" s="523"/>
      <c r="EE120" s="523"/>
      <c r="EF120" s="523"/>
      <c r="EG120" s="523"/>
      <c r="EH120" s="523"/>
      <c r="EI120" s="523"/>
      <c r="EJ120" s="523"/>
      <c r="EK120" s="523"/>
      <c r="EL120" s="523"/>
      <c r="EM120" s="470"/>
      <c r="EN120" s="470"/>
      <c r="EO120" s="470"/>
      <c r="EP120" s="470"/>
      <c r="EQ120" s="470"/>
      <c r="ER120" s="470"/>
      <c r="ES120" s="470"/>
      <c r="ET120" s="470"/>
      <c r="EU120" s="470"/>
      <c r="EV120" s="470"/>
      <c r="EW120" s="470"/>
      <c r="EX120" s="470"/>
      <c r="EY120" s="470"/>
      <c r="EZ120" s="470"/>
      <c r="FA120" s="470"/>
      <c r="FB120" s="470"/>
      <c r="FC120" s="470"/>
      <c r="FD120" s="470"/>
      <c r="FE120" s="470"/>
      <c r="FF120" s="470"/>
      <c r="FG120" s="470"/>
      <c r="FH120" s="470"/>
      <c r="FI120" s="470"/>
      <c r="FJ120" s="470"/>
      <c r="FK120" s="470"/>
      <c r="FL120" s="470"/>
      <c r="FM120" s="470"/>
      <c r="FN120" s="470"/>
      <c r="FO120" s="470"/>
      <c r="FP120" s="470"/>
      <c r="FQ120" s="470"/>
      <c r="FR120" s="470"/>
      <c r="FS120" s="470"/>
      <c r="FT120" s="470"/>
      <c r="FU120" s="470"/>
      <c r="FV120" s="470"/>
      <c r="FW120" s="470"/>
      <c r="FX120" s="470"/>
      <c r="FY120" s="470"/>
      <c r="FZ120" s="470"/>
      <c r="GA120" s="470"/>
      <c r="GB120" s="470"/>
      <c r="GC120" s="470"/>
      <c r="GD120" s="470"/>
      <c r="GE120" s="470"/>
      <c r="GF120" s="470"/>
      <c r="GG120" s="470"/>
      <c r="GH120" s="470"/>
      <c r="GI120" s="470"/>
      <c r="GJ120" s="470"/>
      <c r="GK120" s="470"/>
      <c r="GL120" s="470"/>
      <c r="GM120" s="470"/>
      <c r="GN120" s="470"/>
      <c r="GO120" s="470"/>
      <c r="GP120" s="470"/>
      <c r="GQ120" s="470"/>
      <c r="GR120" s="470"/>
      <c r="GS120" s="470"/>
      <c r="GT120" s="470"/>
      <c r="GU120" s="470"/>
      <c r="GV120" s="523"/>
      <c r="GW120" s="523"/>
      <c r="GX120" s="523"/>
      <c r="GY120" s="470"/>
      <c r="GZ120" s="523"/>
      <c r="HA120" s="523"/>
      <c r="HB120" s="523"/>
      <c r="HC120" s="523"/>
      <c r="HD120" s="523"/>
      <c r="HE120" s="523"/>
      <c r="HF120" s="523"/>
      <c r="HG120" s="523"/>
      <c r="HH120" s="523"/>
      <c r="HI120" s="523"/>
      <c r="HJ120" s="523"/>
      <c r="HK120" s="523"/>
      <c r="HL120" s="523"/>
      <c r="HM120" s="523"/>
      <c r="HN120" s="523"/>
      <c r="HO120" s="523"/>
      <c r="HP120" s="523"/>
      <c r="HQ120" s="523"/>
      <c r="HR120" s="523"/>
      <c r="HS120" s="523"/>
    </row>
    <row r="121" spans="1:227" x14ac:dyDescent="0.25">
      <c r="A121" s="107">
        <v>44</v>
      </c>
      <c r="B121" s="518" t="s">
        <v>629</v>
      </c>
      <c r="C121" s="518"/>
      <c r="D121" s="465">
        <v>0</v>
      </c>
      <c r="E121" s="465">
        <v>0</v>
      </c>
      <c r="F121" s="612">
        <f t="shared" si="146"/>
        <v>0</v>
      </c>
      <c r="G121" s="616"/>
      <c r="H121" s="583">
        <v>1650000</v>
      </c>
      <c r="I121" s="461">
        <v>1650000</v>
      </c>
      <c r="J121" s="614">
        <f t="shared" si="147"/>
        <v>0</v>
      </c>
      <c r="K121" s="616"/>
      <c r="L121" s="498">
        <v>1770000</v>
      </c>
      <c r="M121" s="498">
        <v>1770000</v>
      </c>
      <c r="N121" s="614">
        <f t="shared" si="148"/>
        <v>0</v>
      </c>
      <c r="O121" s="616"/>
      <c r="P121" s="461">
        <v>3000000</v>
      </c>
      <c r="Q121" s="498">
        <v>3230000</v>
      </c>
      <c r="R121" s="614">
        <f t="shared" si="149"/>
        <v>-230000</v>
      </c>
      <c r="S121" s="616"/>
      <c r="T121" s="465">
        <v>6420000</v>
      </c>
      <c r="U121" s="465">
        <v>6650000</v>
      </c>
      <c r="V121" s="611">
        <f t="shared" si="150"/>
        <v>-230000</v>
      </c>
      <c r="X121" s="465">
        <v>0</v>
      </c>
      <c r="Y121" s="465">
        <v>6650000</v>
      </c>
      <c r="Z121" s="454"/>
      <c r="AA121" s="470"/>
      <c r="AB121" s="523"/>
      <c r="AC121" s="523"/>
      <c r="AD121" s="523"/>
      <c r="AE121" s="470"/>
      <c r="AF121" s="523"/>
      <c r="AG121" s="523"/>
      <c r="AH121" s="523"/>
      <c r="AI121" s="470"/>
      <c r="AJ121" s="523"/>
      <c r="AK121" s="523"/>
      <c r="AL121" s="523"/>
      <c r="AM121" s="523"/>
      <c r="AN121" s="523"/>
      <c r="AO121" s="523"/>
      <c r="AP121" s="523"/>
      <c r="AQ121" s="470"/>
      <c r="AR121" s="523"/>
      <c r="AS121" s="523"/>
      <c r="AT121" s="523"/>
      <c r="AU121" s="470"/>
      <c r="AV121" s="523"/>
      <c r="AW121" s="523"/>
      <c r="AX121" s="523"/>
      <c r="AY121" s="470"/>
      <c r="AZ121" s="523"/>
      <c r="BA121" s="523"/>
      <c r="BB121" s="523"/>
      <c r="BC121" s="470"/>
      <c r="BD121" s="523"/>
      <c r="BE121" s="523"/>
      <c r="BF121" s="523"/>
      <c r="BG121" s="470"/>
      <c r="BH121" s="523"/>
      <c r="BI121" s="523"/>
      <c r="BJ121" s="523"/>
      <c r="BK121" s="470"/>
      <c r="BL121" s="523"/>
      <c r="BM121" s="523"/>
      <c r="BN121" s="523"/>
      <c r="BO121" s="470"/>
      <c r="BP121" s="523"/>
      <c r="BQ121" s="523"/>
      <c r="BR121" s="523"/>
      <c r="BS121" s="470"/>
      <c r="BT121" s="523"/>
      <c r="BU121" s="523"/>
      <c r="BV121" s="523"/>
      <c r="BW121" s="470"/>
      <c r="BX121" s="523"/>
      <c r="BY121" s="523"/>
      <c r="BZ121" s="523"/>
      <c r="CA121" s="470"/>
      <c r="CB121" s="523"/>
      <c r="CC121" s="523"/>
      <c r="CD121" s="523"/>
      <c r="CE121" s="470"/>
      <c r="CF121" s="523"/>
      <c r="CG121" s="523"/>
      <c r="CH121" s="523"/>
      <c r="CI121" s="470"/>
      <c r="CJ121" s="523"/>
      <c r="CK121" s="523"/>
      <c r="CL121" s="523"/>
      <c r="CM121" s="470"/>
      <c r="CN121" s="523"/>
      <c r="CO121" s="523"/>
      <c r="CP121" s="523"/>
      <c r="CQ121" s="470"/>
      <c r="CR121" s="523"/>
      <c r="CS121" s="523"/>
      <c r="CT121" s="523"/>
      <c r="CU121" s="470"/>
      <c r="CV121" s="523"/>
      <c r="CW121" s="523"/>
      <c r="CX121" s="523"/>
      <c r="CY121" s="470"/>
      <c r="CZ121" s="523"/>
      <c r="DA121" s="523"/>
      <c r="DB121" s="523"/>
      <c r="DC121" s="470"/>
      <c r="DD121" s="523"/>
      <c r="DE121" s="523"/>
      <c r="DF121" s="523"/>
      <c r="DG121" s="470"/>
      <c r="DH121" s="523"/>
      <c r="DI121" s="523"/>
      <c r="DJ121" s="523"/>
      <c r="DK121" s="470"/>
      <c r="DL121" s="523"/>
      <c r="DM121" s="523"/>
      <c r="DN121" s="523"/>
      <c r="DO121" s="470"/>
      <c r="DP121" s="523"/>
      <c r="DQ121" s="523"/>
      <c r="DR121" s="523"/>
      <c r="DS121" s="523"/>
      <c r="DT121" s="523"/>
      <c r="DU121" s="523"/>
      <c r="DV121" s="523"/>
      <c r="DW121" s="523"/>
      <c r="DX121" s="523"/>
      <c r="DY121" s="523"/>
      <c r="DZ121" s="523"/>
      <c r="EA121" s="523"/>
      <c r="EB121" s="523"/>
      <c r="EC121" s="523"/>
      <c r="ED121" s="523"/>
      <c r="EE121" s="523"/>
      <c r="EF121" s="523"/>
      <c r="EG121" s="523"/>
      <c r="EH121" s="523"/>
      <c r="EI121" s="523"/>
      <c r="EJ121" s="523"/>
      <c r="EK121" s="523"/>
      <c r="EL121" s="523"/>
      <c r="EM121" s="470"/>
      <c r="EN121" s="470"/>
      <c r="EO121" s="470"/>
      <c r="EP121" s="470"/>
      <c r="EQ121" s="470"/>
      <c r="ER121" s="470"/>
      <c r="ES121" s="470"/>
      <c r="ET121" s="470"/>
      <c r="EU121" s="470"/>
      <c r="EV121" s="470"/>
      <c r="EW121" s="470"/>
      <c r="EX121" s="470"/>
      <c r="EY121" s="470"/>
      <c r="EZ121" s="470"/>
      <c r="FA121" s="470"/>
      <c r="FB121" s="470"/>
      <c r="FC121" s="470"/>
      <c r="FD121" s="470"/>
      <c r="FE121" s="470"/>
      <c r="FF121" s="470"/>
      <c r="FG121" s="470"/>
      <c r="FH121" s="470"/>
      <c r="FI121" s="470"/>
      <c r="FJ121" s="470"/>
      <c r="FK121" s="470"/>
      <c r="FL121" s="470"/>
      <c r="FM121" s="470"/>
      <c r="FN121" s="470"/>
      <c r="FO121" s="470"/>
      <c r="FP121" s="470"/>
      <c r="FQ121" s="470"/>
      <c r="FR121" s="470"/>
      <c r="FS121" s="470"/>
      <c r="FT121" s="470"/>
      <c r="FU121" s="470"/>
      <c r="FV121" s="470"/>
      <c r="FW121" s="470"/>
      <c r="FX121" s="470"/>
      <c r="FY121" s="470"/>
      <c r="FZ121" s="470"/>
      <c r="GA121" s="470"/>
      <c r="GB121" s="470"/>
      <c r="GC121" s="470"/>
      <c r="GD121" s="470"/>
      <c r="GE121" s="470"/>
      <c r="GF121" s="470"/>
      <c r="GG121" s="470"/>
      <c r="GH121" s="470"/>
      <c r="GI121" s="470"/>
      <c r="GJ121" s="470"/>
      <c r="GK121" s="470"/>
      <c r="GL121" s="470"/>
      <c r="GM121" s="470"/>
      <c r="GN121" s="470"/>
      <c r="GO121" s="470"/>
      <c r="GP121" s="470"/>
      <c r="GQ121" s="470"/>
      <c r="GR121" s="470"/>
      <c r="GS121" s="470"/>
      <c r="GT121" s="470"/>
      <c r="GU121" s="470"/>
      <c r="GV121" s="523"/>
      <c r="GW121" s="523"/>
      <c r="GX121" s="523"/>
      <c r="GY121" s="470"/>
      <c r="GZ121" s="523"/>
      <c r="HA121" s="523"/>
      <c r="HB121" s="523"/>
      <c r="HC121" s="523"/>
      <c r="HD121" s="523"/>
      <c r="HE121" s="523"/>
      <c r="HF121" s="523"/>
      <c r="HG121" s="523"/>
      <c r="HH121" s="523"/>
      <c r="HI121" s="523"/>
      <c r="HJ121" s="523"/>
      <c r="HK121" s="523"/>
      <c r="HL121" s="523"/>
      <c r="HM121" s="523"/>
      <c r="HN121" s="523"/>
      <c r="HO121" s="523"/>
      <c r="HP121" s="523"/>
      <c r="HQ121" s="523"/>
      <c r="HR121" s="523"/>
      <c r="HS121" s="523"/>
    </row>
    <row r="122" spans="1:227" x14ac:dyDescent="0.25">
      <c r="A122" s="107">
        <v>45</v>
      </c>
      <c r="B122" s="518" t="s">
        <v>630</v>
      </c>
      <c r="C122" s="518"/>
      <c r="D122" s="465">
        <v>0</v>
      </c>
      <c r="E122" s="465">
        <v>0</v>
      </c>
      <c r="F122" s="612">
        <f t="shared" si="146"/>
        <v>0</v>
      </c>
      <c r="G122" s="616"/>
      <c r="H122" s="583">
        <v>1650000</v>
      </c>
      <c r="I122" s="498">
        <v>1650000</v>
      </c>
      <c r="J122" s="614">
        <f t="shared" si="147"/>
        <v>0</v>
      </c>
      <c r="K122" s="616"/>
      <c r="L122" s="498">
        <v>1770000</v>
      </c>
      <c r="M122" s="498">
        <v>1770000</v>
      </c>
      <c r="N122" s="614">
        <f t="shared" si="148"/>
        <v>0</v>
      </c>
      <c r="O122" s="616"/>
      <c r="P122" s="461">
        <v>3000000</v>
      </c>
      <c r="Q122" s="498">
        <v>2230000</v>
      </c>
      <c r="R122" s="614">
        <f t="shared" si="149"/>
        <v>770000</v>
      </c>
      <c r="S122" s="616"/>
      <c r="T122" s="465">
        <v>6420000</v>
      </c>
      <c r="U122" s="465">
        <v>5650000</v>
      </c>
      <c r="V122" s="611">
        <f t="shared" si="150"/>
        <v>770000</v>
      </c>
      <c r="X122" s="465">
        <v>0</v>
      </c>
      <c r="Y122" s="465">
        <v>5650000</v>
      </c>
      <c r="Z122" s="454"/>
      <c r="AA122" s="470"/>
      <c r="AB122" s="523"/>
      <c r="AC122" s="523"/>
      <c r="AD122" s="523"/>
      <c r="AE122" s="470"/>
      <c r="AF122" s="523"/>
      <c r="AG122" s="523"/>
      <c r="AH122" s="523"/>
      <c r="AI122" s="470"/>
      <c r="AJ122" s="523"/>
      <c r="AK122" s="523"/>
      <c r="AL122" s="523"/>
      <c r="AM122" s="523"/>
      <c r="AN122" s="523"/>
      <c r="AO122" s="523"/>
      <c r="AP122" s="523"/>
      <c r="AQ122" s="470"/>
      <c r="AR122" s="523"/>
      <c r="AS122" s="523"/>
      <c r="AT122" s="523"/>
      <c r="AU122" s="470"/>
      <c r="AV122" s="523"/>
      <c r="AW122" s="523"/>
      <c r="AX122" s="523"/>
      <c r="AY122" s="470"/>
      <c r="AZ122" s="523"/>
      <c r="BA122" s="523"/>
      <c r="BB122" s="523"/>
      <c r="BC122" s="470"/>
      <c r="BD122" s="523"/>
      <c r="BE122" s="523"/>
      <c r="BF122" s="523"/>
      <c r="BG122" s="470"/>
      <c r="BH122" s="523"/>
      <c r="BI122" s="523"/>
      <c r="BJ122" s="523"/>
      <c r="BK122" s="470"/>
      <c r="BL122" s="523"/>
      <c r="BM122" s="523"/>
      <c r="BN122" s="523"/>
      <c r="BO122" s="470"/>
      <c r="BP122" s="523"/>
      <c r="BQ122" s="523"/>
      <c r="BR122" s="523"/>
      <c r="BS122" s="470"/>
      <c r="BT122" s="523"/>
      <c r="BU122" s="523"/>
      <c r="BV122" s="523"/>
      <c r="BW122" s="470"/>
      <c r="BX122" s="523"/>
      <c r="BY122" s="523"/>
      <c r="BZ122" s="523"/>
      <c r="CA122" s="470"/>
      <c r="CB122" s="523"/>
      <c r="CC122" s="523"/>
      <c r="CD122" s="523"/>
      <c r="CE122" s="470"/>
      <c r="CF122" s="523"/>
      <c r="CG122" s="523"/>
      <c r="CH122" s="523"/>
      <c r="CI122" s="470"/>
      <c r="CJ122" s="523"/>
      <c r="CK122" s="523"/>
      <c r="CL122" s="523"/>
      <c r="CM122" s="470"/>
      <c r="CN122" s="523"/>
      <c r="CO122" s="523"/>
      <c r="CP122" s="523"/>
      <c r="CQ122" s="470"/>
      <c r="CR122" s="523"/>
      <c r="CS122" s="523"/>
      <c r="CT122" s="523"/>
      <c r="CU122" s="470"/>
      <c r="CV122" s="523"/>
      <c r="CW122" s="523"/>
      <c r="CX122" s="523"/>
      <c r="CY122" s="470"/>
      <c r="CZ122" s="523"/>
      <c r="DA122" s="523"/>
      <c r="DB122" s="523"/>
      <c r="DC122" s="470"/>
      <c r="DD122" s="523"/>
      <c r="DE122" s="523"/>
      <c r="DF122" s="523"/>
      <c r="DG122" s="470"/>
      <c r="DH122" s="523"/>
      <c r="DI122" s="523"/>
      <c r="DJ122" s="523"/>
      <c r="DK122" s="470"/>
      <c r="DL122" s="523"/>
      <c r="DM122" s="523"/>
      <c r="DN122" s="523"/>
      <c r="DO122" s="470"/>
      <c r="DP122" s="523"/>
      <c r="DQ122" s="523"/>
      <c r="DR122" s="523"/>
      <c r="DS122" s="523"/>
      <c r="DT122" s="523"/>
      <c r="DU122" s="523"/>
      <c r="DV122" s="523"/>
      <c r="DW122" s="523"/>
      <c r="DX122" s="523"/>
      <c r="DY122" s="523"/>
      <c r="DZ122" s="523"/>
      <c r="EA122" s="523"/>
      <c r="EB122" s="523"/>
      <c r="EC122" s="523"/>
      <c r="ED122" s="523"/>
      <c r="EE122" s="523"/>
      <c r="EF122" s="523"/>
      <c r="EG122" s="523"/>
      <c r="EH122" s="523"/>
      <c r="EI122" s="523"/>
      <c r="EJ122" s="523"/>
      <c r="EK122" s="523"/>
      <c r="EL122" s="523"/>
      <c r="EM122" s="470"/>
      <c r="EN122" s="470"/>
      <c r="EO122" s="470"/>
      <c r="EP122" s="470"/>
      <c r="EQ122" s="470"/>
      <c r="ER122" s="470"/>
      <c r="ES122" s="470"/>
      <c r="ET122" s="470"/>
      <c r="EU122" s="470"/>
      <c r="EV122" s="470"/>
      <c r="EW122" s="470"/>
      <c r="EX122" s="470"/>
      <c r="EY122" s="470"/>
      <c r="EZ122" s="470"/>
      <c r="FA122" s="470"/>
      <c r="FB122" s="470"/>
      <c r="FC122" s="470"/>
      <c r="FD122" s="470"/>
      <c r="FE122" s="470"/>
      <c r="FF122" s="470"/>
      <c r="FG122" s="470"/>
      <c r="FH122" s="470"/>
      <c r="FI122" s="470"/>
      <c r="FJ122" s="470"/>
      <c r="FK122" s="470"/>
      <c r="FL122" s="470"/>
      <c r="FM122" s="470"/>
      <c r="FN122" s="470"/>
      <c r="FO122" s="470"/>
      <c r="FP122" s="470"/>
      <c r="FQ122" s="470"/>
      <c r="FR122" s="470"/>
      <c r="FS122" s="470"/>
      <c r="FT122" s="470"/>
      <c r="FU122" s="470"/>
      <c r="FV122" s="470"/>
      <c r="FW122" s="470"/>
      <c r="FX122" s="470"/>
      <c r="FY122" s="470"/>
      <c r="FZ122" s="470"/>
      <c r="GA122" s="470"/>
      <c r="GB122" s="470"/>
      <c r="GC122" s="470"/>
      <c r="GD122" s="470"/>
      <c r="GE122" s="470"/>
      <c r="GF122" s="470"/>
      <c r="GG122" s="470"/>
      <c r="GH122" s="470"/>
      <c r="GI122" s="470"/>
      <c r="GJ122" s="470"/>
      <c r="GK122" s="470"/>
      <c r="GL122" s="470"/>
      <c r="GM122" s="470"/>
      <c r="GN122" s="470"/>
      <c r="GO122" s="470"/>
      <c r="GP122" s="470"/>
      <c r="GQ122" s="470"/>
      <c r="GR122" s="470"/>
      <c r="GS122" s="470"/>
      <c r="GT122" s="470"/>
      <c r="GU122" s="470"/>
      <c r="GV122" s="523"/>
      <c r="GW122" s="523"/>
      <c r="GX122" s="523"/>
      <c r="GY122" s="470"/>
      <c r="GZ122" s="523"/>
      <c r="HA122" s="523"/>
      <c r="HB122" s="523"/>
      <c r="HC122" s="523"/>
      <c r="HD122" s="523"/>
      <c r="HE122" s="523"/>
      <c r="HF122" s="523"/>
      <c r="HG122" s="523"/>
      <c r="HH122" s="523"/>
      <c r="HI122" s="523"/>
      <c r="HJ122" s="523"/>
      <c r="HK122" s="523"/>
      <c r="HL122" s="523"/>
      <c r="HM122" s="523"/>
      <c r="HN122" s="523"/>
      <c r="HO122" s="523"/>
      <c r="HP122" s="523"/>
      <c r="HQ122" s="523"/>
      <c r="HR122" s="523"/>
      <c r="HS122" s="523"/>
    </row>
    <row r="123" spans="1:227" x14ac:dyDescent="0.25">
      <c r="A123" s="107">
        <v>46</v>
      </c>
      <c r="B123" s="518" t="s">
        <v>631</v>
      </c>
      <c r="C123" s="518"/>
      <c r="D123" s="465">
        <v>0</v>
      </c>
      <c r="E123" s="465">
        <v>0</v>
      </c>
      <c r="F123" s="612">
        <f t="shared" si="146"/>
        <v>0</v>
      </c>
      <c r="G123" s="616"/>
      <c r="H123" s="583">
        <v>1650000</v>
      </c>
      <c r="I123" s="461">
        <v>1650000</v>
      </c>
      <c r="J123" s="614">
        <f t="shared" si="147"/>
        <v>0</v>
      </c>
      <c r="K123" s="616"/>
      <c r="L123" s="498">
        <v>1770000</v>
      </c>
      <c r="M123" s="498">
        <v>1770000</v>
      </c>
      <c r="N123" s="614">
        <f t="shared" si="148"/>
        <v>0</v>
      </c>
      <c r="O123" s="616"/>
      <c r="P123" s="461">
        <v>3000000</v>
      </c>
      <c r="Q123" s="498">
        <v>2930000</v>
      </c>
      <c r="R123" s="614">
        <f t="shared" si="149"/>
        <v>70000</v>
      </c>
      <c r="S123" s="616"/>
      <c r="T123" s="465">
        <v>6420000</v>
      </c>
      <c r="U123" s="465">
        <v>6350000</v>
      </c>
      <c r="V123" s="611">
        <f t="shared" si="150"/>
        <v>70000</v>
      </c>
      <c r="X123" s="465">
        <v>0</v>
      </c>
      <c r="Y123" s="465">
        <v>6350000</v>
      </c>
      <c r="Z123" s="454"/>
      <c r="AA123" s="470"/>
      <c r="AB123" s="523"/>
      <c r="AC123" s="523"/>
      <c r="AD123" s="523"/>
      <c r="AE123" s="470"/>
      <c r="AF123" s="523"/>
      <c r="AG123" s="523"/>
      <c r="AH123" s="523"/>
      <c r="AI123" s="470"/>
      <c r="AJ123" s="523"/>
      <c r="AK123" s="523"/>
      <c r="AL123" s="523"/>
      <c r="AM123" s="523"/>
      <c r="AN123" s="523"/>
      <c r="AO123" s="523"/>
      <c r="AP123" s="523"/>
      <c r="AQ123" s="470"/>
      <c r="AR123" s="523"/>
      <c r="AS123" s="523"/>
      <c r="AT123" s="523"/>
      <c r="AU123" s="470"/>
      <c r="AV123" s="523"/>
      <c r="AW123" s="523"/>
      <c r="AX123" s="523"/>
      <c r="AY123" s="470"/>
      <c r="AZ123" s="523"/>
      <c r="BA123" s="523"/>
      <c r="BB123" s="523"/>
      <c r="BC123" s="470"/>
      <c r="BD123" s="523"/>
      <c r="BE123" s="523"/>
      <c r="BF123" s="523"/>
      <c r="BG123" s="470"/>
      <c r="BH123" s="523"/>
      <c r="BI123" s="523"/>
      <c r="BJ123" s="523"/>
      <c r="BK123" s="470"/>
      <c r="BL123" s="523"/>
      <c r="BM123" s="523"/>
      <c r="BN123" s="523"/>
      <c r="BO123" s="470"/>
      <c r="BP123" s="523"/>
      <c r="BQ123" s="523"/>
      <c r="BR123" s="523"/>
      <c r="BS123" s="470"/>
      <c r="BT123" s="523"/>
      <c r="BU123" s="523"/>
      <c r="BV123" s="523"/>
      <c r="BW123" s="470"/>
      <c r="BX123" s="523"/>
      <c r="BY123" s="523"/>
      <c r="BZ123" s="523"/>
      <c r="CA123" s="470"/>
      <c r="CB123" s="523"/>
      <c r="CC123" s="523"/>
      <c r="CD123" s="523"/>
      <c r="CE123" s="470"/>
      <c r="CF123" s="523"/>
      <c r="CG123" s="523"/>
      <c r="CH123" s="523"/>
      <c r="CI123" s="470"/>
      <c r="CJ123" s="523"/>
      <c r="CK123" s="523"/>
      <c r="CL123" s="523"/>
      <c r="CM123" s="470"/>
      <c r="CN123" s="523"/>
      <c r="CO123" s="523"/>
      <c r="CP123" s="523"/>
      <c r="CQ123" s="470"/>
      <c r="CR123" s="523"/>
      <c r="CS123" s="523"/>
      <c r="CT123" s="523"/>
      <c r="CU123" s="470"/>
      <c r="CV123" s="523"/>
      <c r="CW123" s="523"/>
      <c r="CX123" s="523"/>
      <c r="CY123" s="470"/>
      <c r="CZ123" s="523"/>
      <c r="DA123" s="523"/>
      <c r="DB123" s="523"/>
      <c r="DC123" s="470"/>
      <c r="DD123" s="523"/>
      <c r="DE123" s="523"/>
      <c r="DF123" s="523"/>
      <c r="DG123" s="470"/>
      <c r="DH123" s="523"/>
      <c r="DI123" s="523"/>
      <c r="DJ123" s="523"/>
      <c r="DK123" s="470"/>
      <c r="DL123" s="523"/>
      <c r="DM123" s="523"/>
      <c r="DN123" s="523"/>
      <c r="DO123" s="470"/>
      <c r="DP123" s="523"/>
      <c r="DQ123" s="523"/>
      <c r="DR123" s="523"/>
      <c r="DS123" s="523"/>
      <c r="DT123" s="523"/>
      <c r="DU123" s="523"/>
      <c r="DV123" s="523"/>
      <c r="DW123" s="523"/>
      <c r="DX123" s="523"/>
      <c r="DY123" s="523"/>
      <c r="DZ123" s="523"/>
      <c r="EA123" s="523"/>
      <c r="EB123" s="523"/>
      <c r="EC123" s="523"/>
      <c r="ED123" s="523"/>
      <c r="EE123" s="523"/>
      <c r="EF123" s="523"/>
      <c r="EG123" s="523"/>
      <c r="EH123" s="523"/>
      <c r="EI123" s="523"/>
      <c r="EJ123" s="523"/>
      <c r="EK123" s="523"/>
      <c r="EL123" s="523"/>
      <c r="EM123" s="470"/>
      <c r="EN123" s="470"/>
      <c r="EO123" s="470"/>
      <c r="EP123" s="470"/>
      <c r="EQ123" s="470"/>
      <c r="ER123" s="470"/>
      <c r="ES123" s="470"/>
      <c r="ET123" s="470"/>
      <c r="EU123" s="470"/>
      <c r="EV123" s="470"/>
      <c r="EW123" s="470"/>
      <c r="EX123" s="470"/>
      <c r="EY123" s="470"/>
      <c r="EZ123" s="470"/>
      <c r="FA123" s="470"/>
      <c r="FB123" s="470"/>
      <c r="FC123" s="470"/>
      <c r="FD123" s="470"/>
      <c r="FE123" s="470"/>
      <c r="FF123" s="470"/>
      <c r="FG123" s="470"/>
      <c r="FH123" s="470"/>
      <c r="FI123" s="470"/>
      <c r="FJ123" s="470"/>
      <c r="FK123" s="470"/>
      <c r="FL123" s="470"/>
      <c r="FM123" s="470"/>
      <c r="FN123" s="470"/>
      <c r="FO123" s="470"/>
      <c r="FP123" s="470"/>
      <c r="FQ123" s="470"/>
      <c r="FR123" s="470"/>
      <c r="FS123" s="470"/>
      <c r="FT123" s="470"/>
      <c r="FU123" s="470"/>
      <c r="FV123" s="470"/>
      <c r="FW123" s="470"/>
      <c r="FX123" s="470"/>
      <c r="FY123" s="470"/>
      <c r="FZ123" s="470"/>
      <c r="GA123" s="470"/>
      <c r="GB123" s="470"/>
      <c r="GC123" s="470"/>
      <c r="GD123" s="470"/>
      <c r="GE123" s="470"/>
      <c r="GF123" s="470"/>
      <c r="GG123" s="470"/>
      <c r="GH123" s="470"/>
      <c r="GI123" s="470"/>
      <c r="GJ123" s="470"/>
      <c r="GK123" s="470"/>
      <c r="GL123" s="470"/>
      <c r="GM123" s="470"/>
      <c r="GN123" s="470"/>
      <c r="GO123" s="470"/>
      <c r="GP123" s="470"/>
      <c r="GQ123" s="470"/>
      <c r="GR123" s="470"/>
      <c r="GS123" s="470"/>
      <c r="GT123" s="470"/>
      <c r="GU123" s="470"/>
      <c r="GV123" s="523"/>
      <c r="GW123" s="523"/>
      <c r="GX123" s="523"/>
      <c r="GY123" s="470"/>
      <c r="GZ123" s="523"/>
      <c r="HA123" s="523"/>
      <c r="HB123" s="523"/>
      <c r="HC123" s="523"/>
      <c r="HD123" s="523"/>
      <c r="HE123" s="523"/>
      <c r="HF123" s="523"/>
      <c r="HG123" s="523"/>
      <c r="HH123" s="523"/>
      <c r="HI123" s="523"/>
      <c r="HJ123" s="523"/>
      <c r="HK123" s="523"/>
      <c r="HL123" s="523"/>
      <c r="HM123" s="523"/>
      <c r="HN123" s="523"/>
      <c r="HO123" s="523"/>
      <c r="HP123" s="523"/>
      <c r="HQ123" s="523"/>
      <c r="HR123" s="523"/>
      <c r="HS123" s="523"/>
    </row>
    <row r="124" spans="1:227" x14ac:dyDescent="0.25">
      <c r="A124" s="107">
        <v>47</v>
      </c>
      <c r="B124" s="518" t="s">
        <v>632</v>
      </c>
      <c r="C124" s="518"/>
      <c r="D124" s="465">
        <v>0</v>
      </c>
      <c r="E124" s="465">
        <v>0</v>
      </c>
      <c r="F124" s="612">
        <f t="shared" si="146"/>
        <v>0</v>
      </c>
      <c r="G124" s="616"/>
      <c r="H124" s="583">
        <v>1650000</v>
      </c>
      <c r="I124" s="461">
        <v>1650000</v>
      </c>
      <c r="J124" s="614">
        <f t="shared" si="147"/>
        <v>0</v>
      </c>
      <c r="K124" s="616"/>
      <c r="L124" s="498">
        <v>1770000</v>
      </c>
      <c r="M124" s="498">
        <v>1770000</v>
      </c>
      <c r="N124" s="614">
        <f t="shared" si="148"/>
        <v>0</v>
      </c>
      <c r="O124" s="616"/>
      <c r="P124" s="461">
        <v>3000000</v>
      </c>
      <c r="Q124" s="498">
        <v>2130000</v>
      </c>
      <c r="R124" s="614">
        <f t="shared" si="149"/>
        <v>870000</v>
      </c>
      <c r="S124" s="616"/>
      <c r="T124" s="465">
        <v>6420000</v>
      </c>
      <c r="U124" s="465">
        <v>5550000</v>
      </c>
      <c r="V124" s="611">
        <f t="shared" si="150"/>
        <v>870000</v>
      </c>
      <c r="X124" s="465">
        <v>0</v>
      </c>
      <c r="Y124" s="465">
        <v>5550000</v>
      </c>
      <c r="Z124" s="454"/>
      <c r="AA124" s="470"/>
      <c r="AB124" s="523"/>
      <c r="AC124" s="523"/>
      <c r="AD124" s="523"/>
      <c r="AE124" s="470"/>
      <c r="AF124" s="523"/>
      <c r="AG124" s="523"/>
      <c r="AH124" s="523"/>
      <c r="AI124" s="470"/>
      <c r="AJ124" s="523"/>
      <c r="AK124" s="523"/>
      <c r="AL124" s="523"/>
      <c r="AM124" s="523"/>
      <c r="AN124" s="523"/>
      <c r="AO124" s="523"/>
      <c r="AP124" s="523"/>
      <c r="AQ124" s="470"/>
      <c r="AR124" s="523"/>
      <c r="AS124" s="523"/>
      <c r="AT124" s="523"/>
      <c r="AU124" s="470"/>
      <c r="AV124" s="523"/>
      <c r="AW124" s="523"/>
      <c r="AX124" s="523"/>
      <c r="AY124" s="470"/>
      <c r="AZ124" s="523"/>
      <c r="BA124" s="523"/>
      <c r="BB124" s="523"/>
      <c r="BC124" s="470"/>
      <c r="BD124" s="523"/>
      <c r="BE124" s="523"/>
      <c r="BF124" s="523"/>
      <c r="BG124" s="470"/>
      <c r="BH124" s="523"/>
      <c r="BI124" s="523"/>
      <c r="BJ124" s="523"/>
      <c r="BK124" s="470"/>
      <c r="BL124" s="523"/>
      <c r="BM124" s="523"/>
      <c r="BN124" s="523"/>
      <c r="BO124" s="470"/>
      <c r="BP124" s="523"/>
      <c r="BQ124" s="523"/>
      <c r="BR124" s="523"/>
      <c r="BS124" s="470"/>
      <c r="BT124" s="523"/>
      <c r="BU124" s="523"/>
      <c r="BV124" s="523"/>
      <c r="BW124" s="470"/>
      <c r="BX124" s="523"/>
      <c r="BY124" s="523"/>
      <c r="BZ124" s="523"/>
      <c r="CA124" s="470"/>
      <c r="CB124" s="523"/>
      <c r="CC124" s="523"/>
      <c r="CD124" s="523"/>
      <c r="CE124" s="470"/>
      <c r="CF124" s="523"/>
      <c r="CG124" s="523"/>
      <c r="CH124" s="523"/>
      <c r="CI124" s="470"/>
      <c r="CJ124" s="523"/>
      <c r="CK124" s="523"/>
      <c r="CL124" s="523"/>
      <c r="CM124" s="470"/>
      <c r="CN124" s="523"/>
      <c r="CO124" s="523"/>
      <c r="CP124" s="523"/>
      <c r="CQ124" s="470"/>
      <c r="CR124" s="523"/>
      <c r="CS124" s="523"/>
      <c r="CT124" s="523"/>
      <c r="CU124" s="470"/>
      <c r="CV124" s="523"/>
      <c r="CW124" s="523"/>
      <c r="CX124" s="523"/>
      <c r="CY124" s="470"/>
      <c r="CZ124" s="523"/>
      <c r="DA124" s="523"/>
      <c r="DB124" s="523"/>
      <c r="DC124" s="470"/>
      <c r="DD124" s="523"/>
      <c r="DE124" s="523"/>
      <c r="DF124" s="523"/>
      <c r="DG124" s="470"/>
      <c r="DH124" s="523"/>
      <c r="DI124" s="523"/>
      <c r="DJ124" s="523"/>
      <c r="DK124" s="470"/>
      <c r="DL124" s="523"/>
      <c r="DM124" s="523"/>
      <c r="DN124" s="523"/>
      <c r="DO124" s="470"/>
      <c r="DP124" s="523"/>
      <c r="DQ124" s="523"/>
      <c r="DR124" s="523"/>
      <c r="DS124" s="523"/>
      <c r="DT124" s="523"/>
      <c r="DU124" s="523"/>
      <c r="DV124" s="523"/>
      <c r="DW124" s="523"/>
      <c r="DX124" s="523"/>
      <c r="DY124" s="523"/>
      <c r="DZ124" s="523"/>
      <c r="EA124" s="523"/>
      <c r="EB124" s="523"/>
      <c r="EC124" s="523"/>
      <c r="ED124" s="523"/>
      <c r="EE124" s="523"/>
      <c r="EF124" s="523"/>
      <c r="EG124" s="523"/>
      <c r="EH124" s="523"/>
      <c r="EI124" s="523"/>
      <c r="EJ124" s="523"/>
      <c r="EK124" s="523"/>
      <c r="EL124" s="523"/>
      <c r="EM124" s="470"/>
      <c r="EN124" s="470"/>
      <c r="EO124" s="470"/>
      <c r="EP124" s="470"/>
      <c r="EQ124" s="470"/>
      <c r="ER124" s="470"/>
      <c r="ES124" s="470"/>
      <c r="ET124" s="470"/>
      <c r="EU124" s="470"/>
      <c r="EV124" s="470"/>
      <c r="EW124" s="470"/>
      <c r="EX124" s="470"/>
      <c r="EY124" s="470"/>
      <c r="EZ124" s="470"/>
      <c r="FA124" s="470"/>
      <c r="FB124" s="470"/>
      <c r="FC124" s="470"/>
      <c r="FD124" s="470"/>
      <c r="FE124" s="470"/>
      <c r="FF124" s="470"/>
      <c r="FG124" s="470"/>
      <c r="FH124" s="470"/>
      <c r="FI124" s="470"/>
      <c r="FJ124" s="470"/>
      <c r="FK124" s="470"/>
      <c r="FL124" s="470"/>
      <c r="FM124" s="470"/>
      <c r="FN124" s="470"/>
      <c r="FO124" s="470"/>
      <c r="FP124" s="470"/>
      <c r="FQ124" s="470"/>
      <c r="FR124" s="470"/>
      <c r="FS124" s="470"/>
      <c r="FT124" s="470"/>
      <c r="FU124" s="470"/>
      <c r="FV124" s="470"/>
      <c r="FW124" s="470"/>
      <c r="FX124" s="470"/>
      <c r="FY124" s="470"/>
      <c r="FZ124" s="470"/>
      <c r="GA124" s="470"/>
      <c r="GB124" s="470"/>
      <c r="GC124" s="470"/>
      <c r="GD124" s="470"/>
      <c r="GE124" s="470"/>
      <c r="GF124" s="470"/>
      <c r="GG124" s="470"/>
      <c r="GH124" s="470"/>
      <c r="GI124" s="470"/>
      <c r="GJ124" s="470"/>
      <c r="GK124" s="470"/>
      <c r="GL124" s="470"/>
      <c r="GM124" s="470"/>
      <c r="GN124" s="470"/>
      <c r="GO124" s="470"/>
      <c r="GP124" s="470"/>
      <c r="GQ124" s="470"/>
      <c r="GR124" s="470"/>
      <c r="GS124" s="470"/>
      <c r="GT124" s="470"/>
      <c r="GU124" s="470"/>
      <c r="GV124" s="523"/>
      <c r="GW124" s="523"/>
      <c r="GX124" s="523"/>
      <c r="GY124" s="470"/>
      <c r="GZ124" s="523"/>
      <c r="HA124" s="523"/>
      <c r="HB124" s="523"/>
      <c r="HC124" s="523"/>
      <c r="HD124" s="523"/>
      <c r="HE124" s="523"/>
      <c r="HF124" s="523"/>
      <c r="HG124" s="523"/>
      <c r="HH124" s="523"/>
      <c r="HI124" s="523"/>
      <c r="HJ124" s="523"/>
      <c r="HK124" s="523"/>
      <c r="HL124" s="523"/>
      <c r="HM124" s="523"/>
      <c r="HN124" s="523"/>
      <c r="HO124" s="523"/>
      <c r="HP124" s="523"/>
      <c r="HQ124" s="523"/>
      <c r="HR124" s="523"/>
      <c r="HS124" s="523"/>
    </row>
    <row r="125" spans="1:227" x14ac:dyDescent="0.25">
      <c r="A125" s="107">
        <v>48</v>
      </c>
      <c r="B125" s="518" t="s">
        <v>633</v>
      </c>
      <c r="C125" s="518"/>
      <c r="D125" s="465">
        <v>0</v>
      </c>
      <c r="E125" s="465">
        <v>0</v>
      </c>
      <c r="F125" s="612">
        <f t="shared" si="146"/>
        <v>0</v>
      </c>
      <c r="G125" s="616"/>
      <c r="H125" s="583">
        <v>1650000</v>
      </c>
      <c r="I125" s="498">
        <v>1500000</v>
      </c>
      <c r="J125" s="614">
        <f t="shared" si="147"/>
        <v>150000</v>
      </c>
      <c r="K125" s="616"/>
      <c r="L125" s="498">
        <v>1770000</v>
      </c>
      <c r="M125" s="498">
        <v>0</v>
      </c>
      <c r="N125" s="614">
        <f t="shared" si="148"/>
        <v>1770000</v>
      </c>
      <c r="O125" s="616"/>
      <c r="P125" s="461">
        <v>3000000</v>
      </c>
      <c r="Q125" s="498">
        <v>0</v>
      </c>
      <c r="R125" s="614">
        <f t="shared" si="149"/>
        <v>3000000</v>
      </c>
      <c r="S125" s="616"/>
      <c r="T125" s="465">
        <v>6420000</v>
      </c>
      <c r="U125" s="465">
        <v>1500000</v>
      </c>
      <c r="V125" s="611">
        <f t="shared" si="150"/>
        <v>4920000</v>
      </c>
      <c r="X125" s="465">
        <v>0</v>
      </c>
      <c r="Y125" s="465">
        <v>1500000</v>
      </c>
      <c r="Z125" s="454"/>
      <c r="AA125" s="470"/>
      <c r="AB125" s="523"/>
      <c r="AC125" s="523"/>
      <c r="AD125" s="523"/>
      <c r="AE125" s="470"/>
      <c r="AF125" s="523"/>
      <c r="AG125" s="523"/>
      <c r="AH125" s="523"/>
      <c r="AI125" s="470"/>
      <c r="AJ125" s="523"/>
      <c r="AK125" s="523"/>
      <c r="AL125" s="523"/>
      <c r="AM125" s="523"/>
      <c r="AN125" s="523"/>
      <c r="AO125" s="523"/>
      <c r="AP125" s="523"/>
      <c r="AQ125" s="470"/>
      <c r="AR125" s="523"/>
      <c r="AS125" s="523"/>
      <c r="AT125" s="523"/>
      <c r="AU125" s="470"/>
      <c r="AV125" s="523"/>
      <c r="AW125" s="523"/>
      <c r="AX125" s="523"/>
      <c r="AY125" s="470"/>
      <c r="AZ125" s="523"/>
      <c r="BA125" s="523"/>
      <c r="BB125" s="523"/>
      <c r="BC125" s="470"/>
      <c r="BD125" s="523"/>
      <c r="BE125" s="523"/>
      <c r="BF125" s="523"/>
      <c r="BG125" s="470"/>
      <c r="BH125" s="523"/>
      <c r="BI125" s="523"/>
      <c r="BJ125" s="523"/>
      <c r="BK125" s="470"/>
      <c r="BL125" s="523"/>
      <c r="BM125" s="523"/>
      <c r="BN125" s="523"/>
      <c r="BO125" s="470"/>
      <c r="BP125" s="523"/>
      <c r="BQ125" s="523"/>
      <c r="BR125" s="523"/>
      <c r="BS125" s="470"/>
      <c r="BT125" s="523"/>
      <c r="BU125" s="523"/>
      <c r="BV125" s="523"/>
      <c r="BW125" s="470"/>
      <c r="BX125" s="523"/>
      <c r="BY125" s="523"/>
      <c r="BZ125" s="523"/>
      <c r="CA125" s="470"/>
      <c r="CB125" s="523"/>
      <c r="CC125" s="523"/>
      <c r="CD125" s="523"/>
      <c r="CE125" s="470"/>
      <c r="CF125" s="523"/>
      <c r="CG125" s="523"/>
      <c r="CH125" s="523"/>
      <c r="CI125" s="470"/>
      <c r="CJ125" s="523"/>
      <c r="CK125" s="523"/>
      <c r="CL125" s="523"/>
      <c r="CM125" s="470"/>
      <c r="CN125" s="523"/>
      <c r="CO125" s="523"/>
      <c r="CP125" s="523"/>
      <c r="CQ125" s="470"/>
      <c r="CR125" s="523"/>
      <c r="CS125" s="523"/>
      <c r="CT125" s="523"/>
      <c r="CU125" s="470"/>
      <c r="CV125" s="523"/>
      <c r="CW125" s="523"/>
      <c r="CX125" s="523"/>
      <c r="CY125" s="470"/>
      <c r="CZ125" s="523"/>
      <c r="DA125" s="523"/>
      <c r="DB125" s="523"/>
      <c r="DC125" s="470"/>
      <c r="DD125" s="523"/>
      <c r="DE125" s="523"/>
      <c r="DF125" s="523"/>
      <c r="DG125" s="470"/>
      <c r="DH125" s="523"/>
      <c r="DI125" s="523"/>
      <c r="DJ125" s="523"/>
      <c r="DK125" s="470"/>
      <c r="DL125" s="523"/>
      <c r="DM125" s="523"/>
      <c r="DN125" s="523"/>
      <c r="DO125" s="470"/>
      <c r="DP125" s="523"/>
      <c r="DQ125" s="523"/>
      <c r="DR125" s="523"/>
      <c r="DS125" s="523"/>
      <c r="DT125" s="523"/>
      <c r="DU125" s="523"/>
      <c r="DV125" s="523"/>
      <c r="DW125" s="523"/>
      <c r="DX125" s="523"/>
      <c r="DY125" s="523"/>
      <c r="DZ125" s="523"/>
      <c r="EA125" s="523"/>
      <c r="EB125" s="523"/>
      <c r="EC125" s="523"/>
      <c r="ED125" s="523"/>
      <c r="EE125" s="523"/>
      <c r="EF125" s="523"/>
      <c r="EG125" s="523"/>
      <c r="EH125" s="523"/>
      <c r="EI125" s="523"/>
      <c r="EJ125" s="523"/>
      <c r="EK125" s="523"/>
      <c r="EL125" s="523"/>
      <c r="EM125" s="470"/>
      <c r="EN125" s="470"/>
      <c r="EO125" s="470"/>
      <c r="EP125" s="470"/>
      <c r="EQ125" s="470"/>
      <c r="ER125" s="470"/>
      <c r="ES125" s="470"/>
      <c r="ET125" s="470"/>
      <c r="EU125" s="470"/>
      <c r="EV125" s="470"/>
      <c r="EW125" s="470"/>
      <c r="EX125" s="470"/>
      <c r="EY125" s="470"/>
      <c r="EZ125" s="470"/>
      <c r="FA125" s="470"/>
      <c r="FB125" s="470"/>
      <c r="FC125" s="470"/>
      <c r="FD125" s="470"/>
      <c r="FE125" s="470"/>
      <c r="FF125" s="470"/>
      <c r="FG125" s="470"/>
      <c r="FH125" s="470"/>
      <c r="FI125" s="470"/>
      <c r="FJ125" s="470"/>
      <c r="FK125" s="470"/>
      <c r="FL125" s="470"/>
      <c r="FM125" s="470"/>
      <c r="FN125" s="470"/>
      <c r="FO125" s="470"/>
      <c r="FP125" s="470"/>
      <c r="FQ125" s="470"/>
      <c r="FR125" s="470"/>
      <c r="FS125" s="470"/>
      <c r="FT125" s="470"/>
      <c r="FU125" s="470"/>
      <c r="FV125" s="470"/>
      <c r="FW125" s="470"/>
      <c r="FX125" s="470"/>
      <c r="FY125" s="470"/>
      <c r="FZ125" s="470"/>
      <c r="GA125" s="470"/>
      <c r="GB125" s="470"/>
      <c r="GC125" s="470"/>
      <c r="GD125" s="470"/>
      <c r="GE125" s="470"/>
      <c r="GF125" s="470"/>
      <c r="GG125" s="470"/>
      <c r="GH125" s="470"/>
      <c r="GI125" s="470"/>
      <c r="GJ125" s="470"/>
      <c r="GK125" s="470"/>
      <c r="GL125" s="470"/>
      <c r="GM125" s="470"/>
      <c r="GN125" s="470"/>
      <c r="GO125" s="470"/>
      <c r="GP125" s="470"/>
      <c r="GQ125" s="470"/>
      <c r="GR125" s="470"/>
      <c r="GS125" s="470"/>
      <c r="GT125" s="470"/>
      <c r="GU125" s="470"/>
      <c r="GV125" s="523"/>
      <c r="GW125" s="523"/>
      <c r="GX125" s="523"/>
      <c r="GY125" s="470"/>
      <c r="GZ125" s="523"/>
      <c r="HA125" s="523"/>
      <c r="HB125" s="523"/>
      <c r="HC125" s="523"/>
      <c r="HD125" s="523"/>
      <c r="HE125" s="523"/>
      <c r="HF125" s="523"/>
      <c r="HG125" s="523"/>
      <c r="HH125" s="523"/>
      <c r="HI125" s="523"/>
      <c r="HJ125" s="523"/>
      <c r="HK125" s="523"/>
      <c r="HL125" s="523"/>
      <c r="HM125" s="523"/>
      <c r="HN125" s="523"/>
      <c r="HO125" s="523"/>
      <c r="HP125" s="523"/>
      <c r="HQ125" s="523"/>
      <c r="HR125" s="523"/>
      <c r="HS125" s="523"/>
    </row>
    <row r="126" spans="1:227" x14ac:dyDescent="0.25">
      <c r="A126" s="107">
        <v>49</v>
      </c>
      <c r="B126" s="518" t="s">
        <v>634</v>
      </c>
      <c r="C126" s="518"/>
      <c r="D126" s="465">
        <v>0</v>
      </c>
      <c r="E126" s="465">
        <v>0</v>
      </c>
      <c r="F126" s="612">
        <f t="shared" si="146"/>
        <v>0</v>
      </c>
      <c r="G126" s="616"/>
      <c r="H126" s="583">
        <v>1650000</v>
      </c>
      <c r="I126" s="498">
        <v>1650000</v>
      </c>
      <c r="J126" s="614">
        <f t="shared" si="147"/>
        <v>0</v>
      </c>
      <c r="K126" s="616"/>
      <c r="L126" s="498">
        <v>1770000</v>
      </c>
      <c r="M126" s="498">
        <v>1770000</v>
      </c>
      <c r="N126" s="614">
        <f t="shared" si="148"/>
        <v>0</v>
      </c>
      <c r="O126" s="616"/>
      <c r="P126" s="461">
        <v>3000000</v>
      </c>
      <c r="Q126" s="498">
        <v>3000000</v>
      </c>
      <c r="R126" s="614">
        <f t="shared" si="149"/>
        <v>0</v>
      </c>
      <c r="S126" s="616"/>
      <c r="T126" s="465">
        <v>6420000</v>
      </c>
      <c r="U126" s="465">
        <v>6420000</v>
      </c>
      <c r="V126" s="611">
        <f t="shared" si="150"/>
        <v>0</v>
      </c>
      <c r="X126" s="465">
        <v>0</v>
      </c>
      <c r="Y126" s="465">
        <v>6420000</v>
      </c>
      <c r="Z126" s="454"/>
      <c r="AA126" s="470"/>
      <c r="AB126" s="523"/>
      <c r="AC126" s="523"/>
      <c r="AD126" s="523"/>
      <c r="AE126" s="470"/>
      <c r="AF126" s="523"/>
      <c r="AG126" s="523"/>
      <c r="AH126" s="523"/>
      <c r="AI126" s="470"/>
      <c r="AJ126" s="523"/>
      <c r="AK126" s="523"/>
      <c r="AL126" s="523"/>
      <c r="AM126" s="523"/>
      <c r="AN126" s="523"/>
      <c r="AO126" s="523"/>
      <c r="AP126" s="523"/>
      <c r="AQ126" s="470"/>
      <c r="AR126" s="523"/>
      <c r="AS126" s="523"/>
      <c r="AT126" s="523"/>
      <c r="AU126" s="470"/>
      <c r="AV126" s="523"/>
      <c r="AW126" s="523"/>
      <c r="AX126" s="523"/>
      <c r="AY126" s="470"/>
      <c r="AZ126" s="523"/>
      <c r="BA126" s="523"/>
      <c r="BB126" s="523"/>
      <c r="BC126" s="470"/>
      <c r="BD126" s="523"/>
      <c r="BE126" s="523"/>
      <c r="BF126" s="523"/>
      <c r="BG126" s="470"/>
      <c r="BH126" s="523"/>
      <c r="BI126" s="523"/>
      <c r="BJ126" s="523"/>
      <c r="BK126" s="470"/>
      <c r="BL126" s="523"/>
      <c r="BM126" s="523"/>
      <c r="BN126" s="523"/>
      <c r="BO126" s="470"/>
      <c r="BP126" s="523"/>
      <c r="BQ126" s="523"/>
      <c r="BR126" s="523"/>
      <c r="BS126" s="470"/>
      <c r="BT126" s="523"/>
      <c r="BU126" s="523"/>
      <c r="BV126" s="523"/>
      <c r="BW126" s="470"/>
      <c r="BX126" s="523"/>
      <c r="BY126" s="523"/>
      <c r="BZ126" s="523"/>
      <c r="CA126" s="470"/>
      <c r="CB126" s="523"/>
      <c r="CC126" s="523"/>
      <c r="CD126" s="523"/>
      <c r="CE126" s="470"/>
      <c r="CF126" s="523"/>
      <c r="CG126" s="523"/>
      <c r="CH126" s="523"/>
      <c r="CI126" s="470"/>
      <c r="CJ126" s="523"/>
      <c r="CK126" s="523"/>
      <c r="CL126" s="523"/>
      <c r="CM126" s="470"/>
      <c r="CN126" s="523"/>
      <c r="CO126" s="523"/>
      <c r="CP126" s="523"/>
      <c r="CQ126" s="470"/>
      <c r="CR126" s="523"/>
      <c r="CS126" s="523"/>
      <c r="CT126" s="523"/>
      <c r="CU126" s="470"/>
      <c r="CV126" s="523"/>
      <c r="CW126" s="523"/>
      <c r="CX126" s="523"/>
      <c r="CY126" s="470"/>
      <c r="CZ126" s="523"/>
      <c r="DA126" s="523"/>
      <c r="DB126" s="523"/>
      <c r="DC126" s="470"/>
      <c r="DD126" s="523"/>
      <c r="DE126" s="523"/>
      <c r="DF126" s="523"/>
      <c r="DG126" s="470"/>
      <c r="DH126" s="523"/>
      <c r="DI126" s="523"/>
      <c r="DJ126" s="523"/>
      <c r="DK126" s="470"/>
      <c r="DL126" s="523"/>
      <c r="DM126" s="523"/>
      <c r="DN126" s="523"/>
      <c r="DO126" s="470"/>
      <c r="DP126" s="523"/>
      <c r="DQ126" s="523"/>
      <c r="DR126" s="523"/>
      <c r="DS126" s="523"/>
      <c r="DT126" s="523"/>
      <c r="DU126" s="523"/>
      <c r="DV126" s="523"/>
      <c r="DW126" s="523"/>
      <c r="DX126" s="523"/>
      <c r="DY126" s="523"/>
      <c r="DZ126" s="523"/>
      <c r="EA126" s="523"/>
      <c r="EB126" s="523"/>
      <c r="EC126" s="523"/>
      <c r="ED126" s="523"/>
      <c r="EE126" s="523"/>
      <c r="EF126" s="523"/>
      <c r="EG126" s="523"/>
      <c r="EH126" s="523"/>
      <c r="EI126" s="523"/>
      <c r="EJ126" s="523"/>
      <c r="EK126" s="523"/>
      <c r="EL126" s="523"/>
      <c r="EM126" s="470"/>
      <c r="EN126" s="470"/>
      <c r="EO126" s="470"/>
      <c r="EP126" s="470"/>
      <c r="EQ126" s="470"/>
      <c r="ER126" s="470"/>
      <c r="ES126" s="470"/>
      <c r="ET126" s="470"/>
      <c r="EU126" s="470"/>
      <c r="EV126" s="470"/>
      <c r="EW126" s="470"/>
      <c r="EX126" s="470"/>
      <c r="EY126" s="470"/>
      <c r="EZ126" s="470"/>
      <c r="FA126" s="470"/>
      <c r="FB126" s="470"/>
      <c r="FC126" s="470"/>
      <c r="FD126" s="470"/>
      <c r="FE126" s="470"/>
      <c r="FF126" s="470"/>
      <c r="FG126" s="470"/>
      <c r="FH126" s="470"/>
      <c r="FI126" s="470"/>
      <c r="FJ126" s="470"/>
      <c r="FK126" s="470"/>
      <c r="FL126" s="470"/>
      <c r="FM126" s="470"/>
      <c r="FN126" s="470"/>
      <c r="FO126" s="470"/>
      <c r="FP126" s="470"/>
      <c r="FQ126" s="470"/>
      <c r="FR126" s="470"/>
      <c r="FS126" s="470"/>
      <c r="FT126" s="470"/>
      <c r="FU126" s="470"/>
      <c r="FV126" s="470"/>
      <c r="FW126" s="470"/>
      <c r="FX126" s="470"/>
      <c r="FY126" s="470"/>
      <c r="FZ126" s="470"/>
      <c r="GA126" s="470"/>
      <c r="GB126" s="470"/>
      <c r="GC126" s="470"/>
      <c r="GD126" s="470"/>
      <c r="GE126" s="470"/>
      <c r="GF126" s="470"/>
      <c r="GG126" s="470"/>
      <c r="GH126" s="470"/>
      <c r="GI126" s="470"/>
      <c r="GJ126" s="470"/>
      <c r="GK126" s="470"/>
      <c r="GL126" s="470"/>
      <c r="GM126" s="470"/>
      <c r="GN126" s="470"/>
      <c r="GO126" s="470"/>
      <c r="GP126" s="470"/>
      <c r="GQ126" s="470"/>
      <c r="GR126" s="470"/>
      <c r="GS126" s="470"/>
      <c r="GT126" s="470"/>
      <c r="GU126" s="470"/>
      <c r="GV126" s="523"/>
      <c r="GW126" s="523"/>
      <c r="GX126" s="523"/>
      <c r="GY126" s="470"/>
      <c r="GZ126" s="523"/>
      <c r="HA126" s="523"/>
      <c r="HB126" s="523"/>
      <c r="HC126" s="523"/>
      <c r="HD126" s="523"/>
      <c r="HE126" s="523"/>
      <c r="HF126" s="523"/>
      <c r="HG126" s="523"/>
      <c r="HH126" s="523"/>
      <c r="HI126" s="523"/>
      <c r="HJ126" s="523"/>
      <c r="HK126" s="523"/>
      <c r="HL126" s="523"/>
      <c r="HM126" s="523"/>
      <c r="HN126" s="523"/>
      <c r="HO126" s="523"/>
      <c r="HP126" s="523"/>
      <c r="HQ126" s="523"/>
      <c r="HR126" s="523"/>
      <c r="HS126" s="523"/>
    </row>
    <row r="127" spans="1:227" x14ac:dyDescent="0.25">
      <c r="A127" s="107">
        <v>50</v>
      </c>
      <c r="B127" s="518" t="s">
        <v>635</v>
      </c>
      <c r="C127" s="518"/>
      <c r="D127" s="465">
        <v>0</v>
      </c>
      <c r="E127" s="465">
        <v>0</v>
      </c>
      <c r="F127" s="612">
        <f t="shared" si="146"/>
        <v>0</v>
      </c>
      <c r="G127" s="616"/>
      <c r="H127" s="583">
        <v>1650000</v>
      </c>
      <c r="I127" s="461">
        <v>1000000</v>
      </c>
      <c r="J127" s="614">
        <f t="shared" si="147"/>
        <v>650000</v>
      </c>
      <c r="K127" s="616"/>
      <c r="L127" s="498">
        <v>1770000</v>
      </c>
      <c r="M127" s="498">
        <v>1770000</v>
      </c>
      <c r="N127" s="614">
        <f t="shared" si="148"/>
        <v>0</v>
      </c>
      <c r="O127" s="616"/>
      <c r="P127" s="461">
        <v>3000000</v>
      </c>
      <c r="Q127" s="498">
        <v>3000000</v>
      </c>
      <c r="R127" s="614">
        <f t="shared" si="149"/>
        <v>0</v>
      </c>
      <c r="S127" s="616"/>
      <c r="T127" s="465">
        <v>6420000</v>
      </c>
      <c r="U127" s="465">
        <v>5770000</v>
      </c>
      <c r="V127" s="611">
        <f t="shared" si="150"/>
        <v>650000</v>
      </c>
      <c r="X127" s="465">
        <v>0</v>
      </c>
      <c r="Y127" s="465">
        <v>5770000</v>
      </c>
      <c r="Z127" s="454"/>
      <c r="AA127" s="470"/>
      <c r="AB127" s="523"/>
      <c r="AC127" s="523"/>
      <c r="AD127" s="523"/>
      <c r="AE127" s="470"/>
      <c r="AF127" s="523"/>
      <c r="AG127" s="523"/>
      <c r="AH127" s="523"/>
      <c r="AI127" s="470"/>
      <c r="AJ127" s="523"/>
      <c r="AK127" s="523"/>
      <c r="AL127" s="523"/>
      <c r="AM127" s="523"/>
      <c r="AN127" s="523"/>
      <c r="AO127" s="523"/>
      <c r="AP127" s="523"/>
      <c r="AQ127" s="470"/>
      <c r="AR127" s="523"/>
      <c r="AS127" s="523"/>
      <c r="AT127" s="523"/>
      <c r="AU127" s="470"/>
      <c r="AV127" s="523"/>
      <c r="AW127" s="523"/>
      <c r="AX127" s="523"/>
      <c r="AY127" s="470"/>
      <c r="AZ127" s="523"/>
      <c r="BA127" s="523"/>
      <c r="BB127" s="523"/>
      <c r="BC127" s="470"/>
      <c r="BD127" s="523"/>
      <c r="BE127" s="523"/>
      <c r="BF127" s="523"/>
      <c r="BG127" s="470"/>
      <c r="BH127" s="523"/>
      <c r="BI127" s="523"/>
      <c r="BJ127" s="523"/>
      <c r="BK127" s="470"/>
      <c r="BL127" s="523"/>
      <c r="BM127" s="523"/>
      <c r="BN127" s="523"/>
      <c r="BO127" s="470"/>
      <c r="BP127" s="523"/>
      <c r="BQ127" s="523"/>
      <c r="BR127" s="523"/>
      <c r="BS127" s="470"/>
      <c r="BT127" s="523"/>
      <c r="BU127" s="523"/>
      <c r="BV127" s="523"/>
      <c r="BW127" s="470"/>
      <c r="BX127" s="523"/>
      <c r="BY127" s="523"/>
      <c r="BZ127" s="523"/>
      <c r="CA127" s="470"/>
      <c r="CB127" s="523"/>
      <c r="CC127" s="523"/>
      <c r="CD127" s="523"/>
      <c r="CE127" s="470"/>
      <c r="CF127" s="523"/>
      <c r="CG127" s="523"/>
      <c r="CH127" s="523"/>
      <c r="CI127" s="470"/>
      <c r="CJ127" s="523"/>
      <c r="CK127" s="523"/>
      <c r="CL127" s="523"/>
      <c r="CM127" s="470"/>
      <c r="CN127" s="523"/>
      <c r="CO127" s="523"/>
      <c r="CP127" s="523"/>
      <c r="CQ127" s="470"/>
      <c r="CR127" s="523"/>
      <c r="CS127" s="523"/>
      <c r="CT127" s="523"/>
      <c r="CU127" s="470"/>
      <c r="CV127" s="523"/>
      <c r="CW127" s="523"/>
      <c r="CX127" s="523"/>
      <c r="CY127" s="470"/>
      <c r="CZ127" s="523"/>
      <c r="DA127" s="523"/>
      <c r="DB127" s="523"/>
      <c r="DC127" s="470"/>
      <c r="DD127" s="523"/>
      <c r="DE127" s="523"/>
      <c r="DF127" s="523"/>
      <c r="DG127" s="470"/>
      <c r="DH127" s="523"/>
      <c r="DI127" s="523"/>
      <c r="DJ127" s="523"/>
      <c r="DK127" s="470"/>
      <c r="DL127" s="523"/>
      <c r="DM127" s="523"/>
      <c r="DN127" s="523"/>
      <c r="DO127" s="470"/>
      <c r="DP127" s="523"/>
      <c r="DQ127" s="523"/>
      <c r="DR127" s="523"/>
      <c r="DS127" s="523"/>
      <c r="DT127" s="523"/>
      <c r="DU127" s="523"/>
      <c r="DV127" s="523"/>
      <c r="DW127" s="523"/>
      <c r="DX127" s="523"/>
      <c r="DY127" s="523"/>
      <c r="DZ127" s="523"/>
      <c r="EA127" s="523"/>
      <c r="EB127" s="523"/>
      <c r="EC127" s="523"/>
      <c r="ED127" s="523"/>
      <c r="EE127" s="523"/>
      <c r="EF127" s="523"/>
      <c r="EG127" s="523"/>
      <c r="EH127" s="523"/>
      <c r="EI127" s="523"/>
      <c r="EJ127" s="523"/>
      <c r="EK127" s="523"/>
      <c r="EL127" s="523"/>
      <c r="EM127" s="470"/>
      <c r="EN127" s="470"/>
      <c r="EO127" s="470"/>
      <c r="EP127" s="470"/>
      <c r="EQ127" s="470"/>
      <c r="ER127" s="470"/>
      <c r="ES127" s="470"/>
      <c r="ET127" s="470"/>
      <c r="EU127" s="470"/>
      <c r="EV127" s="470"/>
      <c r="EW127" s="470"/>
      <c r="EX127" s="470"/>
      <c r="EY127" s="470"/>
      <c r="EZ127" s="470"/>
      <c r="FA127" s="470"/>
      <c r="FB127" s="470"/>
      <c r="FC127" s="470"/>
      <c r="FD127" s="470"/>
      <c r="FE127" s="470"/>
      <c r="FF127" s="470"/>
      <c r="FG127" s="470"/>
      <c r="FH127" s="470"/>
      <c r="FI127" s="470"/>
      <c r="FJ127" s="470"/>
      <c r="FK127" s="470"/>
      <c r="FL127" s="470"/>
      <c r="FM127" s="470"/>
      <c r="FN127" s="470"/>
      <c r="FO127" s="470"/>
      <c r="FP127" s="470"/>
      <c r="FQ127" s="470"/>
      <c r="FR127" s="470"/>
      <c r="FS127" s="470"/>
      <c r="FT127" s="470"/>
      <c r="FU127" s="470"/>
      <c r="FV127" s="470"/>
      <c r="FW127" s="470"/>
      <c r="FX127" s="470"/>
      <c r="FY127" s="470"/>
      <c r="FZ127" s="470"/>
      <c r="GA127" s="470"/>
      <c r="GB127" s="470"/>
      <c r="GC127" s="470"/>
      <c r="GD127" s="470"/>
      <c r="GE127" s="470"/>
      <c r="GF127" s="470"/>
      <c r="GG127" s="470"/>
      <c r="GH127" s="470"/>
      <c r="GI127" s="470"/>
      <c r="GJ127" s="470"/>
      <c r="GK127" s="470"/>
      <c r="GL127" s="470"/>
      <c r="GM127" s="470"/>
      <c r="GN127" s="470"/>
      <c r="GO127" s="470"/>
      <c r="GP127" s="470"/>
      <c r="GQ127" s="470"/>
      <c r="GR127" s="470"/>
      <c r="GS127" s="470"/>
      <c r="GT127" s="470"/>
      <c r="GU127" s="470"/>
      <c r="GV127" s="523"/>
      <c r="GW127" s="523"/>
      <c r="GX127" s="523"/>
      <c r="GY127" s="470"/>
      <c r="GZ127" s="523"/>
      <c r="HA127" s="523"/>
      <c r="HB127" s="523"/>
      <c r="HC127" s="523"/>
      <c r="HD127" s="523"/>
      <c r="HE127" s="523"/>
      <c r="HF127" s="523"/>
      <c r="HG127" s="523"/>
      <c r="HH127" s="523"/>
      <c r="HI127" s="523"/>
      <c r="HJ127" s="523"/>
      <c r="HK127" s="523"/>
      <c r="HL127" s="523"/>
      <c r="HM127" s="523"/>
      <c r="HN127" s="523"/>
      <c r="HO127" s="523"/>
      <c r="HP127" s="523"/>
      <c r="HQ127" s="523"/>
      <c r="HR127" s="523"/>
      <c r="HS127" s="523"/>
    </row>
    <row r="128" spans="1:227" x14ac:dyDescent="0.25">
      <c r="A128" s="107">
        <v>51</v>
      </c>
      <c r="B128" s="518" t="s">
        <v>636</v>
      </c>
      <c r="C128" s="518"/>
      <c r="D128" s="465">
        <v>0</v>
      </c>
      <c r="E128" s="465">
        <v>0</v>
      </c>
      <c r="F128" s="612">
        <f t="shared" si="146"/>
        <v>0</v>
      </c>
      <c r="G128" s="616"/>
      <c r="H128" s="583">
        <v>1650000</v>
      </c>
      <c r="I128" s="498">
        <v>500000</v>
      </c>
      <c r="J128" s="614">
        <f t="shared" si="147"/>
        <v>1150000</v>
      </c>
      <c r="K128" s="616"/>
      <c r="L128" s="498">
        <v>1770000</v>
      </c>
      <c r="M128" s="498">
        <v>0</v>
      </c>
      <c r="N128" s="614">
        <f t="shared" si="148"/>
        <v>1770000</v>
      </c>
      <c r="O128" s="616"/>
      <c r="P128" s="461">
        <v>3000000</v>
      </c>
      <c r="Q128" s="498">
        <v>0</v>
      </c>
      <c r="R128" s="614">
        <f t="shared" si="149"/>
        <v>3000000</v>
      </c>
      <c r="S128" s="616"/>
      <c r="T128" s="465">
        <v>6420000</v>
      </c>
      <c r="U128" s="465">
        <v>500000</v>
      </c>
      <c r="V128" s="611">
        <f t="shared" si="150"/>
        <v>5920000</v>
      </c>
      <c r="X128" s="465">
        <v>0</v>
      </c>
      <c r="Y128" s="465">
        <v>500000</v>
      </c>
      <c r="Z128" s="454"/>
      <c r="AA128" s="470"/>
      <c r="AB128" s="523"/>
      <c r="AC128" s="523"/>
      <c r="AD128" s="523"/>
      <c r="AE128" s="470"/>
      <c r="AF128" s="523"/>
      <c r="AG128" s="523"/>
      <c r="AH128" s="523"/>
      <c r="AI128" s="470"/>
      <c r="AJ128" s="523"/>
      <c r="AK128" s="523"/>
      <c r="AL128" s="523"/>
      <c r="AM128" s="523"/>
      <c r="AN128" s="523"/>
      <c r="AO128" s="523"/>
      <c r="AP128" s="523"/>
      <c r="AQ128" s="470"/>
      <c r="AR128" s="523"/>
      <c r="AS128" s="523"/>
      <c r="AT128" s="523"/>
      <c r="AU128" s="470"/>
      <c r="AV128" s="523"/>
      <c r="AW128" s="523"/>
      <c r="AX128" s="523"/>
      <c r="AY128" s="470"/>
      <c r="AZ128" s="523"/>
      <c r="BA128" s="523"/>
      <c r="BB128" s="523"/>
      <c r="BC128" s="470"/>
      <c r="BD128" s="523"/>
      <c r="BE128" s="523"/>
      <c r="BF128" s="523"/>
      <c r="BG128" s="470"/>
      <c r="BH128" s="523"/>
      <c r="BI128" s="523"/>
      <c r="BJ128" s="523"/>
      <c r="BK128" s="470"/>
      <c r="BL128" s="523"/>
      <c r="BM128" s="523"/>
      <c r="BN128" s="523"/>
      <c r="BO128" s="470"/>
      <c r="BP128" s="523"/>
      <c r="BQ128" s="523"/>
      <c r="BR128" s="523"/>
      <c r="BS128" s="470"/>
      <c r="BT128" s="523"/>
      <c r="BU128" s="523"/>
      <c r="BV128" s="523"/>
      <c r="BW128" s="470"/>
      <c r="BX128" s="523"/>
      <c r="BY128" s="523"/>
      <c r="BZ128" s="523"/>
      <c r="CA128" s="470"/>
      <c r="CB128" s="523"/>
      <c r="CC128" s="523"/>
      <c r="CD128" s="523"/>
      <c r="CE128" s="470"/>
      <c r="CF128" s="523"/>
      <c r="CG128" s="523"/>
      <c r="CH128" s="523"/>
      <c r="CI128" s="470"/>
      <c r="CJ128" s="523"/>
      <c r="CK128" s="523"/>
      <c r="CL128" s="523"/>
      <c r="CM128" s="470"/>
      <c r="CN128" s="523"/>
      <c r="CO128" s="523"/>
      <c r="CP128" s="523"/>
      <c r="CQ128" s="470"/>
      <c r="CR128" s="523"/>
      <c r="CS128" s="523"/>
      <c r="CT128" s="523"/>
      <c r="CU128" s="470"/>
      <c r="CV128" s="523"/>
      <c r="CW128" s="523"/>
      <c r="CX128" s="523"/>
      <c r="CY128" s="470"/>
      <c r="CZ128" s="523"/>
      <c r="DA128" s="523"/>
      <c r="DB128" s="523"/>
      <c r="DC128" s="470"/>
      <c r="DD128" s="523"/>
      <c r="DE128" s="523"/>
      <c r="DF128" s="523"/>
      <c r="DG128" s="470"/>
      <c r="DH128" s="523"/>
      <c r="DI128" s="523"/>
      <c r="DJ128" s="523"/>
      <c r="DK128" s="470"/>
      <c r="DL128" s="523"/>
      <c r="DM128" s="523"/>
      <c r="DN128" s="523"/>
      <c r="DO128" s="470"/>
      <c r="DP128" s="523"/>
      <c r="DQ128" s="523"/>
      <c r="DR128" s="523"/>
      <c r="DS128" s="523"/>
      <c r="DT128" s="523"/>
      <c r="DU128" s="523"/>
      <c r="DV128" s="523"/>
      <c r="DW128" s="523"/>
      <c r="DX128" s="523"/>
      <c r="DY128" s="523"/>
      <c r="DZ128" s="523"/>
      <c r="EA128" s="523"/>
      <c r="EB128" s="523"/>
      <c r="EC128" s="523"/>
      <c r="ED128" s="523"/>
      <c r="EE128" s="523"/>
      <c r="EF128" s="523"/>
      <c r="EG128" s="523"/>
      <c r="EH128" s="523"/>
      <c r="EI128" s="523"/>
      <c r="EJ128" s="523"/>
      <c r="EK128" s="523"/>
      <c r="EL128" s="523"/>
      <c r="EM128" s="470"/>
      <c r="EN128" s="470"/>
      <c r="EO128" s="470"/>
      <c r="EP128" s="470"/>
      <c r="EQ128" s="470"/>
      <c r="ER128" s="470"/>
      <c r="ES128" s="470"/>
      <c r="ET128" s="470"/>
      <c r="EU128" s="470"/>
      <c r="EV128" s="470"/>
      <c r="EW128" s="470"/>
      <c r="EX128" s="470"/>
      <c r="EY128" s="470"/>
      <c r="EZ128" s="470"/>
      <c r="FA128" s="470"/>
      <c r="FB128" s="470"/>
      <c r="FC128" s="470"/>
      <c r="FD128" s="470"/>
      <c r="FE128" s="470"/>
      <c r="FF128" s="470"/>
      <c r="FG128" s="470"/>
      <c r="FH128" s="470"/>
      <c r="FI128" s="470"/>
      <c r="FJ128" s="470"/>
      <c r="FK128" s="470"/>
      <c r="FL128" s="470"/>
      <c r="FM128" s="470"/>
      <c r="FN128" s="470"/>
      <c r="FO128" s="470"/>
      <c r="FP128" s="470"/>
      <c r="FQ128" s="470"/>
      <c r="FR128" s="470"/>
      <c r="FS128" s="470"/>
      <c r="FT128" s="470"/>
      <c r="FU128" s="470"/>
      <c r="FV128" s="470"/>
      <c r="FW128" s="470"/>
      <c r="FX128" s="470"/>
      <c r="FY128" s="470"/>
      <c r="FZ128" s="470"/>
      <c r="GA128" s="470"/>
      <c r="GB128" s="470"/>
      <c r="GC128" s="470"/>
      <c r="GD128" s="470"/>
      <c r="GE128" s="470"/>
      <c r="GF128" s="470"/>
      <c r="GG128" s="470"/>
      <c r="GH128" s="470"/>
      <c r="GI128" s="470"/>
      <c r="GJ128" s="470"/>
      <c r="GK128" s="470"/>
      <c r="GL128" s="470"/>
      <c r="GM128" s="470"/>
      <c r="GN128" s="470"/>
      <c r="GO128" s="470"/>
      <c r="GP128" s="470"/>
      <c r="GQ128" s="470"/>
      <c r="GR128" s="470"/>
      <c r="GS128" s="470"/>
      <c r="GT128" s="470"/>
      <c r="GU128" s="470"/>
      <c r="GV128" s="523"/>
      <c r="GW128" s="523"/>
      <c r="GX128" s="523"/>
      <c r="GY128" s="470"/>
      <c r="GZ128" s="523"/>
      <c r="HA128" s="523"/>
      <c r="HB128" s="523"/>
      <c r="HC128" s="523"/>
      <c r="HD128" s="523"/>
      <c r="HE128" s="523"/>
      <c r="HF128" s="523"/>
      <c r="HG128" s="523"/>
      <c r="HH128" s="523"/>
      <c r="HI128" s="523"/>
      <c r="HJ128" s="523"/>
      <c r="HK128" s="523"/>
      <c r="HL128" s="523"/>
      <c r="HM128" s="523"/>
      <c r="HN128" s="523"/>
      <c r="HO128" s="523"/>
      <c r="HP128" s="523"/>
      <c r="HQ128" s="523"/>
      <c r="HR128" s="523"/>
      <c r="HS128" s="523"/>
    </row>
    <row r="129" spans="1:227" x14ac:dyDescent="0.25">
      <c r="A129" s="107">
        <v>52</v>
      </c>
      <c r="B129" s="518" t="s">
        <v>637</v>
      </c>
      <c r="C129" s="518"/>
      <c r="D129" s="465">
        <v>0</v>
      </c>
      <c r="E129" s="465">
        <v>0</v>
      </c>
      <c r="F129" s="612">
        <f t="shared" si="146"/>
        <v>0</v>
      </c>
      <c r="G129" s="616"/>
      <c r="H129" s="583">
        <v>1650000</v>
      </c>
      <c r="I129" s="498">
        <v>1650000</v>
      </c>
      <c r="J129" s="614">
        <f t="shared" si="147"/>
        <v>0</v>
      </c>
      <c r="K129" s="616"/>
      <c r="L129" s="498">
        <v>1770000</v>
      </c>
      <c r="M129" s="498">
        <v>1615000</v>
      </c>
      <c r="N129" s="614">
        <f t="shared" si="148"/>
        <v>155000</v>
      </c>
      <c r="O129" s="616"/>
      <c r="P129" s="461">
        <v>3000000</v>
      </c>
      <c r="Q129" s="461">
        <v>3000000</v>
      </c>
      <c r="R129" s="614">
        <f t="shared" si="149"/>
        <v>0</v>
      </c>
      <c r="S129" s="616"/>
      <c r="T129" s="465">
        <v>6420000</v>
      </c>
      <c r="U129" s="465">
        <v>6265000</v>
      </c>
      <c r="V129" s="611">
        <f t="shared" si="150"/>
        <v>155000</v>
      </c>
      <c r="X129" s="465">
        <v>0</v>
      </c>
      <c r="Y129" s="465">
        <v>6265000</v>
      </c>
      <c r="Z129" s="454"/>
      <c r="AA129" s="470"/>
      <c r="AB129" s="523"/>
      <c r="AC129" s="523"/>
      <c r="AD129" s="523"/>
      <c r="AE129" s="470"/>
      <c r="AF129" s="523"/>
      <c r="AG129" s="523"/>
      <c r="AH129" s="523"/>
      <c r="AI129" s="470"/>
      <c r="AJ129" s="523"/>
      <c r="AK129" s="523"/>
      <c r="AL129" s="523"/>
      <c r="AM129" s="523"/>
      <c r="AN129" s="523"/>
      <c r="AO129" s="523"/>
      <c r="AP129" s="523"/>
      <c r="AQ129" s="470"/>
      <c r="AR129" s="523"/>
      <c r="AS129" s="523"/>
      <c r="AT129" s="523"/>
      <c r="AU129" s="470"/>
      <c r="AV129" s="523"/>
      <c r="AW129" s="523"/>
      <c r="AX129" s="523"/>
      <c r="AY129" s="470"/>
      <c r="AZ129" s="523"/>
      <c r="BA129" s="523"/>
      <c r="BB129" s="523"/>
      <c r="BC129" s="470"/>
      <c r="BD129" s="523"/>
      <c r="BE129" s="523"/>
      <c r="BF129" s="523"/>
      <c r="BG129" s="470"/>
      <c r="BH129" s="523"/>
      <c r="BI129" s="523"/>
      <c r="BJ129" s="523"/>
      <c r="BK129" s="470"/>
      <c r="BL129" s="523"/>
      <c r="BM129" s="523"/>
      <c r="BN129" s="523"/>
      <c r="BO129" s="470"/>
      <c r="BP129" s="523"/>
      <c r="BQ129" s="523"/>
      <c r="BR129" s="523"/>
      <c r="BS129" s="470"/>
      <c r="BT129" s="523"/>
      <c r="BU129" s="523"/>
      <c r="BV129" s="523"/>
      <c r="BW129" s="470"/>
      <c r="BX129" s="523"/>
      <c r="BY129" s="523"/>
      <c r="BZ129" s="523"/>
      <c r="CA129" s="470"/>
      <c r="CB129" s="523"/>
      <c r="CC129" s="523"/>
      <c r="CD129" s="523"/>
      <c r="CE129" s="470"/>
      <c r="CF129" s="523"/>
      <c r="CG129" s="523"/>
      <c r="CH129" s="523"/>
      <c r="CI129" s="470"/>
      <c r="CJ129" s="523"/>
      <c r="CK129" s="523"/>
      <c r="CL129" s="523"/>
      <c r="CM129" s="470"/>
      <c r="CN129" s="523"/>
      <c r="CO129" s="523"/>
      <c r="CP129" s="523"/>
      <c r="CQ129" s="470"/>
      <c r="CR129" s="523"/>
      <c r="CS129" s="523"/>
      <c r="CT129" s="523"/>
      <c r="CU129" s="470"/>
      <c r="CV129" s="523"/>
      <c r="CW129" s="523"/>
      <c r="CX129" s="523"/>
      <c r="CY129" s="470"/>
      <c r="CZ129" s="523"/>
      <c r="DA129" s="523"/>
      <c r="DB129" s="523"/>
      <c r="DC129" s="470"/>
      <c r="DD129" s="523"/>
      <c r="DE129" s="523"/>
      <c r="DF129" s="523"/>
      <c r="DG129" s="470"/>
      <c r="DH129" s="523"/>
      <c r="DI129" s="523"/>
      <c r="DJ129" s="523"/>
      <c r="DK129" s="470"/>
      <c r="DL129" s="523"/>
      <c r="DM129" s="523"/>
      <c r="DN129" s="523"/>
      <c r="DO129" s="470"/>
      <c r="DP129" s="523"/>
      <c r="DQ129" s="523"/>
      <c r="DR129" s="523"/>
      <c r="DS129" s="523"/>
      <c r="DT129" s="523"/>
      <c r="DU129" s="523"/>
      <c r="DV129" s="523"/>
      <c r="DW129" s="523"/>
      <c r="DX129" s="523"/>
      <c r="DY129" s="523"/>
      <c r="DZ129" s="523"/>
      <c r="EA129" s="523"/>
      <c r="EB129" s="523"/>
      <c r="EC129" s="523"/>
      <c r="ED129" s="523"/>
      <c r="EE129" s="523"/>
      <c r="EF129" s="523"/>
      <c r="EG129" s="523"/>
      <c r="EH129" s="523"/>
      <c r="EI129" s="523"/>
      <c r="EJ129" s="523"/>
      <c r="EK129" s="523"/>
      <c r="EL129" s="523"/>
      <c r="EM129" s="470"/>
      <c r="EN129" s="470"/>
      <c r="EO129" s="470"/>
      <c r="EP129" s="470"/>
      <c r="EQ129" s="470"/>
      <c r="ER129" s="470"/>
      <c r="ES129" s="470"/>
      <c r="ET129" s="470"/>
      <c r="EU129" s="470"/>
      <c r="EV129" s="470"/>
      <c r="EW129" s="470"/>
      <c r="EX129" s="470"/>
      <c r="EY129" s="470"/>
      <c r="EZ129" s="470"/>
      <c r="FA129" s="470"/>
      <c r="FB129" s="470"/>
      <c r="FC129" s="470"/>
      <c r="FD129" s="470"/>
      <c r="FE129" s="470"/>
      <c r="FF129" s="470"/>
      <c r="FG129" s="470"/>
      <c r="FH129" s="470"/>
      <c r="FI129" s="470"/>
      <c r="FJ129" s="470"/>
      <c r="FK129" s="470"/>
      <c r="FL129" s="470"/>
      <c r="FM129" s="470"/>
      <c r="FN129" s="470"/>
      <c r="FO129" s="470"/>
      <c r="FP129" s="470"/>
      <c r="FQ129" s="470"/>
      <c r="FR129" s="470"/>
      <c r="FS129" s="470"/>
      <c r="FT129" s="470"/>
      <c r="FU129" s="470"/>
      <c r="FV129" s="470"/>
      <c r="FW129" s="470"/>
      <c r="FX129" s="470"/>
      <c r="FY129" s="470"/>
      <c r="FZ129" s="470"/>
      <c r="GA129" s="470"/>
      <c r="GB129" s="470"/>
      <c r="GC129" s="470"/>
      <c r="GD129" s="470"/>
      <c r="GE129" s="470"/>
      <c r="GF129" s="470"/>
      <c r="GG129" s="470"/>
      <c r="GH129" s="470"/>
      <c r="GI129" s="470"/>
      <c r="GJ129" s="470"/>
      <c r="GK129" s="470"/>
      <c r="GL129" s="470"/>
      <c r="GM129" s="470"/>
      <c r="GN129" s="470"/>
      <c r="GO129" s="470"/>
      <c r="GP129" s="470"/>
      <c r="GQ129" s="470"/>
      <c r="GR129" s="470"/>
      <c r="GS129" s="470"/>
      <c r="GT129" s="470"/>
      <c r="GU129" s="470"/>
      <c r="GV129" s="523"/>
      <c r="GW129" s="523"/>
      <c r="GX129" s="523"/>
      <c r="GY129" s="470"/>
      <c r="GZ129" s="523"/>
      <c r="HA129" s="523"/>
      <c r="HB129" s="523"/>
      <c r="HC129" s="523"/>
      <c r="HD129" s="523"/>
      <c r="HE129" s="523"/>
      <c r="HF129" s="523"/>
      <c r="HG129" s="523"/>
      <c r="HH129" s="523"/>
      <c r="HI129" s="523"/>
      <c r="HJ129" s="523"/>
      <c r="HK129" s="523"/>
      <c r="HL129" s="523"/>
      <c r="HM129" s="523"/>
      <c r="HN129" s="523"/>
      <c r="HO129" s="523"/>
      <c r="HP129" s="523"/>
      <c r="HQ129" s="523"/>
      <c r="HR129" s="523"/>
      <c r="HS129" s="523"/>
    </row>
    <row r="130" spans="1:227" x14ac:dyDescent="0.25">
      <c r="A130" s="107">
        <v>53</v>
      </c>
      <c r="B130" s="518" t="s">
        <v>638</v>
      </c>
      <c r="C130" s="518"/>
      <c r="D130" s="465">
        <v>0</v>
      </c>
      <c r="E130" s="465">
        <v>0</v>
      </c>
      <c r="F130" s="612">
        <f t="shared" si="146"/>
        <v>0</v>
      </c>
      <c r="G130" s="616"/>
      <c r="H130" s="583">
        <v>1650000</v>
      </c>
      <c r="I130" s="498">
        <v>1650000</v>
      </c>
      <c r="J130" s="614">
        <f t="shared" si="147"/>
        <v>0</v>
      </c>
      <c r="K130" s="616"/>
      <c r="L130" s="498">
        <v>1770000</v>
      </c>
      <c r="M130" s="498">
        <v>1770000</v>
      </c>
      <c r="N130" s="614">
        <f t="shared" si="148"/>
        <v>0</v>
      </c>
      <c r="O130" s="616"/>
      <c r="P130" s="461">
        <v>3000000</v>
      </c>
      <c r="Q130" s="498">
        <v>2630000</v>
      </c>
      <c r="R130" s="614">
        <f t="shared" si="149"/>
        <v>370000</v>
      </c>
      <c r="S130" s="616"/>
      <c r="T130" s="465">
        <v>6420000</v>
      </c>
      <c r="U130" s="465">
        <v>6050000</v>
      </c>
      <c r="V130" s="611">
        <f t="shared" si="150"/>
        <v>370000</v>
      </c>
      <c r="X130" s="465">
        <v>0</v>
      </c>
      <c r="Y130" s="465">
        <v>6050000</v>
      </c>
      <c r="Z130" s="454"/>
      <c r="AA130" s="470"/>
      <c r="AB130" s="523"/>
      <c r="AC130" s="523"/>
      <c r="AD130" s="523"/>
      <c r="AE130" s="470"/>
      <c r="AF130" s="523"/>
      <c r="AG130" s="523"/>
      <c r="AH130" s="523"/>
      <c r="AI130" s="470"/>
      <c r="AJ130" s="523"/>
      <c r="AK130" s="523"/>
      <c r="AL130" s="523"/>
      <c r="AM130" s="523"/>
      <c r="AN130" s="523"/>
      <c r="AO130" s="523"/>
      <c r="AP130" s="523"/>
      <c r="AQ130" s="470"/>
      <c r="AR130" s="523"/>
      <c r="AS130" s="523"/>
      <c r="AT130" s="523"/>
      <c r="AU130" s="470"/>
      <c r="AV130" s="523"/>
      <c r="AW130" s="523"/>
      <c r="AX130" s="523"/>
      <c r="AY130" s="470"/>
      <c r="AZ130" s="523"/>
      <c r="BA130" s="523"/>
      <c r="BB130" s="523"/>
      <c r="BC130" s="470"/>
      <c r="BD130" s="523"/>
      <c r="BE130" s="523"/>
      <c r="BF130" s="523"/>
      <c r="BG130" s="470"/>
      <c r="BH130" s="523"/>
      <c r="BI130" s="523"/>
      <c r="BJ130" s="523"/>
      <c r="BK130" s="470"/>
      <c r="BL130" s="523"/>
      <c r="BM130" s="523"/>
      <c r="BN130" s="523"/>
      <c r="BO130" s="470"/>
      <c r="BP130" s="523"/>
      <c r="BQ130" s="523"/>
      <c r="BR130" s="523"/>
      <c r="BS130" s="470"/>
      <c r="BT130" s="523"/>
      <c r="BU130" s="523"/>
      <c r="BV130" s="523"/>
      <c r="BW130" s="470"/>
      <c r="BX130" s="523"/>
      <c r="BY130" s="523"/>
      <c r="BZ130" s="523"/>
      <c r="CA130" s="470"/>
      <c r="CB130" s="523"/>
      <c r="CC130" s="523"/>
      <c r="CD130" s="523"/>
      <c r="CE130" s="470"/>
      <c r="CF130" s="523"/>
      <c r="CG130" s="523"/>
      <c r="CH130" s="523"/>
      <c r="CI130" s="470"/>
      <c r="CJ130" s="523"/>
      <c r="CK130" s="523"/>
      <c r="CL130" s="523"/>
      <c r="CM130" s="470"/>
      <c r="CN130" s="523"/>
      <c r="CO130" s="523"/>
      <c r="CP130" s="523"/>
      <c r="CQ130" s="470"/>
      <c r="CR130" s="523"/>
      <c r="CS130" s="523"/>
      <c r="CT130" s="523"/>
      <c r="CU130" s="470"/>
      <c r="CV130" s="523"/>
      <c r="CW130" s="523"/>
      <c r="CX130" s="523"/>
      <c r="CY130" s="470"/>
      <c r="CZ130" s="523"/>
      <c r="DA130" s="523"/>
      <c r="DB130" s="523"/>
      <c r="DC130" s="470"/>
      <c r="DD130" s="523"/>
      <c r="DE130" s="523"/>
      <c r="DF130" s="523"/>
      <c r="DG130" s="470"/>
      <c r="DH130" s="523"/>
      <c r="DI130" s="523"/>
      <c r="DJ130" s="523"/>
      <c r="DK130" s="470"/>
      <c r="DL130" s="523"/>
      <c r="DM130" s="523"/>
      <c r="DN130" s="523"/>
      <c r="DO130" s="470"/>
      <c r="DP130" s="523"/>
      <c r="DQ130" s="523"/>
      <c r="DR130" s="523"/>
      <c r="DS130" s="523"/>
      <c r="DT130" s="523"/>
      <c r="DU130" s="523"/>
      <c r="DV130" s="523"/>
      <c r="DW130" s="523"/>
      <c r="DX130" s="523"/>
      <c r="DY130" s="523"/>
      <c r="DZ130" s="523"/>
      <c r="EA130" s="523"/>
      <c r="EB130" s="523"/>
      <c r="EC130" s="523"/>
      <c r="ED130" s="523"/>
      <c r="EE130" s="523"/>
      <c r="EF130" s="523"/>
      <c r="EG130" s="523"/>
      <c r="EH130" s="523"/>
      <c r="EI130" s="523"/>
      <c r="EJ130" s="523"/>
      <c r="EK130" s="523"/>
      <c r="EL130" s="523"/>
      <c r="EM130" s="470"/>
      <c r="EN130" s="470"/>
      <c r="EO130" s="470"/>
      <c r="EP130" s="470"/>
      <c r="EQ130" s="470"/>
      <c r="ER130" s="470"/>
      <c r="ES130" s="470"/>
      <c r="ET130" s="470"/>
      <c r="EU130" s="470"/>
      <c r="EV130" s="470"/>
      <c r="EW130" s="470"/>
      <c r="EX130" s="470"/>
      <c r="EY130" s="470"/>
      <c r="EZ130" s="470"/>
      <c r="FA130" s="470"/>
      <c r="FB130" s="470"/>
      <c r="FC130" s="470"/>
      <c r="FD130" s="470"/>
      <c r="FE130" s="470"/>
      <c r="FF130" s="470"/>
      <c r="FG130" s="470"/>
      <c r="FH130" s="470"/>
      <c r="FI130" s="470"/>
      <c r="FJ130" s="470"/>
      <c r="FK130" s="470"/>
      <c r="FL130" s="470"/>
      <c r="FM130" s="470"/>
      <c r="FN130" s="470"/>
      <c r="FO130" s="470"/>
      <c r="FP130" s="470"/>
      <c r="FQ130" s="470"/>
      <c r="FR130" s="470"/>
      <c r="FS130" s="470"/>
      <c r="FT130" s="470"/>
      <c r="FU130" s="470"/>
      <c r="FV130" s="470"/>
      <c r="FW130" s="470"/>
      <c r="FX130" s="470"/>
      <c r="FY130" s="470"/>
      <c r="FZ130" s="470"/>
      <c r="GA130" s="470"/>
      <c r="GB130" s="470"/>
      <c r="GC130" s="470"/>
      <c r="GD130" s="470"/>
      <c r="GE130" s="470"/>
      <c r="GF130" s="470"/>
      <c r="GG130" s="470"/>
      <c r="GH130" s="470"/>
      <c r="GI130" s="470"/>
      <c r="GJ130" s="470"/>
      <c r="GK130" s="470"/>
      <c r="GL130" s="470"/>
      <c r="GM130" s="470"/>
      <c r="GN130" s="470"/>
      <c r="GO130" s="470"/>
      <c r="GP130" s="470"/>
      <c r="GQ130" s="470"/>
      <c r="GR130" s="470"/>
      <c r="GS130" s="470"/>
      <c r="GT130" s="470"/>
      <c r="GU130" s="470"/>
      <c r="GV130" s="523"/>
      <c r="GW130" s="523"/>
      <c r="GX130" s="523"/>
      <c r="GY130" s="470"/>
      <c r="GZ130" s="523"/>
      <c r="HA130" s="523"/>
      <c r="HB130" s="523"/>
      <c r="HC130" s="523"/>
      <c r="HD130" s="523"/>
      <c r="HE130" s="523"/>
      <c r="HF130" s="523"/>
      <c r="HG130" s="523"/>
      <c r="HH130" s="523"/>
      <c r="HI130" s="523"/>
      <c r="HJ130" s="523"/>
      <c r="HK130" s="523"/>
      <c r="HL130" s="523"/>
      <c r="HM130" s="523"/>
      <c r="HN130" s="523"/>
      <c r="HO130" s="523"/>
      <c r="HP130" s="523"/>
      <c r="HQ130" s="523"/>
      <c r="HR130" s="523"/>
      <c r="HS130" s="523"/>
    </row>
    <row r="131" spans="1:227" x14ac:dyDescent="0.25">
      <c r="A131" s="107">
        <v>54</v>
      </c>
      <c r="B131" s="518" t="s">
        <v>639</v>
      </c>
      <c r="C131" s="518"/>
      <c r="D131" s="465">
        <v>0</v>
      </c>
      <c r="E131" s="465">
        <v>0</v>
      </c>
      <c r="F131" s="612">
        <f t="shared" si="146"/>
        <v>0</v>
      </c>
      <c r="G131" s="616"/>
      <c r="H131" s="583">
        <v>1650000</v>
      </c>
      <c r="I131" s="584">
        <v>1650000</v>
      </c>
      <c r="J131" s="614">
        <f t="shared" si="147"/>
        <v>0</v>
      </c>
      <c r="K131" s="616"/>
      <c r="L131" s="498">
        <v>1770000</v>
      </c>
      <c r="M131" s="498">
        <v>1770000</v>
      </c>
      <c r="N131" s="614">
        <f t="shared" si="148"/>
        <v>0</v>
      </c>
      <c r="O131" s="616"/>
      <c r="P131" s="461">
        <v>3000000</v>
      </c>
      <c r="Q131" s="461">
        <v>3000000</v>
      </c>
      <c r="R131" s="614">
        <f t="shared" si="149"/>
        <v>0</v>
      </c>
      <c r="S131" s="616"/>
      <c r="T131" s="465">
        <v>6420000</v>
      </c>
      <c r="U131" s="465">
        <v>6420000</v>
      </c>
      <c r="V131" s="611">
        <f t="shared" si="150"/>
        <v>0</v>
      </c>
      <c r="X131" s="465">
        <v>0</v>
      </c>
      <c r="Y131" s="465">
        <v>6420000</v>
      </c>
      <c r="Z131" s="454"/>
      <c r="AA131" s="470"/>
      <c r="AB131" s="523"/>
      <c r="AC131" s="523"/>
      <c r="AD131" s="523"/>
      <c r="AE131" s="470"/>
      <c r="AF131" s="523"/>
      <c r="AG131" s="523"/>
      <c r="AH131" s="523"/>
      <c r="AI131" s="470"/>
      <c r="AJ131" s="523"/>
      <c r="AK131" s="523"/>
      <c r="AL131" s="523"/>
      <c r="AM131" s="523"/>
      <c r="AN131" s="523"/>
      <c r="AO131" s="523"/>
      <c r="AP131" s="523"/>
      <c r="AQ131" s="470"/>
      <c r="AR131" s="523"/>
      <c r="AS131" s="523"/>
      <c r="AT131" s="523"/>
      <c r="AU131" s="470"/>
      <c r="AV131" s="523"/>
      <c r="AW131" s="523"/>
      <c r="AX131" s="523"/>
      <c r="AY131" s="470"/>
      <c r="AZ131" s="523"/>
      <c r="BA131" s="523"/>
      <c r="BB131" s="523"/>
      <c r="BC131" s="470"/>
      <c r="BD131" s="523"/>
      <c r="BE131" s="523"/>
      <c r="BF131" s="523"/>
      <c r="BG131" s="470"/>
      <c r="BH131" s="523"/>
      <c r="BI131" s="523"/>
      <c r="BJ131" s="523"/>
      <c r="BK131" s="470"/>
      <c r="BL131" s="523"/>
      <c r="BM131" s="523"/>
      <c r="BN131" s="523"/>
      <c r="BO131" s="470"/>
      <c r="BP131" s="523"/>
      <c r="BQ131" s="523"/>
      <c r="BR131" s="523"/>
      <c r="BS131" s="470"/>
      <c r="BT131" s="523"/>
      <c r="BU131" s="523"/>
      <c r="BV131" s="523"/>
      <c r="BW131" s="470"/>
      <c r="BX131" s="523"/>
      <c r="BY131" s="523"/>
      <c r="BZ131" s="523"/>
      <c r="CA131" s="470"/>
      <c r="CB131" s="523"/>
      <c r="CC131" s="523"/>
      <c r="CD131" s="523"/>
      <c r="CE131" s="470"/>
      <c r="CF131" s="523"/>
      <c r="CG131" s="523"/>
      <c r="CH131" s="523"/>
      <c r="CI131" s="470"/>
      <c r="CJ131" s="523"/>
      <c r="CK131" s="523"/>
      <c r="CL131" s="523"/>
      <c r="CM131" s="470"/>
      <c r="CN131" s="523"/>
      <c r="CO131" s="523"/>
      <c r="CP131" s="523"/>
      <c r="CQ131" s="470"/>
      <c r="CR131" s="523"/>
      <c r="CS131" s="523"/>
      <c r="CT131" s="523"/>
      <c r="CU131" s="470"/>
      <c r="CV131" s="523"/>
      <c r="CW131" s="523"/>
      <c r="CX131" s="523"/>
      <c r="CY131" s="470"/>
      <c r="CZ131" s="523"/>
      <c r="DA131" s="523"/>
      <c r="DB131" s="523"/>
      <c r="DC131" s="470"/>
      <c r="DD131" s="523"/>
      <c r="DE131" s="523"/>
      <c r="DF131" s="523"/>
      <c r="DG131" s="470"/>
      <c r="DH131" s="523"/>
      <c r="DI131" s="523"/>
      <c r="DJ131" s="523"/>
      <c r="DK131" s="470"/>
      <c r="DL131" s="523"/>
      <c r="DM131" s="523"/>
      <c r="DN131" s="523"/>
      <c r="DO131" s="470"/>
      <c r="DP131" s="523"/>
      <c r="DQ131" s="523"/>
      <c r="DR131" s="523"/>
      <c r="DS131" s="523"/>
      <c r="DT131" s="523"/>
      <c r="DU131" s="523"/>
      <c r="DV131" s="523"/>
      <c r="DW131" s="523"/>
      <c r="DX131" s="523"/>
      <c r="DY131" s="523"/>
      <c r="DZ131" s="523"/>
      <c r="EA131" s="523"/>
      <c r="EB131" s="523"/>
      <c r="EC131" s="523"/>
      <c r="ED131" s="523"/>
      <c r="EE131" s="523"/>
      <c r="EF131" s="523"/>
      <c r="EG131" s="523"/>
      <c r="EH131" s="523"/>
      <c r="EI131" s="523"/>
      <c r="EJ131" s="523"/>
      <c r="EK131" s="523"/>
      <c r="EL131" s="523"/>
      <c r="EM131" s="470"/>
      <c r="EN131" s="470"/>
      <c r="EO131" s="470"/>
      <c r="EP131" s="470"/>
      <c r="EQ131" s="470"/>
      <c r="ER131" s="470"/>
      <c r="ES131" s="470"/>
      <c r="ET131" s="470"/>
      <c r="EU131" s="470"/>
      <c r="EV131" s="470"/>
      <c r="EW131" s="470"/>
      <c r="EX131" s="470"/>
      <c r="EY131" s="470"/>
      <c r="EZ131" s="470"/>
      <c r="FA131" s="470"/>
      <c r="FB131" s="470"/>
      <c r="FC131" s="470"/>
      <c r="FD131" s="470"/>
      <c r="FE131" s="470"/>
      <c r="FF131" s="470"/>
      <c r="FG131" s="470"/>
      <c r="FH131" s="470"/>
      <c r="FI131" s="470"/>
      <c r="FJ131" s="470"/>
      <c r="FK131" s="470"/>
      <c r="FL131" s="470"/>
      <c r="FM131" s="470"/>
      <c r="FN131" s="470"/>
      <c r="FO131" s="470"/>
      <c r="FP131" s="470"/>
      <c r="FQ131" s="470"/>
      <c r="FR131" s="470"/>
      <c r="FS131" s="470"/>
      <c r="FT131" s="470"/>
      <c r="FU131" s="470"/>
      <c r="FV131" s="470"/>
      <c r="FW131" s="470"/>
      <c r="FX131" s="470"/>
      <c r="FY131" s="470"/>
      <c r="FZ131" s="470"/>
      <c r="GA131" s="470"/>
      <c r="GB131" s="470"/>
      <c r="GC131" s="470"/>
      <c r="GD131" s="470"/>
      <c r="GE131" s="470"/>
      <c r="GF131" s="470"/>
      <c r="GG131" s="470"/>
      <c r="GH131" s="470"/>
      <c r="GI131" s="470"/>
      <c r="GJ131" s="470"/>
      <c r="GK131" s="470"/>
      <c r="GL131" s="470"/>
      <c r="GM131" s="470"/>
      <c r="GN131" s="470"/>
      <c r="GO131" s="470"/>
      <c r="GP131" s="470"/>
      <c r="GQ131" s="470"/>
      <c r="GR131" s="470"/>
      <c r="GS131" s="470"/>
      <c r="GT131" s="470"/>
      <c r="GU131" s="470"/>
      <c r="GV131" s="523"/>
      <c r="GW131" s="523"/>
      <c r="GX131" s="523"/>
      <c r="GY131" s="470"/>
      <c r="GZ131" s="523"/>
      <c r="HA131" s="523"/>
      <c r="HB131" s="523"/>
      <c r="HC131" s="523"/>
      <c r="HD131" s="523"/>
      <c r="HE131" s="523"/>
      <c r="HF131" s="523"/>
      <c r="HG131" s="523"/>
      <c r="HH131" s="523"/>
      <c r="HI131" s="523"/>
      <c r="HJ131" s="523"/>
      <c r="HK131" s="523"/>
      <c r="HL131" s="523"/>
      <c r="HM131" s="523"/>
      <c r="HN131" s="523"/>
      <c r="HO131" s="523"/>
      <c r="HP131" s="523"/>
      <c r="HQ131" s="523"/>
      <c r="HR131" s="523"/>
      <c r="HS131" s="523"/>
    </row>
    <row r="132" spans="1:227" x14ac:dyDescent="0.25">
      <c r="A132" s="107">
        <v>55</v>
      </c>
      <c r="B132" s="518" t="s">
        <v>640</v>
      </c>
      <c r="C132" s="518"/>
      <c r="D132" s="465">
        <v>0</v>
      </c>
      <c r="E132" s="465">
        <v>0</v>
      </c>
      <c r="F132" s="612">
        <f t="shared" si="146"/>
        <v>0</v>
      </c>
      <c r="G132" s="616"/>
      <c r="H132" s="583">
        <v>1650000</v>
      </c>
      <c r="I132" s="498">
        <v>0</v>
      </c>
      <c r="J132" s="614">
        <f t="shared" si="147"/>
        <v>1650000</v>
      </c>
      <c r="K132" s="616"/>
      <c r="L132" s="498">
        <v>1770000</v>
      </c>
      <c r="M132" s="498">
        <v>0</v>
      </c>
      <c r="N132" s="614">
        <f t="shared" si="148"/>
        <v>1770000</v>
      </c>
      <c r="O132" s="616"/>
      <c r="P132" s="461">
        <v>3000000</v>
      </c>
      <c r="Q132" s="498">
        <v>0</v>
      </c>
      <c r="R132" s="614">
        <f t="shared" si="149"/>
        <v>3000000</v>
      </c>
      <c r="S132" s="616"/>
      <c r="T132" s="465">
        <v>6420000</v>
      </c>
      <c r="U132" s="465">
        <v>0</v>
      </c>
      <c r="V132" s="611">
        <f t="shared" si="150"/>
        <v>6420000</v>
      </c>
      <c r="X132" s="465">
        <v>0</v>
      </c>
      <c r="Y132" s="465">
        <v>0</v>
      </c>
      <c r="Z132" s="454"/>
      <c r="AA132" s="470"/>
      <c r="AB132" s="523"/>
      <c r="AC132" s="523"/>
      <c r="AD132" s="523"/>
      <c r="AE132" s="470"/>
      <c r="AF132" s="523"/>
      <c r="AG132" s="523"/>
      <c r="AH132" s="523"/>
      <c r="AI132" s="470"/>
      <c r="AJ132" s="523"/>
      <c r="AK132" s="523"/>
      <c r="AL132" s="523"/>
      <c r="AM132" s="523"/>
      <c r="AN132" s="523"/>
      <c r="AO132" s="523"/>
      <c r="AP132" s="523"/>
      <c r="AQ132" s="470"/>
      <c r="AR132" s="523"/>
      <c r="AS132" s="523"/>
      <c r="AT132" s="523"/>
      <c r="AU132" s="470"/>
      <c r="AV132" s="523"/>
      <c r="AW132" s="523"/>
      <c r="AX132" s="523"/>
      <c r="AY132" s="470"/>
      <c r="AZ132" s="523"/>
      <c r="BA132" s="523"/>
      <c r="BB132" s="523"/>
      <c r="BC132" s="470"/>
      <c r="BD132" s="523"/>
      <c r="BE132" s="523"/>
      <c r="BF132" s="523"/>
      <c r="BG132" s="470"/>
      <c r="BH132" s="523"/>
      <c r="BI132" s="523"/>
      <c r="BJ132" s="523"/>
      <c r="BK132" s="470"/>
      <c r="BL132" s="523"/>
      <c r="BM132" s="523"/>
      <c r="BN132" s="523"/>
      <c r="BO132" s="470"/>
      <c r="BP132" s="523"/>
      <c r="BQ132" s="523"/>
      <c r="BR132" s="523"/>
      <c r="BS132" s="470"/>
      <c r="BT132" s="523"/>
      <c r="BU132" s="523"/>
      <c r="BV132" s="523"/>
      <c r="BW132" s="470"/>
      <c r="BX132" s="523"/>
      <c r="BY132" s="523"/>
      <c r="BZ132" s="523"/>
      <c r="CA132" s="470"/>
      <c r="CB132" s="523"/>
      <c r="CC132" s="523"/>
      <c r="CD132" s="523"/>
      <c r="CE132" s="470"/>
      <c r="CF132" s="523"/>
      <c r="CG132" s="523"/>
      <c r="CH132" s="523"/>
      <c r="CI132" s="470"/>
      <c r="CJ132" s="523"/>
      <c r="CK132" s="523"/>
      <c r="CL132" s="523"/>
      <c r="CM132" s="470"/>
      <c r="CN132" s="523"/>
      <c r="CO132" s="523"/>
      <c r="CP132" s="523"/>
      <c r="CQ132" s="470"/>
      <c r="CR132" s="523"/>
      <c r="CS132" s="523"/>
      <c r="CT132" s="523"/>
      <c r="CU132" s="470"/>
      <c r="CV132" s="523"/>
      <c r="CW132" s="523"/>
      <c r="CX132" s="523"/>
      <c r="CY132" s="470"/>
      <c r="CZ132" s="523"/>
      <c r="DA132" s="523"/>
      <c r="DB132" s="523"/>
      <c r="DC132" s="470"/>
      <c r="DD132" s="523"/>
      <c r="DE132" s="523"/>
      <c r="DF132" s="523"/>
      <c r="DG132" s="470"/>
      <c r="DH132" s="523"/>
      <c r="DI132" s="523"/>
      <c r="DJ132" s="523"/>
      <c r="DK132" s="470"/>
      <c r="DL132" s="523"/>
      <c r="DM132" s="523"/>
      <c r="DN132" s="523"/>
      <c r="DO132" s="470"/>
      <c r="DP132" s="523"/>
      <c r="DQ132" s="523"/>
      <c r="DR132" s="523"/>
      <c r="DS132" s="523"/>
      <c r="DT132" s="523"/>
      <c r="DU132" s="523"/>
      <c r="DV132" s="523"/>
      <c r="DW132" s="523"/>
      <c r="DX132" s="523"/>
      <c r="DY132" s="523"/>
      <c r="DZ132" s="523"/>
      <c r="EA132" s="523"/>
      <c r="EB132" s="523"/>
      <c r="EC132" s="523"/>
      <c r="ED132" s="523"/>
      <c r="EE132" s="523"/>
      <c r="EF132" s="523"/>
      <c r="EG132" s="523"/>
      <c r="EH132" s="523"/>
      <c r="EI132" s="523"/>
      <c r="EJ132" s="523"/>
      <c r="EK132" s="523"/>
      <c r="EL132" s="523"/>
      <c r="EM132" s="470"/>
      <c r="EN132" s="470"/>
      <c r="EO132" s="470"/>
      <c r="EP132" s="470"/>
      <c r="EQ132" s="470"/>
      <c r="ER132" s="470"/>
      <c r="ES132" s="470"/>
      <c r="ET132" s="470"/>
      <c r="EU132" s="470"/>
      <c r="EV132" s="470"/>
      <c r="EW132" s="470"/>
      <c r="EX132" s="470"/>
      <c r="EY132" s="470"/>
      <c r="EZ132" s="470"/>
      <c r="FA132" s="470"/>
      <c r="FB132" s="470"/>
      <c r="FC132" s="470"/>
      <c r="FD132" s="470"/>
      <c r="FE132" s="470"/>
      <c r="FF132" s="470"/>
      <c r="FG132" s="470"/>
      <c r="FH132" s="470"/>
      <c r="FI132" s="470"/>
      <c r="FJ132" s="470"/>
      <c r="FK132" s="470"/>
      <c r="FL132" s="470"/>
      <c r="FM132" s="470"/>
      <c r="FN132" s="470"/>
      <c r="FO132" s="470"/>
      <c r="FP132" s="470"/>
      <c r="FQ132" s="470"/>
      <c r="FR132" s="470"/>
      <c r="FS132" s="470"/>
      <c r="FT132" s="470"/>
      <c r="FU132" s="470"/>
      <c r="FV132" s="470"/>
      <c r="FW132" s="470"/>
      <c r="FX132" s="470"/>
      <c r="FY132" s="470"/>
      <c r="FZ132" s="470"/>
      <c r="GA132" s="470"/>
      <c r="GB132" s="470"/>
      <c r="GC132" s="470"/>
      <c r="GD132" s="470"/>
      <c r="GE132" s="470"/>
      <c r="GF132" s="470"/>
      <c r="GG132" s="470"/>
      <c r="GH132" s="470"/>
      <c r="GI132" s="470"/>
      <c r="GJ132" s="470"/>
      <c r="GK132" s="470"/>
      <c r="GL132" s="470"/>
      <c r="GM132" s="470"/>
      <c r="GN132" s="470"/>
      <c r="GO132" s="470"/>
      <c r="GP132" s="470"/>
      <c r="GQ132" s="470"/>
      <c r="GR132" s="470"/>
      <c r="GS132" s="470"/>
      <c r="GT132" s="470"/>
      <c r="GU132" s="470"/>
      <c r="GV132" s="523"/>
      <c r="GW132" s="523"/>
      <c r="GX132" s="523"/>
      <c r="GY132" s="470"/>
      <c r="GZ132" s="523"/>
      <c r="HA132" s="523"/>
      <c r="HB132" s="523"/>
      <c r="HC132" s="523"/>
      <c r="HD132" s="523"/>
      <c r="HE132" s="523"/>
      <c r="HF132" s="523"/>
      <c r="HG132" s="523"/>
      <c r="HH132" s="523"/>
      <c r="HI132" s="523"/>
      <c r="HJ132" s="523"/>
      <c r="HK132" s="523"/>
      <c r="HL132" s="523"/>
      <c r="HM132" s="523"/>
      <c r="HN132" s="523"/>
      <c r="HO132" s="523"/>
      <c r="HP132" s="523"/>
      <c r="HQ132" s="523"/>
      <c r="HR132" s="523"/>
      <c r="HS132" s="523"/>
    </row>
    <row r="133" spans="1:227" x14ac:dyDescent="0.25">
      <c r="A133" s="107">
        <v>56</v>
      </c>
      <c r="B133" s="518" t="s">
        <v>641</v>
      </c>
      <c r="C133" s="518"/>
      <c r="D133" s="465">
        <v>0</v>
      </c>
      <c r="E133" s="465">
        <v>0</v>
      </c>
      <c r="F133" s="612">
        <f t="shared" si="146"/>
        <v>0</v>
      </c>
      <c r="G133" s="616"/>
      <c r="H133" s="583">
        <v>1650000</v>
      </c>
      <c r="I133" s="498">
        <v>0</v>
      </c>
      <c r="J133" s="614">
        <f t="shared" si="147"/>
        <v>1650000</v>
      </c>
      <c r="K133" s="616"/>
      <c r="L133" s="498">
        <v>1770000</v>
      </c>
      <c r="M133" s="498">
        <v>0</v>
      </c>
      <c r="N133" s="614">
        <f t="shared" si="148"/>
        <v>1770000</v>
      </c>
      <c r="O133" s="616"/>
      <c r="P133" s="461">
        <v>3000000</v>
      </c>
      <c r="Q133" s="498">
        <v>0</v>
      </c>
      <c r="R133" s="614">
        <f t="shared" si="149"/>
        <v>3000000</v>
      </c>
      <c r="S133" s="616"/>
      <c r="T133" s="465">
        <v>6420000</v>
      </c>
      <c r="U133" s="465">
        <v>0</v>
      </c>
      <c r="V133" s="611">
        <f t="shared" si="150"/>
        <v>6420000</v>
      </c>
      <c r="X133" s="465">
        <v>0</v>
      </c>
      <c r="Y133" s="465">
        <v>0</v>
      </c>
      <c r="Z133" s="454"/>
      <c r="AA133" s="470"/>
      <c r="AB133" s="523"/>
      <c r="AC133" s="523"/>
      <c r="AD133" s="523"/>
      <c r="AE133" s="470"/>
      <c r="AF133" s="523"/>
      <c r="AG133" s="523"/>
      <c r="AH133" s="523"/>
      <c r="AI133" s="470"/>
      <c r="AJ133" s="523"/>
      <c r="AK133" s="523"/>
      <c r="AL133" s="523"/>
      <c r="AM133" s="523"/>
      <c r="AN133" s="523"/>
      <c r="AO133" s="523"/>
      <c r="AP133" s="523"/>
      <c r="AQ133" s="470"/>
      <c r="AR133" s="523"/>
      <c r="AS133" s="523"/>
      <c r="AT133" s="523"/>
      <c r="AU133" s="470"/>
      <c r="AV133" s="523"/>
      <c r="AW133" s="523"/>
      <c r="AX133" s="523"/>
      <c r="AY133" s="470"/>
      <c r="AZ133" s="523"/>
      <c r="BA133" s="523"/>
      <c r="BB133" s="523"/>
      <c r="BC133" s="470"/>
      <c r="BD133" s="523"/>
      <c r="BE133" s="523"/>
      <c r="BF133" s="523"/>
      <c r="BG133" s="470"/>
      <c r="BH133" s="523"/>
      <c r="BI133" s="523"/>
      <c r="BJ133" s="523"/>
      <c r="BK133" s="470"/>
      <c r="BL133" s="523"/>
      <c r="BM133" s="523"/>
      <c r="BN133" s="523"/>
      <c r="BO133" s="470"/>
      <c r="BP133" s="523"/>
      <c r="BQ133" s="523"/>
      <c r="BR133" s="523"/>
      <c r="BS133" s="470"/>
      <c r="BT133" s="523"/>
      <c r="BU133" s="523"/>
      <c r="BV133" s="523"/>
      <c r="BW133" s="470"/>
      <c r="BX133" s="523"/>
      <c r="BY133" s="523"/>
      <c r="BZ133" s="523"/>
      <c r="CA133" s="470"/>
      <c r="CB133" s="523"/>
      <c r="CC133" s="523"/>
      <c r="CD133" s="523"/>
      <c r="CE133" s="470"/>
      <c r="CF133" s="523"/>
      <c r="CG133" s="523"/>
      <c r="CH133" s="523"/>
      <c r="CI133" s="470"/>
      <c r="CJ133" s="523"/>
      <c r="CK133" s="523"/>
      <c r="CL133" s="523"/>
      <c r="CM133" s="470"/>
      <c r="CN133" s="523"/>
      <c r="CO133" s="523"/>
      <c r="CP133" s="523"/>
      <c r="CQ133" s="470"/>
      <c r="CR133" s="523"/>
      <c r="CS133" s="523"/>
      <c r="CT133" s="523"/>
      <c r="CU133" s="470"/>
      <c r="CV133" s="523"/>
      <c r="CW133" s="523"/>
      <c r="CX133" s="523"/>
      <c r="CY133" s="470"/>
      <c r="CZ133" s="523"/>
      <c r="DA133" s="523"/>
      <c r="DB133" s="523"/>
      <c r="DC133" s="470"/>
      <c r="DD133" s="523"/>
      <c r="DE133" s="523"/>
      <c r="DF133" s="523"/>
      <c r="DG133" s="470"/>
      <c r="DH133" s="523"/>
      <c r="DI133" s="523"/>
      <c r="DJ133" s="523"/>
      <c r="DK133" s="470"/>
      <c r="DL133" s="523"/>
      <c r="DM133" s="523"/>
      <c r="DN133" s="523"/>
      <c r="DO133" s="470"/>
      <c r="DP133" s="523"/>
      <c r="DQ133" s="523"/>
      <c r="DR133" s="523"/>
      <c r="DS133" s="523"/>
      <c r="DT133" s="523"/>
      <c r="DU133" s="523"/>
      <c r="DV133" s="523"/>
      <c r="DW133" s="523"/>
      <c r="DX133" s="523"/>
      <c r="DY133" s="523"/>
      <c r="DZ133" s="523"/>
      <c r="EA133" s="523"/>
      <c r="EB133" s="523"/>
      <c r="EC133" s="523"/>
      <c r="ED133" s="523"/>
      <c r="EE133" s="523"/>
      <c r="EF133" s="523"/>
      <c r="EG133" s="523"/>
      <c r="EH133" s="523"/>
      <c r="EI133" s="523"/>
      <c r="EJ133" s="523"/>
      <c r="EK133" s="523"/>
      <c r="EL133" s="523"/>
      <c r="EM133" s="470"/>
      <c r="EN133" s="470"/>
      <c r="EO133" s="470"/>
      <c r="EP133" s="470"/>
      <c r="EQ133" s="470"/>
      <c r="ER133" s="470"/>
      <c r="ES133" s="470"/>
      <c r="ET133" s="470"/>
      <c r="EU133" s="470"/>
      <c r="EV133" s="470"/>
      <c r="EW133" s="470"/>
      <c r="EX133" s="470"/>
      <c r="EY133" s="470"/>
      <c r="EZ133" s="470"/>
      <c r="FA133" s="470"/>
      <c r="FB133" s="470"/>
      <c r="FC133" s="470"/>
      <c r="FD133" s="470"/>
      <c r="FE133" s="470"/>
      <c r="FF133" s="470"/>
      <c r="FG133" s="470"/>
      <c r="FH133" s="470"/>
      <c r="FI133" s="470"/>
      <c r="FJ133" s="470"/>
      <c r="FK133" s="470"/>
      <c r="FL133" s="470"/>
      <c r="FM133" s="470"/>
      <c r="FN133" s="470"/>
      <c r="FO133" s="470"/>
      <c r="FP133" s="470"/>
      <c r="FQ133" s="470"/>
      <c r="FR133" s="470"/>
      <c r="FS133" s="470"/>
      <c r="FT133" s="470"/>
      <c r="FU133" s="470"/>
      <c r="FV133" s="470"/>
      <c r="FW133" s="470"/>
      <c r="FX133" s="470"/>
      <c r="FY133" s="470"/>
      <c r="FZ133" s="470"/>
      <c r="GA133" s="470"/>
      <c r="GB133" s="470"/>
      <c r="GC133" s="470"/>
      <c r="GD133" s="470"/>
      <c r="GE133" s="470"/>
      <c r="GF133" s="470"/>
      <c r="GG133" s="470"/>
      <c r="GH133" s="470"/>
      <c r="GI133" s="470"/>
      <c r="GJ133" s="470"/>
      <c r="GK133" s="470"/>
      <c r="GL133" s="470"/>
      <c r="GM133" s="470"/>
      <c r="GN133" s="470"/>
      <c r="GO133" s="470"/>
      <c r="GP133" s="470"/>
      <c r="GQ133" s="470"/>
      <c r="GR133" s="470"/>
      <c r="GS133" s="470"/>
      <c r="GT133" s="470"/>
      <c r="GU133" s="470"/>
      <c r="GV133" s="523"/>
      <c r="GW133" s="523"/>
      <c r="GX133" s="523"/>
      <c r="GY133" s="470"/>
      <c r="GZ133" s="523"/>
      <c r="HA133" s="523"/>
      <c r="HB133" s="523"/>
      <c r="HC133" s="523"/>
      <c r="HD133" s="523"/>
      <c r="HE133" s="523"/>
      <c r="HF133" s="523"/>
      <c r="HG133" s="523"/>
      <c r="HH133" s="523"/>
      <c r="HI133" s="523"/>
      <c r="HJ133" s="523"/>
      <c r="HK133" s="523"/>
      <c r="HL133" s="523"/>
      <c r="HM133" s="523"/>
      <c r="HN133" s="523"/>
      <c r="HO133" s="523"/>
      <c r="HP133" s="523"/>
      <c r="HQ133" s="523"/>
      <c r="HR133" s="523"/>
      <c r="HS133" s="523"/>
    </row>
    <row r="134" spans="1:227" x14ac:dyDescent="0.25">
      <c r="A134" s="107">
        <v>57</v>
      </c>
      <c r="B134" s="518" t="s">
        <v>642</v>
      </c>
      <c r="C134" s="518"/>
      <c r="D134" s="465">
        <v>0</v>
      </c>
      <c r="E134" s="465">
        <v>0</v>
      </c>
      <c r="F134" s="612">
        <f t="shared" si="146"/>
        <v>0</v>
      </c>
      <c r="G134" s="616"/>
      <c r="H134" s="583">
        <v>1650000</v>
      </c>
      <c r="I134" s="461">
        <v>1650000</v>
      </c>
      <c r="J134" s="614">
        <f t="shared" si="147"/>
        <v>0</v>
      </c>
      <c r="K134" s="616"/>
      <c r="L134" s="498">
        <v>1770000</v>
      </c>
      <c r="M134" s="498">
        <v>1770000</v>
      </c>
      <c r="N134" s="614">
        <f t="shared" si="148"/>
        <v>0</v>
      </c>
      <c r="O134" s="616"/>
      <c r="P134" s="461">
        <v>3000000</v>
      </c>
      <c r="Q134" s="498">
        <v>2900000</v>
      </c>
      <c r="R134" s="614">
        <f t="shared" si="149"/>
        <v>100000</v>
      </c>
      <c r="S134" s="616"/>
      <c r="T134" s="465">
        <v>6420000</v>
      </c>
      <c r="U134" s="465">
        <v>6320000</v>
      </c>
      <c r="V134" s="611">
        <f t="shared" si="150"/>
        <v>100000</v>
      </c>
      <c r="X134" s="465">
        <v>0</v>
      </c>
      <c r="Y134" s="465">
        <v>6320000</v>
      </c>
      <c r="Z134" s="454"/>
      <c r="AA134" s="470"/>
      <c r="AB134" s="523"/>
      <c r="AC134" s="523"/>
      <c r="AD134" s="523"/>
      <c r="AE134" s="470"/>
      <c r="AF134" s="523"/>
      <c r="AG134" s="523"/>
      <c r="AH134" s="523"/>
      <c r="AI134" s="470"/>
      <c r="AJ134" s="523"/>
      <c r="AK134" s="523"/>
      <c r="AL134" s="523"/>
      <c r="AM134" s="523"/>
      <c r="AN134" s="523"/>
      <c r="AO134" s="523"/>
      <c r="AP134" s="523"/>
      <c r="AQ134" s="470"/>
      <c r="AR134" s="523"/>
      <c r="AS134" s="523"/>
      <c r="AT134" s="523"/>
      <c r="AU134" s="470"/>
      <c r="AV134" s="523"/>
      <c r="AW134" s="523"/>
      <c r="AX134" s="523"/>
      <c r="AY134" s="470"/>
      <c r="AZ134" s="523"/>
      <c r="BA134" s="523"/>
      <c r="BB134" s="523"/>
      <c r="BC134" s="470"/>
      <c r="BD134" s="523"/>
      <c r="BE134" s="523"/>
      <c r="BF134" s="523"/>
      <c r="BG134" s="470"/>
      <c r="BH134" s="523"/>
      <c r="BI134" s="523"/>
      <c r="BJ134" s="523"/>
      <c r="BK134" s="470"/>
      <c r="BL134" s="523"/>
      <c r="BM134" s="523"/>
      <c r="BN134" s="523"/>
      <c r="BO134" s="470"/>
      <c r="BP134" s="523"/>
      <c r="BQ134" s="523"/>
      <c r="BR134" s="523"/>
      <c r="BS134" s="470"/>
      <c r="BT134" s="523"/>
      <c r="BU134" s="523"/>
      <c r="BV134" s="523"/>
      <c r="BW134" s="470"/>
      <c r="BX134" s="523"/>
      <c r="BY134" s="523"/>
      <c r="BZ134" s="523"/>
      <c r="CA134" s="470"/>
      <c r="CB134" s="523"/>
      <c r="CC134" s="523"/>
      <c r="CD134" s="523"/>
      <c r="CE134" s="470"/>
      <c r="CF134" s="523"/>
      <c r="CG134" s="523"/>
      <c r="CH134" s="523"/>
      <c r="CI134" s="470"/>
      <c r="CJ134" s="523"/>
      <c r="CK134" s="523"/>
      <c r="CL134" s="523"/>
      <c r="CM134" s="470"/>
      <c r="CN134" s="523"/>
      <c r="CO134" s="523"/>
      <c r="CP134" s="523"/>
      <c r="CQ134" s="470"/>
      <c r="CR134" s="523"/>
      <c r="CS134" s="523"/>
      <c r="CT134" s="523"/>
      <c r="CU134" s="470"/>
      <c r="CV134" s="523"/>
      <c r="CW134" s="523"/>
      <c r="CX134" s="523"/>
      <c r="CY134" s="470"/>
      <c r="CZ134" s="523"/>
      <c r="DA134" s="523"/>
      <c r="DB134" s="523"/>
      <c r="DC134" s="470"/>
      <c r="DD134" s="523"/>
      <c r="DE134" s="523"/>
      <c r="DF134" s="523"/>
      <c r="DG134" s="470"/>
      <c r="DH134" s="523"/>
      <c r="DI134" s="523"/>
      <c r="DJ134" s="523"/>
      <c r="DK134" s="470"/>
      <c r="DL134" s="523"/>
      <c r="DM134" s="523"/>
      <c r="DN134" s="523"/>
      <c r="DO134" s="470"/>
      <c r="DP134" s="523"/>
      <c r="DQ134" s="523"/>
      <c r="DR134" s="523"/>
      <c r="DS134" s="523"/>
      <c r="DT134" s="523"/>
      <c r="DU134" s="523"/>
      <c r="DV134" s="523"/>
      <c r="DW134" s="523"/>
      <c r="DX134" s="523"/>
      <c r="DY134" s="523"/>
      <c r="DZ134" s="523"/>
      <c r="EA134" s="523"/>
      <c r="EB134" s="523"/>
      <c r="EC134" s="523"/>
      <c r="ED134" s="523"/>
      <c r="EE134" s="523"/>
      <c r="EF134" s="523"/>
      <c r="EG134" s="523"/>
      <c r="EH134" s="523"/>
      <c r="EI134" s="523"/>
      <c r="EJ134" s="523"/>
      <c r="EK134" s="523"/>
      <c r="EL134" s="523"/>
      <c r="EM134" s="470"/>
      <c r="EN134" s="470"/>
      <c r="EO134" s="470"/>
      <c r="EP134" s="470"/>
      <c r="EQ134" s="470"/>
      <c r="ER134" s="470"/>
      <c r="ES134" s="470"/>
      <c r="ET134" s="470"/>
      <c r="EU134" s="470"/>
      <c r="EV134" s="470"/>
      <c r="EW134" s="470"/>
      <c r="EX134" s="470"/>
      <c r="EY134" s="470"/>
      <c r="EZ134" s="470"/>
      <c r="FA134" s="470"/>
      <c r="FB134" s="470"/>
      <c r="FC134" s="470"/>
      <c r="FD134" s="470"/>
      <c r="FE134" s="470"/>
      <c r="FF134" s="470"/>
      <c r="FG134" s="470"/>
      <c r="FH134" s="470"/>
      <c r="FI134" s="470"/>
      <c r="FJ134" s="470"/>
      <c r="FK134" s="470"/>
      <c r="FL134" s="470"/>
      <c r="FM134" s="470"/>
      <c r="FN134" s="470"/>
      <c r="FO134" s="470"/>
      <c r="FP134" s="470"/>
      <c r="FQ134" s="470"/>
      <c r="FR134" s="470"/>
      <c r="FS134" s="470"/>
      <c r="FT134" s="470"/>
      <c r="FU134" s="470"/>
      <c r="FV134" s="470"/>
      <c r="FW134" s="470"/>
      <c r="FX134" s="470"/>
      <c r="FY134" s="470"/>
      <c r="FZ134" s="470"/>
      <c r="GA134" s="470"/>
      <c r="GB134" s="470"/>
      <c r="GC134" s="470"/>
      <c r="GD134" s="470"/>
      <c r="GE134" s="470"/>
      <c r="GF134" s="470"/>
      <c r="GG134" s="470"/>
      <c r="GH134" s="470"/>
      <c r="GI134" s="470"/>
      <c r="GJ134" s="470"/>
      <c r="GK134" s="470"/>
      <c r="GL134" s="470"/>
      <c r="GM134" s="470"/>
      <c r="GN134" s="470"/>
      <c r="GO134" s="470"/>
      <c r="GP134" s="470"/>
      <c r="GQ134" s="470"/>
      <c r="GR134" s="470"/>
      <c r="GS134" s="470"/>
      <c r="GT134" s="470"/>
      <c r="GU134" s="470"/>
      <c r="GV134" s="523"/>
      <c r="GW134" s="523"/>
      <c r="GX134" s="523"/>
      <c r="GY134" s="470"/>
      <c r="GZ134" s="523"/>
      <c r="HA134" s="523"/>
      <c r="HB134" s="523"/>
      <c r="HC134" s="523"/>
      <c r="HD134" s="523"/>
      <c r="HE134" s="523"/>
      <c r="HF134" s="523"/>
      <c r="HG134" s="523"/>
      <c r="HH134" s="523"/>
      <c r="HI134" s="523"/>
      <c r="HJ134" s="523"/>
      <c r="HK134" s="523"/>
      <c r="HL134" s="523"/>
      <c r="HM134" s="523"/>
      <c r="HN134" s="523"/>
      <c r="HO134" s="523"/>
      <c r="HP134" s="523"/>
      <c r="HQ134" s="523"/>
      <c r="HR134" s="523"/>
      <c r="HS134" s="523"/>
    </row>
    <row r="135" spans="1:227" x14ac:dyDescent="0.25">
      <c r="A135" s="107">
        <v>58</v>
      </c>
      <c r="B135" s="518" t="s">
        <v>643</v>
      </c>
      <c r="C135" s="518"/>
      <c r="D135" s="465">
        <v>0</v>
      </c>
      <c r="E135" s="465">
        <v>0</v>
      </c>
      <c r="F135" s="612">
        <f t="shared" si="146"/>
        <v>0</v>
      </c>
      <c r="G135" s="616"/>
      <c r="H135" s="583">
        <v>1650000</v>
      </c>
      <c r="I135" s="461">
        <v>1650000</v>
      </c>
      <c r="J135" s="614">
        <f t="shared" si="147"/>
        <v>0</v>
      </c>
      <c r="K135" s="616"/>
      <c r="L135" s="498">
        <v>1770000</v>
      </c>
      <c r="M135" s="498">
        <v>1770000</v>
      </c>
      <c r="N135" s="614">
        <f t="shared" si="148"/>
        <v>0</v>
      </c>
      <c r="O135" s="616"/>
      <c r="P135" s="461">
        <v>3000000</v>
      </c>
      <c r="Q135" s="498">
        <v>780000</v>
      </c>
      <c r="R135" s="614">
        <f t="shared" si="149"/>
        <v>2220000</v>
      </c>
      <c r="S135" s="616"/>
      <c r="T135" s="465">
        <v>6420000</v>
      </c>
      <c r="U135" s="465">
        <v>4200000</v>
      </c>
      <c r="V135" s="611">
        <f t="shared" si="150"/>
        <v>2220000</v>
      </c>
      <c r="X135" s="465">
        <v>0</v>
      </c>
      <c r="Y135" s="465">
        <v>4200000</v>
      </c>
      <c r="Z135" s="454"/>
      <c r="AA135" s="470"/>
      <c r="AB135" s="523"/>
      <c r="AC135" s="523"/>
      <c r="AD135" s="523"/>
      <c r="AE135" s="470"/>
      <c r="AF135" s="523"/>
      <c r="AG135" s="523"/>
      <c r="AH135" s="523"/>
      <c r="AI135" s="470"/>
      <c r="AJ135" s="523"/>
      <c r="AK135" s="523"/>
      <c r="AL135" s="523"/>
      <c r="AM135" s="523"/>
      <c r="AN135" s="523"/>
      <c r="AO135" s="523"/>
      <c r="AP135" s="523"/>
      <c r="AQ135" s="470"/>
      <c r="AR135" s="523"/>
      <c r="AS135" s="523"/>
      <c r="AT135" s="523"/>
      <c r="AU135" s="470"/>
      <c r="AV135" s="523"/>
      <c r="AW135" s="523"/>
      <c r="AX135" s="523"/>
      <c r="AY135" s="470"/>
      <c r="AZ135" s="523"/>
      <c r="BA135" s="523"/>
      <c r="BB135" s="523"/>
      <c r="BC135" s="470"/>
      <c r="BD135" s="523"/>
      <c r="BE135" s="523"/>
      <c r="BF135" s="523"/>
      <c r="BG135" s="470"/>
      <c r="BH135" s="523"/>
      <c r="BI135" s="523"/>
      <c r="BJ135" s="523"/>
      <c r="BK135" s="470"/>
      <c r="BL135" s="523"/>
      <c r="BM135" s="523"/>
      <c r="BN135" s="523"/>
      <c r="BO135" s="470"/>
      <c r="BP135" s="523"/>
      <c r="BQ135" s="523"/>
      <c r="BR135" s="523"/>
      <c r="BS135" s="470"/>
      <c r="BT135" s="523"/>
      <c r="BU135" s="523"/>
      <c r="BV135" s="523"/>
      <c r="BW135" s="470"/>
      <c r="BX135" s="523"/>
      <c r="BY135" s="523"/>
      <c r="BZ135" s="523"/>
      <c r="CA135" s="470"/>
      <c r="CB135" s="523"/>
      <c r="CC135" s="523"/>
      <c r="CD135" s="523"/>
      <c r="CE135" s="470"/>
      <c r="CF135" s="523"/>
      <c r="CG135" s="523"/>
      <c r="CH135" s="523"/>
      <c r="CI135" s="470"/>
      <c r="CJ135" s="523"/>
      <c r="CK135" s="523"/>
      <c r="CL135" s="523"/>
      <c r="CM135" s="470"/>
      <c r="CN135" s="523"/>
      <c r="CO135" s="523"/>
      <c r="CP135" s="523"/>
      <c r="CQ135" s="470"/>
      <c r="CR135" s="523"/>
      <c r="CS135" s="523"/>
      <c r="CT135" s="523"/>
      <c r="CU135" s="470"/>
      <c r="CV135" s="523"/>
      <c r="CW135" s="523"/>
      <c r="CX135" s="523"/>
      <c r="CY135" s="470"/>
      <c r="CZ135" s="523"/>
      <c r="DA135" s="523"/>
      <c r="DB135" s="523"/>
      <c r="DC135" s="470"/>
      <c r="DD135" s="523"/>
      <c r="DE135" s="523"/>
      <c r="DF135" s="523"/>
      <c r="DG135" s="470"/>
      <c r="DH135" s="523"/>
      <c r="DI135" s="523"/>
      <c r="DJ135" s="523"/>
      <c r="DK135" s="470"/>
      <c r="DL135" s="523"/>
      <c r="DM135" s="523"/>
      <c r="DN135" s="523"/>
      <c r="DO135" s="470"/>
      <c r="DP135" s="523"/>
      <c r="DQ135" s="523"/>
      <c r="DR135" s="523"/>
      <c r="DS135" s="523"/>
      <c r="DT135" s="523"/>
      <c r="DU135" s="523"/>
      <c r="DV135" s="523"/>
      <c r="DW135" s="523"/>
      <c r="DX135" s="523"/>
      <c r="DY135" s="523"/>
      <c r="DZ135" s="523"/>
      <c r="EA135" s="523"/>
      <c r="EB135" s="523"/>
      <c r="EC135" s="523"/>
      <c r="ED135" s="523"/>
      <c r="EE135" s="523"/>
      <c r="EF135" s="523"/>
      <c r="EG135" s="523"/>
      <c r="EH135" s="523"/>
      <c r="EI135" s="523"/>
      <c r="EJ135" s="523"/>
      <c r="EK135" s="523"/>
      <c r="EL135" s="523"/>
      <c r="EM135" s="470"/>
      <c r="EN135" s="470"/>
      <c r="EO135" s="470"/>
      <c r="EP135" s="470"/>
      <c r="EQ135" s="470"/>
      <c r="ER135" s="470"/>
      <c r="ES135" s="470"/>
      <c r="ET135" s="470"/>
      <c r="EU135" s="470"/>
      <c r="EV135" s="470"/>
      <c r="EW135" s="470"/>
      <c r="EX135" s="470"/>
      <c r="EY135" s="470"/>
      <c r="EZ135" s="470"/>
      <c r="FA135" s="470"/>
      <c r="FB135" s="470"/>
      <c r="FC135" s="470"/>
      <c r="FD135" s="470"/>
      <c r="FE135" s="470"/>
      <c r="FF135" s="470"/>
      <c r="FG135" s="470"/>
      <c r="FH135" s="470"/>
      <c r="FI135" s="470"/>
      <c r="FJ135" s="470"/>
      <c r="FK135" s="470"/>
      <c r="FL135" s="470"/>
      <c r="FM135" s="470"/>
      <c r="FN135" s="470"/>
      <c r="FO135" s="470"/>
      <c r="FP135" s="470"/>
      <c r="FQ135" s="470"/>
      <c r="FR135" s="470"/>
      <c r="FS135" s="470"/>
      <c r="FT135" s="470"/>
      <c r="FU135" s="470"/>
      <c r="FV135" s="470"/>
      <c r="FW135" s="470"/>
      <c r="FX135" s="470"/>
      <c r="FY135" s="470"/>
      <c r="FZ135" s="470"/>
      <c r="GA135" s="470"/>
      <c r="GB135" s="470"/>
      <c r="GC135" s="470"/>
      <c r="GD135" s="470"/>
      <c r="GE135" s="470"/>
      <c r="GF135" s="470"/>
      <c r="GG135" s="470"/>
      <c r="GH135" s="470"/>
      <c r="GI135" s="470"/>
      <c r="GJ135" s="470"/>
      <c r="GK135" s="470"/>
      <c r="GL135" s="470"/>
      <c r="GM135" s="470"/>
      <c r="GN135" s="470"/>
      <c r="GO135" s="470"/>
      <c r="GP135" s="470"/>
      <c r="GQ135" s="470"/>
      <c r="GR135" s="470"/>
      <c r="GS135" s="470"/>
      <c r="GT135" s="470"/>
      <c r="GU135" s="470"/>
      <c r="GV135" s="523"/>
      <c r="GW135" s="523"/>
      <c r="GX135" s="523"/>
      <c r="GY135" s="470"/>
      <c r="GZ135" s="523"/>
      <c r="HA135" s="523"/>
      <c r="HB135" s="523"/>
      <c r="HC135" s="523"/>
      <c r="HD135" s="523"/>
      <c r="HE135" s="523"/>
      <c r="HF135" s="523"/>
      <c r="HG135" s="523"/>
      <c r="HH135" s="523"/>
      <c r="HI135" s="523"/>
      <c r="HJ135" s="523"/>
      <c r="HK135" s="523"/>
      <c r="HL135" s="523"/>
      <c r="HM135" s="523"/>
      <c r="HN135" s="523"/>
      <c r="HO135" s="523"/>
      <c r="HP135" s="523"/>
      <c r="HQ135" s="523"/>
      <c r="HR135" s="523"/>
      <c r="HS135" s="523"/>
    </row>
    <row r="136" spans="1:227" x14ac:dyDescent="0.25">
      <c r="A136" s="107">
        <v>59</v>
      </c>
      <c r="B136" s="518" t="s">
        <v>261</v>
      </c>
      <c r="C136" s="518"/>
      <c r="D136" s="488">
        <v>1250000</v>
      </c>
      <c r="E136" s="488">
        <v>1250000</v>
      </c>
      <c r="F136" s="612">
        <f t="shared" si="146"/>
        <v>0</v>
      </c>
      <c r="G136" s="617"/>
      <c r="H136" s="583">
        <v>1650000</v>
      </c>
      <c r="I136" s="498">
        <v>0</v>
      </c>
      <c r="J136" s="614">
        <f t="shared" si="147"/>
        <v>1650000</v>
      </c>
      <c r="K136" s="617"/>
      <c r="L136" s="498">
        <v>1770000</v>
      </c>
      <c r="M136" s="498">
        <v>0</v>
      </c>
      <c r="N136" s="614">
        <f t="shared" si="148"/>
        <v>1770000</v>
      </c>
      <c r="O136" s="617"/>
      <c r="P136" s="461">
        <v>3000000</v>
      </c>
      <c r="Q136" s="498">
        <v>0</v>
      </c>
      <c r="R136" s="614">
        <f t="shared" si="149"/>
        <v>3000000</v>
      </c>
      <c r="S136" s="617"/>
      <c r="T136" s="465">
        <v>7670000</v>
      </c>
      <c r="U136" s="465">
        <v>1250000</v>
      </c>
      <c r="V136" s="611">
        <f t="shared" si="150"/>
        <v>6420000</v>
      </c>
      <c r="X136" s="465">
        <v>0</v>
      </c>
      <c r="Y136" s="465">
        <v>1250000</v>
      </c>
      <c r="Z136" s="454"/>
      <c r="AA136" s="539"/>
      <c r="AB136" s="523"/>
      <c r="AC136" s="523"/>
      <c r="AD136" s="523"/>
      <c r="AE136" s="539"/>
      <c r="AF136" s="523"/>
      <c r="AG136" s="523"/>
      <c r="AH136" s="523"/>
      <c r="AI136" s="539"/>
      <c r="AJ136" s="523"/>
      <c r="AK136" s="523"/>
      <c r="AL136" s="523"/>
      <c r="AM136" s="523"/>
      <c r="AN136" s="523"/>
      <c r="AO136" s="523"/>
      <c r="AP136" s="523"/>
      <c r="AQ136" s="539"/>
      <c r="AR136" s="523"/>
      <c r="AS136" s="523"/>
      <c r="AT136" s="523"/>
      <c r="AU136" s="539"/>
      <c r="AV136" s="523"/>
      <c r="AW136" s="523"/>
      <c r="AX136" s="523"/>
      <c r="AY136" s="539"/>
      <c r="AZ136" s="523"/>
      <c r="BA136" s="523"/>
      <c r="BB136" s="523"/>
      <c r="BC136" s="539"/>
      <c r="BD136" s="523"/>
      <c r="BE136" s="523"/>
      <c r="BF136" s="523"/>
      <c r="BG136" s="539"/>
      <c r="BH136" s="523"/>
      <c r="BI136" s="523"/>
      <c r="BJ136" s="523"/>
      <c r="BK136" s="539"/>
      <c r="BL136" s="523"/>
      <c r="BM136" s="523"/>
      <c r="BN136" s="523"/>
      <c r="BO136" s="539"/>
      <c r="BP136" s="523"/>
      <c r="BQ136" s="523"/>
      <c r="BR136" s="523"/>
      <c r="BS136" s="539"/>
      <c r="BT136" s="523"/>
      <c r="BU136" s="523"/>
      <c r="BV136" s="523"/>
      <c r="BW136" s="539"/>
      <c r="BX136" s="523"/>
      <c r="BY136" s="523"/>
      <c r="BZ136" s="523"/>
      <c r="CA136" s="539"/>
      <c r="CB136" s="523"/>
      <c r="CC136" s="523"/>
      <c r="CD136" s="523"/>
      <c r="CE136" s="539"/>
      <c r="CF136" s="523"/>
      <c r="CG136" s="523"/>
      <c r="CH136" s="523"/>
      <c r="CI136" s="539"/>
      <c r="CJ136" s="523"/>
      <c r="CK136" s="523"/>
      <c r="CL136" s="523"/>
      <c r="CM136" s="539"/>
      <c r="CN136" s="523"/>
      <c r="CO136" s="523"/>
      <c r="CP136" s="523"/>
      <c r="CQ136" s="539"/>
      <c r="CR136" s="523"/>
      <c r="CS136" s="523"/>
      <c r="CT136" s="523"/>
      <c r="CU136" s="539"/>
      <c r="CV136" s="523"/>
      <c r="CW136" s="523"/>
      <c r="CX136" s="523"/>
      <c r="CY136" s="539"/>
      <c r="CZ136" s="523"/>
      <c r="DA136" s="523"/>
      <c r="DB136" s="523"/>
      <c r="DC136" s="539"/>
      <c r="DD136" s="523"/>
      <c r="DE136" s="523"/>
      <c r="DF136" s="523"/>
      <c r="DG136" s="539"/>
      <c r="DH136" s="523"/>
      <c r="DI136" s="523"/>
      <c r="DJ136" s="523"/>
      <c r="DK136" s="539"/>
      <c r="DL136" s="523"/>
      <c r="DM136" s="523"/>
      <c r="DN136" s="523"/>
      <c r="DO136" s="539"/>
      <c r="DP136" s="523"/>
      <c r="DQ136" s="523"/>
      <c r="DR136" s="523"/>
      <c r="DS136" s="523"/>
      <c r="DT136" s="523"/>
      <c r="DU136" s="523"/>
      <c r="DV136" s="523"/>
      <c r="DW136" s="523"/>
      <c r="DX136" s="523"/>
      <c r="DY136" s="523"/>
      <c r="DZ136" s="523"/>
      <c r="EA136" s="523"/>
      <c r="EB136" s="523"/>
      <c r="EC136" s="523"/>
      <c r="ED136" s="523"/>
      <c r="EE136" s="523"/>
      <c r="EF136" s="523"/>
      <c r="EG136" s="523"/>
      <c r="EH136" s="523"/>
      <c r="EI136" s="523"/>
      <c r="EJ136" s="523"/>
      <c r="EK136" s="523"/>
      <c r="EL136" s="523"/>
      <c r="EM136" s="539"/>
      <c r="EN136" s="539"/>
      <c r="EO136" s="539"/>
      <c r="EP136" s="539"/>
      <c r="EQ136" s="539"/>
      <c r="ER136" s="539"/>
      <c r="ES136" s="539"/>
      <c r="ET136" s="539"/>
      <c r="EU136" s="539"/>
      <c r="EV136" s="539"/>
      <c r="EW136" s="539"/>
      <c r="EX136" s="539"/>
      <c r="EY136" s="539"/>
      <c r="EZ136" s="539"/>
      <c r="FA136" s="539"/>
      <c r="FB136" s="539"/>
      <c r="FC136" s="539"/>
      <c r="FD136" s="539"/>
      <c r="FE136" s="539"/>
      <c r="FF136" s="539"/>
      <c r="FG136" s="539"/>
      <c r="FH136" s="539"/>
      <c r="FI136" s="539"/>
      <c r="FJ136" s="539"/>
      <c r="FK136" s="539"/>
      <c r="FL136" s="539"/>
      <c r="FM136" s="539"/>
      <c r="FN136" s="539"/>
      <c r="FO136" s="539"/>
      <c r="FP136" s="539"/>
      <c r="FQ136" s="539"/>
      <c r="FR136" s="539"/>
      <c r="FS136" s="539"/>
      <c r="FT136" s="539"/>
      <c r="FU136" s="539"/>
      <c r="FV136" s="539"/>
      <c r="FW136" s="539"/>
      <c r="FX136" s="539"/>
      <c r="FY136" s="539"/>
      <c r="FZ136" s="539"/>
      <c r="GA136" s="539"/>
      <c r="GB136" s="539"/>
      <c r="GC136" s="539"/>
      <c r="GD136" s="539"/>
      <c r="GE136" s="539"/>
      <c r="GF136" s="539"/>
      <c r="GG136" s="539"/>
      <c r="GH136" s="539"/>
      <c r="GI136" s="539"/>
      <c r="GJ136" s="539"/>
      <c r="GK136" s="539"/>
      <c r="GL136" s="539"/>
      <c r="GM136" s="539"/>
      <c r="GN136" s="539"/>
      <c r="GO136" s="539"/>
      <c r="GP136" s="539"/>
      <c r="GQ136" s="539"/>
      <c r="GR136" s="539"/>
      <c r="GS136" s="539"/>
      <c r="GT136" s="539"/>
      <c r="GU136" s="539"/>
      <c r="GV136" s="523"/>
      <c r="GW136" s="523"/>
      <c r="GX136" s="523"/>
      <c r="GY136" s="539"/>
      <c r="GZ136" s="523"/>
      <c r="HA136" s="523"/>
      <c r="HB136" s="523"/>
      <c r="HC136" s="523"/>
      <c r="HD136" s="523"/>
      <c r="HE136" s="523"/>
      <c r="HF136" s="523"/>
      <c r="HG136" s="523"/>
      <c r="HH136" s="523"/>
      <c r="HI136" s="523"/>
      <c r="HJ136" s="523"/>
      <c r="HK136" s="523"/>
      <c r="HL136" s="523"/>
      <c r="HM136" s="523"/>
      <c r="HN136" s="523"/>
      <c r="HO136" s="523"/>
      <c r="HP136" s="523"/>
      <c r="HQ136" s="523"/>
      <c r="HR136" s="523"/>
      <c r="HS136" s="523"/>
    </row>
    <row r="137" spans="1:227" x14ac:dyDescent="0.25">
      <c r="A137" s="107">
        <v>61</v>
      </c>
      <c r="B137" s="518" t="s">
        <v>644</v>
      </c>
      <c r="C137" s="518"/>
      <c r="D137" s="488">
        <v>1250000</v>
      </c>
      <c r="E137" s="488">
        <v>1250000</v>
      </c>
      <c r="F137" s="612">
        <f t="shared" si="146"/>
        <v>0</v>
      </c>
      <c r="G137" s="617"/>
      <c r="H137" s="583">
        <v>1650000</v>
      </c>
      <c r="I137" s="498">
        <v>0</v>
      </c>
      <c r="J137" s="614">
        <f t="shared" si="147"/>
        <v>1650000</v>
      </c>
      <c r="K137" s="617"/>
      <c r="L137" s="498">
        <v>1770000</v>
      </c>
      <c r="M137" s="498">
        <v>0</v>
      </c>
      <c r="N137" s="614">
        <f t="shared" si="148"/>
        <v>1770000</v>
      </c>
      <c r="O137" s="617"/>
      <c r="P137" s="461">
        <v>3000000</v>
      </c>
      <c r="Q137" s="498">
        <v>0</v>
      </c>
      <c r="R137" s="614">
        <f t="shared" si="149"/>
        <v>3000000</v>
      </c>
      <c r="S137" s="617"/>
      <c r="T137" s="465">
        <v>7670000</v>
      </c>
      <c r="U137" s="465">
        <v>1250000</v>
      </c>
      <c r="V137" s="611">
        <f t="shared" si="150"/>
        <v>6420000</v>
      </c>
      <c r="X137" s="465">
        <v>0</v>
      </c>
      <c r="Y137" s="465">
        <v>1250000</v>
      </c>
      <c r="Z137" s="454"/>
      <c r="AA137" s="539"/>
      <c r="AB137" s="523"/>
      <c r="AC137" s="523"/>
      <c r="AD137" s="523"/>
      <c r="AE137" s="539"/>
      <c r="AF137" s="523"/>
      <c r="AG137" s="523"/>
      <c r="AH137" s="523"/>
      <c r="AI137" s="539"/>
      <c r="AJ137" s="523"/>
      <c r="AK137" s="523"/>
      <c r="AL137" s="523"/>
      <c r="AM137" s="523"/>
      <c r="AN137" s="523"/>
      <c r="AO137" s="523"/>
      <c r="AP137" s="523"/>
      <c r="AQ137" s="539"/>
      <c r="AR137" s="523"/>
      <c r="AS137" s="523"/>
      <c r="AT137" s="523"/>
      <c r="AU137" s="539"/>
      <c r="AV137" s="523"/>
      <c r="AW137" s="523"/>
      <c r="AX137" s="523"/>
      <c r="AY137" s="539"/>
      <c r="AZ137" s="523"/>
      <c r="BA137" s="523"/>
      <c r="BB137" s="523"/>
      <c r="BC137" s="539"/>
      <c r="BD137" s="523"/>
      <c r="BE137" s="523"/>
      <c r="BF137" s="523"/>
      <c r="BG137" s="539"/>
      <c r="BH137" s="523"/>
      <c r="BI137" s="523"/>
      <c r="BJ137" s="523"/>
      <c r="BK137" s="539"/>
      <c r="BL137" s="523"/>
      <c r="BM137" s="523"/>
      <c r="BN137" s="523"/>
      <c r="BO137" s="539"/>
      <c r="BP137" s="523"/>
      <c r="BQ137" s="523"/>
      <c r="BR137" s="523"/>
      <c r="BS137" s="539"/>
      <c r="BT137" s="523"/>
      <c r="BU137" s="523"/>
      <c r="BV137" s="523"/>
      <c r="BW137" s="539"/>
      <c r="BX137" s="523"/>
      <c r="BY137" s="523"/>
      <c r="BZ137" s="523"/>
      <c r="CA137" s="539"/>
      <c r="CB137" s="523"/>
      <c r="CC137" s="523"/>
      <c r="CD137" s="523"/>
      <c r="CE137" s="539"/>
      <c r="CF137" s="523"/>
      <c r="CG137" s="523"/>
      <c r="CH137" s="523"/>
      <c r="CI137" s="539"/>
      <c r="CJ137" s="523"/>
      <c r="CK137" s="523"/>
      <c r="CL137" s="523"/>
      <c r="CM137" s="539"/>
      <c r="CN137" s="523"/>
      <c r="CO137" s="523"/>
      <c r="CP137" s="523"/>
      <c r="CQ137" s="539"/>
      <c r="CR137" s="523"/>
      <c r="CS137" s="523"/>
      <c r="CT137" s="523"/>
      <c r="CU137" s="539"/>
      <c r="CV137" s="523"/>
      <c r="CW137" s="523"/>
      <c r="CX137" s="523"/>
      <c r="CY137" s="539"/>
      <c r="CZ137" s="523"/>
      <c r="DA137" s="523"/>
      <c r="DB137" s="523"/>
      <c r="DC137" s="539"/>
      <c r="DD137" s="523"/>
      <c r="DE137" s="523"/>
      <c r="DF137" s="523"/>
      <c r="DG137" s="539"/>
      <c r="DH137" s="523"/>
      <c r="DI137" s="523"/>
      <c r="DJ137" s="523"/>
      <c r="DK137" s="539"/>
      <c r="DL137" s="523"/>
      <c r="DM137" s="523"/>
      <c r="DN137" s="523"/>
      <c r="DO137" s="539"/>
      <c r="DP137" s="523"/>
      <c r="DQ137" s="523"/>
      <c r="DR137" s="523"/>
      <c r="DS137" s="523"/>
      <c r="DT137" s="523"/>
      <c r="DU137" s="523"/>
      <c r="DV137" s="523"/>
      <c r="DW137" s="523"/>
      <c r="DX137" s="523"/>
      <c r="DY137" s="523"/>
      <c r="DZ137" s="523"/>
      <c r="EA137" s="523"/>
      <c r="EB137" s="523"/>
      <c r="EC137" s="523"/>
      <c r="ED137" s="523"/>
      <c r="EE137" s="523"/>
      <c r="EF137" s="523"/>
      <c r="EG137" s="523"/>
      <c r="EH137" s="523"/>
      <c r="EI137" s="523"/>
      <c r="EJ137" s="523"/>
      <c r="EK137" s="523"/>
      <c r="EL137" s="523"/>
      <c r="EM137" s="539"/>
      <c r="EN137" s="539"/>
      <c r="EO137" s="539"/>
      <c r="EP137" s="539"/>
      <c r="EQ137" s="539"/>
      <c r="ER137" s="539"/>
      <c r="ES137" s="539"/>
      <c r="ET137" s="539"/>
      <c r="EU137" s="539"/>
      <c r="EV137" s="539"/>
      <c r="EW137" s="539"/>
      <c r="EX137" s="539"/>
      <c r="EY137" s="539"/>
      <c r="EZ137" s="539"/>
      <c r="FA137" s="539"/>
      <c r="FB137" s="539"/>
      <c r="FC137" s="539"/>
      <c r="FD137" s="539"/>
      <c r="FE137" s="539"/>
      <c r="FF137" s="539"/>
      <c r="FG137" s="539"/>
      <c r="FH137" s="539"/>
      <c r="FI137" s="539"/>
      <c r="FJ137" s="539"/>
      <c r="FK137" s="539"/>
      <c r="FL137" s="539"/>
      <c r="FM137" s="539"/>
      <c r="FN137" s="539"/>
      <c r="FO137" s="539"/>
      <c r="FP137" s="539"/>
      <c r="FQ137" s="539"/>
      <c r="FR137" s="539"/>
      <c r="FS137" s="539"/>
      <c r="FT137" s="539"/>
      <c r="FU137" s="539"/>
      <c r="FV137" s="539"/>
      <c r="FW137" s="539"/>
      <c r="FX137" s="539"/>
      <c r="FY137" s="539"/>
      <c r="FZ137" s="539"/>
      <c r="GA137" s="539"/>
      <c r="GB137" s="539"/>
      <c r="GC137" s="539"/>
      <c r="GD137" s="539"/>
      <c r="GE137" s="539"/>
      <c r="GF137" s="539"/>
      <c r="GG137" s="539"/>
      <c r="GH137" s="539"/>
      <c r="GI137" s="539"/>
      <c r="GJ137" s="539"/>
      <c r="GK137" s="539"/>
      <c r="GL137" s="539"/>
      <c r="GM137" s="539"/>
      <c r="GN137" s="539"/>
      <c r="GO137" s="539"/>
      <c r="GP137" s="539"/>
      <c r="GQ137" s="539"/>
      <c r="GR137" s="539"/>
      <c r="GS137" s="539"/>
      <c r="GT137" s="539"/>
      <c r="GU137" s="539"/>
      <c r="GV137" s="523"/>
      <c r="GW137" s="523"/>
      <c r="GX137" s="523"/>
      <c r="GY137" s="539"/>
      <c r="GZ137" s="523"/>
      <c r="HA137" s="523"/>
      <c r="HB137" s="523"/>
      <c r="HC137" s="523"/>
      <c r="HD137" s="523"/>
      <c r="HE137" s="523"/>
      <c r="HF137" s="523"/>
      <c r="HG137" s="523"/>
      <c r="HH137" s="523"/>
      <c r="HI137" s="523"/>
      <c r="HJ137" s="523"/>
      <c r="HK137" s="523"/>
      <c r="HL137" s="523"/>
      <c r="HM137" s="523"/>
      <c r="HN137" s="523"/>
      <c r="HO137" s="523"/>
      <c r="HP137" s="523"/>
      <c r="HQ137" s="523"/>
      <c r="HR137" s="523"/>
      <c r="HS137" s="523"/>
    </row>
    <row r="138" spans="1:227" x14ac:dyDescent="0.25">
      <c r="A138" s="107"/>
      <c r="B138" s="518"/>
      <c r="C138" s="618"/>
      <c r="D138" s="616">
        <f>SUM(D78:D137)</f>
        <v>2500000</v>
      </c>
      <c r="E138" s="616">
        <f>SUM(E78:E137)</f>
        <v>2500000</v>
      </c>
      <c r="F138" s="612">
        <f t="shared" si="146"/>
        <v>0</v>
      </c>
      <c r="G138" s="616"/>
      <c r="H138" s="583">
        <f>SUM(H78:H137)</f>
        <v>99000000</v>
      </c>
      <c r="I138" s="583">
        <f>SUM(I78:I137)</f>
        <v>74080000</v>
      </c>
      <c r="J138" s="614">
        <f t="shared" si="147"/>
        <v>24920000</v>
      </c>
      <c r="K138" s="616"/>
      <c r="L138" s="461">
        <f>SUM(L78:L137)</f>
        <v>106200000</v>
      </c>
      <c r="M138" s="461">
        <f>SUM(M78:M137)</f>
        <v>75225000</v>
      </c>
      <c r="N138" s="614">
        <f t="shared" si="148"/>
        <v>30975000</v>
      </c>
      <c r="O138" s="616"/>
      <c r="P138" s="461">
        <f>SUM(P78:P137)</f>
        <v>177000000</v>
      </c>
      <c r="Q138" s="461">
        <f>SUM(Q78:Q137)</f>
        <v>104666032</v>
      </c>
      <c r="R138" s="614">
        <f>P138-Q138</f>
        <v>72333968</v>
      </c>
      <c r="S138" s="616"/>
      <c r="T138" s="465">
        <f>SUM(T78:T137)</f>
        <v>384700000</v>
      </c>
      <c r="U138" s="465">
        <f>SUM(U78:U137)</f>
        <v>256471032</v>
      </c>
      <c r="V138" s="611">
        <f>T138-U138</f>
        <v>128228968</v>
      </c>
      <c r="W138" s="472"/>
      <c r="X138" s="465">
        <v>0</v>
      </c>
      <c r="Y138" s="465">
        <f>SUM(Y78:Y137)</f>
        <v>256471032</v>
      </c>
      <c r="Z138" s="454"/>
      <c r="AA138" s="470"/>
      <c r="AB138" s="523"/>
      <c r="AC138" s="523"/>
      <c r="AD138" s="523"/>
      <c r="AE138" s="470"/>
      <c r="AF138" s="523"/>
      <c r="AG138" s="523"/>
      <c r="AH138" s="523"/>
      <c r="AI138" s="470"/>
      <c r="AJ138" s="523"/>
      <c r="AK138" s="523"/>
      <c r="AL138" s="523"/>
      <c r="AM138" s="523"/>
      <c r="AN138" s="523"/>
      <c r="AO138" s="523"/>
      <c r="AP138" s="523"/>
      <c r="AQ138" s="470"/>
      <c r="AR138" s="523"/>
      <c r="AS138" s="523"/>
      <c r="AT138" s="523"/>
      <c r="AU138" s="470"/>
      <c r="AV138" s="523"/>
      <c r="AW138" s="523"/>
      <c r="AX138" s="523"/>
      <c r="AY138" s="470"/>
      <c r="AZ138" s="523"/>
      <c r="BA138" s="523"/>
      <c r="BB138" s="523"/>
      <c r="BC138" s="470"/>
      <c r="BD138" s="523"/>
      <c r="BE138" s="523"/>
      <c r="BF138" s="523"/>
      <c r="BG138" s="470"/>
      <c r="BH138" s="523"/>
      <c r="BI138" s="523"/>
      <c r="BJ138" s="523"/>
      <c r="BK138" s="470"/>
      <c r="BL138" s="523"/>
      <c r="BM138" s="523"/>
      <c r="BN138" s="523"/>
      <c r="BO138" s="470"/>
      <c r="BP138" s="523"/>
      <c r="BQ138" s="523"/>
      <c r="BR138" s="523"/>
      <c r="BS138" s="470"/>
      <c r="BT138" s="523"/>
      <c r="BU138" s="523"/>
      <c r="BV138" s="523"/>
      <c r="BW138" s="470"/>
      <c r="BX138" s="523"/>
      <c r="BY138" s="523"/>
      <c r="BZ138" s="523"/>
      <c r="CA138" s="470"/>
      <c r="CB138" s="523"/>
      <c r="CC138" s="523"/>
      <c r="CD138" s="523"/>
      <c r="CE138" s="470"/>
      <c r="CF138" s="523"/>
      <c r="CG138" s="523"/>
      <c r="CH138" s="523"/>
      <c r="CI138" s="470"/>
      <c r="CJ138" s="523"/>
      <c r="CK138" s="523"/>
      <c r="CL138" s="523"/>
      <c r="CM138" s="470"/>
      <c r="CN138" s="523"/>
      <c r="CO138" s="523"/>
      <c r="CP138" s="523"/>
      <c r="CQ138" s="470"/>
      <c r="CR138" s="523"/>
      <c r="CS138" s="523"/>
      <c r="CT138" s="523"/>
      <c r="CU138" s="470"/>
      <c r="CV138" s="523"/>
      <c r="CW138" s="523"/>
      <c r="CX138" s="523"/>
      <c r="CY138" s="470"/>
      <c r="CZ138" s="523"/>
      <c r="DA138" s="523"/>
      <c r="DB138" s="523"/>
      <c r="DC138" s="470"/>
      <c r="DD138" s="523"/>
      <c r="DE138" s="523"/>
      <c r="DF138" s="523"/>
      <c r="DG138" s="470"/>
      <c r="DH138" s="523"/>
      <c r="DI138" s="523"/>
      <c r="DJ138" s="523"/>
      <c r="DK138" s="470"/>
      <c r="DL138" s="523"/>
      <c r="DM138" s="523"/>
      <c r="DN138" s="523"/>
      <c r="DO138" s="470"/>
      <c r="DP138" s="523"/>
      <c r="DQ138" s="523"/>
      <c r="DR138" s="523"/>
      <c r="DS138" s="523"/>
      <c r="DT138" s="523"/>
      <c r="DU138" s="523"/>
      <c r="DV138" s="523"/>
      <c r="DW138" s="523"/>
      <c r="DX138" s="523"/>
      <c r="DY138" s="523"/>
      <c r="DZ138" s="523"/>
      <c r="EA138" s="523"/>
      <c r="EB138" s="523"/>
      <c r="EC138" s="523"/>
      <c r="ED138" s="523"/>
      <c r="EE138" s="523"/>
      <c r="EF138" s="523"/>
      <c r="EG138" s="523"/>
      <c r="EH138" s="523"/>
      <c r="EI138" s="523"/>
      <c r="EJ138" s="523"/>
      <c r="EK138" s="523"/>
      <c r="EL138" s="523"/>
      <c r="EM138" s="470"/>
      <c r="EN138" s="470"/>
      <c r="EO138" s="470"/>
      <c r="EP138" s="470"/>
      <c r="EQ138" s="470"/>
      <c r="ER138" s="470"/>
      <c r="ES138" s="470"/>
      <c r="ET138" s="470"/>
      <c r="EU138" s="470"/>
      <c r="EV138" s="470"/>
      <c r="EW138" s="470"/>
      <c r="EX138" s="470"/>
      <c r="EY138" s="470"/>
      <c r="EZ138" s="470"/>
      <c r="FA138" s="470"/>
      <c r="FB138" s="470"/>
      <c r="FC138" s="470"/>
      <c r="FD138" s="470"/>
      <c r="FE138" s="470"/>
      <c r="FF138" s="470"/>
      <c r="FG138" s="470"/>
      <c r="FH138" s="470"/>
      <c r="FI138" s="470"/>
      <c r="FJ138" s="470"/>
      <c r="FK138" s="470"/>
      <c r="FL138" s="470"/>
      <c r="FM138" s="470"/>
      <c r="FN138" s="470"/>
      <c r="FO138" s="470"/>
      <c r="FP138" s="470"/>
      <c r="FQ138" s="470"/>
      <c r="FR138" s="470"/>
      <c r="FS138" s="470"/>
      <c r="FT138" s="470"/>
      <c r="FU138" s="470"/>
      <c r="FV138" s="470"/>
      <c r="FW138" s="470"/>
      <c r="FX138" s="470"/>
      <c r="FY138" s="470"/>
      <c r="FZ138" s="470"/>
      <c r="GA138" s="470"/>
      <c r="GB138" s="470"/>
      <c r="GC138" s="470"/>
      <c r="GD138" s="470"/>
      <c r="GE138" s="470"/>
      <c r="GF138" s="470"/>
      <c r="GG138" s="470"/>
      <c r="GH138" s="470"/>
      <c r="GI138" s="470"/>
      <c r="GJ138" s="470"/>
      <c r="GK138" s="470"/>
      <c r="GL138" s="470"/>
      <c r="GM138" s="470"/>
      <c r="GN138" s="470"/>
      <c r="GO138" s="470"/>
      <c r="GP138" s="470"/>
      <c r="GQ138" s="470"/>
      <c r="GR138" s="470"/>
      <c r="GS138" s="470"/>
      <c r="GT138" s="470"/>
      <c r="GU138" s="470"/>
      <c r="GV138" s="523"/>
      <c r="GW138" s="523"/>
      <c r="GX138" s="523"/>
      <c r="GY138" s="470"/>
      <c r="GZ138" s="523"/>
      <c r="HA138" s="523"/>
      <c r="HB138" s="523"/>
      <c r="HC138" s="523"/>
      <c r="HD138" s="523"/>
      <c r="HE138" s="523"/>
      <c r="HF138" s="523"/>
      <c r="HG138" s="523"/>
      <c r="HH138" s="523"/>
      <c r="HI138" s="523"/>
      <c r="HJ138" s="523"/>
      <c r="HK138" s="523"/>
      <c r="HL138" s="523"/>
      <c r="HM138" s="523"/>
      <c r="HN138" s="523"/>
      <c r="HO138" s="523"/>
      <c r="HP138" s="523"/>
      <c r="HQ138" s="523"/>
      <c r="HR138" s="523"/>
      <c r="HS138" s="523"/>
    </row>
    <row r="139" spans="1:227" x14ac:dyDescent="0.25">
      <c r="A139" s="523"/>
      <c r="B139" s="619"/>
      <c r="C139" s="619"/>
      <c r="D139" s="470"/>
      <c r="E139" s="470"/>
      <c r="F139" s="470"/>
      <c r="G139" s="470"/>
      <c r="H139" s="462"/>
      <c r="I139" s="462"/>
      <c r="J139" s="462"/>
      <c r="K139" s="470"/>
      <c r="L139" s="462"/>
      <c r="M139" s="462"/>
      <c r="N139" s="462"/>
      <c r="O139" s="470"/>
      <c r="P139" s="462"/>
      <c r="Q139" s="462"/>
      <c r="R139" s="462"/>
      <c r="S139" s="470"/>
      <c r="T139" s="470"/>
      <c r="U139" s="470"/>
      <c r="V139" s="470"/>
      <c r="W139" s="470"/>
      <c r="X139" s="519"/>
      <c r="Y139" s="464"/>
      <c r="Z139" s="454"/>
      <c r="AA139" s="470"/>
      <c r="AB139" s="523"/>
      <c r="AC139" s="523"/>
      <c r="AD139" s="523"/>
      <c r="AE139" s="470"/>
      <c r="AF139" s="523"/>
      <c r="AG139" s="523"/>
      <c r="AH139" s="523"/>
      <c r="AI139" s="470"/>
      <c r="AJ139" s="523"/>
      <c r="AK139" s="523"/>
      <c r="AL139" s="523"/>
      <c r="AM139" s="523"/>
      <c r="AN139" s="523"/>
      <c r="AO139" s="523"/>
      <c r="AP139" s="523"/>
      <c r="AQ139" s="470"/>
      <c r="AR139" s="523"/>
      <c r="AS139" s="523"/>
      <c r="AT139" s="523"/>
      <c r="AU139" s="470"/>
      <c r="AV139" s="523"/>
      <c r="AW139" s="523"/>
      <c r="AX139" s="523"/>
      <c r="AY139" s="470"/>
      <c r="AZ139" s="523"/>
      <c r="BA139" s="523"/>
      <c r="BB139" s="523"/>
      <c r="BC139" s="470"/>
      <c r="BD139" s="523"/>
      <c r="BE139" s="523"/>
      <c r="BF139" s="523"/>
      <c r="BG139" s="470"/>
      <c r="BH139" s="523"/>
      <c r="BI139" s="523"/>
      <c r="BJ139" s="523"/>
      <c r="BK139" s="470"/>
      <c r="BL139" s="523"/>
      <c r="BM139" s="523"/>
      <c r="BN139" s="523"/>
      <c r="BO139" s="470"/>
      <c r="BP139" s="523"/>
      <c r="BQ139" s="523"/>
      <c r="BR139" s="523"/>
      <c r="BS139" s="470"/>
      <c r="BT139" s="523"/>
      <c r="BU139" s="523"/>
      <c r="BV139" s="523"/>
      <c r="BW139" s="470"/>
      <c r="BX139" s="523"/>
      <c r="BY139" s="523"/>
      <c r="BZ139" s="523"/>
      <c r="CA139" s="470"/>
      <c r="CB139" s="523"/>
      <c r="CC139" s="523"/>
      <c r="CD139" s="523"/>
      <c r="CE139" s="470"/>
      <c r="CF139" s="523"/>
      <c r="CG139" s="523"/>
      <c r="CH139" s="523"/>
      <c r="CI139" s="470"/>
      <c r="CJ139" s="523"/>
      <c r="CK139" s="523"/>
      <c r="CL139" s="523"/>
      <c r="CM139" s="470"/>
      <c r="CN139" s="523"/>
      <c r="CO139" s="523"/>
      <c r="CP139" s="523"/>
      <c r="CQ139" s="470"/>
      <c r="CR139" s="523"/>
      <c r="CS139" s="523"/>
      <c r="CT139" s="523"/>
      <c r="CU139" s="470"/>
      <c r="CV139" s="523"/>
      <c r="CW139" s="523"/>
      <c r="CX139" s="523"/>
      <c r="CY139" s="470"/>
      <c r="CZ139" s="523"/>
      <c r="DA139" s="523"/>
      <c r="DB139" s="523"/>
      <c r="DC139" s="470"/>
      <c r="DD139" s="523"/>
      <c r="DE139" s="523"/>
      <c r="DF139" s="523"/>
      <c r="DG139" s="470"/>
      <c r="DH139" s="523"/>
      <c r="DI139" s="523"/>
      <c r="DJ139" s="523"/>
      <c r="DK139" s="470"/>
      <c r="DL139" s="523"/>
      <c r="DM139" s="523"/>
      <c r="DN139" s="523"/>
      <c r="DO139" s="470"/>
      <c r="DP139" s="523"/>
      <c r="DQ139" s="523"/>
      <c r="DR139" s="523"/>
      <c r="DS139" s="523"/>
      <c r="DT139" s="523"/>
      <c r="DU139" s="523"/>
      <c r="DV139" s="523"/>
      <c r="DW139" s="523"/>
      <c r="DX139" s="523"/>
      <c r="DY139" s="523"/>
      <c r="DZ139" s="523"/>
      <c r="EA139" s="523"/>
      <c r="EB139" s="523"/>
      <c r="EC139" s="523"/>
      <c r="ED139" s="523"/>
      <c r="EE139" s="523"/>
      <c r="EF139" s="523"/>
      <c r="EG139" s="523"/>
      <c r="EH139" s="523"/>
      <c r="EI139" s="523"/>
      <c r="EJ139" s="523"/>
      <c r="EK139" s="523"/>
      <c r="EL139" s="523"/>
      <c r="EM139" s="470"/>
      <c r="EN139" s="470"/>
      <c r="EO139" s="470"/>
      <c r="EP139" s="470"/>
      <c r="EQ139" s="470"/>
      <c r="ER139" s="470"/>
      <c r="ES139" s="470"/>
      <c r="ET139" s="470"/>
      <c r="EU139" s="470"/>
      <c r="EV139" s="470"/>
      <c r="EW139" s="470"/>
      <c r="EX139" s="470"/>
      <c r="EY139" s="470"/>
      <c r="EZ139" s="470"/>
      <c r="FA139" s="470"/>
      <c r="FB139" s="470"/>
      <c r="FC139" s="470"/>
      <c r="FD139" s="470"/>
      <c r="FE139" s="470"/>
      <c r="FF139" s="470"/>
      <c r="FG139" s="470"/>
      <c r="FH139" s="470"/>
      <c r="FI139" s="470"/>
      <c r="FJ139" s="470"/>
      <c r="FK139" s="470"/>
      <c r="FL139" s="470"/>
      <c r="FM139" s="470"/>
      <c r="FN139" s="470"/>
      <c r="FO139" s="470"/>
      <c r="FP139" s="470"/>
      <c r="FQ139" s="470"/>
      <c r="FR139" s="470"/>
      <c r="FS139" s="470"/>
      <c r="FT139" s="470"/>
      <c r="FU139" s="470"/>
      <c r="FV139" s="470"/>
      <c r="FW139" s="470"/>
      <c r="FX139" s="470"/>
      <c r="FY139" s="470"/>
      <c r="FZ139" s="470"/>
      <c r="GA139" s="470"/>
      <c r="GB139" s="470"/>
      <c r="GC139" s="470"/>
      <c r="GD139" s="470"/>
      <c r="GE139" s="470"/>
      <c r="GF139" s="470"/>
      <c r="GG139" s="470"/>
      <c r="GH139" s="470"/>
      <c r="GI139" s="470"/>
      <c r="GJ139" s="470"/>
      <c r="GK139" s="470"/>
      <c r="GL139" s="470"/>
      <c r="GM139" s="470"/>
      <c r="GN139" s="470"/>
      <c r="GO139" s="470"/>
      <c r="GP139" s="470"/>
      <c r="GQ139" s="470"/>
      <c r="GR139" s="470"/>
      <c r="GS139" s="470"/>
      <c r="GT139" s="470"/>
      <c r="GU139" s="470"/>
      <c r="GV139" s="523"/>
      <c r="GW139" s="523"/>
      <c r="GX139" s="523"/>
      <c r="GY139" s="470"/>
      <c r="GZ139" s="523"/>
      <c r="HA139" s="523"/>
      <c r="HB139" s="523"/>
      <c r="HC139" s="523"/>
      <c r="HD139" s="523"/>
      <c r="HE139" s="523"/>
      <c r="HF139" s="523"/>
      <c r="HG139" s="523"/>
      <c r="HH139" s="523"/>
      <c r="HI139" s="523"/>
      <c r="HJ139" s="523"/>
      <c r="HK139" s="523"/>
      <c r="HL139" s="523"/>
      <c r="HM139" s="523"/>
      <c r="HN139" s="523"/>
      <c r="HO139" s="523"/>
      <c r="HP139" s="523"/>
      <c r="HQ139" s="523"/>
      <c r="HR139" s="523"/>
      <c r="HS139" s="523"/>
    </row>
    <row r="140" spans="1:227" x14ac:dyDescent="0.25">
      <c r="A140" s="523"/>
      <c r="B140" s="619"/>
      <c r="C140" s="619"/>
      <c r="D140" s="470"/>
      <c r="E140" s="470"/>
      <c r="F140" s="470"/>
      <c r="G140" s="470"/>
      <c r="H140" s="462"/>
      <c r="I140" s="462"/>
      <c r="J140" s="462"/>
      <c r="K140" s="470"/>
      <c r="L140" s="462"/>
      <c r="M140" s="462"/>
      <c r="N140" s="462"/>
      <c r="O140" s="470"/>
      <c r="P140" s="462"/>
      <c r="Q140" s="462"/>
      <c r="R140" s="462"/>
      <c r="S140" s="462"/>
      <c r="T140" s="462"/>
      <c r="U140" s="470" t="s">
        <v>645</v>
      </c>
      <c r="V140" s="470"/>
      <c r="W140" s="462"/>
      <c r="X140" s="462"/>
      <c r="Y140" s="464"/>
      <c r="Z140" s="454"/>
      <c r="AA140" s="470"/>
      <c r="AB140" s="523"/>
      <c r="AC140" s="523"/>
      <c r="AD140" s="523"/>
      <c r="AE140" s="470"/>
      <c r="AF140" s="523"/>
      <c r="AG140" s="523"/>
      <c r="AH140" s="523"/>
      <c r="AI140" s="470"/>
      <c r="AJ140" s="523"/>
      <c r="AK140" s="523"/>
      <c r="AL140" s="523"/>
      <c r="AM140" s="523"/>
      <c r="AN140" s="523"/>
      <c r="AO140" s="523"/>
      <c r="AP140" s="523"/>
      <c r="AQ140" s="470"/>
      <c r="AR140" s="523"/>
      <c r="AS140" s="523"/>
      <c r="AT140" s="523"/>
      <c r="AU140" s="470"/>
      <c r="AV140" s="523"/>
      <c r="AW140" s="523"/>
      <c r="AX140" s="523"/>
      <c r="AY140" s="470"/>
      <c r="AZ140" s="523"/>
      <c r="BA140" s="523"/>
      <c r="BB140" s="523"/>
      <c r="BC140" s="470"/>
      <c r="BD140" s="523"/>
      <c r="BE140" s="523"/>
      <c r="BF140" s="523"/>
      <c r="BG140" s="470"/>
      <c r="BH140" s="523"/>
      <c r="BI140" s="523"/>
      <c r="BJ140" s="523"/>
      <c r="BK140" s="470"/>
      <c r="BL140" s="523"/>
      <c r="BM140" s="523"/>
      <c r="BN140" s="523"/>
      <c r="BO140" s="470"/>
      <c r="BP140" s="523"/>
      <c r="BQ140" s="523"/>
      <c r="BR140" s="523"/>
      <c r="BS140" s="470"/>
      <c r="BT140" s="523"/>
      <c r="BU140" s="523"/>
      <c r="BV140" s="523"/>
      <c r="BW140" s="470"/>
      <c r="BX140" s="523"/>
      <c r="BY140" s="523"/>
      <c r="BZ140" s="523"/>
      <c r="CA140" s="470"/>
      <c r="CB140" s="523"/>
      <c r="CC140" s="523"/>
      <c r="CD140" s="523"/>
      <c r="CE140" s="470"/>
      <c r="CF140" s="523"/>
      <c r="CG140" s="523"/>
      <c r="CH140" s="523"/>
      <c r="CI140" s="470"/>
      <c r="CJ140" s="523"/>
      <c r="CK140" s="523"/>
      <c r="CL140" s="523"/>
      <c r="CM140" s="470"/>
      <c r="CN140" s="523"/>
      <c r="CO140" s="523"/>
      <c r="CP140" s="523"/>
      <c r="CQ140" s="470"/>
      <c r="CR140" s="523"/>
      <c r="CS140" s="523"/>
      <c r="CT140" s="523"/>
      <c r="CU140" s="470"/>
      <c r="CV140" s="523"/>
      <c r="CW140" s="523"/>
      <c r="CX140" s="523"/>
      <c r="CY140" s="470"/>
      <c r="CZ140" s="523"/>
      <c r="DA140" s="523"/>
      <c r="DB140" s="523"/>
      <c r="DC140" s="470"/>
      <c r="DD140" s="523"/>
      <c r="DE140" s="523"/>
      <c r="DF140" s="523"/>
      <c r="DG140" s="470"/>
      <c r="DH140" s="523"/>
      <c r="DI140" s="523"/>
      <c r="DJ140" s="523"/>
      <c r="DK140" s="470"/>
      <c r="DL140" s="523"/>
      <c r="DM140" s="523"/>
      <c r="DN140" s="523"/>
      <c r="DO140" s="470"/>
      <c r="DP140" s="523"/>
      <c r="DQ140" s="523"/>
      <c r="DR140" s="523"/>
      <c r="DS140" s="523"/>
      <c r="DT140" s="523"/>
      <c r="DU140" s="523"/>
      <c r="DV140" s="523"/>
      <c r="DW140" s="523"/>
      <c r="DX140" s="523"/>
      <c r="DY140" s="523"/>
      <c r="DZ140" s="523"/>
      <c r="EA140" s="523"/>
      <c r="EB140" s="523"/>
      <c r="EC140" s="523"/>
      <c r="ED140" s="523"/>
      <c r="EE140" s="523"/>
      <c r="EF140" s="523"/>
      <c r="EG140" s="523"/>
      <c r="EH140" s="523"/>
      <c r="EI140" s="523"/>
      <c r="EJ140" s="523"/>
      <c r="EK140" s="523"/>
      <c r="EL140" s="523"/>
      <c r="EM140" s="470"/>
      <c r="EN140" s="470"/>
      <c r="EO140" s="470"/>
      <c r="EP140" s="470"/>
      <c r="EQ140" s="470"/>
      <c r="ER140" s="470"/>
      <c r="ES140" s="470"/>
      <c r="ET140" s="470"/>
      <c r="EU140" s="470"/>
      <c r="EV140" s="470"/>
      <c r="EW140" s="470"/>
      <c r="EX140" s="470"/>
      <c r="EY140" s="470"/>
      <c r="EZ140" s="470"/>
      <c r="FA140" s="470"/>
      <c r="FB140" s="470"/>
      <c r="FC140" s="470"/>
      <c r="FD140" s="470"/>
      <c r="FE140" s="470"/>
      <c r="FF140" s="470"/>
      <c r="FG140" s="470"/>
      <c r="FH140" s="470"/>
      <c r="FI140" s="470"/>
      <c r="FJ140" s="470"/>
      <c r="FK140" s="470"/>
      <c r="FL140" s="470"/>
      <c r="FM140" s="470"/>
      <c r="FN140" s="470"/>
      <c r="FO140" s="470"/>
      <c r="FP140" s="470"/>
      <c r="FQ140" s="470"/>
      <c r="FR140" s="470"/>
      <c r="FS140" s="470"/>
      <c r="FT140" s="470"/>
      <c r="FU140" s="470"/>
      <c r="FV140" s="470"/>
      <c r="FW140" s="470"/>
      <c r="FX140" s="470"/>
      <c r="FY140" s="470"/>
      <c r="FZ140" s="470"/>
      <c r="GA140" s="470"/>
      <c r="GB140" s="470"/>
      <c r="GC140" s="470"/>
      <c r="GD140" s="470"/>
      <c r="GE140" s="470"/>
      <c r="GF140" s="470"/>
      <c r="GG140" s="470"/>
      <c r="GH140" s="470"/>
      <c r="GI140" s="470"/>
      <c r="GJ140" s="470"/>
      <c r="GK140" s="470"/>
      <c r="GL140" s="470"/>
      <c r="GM140" s="470"/>
      <c r="GN140" s="470"/>
      <c r="GO140" s="470"/>
      <c r="GP140" s="470"/>
      <c r="GQ140" s="470"/>
      <c r="GR140" s="470"/>
      <c r="GS140" s="470"/>
      <c r="GT140" s="470"/>
      <c r="GU140" s="470"/>
      <c r="GV140" s="523"/>
      <c r="GW140" s="523"/>
      <c r="GX140" s="523"/>
      <c r="GY140" s="470"/>
      <c r="GZ140" s="523"/>
      <c r="HA140" s="523"/>
      <c r="HB140" s="523"/>
      <c r="HC140" s="523"/>
      <c r="HD140" s="523"/>
      <c r="HE140" s="523"/>
      <c r="HF140" s="523"/>
      <c r="HG140" s="523"/>
      <c r="HH140" s="523"/>
      <c r="HI140" s="523"/>
      <c r="HJ140" s="523"/>
      <c r="HK140" s="523"/>
      <c r="HL140" s="523"/>
      <c r="HM140" s="523"/>
      <c r="HN140" s="523"/>
      <c r="HO140" s="523"/>
      <c r="HP140" s="523"/>
      <c r="HQ140" s="523"/>
      <c r="HR140" s="523"/>
      <c r="HS140" s="523"/>
    </row>
    <row r="141" spans="1:227" ht="31.5" x14ac:dyDescent="0.25">
      <c r="A141" s="523"/>
      <c r="B141" s="619"/>
      <c r="C141" s="619"/>
      <c r="D141" s="470"/>
      <c r="E141" s="470"/>
      <c r="F141" s="470"/>
      <c r="G141" s="470"/>
      <c r="H141" s="462"/>
      <c r="I141" s="462"/>
      <c r="J141" s="462"/>
      <c r="K141" s="470"/>
      <c r="L141" s="462"/>
      <c r="M141" s="462"/>
      <c r="N141" s="462"/>
      <c r="O141" s="470"/>
      <c r="P141" s="462"/>
      <c r="Q141" s="462"/>
      <c r="R141" s="527" t="s">
        <v>646</v>
      </c>
      <c r="S141" s="470"/>
      <c r="U141" s="470" t="e">
        <f>U138+GW71+#REF!+#REF!+#REF!</f>
        <v>#REF!</v>
      </c>
      <c r="V141" s="470"/>
      <c r="W141" s="470"/>
      <c r="Z141" s="523"/>
      <c r="AA141" s="470"/>
      <c r="AB141" s="620"/>
      <c r="AC141" s="523"/>
      <c r="AD141" s="523"/>
      <c r="AE141" s="470"/>
      <c r="AF141" s="523"/>
      <c r="AG141" s="523"/>
      <c r="AH141" s="523"/>
      <c r="AI141" s="470"/>
      <c r="AJ141" s="523"/>
      <c r="AK141" s="523"/>
      <c r="AL141" s="523"/>
      <c r="AM141" s="523"/>
      <c r="AN141" s="523"/>
      <c r="AO141" s="523"/>
      <c r="AP141" s="523"/>
      <c r="AQ141" s="470"/>
      <c r="AR141" s="523"/>
      <c r="AS141" s="523"/>
      <c r="AT141" s="523"/>
      <c r="AU141" s="470"/>
      <c r="AV141" s="523"/>
      <c r="AW141" s="523"/>
      <c r="AX141" s="523"/>
      <c r="AY141" s="470"/>
      <c r="AZ141" s="523"/>
      <c r="BA141" s="523"/>
      <c r="BB141" s="523"/>
      <c r="BC141" s="470"/>
      <c r="BD141" s="523"/>
      <c r="BE141" s="523"/>
      <c r="BF141" s="523"/>
      <c r="BG141" s="470"/>
      <c r="BH141" s="523"/>
      <c r="BI141" s="523"/>
      <c r="BJ141" s="523"/>
      <c r="BK141" s="470"/>
      <c r="BL141" s="523"/>
      <c r="BM141" s="523"/>
      <c r="BN141" s="523"/>
      <c r="BO141" s="470"/>
      <c r="BP141" s="523"/>
      <c r="BQ141" s="523"/>
      <c r="BR141" s="523"/>
      <c r="BS141" s="470"/>
      <c r="BT141" s="523"/>
      <c r="BU141" s="523"/>
      <c r="BV141" s="523"/>
      <c r="BW141" s="470"/>
      <c r="BX141" s="523"/>
      <c r="BY141" s="523"/>
      <c r="BZ141" s="523"/>
      <c r="CA141" s="470"/>
      <c r="CB141" s="523"/>
      <c r="CC141" s="523"/>
      <c r="CD141" s="523"/>
      <c r="CE141" s="470"/>
      <c r="CF141" s="523"/>
      <c r="CG141" s="523"/>
      <c r="CH141" s="523"/>
      <c r="CI141" s="470"/>
      <c r="CJ141" s="523"/>
      <c r="CK141" s="523"/>
      <c r="CL141" s="523"/>
      <c r="CM141" s="470"/>
      <c r="CN141" s="523"/>
      <c r="CO141" s="523"/>
      <c r="CP141" s="523"/>
      <c r="CQ141" s="470"/>
      <c r="CR141" s="523"/>
      <c r="CS141" s="523"/>
      <c r="CT141" s="523"/>
      <c r="CU141" s="470"/>
      <c r="CV141" s="523"/>
      <c r="CW141" s="523"/>
      <c r="CX141" s="523"/>
      <c r="CY141" s="470"/>
      <c r="CZ141" s="523"/>
      <c r="DA141" s="523"/>
      <c r="DB141" s="523"/>
      <c r="DC141" s="470"/>
      <c r="DD141" s="523"/>
      <c r="DE141" s="523"/>
      <c r="DF141" s="523"/>
      <c r="DG141" s="470"/>
      <c r="DH141" s="523"/>
      <c r="DI141" s="523"/>
      <c r="DJ141" s="523"/>
      <c r="DK141" s="470"/>
      <c r="DL141" s="523"/>
      <c r="DM141" s="523"/>
      <c r="DN141" s="523"/>
      <c r="DO141" s="470"/>
      <c r="DP141" s="523"/>
      <c r="DQ141" s="523"/>
      <c r="DR141" s="523"/>
      <c r="DS141" s="523"/>
      <c r="DT141" s="523"/>
      <c r="DU141" s="523"/>
      <c r="DV141" s="523"/>
      <c r="DW141" s="523"/>
      <c r="DX141" s="523"/>
      <c r="DY141" s="523"/>
      <c r="DZ141" s="523"/>
      <c r="EA141" s="523"/>
      <c r="EB141" s="523"/>
      <c r="EC141" s="523"/>
      <c r="ED141" s="523"/>
      <c r="EE141" s="523"/>
      <c r="EF141" s="523"/>
      <c r="EG141" s="523"/>
      <c r="EH141" s="523"/>
      <c r="EI141" s="523"/>
      <c r="EJ141" s="523"/>
      <c r="EK141" s="523"/>
      <c r="EL141" s="523"/>
      <c r="EM141" s="470"/>
      <c r="EN141" s="470"/>
      <c r="EO141" s="470"/>
      <c r="EP141" s="470"/>
      <c r="EQ141" s="470"/>
      <c r="ER141" s="470"/>
      <c r="ES141" s="470"/>
      <c r="ET141" s="470"/>
      <c r="EU141" s="470"/>
      <c r="EV141" s="470"/>
      <c r="EW141" s="470"/>
      <c r="EX141" s="470"/>
      <c r="EY141" s="470"/>
      <c r="EZ141" s="470"/>
      <c r="FA141" s="470"/>
      <c r="FB141" s="470"/>
      <c r="FC141" s="470"/>
      <c r="FD141" s="470"/>
      <c r="FE141" s="470"/>
      <c r="FF141" s="470"/>
      <c r="FG141" s="470"/>
      <c r="FH141" s="470"/>
      <c r="FI141" s="470"/>
      <c r="FJ141" s="470"/>
      <c r="FK141" s="470"/>
      <c r="FL141" s="470"/>
      <c r="FM141" s="470"/>
      <c r="FN141" s="470"/>
      <c r="FO141" s="470"/>
      <c r="FP141" s="470"/>
      <c r="FQ141" s="470"/>
      <c r="FR141" s="470"/>
      <c r="FS141" s="470"/>
      <c r="FT141" s="470"/>
      <c r="FU141" s="470"/>
      <c r="FV141" s="470"/>
      <c r="FW141" s="470"/>
      <c r="FX141" s="470"/>
      <c r="FY141" s="470"/>
      <c r="FZ141" s="470"/>
      <c r="GA141" s="470"/>
      <c r="GB141" s="470"/>
      <c r="GC141" s="470"/>
      <c r="GD141" s="470"/>
      <c r="GE141" s="470"/>
      <c r="GF141" s="470"/>
      <c r="GG141" s="470"/>
      <c r="GH141" s="470"/>
      <c r="GI141" s="470"/>
      <c r="GJ141" s="470"/>
      <c r="GK141" s="470"/>
      <c r="GL141" s="470"/>
      <c r="GM141" s="470"/>
      <c r="GN141" s="470"/>
      <c r="GO141" s="470"/>
      <c r="GP141" s="470"/>
      <c r="GQ141" s="470"/>
      <c r="GR141" s="470"/>
      <c r="GS141" s="470"/>
      <c r="GT141" s="470"/>
      <c r="GU141" s="470"/>
      <c r="GV141" s="523"/>
      <c r="GW141" s="523"/>
      <c r="GX141" s="523"/>
      <c r="GY141" s="470"/>
      <c r="GZ141" s="523"/>
      <c r="HA141" s="523"/>
      <c r="HB141" s="523"/>
      <c r="HC141" s="523"/>
      <c r="HD141" s="523"/>
      <c r="HE141" s="523"/>
      <c r="HF141" s="523"/>
      <c r="HG141" s="523"/>
      <c r="HH141" s="523"/>
      <c r="HI141" s="523"/>
      <c r="HJ141" s="523"/>
      <c r="HK141" s="523"/>
      <c r="HL141" s="523"/>
      <c r="HM141" s="523"/>
      <c r="HN141" s="523"/>
      <c r="HO141" s="523"/>
      <c r="HP141" s="523"/>
      <c r="HQ141" s="523"/>
      <c r="HR141" s="523"/>
      <c r="HS141" s="523"/>
    </row>
    <row r="142" spans="1:227" x14ac:dyDescent="0.25">
      <c r="A142" s="523"/>
      <c r="B142" s="619"/>
      <c r="C142" s="619"/>
      <c r="D142" s="470"/>
      <c r="F142" s="470"/>
      <c r="G142" s="470"/>
      <c r="H142" s="462"/>
      <c r="I142" s="462"/>
      <c r="J142" s="462"/>
      <c r="K142" s="470"/>
      <c r="L142" s="462"/>
      <c r="M142" s="462"/>
      <c r="N142" s="462"/>
      <c r="O142" s="470"/>
      <c r="P142" s="462"/>
      <c r="R142" s="621"/>
      <c r="S142" s="470"/>
      <c r="U142" s="470"/>
      <c r="V142" s="470"/>
      <c r="W142" s="470"/>
      <c r="X142" s="470"/>
      <c r="Y142" s="470" t="e">
        <f>Y145-U145</f>
        <v>#REF!</v>
      </c>
      <c r="Z142" s="470"/>
      <c r="AA142" s="470"/>
      <c r="AB142" s="523"/>
      <c r="AC142" s="523"/>
      <c r="AD142" s="523"/>
      <c r="AE142" s="470"/>
      <c r="AF142" s="523"/>
      <c r="AG142" s="523"/>
      <c r="AH142" s="523"/>
      <c r="AI142" s="470"/>
      <c r="AJ142" s="523"/>
      <c r="AK142" s="523"/>
      <c r="AL142" s="523"/>
      <c r="AM142" s="523"/>
      <c r="AN142" s="523"/>
      <c r="AO142" s="523"/>
      <c r="AP142" s="523"/>
      <c r="AQ142" s="470"/>
      <c r="AR142" s="523"/>
      <c r="AS142" s="523"/>
      <c r="AT142" s="523"/>
      <c r="AU142" s="470"/>
      <c r="AV142" s="523"/>
      <c r="AW142" s="523"/>
      <c r="AX142" s="523"/>
      <c r="AY142" s="470"/>
      <c r="AZ142" s="523"/>
      <c r="BA142" s="523"/>
      <c r="BB142" s="523"/>
      <c r="BC142" s="470"/>
      <c r="BD142" s="523"/>
      <c r="BE142" s="523"/>
      <c r="BF142" s="523"/>
      <c r="BG142" s="470"/>
      <c r="BH142" s="523"/>
      <c r="BI142" s="523"/>
      <c r="BJ142" s="523"/>
      <c r="BK142" s="470"/>
      <c r="BL142" s="523"/>
      <c r="BM142" s="523"/>
      <c r="BN142" s="523"/>
      <c r="BO142" s="470"/>
      <c r="BP142" s="523"/>
      <c r="BQ142" s="523"/>
      <c r="BR142" s="523"/>
      <c r="BS142" s="470"/>
      <c r="BT142" s="523"/>
      <c r="BU142" s="523"/>
      <c r="BV142" s="523"/>
      <c r="BW142" s="470"/>
      <c r="BX142" s="523"/>
      <c r="BY142" s="523"/>
      <c r="BZ142" s="523"/>
      <c r="CA142" s="470"/>
      <c r="CB142" s="523"/>
      <c r="CC142" s="523"/>
      <c r="CD142" s="523"/>
      <c r="CE142" s="470"/>
      <c r="CF142" s="523"/>
      <c r="CG142" s="523"/>
      <c r="CH142" s="523"/>
      <c r="CI142" s="470"/>
      <c r="CJ142" s="523"/>
      <c r="CK142" s="523"/>
      <c r="CL142" s="523"/>
      <c r="CM142" s="470"/>
      <c r="CN142" s="523"/>
      <c r="CO142" s="523"/>
      <c r="CP142" s="523"/>
      <c r="CQ142" s="470"/>
      <c r="CR142" s="523"/>
      <c r="CS142" s="523"/>
      <c r="CT142" s="523"/>
      <c r="CU142" s="470"/>
      <c r="CV142" s="523"/>
      <c r="CW142" s="523"/>
      <c r="CX142" s="523"/>
      <c r="CY142" s="470"/>
      <c r="CZ142" s="523"/>
      <c r="DA142" s="523"/>
      <c r="DB142" s="523"/>
      <c r="DC142" s="470"/>
      <c r="DD142" s="523"/>
      <c r="DE142" s="523"/>
      <c r="DF142" s="523"/>
      <c r="DG142" s="470"/>
      <c r="DH142" s="523"/>
      <c r="DI142" s="523"/>
      <c r="DJ142" s="523"/>
      <c r="DK142" s="470"/>
      <c r="DL142" s="523"/>
      <c r="DM142" s="523"/>
      <c r="DN142" s="523"/>
      <c r="DO142" s="470"/>
      <c r="DP142" s="523"/>
      <c r="DQ142" s="523"/>
      <c r="DR142" s="523"/>
      <c r="DS142" s="523"/>
      <c r="DT142" s="523"/>
      <c r="DU142" s="523"/>
      <c r="DV142" s="523"/>
      <c r="DW142" s="523"/>
      <c r="DX142" s="523"/>
      <c r="DY142" s="523"/>
      <c r="DZ142" s="523"/>
      <c r="EA142" s="523"/>
      <c r="EB142" s="523"/>
      <c r="EC142" s="523"/>
      <c r="ED142" s="523"/>
      <c r="EE142" s="523"/>
      <c r="EF142" s="523"/>
      <c r="EG142" s="523"/>
      <c r="EH142" s="523"/>
      <c r="EI142" s="523"/>
      <c r="EJ142" s="523"/>
      <c r="EK142" s="523"/>
      <c r="EL142" s="523"/>
      <c r="EM142" s="470"/>
      <c r="EN142" s="470"/>
      <c r="EO142" s="470"/>
      <c r="EP142" s="470"/>
      <c r="EQ142" s="470"/>
      <c r="ER142" s="470"/>
      <c r="ES142" s="470"/>
      <c r="ET142" s="470"/>
      <c r="EU142" s="470"/>
      <c r="EV142" s="470"/>
      <c r="EW142" s="470"/>
      <c r="EX142" s="470"/>
      <c r="EY142" s="470"/>
      <c r="EZ142" s="470"/>
      <c r="FA142" s="470"/>
      <c r="FB142" s="470"/>
      <c r="FC142" s="470"/>
      <c r="FD142" s="470"/>
      <c r="FE142" s="470"/>
      <c r="FF142" s="470"/>
      <c r="FG142" s="470"/>
      <c r="FH142" s="470"/>
      <c r="FI142" s="470"/>
      <c r="FJ142" s="470"/>
      <c r="FK142" s="470"/>
      <c r="FL142" s="470"/>
      <c r="FM142" s="470"/>
      <c r="FN142" s="470"/>
      <c r="FO142" s="470"/>
      <c r="FP142" s="470"/>
      <c r="FQ142" s="470"/>
      <c r="FR142" s="470"/>
      <c r="FS142" s="470"/>
      <c r="FT142" s="470"/>
      <c r="FU142" s="470"/>
      <c r="FV142" s="470"/>
      <c r="FW142" s="470"/>
      <c r="FX142" s="470"/>
      <c r="FY142" s="470"/>
      <c r="FZ142" s="470"/>
      <c r="GA142" s="470"/>
      <c r="GB142" s="470"/>
      <c r="GC142" s="470"/>
      <c r="GD142" s="470"/>
      <c r="GE142" s="470"/>
      <c r="GF142" s="470"/>
      <c r="GG142" s="470"/>
      <c r="GH142" s="470"/>
      <c r="GI142" s="470"/>
      <c r="GJ142" s="470"/>
      <c r="GK142" s="470"/>
      <c r="GL142" s="470"/>
      <c r="GM142" s="470"/>
      <c r="GN142" s="470"/>
      <c r="GO142" s="470"/>
      <c r="GP142" s="470"/>
      <c r="GQ142" s="470"/>
      <c r="GR142" s="470"/>
      <c r="GS142" s="470"/>
      <c r="GT142" s="470"/>
      <c r="GU142" s="470"/>
      <c r="GV142" s="523"/>
      <c r="GW142" s="523"/>
      <c r="GX142" s="523"/>
      <c r="GY142" s="470"/>
      <c r="GZ142" s="523"/>
      <c r="HA142" s="523"/>
      <c r="HB142" s="523"/>
      <c r="HC142" s="523"/>
      <c r="HD142" s="523"/>
      <c r="HE142" s="523"/>
      <c r="HF142" s="523"/>
      <c r="HG142" s="523"/>
      <c r="HH142" s="523"/>
      <c r="HI142" s="523"/>
      <c r="HJ142" s="523"/>
      <c r="HK142" s="523"/>
      <c r="HL142" s="523"/>
      <c r="HM142" s="523"/>
      <c r="HN142" s="523"/>
      <c r="HO142" s="523"/>
      <c r="HP142" s="523"/>
      <c r="HQ142" s="523"/>
      <c r="HR142" s="523"/>
      <c r="HS142" s="523"/>
    </row>
    <row r="143" spans="1:227" x14ac:dyDescent="0.25">
      <c r="A143" s="523"/>
      <c r="D143" s="472"/>
      <c r="F143" s="622"/>
      <c r="G143" s="622"/>
      <c r="H143" s="462"/>
      <c r="I143" s="462"/>
      <c r="J143" s="462"/>
      <c r="K143" s="622"/>
      <c r="L143" s="462"/>
      <c r="M143" s="462"/>
      <c r="N143" s="462"/>
      <c r="O143" s="622"/>
      <c r="P143" s="462"/>
      <c r="Q143" s="462"/>
      <c r="R143" s="621" t="s">
        <v>647</v>
      </c>
      <c r="S143" s="470"/>
      <c r="U143" s="470" t="e">
        <f>$U$141</f>
        <v>#REF!</v>
      </c>
      <c r="V143" s="470"/>
      <c r="W143" s="470"/>
      <c r="X143" s="470"/>
      <c r="Y143" s="470"/>
      <c r="Z143" s="531"/>
      <c r="AA143" s="622"/>
      <c r="AB143" s="523"/>
      <c r="AC143" s="523"/>
      <c r="AD143" s="523"/>
      <c r="AE143" s="622"/>
      <c r="AF143" s="523"/>
      <c r="AG143" s="523"/>
      <c r="AH143" s="523"/>
      <c r="AI143" s="622"/>
      <c r="AJ143" s="523"/>
      <c r="AK143" s="523"/>
      <c r="AL143" s="523"/>
      <c r="AM143" s="523"/>
      <c r="AN143" s="523"/>
      <c r="AO143" s="523"/>
      <c r="AP143" s="523"/>
      <c r="AQ143" s="622"/>
      <c r="AR143" s="523"/>
      <c r="AS143" s="523"/>
      <c r="AT143" s="523"/>
      <c r="AU143" s="622"/>
      <c r="AV143" s="523"/>
      <c r="AW143" s="523"/>
      <c r="AX143" s="523"/>
      <c r="AY143" s="622"/>
      <c r="AZ143" s="523"/>
      <c r="BA143" s="523"/>
      <c r="BB143" s="523"/>
      <c r="BC143" s="622"/>
      <c r="BD143" s="523"/>
      <c r="BE143" s="523"/>
      <c r="BF143" s="523"/>
      <c r="BG143" s="622"/>
      <c r="BH143" s="523"/>
      <c r="BI143" s="523"/>
      <c r="BJ143" s="523"/>
      <c r="BK143" s="622"/>
      <c r="BL143" s="523"/>
      <c r="BM143" s="523"/>
      <c r="BN143" s="523"/>
      <c r="BO143" s="622"/>
      <c r="BP143" s="523"/>
      <c r="BQ143" s="523"/>
      <c r="BR143" s="523"/>
      <c r="BS143" s="622"/>
      <c r="BT143" s="523"/>
      <c r="BU143" s="523"/>
      <c r="BV143" s="523"/>
      <c r="BW143" s="622"/>
      <c r="BX143" s="523"/>
      <c r="BY143" s="523"/>
      <c r="BZ143" s="523"/>
      <c r="CA143" s="622"/>
      <c r="CB143" s="523"/>
      <c r="CC143" s="523"/>
      <c r="CD143" s="523"/>
      <c r="CE143" s="622"/>
      <c r="CF143" s="523"/>
      <c r="CG143" s="523"/>
      <c r="CH143" s="523"/>
      <c r="CI143" s="622"/>
      <c r="CJ143" s="523"/>
      <c r="CK143" s="523"/>
      <c r="CL143" s="523"/>
      <c r="CM143" s="622"/>
      <c r="CN143" s="523"/>
      <c r="CO143" s="523"/>
      <c r="CP143" s="523"/>
      <c r="CQ143" s="622"/>
      <c r="CR143" s="523"/>
      <c r="CS143" s="523"/>
      <c r="CT143" s="523"/>
      <c r="CU143" s="622"/>
      <c r="CV143" s="523"/>
      <c r="CW143" s="523"/>
      <c r="CX143" s="523"/>
      <c r="CY143" s="622"/>
      <c r="CZ143" s="523"/>
      <c r="DA143" s="523"/>
      <c r="DB143" s="523"/>
      <c r="DC143" s="622"/>
      <c r="DD143" s="523"/>
      <c r="DE143" s="523"/>
      <c r="DF143" s="523"/>
      <c r="DG143" s="622"/>
      <c r="DH143" s="523"/>
      <c r="DI143" s="523"/>
      <c r="DJ143" s="523"/>
      <c r="DK143" s="622"/>
      <c r="DL143" s="523"/>
      <c r="DM143" s="523"/>
      <c r="DN143" s="523"/>
      <c r="DO143" s="622"/>
      <c r="DP143" s="523"/>
      <c r="DQ143" s="523"/>
      <c r="DR143" s="523"/>
      <c r="DS143" s="523"/>
      <c r="DT143" s="523"/>
      <c r="DU143" s="523"/>
      <c r="DV143" s="523"/>
      <c r="DW143" s="523"/>
      <c r="DX143" s="523"/>
      <c r="DY143" s="523"/>
      <c r="DZ143" s="523"/>
      <c r="EA143" s="523"/>
      <c r="EB143" s="523"/>
      <c r="EC143" s="523"/>
      <c r="ED143" s="523"/>
      <c r="EE143" s="523"/>
      <c r="EF143" s="523"/>
      <c r="EG143" s="523"/>
      <c r="EH143" s="523"/>
      <c r="EI143" s="523"/>
      <c r="EJ143" s="523"/>
      <c r="EK143" s="523"/>
      <c r="EL143" s="523"/>
      <c r="EM143" s="622"/>
      <c r="EN143" s="622"/>
      <c r="EO143" s="622"/>
      <c r="EP143" s="622"/>
      <c r="EQ143" s="622"/>
      <c r="ER143" s="622"/>
      <c r="ES143" s="622"/>
      <c r="ET143" s="622"/>
      <c r="EU143" s="622"/>
      <c r="EV143" s="622"/>
      <c r="EW143" s="622"/>
      <c r="EX143" s="622"/>
      <c r="EY143" s="622"/>
      <c r="EZ143" s="622"/>
      <c r="FA143" s="622"/>
      <c r="FB143" s="622"/>
      <c r="FC143" s="622"/>
      <c r="FD143" s="622"/>
      <c r="FE143" s="622"/>
      <c r="FF143" s="622"/>
      <c r="FG143" s="622"/>
      <c r="FH143" s="622"/>
      <c r="FI143" s="622"/>
      <c r="FJ143" s="622"/>
      <c r="FK143" s="622"/>
      <c r="FL143" s="622"/>
      <c r="FM143" s="622"/>
      <c r="FN143" s="622"/>
      <c r="FO143" s="622"/>
      <c r="FP143" s="622"/>
      <c r="FQ143" s="622"/>
      <c r="FR143" s="622"/>
      <c r="FS143" s="622"/>
      <c r="FT143" s="622"/>
      <c r="FU143" s="622"/>
      <c r="FV143" s="622"/>
      <c r="FW143" s="622"/>
      <c r="FX143" s="622"/>
      <c r="FY143" s="622"/>
      <c r="FZ143" s="622"/>
      <c r="GA143" s="622"/>
      <c r="GB143" s="622"/>
      <c r="GC143" s="622"/>
      <c r="GD143" s="622"/>
      <c r="GE143" s="622"/>
      <c r="GF143" s="622"/>
      <c r="GG143" s="622"/>
      <c r="GH143" s="622"/>
      <c r="GI143" s="622"/>
      <c r="GJ143" s="622"/>
      <c r="GK143" s="622"/>
      <c r="GL143" s="622"/>
      <c r="GM143" s="622"/>
      <c r="GN143" s="622"/>
      <c r="GO143" s="622"/>
      <c r="GP143" s="622"/>
      <c r="GQ143" s="622"/>
      <c r="GR143" s="622"/>
      <c r="GS143" s="622"/>
      <c r="GT143" s="622"/>
      <c r="GU143" s="622"/>
      <c r="GV143" s="523"/>
      <c r="GW143" s="523"/>
      <c r="GX143" s="523"/>
      <c r="GY143" s="622"/>
      <c r="GZ143" s="523"/>
      <c r="HA143" s="523"/>
      <c r="HB143" s="523"/>
      <c r="HC143" s="523"/>
      <c r="HD143" s="523"/>
      <c r="HE143" s="523"/>
      <c r="HF143" s="523"/>
      <c r="HG143" s="523"/>
      <c r="HH143" s="523"/>
      <c r="HI143" s="523"/>
      <c r="HJ143" s="523"/>
      <c r="HK143" s="523"/>
      <c r="HL143" s="523"/>
      <c r="HM143" s="523"/>
      <c r="HN143" s="523"/>
      <c r="HO143" s="523"/>
      <c r="HP143" s="523"/>
      <c r="HQ143" s="523"/>
      <c r="HR143" s="523"/>
      <c r="HS143" s="523"/>
    </row>
    <row r="144" spans="1:227" x14ac:dyDescent="0.25">
      <c r="A144" s="523"/>
      <c r="B144" s="619"/>
      <c r="C144" s="619"/>
      <c r="D144" s="470"/>
      <c r="F144" s="470"/>
      <c r="G144" s="470"/>
      <c r="H144" s="462"/>
      <c r="I144" s="462"/>
      <c r="J144" s="462"/>
      <c r="K144" s="470"/>
      <c r="L144" s="462"/>
      <c r="M144" s="462"/>
      <c r="N144" s="462"/>
      <c r="O144" s="470"/>
      <c r="P144" s="462"/>
      <c r="Q144" s="462"/>
      <c r="R144" s="462"/>
      <c r="S144" s="470"/>
      <c r="T144" s="470"/>
      <c r="U144" s="470"/>
      <c r="V144" s="470"/>
      <c r="W144" s="470"/>
      <c r="X144" s="470"/>
      <c r="Y144" s="470"/>
      <c r="Z144" s="523"/>
      <c r="AA144" s="470"/>
      <c r="AB144" s="523"/>
      <c r="AC144" s="523"/>
      <c r="AD144" s="523"/>
      <c r="AE144" s="470"/>
      <c r="AF144" s="523"/>
      <c r="AG144" s="523"/>
      <c r="AH144" s="523"/>
      <c r="AI144" s="470"/>
      <c r="AJ144" s="523"/>
      <c r="AK144" s="523"/>
      <c r="AL144" s="523"/>
      <c r="AM144" s="523"/>
      <c r="AN144" s="523"/>
      <c r="AO144" s="523"/>
      <c r="AP144" s="523"/>
      <c r="AQ144" s="470"/>
      <c r="AR144" s="523"/>
      <c r="AS144" s="523"/>
      <c r="AT144" s="523"/>
      <c r="AU144" s="470"/>
      <c r="AV144" s="523"/>
      <c r="AW144" s="523"/>
      <c r="AX144" s="523"/>
      <c r="AY144" s="470"/>
      <c r="AZ144" s="523"/>
      <c r="BA144" s="523"/>
      <c r="BB144" s="523"/>
      <c r="BC144" s="470"/>
      <c r="BD144" s="523"/>
      <c r="BE144" s="523"/>
      <c r="BF144" s="523"/>
      <c r="BG144" s="470"/>
      <c r="BH144" s="523"/>
      <c r="BI144" s="523"/>
      <c r="BJ144" s="523"/>
      <c r="BK144" s="470"/>
      <c r="BL144" s="523"/>
      <c r="BM144" s="523"/>
      <c r="BN144" s="523"/>
      <c r="BO144" s="470"/>
      <c r="BP144" s="523"/>
      <c r="BQ144" s="523"/>
      <c r="BR144" s="523"/>
      <c r="BS144" s="470"/>
      <c r="BT144" s="523"/>
      <c r="BU144" s="523"/>
      <c r="BV144" s="523"/>
      <c r="BW144" s="470"/>
      <c r="BX144" s="523"/>
      <c r="BY144" s="523"/>
      <c r="BZ144" s="523"/>
      <c r="CA144" s="470"/>
      <c r="CB144" s="523"/>
      <c r="CC144" s="523"/>
      <c r="CD144" s="523"/>
      <c r="CE144" s="470"/>
      <c r="CF144" s="523"/>
      <c r="CG144" s="523"/>
      <c r="CH144" s="523"/>
      <c r="CI144" s="470"/>
      <c r="CJ144" s="523"/>
      <c r="CK144" s="523"/>
      <c r="CL144" s="523"/>
      <c r="CM144" s="470"/>
      <c r="CN144" s="523"/>
      <c r="CO144" s="523"/>
      <c r="CP144" s="523"/>
      <c r="CQ144" s="470"/>
      <c r="CR144" s="523"/>
      <c r="CS144" s="523"/>
      <c r="CT144" s="523"/>
      <c r="CU144" s="470"/>
      <c r="CV144" s="523"/>
      <c r="CW144" s="523"/>
      <c r="CX144" s="523"/>
      <c r="CY144" s="470"/>
      <c r="CZ144" s="523"/>
      <c r="DA144" s="523"/>
      <c r="DB144" s="523"/>
      <c r="DC144" s="470"/>
      <c r="DD144" s="523"/>
      <c r="DE144" s="523"/>
      <c r="DF144" s="523"/>
      <c r="DG144" s="470"/>
      <c r="DH144" s="523"/>
      <c r="DI144" s="523"/>
      <c r="DJ144" s="523"/>
      <c r="DK144" s="470"/>
      <c r="DL144" s="523"/>
      <c r="DM144" s="523"/>
      <c r="DN144" s="523"/>
      <c r="DO144" s="470"/>
      <c r="DP144" s="523"/>
      <c r="DQ144" s="523"/>
      <c r="DR144" s="523"/>
      <c r="DS144" s="523"/>
      <c r="DT144" s="523"/>
      <c r="DU144" s="523"/>
      <c r="DV144" s="523"/>
      <c r="DW144" s="523"/>
      <c r="DX144" s="523"/>
      <c r="DY144" s="523"/>
      <c r="DZ144" s="523"/>
      <c r="EA144" s="523"/>
      <c r="EB144" s="523"/>
      <c r="EC144" s="523"/>
      <c r="ED144" s="523"/>
      <c r="EE144" s="523"/>
      <c r="EF144" s="523"/>
      <c r="EG144" s="523"/>
      <c r="EH144" s="523"/>
      <c r="EI144" s="523"/>
      <c r="EJ144" s="523"/>
      <c r="EK144" s="523"/>
      <c r="EL144" s="523"/>
      <c r="EM144" s="470"/>
      <c r="EN144" s="470"/>
      <c r="EO144" s="470"/>
      <c r="EP144" s="470"/>
      <c r="EQ144" s="470"/>
      <c r="ER144" s="470"/>
      <c r="ES144" s="470"/>
      <c r="ET144" s="470"/>
      <c r="EU144" s="470"/>
      <c r="EV144" s="470"/>
      <c r="EW144" s="470"/>
      <c r="EX144" s="470"/>
      <c r="EY144" s="470"/>
      <c r="EZ144" s="470"/>
      <c r="FA144" s="470"/>
      <c r="FB144" s="470"/>
      <c r="FC144" s="470"/>
      <c r="FD144" s="470"/>
      <c r="FE144" s="470"/>
      <c r="FF144" s="470"/>
      <c r="FG144" s="470"/>
      <c r="FH144" s="470"/>
      <c r="FI144" s="470"/>
      <c r="FJ144" s="470"/>
      <c r="FK144" s="470"/>
      <c r="FL144" s="470"/>
      <c r="FM144" s="470"/>
      <c r="FN144" s="470"/>
      <c r="FO144" s="470"/>
      <c r="FP144" s="470"/>
      <c r="FQ144" s="470"/>
      <c r="FR144" s="470"/>
      <c r="FS144" s="470"/>
      <c r="FT144" s="470"/>
      <c r="FU144" s="470"/>
      <c r="FV144" s="470"/>
      <c r="FW144" s="470"/>
      <c r="FX144" s="470"/>
      <c r="FY144" s="470"/>
      <c r="FZ144" s="470"/>
      <c r="GA144" s="470"/>
      <c r="GB144" s="470"/>
      <c r="GC144" s="470"/>
      <c r="GD144" s="470"/>
      <c r="GE144" s="470"/>
      <c r="GF144" s="470"/>
      <c r="GG144" s="470"/>
      <c r="GH144" s="470"/>
      <c r="GI144" s="470"/>
      <c r="GJ144" s="470"/>
      <c r="GK144" s="470"/>
      <c r="GL144" s="470"/>
      <c r="GM144" s="470"/>
      <c r="GN144" s="470"/>
      <c r="GO144" s="470"/>
      <c r="GP144" s="470"/>
      <c r="GQ144" s="470"/>
      <c r="GR144" s="470"/>
      <c r="GS144" s="470"/>
      <c r="GT144" s="470"/>
      <c r="GU144" s="470"/>
      <c r="GV144" s="523"/>
      <c r="GW144" s="523"/>
      <c r="GX144" s="523"/>
      <c r="GY144" s="470"/>
      <c r="GZ144" s="523"/>
      <c r="HA144" s="523"/>
      <c r="HB144" s="523"/>
      <c r="HC144" s="523"/>
      <c r="HD144" s="523"/>
      <c r="HE144" s="523"/>
      <c r="HF144" s="523"/>
      <c r="HG144" s="523"/>
      <c r="HH144" s="523"/>
      <c r="HI144" s="523"/>
      <c r="HJ144" s="523"/>
      <c r="HK144" s="523"/>
      <c r="HL144" s="523"/>
      <c r="HM144" s="523"/>
      <c r="HN144" s="523"/>
      <c r="HO144" s="523"/>
      <c r="HP144" s="523"/>
      <c r="HQ144" s="523"/>
      <c r="HR144" s="523"/>
      <c r="HS144" s="523"/>
    </row>
    <row r="145" spans="1:227" ht="31.5" x14ac:dyDescent="0.25">
      <c r="A145" s="523"/>
      <c r="B145" s="619"/>
      <c r="C145" s="619"/>
      <c r="D145" s="470"/>
      <c r="F145" s="470"/>
      <c r="G145" s="470"/>
      <c r="H145" s="462"/>
      <c r="I145" s="462"/>
      <c r="J145" s="462"/>
      <c r="K145" s="470"/>
      <c r="L145" s="462"/>
      <c r="M145" s="462"/>
      <c r="N145" s="462"/>
      <c r="O145" s="470"/>
      <c r="P145" s="462"/>
      <c r="Q145" s="462"/>
      <c r="R145" s="470" t="s">
        <v>648</v>
      </c>
      <c r="S145" s="470"/>
      <c r="U145" s="474">
        <v>103353683848.26997</v>
      </c>
      <c r="V145" s="470">
        <v>22591810837.869999</v>
      </c>
      <c r="W145" s="470"/>
      <c r="X145" s="569" t="s">
        <v>649</v>
      </c>
      <c r="Y145" s="519" t="e">
        <f>Y138+#REF!+#REF!+#REF!+#REF!</f>
        <v>#REF!</v>
      </c>
      <c r="Z145" s="476"/>
      <c r="AA145" s="470"/>
      <c r="AB145" s="523"/>
      <c r="AC145" s="523"/>
      <c r="AD145" s="523"/>
      <c r="AE145" s="470"/>
      <c r="AF145" s="523"/>
      <c r="AG145" s="523"/>
      <c r="AH145" s="523"/>
      <c r="AI145" s="470"/>
      <c r="AJ145" s="523"/>
      <c r="AK145" s="523"/>
      <c r="AL145" s="523"/>
      <c r="AM145" s="523"/>
      <c r="AN145" s="523"/>
      <c r="AO145" s="523"/>
      <c r="AP145" s="523"/>
      <c r="AQ145" s="470"/>
      <c r="AR145" s="523"/>
      <c r="AS145" s="523"/>
      <c r="AT145" s="523"/>
      <c r="AU145" s="470"/>
      <c r="AV145" s="523"/>
      <c r="AW145" s="523"/>
      <c r="AX145" s="523"/>
      <c r="AY145" s="470"/>
      <c r="AZ145" s="523"/>
      <c r="BA145" s="523"/>
      <c r="BB145" s="523"/>
      <c r="BC145" s="470"/>
      <c r="BD145" s="523"/>
      <c r="BE145" s="523"/>
      <c r="BF145" s="523"/>
      <c r="BG145" s="470"/>
      <c r="BH145" s="523"/>
      <c r="BI145" s="523"/>
      <c r="BJ145" s="523"/>
      <c r="BK145" s="470"/>
      <c r="BL145" s="523"/>
      <c r="BM145" s="523"/>
      <c r="BN145" s="523"/>
      <c r="BO145" s="470"/>
      <c r="BP145" s="523"/>
      <c r="BQ145" s="523"/>
      <c r="BR145" s="523"/>
      <c r="BS145" s="470"/>
      <c r="BT145" s="523"/>
      <c r="BU145" s="523"/>
      <c r="BV145" s="523"/>
      <c r="BW145" s="470"/>
      <c r="BX145" s="523"/>
      <c r="BY145" s="523"/>
      <c r="BZ145" s="523"/>
      <c r="CA145" s="470"/>
      <c r="CB145" s="523"/>
      <c r="CC145" s="523"/>
      <c r="CD145" s="523"/>
      <c r="CE145" s="470"/>
      <c r="CF145" s="523"/>
      <c r="CG145" s="523"/>
      <c r="CH145" s="523"/>
      <c r="CI145" s="470"/>
      <c r="CJ145" s="523"/>
      <c r="CK145" s="523"/>
      <c r="CL145" s="523"/>
      <c r="CM145" s="470"/>
      <c r="CN145" s="523"/>
      <c r="CO145" s="523"/>
      <c r="CP145" s="523"/>
      <c r="CQ145" s="470"/>
      <c r="CR145" s="523"/>
      <c r="CS145" s="523"/>
      <c r="CT145" s="523"/>
      <c r="CU145" s="470"/>
      <c r="CV145" s="523"/>
      <c r="CW145" s="523"/>
      <c r="CX145" s="523"/>
      <c r="CY145" s="470"/>
      <c r="CZ145" s="523"/>
      <c r="DA145" s="523"/>
      <c r="DB145" s="523"/>
      <c r="DC145" s="470"/>
      <c r="DD145" s="523"/>
      <c r="DE145" s="523"/>
      <c r="DF145" s="523"/>
      <c r="DG145" s="470"/>
      <c r="DH145" s="523"/>
      <c r="DI145" s="523"/>
      <c r="DJ145" s="523"/>
      <c r="DK145" s="470"/>
      <c r="DL145" s="523"/>
      <c r="DM145" s="523"/>
      <c r="DN145" s="523"/>
      <c r="DO145" s="470"/>
      <c r="DP145" s="523"/>
      <c r="DQ145" s="523"/>
      <c r="DR145" s="523"/>
      <c r="DS145" s="523"/>
      <c r="DT145" s="523"/>
      <c r="DU145" s="523"/>
      <c r="DV145" s="523"/>
      <c r="DW145" s="523"/>
      <c r="DX145" s="523"/>
      <c r="DY145" s="523"/>
      <c r="DZ145" s="523"/>
      <c r="EA145" s="523"/>
      <c r="EB145" s="523"/>
      <c r="EC145" s="523"/>
      <c r="ED145" s="523"/>
      <c r="EE145" s="523"/>
      <c r="EF145" s="523"/>
      <c r="EG145" s="523"/>
      <c r="EH145" s="523"/>
      <c r="EI145" s="523"/>
      <c r="EJ145" s="523"/>
      <c r="EK145" s="523"/>
      <c r="EL145" s="523"/>
      <c r="EM145" s="470"/>
      <c r="EN145" s="470"/>
      <c r="EO145" s="470"/>
      <c r="EP145" s="470"/>
      <c r="EQ145" s="470"/>
      <c r="ER145" s="470"/>
      <c r="ES145" s="470"/>
      <c r="ET145" s="470"/>
      <c r="EU145" s="470"/>
      <c r="EV145" s="470"/>
      <c r="EW145" s="470"/>
      <c r="EX145" s="470"/>
      <c r="EY145" s="470"/>
      <c r="EZ145" s="470"/>
      <c r="FA145" s="470"/>
      <c r="FB145" s="470"/>
      <c r="FC145" s="470"/>
      <c r="FD145" s="470"/>
      <c r="FE145" s="470"/>
      <c r="FF145" s="470"/>
      <c r="FG145" s="470"/>
      <c r="FH145" s="470"/>
      <c r="FI145" s="470"/>
      <c r="FJ145" s="470"/>
      <c r="FK145" s="470"/>
      <c r="FL145" s="470"/>
      <c r="FM145" s="470"/>
      <c r="FN145" s="470"/>
      <c r="FO145" s="470"/>
      <c r="FP145" s="470"/>
      <c r="FQ145" s="470"/>
      <c r="FR145" s="470"/>
      <c r="FS145" s="470"/>
      <c r="FT145" s="470"/>
      <c r="FU145" s="470"/>
      <c r="FV145" s="470"/>
      <c r="FW145" s="470"/>
      <c r="FX145" s="470"/>
      <c r="FY145" s="470"/>
      <c r="FZ145" s="470"/>
      <c r="GA145" s="470"/>
      <c r="GB145" s="470"/>
      <c r="GC145" s="470"/>
      <c r="GD145" s="470"/>
      <c r="GE145" s="470"/>
      <c r="GF145" s="470"/>
      <c r="GG145" s="470"/>
      <c r="GH145" s="470"/>
      <c r="GI145" s="470"/>
      <c r="GJ145" s="470"/>
      <c r="GK145" s="470"/>
      <c r="GL145" s="470"/>
      <c r="GM145" s="470"/>
      <c r="GN145" s="470"/>
      <c r="GO145" s="470"/>
      <c r="GP145" s="470"/>
      <c r="GQ145" s="470"/>
      <c r="GR145" s="470"/>
      <c r="GS145" s="470"/>
      <c r="GT145" s="470"/>
      <c r="GU145" s="470"/>
      <c r="GV145" s="523"/>
      <c r="GW145" s="523"/>
      <c r="GX145" s="523"/>
      <c r="GY145" s="470"/>
      <c r="GZ145" s="523"/>
      <c r="HA145" s="523"/>
      <c r="HB145" s="523"/>
      <c r="HC145" s="523"/>
      <c r="HD145" s="523"/>
      <c r="HE145" s="523"/>
      <c r="HF145" s="523"/>
      <c r="HG145" s="523"/>
      <c r="HH145" s="523"/>
      <c r="HI145" s="523"/>
      <c r="HJ145" s="523"/>
      <c r="HK145" s="523"/>
      <c r="HL145" s="523"/>
      <c r="HM145" s="523"/>
      <c r="HN145" s="523"/>
      <c r="HO145" s="523"/>
      <c r="HP145" s="523"/>
      <c r="HQ145" s="523"/>
      <c r="HR145" s="523"/>
      <c r="HS145" s="523"/>
    </row>
    <row r="146" spans="1:227" x14ac:dyDescent="0.25">
      <c r="A146" s="523"/>
      <c r="B146" s="619"/>
      <c r="C146" s="619"/>
      <c r="D146" s="470"/>
      <c r="F146" s="470"/>
      <c r="G146" s="470"/>
      <c r="H146" s="462"/>
      <c r="I146" s="462"/>
      <c r="J146" s="462"/>
      <c r="K146" s="470"/>
      <c r="L146" s="462"/>
      <c r="M146" s="462"/>
      <c r="N146" s="462"/>
      <c r="O146" s="470"/>
      <c r="P146" s="462"/>
      <c r="Q146" s="462"/>
      <c r="R146" s="462"/>
      <c r="S146" s="470"/>
      <c r="T146" s="470"/>
      <c r="U146" s="470"/>
      <c r="V146" s="470"/>
      <c r="W146" s="470"/>
      <c r="X146" s="470"/>
      <c r="Y146" s="470"/>
      <c r="Z146" s="523"/>
      <c r="AA146" s="470"/>
      <c r="AB146" s="523"/>
      <c r="AC146" s="523"/>
      <c r="AD146" s="523"/>
      <c r="AE146" s="470"/>
      <c r="AF146" s="523"/>
      <c r="AG146" s="523"/>
      <c r="AH146" s="523"/>
      <c r="AI146" s="470"/>
      <c r="AJ146" s="523"/>
      <c r="AK146" s="523"/>
      <c r="AL146" s="523"/>
      <c r="AM146" s="523"/>
      <c r="AN146" s="523"/>
      <c r="AO146" s="523"/>
      <c r="AP146" s="523"/>
      <c r="AQ146" s="470"/>
      <c r="AR146" s="523"/>
      <c r="AS146" s="523"/>
      <c r="AT146" s="523"/>
      <c r="AU146" s="470"/>
      <c r="AV146" s="523"/>
      <c r="AW146" s="523"/>
      <c r="AX146" s="523"/>
      <c r="AY146" s="470"/>
      <c r="AZ146" s="523"/>
      <c r="BA146" s="523"/>
      <c r="BB146" s="523"/>
      <c r="BC146" s="470"/>
      <c r="BD146" s="523"/>
      <c r="BE146" s="523"/>
      <c r="BF146" s="523"/>
      <c r="BG146" s="470"/>
      <c r="BH146" s="523"/>
      <c r="BI146" s="523"/>
      <c r="BJ146" s="523"/>
      <c r="BK146" s="470"/>
      <c r="BL146" s="523"/>
      <c r="BM146" s="523"/>
      <c r="BN146" s="523"/>
      <c r="BO146" s="470"/>
      <c r="BP146" s="523"/>
      <c r="BQ146" s="523"/>
      <c r="BR146" s="523"/>
      <c r="BS146" s="470"/>
      <c r="BT146" s="523"/>
      <c r="BU146" s="523"/>
      <c r="BV146" s="523"/>
      <c r="BW146" s="470"/>
      <c r="BX146" s="523"/>
      <c r="BY146" s="523"/>
      <c r="BZ146" s="523"/>
      <c r="CA146" s="470"/>
      <c r="CB146" s="523"/>
      <c r="CC146" s="523"/>
      <c r="CD146" s="523"/>
      <c r="CE146" s="470"/>
      <c r="CF146" s="523"/>
      <c r="CG146" s="523"/>
      <c r="CH146" s="523"/>
      <c r="CI146" s="470"/>
      <c r="CJ146" s="523"/>
      <c r="CK146" s="523"/>
      <c r="CL146" s="523"/>
      <c r="CM146" s="470"/>
      <c r="CN146" s="523"/>
      <c r="CO146" s="523"/>
      <c r="CP146" s="523"/>
      <c r="CQ146" s="470"/>
      <c r="CR146" s="523"/>
      <c r="CS146" s="523"/>
      <c r="CT146" s="523"/>
      <c r="CU146" s="470"/>
      <c r="CV146" s="523"/>
      <c r="CW146" s="523"/>
      <c r="CX146" s="523"/>
      <c r="CY146" s="470"/>
      <c r="CZ146" s="523"/>
      <c r="DA146" s="523"/>
      <c r="DB146" s="523"/>
      <c r="DC146" s="470"/>
      <c r="DD146" s="523"/>
      <c r="DE146" s="523"/>
      <c r="DF146" s="523"/>
      <c r="DG146" s="470"/>
      <c r="DH146" s="523"/>
      <c r="DI146" s="523"/>
      <c r="DJ146" s="523"/>
      <c r="DK146" s="470"/>
      <c r="DL146" s="523"/>
      <c r="DM146" s="523"/>
      <c r="DN146" s="523"/>
      <c r="DO146" s="470"/>
      <c r="DP146" s="523"/>
      <c r="DQ146" s="523"/>
      <c r="DR146" s="523"/>
      <c r="DS146" s="523"/>
      <c r="DT146" s="523"/>
      <c r="DU146" s="523"/>
      <c r="DV146" s="523"/>
      <c r="DW146" s="523"/>
      <c r="DX146" s="523"/>
      <c r="DY146" s="523"/>
      <c r="DZ146" s="523"/>
      <c r="EA146" s="523"/>
      <c r="EB146" s="523"/>
      <c r="EC146" s="523"/>
      <c r="ED146" s="523"/>
      <c r="EE146" s="523"/>
      <c r="EF146" s="523"/>
      <c r="EG146" s="523"/>
      <c r="EH146" s="523"/>
      <c r="EI146" s="523"/>
      <c r="EJ146" s="523"/>
      <c r="EK146" s="523"/>
      <c r="EL146" s="523"/>
      <c r="EM146" s="470"/>
      <c r="EN146" s="470"/>
      <c r="EO146" s="470"/>
      <c r="EP146" s="470"/>
      <c r="EQ146" s="470"/>
      <c r="ER146" s="470"/>
      <c r="ES146" s="470"/>
      <c r="ET146" s="470"/>
      <c r="EU146" s="470"/>
      <c r="EV146" s="470"/>
      <c r="EW146" s="470"/>
      <c r="EX146" s="470"/>
      <c r="EY146" s="470"/>
      <c r="EZ146" s="470"/>
      <c r="FA146" s="470"/>
      <c r="FB146" s="470"/>
      <c r="FC146" s="470"/>
      <c r="FD146" s="470"/>
      <c r="FE146" s="470"/>
      <c r="FF146" s="470"/>
      <c r="FG146" s="470"/>
      <c r="FH146" s="470"/>
      <c r="FI146" s="470"/>
      <c r="FJ146" s="470"/>
      <c r="FK146" s="470"/>
      <c r="FL146" s="470"/>
      <c r="FM146" s="470"/>
      <c r="FN146" s="470"/>
      <c r="FO146" s="470"/>
      <c r="FP146" s="470"/>
      <c r="FQ146" s="470"/>
      <c r="FR146" s="470"/>
      <c r="FS146" s="470"/>
      <c r="FT146" s="470"/>
      <c r="FU146" s="470"/>
      <c r="FV146" s="470"/>
      <c r="FW146" s="470"/>
      <c r="FX146" s="470"/>
      <c r="FY146" s="470"/>
      <c r="FZ146" s="470"/>
      <c r="GA146" s="470"/>
      <c r="GB146" s="470"/>
      <c r="GC146" s="470"/>
      <c r="GD146" s="470"/>
      <c r="GE146" s="470"/>
      <c r="GF146" s="470"/>
      <c r="GG146" s="470"/>
      <c r="GH146" s="470"/>
      <c r="GI146" s="470"/>
      <c r="GJ146" s="470"/>
      <c r="GK146" s="470"/>
      <c r="GL146" s="470"/>
      <c r="GM146" s="470"/>
      <c r="GN146" s="470"/>
      <c r="GO146" s="470"/>
      <c r="GP146" s="470"/>
      <c r="GQ146" s="470"/>
      <c r="GR146" s="470"/>
      <c r="GS146" s="470"/>
      <c r="GT146" s="470"/>
      <c r="GU146" s="470"/>
      <c r="GV146" s="523"/>
      <c r="GW146" s="523"/>
      <c r="GX146" s="523"/>
      <c r="GY146" s="470"/>
      <c r="GZ146" s="523"/>
      <c r="HA146" s="523"/>
      <c r="HB146" s="523"/>
      <c r="HC146" s="523"/>
      <c r="HD146" s="523"/>
      <c r="HE146" s="523"/>
      <c r="HF146" s="523"/>
      <c r="HG146" s="523"/>
      <c r="HH146" s="523"/>
      <c r="HI146" s="523"/>
      <c r="HJ146" s="523"/>
      <c r="HK146" s="523"/>
      <c r="HL146" s="523"/>
      <c r="HM146" s="523"/>
      <c r="HN146" s="523"/>
      <c r="HO146" s="523"/>
      <c r="HP146" s="523"/>
      <c r="HQ146" s="523"/>
      <c r="HR146" s="523"/>
      <c r="HS146" s="523"/>
    </row>
    <row r="147" spans="1:227" x14ac:dyDescent="0.25">
      <c r="A147" s="523"/>
      <c r="B147" s="619"/>
      <c r="C147" s="619"/>
      <c r="D147" s="470"/>
      <c r="E147" s="470"/>
      <c r="F147" s="470"/>
      <c r="G147" s="470"/>
      <c r="H147" s="462"/>
      <c r="I147" s="462"/>
      <c r="J147" s="462"/>
      <c r="K147" s="470"/>
      <c r="L147" s="462"/>
      <c r="M147" s="462"/>
      <c r="N147" s="462"/>
      <c r="O147" s="470"/>
      <c r="P147" s="462"/>
      <c r="Q147" s="462"/>
      <c r="R147" s="470" t="s">
        <v>650</v>
      </c>
      <c r="S147" s="470"/>
      <c r="U147" s="470" t="e">
        <f>U143-U145</f>
        <v>#REF!</v>
      </c>
      <c r="V147" s="470"/>
      <c r="W147" s="470"/>
      <c r="X147" s="470"/>
      <c r="Y147" s="470" t="e">
        <f>U143-Y145</f>
        <v>#REF!</v>
      </c>
      <c r="Z147" s="523"/>
      <c r="AA147" s="470"/>
      <c r="AB147" s="523"/>
      <c r="AC147" s="523"/>
      <c r="AD147" s="523"/>
      <c r="AE147" s="470"/>
      <c r="AF147" s="523"/>
      <c r="AG147" s="523"/>
      <c r="AH147" s="523"/>
      <c r="AI147" s="470"/>
      <c r="AJ147" s="523"/>
      <c r="AK147" s="523"/>
      <c r="AL147" s="523"/>
      <c r="AM147" s="523"/>
      <c r="AN147" s="523"/>
      <c r="AO147" s="523"/>
      <c r="AP147" s="523"/>
      <c r="AQ147" s="470"/>
      <c r="AR147" s="523"/>
      <c r="AS147" s="523"/>
      <c r="AT147" s="523"/>
      <c r="AU147" s="470"/>
      <c r="AV147" s="523"/>
      <c r="AW147" s="523"/>
      <c r="AX147" s="523"/>
      <c r="AY147" s="470"/>
      <c r="AZ147" s="523"/>
      <c r="BA147" s="523"/>
      <c r="BB147" s="523"/>
      <c r="BC147" s="470"/>
      <c r="BD147" s="523"/>
      <c r="BE147" s="523"/>
      <c r="BF147" s="523"/>
      <c r="BG147" s="470"/>
      <c r="BH147" s="523"/>
      <c r="BI147" s="523"/>
      <c r="BJ147" s="523"/>
      <c r="BK147" s="470"/>
      <c r="BL147" s="523"/>
      <c r="BM147" s="523"/>
      <c r="BN147" s="523"/>
      <c r="BO147" s="470"/>
      <c r="BP147" s="523"/>
      <c r="BQ147" s="523"/>
      <c r="BR147" s="523"/>
      <c r="BS147" s="470"/>
      <c r="BT147" s="523"/>
      <c r="BU147" s="523"/>
      <c r="BV147" s="523"/>
      <c r="BW147" s="470"/>
      <c r="BX147" s="523"/>
      <c r="BY147" s="523"/>
      <c r="BZ147" s="523"/>
      <c r="CA147" s="470"/>
      <c r="CB147" s="523"/>
      <c r="CC147" s="523"/>
      <c r="CD147" s="523"/>
      <c r="CE147" s="470"/>
      <c r="CF147" s="523"/>
      <c r="CG147" s="523"/>
      <c r="CH147" s="523"/>
      <c r="CI147" s="470"/>
      <c r="CJ147" s="523"/>
      <c r="CK147" s="523"/>
      <c r="CL147" s="523"/>
      <c r="CM147" s="470"/>
      <c r="CN147" s="523"/>
      <c r="CO147" s="523"/>
      <c r="CP147" s="523"/>
      <c r="CQ147" s="470"/>
      <c r="CR147" s="523"/>
      <c r="CS147" s="523"/>
      <c r="CT147" s="523"/>
      <c r="CU147" s="470"/>
      <c r="CV147" s="523"/>
      <c r="CW147" s="523"/>
      <c r="CX147" s="523"/>
      <c r="CY147" s="470"/>
      <c r="CZ147" s="523"/>
      <c r="DA147" s="523"/>
      <c r="DB147" s="523"/>
      <c r="DC147" s="470"/>
      <c r="DD147" s="523"/>
      <c r="DE147" s="523"/>
      <c r="DF147" s="523"/>
      <c r="DG147" s="470"/>
      <c r="DH147" s="523"/>
      <c r="DI147" s="523"/>
      <c r="DJ147" s="523"/>
      <c r="DK147" s="470"/>
      <c r="DL147" s="523"/>
      <c r="DM147" s="523"/>
      <c r="DN147" s="523"/>
      <c r="DO147" s="470"/>
      <c r="DP147" s="523"/>
      <c r="DQ147" s="523"/>
      <c r="DR147" s="523"/>
      <c r="DS147" s="523"/>
      <c r="DT147" s="523"/>
      <c r="DU147" s="523"/>
      <c r="DV147" s="523"/>
      <c r="DW147" s="523"/>
      <c r="DX147" s="523"/>
      <c r="DY147" s="523"/>
      <c r="DZ147" s="523"/>
      <c r="EA147" s="523"/>
      <c r="EB147" s="523"/>
      <c r="EC147" s="523"/>
      <c r="ED147" s="523"/>
      <c r="EE147" s="523"/>
      <c r="EF147" s="523"/>
      <c r="EG147" s="523"/>
      <c r="EH147" s="523"/>
      <c r="EI147" s="523"/>
      <c r="EJ147" s="523"/>
      <c r="EK147" s="523"/>
      <c r="EL147" s="523"/>
      <c r="EM147" s="470"/>
      <c r="EN147" s="470"/>
      <c r="EO147" s="470"/>
      <c r="EP147" s="470"/>
      <c r="EQ147" s="470"/>
      <c r="ER147" s="470"/>
      <c r="ES147" s="470"/>
      <c r="ET147" s="470"/>
      <c r="EU147" s="470"/>
      <c r="EV147" s="470"/>
      <c r="EW147" s="470"/>
      <c r="EX147" s="470"/>
      <c r="EY147" s="470"/>
      <c r="EZ147" s="470"/>
      <c r="FA147" s="470"/>
      <c r="FB147" s="470"/>
      <c r="FC147" s="470"/>
      <c r="FD147" s="470"/>
      <c r="FE147" s="470"/>
      <c r="FF147" s="470"/>
      <c r="FG147" s="470"/>
      <c r="FH147" s="470"/>
      <c r="FI147" s="470"/>
      <c r="FJ147" s="470"/>
      <c r="FK147" s="470"/>
      <c r="FL147" s="470"/>
      <c r="FM147" s="470"/>
      <c r="FN147" s="470"/>
      <c r="FO147" s="470"/>
      <c r="FP147" s="470"/>
      <c r="FQ147" s="470"/>
      <c r="FR147" s="470"/>
      <c r="FS147" s="470"/>
      <c r="FT147" s="470"/>
      <c r="FU147" s="470"/>
      <c r="FV147" s="470"/>
      <c r="FW147" s="470"/>
      <c r="FX147" s="470"/>
      <c r="FY147" s="470"/>
      <c r="FZ147" s="470"/>
      <c r="GA147" s="470"/>
      <c r="GB147" s="470"/>
      <c r="GC147" s="470"/>
      <c r="GD147" s="470"/>
      <c r="GE147" s="470"/>
      <c r="GF147" s="470"/>
      <c r="GG147" s="470"/>
      <c r="GH147" s="470"/>
      <c r="GI147" s="470"/>
      <c r="GJ147" s="470"/>
      <c r="GK147" s="470"/>
      <c r="GL147" s="470"/>
      <c r="GM147" s="470"/>
      <c r="GN147" s="470"/>
      <c r="GO147" s="470"/>
      <c r="GP147" s="470"/>
      <c r="GQ147" s="470"/>
      <c r="GR147" s="470"/>
      <c r="GS147" s="470"/>
      <c r="GT147" s="470"/>
      <c r="GU147" s="470"/>
      <c r="GV147" s="523"/>
      <c r="GW147" s="523"/>
      <c r="GX147" s="523"/>
      <c r="GY147" s="470"/>
      <c r="GZ147" s="523"/>
      <c r="HA147" s="523"/>
      <c r="HB147" s="523"/>
      <c r="HC147" s="523"/>
      <c r="HD147" s="523"/>
      <c r="HE147" s="523"/>
      <c r="HF147" s="523"/>
      <c r="HG147" s="523"/>
      <c r="HH147" s="523"/>
      <c r="HI147" s="523"/>
      <c r="HJ147" s="523"/>
      <c r="HK147" s="523"/>
      <c r="HL147" s="523"/>
      <c r="HM147" s="523"/>
      <c r="HN147" s="523"/>
      <c r="HO147" s="523"/>
      <c r="HP147" s="523"/>
      <c r="HQ147" s="523"/>
      <c r="HR147" s="523"/>
      <c r="HS147" s="523"/>
    </row>
    <row r="148" spans="1:227" x14ac:dyDescent="0.25">
      <c r="A148" s="523"/>
      <c r="B148" s="619"/>
      <c r="C148" s="619"/>
      <c r="D148" s="470"/>
      <c r="E148" s="470"/>
      <c r="F148" s="470"/>
      <c r="G148" s="470"/>
      <c r="H148" s="462"/>
      <c r="I148" s="462"/>
      <c r="J148" s="462"/>
      <c r="K148" s="470"/>
      <c r="L148" s="462"/>
      <c r="M148" s="462"/>
      <c r="N148" s="462"/>
      <c r="O148" s="470"/>
      <c r="P148" s="462"/>
      <c r="Q148" s="462"/>
      <c r="R148" s="462"/>
      <c r="S148" s="470"/>
      <c r="T148" s="470"/>
      <c r="U148" s="470"/>
      <c r="V148" s="470"/>
      <c r="W148" s="470"/>
      <c r="X148" s="470"/>
      <c r="Y148" s="470"/>
      <c r="AA148" s="470"/>
      <c r="AE148" s="470"/>
      <c r="AI148" s="470"/>
      <c r="AQ148" s="470"/>
      <c r="AU148" s="470"/>
      <c r="AY148" s="470"/>
      <c r="BC148" s="470"/>
      <c r="BG148" s="470"/>
      <c r="BK148" s="470"/>
      <c r="BO148" s="470"/>
      <c r="BS148" s="470"/>
      <c r="BW148" s="470"/>
      <c r="CA148" s="470"/>
      <c r="CE148" s="470"/>
      <c r="CI148" s="470"/>
      <c r="CM148" s="470"/>
      <c r="CQ148" s="470"/>
      <c r="CU148" s="470"/>
      <c r="CY148" s="470"/>
      <c r="DC148" s="470"/>
      <c r="DG148" s="470"/>
      <c r="DK148" s="470"/>
      <c r="DO148" s="470"/>
      <c r="EM148" s="470"/>
      <c r="EN148" s="470"/>
      <c r="EO148" s="470"/>
      <c r="EP148" s="470"/>
      <c r="EQ148" s="470"/>
      <c r="ER148" s="470"/>
      <c r="ES148" s="470"/>
      <c r="ET148" s="470"/>
      <c r="EU148" s="470"/>
      <c r="EV148" s="470"/>
      <c r="EW148" s="470"/>
      <c r="EX148" s="470"/>
      <c r="EY148" s="470"/>
      <c r="EZ148" s="470"/>
      <c r="FA148" s="470"/>
      <c r="FB148" s="470"/>
      <c r="FC148" s="470"/>
      <c r="FD148" s="470"/>
      <c r="FE148" s="470"/>
      <c r="FF148" s="470"/>
      <c r="FG148" s="470"/>
      <c r="FH148" s="470"/>
      <c r="FI148" s="470"/>
      <c r="FJ148" s="470"/>
      <c r="FK148" s="470"/>
      <c r="FL148" s="470"/>
      <c r="FM148" s="470"/>
      <c r="FN148" s="470"/>
      <c r="FO148" s="470"/>
      <c r="FP148" s="470"/>
      <c r="FQ148" s="470"/>
      <c r="FR148" s="470"/>
      <c r="FS148" s="470"/>
      <c r="FT148" s="470"/>
      <c r="FU148" s="470"/>
      <c r="FV148" s="470"/>
      <c r="FW148" s="470"/>
      <c r="FX148" s="470"/>
      <c r="FY148" s="470"/>
      <c r="FZ148" s="470"/>
      <c r="GA148" s="470"/>
      <c r="GB148" s="470"/>
      <c r="GC148" s="470"/>
      <c r="GD148" s="470"/>
      <c r="GE148" s="470"/>
      <c r="GF148" s="470"/>
      <c r="GG148" s="470"/>
      <c r="GH148" s="470"/>
      <c r="GI148" s="470"/>
      <c r="GJ148" s="470"/>
      <c r="GK148" s="470"/>
      <c r="GL148" s="470"/>
      <c r="GM148" s="470"/>
      <c r="GN148" s="470"/>
      <c r="GO148" s="470"/>
      <c r="GP148" s="470"/>
      <c r="GQ148" s="470"/>
      <c r="GR148" s="470"/>
      <c r="GS148" s="470"/>
      <c r="GT148" s="470"/>
      <c r="GU148" s="470"/>
      <c r="GY148" s="470"/>
    </row>
    <row r="149" spans="1:227" x14ac:dyDescent="0.25">
      <c r="A149" s="523"/>
      <c r="B149" s="619"/>
      <c r="C149" s="619"/>
      <c r="D149" s="470"/>
      <c r="E149" s="470"/>
      <c r="F149" s="470"/>
      <c r="G149" s="470"/>
      <c r="H149" s="462"/>
      <c r="I149" s="462"/>
      <c r="J149" s="462"/>
      <c r="K149" s="470"/>
      <c r="L149" s="462"/>
      <c r="M149" s="462"/>
      <c r="N149" s="462"/>
      <c r="O149" s="470"/>
      <c r="P149" s="462"/>
      <c r="Q149" s="462"/>
      <c r="R149" s="462" t="s">
        <v>651</v>
      </c>
      <c r="S149" s="470"/>
      <c r="T149" s="470"/>
      <c r="U149" s="470" t="e">
        <f>X150-U147</f>
        <v>#REF!</v>
      </c>
      <c r="V149" s="470"/>
      <c r="W149" s="476"/>
      <c r="X149" s="470"/>
      <c r="Y149" s="470"/>
      <c r="AA149" s="470"/>
      <c r="AE149" s="470"/>
      <c r="AI149" s="470"/>
      <c r="AQ149" s="470"/>
      <c r="AU149" s="470"/>
      <c r="AY149" s="470"/>
      <c r="BC149" s="470"/>
      <c r="BG149" s="470"/>
      <c r="BK149" s="470"/>
      <c r="BO149" s="470"/>
      <c r="BS149" s="470"/>
      <c r="BW149" s="470"/>
      <c r="CA149" s="470"/>
      <c r="CE149" s="470"/>
      <c r="CI149" s="470"/>
      <c r="CM149" s="470"/>
      <c r="CQ149" s="470"/>
      <c r="CU149" s="470"/>
      <c r="CY149" s="470"/>
      <c r="DC149" s="470"/>
      <c r="DG149" s="470"/>
      <c r="DK149" s="470"/>
      <c r="DO149" s="470"/>
      <c r="EM149" s="470"/>
      <c r="EN149" s="470"/>
      <c r="EO149" s="470"/>
      <c r="EP149" s="470"/>
      <c r="EQ149" s="470"/>
      <c r="ER149" s="470"/>
      <c r="ES149" s="470"/>
      <c r="ET149" s="470"/>
      <c r="EU149" s="470"/>
      <c r="EV149" s="470"/>
      <c r="EW149" s="470"/>
      <c r="EX149" s="470"/>
      <c r="EY149" s="470"/>
      <c r="EZ149" s="470"/>
      <c r="FA149" s="470"/>
      <c r="FB149" s="470"/>
      <c r="FC149" s="470"/>
      <c r="FD149" s="470"/>
      <c r="FE149" s="470"/>
      <c r="FF149" s="470"/>
      <c r="FG149" s="470"/>
      <c r="FH149" s="470"/>
      <c r="FI149" s="470"/>
      <c r="FJ149" s="470"/>
      <c r="FK149" s="470"/>
      <c r="FL149" s="470"/>
      <c r="FM149" s="470"/>
      <c r="FN149" s="470"/>
      <c r="FO149" s="470"/>
      <c r="FP149" s="470"/>
      <c r="FQ149" s="470"/>
      <c r="FR149" s="470"/>
      <c r="FS149" s="470"/>
      <c r="FT149" s="470"/>
      <c r="FU149" s="470"/>
      <c r="FV149" s="470"/>
      <c r="FW149" s="470"/>
      <c r="FX149" s="470"/>
      <c r="FY149" s="470"/>
      <c r="FZ149" s="470"/>
      <c r="GA149" s="470"/>
      <c r="GB149" s="470"/>
      <c r="GC149" s="470"/>
      <c r="GD149" s="470"/>
      <c r="GE149" s="470"/>
      <c r="GF149" s="470"/>
      <c r="GG149" s="470"/>
      <c r="GH149" s="470"/>
      <c r="GI149" s="470"/>
      <c r="GJ149" s="470"/>
      <c r="GK149" s="470"/>
      <c r="GL149" s="470"/>
      <c r="GM149" s="470"/>
      <c r="GN149" s="470"/>
      <c r="GO149" s="470"/>
      <c r="GP149" s="470"/>
      <c r="GQ149" s="470"/>
      <c r="GR149" s="470"/>
      <c r="GS149" s="470"/>
      <c r="GT149" s="470"/>
      <c r="GU149" s="470"/>
      <c r="GY149" s="470"/>
    </row>
    <row r="150" spans="1:227" x14ac:dyDescent="0.25">
      <c r="A150" s="523"/>
      <c r="B150" s="619"/>
      <c r="C150" s="619"/>
      <c r="D150" s="470"/>
      <c r="E150" s="470"/>
      <c r="F150" s="470"/>
      <c r="G150" s="470"/>
      <c r="H150" s="462"/>
      <c r="I150" s="462"/>
      <c r="J150" s="462"/>
      <c r="K150" s="470"/>
      <c r="L150" s="462"/>
      <c r="M150" s="462"/>
      <c r="N150" s="462"/>
      <c r="O150" s="470"/>
      <c r="P150" s="462"/>
      <c r="Q150" s="462"/>
      <c r="R150" s="462"/>
      <c r="S150" s="470"/>
      <c r="T150" s="470"/>
      <c r="U150" s="470"/>
      <c r="V150" s="470"/>
      <c r="W150" s="470"/>
      <c r="X150" s="470">
        <v>22591810837.869995</v>
      </c>
      <c r="Y150" s="470"/>
      <c r="AA150" s="470"/>
      <c r="AE150" s="470"/>
      <c r="AI150" s="470"/>
      <c r="AQ150" s="470"/>
      <c r="AU150" s="470"/>
      <c r="AY150" s="470"/>
      <c r="BC150" s="470"/>
      <c r="BG150" s="470"/>
      <c r="BK150" s="470"/>
      <c r="BO150" s="470"/>
      <c r="BS150" s="470"/>
      <c r="BW150" s="470"/>
      <c r="CA150" s="470"/>
      <c r="CE150" s="470"/>
      <c r="CI150" s="470"/>
      <c r="CM150" s="470"/>
      <c r="CQ150" s="470"/>
      <c r="CU150" s="470"/>
      <c r="CY150" s="470"/>
      <c r="DC150" s="470"/>
      <c r="DG150" s="470"/>
      <c r="DK150" s="470"/>
      <c r="DO150" s="470"/>
      <c r="EM150" s="470"/>
      <c r="EN150" s="470"/>
      <c r="EO150" s="470"/>
      <c r="EP150" s="470"/>
      <c r="EQ150" s="470"/>
      <c r="ER150" s="470"/>
      <c r="ES150" s="470"/>
      <c r="ET150" s="470"/>
      <c r="EU150" s="470"/>
      <c r="EV150" s="470"/>
      <c r="EW150" s="470"/>
      <c r="EX150" s="470"/>
      <c r="EY150" s="470"/>
      <c r="EZ150" s="470"/>
      <c r="FA150" s="470"/>
      <c r="FB150" s="470"/>
      <c r="FC150" s="470"/>
      <c r="FD150" s="470"/>
      <c r="FE150" s="470"/>
      <c r="FF150" s="470"/>
      <c r="FG150" s="470"/>
      <c r="FH150" s="470"/>
      <c r="FI150" s="470"/>
      <c r="FJ150" s="470"/>
      <c r="FK150" s="470"/>
      <c r="FL150" s="470"/>
      <c r="FM150" s="470"/>
      <c r="FN150" s="470"/>
      <c r="FO150" s="470"/>
      <c r="FP150" s="470"/>
      <c r="FQ150" s="470"/>
      <c r="FR150" s="470"/>
      <c r="FS150" s="470"/>
      <c r="FT150" s="470"/>
      <c r="FU150" s="470"/>
      <c r="FV150" s="470"/>
      <c r="FW150" s="470"/>
      <c r="FX150" s="470"/>
      <c r="FY150" s="470"/>
      <c r="FZ150" s="470"/>
      <c r="GA150" s="470"/>
      <c r="GB150" s="470"/>
      <c r="GC150" s="470"/>
      <c r="GD150" s="470"/>
      <c r="GE150" s="470"/>
      <c r="GF150" s="470"/>
      <c r="GG150" s="470"/>
      <c r="GH150" s="470"/>
      <c r="GI150" s="470"/>
      <c r="GJ150" s="470"/>
      <c r="GK150" s="470"/>
      <c r="GL150" s="470"/>
      <c r="GM150" s="470"/>
      <c r="GN150" s="470"/>
      <c r="GO150" s="470"/>
      <c r="GP150" s="470"/>
      <c r="GQ150" s="470"/>
      <c r="GR150" s="470"/>
      <c r="GS150" s="470"/>
      <c r="GT150" s="470"/>
      <c r="GU150" s="470"/>
      <c r="GY150" s="470"/>
    </row>
    <row r="151" spans="1:227" x14ac:dyDescent="0.25">
      <c r="A151" s="523"/>
      <c r="B151" s="619"/>
      <c r="C151" s="619"/>
      <c r="D151" s="470"/>
      <c r="E151" s="470"/>
      <c r="F151" s="470"/>
      <c r="G151" s="470"/>
      <c r="H151" s="462"/>
      <c r="I151" s="462"/>
      <c r="J151" s="462"/>
      <c r="K151" s="470"/>
      <c r="L151" s="462"/>
      <c r="M151" s="462"/>
      <c r="N151" s="462"/>
      <c r="O151" s="470"/>
      <c r="P151" s="462"/>
      <c r="Q151" s="462"/>
      <c r="R151" s="462" t="s">
        <v>652</v>
      </c>
      <c r="S151" s="470"/>
      <c r="T151" s="470"/>
      <c r="U151" s="470" t="e">
        <f>U147+U149</f>
        <v>#REF!</v>
      </c>
      <c r="V151" s="470"/>
      <c r="W151" s="470"/>
      <c r="X151" s="474"/>
      <c r="AA151" s="470"/>
      <c r="AE151" s="470"/>
      <c r="AI151" s="470"/>
      <c r="AQ151" s="470"/>
      <c r="AU151" s="470"/>
      <c r="AY151" s="470"/>
      <c r="BC151" s="470"/>
      <c r="BG151" s="470"/>
      <c r="BK151" s="470"/>
      <c r="BO151" s="470"/>
      <c r="BS151" s="470"/>
      <c r="BW151" s="470"/>
      <c r="CA151" s="470"/>
      <c r="CE151" s="470"/>
      <c r="CI151" s="470"/>
      <c r="CM151" s="470"/>
      <c r="CQ151" s="470"/>
      <c r="CU151" s="470"/>
      <c r="CY151" s="470"/>
      <c r="DC151" s="470"/>
      <c r="DG151" s="470"/>
      <c r="DK151" s="470"/>
      <c r="DO151" s="470"/>
      <c r="EM151" s="470"/>
      <c r="EN151" s="470"/>
      <c r="EO151" s="470"/>
      <c r="EP151" s="470"/>
      <c r="EQ151" s="470"/>
      <c r="ER151" s="470"/>
      <c r="ES151" s="470"/>
      <c r="ET151" s="470"/>
      <c r="EU151" s="470"/>
      <c r="EV151" s="470"/>
      <c r="EW151" s="470"/>
      <c r="EX151" s="470"/>
      <c r="EY151" s="470"/>
      <c r="EZ151" s="470"/>
      <c r="FA151" s="470"/>
      <c r="FB151" s="470"/>
      <c r="FC151" s="470"/>
      <c r="FD151" s="470"/>
      <c r="FE151" s="470"/>
      <c r="FF151" s="470"/>
      <c r="FG151" s="470"/>
      <c r="FH151" s="470"/>
      <c r="FI151" s="470"/>
      <c r="FJ151" s="470"/>
      <c r="FK151" s="470"/>
      <c r="FL151" s="470"/>
      <c r="FM151" s="470"/>
      <c r="FN151" s="470"/>
      <c r="FO151" s="470"/>
      <c r="FP151" s="470"/>
      <c r="FQ151" s="470"/>
      <c r="FR151" s="470"/>
      <c r="FS151" s="470"/>
      <c r="FT151" s="470"/>
      <c r="FU151" s="470"/>
      <c r="FV151" s="470"/>
      <c r="FW151" s="470"/>
      <c r="FX151" s="470"/>
      <c r="FY151" s="470"/>
      <c r="FZ151" s="470"/>
      <c r="GA151" s="470"/>
      <c r="GB151" s="470"/>
      <c r="GC151" s="470"/>
      <c r="GD151" s="470"/>
      <c r="GE151" s="470"/>
      <c r="GF151" s="470"/>
      <c r="GG151" s="470"/>
      <c r="GH151" s="470"/>
      <c r="GI151" s="470"/>
      <c r="GJ151" s="470"/>
      <c r="GK151" s="470"/>
      <c r="GL151" s="470"/>
      <c r="GM151" s="470"/>
      <c r="GN151" s="470"/>
      <c r="GO151" s="470"/>
      <c r="GP151" s="470"/>
      <c r="GQ151" s="470"/>
      <c r="GR151" s="470"/>
      <c r="GS151" s="470"/>
      <c r="GT151" s="470"/>
      <c r="GU151" s="470"/>
      <c r="GY151" s="470"/>
    </row>
    <row r="152" spans="1:227" x14ac:dyDescent="0.25">
      <c r="A152" s="523"/>
      <c r="B152" s="619"/>
      <c r="C152" s="619"/>
      <c r="D152" s="470"/>
      <c r="E152" s="470"/>
      <c r="F152" s="470"/>
      <c r="G152" s="470"/>
      <c r="H152" s="462"/>
      <c r="I152" s="462"/>
      <c r="J152" s="462"/>
      <c r="K152" s="470"/>
      <c r="L152" s="462"/>
      <c r="M152" s="462"/>
      <c r="N152" s="462"/>
      <c r="O152" s="470"/>
      <c r="P152" s="462"/>
      <c r="Q152" s="462"/>
      <c r="R152" s="462"/>
      <c r="S152" s="470"/>
      <c r="T152" s="470"/>
      <c r="U152" s="470"/>
      <c r="V152" s="470"/>
      <c r="W152" s="470"/>
      <c r="X152" s="474"/>
      <c r="AA152" s="470"/>
      <c r="AE152" s="470"/>
      <c r="AI152" s="470"/>
      <c r="AQ152" s="470"/>
      <c r="AU152" s="470"/>
      <c r="AY152" s="470"/>
      <c r="BC152" s="470"/>
      <c r="BG152" s="470"/>
      <c r="BK152" s="470"/>
      <c r="BO152" s="470"/>
      <c r="BS152" s="470"/>
      <c r="BW152" s="470"/>
      <c r="CA152" s="470"/>
      <c r="CE152" s="470"/>
      <c r="CI152" s="470"/>
      <c r="CM152" s="470"/>
      <c r="CQ152" s="470"/>
      <c r="CU152" s="470"/>
      <c r="CY152" s="470"/>
      <c r="DC152" s="470"/>
      <c r="DG152" s="470"/>
      <c r="DK152" s="470"/>
      <c r="DO152" s="470"/>
      <c r="EM152" s="470"/>
      <c r="EN152" s="470"/>
      <c r="EO152" s="470"/>
      <c r="EP152" s="470"/>
      <c r="EQ152" s="470"/>
      <c r="ER152" s="470"/>
      <c r="ES152" s="470"/>
      <c r="ET152" s="470"/>
      <c r="EU152" s="470"/>
      <c r="EV152" s="470"/>
      <c r="EW152" s="470"/>
      <c r="EX152" s="470"/>
      <c r="EY152" s="470"/>
      <c r="EZ152" s="470"/>
      <c r="FA152" s="470"/>
      <c r="FB152" s="470"/>
      <c r="FC152" s="470"/>
      <c r="FD152" s="470"/>
      <c r="FE152" s="470"/>
      <c r="FF152" s="470"/>
      <c r="FG152" s="470"/>
      <c r="FH152" s="470"/>
      <c r="FI152" s="470"/>
      <c r="FJ152" s="470"/>
      <c r="FK152" s="470"/>
      <c r="FL152" s="470"/>
      <c r="FM152" s="470"/>
      <c r="FN152" s="470"/>
      <c r="FO152" s="470"/>
      <c r="FP152" s="470"/>
      <c r="FQ152" s="470"/>
      <c r="FR152" s="470"/>
      <c r="FS152" s="470"/>
      <c r="FT152" s="470"/>
      <c r="FU152" s="470"/>
      <c r="FV152" s="470"/>
      <c r="FW152" s="470"/>
      <c r="FX152" s="470"/>
      <c r="FY152" s="470"/>
      <c r="FZ152" s="470"/>
      <c r="GA152" s="470"/>
      <c r="GB152" s="470"/>
      <c r="GC152" s="470"/>
      <c r="GD152" s="470"/>
      <c r="GE152" s="470"/>
      <c r="GF152" s="470"/>
      <c r="GG152" s="470"/>
      <c r="GH152" s="470"/>
      <c r="GI152" s="470"/>
      <c r="GJ152" s="470"/>
      <c r="GK152" s="470"/>
      <c r="GL152" s="470"/>
      <c r="GM152" s="470"/>
      <c r="GN152" s="470"/>
      <c r="GO152" s="470"/>
      <c r="GP152" s="470"/>
      <c r="GQ152" s="470"/>
      <c r="GR152" s="470"/>
      <c r="GS152" s="470"/>
      <c r="GT152" s="470"/>
      <c r="GU152" s="470"/>
      <c r="GY152" s="470"/>
    </row>
    <row r="153" spans="1:227" x14ac:dyDescent="0.25">
      <c r="A153" s="523"/>
      <c r="B153" s="619"/>
      <c r="C153" s="619"/>
      <c r="D153" s="470"/>
      <c r="E153" s="470"/>
      <c r="F153" s="470"/>
      <c r="G153" s="470"/>
      <c r="H153" s="462"/>
      <c r="I153" s="462"/>
      <c r="J153" s="462"/>
      <c r="K153" s="470"/>
      <c r="L153" s="462"/>
      <c r="M153" s="462"/>
      <c r="N153" s="462"/>
      <c r="O153" s="470"/>
      <c r="P153" s="462"/>
      <c r="Q153" s="462"/>
      <c r="R153" s="462"/>
      <c r="S153" s="470"/>
      <c r="T153" s="470"/>
      <c r="U153" s="470"/>
      <c r="V153" s="470"/>
      <c r="W153" s="470"/>
      <c r="X153" s="474"/>
      <c r="AA153" s="470"/>
      <c r="AE153" s="470"/>
      <c r="AI153" s="470"/>
      <c r="AQ153" s="470"/>
      <c r="AU153" s="470"/>
      <c r="AY153" s="470"/>
      <c r="BC153" s="470"/>
      <c r="BG153" s="470"/>
      <c r="BK153" s="470"/>
      <c r="BO153" s="470"/>
      <c r="BS153" s="470"/>
      <c r="BW153" s="470"/>
      <c r="CA153" s="470"/>
      <c r="CE153" s="470"/>
      <c r="CI153" s="470"/>
      <c r="CM153" s="470"/>
      <c r="CQ153" s="470"/>
      <c r="CU153" s="470"/>
      <c r="CY153" s="470"/>
      <c r="DC153" s="470"/>
      <c r="DG153" s="470"/>
      <c r="DK153" s="470"/>
      <c r="DO153" s="470"/>
      <c r="EM153" s="470"/>
      <c r="EN153" s="470"/>
      <c r="EO153" s="470"/>
      <c r="EP153" s="470"/>
      <c r="EQ153" s="470"/>
      <c r="ER153" s="470"/>
      <c r="ES153" s="470"/>
      <c r="ET153" s="470"/>
      <c r="EU153" s="470"/>
      <c r="EV153" s="470"/>
      <c r="EW153" s="470"/>
      <c r="EX153" s="470"/>
      <c r="EY153" s="470"/>
      <c r="EZ153" s="470"/>
      <c r="FA153" s="470"/>
      <c r="FB153" s="470"/>
      <c r="FC153" s="470"/>
      <c r="FD153" s="470"/>
      <c r="FE153" s="470"/>
      <c r="FF153" s="470"/>
      <c r="FG153" s="470"/>
      <c r="FH153" s="470"/>
      <c r="FI153" s="470"/>
      <c r="FJ153" s="470"/>
      <c r="FK153" s="470"/>
      <c r="FL153" s="470"/>
      <c r="FM153" s="470"/>
      <c r="FN153" s="470"/>
      <c r="FO153" s="470"/>
      <c r="FP153" s="470"/>
      <c r="FQ153" s="470"/>
      <c r="FR153" s="470"/>
      <c r="FS153" s="470"/>
      <c r="FT153" s="470"/>
      <c r="FU153" s="470"/>
      <c r="FV153" s="470"/>
      <c r="FW153" s="470"/>
      <c r="FX153" s="470"/>
      <c r="FY153" s="470"/>
      <c r="FZ153" s="470"/>
      <c r="GA153" s="470"/>
      <c r="GB153" s="470"/>
      <c r="GC153" s="470"/>
      <c r="GD153" s="470"/>
      <c r="GE153" s="470"/>
      <c r="GF153" s="470"/>
      <c r="GG153" s="470"/>
      <c r="GH153" s="470"/>
      <c r="GI153" s="470"/>
      <c r="GJ153" s="470"/>
      <c r="GK153" s="470"/>
      <c r="GL153" s="470"/>
      <c r="GM153" s="470"/>
      <c r="GN153" s="470"/>
      <c r="GO153" s="470"/>
      <c r="GP153" s="470"/>
      <c r="GQ153" s="470"/>
      <c r="GR153" s="470"/>
      <c r="GS153" s="470"/>
      <c r="GT153" s="470"/>
      <c r="GU153" s="470"/>
      <c r="GY153" s="470"/>
    </row>
    <row r="154" spans="1:227" x14ac:dyDescent="0.25">
      <c r="U154" s="473"/>
      <c r="X154" s="473"/>
      <c r="Y154" s="473"/>
    </row>
    <row r="155" spans="1:227" x14ac:dyDescent="0.25">
      <c r="M155" s="472" t="s">
        <v>653</v>
      </c>
      <c r="X155" s="474"/>
      <c r="Y155" s="473"/>
    </row>
    <row r="156" spans="1:227" x14ac:dyDescent="0.25">
      <c r="M156" s="472" t="s">
        <v>238</v>
      </c>
      <c r="P156" s="474">
        <v>1250000</v>
      </c>
      <c r="Q156" s="472" t="s">
        <v>654</v>
      </c>
      <c r="U156" s="473"/>
      <c r="X156" s="474"/>
    </row>
    <row r="157" spans="1:227" x14ac:dyDescent="0.25">
      <c r="D157" s="472"/>
      <c r="E157" s="472"/>
      <c r="F157" s="472"/>
      <c r="G157" s="472"/>
      <c r="K157" s="472"/>
      <c r="M157" s="472" t="s">
        <v>655</v>
      </c>
      <c r="O157" s="472"/>
      <c r="P157" s="474">
        <v>3965617</v>
      </c>
      <c r="S157" s="472"/>
      <c r="U157" s="519"/>
      <c r="W157" s="472"/>
      <c r="X157" s="474"/>
      <c r="AA157" s="472"/>
      <c r="AE157" s="472"/>
      <c r="AI157" s="472"/>
      <c r="AQ157" s="472"/>
      <c r="AU157" s="472"/>
      <c r="AY157" s="472"/>
      <c r="BC157" s="472"/>
      <c r="BG157" s="472"/>
      <c r="BK157" s="472"/>
      <c r="BO157" s="472"/>
      <c r="BS157" s="472"/>
      <c r="BW157" s="472"/>
      <c r="CA157" s="472"/>
      <c r="CE157" s="472"/>
      <c r="CI157" s="472"/>
      <c r="CM157" s="472"/>
      <c r="CQ157" s="472"/>
      <c r="CU157" s="472"/>
      <c r="CY157" s="472"/>
      <c r="DC157" s="472"/>
      <c r="DG157" s="472"/>
      <c r="DK157" s="472"/>
      <c r="DO157" s="472"/>
      <c r="EM157" s="472"/>
      <c r="EN157" s="472"/>
      <c r="EO157" s="472"/>
      <c r="EP157" s="472"/>
      <c r="EQ157" s="472"/>
      <c r="ER157" s="472"/>
      <c r="ES157" s="472"/>
      <c r="ET157" s="472"/>
      <c r="EU157" s="472"/>
      <c r="EV157" s="472"/>
      <c r="EW157" s="472"/>
      <c r="EX157" s="472"/>
      <c r="EY157" s="472"/>
      <c r="EZ157" s="472"/>
      <c r="FA157" s="472"/>
      <c r="FB157" s="472"/>
      <c r="FC157" s="472"/>
      <c r="FD157" s="472"/>
      <c r="FE157" s="472"/>
      <c r="FF157" s="472"/>
      <c r="FG157" s="472"/>
      <c r="FH157" s="472"/>
      <c r="FI157" s="472"/>
      <c r="FJ157" s="472"/>
      <c r="FK157" s="472"/>
      <c r="FL157" s="472"/>
      <c r="FM157" s="472"/>
      <c r="FN157" s="472"/>
      <c r="FO157" s="472"/>
      <c r="FP157" s="472"/>
      <c r="FQ157" s="472"/>
      <c r="FR157" s="472"/>
      <c r="FS157" s="472"/>
      <c r="FT157" s="472"/>
      <c r="FU157" s="472"/>
      <c r="FV157" s="472"/>
      <c r="FW157" s="472"/>
      <c r="FX157" s="472"/>
      <c r="FY157" s="472"/>
      <c r="FZ157" s="472"/>
      <c r="GA157" s="472"/>
      <c r="GB157" s="472"/>
      <c r="GC157" s="472"/>
      <c r="GD157" s="472"/>
      <c r="GE157" s="472"/>
      <c r="GF157" s="472"/>
      <c r="GG157" s="472"/>
      <c r="GH157" s="472"/>
      <c r="GI157" s="472"/>
      <c r="GJ157" s="472"/>
      <c r="GK157" s="472"/>
      <c r="GL157" s="472"/>
      <c r="GM157" s="472"/>
      <c r="GN157" s="472"/>
      <c r="GO157" s="472"/>
      <c r="GP157" s="472"/>
      <c r="GQ157" s="472"/>
      <c r="GR157" s="472"/>
      <c r="GS157" s="472"/>
      <c r="GT157" s="472"/>
      <c r="GU157" s="472"/>
      <c r="GY157" s="472"/>
    </row>
    <row r="158" spans="1:227" x14ac:dyDescent="0.25">
      <c r="M158" s="472" t="s">
        <v>532</v>
      </c>
      <c r="P158" s="473">
        <f>SUM(P156:P157)</f>
        <v>5215617</v>
      </c>
      <c r="X158" s="474"/>
    </row>
    <row r="159" spans="1:227" x14ac:dyDescent="0.25">
      <c r="X159" s="474"/>
    </row>
    <row r="160" spans="1:227" x14ac:dyDescent="0.25">
      <c r="U160" s="473"/>
      <c r="X160" s="474"/>
    </row>
  </sheetData>
  <mergeCells count="59">
    <mergeCell ref="HT2:HV2"/>
    <mergeCell ref="D75:E75"/>
    <mergeCell ref="H75:J75"/>
    <mergeCell ref="L75:N75"/>
    <mergeCell ref="P75:R75"/>
    <mergeCell ref="T75:V75"/>
    <mergeCell ref="GN1:GP1"/>
    <mergeCell ref="GR1:GT1"/>
    <mergeCell ref="HA2:HC2"/>
    <mergeCell ref="HE2:HG2"/>
    <mergeCell ref="HI2:HK2"/>
    <mergeCell ref="HN2:HP2"/>
    <mergeCell ref="FP1:FR1"/>
    <mergeCell ref="FT1:FV1"/>
    <mergeCell ref="FX1:FZ1"/>
    <mergeCell ref="GB1:GD1"/>
    <mergeCell ref="GF1:GH1"/>
    <mergeCell ref="GJ1:GL1"/>
    <mergeCell ref="ER1:ET1"/>
    <mergeCell ref="EV1:EX1"/>
    <mergeCell ref="EZ1:FB1"/>
    <mergeCell ref="FD1:FF1"/>
    <mergeCell ref="FH1:FJ1"/>
    <mergeCell ref="FL1:FN1"/>
    <mergeCell ref="DT1:DV1"/>
    <mergeCell ref="DX1:DZ1"/>
    <mergeCell ref="EB1:ED1"/>
    <mergeCell ref="EF1:EH1"/>
    <mergeCell ref="EJ1:EL1"/>
    <mergeCell ref="EN1:EP1"/>
    <mergeCell ref="CR1:CT1"/>
    <mergeCell ref="CZ1:DB1"/>
    <mergeCell ref="DD1:DF1"/>
    <mergeCell ref="DH1:DJ1"/>
    <mergeCell ref="DL1:DN1"/>
    <mergeCell ref="DP1:DR1"/>
    <mergeCell ref="BT1:BV1"/>
    <mergeCell ref="BX1:BZ1"/>
    <mergeCell ref="CB1:CD1"/>
    <mergeCell ref="CF1:CH1"/>
    <mergeCell ref="CJ1:CL1"/>
    <mergeCell ref="CN1:CP1"/>
    <mergeCell ref="AV1:AX1"/>
    <mergeCell ref="AZ1:BB1"/>
    <mergeCell ref="BD1:BF1"/>
    <mergeCell ref="BH1:BJ1"/>
    <mergeCell ref="BL1:BN1"/>
    <mergeCell ref="BP1:BR1"/>
    <mergeCell ref="X1:Z1"/>
    <mergeCell ref="AB1:AD1"/>
    <mergeCell ref="AF1:AH1"/>
    <mergeCell ref="AJ1:AL1"/>
    <mergeCell ref="AN1:AP1"/>
    <mergeCell ref="AR1:AT1"/>
    <mergeCell ref="D1:E1"/>
    <mergeCell ref="H1:J1"/>
    <mergeCell ref="L1:N1"/>
    <mergeCell ref="P1:R1"/>
    <mergeCell ref="T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M533"/>
  <sheetViews>
    <sheetView workbookViewId="0">
      <selection activeCell="D16" sqref="D16"/>
    </sheetView>
  </sheetViews>
  <sheetFormatPr defaultColWidth="13" defaultRowHeight="15" x14ac:dyDescent="0.25"/>
  <cols>
    <col min="1" max="1" width="3.85546875" style="1" customWidth="1"/>
    <col min="2" max="2" width="49" style="2" customWidth="1"/>
    <col min="3" max="3" width="11" style="2" customWidth="1"/>
    <col min="4" max="4" width="26.7109375" style="3" customWidth="1"/>
    <col min="5" max="5" width="23.28515625" style="4" customWidth="1"/>
    <col min="6" max="6" width="19" style="3" customWidth="1"/>
    <col min="7" max="7" width="5.5703125" style="3" customWidth="1"/>
    <col min="8" max="8" width="18.5703125" style="3" customWidth="1"/>
    <col min="9" max="9" width="23" style="3" customWidth="1"/>
    <col min="10" max="10" width="19.140625" style="3" customWidth="1"/>
    <col min="11" max="11" width="3.28515625" style="3" customWidth="1"/>
    <col min="12" max="12" width="19.5703125" style="3" customWidth="1"/>
    <col min="13" max="13" width="22.28515625" style="3" customWidth="1"/>
    <col min="14" max="14" width="20.85546875" style="3" customWidth="1"/>
    <col min="15" max="15" width="4.28515625" style="3" customWidth="1"/>
    <col min="16" max="18" width="20.28515625" style="3" customWidth="1"/>
    <col min="19" max="19" width="4.28515625" style="3" customWidth="1"/>
    <col min="20" max="22" width="24.140625" style="3" customWidth="1"/>
    <col min="23" max="23" width="2.85546875" style="3" customWidth="1"/>
    <col min="24" max="26" width="21.140625" style="3" customWidth="1"/>
    <col min="27" max="27" width="3.140625" style="3" customWidth="1"/>
    <col min="28" max="30" width="22" style="3" customWidth="1"/>
    <col min="31" max="31" width="2.85546875" style="3" customWidth="1"/>
    <col min="32" max="34" width="22.28515625" style="3" customWidth="1"/>
    <col min="35" max="35" width="2.140625" style="3" customWidth="1"/>
    <col min="36" max="38" width="21.5703125" style="5" customWidth="1"/>
    <col min="39" max="39" width="2.7109375" style="5" customWidth="1"/>
    <col min="40" max="42" width="22.7109375" style="3" customWidth="1"/>
    <col min="43" max="43" width="2.85546875" style="3" customWidth="1"/>
    <col min="44" max="46" width="22.7109375" style="3" customWidth="1"/>
    <col min="47" max="47" width="4.42578125" style="3" customWidth="1"/>
    <col min="48" max="50" width="20.28515625" style="3" customWidth="1"/>
    <col min="51" max="51" width="2.28515625" style="3" customWidth="1"/>
    <col min="52" max="52" width="22" style="3" customWidth="1"/>
    <col min="53" max="53" width="20.5703125" style="3" customWidth="1"/>
    <col min="54" max="54" width="18.5703125" style="3" customWidth="1"/>
    <col min="55" max="55" width="2.7109375" style="3" customWidth="1"/>
    <col min="56" max="58" width="17.7109375" style="3" customWidth="1"/>
    <col min="59" max="59" width="2.140625" style="3" customWidth="1"/>
    <col min="60" max="62" width="18.5703125" style="3" customWidth="1"/>
    <col min="63" max="63" width="2.140625" style="3" customWidth="1"/>
    <col min="64" max="66" width="18" style="3" customWidth="1"/>
    <col min="67" max="67" width="1.42578125" style="3" customWidth="1"/>
    <col min="68" max="70" width="22.28515625" style="3" customWidth="1"/>
    <col min="71" max="71" width="2.5703125" style="3" customWidth="1"/>
    <col min="72" max="74" width="19.85546875" style="3" customWidth="1"/>
    <col min="75" max="75" width="1.140625" style="3" customWidth="1"/>
    <col min="76" max="78" width="23.85546875" style="3" customWidth="1"/>
    <col min="79" max="79" width="2.140625" style="3" customWidth="1"/>
    <col min="80" max="82" width="20.7109375" style="3" customWidth="1"/>
    <col min="83" max="83" width="3.5703125" style="3" customWidth="1"/>
    <col min="84" max="84" width="20.7109375" style="3" customWidth="1"/>
    <col min="85" max="85" width="22" style="3" customWidth="1"/>
    <col min="86" max="86" width="21" style="3" customWidth="1"/>
    <col min="87" max="87" width="3.42578125" style="3" customWidth="1"/>
    <col min="88" max="90" width="20.7109375" style="3" customWidth="1"/>
    <col min="91" max="91" width="1.140625" style="3" customWidth="1"/>
    <col min="92" max="94" width="20.7109375" style="3" customWidth="1"/>
    <col min="95" max="95" width="1.85546875" style="3" customWidth="1"/>
    <col min="96" max="98" width="20.7109375" style="3" customWidth="1"/>
    <col min="99" max="99" width="5.7109375" style="3" customWidth="1"/>
    <col min="100" max="102" width="20.7109375" style="3" customWidth="1"/>
    <col min="103" max="103" width="5.7109375" style="3" customWidth="1"/>
    <col min="104" max="104" width="20.140625" style="3" customWidth="1"/>
    <col min="105" max="105" width="18.140625" style="3" customWidth="1"/>
    <col min="106" max="106" width="18.85546875" style="3" customWidth="1"/>
    <col min="107" max="107" width="4.42578125" style="3" customWidth="1"/>
    <col min="108" max="108" width="16.5703125" style="3" customWidth="1"/>
    <col min="109" max="109" width="23.42578125" style="3" customWidth="1"/>
    <col min="110" max="110" width="16.5703125" style="3" customWidth="1"/>
    <col min="111" max="111" width="4.42578125" style="3" customWidth="1"/>
    <col min="112" max="113" width="18" style="3" customWidth="1"/>
    <col min="114" max="114" width="17.7109375" style="3" customWidth="1"/>
    <col min="115" max="115" width="6.7109375" style="3" customWidth="1"/>
    <col min="116" max="116" width="17.85546875" style="3" customWidth="1"/>
    <col min="117" max="117" width="17.140625" style="3" customWidth="1"/>
    <col min="118" max="118" width="17.42578125" style="3" customWidth="1"/>
    <col min="119" max="119" width="6.140625" style="3" customWidth="1"/>
    <col min="120" max="120" width="20" style="3" customWidth="1"/>
    <col min="121" max="121" width="18.28515625" style="3" customWidth="1"/>
    <col min="122" max="122" width="18.5703125" style="3" customWidth="1"/>
    <col min="123" max="123" width="3.42578125" style="3" customWidth="1"/>
    <col min="124" max="126" width="18.5703125" style="3" customWidth="1"/>
    <col min="127" max="127" width="4.85546875" style="3" customWidth="1"/>
    <col min="128" max="130" width="18.5703125" style="3" customWidth="1"/>
    <col min="131" max="131" width="4.85546875" style="3" customWidth="1"/>
    <col min="132" max="134" width="18.5703125" style="3" customWidth="1"/>
    <col min="135" max="135" width="3.42578125" style="3" customWidth="1"/>
    <col min="136" max="138" width="18.5703125" style="3" customWidth="1"/>
    <col min="139" max="139" width="2.28515625" style="3" customWidth="1"/>
    <col min="140" max="142" width="18.5703125" style="3" customWidth="1"/>
    <col min="143" max="143" width="4.85546875" style="3" customWidth="1"/>
    <col min="144" max="144" width="19.28515625" style="10" customWidth="1"/>
    <col min="145" max="145" width="19.42578125" style="202" customWidth="1"/>
    <col min="146" max="146" width="18.7109375" style="202" customWidth="1"/>
    <col min="147" max="147" width="3.7109375" style="202" customWidth="1"/>
    <col min="148" max="148" width="19" style="3" bestFit="1" customWidth="1"/>
    <col min="149" max="149" width="19.140625" style="3" customWidth="1"/>
    <col min="150" max="150" width="16.85546875" style="3" bestFit="1" customWidth="1"/>
    <col min="151" max="151" width="3.140625" style="3" customWidth="1"/>
    <col min="152" max="152" width="16.85546875" style="3" customWidth="1"/>
    <col min="153" max="153" width="14.5703125" style="3" customWidth="1"/>
    <col min="154" max="154" width="17.7109375" style="3" customWidth="1"/>
    <col min="155" max="155" width="3.7109375" style="3" customWidth="1"/>
    <col min="156" max="156" width="15.28515625" style="3" bestFit="1" customWidth="1"/>
    <col min="157" max="157" width="15.140625" style="3" customWidth="1"/>
    <col min="158" max="158" width="15.7109375" style="3" customWidth="1"/>
    <col min="159" max="159" width="2.85546875" style="3" customWidth="1"/>
    <col min="160" max="160" width="16.85546875" style="3" customWidth="1"/>
    <col min="161" max="161" width="17.140625" style="3" customWidth="1"/>
    <col min="162" max="162" width="17.85546875" style="3" customWidth="1"/>
    <col min="163" max="163" width="5.7109375" style="3" customWidth="1"/>
    <col min="164" max="164" width="16.85546875" style="3" customWidth="1"/>
    <col min="165" max="166" width="15.7109375" style="3" customWidth="1"/>
    <col min="167" max="167" width="1.42578125" style="3" customWidth="1"/>
    <col min="168" max="169" width="18.140625" style="3" customWidth="1"/>
    <col min="170" max="170" width="19" style="3" customWidth="1"/>
    <col min="171" max="171" width="3.42578125" style="3" customWidth="1"/>
    <col min="172" max="174" width="18.140625" style="3" customWidth="1"/>
    <col min="175" max="175" width="4.5703125" style="3" customWidth="1"/>
    <col min="176" max="178" width="18.140625" style="3" customWidth="1"/>
    <col min="179" max="179" width="3.85546875" style="3" customWidth="1"/>
    <col min="180" max="182" width="18.140625" style="3" customWidth="1"/>
    <col min="183" max="183" width="5.140625" style="3" customWidth="1"/>
    <col min="184" max="186" width="18.140625" style="3" customWidth="1"/>
    <col min="187" max="187" width="5.7109375" style="3" customWidth="1"/>
    <col min="188" max="188" width="20" style="3" customWidth="1"/>
    <col min="189" max="189" width="21.5703125" style="3" customWidth="1"/>
    <col min="190" max="190" width="22.28515625" style="3" customWidth="1"/>
    <col min="191" max="191" width="6.42578125" style="3" customWidth="1"/>
    <col min="192" max="192" width="20.42578125" style="3" customWidth="1"/>
    <col min="193" max="193" width="18.140625" style="3" customWidth="1"/>
    <col min="194" max="194" width="19" style="3" customWidth="1"/>
    <col min="195" max="195" width="6.42578125" style="3" customWidth="1"/>
    <col min="196" max="196" width="18.28515625" style="3" customWidth="1"/>
    <col min="197" max="197" width="15.140625" style="3" customWidth="1"/>
    <col min="198" max="198" width="18.140625" style="3" customWidth="1"/>
    <col min="199" max="199" width="6.42578125" style="3" customWidth="1"/>
    <col min="200" max="200" width="18.140625" style="3" customWidth="1"/>
    <col min="201" max="201" width="21.140625" style="3" customWidth="1"/>
    <col min="202" max="202" width="21.42578125" style="3" customWidth="1"/>
    <col min="203" max="203" width="6.42578125" style="3" customWidth="1"/>
    <col min="204" max="204" width="18.85546875" style="3" customWidth="1"/>
    <col min="205" max="205" width="20.42578125" style="3" customWidth="1"/>
    <col min="206" max="206" width="17.42578125" style="3" customWidth="1"/>
    <col min="207" max="207" width="6.42578125" style="3" customWidth="1"/>
    <col min="208" max="209" width="21.85546875" style="3" customWidth="1"/>
    <col min="210" max="210" width="22.5703125" style="3" customWidth="1"/>
    <col min="211" max="211" width="6.42578125" style="3" customWidth="1"/>
    <col min="212" max="212" width="16.7109375" style="3" customWidth="1"/>
    <col min="213" max="213" width="16.28515625" style="3" customWidth="1"/>
    <col min="214" max="214" width="21" style="3" customWidth="1"/>
    <col min="215" max="215" width="6.42578125" style="3" customWidth="1"/>
    <col min="216" max="216" width="24.85546875" style="3" customWidth="1"/>
    <col min="217" max="217" width="20" style="3" customWidth="1"/>
    <col min="218" max="218" width="21.42578125" style="3" customWidth="1"/>
    <col min="219" max="219" width="13" style="3"/>
    <col min="220" max="220" width="19" style="3" customWidth="1"/>
    <col min="221" max="221" width="19.7109375" style="3" customWidth="1"/>
    <col min="222" max="222" width="19.28515625" style="3" customWidth="1"/>
    <col min="223" max="223" width="13" style="3"/>
    <col min="224" max="224" width="19" style="3" customWidth="1"/>
    <col min="225" max="225" width="19.7109375" style="3" customWidth="1"/>
    <col min="226" max="226" width="18" style="3" customWidth="1"/>
    <col min="227" max="227" width="13" style="3"/>
    <col min="228" max="228" width="19" style="3" customWidth="1"/>
    <col min="229" max="229" width="19.7109375" style="3" customWidth="1"/>
    <col min="230" max="230" width="18" style="3" customWidth="1"/>
    <col min="231" max="231" width="13" style="3"/>
    <col min="232" max="232" width="19" style="3" customWidth="1"/>
    <col min="233" max="233" width="19.7109375" style="3" customWidth="1"/>
    <col min="234" max="234" width="18" style="3" customWidth="1"/>
    <col min="235" max="235" width="13" style="3"/>
    <col min="236" max="236" width="19" style="3" customWidth="1"/>
    <col min="237" max="237" width="19.7109375" style="3" customWidth="1"/>
    <col min="238" max="238" width="18" style="3" customWidth="1"/>
    <col min="239" max="239" width="13" style="3"/>
    <col min="240" max="240" width="19" style="3" customWidth="1"/>
    <col min="241" max="241" width="19.7109375" style="3" customWidth="1"/>
    <col min="242" max="242" width="18" style="3" customWidth="1"/>
    <col min="243" max="243" width="7.42578125" style="3" customWidth="1"/>
    <col min="244" max="244" width="21.140625" style="3" customWidth="1"/>
    <col min="245" max="245" width="21.85546875" style="3" customWidth="1"/>
    <col min="246" max="246" width="21.42578125" style="3" customWidth="1"/>
    <col min="247" max="16384" width="13" style="3"/>
  </cols>
  <sheetData>
    <row r="1" spans="1:221" s="4" customFormat="1" ht="15" customHeight="1" x14ac:dyDescent="0.25">
      <c r="A1" s="91"/>
      <c r="B1" s="91" t="s">
        <v>148</v>
      </c>
      <c r="C1" s="91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6"/>
      <c r="Y1" s="66"/>
      <c r="Z1" s="66"/>
      <c r="AA1" s="66"/>
      <c r="AB1" s="66"/>
      <c r="AC1" s="66"/>
      <c r="AD1" s="66"/>
      <c r="AE1" s="66"/>
      <c r="AF1" s="66"/>
      <c r="AG1" s="66"/>
      <c r="AH1" s="66"/>
      <c r="AI1" s="66"/>
      <c r="AJ1" s="88"/>
      <c r="AK1" s="88"/>
      <c r="AL1" s="88"/>
      <c r="AM1" s="88"/>
      <c r="AN1" s="66"/>
      <c r="AO1" s="66"/>
      <c r="AP1" s="66"/>
      <c r="AQ1" s="66"/>
      <c r="AR1" s="66"/>
      <c r="AS1" s="66"/>
      <c r="AT1" s="66"/>
      <c r="AU1" s="66"/>
      <c r="AV1" s="66"/>
      <c r="AW1" s="66"/>
      <c r="AX1" s="66"/>
      <c r="AY1" s="66"/>
      <c r="AZ1" s="66"/>
      <c r="BA1" s="66"/>
      <c r="BB1" s="66"/>
      <c r="BC1" s="106"/>
      <c r="BD1" s="66"/>
      <c r="BE1" s="66"/>
      <c r="BF1" s="66"/>
      <c r="BG1" s="106"/>
      <c r="BH1" s="66"/>
      <c r="BI1" s="66"/>
      <c r="BJ1" s="66"/>
      <c r="BL1" s="66"/>
      <c r="BM1" s="66"/>
      <c r="BN1" s="66"/>
      <c r="BP1" s="66"/>
      <c r="BQ1" s="66"/>
      <c r="BR1" s="66"/>
      <c r="BT1" s="66"/>
      <c r="BU1" s="66"/>
      <c r="BV1" s="66"/>
      <c r="BX1" s="66"/>
      <c r="BY1" s="66"/>
      <c r="BZ1" s="66"/>
      <c r="CW1" s="4">
        <v>196229774.53580901</v>
      </c>
      <c r="EW1" s="143"/>
      <c r="EX1" s="106"/>
      <c r="EY1" s="106"/>
      <c r="EZ1" s="106"/>
    </row>
    <row r="2" spans="1:221" s="4" customFormat="1" ht="15" customHeight="1" x14ac:dyDescent="0.25">
      <c r="A2" s="91"/>
      <c r="B2" s="91" t="s">
        <v>2</v>
      </c>
      <c r="C2" s="91"/>
      <c r="D2" s="147">
        <v>3500000</v>
      </c>
      <c r="E2" s="147"/>
      <c r="F2" s="147"/>
      <c r="G2" s="147"/>
      <c r="H2" s="66">
        <v>3500000</v>
      </c>
      <c r="I2" s="66"/>
      <c r="J2" s="66"/>
      <c r="K2" s="66"/>
      <c r="L2" s="66">
        <v>3500000</v>
      </c>
      <c r="M2" s="66"/>
      <c r="N2" s="66"/>
      <c r="O2" s="66"/>
      <c r="P2" s="66">
        <v>3500000</v>
      </c>
      <c r="Q2" s="66"/>
      <c r="R2" s="66"/>
      <c r="S2" s="66"/>
      <c r="T2" s="66">
        <v>5000000</v>
      </c>
      <c r="U2" s="66"/>
      <c r="V2" s="66"/>
      <c r="W2" s="66"/>
      <c r="X2" s="66">
        <v>5000000</v>
      </c>
      <c r="Y2" s="66"/>
      <c r="Z2" s="66"/>
      <c r="AA2" s="66"/>
      <c r="AB2" s="66">
        <v>6500000</v>
      </c>
      <c r="AC2" s="66"/>
      <c r="AD2" s="66"/>
      <c r="AE2" s="66"/>
      <c r="AF2" s="66">
        <v>10000000</v>
      </c>
      <c r="AG2" s="66"/>
      <c r="AH2" s="66"/>
      <c r="AI2" s="66"/>
      <c r="AJ2" s="88">
        <v>10000000</v>
      </c>
      <c r="AK2" s="88"/>
      <c r="AL2" s="88"/>
      <c r="AM2" s="88"/>
      <c r="AN2" s="66">
        <v>20000000</v>
      </c>
      <c r="AO2" s="66"/>
      <c r="AP2" s="66"/>
      <c r="AQ2" s="66"/>
      <c r="AR2" s="66">
        <v>25000000</v>
      </c>
      <c r="AS2" s="66"/>
      <c r="AT2" s="66"/>
      <c r="AU2" s="66"/>
      <c r="AV2" s="66">
        <v>53000000</v>
      </c>
      <c r="AW2" s="66"/>
      <c r="AX2" s="66"/>
      <c r="AY2" s="66"/>
      <c r="AZ2" s="66">
        <v>60000000</v>
      </c>
      <c r="BA2" s="66"/>
      <c r="BB2" s="66"/>
      <c r="BC2" s="106"/>
      <c r="BD2" s="66"/>
      <c r="BE2" s="66"/>
      <c r="BF2" s="66"/>
      <c r="BG2" s="148"/>
      <c r="BH2" s="66"/>
      <c r="BI2" s="66"/>
      <c r="BJ2" s="66"/>
      <c r="BL2" s="66"/>
      <c r="BM2" s="66"/>
      <c r="BN2" s="66"/>
      <c r="BP2" s="66"/>
      <c r="BQ2" s="66"/>
      <c r="BR2" s="66"/>
      <c r="BT2" s="66"/>
      <c r="BU2" s="66"/>
      <c r="BV2" s="66"/>
      <c r="BX2" s="149" t="s">
        <v>149</v>
      </c>
      <c r="BY2" s="150"/>
      <c r="BZ2" s="151"/>
      <c r="EW2" s="143"/>
      <c r="EX2" s="106"/>
      <c r="EY2" s="106"/>
      <c r="EZ2" s="106"/>
    </row>
    <row r="3" spans="1:221" s="130" customFormat="1" ht="30" customHeight="1" x14ac:dyDescent="0.25">
      <c r="A3" s="42"/>
      <c r="B3" s="42"/>
      <c r="C3" s="43"/>
      <c r="D3" s="152">
        <v>2001</v>
      </c>
      <c r="E3" s="153"/>
      <c r="F3" s="154"/>
      <c r="G3" s="42"/>
      <c r="H3" s="152">
        <v>2002</v>
      </c>
      <c r="I3" s="153"/>
      <c r="J3" s="154"/>
      <c r="K3" s="42"/>
      <c r="L3" s="152">
        <v>2003</v>
      </c>
      <c r="M3" s="153"/>
      <c r="N3" s="154"/>
      <c r="O3" s="42"/>
      <c r="P3" s="152">
        <v>2004</v>
      </c>
      <c r="Q3" s="153"/>
      <c r="R3" s="154"/>
      <c r="S3" s="42"/>
      <c r="T3" s="152">
        <v>2005</v>
      </c>
      <c r="U3" s="153"/>
      <c r="V3" s="154"/>
      <c r="W3" s="42"/>
      <c r="X3" s="152">
        <v>2006</v>
      </c>
      <c r="Y3" s="153"/>
      <c r="Z3" s="154"/>
      <c r="AA3" s="42"/>
      <c r="AB3" s="152">
        <v>2007</v>
      </c>
      <c r="AC3" s="153"/>
      <c r="AD3" s="154"/>
      <c r="AE3" s="42"/>
      <c r="AF3" s="152">
        <v>2008</v>
      </c>
      <c r="AG3" s="153"/>
      <c r="AH3" s="154"/>
      <c r="AI3" s="42"/>
      <c r="AJ3" s="152">
        <v>2009</v>
      </c>
      <c r="AK3" s="153"/>
      <c r="AL3" s="154"/>
      <c r="AM3" s="42"/>
      <c r="AN3" s="152">
        <v>2010</v>
      </c>
      <c r="AO3" s="153"/>
      <c r="AP3" s="154"/>
      <c r="AQ3" s="42"/>
      <c r="AR3" s="152">
        <v>2011</v>
      </c>
      <c r="AS3" s="153"/>
      <c r="AT3" s="154"/>
      <c r="AU3" s="42"/>
      <c r="AV3" s="152">
        <v>2012</v>
      </c>
      <c r="AW3" s="153"/>
      <c r="AX3" s="154"/>
      <c r="AY3" s="42"/>
      <c r="AZ3" s="152">
        <v>2013</v>
      </c>
      <c r="BA3" s="153"/>
      <c r="BB3" s="154"/>
      <c r="BC3" s="105"/>
      <c r="BD3" s="152">
        <v>2014</v>
      </c>
      <c r="BE3" s="153"/>
      <c r="BF3" s="154"/>
      <c r="BG3" s="102"/>
      <c r="BH3" s="152">
        <v>2015</v>
      </c>
      <c r="BI3" s="153"/>
      <c r="BJ3" s="154"/>
      <c r="BL3" s="152">
        <v>2016</v>
      </c>
      <c r="BM3" s="153"/>
      <c r="BN3" s="154"/>
      <c r="BP3" s="152">
        <v>2017</v>
      </c>
      <c r="BQ3" s="153"/>
      <c r="BR3" s="154"/>
      <c r="BT3" s="152">
        <v>2018</v>
      </c>
      <c r="BU3" s="153"/>
      <c r="BV3" s="154"/>
      <c r="BX3" s="155" t="s">
        <v>150</v>
      </c>
      <c r="BY3" s="156"/>
      <c r="BZ3" s="128"/>
      <c r="CJ3" s="157"/>
      <c r="CK3" s="157"/>
      <c r="CL3" s="157"/>
      <c r="CM3" s="157"/>
      <c r="CN3" s="157"/>
      <c r="CO3" s="157"/>
      <c r="CP3" s="157"/>
      <c r="CQ3" s="157"/>
      <c r="CR3" s="157"/>
      <c r="CS3" s="157"/>
      <c r="CT3" s="157"/>
      <c r="CU3" s="157"/>
      <c r="CV3" s="158"/>
      <c r="CW3" s="158"/>
      <c r="CX3" s="158"/>
      <c r="CY3" s="158"/>
      <c r="CZ3" s="158"/>
      <c r="DA3" s="158"/>
      <c r="DB3" s="158"/>
      <c r="DC3" s="158"/>
      <c r="DD3" s="158"/>
      <c r="DE3" s="158"/>
      <c r="DF3" s="158"/>
      <c r="DG3" s="158"/>
      <c r="DH3" s="158"/>
      <c r="DI3" s="158"/>
      <c r="DJ3" s="158"/>
      <c r="DK3" s="158"/>
      <c r="DL3" s="158"/>
      <c r="DM3" s="158"/>
      <c r="DN3" s="158"/>
      <c r="DO3" s="158"/>
      <c r="DP3" s="158"/>
      <c r="DQ3" s="158"/>
      <c r="DR3" s="158"/>
      <c r="DS3" s="158"/>
      <c r="DT3" s="158"/>
      <c r="DU3" s="158"/>
      <c r="DV3" s="158"/>
      <c r="DW3" s="158"/>
      <c r="DX3" s="158"/>
      <c r="DY3" s="158"/>
      <c r="DZ3" s="158"/>
      <c r="EA3" s="158"/>
      <c r="EB3" s="158"/>
      <c r="EC3" s="158"/>
      <c r="ED3" s="158"/>
      <c r="EE3" s="158"/>
      <c r="EF3" s="158"/>
      <c r="EG3" s="158"/>
      <c r="EH3" s="158"/>
      <c r="EI3" s="158"/>
      <c r="EJ3" s="158"/>
      <c r="EK3" s="158"/>
      <c r="EL3" s="158"/>
      <c r="EM3" s="158"/>
      <c r="EN3" s="158"/>
      <c r="EO3" s="158"/>
      <c r="EP3" s="158"/>
      <c r="EQ3" s="158"/>
      <c r="ER3" s="158"/>
      <c r="ES3" s="158"/>
      <c r="ET3" s="158"/>
      <c r="EU3" s="158"/>
      <c r="EV3" s="158"/>
      <c r="EW3" s="143"/>
      <c r="EX3" s="106"/>
      <c r="EY3" s="106"/>
      <c r="EZ3" s="106"/>
      <c r="FA3" s="158"/>
      <c r="FB3" s="158"/>
      <c r="FC3" s="158"/>
      <c r="FD3" s="158"/>
      <c r="FE3" s="158"/>
      <c r="FF3" s="158"/>
      <c r="FG3" s="158"/>
      <c r="FH3" s="158"/>
      <c r="FI3" s="158"/>
      <c r="FJ3" s="158"/>
      <c r="FK3" s="158"/>
      <c r="FL3" s="158"/>
      <c r="FM3" s="158"/>
      <c r="FN3" s="158"/>
      <c r="FO3" s="158"/>
      <c r="FP3" s="158"/>
      <c r="FQ3" s="158"/>
      <c r="FR3" s="158"/>
      <c r="FS3" s="158"/>
      <c r="FT3" s="158"/>
      <c r="FU3" s="158"/>
      <c r="FV3" s="158"/>
      <c r="FW3" s="158"/>
      <c r="FX3" s="158"/>
      <c r="FY3" s="158"/>
      <c r="FZ3" s="158"/>
      <c r="GA3" s="158"/>
      <c r="GB3" s="158"/>
      <c r="GC3" s="158"/>
      <c r="GD3" s="158"/>
      <c r="GE3" s="158"/>
      <c r="GF3" s="158"/>
      <c r="GG3" s="158"/>
      <c r="GH3" s="158"/>
      <c r="GI3" s="158"/>
      <c r="GJ3" s="158"/>
      <c r="GK3" s="158"/>
      <c r="GL3" s="158"/>
      <c r="GM3" s="158"/>
      <c r="GN3" s="158"/>
      <c r="GO3" s="158"/>
      <c r="GP3" s="158"/>
      <c r="GQ3" s="158"/>
      <c r="GR3" s="158"/>
      <c r="GS3" s="158"/>
      <c r="GT3" s="158"/>
      <c r="GU3" s="158"/>
      <c r="GV3" s="158"/>
      <c r="GW3" s="158"/>
      <c r="GX3" s="158"/>
      <c r="GY3" s="158"/>
      <c r="GZ3" s="158"/>
      <c r="HA3" s="158"/>
      <c r="HB3" s="158"/>
      <c r="HC3" s="158"/>
      <c r="HD3" s="158"/>
      <c r="HE3" s="158"/>
      <c r="HF3" s="158"/>
      <c r="HG3" s="158"/>
      <c r="HH3" s="158"/>
      <c r="HI3" s="158"/>
      <c r="HJ3" s="158"/>
      <c r="HK3" s="158"/>
      <c r="HL3" s="4"/>
      <c r="HM3" s="158"/>
    </row>
    <row r="4" spans="1:221" s="160" customFormat="1" x14ac:dyDescent="0.25">
      <c r="A4" s="42"/>
      <c r="B4" s="42" t="s">
        <v>52</v>
      </c>
      <c r="C4" s="42"/>
      <c r="D4" s="28" t="s">
        <v>54</v>
      </c>
      <c r="E4" s="28" t="s">
        <v>55</v>
      </c>
      <c r="F4" s="28" t="s">
        <v>56</v>
      </c>
      <c r="G4" s="11"/>
      <c r="H4" s="28" t="s">
        <v>54</v>
      </c>
      <c r="I4" s="28" t="s">
        <v>55</v>
      </c>
      <c r="J4" s="28" t="s">
        <v>56</v>
      </c>
      <c r="K4" s="11"/>
      <c r="L4" s="28" t="s">
        <v>54</v>
      </c>
      <c r="M4" s="28" t="s">
        <v>55</v>
      </c>
      <c r="N4" s="28" t="s">
        <v>56</v>
      </c>
      <c r="O4" s="159"/>
      <c r="P4" s="28" t="s">
        <v>54</v>
      </c>
      <c r="Q4" s="28" t="s">
        <v>55</v>
      </c>
      <c r="R4" s="28" t="s">
        <v>56</v>
      </c>
      <c r="S4" s="159"/>
      <c r="T4" s="28" t="s">
        <v>54</v>
      </c>
      <c r="U4" s="28" t="s">
        <v>55</v>
      </c>
      <c r="V4" s="28" t="s">
        <v>56</v>
      </c>
      <c r="W4" s="159"/>
      <c r="X4" s="28" t="s">
        <v>54</v>
      </c>
      <c r="Y4" s="28" t="s">
        <v>55</v>
      </c>
      <c r="Z4" s="28" t="s">
        <v>56</v>
      </c>
      <c r="AA4" s="11"/>
      <c r="AB4" s="28" t="s">
        <v>54</v>
      </c>
      <c r="AC4" s="28" t="s">
        <v>55</v>
      </c>
      <c r="AD4" s="28" t="s">
        <v>56</v>
      </c>
      <c r="AE4" s="11"/>
      <c r="AF4" s="28" t="s">
        <v>54</v>
      </c>
      <c r="AG4" s="28" t="s">
        <v>55</v>
      </c>
      <c r="AH4" s="28" t="s">
        <v>56</v>
      </c>
      <c r="AI4" s="11"/>
      <c r="AJ4" s="28" t="s">
        <v>54</v>
      </c>
      <c r="AK4" s="28" t="s">
        <v>55</v>
      </c>
      <c r="AL4" s="28" t="s">
        <v>56</v>
      </c>
      <c r="AM4" s="11"/>
      <c r="AN4" s="28" t="s">
        <v>54</v>
      </c>
      <c r="AO4" s="28" t="s">
        <v>55</v>
      </c>
      <c r="AP4" s="28" t="s">
        <v>56</v>
      </c>
      <c r="AQ4" s="11"/>
      <c r="AR4" s="28" t="s">
        <v>54</v>
      </c>
      <c r="AS4" s="28" t="s">
        <v>55</v>
      </c>
      <c r="AT4" s="28" t="s">
        <v>56</v>
      </c>
      <c r="AU4" s="11"/>
      <c r="AV4" s="28" t="s">
        <v>54</v>
      </c>
      <c r="AW4" s="28" t="s">
        <v>55</v>
      </c>
      <c r="AX4" s="28" t="s">
        <v>56</v>
      </c>
      <c r="AY4" s="11"/>
      <c r="AZ4" s="28" t="s">
        <v>54</v>
      </c>
      <c r="BA4" s="28" t="s">
        <v>55</v>
      </c>
      <c r="BB4" s="28" t="s">
        <v>56</v>
      </c>
      <c r="BC4" s="69"/>
      <c r="BD4" s="28" t="s">
        <v>54</v>
      </c>
      <c r="BE4" s="28" t="s">
        <v>55</v>
      </c>
      <c r="BF4" s="28" t="s">
        <v>56</v>
      </c>
      <c r="BG4" s="12"/>
      <c r="BH4" s="28" t="s">
        <v>54</v>
      </c>
      <c r="BI4" s="28" t="s">
        <v>55</v>
      </c>
      <c r="BJ4" s="28" t="s">
        <v>56</v>
      </c>
      <c r="BL4" s="28" t="s">
        <v>54</v>
      </c>
      <c r="BM4" s="28" t="s">
        <v>55</v>
      </c>
      <c r="BN4" s="28" t="s">
        <v>56</v>
      </c>
      <c r="BP4" s="28" t="s">
        <v>54</v>
      </c>
      <c r="BQ4" s="28" t="s">
        <v>55</v>
      </c>
      <c r="BR4" s="28" t="s">
        <v>56</v>
      </c>
      <c r="BT4" s="28" t="s">
        <v>54</v>
      </c>
      <c r="BU4" s="28" t="s">
        <v>55</v>
      </c>
      <c r="BV4" s="28" t="s">
        <v>56</v>
      </c>
      <c r="BX4" s="28" t="s">
        <v>54</v>
      </c>
      <c r="BY4" s="28" t="s">
        <v>55</v>
      </c>
      <c r="BZ4" s="28" t="s">
        <v>56</v>
      </c>
      <c r="CJ4" s="161"/>
      <c r="CK4" s="161"/>
      <c r="CL4" s="161"/>
      <c r="CM4" s="161"/>
      <c r="CN4" s="161"/>
      <c r="CO4" s="161"/>
      <c r="CP4" s="161"/>
      <c r="CQ4" s="161"/>
      <c r="CR4" s="161"/>
      <c r="CS4" s="161"/>
      <c r="CT4" s="161"/>
      <c r="CU4" s="161"/>
      <c r="CV4" s="162"/>
      <c r="CW4" s="162"/>
      <c r="CX4" s="162"/>
      <c r="CY4" s="162"/>
      <c r="CZ4" s="162"/>
      <c r="DA4" s="162"/>
      <c r="DB4" s="162"/>
      <c r="DC4" s="162"/>
      <c r="DD4" s="162"/>
      <c r="DE4" s="162"/>
      <c r="DF4" s="162"/>
      <c r="DG4" s="162"/>
      <c r="DH4" s="162"/>
      <c r="DI4" s="162"/>
      <c r="DJ4" s="162"/>
      <c r="DK4" s="162"/>
      <c r="DL4" s="162"/>
      <c r="DM4" s="162"/>
      <c r="DN4" s="162"/>
      <c r="DO4" s="162"/>
      <c r="DP4" s="162"/>
      <c r="DQ4" s="162"/>
      <c r="DR4" s="162"/>
      <c r="DS4" s="162"/>
      <c r="DT4" s="162"/>
      <c r="DU4" s="162"/>
      <c r="DV4" s="162"/>
      <c r="DW4" s="162"/>
      <c r="DX4" s="162"/>
      <c r="DY4" s="162"/>
      <c r="DZ4" s="162"/>
      <c r="EA4" s="162"/>
      <c r="EB4" s="162"/>
      <c r="EC4" s="162"/>
      <c r="ED4" s="162"/>
      <c r="EE4" s="162"/>
      <c r="EF4" s="162"/>
      <c r="EG4" s="162"/>
      <c r="EH4" s="162"/>
      <c r="EI4" s="162"/>
      <c r="EJ4" s="162"/>
      <c r="EK4" s="162"/>
      <c r="EL4" s="162"/>
      <c r="EM4" s="162"/>
      <c r="EN4" s="162"/>
      <c r="EO4" s="162"/>
      <c r="EP4" s="162"/>
      <c r="EQ4" s="162"/>
      <c r="ER4" s="162"/>
      <c r="ES4" s="162"/>
      <c r="ET4" s="162"/>
      <c r="EU4" s="162"/>
      <c r="EV4" s="162"/>
      <c r="EW4" s="163"/>
      <c r="EX4" s="162"/>
      <c r="EY4" s="162"/>
      <c r="EZ4" s="162"/>
      <c r="FA4" s="162"/>
      <c r="FB4" s="162"/>
      <c r="FC4" s="162"/>
      <c r="FD4" s="162"/>
      <c r="FE4" s="162"/>
      <c r="FF4" s="162"/>
      <c r="FG4" s="162"/>
      <c r="FH4" s="162"/>
      <c r="FI4" s="162"/>
      <c r="FJ4" s="162"/>
      <c r="FK4" s="162"/>
      <c r="FL4" s="162"/>
      <c r="FM4" s="162"/>
      <c r="FN4" s="162"/>
      <c r="FO4" s="162"/>
      <c r="FP4" s="162"/>
      <c r="FQ4" s="162"/>
      <c r="FR4" s="162"/>
      <c r="FS4" s="162"/>
      <c r="FT4" s="162"/>
      <c r="FU4" s="162"/>
      <c r="FV4" s="162"/>
      <c r="FW4" s="162"/>
      <c r="FX4" s="162"/>
      <c r="FY4" s="162"/>
      <c r="FZ4" s="162"/>
      <c r="GA4" s="162"/>
      <c r="GB4" s="162"/>
      <c r="GC4" s="162"/>
      <c r="GD4" s="162"/>
      <c r="GE4" s="162"/>
      <c r="GF4" s="162"/>
      <c r="GG4" s="162"/>
      <c r="GH4" s="162"/>
      <c r="GI4" s="162"/>
      <c r="GJ4" s="162"/>
      <c r="GK4" s="162"/>
      <c r="GL4" s="162"/>
      <c r="GM4" s="162"/>
      <c r="GN4" s="162"/>
      <c r="GO4" s="162"/>
      <c r="GP4" s="162"/>
      <c r="GQ4" s="162"/>
      <c r="GR4" s="162"/>
      <c r="GS4" s="162"/>
      <c r="GT4" s="162"/>
      <c r="GU4" s="162"/>
      <c r="GV4" s="162"/>
      <c r="GW4" s="162"/>
      <c r="GX4" s="162"/>
      <c r="GY4" s="162"/>
      <c r="GZ4" s="162"/>
      <c r="HA4" s="162"/>
      <c r="HB4" s="162"/>
      <c r="HC4" s="162"/>
      <c r="HD4" s="162"/>
      <c r="HE4" s="162"/>
      <c r="HF4" s="162"/>
      <c r="HG4" s="162"/>
      <c r="HH4" s="162"/>
      <c r="HI4" s="162"/>
      <c r="HJ4" s="162"/>
      <c r="HK4" s="162"/>
      <c r="HL4" s="162"/>
      <c r="HM4" s="162"/>
    </row>
    <row r="5" spans="1:221" s="4" customFormat="1" x14ac:dyDescent="0.25">
      <c r="A5" s="164">
        <v>1</v>
      </c>
      <c r="B5" s="164" t="s">
        <v>60</v>
      </c>
      <c r="C5" s="164"/>
      <c r="D5" s="66">
        <f>'[1]Univ Comm Fund'!D108</f>
        <v>2975000</v>
      </c>
      <c r="E5" s="66">
        <f>'[1]UNIV. LIB.2019'!D13</f>
        <v>2975000</v>
      </c>
      <c r="F5" s="66">
        <f>D5-E5</f>
        <v>0</v>
      </c>
      <c r="G5" s="66"/>
      <c r="H5" s="11">
        <f>'[1]Univ Comm Fund'!E108</f>
        <v>0</v>
      </c>
      <c r="I5" s="11">
        <f>'[1]UNIV. LIB.2019'!E13</f>
        <v>0</v>
      </c>
      <c r="J5" s="11">
        <f>H5-I5</f>
        <v>0</v>
      </c>
      <c r="K5" s="11"/>
      <c r="L5" s="66">
        <f>'[1]Univ Comm Fund'!F108</f>
        <v>0</v>
      </c>
      <c r="M5" s="66">
        <f>'[1]UNIV. LIB.2019'!F13</f>
        <v>0</v>
      </c>
      <c r="N5" s="66">
        <f>L5-M5</f>
        <v>0</v>
      </c>
      <c r="O5" s="66"/>
      <c r="P5" s="66">
        <f>'[1]Univ Comm Fund'!G108</f>
        <v>0</v>
      </c>
      <c r="Q5" s="66">
        <f>'[1]UNIV. LIB.2019'!G13</f>
        <v>0</v>
      </c>
      <c r="R5" s="66">
        <f>P5-Q5</f>
        <v>0</v>
      </c>
      <c r="S5" s="66"/>
      <c r="T5" s="66">
        <f>'[1]Univ Comm Fund'!H108</f>
        <v>0</v>
      </c>
      <c r="U5" s="66">
        <f>'[1]UNIV. LIB.2019'!H13</f>
        <v>0</v>
      </c>
      <c r="V5" s="66">
        <f>T5-U5</f>
        <v>0</v>
      </c>
      <c r="W5" s="66"/>
      <c r="X5" s="66">
        <f>'[1]Univ Comm Fund'!I108</f>
        <v>0</v>
      </c>
      <c r="Y5" s="66">
        <f>'[1]UNIV. LIB.2019'!I13</f>
        <v>0</v>
      </c>
      <c r="Z5" s="66">
        <f>X5-Y5</f>
        <v>0</v>
      </c>
      <c r="AA5" s="66"/>
      <c r="AB5" s="66">
        <f>'[1]Univ Comm Fund'!J108</f>
        <v>6500000</v>
      </c>
      <c r="AC5" s="66">
        <f>'[1]UNIV. LIB.2019'!J13</f>
        <v>6500000</v>
      </c>
      <c r="AD5" s="66">
        <f>AB5-AC5</f>
        <v>0</v>
      </c>
      <c r="AE5" s="66"/>
      <c r="AF5" s="66">
        <f>'[1]Univ Comm Fund'!K108</f>
        <v>10000000</v>
      </c>
      <c r="AG5" s="66">
        <f>'[1]UNIV. LIB.2019'!K13</f>
        <v>10000000</v>
      </c>
      <c r="AH5" s="66">
        <f>AF5-AG5</f>
        <v>0</v>
      </c>
      <c r="AI5" s="66"/>
      <c r="AJ5" s="88">
        <f>'[1]Univ Comm Fund'!L108</f>
        <v>10000000</v>
      </c>
      <c r="AK5" s="88">
        <f>'[1]UNIV. LIB.2019'!L13</f>
        <v>10000000</v>
      </c>
      <c r="AL5" s="88">
        <f>AJ5-AK5</f>
        <v>0</v>
      </c>
      <c r="AM5" s="88"/>
      <c r="AN5" s="66">
        <f>'[1]Univ Comm Fund'!M108</f>
        <v>17000000</v>
      </c>
      <c r="AO5" s="66">
        <f>'[1]UNIV. LIB.2019'!M13</f>
        <v>17000000</v>
      </c>
      <c r="AP5" s="66">
        <f>AN5-AO5</f>
        <v>0</v>
      </c>
      <c r="AQ5" s="66"/>
      <c r="AR5" s="66">
        <f>'[1]Univ Comm Fund'!N108</f>
        <v>25000000</v>
      </c>
      <c r="AS5" s="66">
        <f>'[1]UNIV. LIB.2019'!N13</f>
        <v>25000000</v>
      </c>
      <c r="AT5" s="66">
        <f>AR5-AS5</f>
        <v>0</v>
      </c>
      <c r="AU5" s="66"/>
      <c r="AV5" s="66">
        <f>'[1]Univ Comm Fund'!O108</f>
        <v>53000000</v>
      </c>
      <c r="AW5" s="66">
        <f>'[1]UNIV. LIB.2019'!O13</f>
        <v>53000000</v>
      </c>
      <c r="AX5" s="66">
        <f>AV5-AW5</f>
        <v>0</v>
      </c>
      <c r="AY5" s="66"/>
      <c r="AZ5" s="66">
        <f>'[1]Univ Comm Fund'!P108</f>
        <v>60000000</v>
      </c>
      <c r="BA5" s="66">
        <f>'[1]UNIV. LIB.2019'!P13</f>
        <v>51000000</v>
      </c>
      <c r="BB5" s="66">
        <f t="shared" ref="BB5:BB70" si="0">AZ5-BA5</f>
        <v>9000000</v>
      </c>
      <c r="BC5" s="106"/>
      <c r="BD5" s="66">
        <v>100000000</v>
      </c>
      <c r="BE5" s="66">
        <f>'[1]UNIV. LIB.2019'!Q13</f>
        <v>85000000</v>
      </c>
      <c r="BF5" s="66">
        <f>BD5-BE5</f>
        <v>15000000</v>
      </c>
      <c r="BG5" s="106"/>
      <c r="BH5" s="66">
        <v>50000000</v>
      </c>
      <c r="BI5" s="66">
        <f>'[1]UNIV. LIB.2019'!R13</f>
        <v>42500000</v>
      </c>
      <c r="BJ5" s="66">
        <f>BH5-BI5</f>
        <v>7500000</v>
      </c>
      <c r="BL5" s="66">
        <f>'[1]Univ Comm Fund'!S108</f>
        <v>34000000</v>
      </c>
      <c r="BM5" s="66">
        <f>'[1]UNIV. LIB.2019'!S13</f>
        <v>28900000</v>
      </c>
      <c r="BN5" s="66">
        <f>BL5-BM5</f>
        <v>5100000</v>
      </c>
      <c r="BP5" s="66">
        <f>'[1]Univ Comm Fund'!T108</f>
        <v>30000000</v>
      </c>
      <c r="BQ5" s="66">
        <f>'[1]UNIV. LIB.2019'!T13</f>
        <v>0</v>
      </c>
      <c r="BR5" s="66">
        <f>BP5-BQ5</f>
        <v>30000000</v>
      </c>
      <c r="BT5" s="66">
        <f>'[1]Univ Comm Fund'!U108</f>
        <v>20000000</v>
      </c>
      <c r="BU5" s="66">
        <f>'[1]UNIV. LIB.2019'!U13</f>
        <v>0</v>
      </c>
      <c r="BV5" s="66">
        <f>BT5-BU5</f>
        <v>20000000</v>
      </c>
      <c r="BX5" s="66">
        <f>D5+H5+L5+P5+T5+X5+AB5+AF5+AJ5+AN5+AR5+AV5+AZ5+BD5+BH5+BL5+BP5+BT5</f>
        <v>418475000</v>
      </c>
      <c r="BY5" s="66">
        <f>E5+I5+M5+Q5+U5+Y5+AC5+AG5+AK5+AO5+AS5+AW5+BA5+BE5+BI5+BM5+BQ5+BU5</f>
        <v>331875000</v>
      </c>
      <c r="BZ5" s="66">
        <f>BX5-BY5</f>
        <v>86600000</v>
      </c>
      <c r="CJ5" s="165"/>
      <c r="CK5" s="165"/>
      <c r="CL5" s="165"/>
      <c r="CM5" s="165"/>
      <c r="CN5" s="165"/>
      <c r="CO5" s="165"/>
      <c r="CP5" s="165"/>
      <c r="CQ5" s="165"/>
      <c r="CR5" s="166"/>
      <c r="CS5" s="166"/>
      <c r="CT5" s="166"/>
      <c r="CU5" s="166"/>
      <c r="CV5" s="162"/>
      <c r="CW5" s="162"/>
      <c r="CX5" s="162"/>
      <c r="CY5" s="162"/>
      <c r="CZ5" s="162"/>
      <c r="DA5" s="162"/>
      <c r="DB5" s="162"/>
      <c r="DC5" s="162"/>
      <c r="DD5" s="162"/>
      <c r="DE5" s="162"/>
      <c r="DF5" s="162"/>
      <c r="DG5" s="162"/>
      <c r="DH5" s="162"/>
      <c r="DI5" s="162"/>
      <c r="DJ5" s="162"/>
      <c r="DK5" s="162"/>
      <c r="DL5" s="162"/>
      <c r="DM5" s="162"/>
      <c r="DN5" s="162"/>
      <c r="DO5" s="162"/>
      <c r="DP5" s="162"/>
      <c r="DQ5" s="162"/>
      <c r="DR5" s="162"/>
      <c r="DS5" s="162"/>
      <c r="DT5" s="162"/>
      <c r="DU5" s="162"/>
      <c r="DV5" s="162"/>
      <c r="DW5" s="162"/>
      <c r="DX5" s="162"/>
      <c r="DY5" s="162"/>
      <c r="DZ5" s="162"/>
      <c r="EA5" s="162"/>
      <c r="EB5" s="162"/>
      <c r="EC5" s="162"/>
      <c r="ED5" s="162"/>
      <c r="EE5" s="162"/>
      <c r="EF5" s="162"/>
      <c r="EG5" s="162"/>
      <c r="EH5" s="162"/>
      <c r="EI5" s="162"/>
      <c r="EJ5" s="162"/>
      <c r="EK5" s="162"/>
      <c r="EL5" s="162"/>
      <c r="EM5" s="162"/>
      <c r="EN5" s="162"/>
      <c r="EO5" s="162"/>
      <c r="EP5" s="162"/>
      <c r="EQ5" s="162"/>
      <c r="ER5" s="162"/>
      <c r="ES5" s="162"/>
      <c r="ET5" s="162"/>
      <c r="EU5" s="162"/>
      <c r="EV5" s="162"/>
      <c r="EW5" s="163"/>
      <c r="EX5" s="162"/>
      <c r="EY5" s="162"/>
      <c r="EZ5" s="162"/>
      <c r="FA5" s="162"/>
      <c r="FB5" s="162"/>
      <c r="FC5" s="162"/>
      <c r="FD5" s="162"/>
      <c r="FE5" s="162"/>
      <c r="FF5" s="162"/>
      <c r="FG5" s="162"/>
      <c r="FH5" s="162"/>
      <c r="FI5" s="162"/>
      <c r="FJ5" s="162"/>
      <c r="FK5" s="162"/>
      <c r="FL5" s="162"/>
      <c r="FM5" s="162"/>
      <c r="FN5" s="162"/>
      <c r="FO5" s="162"/>
      <c r="FP5" s="162"/>
      <c r="FQ5" s="162"/>
      <c r="FR5" s="162"/>
      <c r="FS5" s="162"/>
      <c r="FT5" s="162"/>
      <c r="FU5" s="162"/>
      <c r="FV5" s="162"/>
      <c r="FW5" s="162"/>
      <c r="FX5" s="162"/>
      <c r="FY5" s="162"/>
      <c r="FZ5" s="162"/>
      <c r="GA5" s="162"/>
      <c r="GB5" s="162"/>
      <c r="GC5" s="162"/>
      <c r="GD5" s="162"/>
      <c r="GE5" s="162"/>
      <c r="GF5" s="162"/>
      <c r="GG5" s="162"/>
      <c r="GH5" s="162"/>
      <c r="GI5" s="162"/>
      <c r="GJ5" s="162"/>
      <c r="GK5" s="162"/>
      <c r="GL5" s="162"/>
      <c r="GM5" s="162"/>
      <c r="GN5" s="162"/>
      <c r="GO5" s="162"/>
      <c r="GP5" s="162"/>
      <c r="GQ5" s="162"/>
      <c r="GR5" s="162"/>
      <c r="GS5" s="162"/>
      <c r="GT5" s="162"/>
      <c r="GU5" s="162"/>
      <c r="GV5" s="162"/>
      <c r="GW5" s="162"/>
      <c r="GX5" s="162"/>
      <c r="GY5" s="162"/>
      <c r="GZ5" s="162"/>
      <c r="HA5" s="162"/>
      <c r="HB5" s="162"/>
      <c r="HC5" s="162"/>
      <c r="HD5" s="162"/>
      <c r="HE5" s="162"/>
      <c r="HF5" s="162"/>
      <c r="HG5" s="162"/>
      <c r="HH5" s="162"/>
      <c r="HI5" s="162"/>
      <c r="HJ5" s="162"/>
      <c r="HK5" s="162"/>
      <c r="HL5" s="162"/>
      <c r="HM5" s="162"/>
    </row>
    <row r="6" spans="1:221" s="4" customFormat="1" x14ac:dyDescent="0.25">
      <c r="A6" s="164">
        <v>2</v>
      </c>
      <c r="B6" s="164" t="s">
        <v>62</v>
      </c>
      <c r="C6" s="164"/>
      <c r="D6" s="66">
        <f>'[1]Univ Comm Fund'!D109</f>
        <v>3500000</v>
      </c>
      <c r="E6" s="66">
        <f>'[1]UNIV. LIB.2019'!D14</f>
        <v>3500000</v>
      </c>
      <c r="F6" s="66">
        <f t="shared" ref="F6:F73" si="1">D6-E6</f>
        <v>0</v>
      </c>
      <c r="G6" s="66"/>
      <c r="H6" s="11">
        <f>'[1]Univ Comm Fund'!E109</f>
        <v>3500000</v>
      </c>
      <c r="I6" s="11">
        <f>'[1]UNIV. LIB.2019'!E14</f>
        <v>3500000</v>
      </c>
      <c r="J6" s="11">
        <f t="shared" ref="J6:J73" si="2">H6-I6</f>
        <v>0</v>
      </c>
      <c r="K6" s="11"/>
      <c r="L6" s="11">
        <f>'[1]Univ Comm Fund'!F109</f>
        <v>3500000</v>
      </c>
      <c r="M6" s="11">
        <f>'[1]UNIV. LIB.2019'!F14</f>
        <v>3500000</v>
      </c>
      <c r="N6" s="66">
        <f t="shared" ref="N6:N73" si="3">L6-M6</f>
        <v>0</v>
      </c>
      <c r="O6" s="11"/>
      <c r="P6" s="66">
        <f>'[1]Univ Comm Fund'!G109</f>
        <v>3500000</v>
      </c>
      <c r="Q6" s="66">
        <f>'[1]UNIV. LIB.2019'!G14</f>
        <v>3500000</v>
      </c>
      <c r="R6" s="66">
        <f t="shared" ref="R6:R73" si="4">P6-Q6</f>
        <v>0</v>
      </c>
      <c r="S6" s="66"/>
      <c r="T6" s="66">
        <f>'[1]Univ Comm Fund'!H109</f>
        <v>5000000</v>
      </c>
      <c r="U6" s="66">
        <f>'[1]UNIV. LIB.2019'!H14</f>
        <v>5000000</v>
      </c>
      <c r="V6" s="66">
        <f t="shared" ref="V6:V73" si="5">T6-U6</f>
        <v>0</v>
      </c>
      <c r="W6" s="66"/>
      <c r="X6" s="66">
        <f>'[1]Univ Comm Fund'!I109</f>
        <v>5000000</v>
      </c>
      <c r="Y6" s="66">
        <f>'[1]UNIV. LIB.2019'!I14</f>
        <v>5000000</v>
      </c>
      <c r="Z6" s="66">
        <f t="shared" ref="Z6:Z71" si="6">X6-Y6</f>
        <v>0</v>
      </c>
      <c r="AA6" s="66"/>
      <c r="AB6" s="66">
        <f>'[1]Univ Comm Fund'!J109</f>
        <v>6500000</v>
      </c>
      <c r="AC6" s="66">
        <f>'[1]UNIV. LIB.2019'!J14</f>
        <v>6500000</v>
      </c>
      <c r="AD6" s="66">
        <f t="shared" ref="AD6:AD71" si="7">AB6-AC6</f>
        <v>0</v>
      </c>
      <c r="AE6" s="66"/>
      <c r="AF6" s="66">
        <f>'[1]Univ Comm Fund'!K109</f>
        <v>8500000</v>
      </c>
      <c r="AG6" s="66">
        <f>'[1]UNIV. LIB.2019'!K14</f>
        <v>8500000</v>
      </c>
      <c r="AH6" s="66">
        <f t="shared" ref="AH6:AH71" si="8">AF6-AG6</f>
        <v>0</v>
      </c>
      <c r="AI6" s="66"/>
      <c r="AJ6" s="66">
        <f>'[1]Univ Comm Fund'!L109</f>
        <v>8500000</v>
      </c>
      <c r="AK6" s="66">
        <f>'[1]UNIV. LIB.2019'!L14</f>
        <v>8500000</v>
      </c>
      <c r="AL6" s="88">
        <f t="shared" ref="AL6:AL71" si="9">AJ6-AK6</f>
        <v>0</v>
      </c>
      <c r="AM6" s="66"/>
      <c r="AN6" s="11">
        <f>'[1]Univ Comm Fund'!M109</f>
        <v>20000000</v>
      </c>
      <c r="AO6" s="11">
        <f>'[1]UNIV. LIB.2019'!M14</f>
        <v>20000000</v>
      </c>
      <c r="AP6" s="66">
        <f t="shared" ref="AP6:AP73" si="10">AN6-AO6</f>
        <v>0</v>
      </c>
      <c r="AQ6" s="11"/>
      <c r="AR6" s="66">
        <f>'[1]Univ Comm Fund'!N109</f>
        <v>25000000</v>
      </c>
      <c r="AS6" s="66">
        <f>'[1]UNIV. LIB.2019'!N14</f>
        <v>25000000</v>
      </c>
      <c r="AT6" s="66">
        <f t="shared" ref="AT6:AT73" si="11">AR6-AS6</f>
        <v>0</v>
      </c>
      <c r="AU6" s="66"/>
      <c r="AV6" s="66">
        <f>'[1]Univ Comm Fund'!O109</f>
        <v>53000000</v>
      </c>
      <c r="AW6" s="66">
        <f>'[1]UNIV. LIB.2019'!O14</f>
        <v>53000000</v>
      </c>
      <c r="AX6" s="66">
        <f t="shared" ref="AX6:AX73" si="12">AV6-AW6</f>
        <v>0</v>
      </c>
      <c r="AY6" s="66"/>
      <c r="AZ6" s="66">
        <f>'[1]Univ Comm Fund'!P109</f>
        <v>60000000</v>
      </c>
      <c r="BA6" s="66">
        <f>'[1]UNIV. LIB.2019'!P14</f>
        <v>51000000</v>
      </c>
      <c r="BB6" s="66">
        <f t="shared" si="0"/>
        <v>9000000</v>
      </c>
      <c r="BC6" s="106"/>
      <c r="BD6" s="66">
        <v>100000000</v>
      </c>
      <c r="BE6" s="66">
        <f>'[1]UNIV. LIB.2019'!Q14</f>
        <v>85000000</v>
      </c>
      <c r="BF6" s="66">
        <f t="shared" ref="BF6:BF71" si="13">BD6-BE6</f>
        <v>15000000</v>
      </c>
      <c r="BG6" s="106"/>
      <c r="BH6" s="66">
        <v>50000000</v>
      </c>
      <c r="BI6" s="66">
        <f>'[1]UNIV. LIB.2019'!R14</f>
        <v>42500000</v>
      </c>
      <c r="BJ6" s="66">
        <f t="shared" ref="BJ6:BJ71" si="14">BH6-BI6</f>
        <v>7500000</v>
      </c>
      <c r="BL6" s="66">
        <f>'[1]Univ Comm Fund'!S109</f>
        <v>34000000</v>
      </c>
      <c r="BM6" s="66">
        <f>'[1]UNIV. LIB.2019'!S14</f>
        <v>28900000</v>
      </c>
      <c r="BN6" s="66">
        <f t="shared" ref="BN6:BN71" si="15">BL6-BM6</f>
        <v>5100000</v>
      </c>
      <c r="BP6" s="66">
        <f>'[1]Univ Comm Fund'!T109</f>
        <v>30000000</v>
      </c>
      <c r="BQ6" s="66">
        <f>'[1]UNIV. LIB.2019'!T14</f>
        <v>0</v>
      </c>
      <c r="BR6" s="66">
        <f t="shared" ref="BR6:BR71" si="16">BP6-BQ6</f>
        <v>30000000</v>
      </c>
      <c r="BT6" s="66">
        <f>'[1]Univ Comm Fund'!U109</f>
        <v>20000000</v>
      </c>
      <c r="BU6" s="66">
        <f>'[1]UNIV. LIB.2019'!U14</f>
        <v>0</v>
      </c>
      <c r="BV6" s="66">
        <f t="shared" ref="BV6:BV71" si="17">BT6-BU6</f>
        <v>20000000</v>
      </c>
      <c r="BX6" s="66">
        <f t="shared" ref="BX6:BY71" si="18">D6+H6+L6+P6+T6+X6+AB6+AF6+AJ6+AN6+AR6+AV6+AZ6+BD6+BH6+BL6+BP6+BT6</f>
        <v>439500000</v>
      </c>
      <c r="BY6" s="66">
        <f t="shared" si="18"/>
        <v>352900000</v>
      </c>
      <c r="BZ6" s="66">
        <f t="shared" ref="BZ6:BZ71" si="19">BX6-BY6</f>
        <v>86600000</v>
      </c>
      <c r="CJ6" s="167"/>
      <c r="CK6" s="167"/>
      <c r="CL6" s="167"/>
      <c r="CM6" s="167"/>
      <c r="CN6" s="167"/>
      <c r="CO6" s="167"/>
      <c r="CP6" s="167"/>
      <c r="CQ6" s="167"/>
      <c r="CR6" s="166"/>
      <c r="CS6" s="166"/>
      <c r="CT6" s="166"/>
      <c r="CU6" s="166"/>
      <c r="CV6" s="162"/>
      <c r="CW6" s="162"/>
      <c r="CX6" s="162"/>
      <c r="CY6" s="162"/>
      <c r="CZ6" s="162"/>
      <c r="DA6" s="162"/>
      <c r="DB6" s="162"/>
      <c r="DC6" s="162"/>
      <c r="DD6" s="162"/>
      <c r="DE6" s="162"/>
      <c r="DF6" s="162"/>
      <c r="DG6" s="162"/>
      <c r="DH6" s="162"/>
      <c r="DI6" s="162"/>
      <c r="DJ6" s="162"/>
      <c r="DK6" s="162"/>
      <c r="DL6" s="162"/>
      <c r="DM6" s="162"/>
      <c r="DN6" s="162"/>
      <c r="DO6" s="162"/>
      <c r="DP6" s="162"/>
      <c r="DQ6" s="162"/>
      <c r="DR6" s="162"/>
      <c r="DS6" s="162"/>
      <c r="DT6" s="162"/>
      <c r="DU6" s="162"/>
      <c r="DV6" s="162"/>
      <c r="DW6" s="162"/>
      <c r="DX6" s="162"/>
      <c r="DY6" s="162"/>
      <c r="DZ6" s="162"/>
      <c r="EA6" s="162"/>
      <c r="EB6" s="162"/>
      <c r="EC6" s="162"/>
      <c r="ED6" s="162"/>
      <c r="EE6" s="162"/>
      <c r="EF6" s="162"/>
      <c r="EG6" s="162"/>
      <c r="EH6" s="162"/>
      <c r="EI6" s="162"/>
      <c r="EJ6" s="162"/>
      <c r="EK6" s="162"/>
      <c r="EL6" s="162"/>
      <c r="EM6" s="162"/>
      <c r="EN6" s="162"/>
      <c r="EO6" s="162"/>
      <c r="EP6" s="162"/>
      <c r="EQ6" s="162"/>
      <c r="ER6" s="162"/>
      <c r="ES6" s="162"/>
      <c r="ET6" s="162"/>
      <c r="EU6" s="162"/>
      <c r="EV6" s="162"/>
      <c r="EW6" s="163"/>
      <c r="EX6" s="162"/>
      <c r="EY6" s="162"/>
      <c r="EZ6" s="162"/>
      <c r="FA6" s="162"/>
      <c r="FB6" s="162"/>
      <c r="FC6" s="162"/>
      <c r="FD6" s="162"/>
      <c r="FE6" s="162"/>
      <c r="FF6" s="162"/>
      <c r="FG6" s="162"/>
      <c r="FH6" s="162"/>
      <c r="FI6" s="162"/>
      <c r="FJ6" s="162"/>
      <c r="FK6" s="162"/>
      <c r="FL6" s="162"/>
      <c r="FM6" s="162"/>
      <c r="FN6" s="162"/>
      <c r="FO6" s="162"/>
      <c r="FP6" s="162"/>
      <c r="FQ6" s="162"/>
      <c r="FR6" s="162"/>
      <c r="FS6" s="162"/>
      <c r="FT6" s="162"/>
      <c r="FU6" s="162"/>
      <c r="FV6" s="162"/>
      <c r="FW6" s="162"/>
      <c r="FX6" s="162"/>
      <c r="FY6" s="162"/>
      <c r="FZ6" s="162"/>
      <c r="GA6" s="162"/>
      <c r="GB6" s="162"/>
      <c r="GC6" s="162"/>
      <c r="GD6" s="162"/>
      <c r="GE6" s="162"/>
      <c r="GF6" s="162"/>
      <c r="GG6" s="162"/>
      <c r="GH6" s="162"/>
      <c r="GI6" s="162"/>
      <c r="GJ6" s="162"/>
      <c r="GK6" s="162"/>
      <c r="GL6" s="162"/>
      <c r="GM6" s="162"/>
      <c r="GN6" s="162"/>
      <c r="GO6" s="162"/>
      <c r="GP6" s="162"/>
      <c r="GQ6" s="162"/>
      <c r="GR6" s="162"/>
      <c r="GS6" s="162"/>
      <c r="GT6" s="162"/>
      <c r="GU6" s="162"/>
      <c r="GV6" s="162"/>
      <c r="GW6" s="162"/>
      <c r="GX6" s="162"/>
      <c r="GY6" s="162"/>
      <c r="GZ6" s="162"/>
      <c r="HA6" s="162"/>
      <c r="HB6" s="162"/>
      <c r="HC6" s="162"/>
      <c r="HD6" s="162"/>
      <c r="HE6" s="162"/>
      <c r="HF6" s="162"/>
      <c r="HG6" s="162"/>
      <c r="HH6" s="162"/>
      <c r="HI6" s="162"/>
      <c r="HJ6" s="162"/>
      <c r="HK6" s="162"/>
      <c r="HL6" s="162"/>
      <c r="HM6" s="162"/>
    </row>
    <row r="7" spans="1:221" s="4" customFormat="1" x14ac:dyDescent="0.25">
      <c r="A7" s="164">
        <v>3</v>
      </c>
      <c r="B7" s="164" t="s">
        <v>64</v>
      </c>
      <c r="C7" s="164"/>
      <c r="D7" s="66">
        <f>'[1]Univ Comm Fund'!D110</f>
        <v>3500000</v>
      </c>
      <c r="E7" s="66">
        <f>'[1]UNIV. LIB.2019'!D15</f>
        <v>3500000</v>
      </c>
      <c r="F7" s="66">
        <f t="shared" si="1"/>
        <v>0</v>
      </c>
      <c r="G7" s="66"/>
      <c r="H7" s="66">
        <f>'[1]Univ Comm Fund'!E110</f>
        <v>3500000</v>
      </c>
      <c r="I7" s="66">
        <f>'[1]UNIV. LIB.2019'!E15</f>
        <v>3500000</v>
      </c>
      <c r="J7" s="11">
        <f t="shared" si="2"/>
        <v>0</v>
      </c>
      <c r="K7" s="66"/>
      <c r="L7" s="66">
        <f>'[1]Univ Comm Fund'!F110</f>
        <v>3500000</v>
      </c>
      <c r="M7" s="66">
        <f>'[1]UNIV. LIB.2019'!F15</f>
        <v>3500000</v>
      </c>
      <c r="N7" s="66">
        <f t="shared" si="3"/>
        <v>0</v>
      </c>
      <c r="O7" s="66"/>
      <c r="P7" s="66">
        <f>'[1]Univ Comm Fund'!G110</f>
        <v>2975000</v>
      </c>
      <c r="Q7" s="66">
        <f>'[1]UNIV. LIB.2019'!G15</f>
        <v>2975000</v>
      </c>
      <c r="R7" s="66">
        <f t="shared" si="4"/>
        <v>0</v>
      </c>
      <c r="S7" s="66"/>
      <c r="T7" s="66">
        <f>'[1]Univ Comm Fund'!H110</f>
        <v>5000000</v>
      </c>
      <c r="U7" s="66">
        <f>'[1]UNIV. LIB.2019'!H15</f>
        <v>5000000</v>
      </c>
      <c r="V7" s="66">
        <f t="shared" si="5"/>
        <v>0</v>
      </c>
      <c r="W7" s="66"/>
      <c r="X7" s="66">
        <f>'[1]Univ Comm Fund'!I110</f>
        <v>5000000</v>
      </c>
      <c r="Y7" s="66">
        <f>'[1]UNIV. LIB.2019'!I15</f>
        <v>5000000</v>
      </c>
      <c r="Z7" s="66">
        <f t="shared" si="6"/>
        <v>0</v>
      </c>
      <c r="AA7" s="66"/>
      <c r="AB7" s="66">
        <f>'[1]Univ Comm Fund'!J110</f>
        <v>6500000</v>
      </c>
      <c r="AC7" s="66">
        <f>'[1]UNIV. LIB.2019'!J15</f>
        <v>6500000</v>
      </c>
      <c r="AD7" s="66">
        <f t="shared" si="7"/>
        <v>0</v>
      </c>
      <c r="AE7" s="66"/>
      <c r="AF7" s="66">
        <f>'[1]Univ Comm Fund'!K110</f>
        <v>10000000</v>
      </c>
      <c r="AG7" s="66">
        <f>'[1]UNIV. LIB.2019'!K15</f>
        <v>10000000</v>
      </c>
      <c r="AH7" s="66">
        <f t="shared" si="8"/>
        <v>0</v>
      </c>
      <c r="AI7" s="66"/>
      <c r="AJ7" s="66">
        <f>'[1]Univ Comm Fund'!L110</f>
        <v>8500000</v>
      </c>
      <c r="AK7" s="66">
        <f>'[1]UNIV. LIB.2019'!L15</f>
        <v>8500000</v>
      </c>
      <c r="AL7" s="88">
        <f t="shared" si="9"/>
        <v>0</v>
      </c>
      <c r="AM7" s="66"/>
      <c r="AN7" s="66">
        <f>'[1]Univ Comm Fund'!M110</f>
        <v>17000000</v>
      </c>
      <c r="AO7" s="66">
        <f>'[1]UNIV. LIB.2019'!M15</f>
        <v>17000000</v>
      </c>
      <c r="AP7" s="66">
        <f t="shared" si="10"/>
        <v>0</v>
      </c>
      <c r="AQ7" s="66"/>
      <c r="AR7" s="66">
        <f>'[1]Univ Comm Fund'!N110</f>
        <v>25000000</v>
      </c>
      <c r="AS7" s="66">
        <f>'[1]UNIV. LIB.2019'!N15</f>
        <v>25000000</v>
      </c>
      <c r="AT7" s="66">
        <f t="shared" si="11"/>
        <v>0</v>
      </c>
      <c r="AU7" s="66"/>
      <c r="AV7" s="66">
        <f>'[1]Univ Comm Fund'!O110</f>
        <v>53000000</v>
      </c>
      <c r="AW7" s="66">
        <f>'[1]UNIV. LIB.2019'!O15</f>
        <v>45050000</v>
      </c>
      <c r="AX7" s="66">
        <f t="shared" si="12"/>
        <v>7950000</v>
      </c>
      <c r="AY7" s="66"/>
      <c r="AZ7" s="66">
        <f>'[1]Univ Comm Fund'!P110</f>
        <v>60000000</v>
      </c>
      <c r="BA7" s="66">
        <f>'[1]UNIV. LIB.2019'!P15</f>
        <v>51000000</v>
      </c>
      <c r="BB7" s="66">
        <f t="shared" si="0"/>
        <v>9000000</v>
      </c>
      <c r="BC7" s="106"/>
      <c r="BD7" s="66">
        <v>100000000</v>
      </c>
      <c r="BE7" s="66">
        <f>'[1]UNIV. LIB.2019'!Q15</f>
        <v>85000000</v>
      </c>
      <c r="BF7" s="66">
        <f t="shared" si="13"/>
        <v>15000000</v>
      </c>
      <c r="BG7" s="106"/>
      <c r="BH7" s="66">
        <v>50000000</v>
      </c>
      <c r="BI7" s="66">
        <f>'[1]UNIV. LIB.2019'!R15</f>
        <v>42500000</v>
      </c>
      <c r="BJ7" s="66">
        <f t="shared" si="14"/>
        <v>7500000</v>
      </c>
      <c r="BL7" s="66">
        <f>'[1]Univ Comm Fund'!S110</f>
        <v>34000000</v>
      </c>
      <c r="BM7" s="66">
        <f>'[1]UNIV. LIB.2019'!S15</f>
        <v>0</v>
      </c>
      <c r="BN7" s="66">
        <f t="shared" si="15"/>
        <v>34000000</v>
      </c>
      <c r="BP7" s="66">
        <f>'[1]Univ Comm Fund'!T110</f>
        <v>30000000</v>
      </c>
      <c r="BQ7" s="66">
        <f>'[1]UNIV. LIB.2019'!T15</f>
        <v>0</v>
      </c>
      <c r="BR7" s="66">
        <f t="shared" si="16"/>
        <v>30000000</v>
      </c>
      <c r="BT7" s="66">
        <f>'[1]Univ Comm Fund'!U110</f>
        <v>20000000</v>
      </c>
      <c r="BU7" s="66">
        <f>'[1]UNIV. LIB.2019'!U15</f>
        <v>0</v>
      </c>
      <c r="BV7" s="66">
        <f t="shared" si="17"/>
        <v>20000000</v>
      </c>
      <c r="BX7" s="66">
        <f t="shared" si="18"/>
        <v>437475000</v>
      </c>
      <c r="BY7" s="66">
        <f t="shared" si="18"/>
        <v>314025000</v>
      </c>
      <c r="BZ7" s="66">
        <f t="shared" si="19"/>
        <v>123450000</v>
      </c>
      <c r="CA7" s="106"/>
      <c r="CJ7" s="165"/>
      <c r="CK7" s="165"/>
      <c r="CL7" s="165"/>
      <c r="CM7" s="165"/>
      <c r="CN7" s="165"/>
      <c r="CO7" s="165"/>
      <c r="CP7" s="165"/>
      <c r="CQ7" s="165"/>
      <c r="CR7" s="166"/>
      <c r="CS7" s="166"/>
      <c r="CT7" s="166"/>
      <c r="CU7" s="166"/>
      <c r="CV7" s="162"/>
      <c r="CW7" s="162"/>
      <c r="CX7" s="162"/>
      <c r="CY7" s="162"/>
      <c r="CZ7" s="162"/>
      <c r="DA7" s="162"/>
      <c r="DB7" s="162"/>
      <c r="DC7" s="162"/>
      <c r="DD7" s="162"/>
      <c r="DE7" s="162"/>
      <c r="DF7" s="162"/>
      <c r="DG7" s="162"/>
      <c r="DH7" s="162"/>
      <c r="DI7" s="162"/>
      <c r="DJ7" s="162"/>
      <c r="DK7" s="162"/>
      <c r="DL7" s="162"/>
      <c r="DM7" s="162"/>
      <c r="DN7" s="162"/>
      <c r="DO7" s="162"/>
      <c r="DP7" s="162"/>
      <c r="DQ7" s="162"/>
      <c r="DR7" s="162"/>
      <c r="DS7" s="162"/>
      <c r="DT7" s="162"/>
      <c r="DU7" s="162"/>
      <c r="DV7" s="162"/>
      <c r="DW7" s="162"/>
      <c r="DX7" s="162"/>
      <c r="DY7" s="162"/>
      <c r="DZ7" s="162"/>
      <c r="EA7" s="162"/>
      <c r="EB7" s="162"/>
      <c r="EC7" s="162"/>
      <c r="ED7" s="162"/>
      <c r="EE7" s="162"/>
      <c r="EF7" s="162"/>
      <c r="EG7" s="162"/>
      <c r="EH7" s="162"/>
      <c r="EI7" s="162"/>
      <c r="EJ7" s="162"/>
      <c r="EK7" s="162"/>
      <c r="EL7" s="162"/>
      <c r="EM7" s="162"/>
      <c r="EN7" s="162"/>
      <c r="EO7" s="162"/>
      <c r="EP7" s="162"/>
      <c r="EQ7" s="162"/>
      <c r="ER7" s="162"/>
      <c r="ES7" s="162"/>
      <c r="ET7" s="162"/>
      <c r="EU7" s="162"/>
      <c r="EV7" s="162"/>
      <c r="EW7" s="163"/>
      <c r="EX7" s="162"/>
      <c r="EY7" s="162"/>
      <c r="EZ7" s="162"/>
      <c r="FA7" s="162"/>
      <c r="FB7" s="162"/>
      <c r="FC7" s="162"/>
      <c r="FD7" s="162"/>
      <c r="FE7" s="162"/>
      <c r="FF7" s="162"/>
      <c r="FG7" s="162"/>
      <c r="FH7" s="162"/>
      <c r="FI7" s="162"/>
      <c r="FJ7" s="162"/>
      <c r="FK7" s="162"/>
      <c r="FL7" s="162"/>
      <c r="FM7" s="162"/>
      <c r="FN7" s="162"/>
      <c r="FO7" s="162"/>
      <c r="FP7" s="162"/>
      <c r="FQ7" s="162"/>
      <c r="FR7" s="162"/>
      <c r="FS7" s="162"/>
      <c r="FT7" s="162"/>
      <c r="FU7" s="162"/>
      <c r="FV7" s="162"/>
      <c r="FW7" s="162"/>
      <c r="FX7" s="162"/>
      <c r="FY7" s="162"/>
      <c r="FZ7" s="162"/>
      <c r="GA7" s="162"/>
      <c r="GB7" s="162"/>
      <c r="GC7" s="162"/>
      <c r="GD7" s="162"/>
      <c r="GE7" s="162"/>
      <c r="GF7" s="162"/>
      <c r="GG7" s="162"/>
      <c r="GH7" s="162"/>
      <c r="GI7" s="162"/>
      <c r="GJ7" s="162"/>
      <c r="GK7" s="162"/>
      <c r="GL7" s="162"/>
      <c r="GM7" s="162"/>
      <c r="GN7" s="162"/>
      <c r="GO7" s="162"/>
      <c r="GP7" s="162"/>
      <c r="GQ7" s="162"/>
      <c r="GR7" s="162"/>
      <c r="GS7" s="162"/>
      <c r="GT7" s="162"/>
      <c r="GU7" s="162"/>
      <c r="GV7" s="162"/>
      <c r="GW7" s="162"/>
      <c r="GX7" s="162"/>
      <c r="GY7" s="162"/>
      <c r="GZ7" s="162"/>
      <c r="HA7" s="162"/>
      <c r="HB7" s="162"/>
      <c r="HC7" s="162"/>
      <c r="HD7" s="162"/>
      <c r="HE7" s="162"/>
      <c r="HF7" s="162"/>
      <c r="HG7" s="162"/>
      <c r="HH7" s="162"/>
      <c r="HI7" s="162"/>
      <c r="HJ7" s="162"/>
      <c r="HK7" s="162"/>
      <c r="HL7" s="162"/>
      <c r="HM7" s="162"/>
    </row>
    <row r="8" spans="1:221" s="4" customFormat="1" x14ac:dyDescent="0.25">
      <c r="A8" s="164">
        <v>4</v>
      </c>
      <c r="B8" s="164" t="s">
        <v>66</v>
      </c>
      <c r="C8" s="164"/>
      <c r="D8" s="66">
        <f>'[1]Univ Comm Fund'!D111</f>
        <v>3500000</v>
      </c>
      <c r="E8" s="66">
        <f>'[1]UNIV. LIB.2019'!D16</f>
        <v>3500000</v>
      </c>
      <c r="F8" s="66">
        <f t="shared" si="1"/>
        <v>0</v>
      </c>
      <c r="G8" s="66"/>
      <c r="H8" s="66">
        <f>'[1]Univ Comm Fund'!E111</f>
        <v>3500000</v>
      </c>
      <c r="I8" s="66">
        <f>'[1]UNIV. LIB.2019'!E16</f>
        <v>3500000</v>
      </c>
      <c r="J8" s="11">
        <f t="shared" si="2"/>
        <v>0</v>
      </c>
      <c r="K8" s="66"/>
      <c r="L8" s="66">
        <f>'[1]Univ Comm Fund'!F111</f>
        <v>3500000</v>
      </c>
      <c r="M8" s="66">
        <f>'[1]UNIV. LIB.2019'!F16</f>
        <v>3500000</v>
      </c>
      <c r="N8" s="66">
        <f t="shared" si="3"/>
        <v>0</v>
      </c>
      <c r="O8" s="66"/>
      <c r="P8" s="66">
        <f>'[1]Univ Comm Fund'!G111</f>
        <v>3500000</v>
      </c>
      <c r="Q8" s="66">
        <f>'[1]UNIV. LIB.2019'!G16</f>
        <v>3500000</v>
      </c>
      <c r="R8" s="66">
        <f t="shared" si="4"/>
        <v>0</v>
      </c>
      <c r="S8" s="66"/>
      <c r="T8" s="66">
        <f>'[1]Univ Comm Fund'!H111</f>
        <v>5000000</v>
      </c>
      <c r="U8" s="66">
        <f>'[1]UNIV. LIB.2019'!H16</f>
        <v>5000000</v>
      </c>
      <c r="V8" s="66">
        <f t="shared" si="5"/>
        <v>0</v>
      </c>
      <c r="W8" s="66"/>
      <c r="X8" s="66">
        <f>'[1]Univ Comm Fund'!I111</f>
        <v>5000000</v>
      </c>
      <c r="Y8" s="66">
        <f>'[1]UNIV. LIB.2019'!I16</f>
        <v>5000000</v>
      </c>
      <c r="Z8" s="66">
        <f t="shared" si="6"/>
        <v>0</v>
      </c>
      <c r="AA8" s="66"/>
      <c r="AB8" s="66">
        <f>'[1]Univ Comm Fund'!J111</f>
        <v>6500000</v>
      </c>
      <c r="AC8" s="66">
        <f>'[1]UNIV. LIB.2019'!J16</f>
        <v>6500000</v>
      </c>
      <c r="AD8" s="66">
        <f t="shared" si="7"/>
        <v>0</v>
      </c>
      <c r="AE8" s="66"/>
      <c r="AF8" s="66">
        <f>'[1]Univ Comm Fund'!K111</f>
        <v>8500000</v>
      </c>
      <c r="AG8" s="66">
        <f>'[1]UNIV. LIB.2019'!K16</f>
        <v>8500000</v>
      </c>
      <c r="AH8" s="66">
        <f t="shared" si="8"/>
        <v>0</v>
      </c>
      <c r="AI8" s="66"/>
      <c r="AJ8" s="66">
        <f>'[1]Univ Comm Fund'!L111</f>
        <v>10000000</v>
      </c>
      <c r="AK8" s="66">
        <f>'[1]UNIV. LIB.2019'!L16</f>
        <v>10000000</v>
      </c>
      <c r="AL8" s="88">
        <f t="shared" si="9"/>
        <v>0</v>
      </c>
      <c r="AM8" s="66"/>
      <c r="AN8" s="66">
        <f>'[1]Univ Comm Fund'!M111</f>
        <v>20000000</v>
      </c>
      <c r="AO8" s="66">
        <f>'[1]UNIV. LIB.2019'!M16</f>
        <v>20000000</v>
      </c>
      <c r="AP8" s="66">
        <f t="shared" si="10"/>
        <v>0</v>
      </c>
      <c r="AQ8" s="66"/>
      <c r="AR8" s="66">
        <f>'[1]Univ Comm Fund'!N111</f>
        <v>25000000</v>
      </c>
      <c r="AS8" s="66">
        <f>'[1]UNIV. LIB.2019'!N16</f>
        <v>21250000</v>
      </c>
      <c r="AT8" s="66">
        <f t="shared" si="11"/>
        <v>3750000</v>
      </c>
      <c r="AU8" s="66"/>
      <c r="AV8" s="66">
        <f>'[1]Univ Comm Fund'!O111</f>
        <v>53000000</v>
      </c>
      <c r="AW8" s="66">
        <f>'[1]UNIV. LIB.2019'!O16</f>
        <v>45050000</v>
      </c>
      <c r="AX8" s="66">
        <f t="shared" si="12"/>
        <v>7950000</v>
      </c>
      <c r="AY8" s="66"/>
      <c r="AZ8" s="66">
        <f>'[1]Univ Comm Fund'!P111</f>
        <v>60000000</v>
      </c>
      <c r="BA8" s="66">
        <f>'[1]UNIV. LIB.2019'!P16</f>
        <v>51000000</v>
      </c>
      <c r="BB8" s="66">
        <f t="shared" si="0"/>
        <v>9000000</v>
      </c>
      <c r="BC8" s="106"/>
      <c r="BD8" s="66">
        <v>100000000</v>
      </c>
      <c r="BE8" s="66">
        <f>'[1]UNIV. LIB.2019'!Q16</f>
        <v>0</v>
      </c>
      <c r="BF8" s="66">
        <f t="shared" si="13"/>
        <v>100000000</v>
      </c>
      <c r="BG8" s="106"/>
      <c r="BH8" s="66">
        <v>50000000</v>
      </c>
      <c r="BI8" s="66">
        <f>'[1]UNIV. LIB.2019'!R16</f>
        <v>0</v>
      </c>
      <c r="BJ8" s="66">
        <f t="shared" si="14"/>
        <v>50000000</v>
      </c>
      <c r="BL8" s="66">
        <f>'[1]Univ Comm Fund'!S111</f>
        <v>34000000</v>
      </c>
      <c r="BM8" s="66">
        <f>'[1]UNIV. LIB.2019'!S16</f>
        <v>0</v>
      </c>
      <c r="BN8" s="66">
        <f t="shared" si="15"/>
        <v>34000000</v>
      </c>
      <c r="BP8" s="66">
        <f>'[1]Univ Comm Fund'!T111</f>
        <v>30000000</v>
      </c>
      <c r="BQ8" s="66">
        <f>'[1]UNIV. LIB.2019'!T16</f>
        <v>0</v>
      </c>
      <c r="BR8" s="66">
        <f t="shared" si="16"/>
        <v>30000000</v>
      </c>
      <c r="BT8" s="66">
        <f>'[1]Univ Comm Fund'!U111</f>
        <v>20000000</v>
      </c>
      <c r="BU8" s="66">
        <f>'[1]UNIV. LIB.2019'!U16</f>
        <v>0</v>
      </c>
      <c r="BV8" s="66">
        <f t="shared" si="17"/>
        <v>20000000</v>
      </c>
      <c r="BX8" s="66">
        <f t="shared" si="18"/>
        <v>441000000</v>
      </c>
      <c r="BY8" s="66">
        <f t="shared" si="18"/>
        <v>186300000</v>
      </c>
      <c r="BZ8" s="66">
        <f t="shared" si="19"/>
        <v>254700000</v>
      </c>
      <c r="CA8" s="106"/>
      <c r="CJ8" s="168"/>
      <c r="CK8" s="168"/>
      <c r="CL8" s="168"/>
      <c r="CM8" s="168"/>
      <c r="CN8" s="168"/>
      <c r="CO8" s="168"/>
      <c r="CP8" s="168"/>
      <c r="CQ8" s="168"/>
      <c r="CR8" s="166"/>
      <c r="CS8" s="166"/>
      <c r="CT8" s="166"/>
      <c r="CU8" s="166"/>
      <c r="CV8" s="162"/>
      <c r="CW8" s="162"/>
      <c r="CX8" s="162"/>
      <c r="CY8" s="162"/>
      <c r="CZ8" s="162"/>
      <c r="DA8" s="162"/>
      <c r="DB8" s="162"/>
      <c r="DC8" s="162"/>
      <c r="DD8" s="162"/>
      <c r="DE8" s="162"/>
      <c r="DF8" s="162"/>
      <c r="DG8" s="162"/>
      <c r="DH8" s="162"/>
      <c r="DI8" s="162"/>
      <c r="DJ8" s="162"/>
      <c r="DK8" s="162"/>
      <c r="DL8" s="162"/>
      <c r="DM8" s="162"/>
      <c r="DN8" s="162"/>
      <c r="DO8" s="162"/>
      <c r="DP8" s="162"/>
      <c r="DQ8" s="162"/>
      <c r="DR8" s="162"/>
      <c r="DS8" s="162"/>
      <c r="DT8" s="162"/>
      <c r="DU8" s="162"/>
      <c r="DV8" s="162"/>
      <c r="DW8" s="162"/>
      <c r="DX8" s="162"/>
      <c r="DY8" s="162"/>
      <c r="DZ8" s="162"/>
      <c r="EA8" s="162"/>
      <c r="EB8" s="162"/>
      <c r="EC8" s="162"/>
      <c r="ED8" s="162"/>
      <c r="EE8" s="162"/>
      <c r="EF8" s="162"/>
      <c r="EG8" s="162"/>
      <c r="EH8" s="162"/>
      <c r="EI8" s="162"/>
      <c r="EJ8" s="162"/>
      <c r="EK8" s="162"/>
      <c r="EL8" s="162"/>
      <c r="EM8" s="162"/>
      <c r="EN8" s="162"/>
      <c r="EO8" s="162"/>
      <c r="EP8" s="162"/>
      <c r="EQ8" s="162"/>
      <c r="ER8" s="162"/>
      <c r="ES8" s="162"/>
      <c r="ET8" s="162"/>
      <c r="EU8" s="162"/>
      <c r="EV8" s="162"/>
      <c r="EW8" s="163"/>
      <c r="EX8" s="162"/>
      <c r="EY8" s="162"/>
      <c r="EZ8" s="162"/>
      <c r="FA8" s="162"/>
      <c r="FB8" s="162"/>
      <c r="FC8" s="162"/>
      <c r="FD8" s="162"/>
      <c r="FE8" s="162"/>
      <c r="FF8" s="162"/>
      <c r="FG8" s="162"/>
      <c r="FH8" s="162"/>
      <c r="FI8" s="162"/>
      <c r="FJ8" s="162"/>
      <c r="FK8" s="162"/>
      <c r="FL8" s="162"/>
      <c r="FM8" s="162"/>
      <c r="FN8" s="162"/>
      <c r="FO8" s="162"/>
      <c r="FP8" s="162"/>
      <c r="FQ8" s="162"/>
      <c r="FR8" s="162"/>
      <c r="FS8" s="162"/>
      <c r="FT8" s="162"/>
      <c r="FU8" s="162"/>
      <c r="FV8" s="162"/>
      <c r="FW8" s="162"/>
      <c r="FX8" s="162"/>
      <c r="FY8" s="162"/>
      <c r="FZ8" s="162"/>
      <c r="GA8" s="162"/>
      <c r="GB8" s="162"/>
      <c r="GC8" s="162"/>
      <c r="GD8" s="162"/>
      <c r="GE8" s="162"/>
      <c r="GF8" s="162"/>
      <c r="GG8" s="162"/>
      <c r="GH8" s="162"/>
      <c r="GI8" s="162"/>
      <c r="GJ8" s="162"/>
      <c r="GK8" s="162"/>
      <c r="GL8" s="162"/>
      <c r="GM8" s="162"/>
      <c r="GN8" s="162"/>
      <c r="GO8" s="162"/>
      <c r="GP8" s="162"/>
      <c r="GQ8" s="162"/>
      <c r="GR8" s="162"/>
      <c r="GS8" s="162"/>
      <c r="GT8" s="162"/>
      <c r="GU8" s="162"/>
      <c r="GV8" s="162"/>
      <c r="GW8" s="162"/>
      <c r="GX8" s="162"/>
      <c r="GY8" s="162"/>
      <c r="GZ8" s="162"/>
      <c r="HA8" s="162"/>
      <c r="HB8" s="162"/>
      <c r="HC8" s="162"/>
      <c r="HD8" s="162"/>
      <c r="HE8" s="162"/>
      <c r="HF8" s="162"/>
      <c r="HG8" s="162"/>
      <c r="HH8" s="162"/>
      <c r="HI8" s="162"/>
      <c r="HJ8" s="162"/>
      <c r="HK8" s="162"/>
      <c r="HL8" s="162"/>
      <c r="HM8" s="162"/>
    </row>
    <row r="9" spans="1:221" s="4" customFormat="1" x14ac:dyDescent="0.25">
      <c r="A9" s="164">
        <v>5</v>
      </c>
      <c r="B9" s="164" t="s">
        <v>67</v>
      </c>
      <c r="C9" s="164"/>
      <c r="D9" s="66">
        <f>'[1]Univ Comm Fund'!D112</f>
        <v>3500000</v>
      </c>
      <c r="E9" s="66">
        <f>'[1]UNIV. LIB.2019'!D17</f>
        <v>3500000</v>
      </c>
      <c r="F9" s="66">
        <f t="shared" si="1"/>
        <v>0</v>
      </c>
      <c r="G9" s="66"/>
      <c r="H9" s="66">
        <f>'[1]Univ Comm Fund'!E112</f>
        <v>3500000</v>
      </c>
      <c r="I9" s="66">
        <f>'[1]UNIV. LIB.2019'!E17</f>
        <v>3500000</v>
      </c>
      <c r="J9" s="11">
        <f t="shared" si="2"/>
        <v>0</v>
      </c>
      <c r="K9" s="66"/>
      <c r="L9" s="66">
        <f>'[1]Univ Comm Fund'!F112</f>
        <v>3500000</v>
      </c>
      <c r="M9" s="66">
        <f>'[1]UNIV. LIB.2019'!F17</f>
        <v>3500000</v>
      </c>
      <c r="N9" s="66">
        <f t="shared" si="3"/>
        <v>0</v>
      </c>
      <c r="O9" s="66"/>
      <c r="P9" s="66">
        <f>'[1]Univ Comm Fund'!G112</f>
        <v>3500000</v>
      </c>
      <c r="Q9" s="66">
        <f>'[1]UNIV. LIB.2019'!G17</f>
        <v>3500000</v>
      </c>
      <c r="R9" s="66">
        <f t="shared" si="4"/>
        <v>0</v>
      </c>
      <c r="S9" s="66"/>
      <c r="T9" s="66">
        <f>'[1]Univ Comm Fund'!H112</f>
        <v>5000000</v>
      </c>
      <c r="U9" s="66">
        <f>'[1]UNIV. LIB.2019'!H17</f>
        <v>5000000</v>
      </c>
      <c r="V9" s="66">
        <f t="shared" si="5"/>
        <v>0</v>
      </c>
      <c r="W9" s="66"/>
      <c r="X9" s="66">
        <f>'[1]Univ Comm Fund'!I112</f>
        <v>5000000</v>
      </c>
      <c r="Y9" s="66">
        <f>'[1]UNIV. LIB.2019'!I17</f>
        <v>5000000</v>
      </c>
      <c r="Z9" s="66">
        <f t="shared" si="6"/>
        <v>0</v>
      </c>
      <c r="AA9" s="66"/>
      <c r="AB9" s="66">
        <f>'[1]Univ Comm Fund'!J112</f>
        <v>5525000</v>
      </c>
      <c r="AC9" s="66">
        <f>'[1]UNIV. LIB.2019'!J17</f>
        <v>5525000</v>
      </c>
      <c r="AD9" s="66">
        <f t="shared" si="7"/>
        <v>0</v>
      </c>
      <c r="AE9" s="66"/>
      <c r="AF9" s="66">
        <f>'[1]Univ Comm Fund'!K112</f>
        <v>10000000</v>
      </c>
      <c r="AG9" s="66">
        <f>'[1]UNIV. LIB.2019'!K17</f>
        <v>10000000</v>
      </c>
      <c r="AH9" s="66">
        <f t="shared" si="8"/>
        <v>0</v>
      </c>
      <c r="AI9" s="66"/>
      <c r="AJ9" s="66">
        <f>'[1]Univ Comm Fund'!L112</f>
        <v>10000000</v>
      </c>
      <c r="AK9" s="66">
        <f>'[1]UNIV. LIB.2019'!L17</f>
        <v>10000000</v>
      </c>
      <c r="AL9" s="88">
        <f t="shared" si="9"/>
        <v>0</v>
      </c>
      <c r="AM9" s="66"/>
      <c r="AN9" s="66">
        <f>'[1]Univ Comm Fund'!M112</f>
        <v>20000000</v>
      </c>
      <c r="AO9" s="66">
        <f>'[1]UNIV. LIB.2019'!M17</f>
        <v>20000000</v>
      </c>
      <c r="AP9" s="66">
        <f t="shared" si="10"/>
        <v>0</v>
      </c>
      <c r="AQ9" s="66"/>
      <c r="AR9" s="66">
        <f>'[1]Univ Comm Fund'!N112</f>
        <v>25000000</v>
      </c>
      <c r="AS9" s="66">
        <f>'[1]UNIV. LIB.2019'!N17</f>
        <v>25000000</v>
      </c>
      <c r="AT9" s="66">
        <f t="shared" si="11"/>
        <v>0</v>
      </c>
      <c r="AU9" s="66"/>
      <c r="AV9" s="66">
        <f>'[1]Univ Comm Fund'!O112</f>
        <v>53000000</v>
      </c>
      <c r="AW9" s="66">
        <f>'[1]UNIV. LIB.2019'!O17</f>
        <v>45050000</v>
      </c>
      <c r="AX9" s="66">
        <f t="shared" si="12"/>
        <v>7950000</v>
      </c>
      <c r="AY9" s="66"/>
      <c r="AZ9" s="66">
        <f>'[1]Univ Comm Fund'!P112</f>
        <v>60000000</v>
      </c>
      <c r="BA9" s="66">
        <f>'[1]UNIV. LIB.2019'!P17</f>
        <v>51000000</v>
      </c>
      <c r="BB9" s="66">
        <f t="shared" si="0"/>
        <v>9000000</v>
      </c>
      <c r="BC9" s="106"/>
      <c r="BD9" s="66">
        <v>100000000</v>
      </c>
      <c r="BE9" s="66">
        <f>'[1]UNIV. LIB.2019'!Q17</f>
        <v>85000000</v>
      </c>
      <c r="BF9" s="66">
        <f t="shared" si="13"/>
        <v>15000000</v>
      </c>
      <c r="BG9" s="106"/>
      <c r="BH9" s="66">
        <v>50000000</v>
      </c>
      <c r="BI9" s="66">
        <f>'[1]UNIV. LIB.2019'!R17</f>
        <v>0</v>
      </c>
      <c r="BJ9" s="66">
        <f t="shared" si="14"/>
        <v>50000000</v>
      </c>
      <c r="BL9" s="66">
        <f>'[1]Univ Comm Fund'!S112</f>
        <v>34000000</v>
      </c>
      <c r="BM9" s="66">
        <f>'[1]UNIV. LIB.2019'!S17</f>
        <v>0</v>
      </c>
      <c r="BN9" s="66">
        <f t="shared" si="15"/>
        <v>34000000</v>
      </c>
      <c r="BP9" s="66">
        <f>'[1]Univ Comm Fund'!T112</f>
        <v>30000000</v>
      </c>
      <c r="BQ9" s="66">
        <f>'[1]UNIV. LIB.2019'!T17</f>
        <v>0</v>
      </c>
      <c r="BR9" s="66">
        <f t="shared" si="16"/>
        <v>30000000</v>
      </c>
      <c r="BT9" s="66">
        <f>'[1]Univ Comm Fund'!U112</f>
        <v>20000000</v>
      </c>
      <c r="BU9" s="66">
        <f>'[1]UNIV. LIB.2019'!U17</f>
        <v>0</v>
      </c>
      <c r="BV9" s="66">
        <f t="shared" si="17"/>
        <v>20000000</v>
      </c>
      <c r="BX9" s="66">
        <f t="shared" si="18"/>
        <v>441525000</v>
      </c>
      <c r="BY9" s="66">
        <f t="shared" si="18"/>
        <v>275575000</v>
      </c>
      <c r="BZ9" s="66">
        <f t="shared" si="19"/>
        <v>165950000</v>
      </c>
      <c r="CJ9" s="165"/>
      <c r="CK9" s="165"/>
      <c r="CL9" s="165"/>
      <c r="CM9" s="165"/>
      <c r="CN9" s="165"/>
      <c r="CO9" s="165"/>
      <c r="CP9" s="165"/>
      <c r="CQ9" s="165"/>
      <c r="CR9" s="166"/>
      <c r="CS9" s="166"/>
      <c r="CT9" s="166"/>
      <c r="CU9" s="166"/>
      <c r="CV9" s="162"/>
      <c r="CW9" s="162"/>
      <c r="CX9" s="162"/>
      <c r="CY9" s="162"/>
      <c r="CZ9" s="162"/>
      <c r="DA9" s="162"/>
      <c r="DB9" s="162"/>
      <c r="DC9" s="162"/>
      <c r="DD9" s="162"/>
      <c r="DE9" s="162"/>
      <c r="DF9" s="162"/>
      <c r="DG9" s="162"/>
      <c r="DH9" s="162"/>
      <c r="DI9" s="162"/>
      <c r="DJ9" s="162"/>
      <c r="DK9" s="162"/>
      <c r="DL9" s="162"/>
      <c r="DM9" s="162"/>
      <c r="DN9" s="162"/>
      <c r="DO9" s="162"/>
      <c r="DP9" s="162"/>
      <c r="DQ9" s="162"/>
      <c r="DR9" s="162"/>
      <c r="DS9" s="162"/>
      <c r="DT9" s="162"/>
      <c r="DU9" s="162"/>
      <c r="DV9" s="162"/>
      <c r="DW9" s="162"/>
      <c r="DX9" s="162"/>
      <c r="DY9" s="162"/>
      <c r="DZ9" s="162"/>
      <c r="EA9" s="162"/>
      <c r="EB9" s="162"/>
      <c r="EC9" s="162"/>
      <c r="ED9" s="162"/>
      <c r="EE9" s="162"/>
      <c r="EF9" s="162"/>
      <c r="EG9" s="162"/>
      <c r="EH9" s="162"/>
      <c r="EI9" s="162"/>
      <c r="EJ9" s="162"/>
      <c r="EK9" s="162"/>
      <c r="EL9" s="162"/>
      <c r="EM9" s="162"/>
      <c r="EN9" s="162"/>
      <c r="EO9" s="162"/>
      <c r="EP9" s="162"/>
      <c r="EQ9" s="162"/>
      <c r="ER9" s="162"/>
      <c r="ES9" s="162"/>
      <c r="ET9" s="162"/>
      <c r="EU9" s="162"/>
      <c r="EV9" s="162"/>
      <c r="EW9" s="163"/>
      <c r="EX9" s="162"/>
      <c r="EY9" s="162"/>
      <c r="EZ9" s="162"/>
      <c r="FA9" s="162"/>
      <c r="FB9" s="162"/>
      <c r="FC9" s="162"/>
      <c r="FD9" s="162"/>
      <c r="FE9" s="162"/>
      <c r="FF9" s="162"/>
      <c r="FG9" s="162"/>
      <c r="FH9" s="162"/>
      <c r="FI9" s="162"/>
      <c r="FJ9" s="162"/>
      <c r="FK9" s="162"/>
      <c r="FL9" s="162"/>
      <c r="FM9" s="162"/>
      <c r="FN9" s="162"/>
      <c r="FO9" s="162"/>
      <c r="FP9" s="162"/>
      <c r="FQ9" s="162"/>
      <c r="FR9" s="162"/>
      <c r="FS9" s="162"/>
      <c r="FT9" s="162"/>
      <c r="FU9" s="162"/>
      <c r="FV9" s="162"/>
      <c r="FW9" s="162"/>
      <c r="FX9" s="162"/>
      <c r="FY9" s="162"/>
      <c r="FZ9" s="162"/>
      <c r="GA9" s="162"/>
      <c r="GB9" s="162"/>
      <c r="GC9" s="162"/>
      <c r="GD9" s="162"/>
      <c r="GE9" s="162"/>
      <c r="GF9" s="162"/>
      <c r="GG9" s="162"/>
      <c r="GH9" s="162"/>
      <c r="GI9" s="162"/>
      <c r="GJ9" s="162"/>
      <c r="GK9" s="162"/>
      <c r="GL9" s="162"/>
      <c r="GM9" s="162"/>
      <c r="GN9" s="162"/>
      <c r="GO9" s="162"/>
      <c r="GP9" s="162"/>
      <c r="GQ9" s="162"/>
      <c r="GR9" s="162"/>
      <c r="GS9" s="162"/>
      <c r="GT9" s="162"/>
      <c r="GU9" s="162"/>
      <c r="GV9" s="162"/>
      <c r="GW9" s="162"/>
      <c r="GX9" s="162"/>
      <c r="GY9" s="162"/>
      <c r="GZ9" s="162"/>
      <c r="HA9" s="162"/>
      <c r="HB9" s="162"/>
      <c r="HC9" s="162"/>
      <c r="HD9" s="162"/>
      <c r="HE9" s="162"/>
      <c r="HF9" s="162"/>
      <c r="HG9" s="162"/>
      <c r="HH9" s="162"/>
      <c r="HI9" s="162"/>
      <c r="HJ9" s="162"/>
      <c r="HK9" s="162"/>
      <c r="HL9" s="162"/>
      <c r="HM9" s="162"/>
    </row>
    <row r="10" spans="1:221" s="4" customFormat="1" x14ac:dyDescent="0.25">
      <c r="A10" s="164">
        <v>6</v>
      </c>
      <c r="B10" s="164" t="s">
        <v>68</v>
      </c>
      <c r="C10" s="164"/>
      <c r="D10" s="66">
        <f>'[1]Univ Comm Fund'!D113</f>
        <v>3500000</v>
      </c>
      <c r="E10" s="66">
        <f>'[1]UNIV. LIB.2019'!D18</f>
        <v>3500000</v>
      </c>
      <c r="F10" s="66">
        <f t="shared" si="1"/>
        <v>0</v>
      </c>
      <c r="G10" s="66"/>
      <c r="H10" s="110">
        <f>'[1]Univ Comm Fund'!E113</f>
        <v>2975000</v>
      </c>
      <c r="I10" s="110">
        <f>'[1]UNIV. LIB.2019'!E18</f>
        <v>2975000</v>
      </c>
      <c r="J10" s="11">
        <f t="shared" si="2"/>
        <v>0</v>
      </c>
      <c r="K10" s="110"/>
      <c r="L10" s="66">
        <f>'[1]Univ Comm Fund'!F113</f>
        <v>2975000</v>
      </c>
      <c r="M10" s="66">
        <f>'[1]UNIV. LIB.2019'!F18</f>
        <v>2975000</v>
      </c>
      <c r="N10" s="66">
        <f t="shared" si="3"/>
        <v>0</v>
      </c>
      <c r="O10" s="66"/>
      <c r="P10" s="66">
        <f>'[1]Univ Comm Fund'!G113</f>
        <v>2975000</v>
      </c>
      <c r="Q10" s="66">
        <f>'[1]UNIV. LIB.2019'!G18</f>
        <v>2975000</v>
      </c>
      <c r="R10" s="66">
        <f t="shared" si="4"/>
        <v>0</v>
      </c>
      <c r="S10" s="66"/>
      <c r="T10" s="66">
        <f>'[1]Univ Comm Fund'!H113</f>
        <v>4250000</v>
      </c>
      <c r="U10" s="66">
        <f>'[1]UNIV. LIB.2019'!H18</f>
        <v>4250000</v>
      </c>
      <c r="V10" s="66">
        <f t="shared" si="5"/>
        <v>0</v>
      </c>
      <c r="W10" s="66"/>
      <c r="X10" s="66">
        <f>'[1]Univ Comm Fund'!I113</f>
        <v>4250000</v>
      </c>
      <c r="Y10" s="66">
        <f>'[1]UNIV. LIB.2019'!I18</f>
        <v>4250000</v>
      </c>
      <c r="Z10" s="66">
        <f t="shared" si="6"/>
        <v>0</v>
      </c>
      <c r="AA10" s="66"/>
      <c r="AB10" s="66">
        <f>'[1]Univ Comm Fund'!J113</f>
        <v>5525000</v>
      </c>
      <c r="AC10" s="66">
        <f>'[1]UNIV. LIB.2019'!J18</f>
        <v>5525000</v>
      </c>
      <c r="AD10" s="66">
        <f t="shared" si="7"/>
        <v>0</v>
      </c>
      <c r="AE10" s="66"/>
      <c r="AF10" s="66">
        <f>'[1]Univ Comm Fund'!K113</f>
        <v>0</v>
      </c>
      <c r="AG10" s="66">
        <f>'[1]UNIV. LIB.2019'!K18</f>
        <v>0</v>
      </c>
      <c r="AH10" s="66">
        <f t="shared" si="8"/>
        <v>0</v>
      </c>
      <c r="AI10" s="66"/>
      <c r="AJ10" s="66">
        <f>'[1]Univ Comm Fund'!L113</f>
        <v>0</v>
      </c>
      <c r="AK10" s="66">
        <f>'[1]UNIV. LIB.2019'!L18</f>
        <v>0</v>
      </c>
      <c r="AL10" s="88">
        <f t="shared" si="9"/>
        <v>0</v>
      </c>
      <c r="AM10" s="66"/>
      <c r="AN10" s="66">
        <f>'[1]Univ Comm Fund'!M113</f>
        <v>0</v>
      </c>
      <c r="AO10" s="66">
        <f>'[1]UNIV. LIB.2019'!M18</f>
        <v>0</v>
      </c>
      <c r="AP10" s="66">
        <f t="shared" si="10"/>
        <v>0</v>
      </c>
      <c r="AQ10" s="66"/>
      <c r="AR10" s="66">
        <f>'[1]Univ Comm Fund'!N113</f>
        <v>25000000</v>
      </c>
      <c r="AS10" s="66">
        <f>'[1]UNIV. LIB.2019'!N18</f>
        <v>25000000</v>
      </c>
      <c r="AT10" s="66">
        <f t="shared" si="11"/>
        <v>0</v>
      </c>
      <c r="AU10" s="66"/>
      <c r="AV10" s="66">
        <f>'[1]Univ Comm Fund'!O113</f>
        <v>53000000</v>
      </c>
      <c r="AW10" s="66">
        <f>'[1]UNIV. LIB.2019'!O18</f>
        <v>53000000</v>
      </c>
      <c r="AX10" s="66">
        <f t="shared" si="12"/>
        <v>0</v>
      </c>
      <c r="AY10" s="66"/>
      <c r="AZ10" s="66">
        <f>'[1]Univ Comm Fund'!P113</f>
        <v>60000000</v>
      </c>
      <c r="BA10" s="66">
        <f>'[1]UNIV. LIB.2019'!P18</f>
        <v>60000000</v>
      </c>
      <c r="BB10" s="66">
        <f t="shared" si="0"/>
        <v>0</v>
      </c>
      <c r="BC10" s="106"/>
      <c r="BD10" s="66">
        <v>100000000</v>
      </c>
      <c r="BE10" s="66">
        <f>'[1]UNIV. LIB.2019'!Q18</f>
        <v>85000000</v>
      </c>
      <c r="BF10" s="66">
        <f t="shared" si="13"/>
        <v>15000000</v>
      </c>
      <c r="BG10" s="106"/>
      <c r="BH10" s="66">
        <v>50000000</v>
      </c>
      <c r="BI10" s="66">
        <f>'[1]UNIV. LIB.2019'!R18</f>
        <v>42500000</v>
      </c>
      <c r="BJ10" s="66">
        <f t="shared" si="14"/>
        <v>7500000</v>
      </c>
      <c r="BL10" s="66">
        <f>'[1]Univ Comm Fund'!S113</f>
        <v>34000000</v>
      </c>
      <c r="BM10" s="66">
        <f>'[1]UNIV. LIB.2019'!S18</f>
        <v>28900000</v>
      </c>
      <c r="BN10" s="66">
        <f t="shared" si="15"/>
        <v>5100000</v>
      </c>
      <c r="BP10" s="66">
        <f>'[1]Univ Comm Fund'!T113</f>
        <v>30000000</v>
      </c>
      <c r="BQ10" s="66">
        <f>'[1]UNIV. LIB.2019'!T18</f>
        <v>0</v>
      </c>
      <c r="BR10" s="66">
        <f t="shared" si="16"/>
        <v>30000000</v>
      </c>
      <c r="BT10" s="66">
        <f>'[1]Univ Comm Fund'!U113</f>
        <v>20000000</v>
      </c>
      <c r="BU10" s="66">
        <f>'[1]UNIV. LIB.2019'!U18</f>
        <v>0</v>
      </c>
      <c r="BV10" s="66">
        <f t="shared" si="17"/>
        <v>20000000</v>
      </c>
      <c r="BX10" s="66">
        <f t="shared" si="18"/>
        <v>398450000</v>
      </c>
      <c r="BY10" s="66">
        <f t="shared" si="18"/>
        <v>320850000</v>
      </c>
      <c r="BZ10" s="66">
        <f t="shared" si="19"/>
        <v>77600000</v>
      </c>
      <c r="CJ10" s="168"/>
      <c r="CK10" s="168"/>
      <c r="CL10" s="168"/>
      <c r="CM10" s="168"/>
      <c r="CN10" s="168"/>
      <c r="CO10" s="168"/>
      <c r="CP10" s="168"/>
      <c r="CQ10" s="168"/>
      <c r="CR10" s="166"/>
      <c r="CS10" s="166"/>
      <c r="CT10" s="166"/>
      <c r="CU10" s="166"/>
      <c r="CV10" s="162"/>
      <c r="CW10" s="162"/>
      <c r="CX10" s="162"/>
      <c r="CY10" s="162"/>
      <c r="CZ10" s="162"/>
      <c r="DA10" s="162"/>
      <c r="DB10" s="162"/>
      <c r="DC10" s="162"/>
      <c r="DD10" s="162"/>
      <c r="DE10" s="162"/>
      <c r="DF10" s="162"/>
      <c r="DG10" s="162"/>
      <c r="DH10" s="162"/>
      <c r="DI10" s="162"/>
      <c r="DJ10" s="162"/>
      <c r="DK10" s="162"/>
      <c r="DL10" s="162"/>
      <c r="DM10" s="162"/>
      <c r="DN10" s="162"/>
      <c r="DO10" s="162"/>
      <c r="DP10" s="162"/>
      <c r="DQ10" s="162"/>
      <c r="DR10" s="162"/>
      <c r="DS10" s="162"/>
      <c r="DT10" s="162"/>
      <c r="DU10" s="162"/>
      <c r="DV10" s="162"/>
      <c r="DW10" s="162"/>
      <c r="DX10" s="162"/>
      <c r="DY10" s="162"/>
      <c r="DZ10" s="162"/>
      <c r="EA10" s="162"/>
      <c r="EB10" s="162"/>
      <c r="EC10" s="162"/>
      <c r="ED10" s="162"/>
      <c r="EE10" s="162"/>
      <c r="EF10" s="162"/>
      <c r="EG10" s="162"/>
      <c r="EH10" s="162"/>
      <c r="EI10" s="162"/>
      <c r="EJ10" s="162"/>
      <c r="EK10" s="162"/>
      <c r="EL10" s="162"/>
      <c r="EM10" s="162"/>
      <c r="EN10" s="162"/>
      <c r="EO10" s="162"/>
      <c r="EP10" s="162"/>
      <c r="EQ10" s="162"/>
      <c r="ER10" s="162"/>
      <c r="ES10" s="162"/>
      <c r="ET10" s="162"/>
      <c r="EU10" s="162"/>
      <c r="EV10" s="162"/>
      <c r="EW10" s="163"/>
      <c r="EX10" s="162"/>
      <c r="EY10" s="162"/>
      <c r="EZ10" s="162"/>
      <c r="FA10" s="162"/>
      <c r="FB10" s="162"/>
      <c r="FC10" s="162"/>
      <c r="FD10" s="162"/>
      <c r="FE10" s="162"/>
      <c r="FF10" s="162"/>
      <c r="FG10" s="162"/>
      <c r="FH10" s="162"/>
      <c r="FI10" s="162"/>
      <c r="FJ10" s="162"/>
      <c r="FK10" s="162"/>
      <c r="FL10" s="162"/>
      <c r="FM10" s="162"/>
      <c r="FN10" s="162"/>
      <c r="FO10" s="162"/>
      <c r="FP10" s="162"/>
      <c r="FQ10" s="162"/>
      <c r="FR10" s="162"/>
      <c r="FS10" s="162"/>
      <c r="FT10" s="162"/>
      <c r="FU10" s="162"/>
      <c r="FV10" s="162"/>
      <c r="FW10" s="162"/>
      <c r="FX10" s="162"/>
      <c r="FY10" s="162"/>
      <c r="FZ10" s="162"/>
      <c r="GA10" s="162"/>
      <c r="GB10" s="162"/>
      <c r="GC10" s="162"/>
      <c r="GD10" s="162"/>
      <c r="GE10" s="162"/>
      <c r="GF10" s="162"/>
      <c r="GG10" s="162"/>
      <c r="GH10" s="162"/>
      <c r="GI10" s="162"/>
      <c r="GJ10" s="162"/>
      <c r="GK10" s="162"/>
      <c r="GL10" s="162"/>
      <c r="GM10" s="162"/>
      <c r="GN10" s="162"/>
      <c r="GO10" s="162"/>
      <c r="GP10" s="162"/>
      <c r="GQ10" s="162"/>
      <c r="GR10" s="162"/>
      <c r="GS10" s="162"/>
      <c r="GT10" s="162"/>
      <c r="GU10" s="162"/>
      <c r="GV10" s="162"/>
      <c r="GW10" s="162"/>
      <c r="GX10" s="162"/>
      <c r="GY10" s="162"/>
      <c r="GZ10" s="162"/>
      <c r="HA10" s="162"/>
      <c r="HB10" s="162"/>
      <c r="HC10" s="162"/>
      <c r="HD10" s="162"/>
      <c r="HE10" s="162"/>
      <c r="HF10" s="162"/>
      <c r="HG10" s="162"/>
      <c r="HH10" s="162"/>
      <c r="HI10" s="162"/>
      <c r="HJ10" s="162"/>
      <c r="HK10" s="162"/>
      <c r="HL10" s="162"/>
      <c r="HM10" s="162"/>
    </row>
    <row r="11" spans="1:221" s="4" customFormat="1" x14ac:dyDescent="0.25">
      <c r="A11" s="164">
        <v>7</v>
      </c>
      <c r="B11" s="164" t="s">
        <v>70</v>
      </c>
      <c r="C11" s="164"/>
      <c r="D11" s="66">
        <f>'[1]Univ Comm Fund'!D114</f>
        <v>3500000</v>
      </c>
      <c r="E11" s="66">
        <f>'[1]UNIV. LIB.2019'!D19</f>
        <v>3500000</v>
      </c>
      <c r="F11" s="66">
        <f t="shared" si="1"/>
        <v>0</v>
      </c>
      <c r="G11" s="66"/>
      <c r="H11" s="66">
        <f>'[1]Univ Comm Fund'!E114</f>
        <v>3500000</v>
      </c>
      <c r="I11" s="66">
        <f>'[1]UNIV. LIB.2019'!E19</f>
        <v>3500000</v>
      </c>
      <c r="J11" s="11">
        <f t="shared" si="2"/>
        <v>0</v>
      </c>
      <c r="K11" s="66"/>
      <c r="L11" s="66">
        <f>'[1]Univ Comm Fund'!F114</f>
        <v>3500000</v>
      </c>
      <c r="M11" s="66">
        <f>'[1]UNIV. LIB.2019'!F19</f>
        <v>3500000</v>
      </c>
      <c r="N11" s="66">
        <f t="shared" si="3"/>
        <v>0</v>
      </c>
      <c r="O11" s="66"/>
      <c r="P11" s="66">
        <f>'[1]Univ Comm Fund'!G114</f>
        <v>3500000</v>
      </c>
      <c r="Q11" s="66">
        <f>'[1]UNIV. LIB.2019'!G19</f>
        <v>3500000</v>
      </c>
      <c r="R11" s="66">
        <f t="shared" si="4"/>
        <v>0</v>
      </c>
      <c r="S11" s="66"/>
      <c r="T11" s="66">
        <f>'[1]Univ Comm Fund'!H114</f>
        <v>5000000</v>
      </c>
      <c r="U11" s="66">
        <f>'[1]UNIV. LIB.2019'!H19</f>
        <v>5000000</v>
      </c>
      <c r="V11" s="66">
        <f t="shared" si="5"/>
        <v>0</v>
      </c>
      <c r="W11" s="66"/>
      <c r="X11" s="66">
        <f>'[1]Univ Comm Fund'!I114</f>
        <v>5000000</v>
      </c>
      <c r="Y11" s="66">
        <f>'[1]UNIV. LIB.2019'!I19</f>
        <v>5000000</v>
      </c>
      <c r="Z11" s="66">
        <f t="shared" si="6"/>
        <v>0</v>
      </c>
      <c r="AA11" s="66"/>
      <c r="AB11" s="66">
        <f>'[1]Univ Comm Fund'!J114</f>
        <v>6500000</v>
      </c>
      <c r="AC11" s="66">
        <f>'[1]UNIV. LIB.2019'!J19</f>
        <v>6500000</v>
      </c>
      <c r="AD11" s="66">
        <f t="shared" si="7"/>
        <v>0</v>
      </c>
      <c r="AE11" s="66"/>
      <c r="AF11" s="66">
        <f>'[1]Univ Comm Fund'!K114</f>
        <v>10000000</v>
      </c>
      <c r="AG11" s="66">
        <f>'[1]UNIV. LIB.2019'!K19</f>
        <v>10000000</v>
      </c>
      <c r="AH11" s="66">
        <f t="shared" si="8"/>
        <v>0</v>
      </c>
      <c r="AI11" s="66"/>
      <c r="AJ11" s="66">
        <f>'[1]Univ Comm Fund'!L114</f>
        <v>0</v>
      </c>
      <c r="AK11" s="66">
        <f>'[1]UNIV. LIB.2019'!L19</f>
        <v>0</v>
      </c>
      <c r="AL11" s="88">
        <f t="shared" si="9"/>
        <v>0</v>
      </c>
      <c r="AM11" s="66"/>
      <c r="AN11" s="66">
        <f>'[1]Univ Comm Fund'!M114</f>
        <v>0</v>
      </c>
      <c r="AO11" s="66">
        <f>'[1]UNIV. LIB.2019'!M19</f>
        <v>0</v>
      </c>
      <c r="AP11" s="66">
        <f t="shared" si="10"/>
        <v>0</v>
      </c>
      <c r="AQ11" s="66"/>
      <c r="AR11" s="66">
        <f>'[1]Univ Comm Fund'!N114</f>
        <v>25000000</v>
      </c>
      <c r="AS11" s="66">
        <f>'[1]UNIV. LIB.2019'!N19</f>
        <v>21250000</v>
      </c>
      <c r="AT11" s="66">
        <f t="shared" si="11"/>
        <v>3750000</v>
      </c>
      <c r="AU11" s="66"/>
      <c r="AV11" s="66">
        <f>'[1]Univ Comm Fund'!O114</f>
        <v>53000000</v>
      </c>
      <c r="AW11" s="66">
        <f>'[1]UNIV. LIB.2019'!O19</f>
        <v>45050000</v>
      </c>
      <c r="AX11" s="66">
        <f t="shared" si="12"/>
        <v>7950000</v>
      </c>
      <c r="AY11" s="66"/>
      <c r="AZ11" s="66">
        <f>'[1]Univ Comm Fund'!P114</f>
        <v>60000000</v>
      </c>
      <c r="BA11" s="66">
        <f>'[1]UNIV. LIB.2019'!P19</f>
        <v>51000000</v>
      </c>
      <c r="BB11" s="66">
        <f t="shared" si="0"/>
        <v>9000000</v>
      </c>
      <c r="BC11" s="106"/>
      <c r="BD11" s="66">
        <v>100000000</v>
      </c>
      <c r="BE11" s="66">
        <f>'[1]UNIV. LIB.2019'!Q19</f>
        <v>85000000</v>
      </c>
      <c r="BF11" s="66">
        <f t="shared" si="13"/>
        <v>15000000</v>
      </c>
      <c r="BG11" s="106"/>
      <c r="BH11" s="66">
        <v>50000000</v>
      </c>
      <c r="BI11" s="66">
        <f>'[1]UNIV. LIB.2019'!R19</f>
        <v>0</v>
      </c>
      <c r="BJ11" s="66">
        <f t="shared" si="14"/>
        <v>50000000</v>
      </c>
      <c r="BL11" s="66">
        <f>'[1]Univ Comm Fund'!S114</f>
        <v>34000000</v>
      </c>
      <c r="BM11" s="66">
        <f>'[1]UNIV. LIB.2019'!S19</f>
        <v>0</v>
      </c>
      <c r="BN11" s="66">
        <f t="shared" si="15"/>
        <v>34000000</v>
      </c>
      <c r="BP11" s="66">
        <f>'[1]Univ Comm Fund'!T114</f>
        <v>30000000</v>
      </c>
      <c r="BQ11" s="66">
        <f>'[1]UNIV. LIB.2019'!T19</f>
        <v>0</v>
      </c>
      <c r="BR11" s="66">
        <f t="shared" si="16"/>
        <v>30000000</v>
      </c>
      <c r="BT11" s="66">
        <f>'[1]Univ Comm Fund'!U114</f>
        <v>20000000</v>
      </c>
      <c r="BU11" s="66">
        <f>'[1]UNIV. LIB.2019'!U19</f>
        <v>0</v>
      </c>
      <c r="BV11" s="66">
        <f t="shared" si="17"/>
        <v>20000000</v>
      </c>
      <c r="BX11" s="66">
        <f t="shared" si="18"/>
        <v>412500000</v>
      </c>
      <c r="BY11" s="66">
        <f t="shared" si="18"/>
        <v>242800000</v>
      </c>
      <c r="BZ11" s="66">
        <f t="shared" si="19"/>
        <v>169700000</v>
      </c>
      <c r="CJ11" s="169"/>
      <c r="CK11" s="169"/>
      <c r="CL11" s="169"/>
      <c r="CM11" s="169"/>
      <c r="CN11" s="169"/>
      <c r="CO11" s="169"/>
      <c r="CP11" s="169"/>
      <c r="CQ11" s="169"/>
      <c r="CR11" s="166"/>
      <c r="CS11" s="166"/>
      <c r="CT11" s="166"/>
      <c r="CU11" s="166"/>
      <c r="CV11" s="12"/>
      <c r="CW11" s="12"/>
      <c r="CX11" s="12"/>
      <c r="CY11" s="12"/>
      <c r="CZ11" s="12"/>
      <c r="DA11" s="12"/>
      <c r="DB11" s="12"/>
      <c r="DC11" s="12"/>
      <c r="DD11" s="12"/>
      <c r="DE11" s="12"/>
      <c r="DF11" s="12"/>
      <c r="DG11" s="12"/>
      <c r="DH11" s="12"/>
      <c r="DI11" s="12"/>
      <c r="DJ11" s="12"/>
      <c r="DK11" s="12"/>
      <c r="DL11" s="12"/>
      <c r="DM11" s="12"/>
      <c r="DN11" s="12"/>
      <c r="DO11" s="12"/>
      <c r="DP11" s="12"/>
      <c r="DQ11" s="12"/>
      <c r="DR11" s="12"/>
      <c r="DS11" s="12"/>
      <c r="DT11" s="12"/>
      <c r="DU11" s="12"/>
      <c r="DV11" s="12"/>
      <c r="DW11" s="12"/>
      <c r="DX11" s="12"/>
      <c r="DY11" s="12"/>
      <c r="DZ11" s="12"/>
      <c r="EA11" s="12"/>
      <c r="EB11" s="12"/>
      <c r="EC11" s="12"/>
      <c r="ED11" s="12"/>
      <c r="EE11" s="12"/>
      <c r="EF11" s="12"/>
      <c r="EG11" s="12"/>
      <c r="EH11" s="12"/>
      <c r="EI11" s="12"/>
      <c r="EJ11" s="12"/>
      <c r="EK11" s="12"/>
      <c r="EL11" s="12"/>
      <c r="EM11" s="12"/>
      <c r="EN11" s="12"/>
      <c r="EO11" s="12"/>
      <c r="EP11" s="12"/>
      <c r="EQ11" s="12"/>
      <c r="ER11" s="12"/>
      <c r="ES11" s="12"/>
      <c r="ET11" s="12"/>
      <c r="EU11" s="12"/>
      <c r="EV11" s="12"/>
      <c r="EW11" s="170"/>
      <c r="EX11" s="12"/>
      <c r="EY11" s="12"/>
      <c r="EZ11" s="12"/>
      <c r="FA11" s="12"/>
      <c r="FB11" s="171"/>
      <c r="FC11" s="171"/>
      <c r="FD11" s="171"/>
      <c r="FE11" s="171"/>
      <c r="FF11" s="171"/>
      <c r="FG11" s="171"/>
      <c r="FH11" s="171"/>
      <c r="FI11" s="171"/>
      <c r="FJ11" s="171"/>
      <c r="FK11" s="171"/>
      <c r="FL11" s="171"/>
      <c r="FM11" s="171"/>
      <c r="FN11" s="171"/>
      <c r="FO11" s="171"/>
      <c r="FP11" s="171"/>
      <c r="FQ11" s="171"/>
      <c r="FR11" s="171"/>
      <c r="FS11" s="171"/>
      <c r="FT11" s="171"/>
      <c r="FU11" s="171"/>
      <c r="FV11" s="171"/>
      <c r="FW11" s="171"/>
      <c r="FX11" s="171"/>
      <c r="FY11" s="171"/>
      <c r="FZ11" s="171"/>
      <c r="GA11" s="171"/>
      <c r="GB11" s="171"/>
      <c r="GC11" s="171"/>
      <c r="GD11" s="171"/>
      <c r="GE11" s="171"/>
      <c r="GF11" s="171"/>
      <c r="GG11" s="171"/>
      <c r="GH11" s="171"/>
      <c r="GI11" s="171"/>
      <c r="GJ11" s="171"/>
      <c r="GK11" s="171"/>
      <c r="GL11" s="171"/>
      <c r="GM11" s="171"/>
      <c r="GN11" s="171"/>
      <c r="GO11" s="171"/>
      <c r="GP11" s="171"/>
      <c r="GQ11" s="171"/>
      <c r="GR11" s="171"/>
      <c r="GS11" s="171"/>
      <c r="GT11" s="171"/>
      <c r="GU11" s="171"/>
      <c r="GV11" s="171"/>
      <c r="GW11" s="171"/>
      <c r="GX11" s="171"/>
      <c r="GY11" s="171"/>
      <c r="GZ11" s="171"/>
      <c r="HA11" s="171"/>
      <c r="HB11" s="171"/>
      <c r="HC11" s="171"/>
      <c r="HD11" s="171"/>
      <c r="HE11" s="171"/>
      <c r="HF11" s="171"/>
      <c r="HG11" s="171"/>
      <c r="HH11" s="171"/>
      <c r="HI11" s="171"/>
      <c r="HJ11" s="171"/>
      <c r="HK11" s="171"/>
      <c r="HL11" s="171"/>
      <c r="HM11" s="162"/>
    </row>
    <row r="12" spans="1:221" s="4" customFormat="1" x14ac:dyDescent="0.25">
      <c r="A12" s="164">
        <v>8</v>
      </c>
      <c r="B12" s="164" t="s">
        <v>71</v>
      </c>
      <c r="C12" s="164"/>
      <c r="D12" s="66">
        <f>'[1]Univ Comm Fund'!D115</f>
        <v>3500000</v>
      </c>
      <c r="E12" s="66">
        <f>'[1]UNIV. LIB.2019'!D20</f>
        <v>3500000</v>
      </c>
      <c r="F12" s="66">
        <f t="shared" si="1"/>
        <v>0</v>
      </c>
      <c r="G12" s="66"/>
      <c r="H12" s="66">
        <f>'[1]Univ Comm Fund'!E115</f>
        <v>3500000</v>
      </c>
      <c r="I12" s="66">
        <f>'[1]UNIV. LIB.2019'!E20</f>
        <v>3500000</v>
      </c>
      <c r="J12" s="11">
        <f t="shared" si="2"/>
        <v>0</v>
      </c>
      <c r="K12" s="66"/>
      <c r="L12" s="66">
        <f>'[1]Univ Comm Fund'!F115</f>
        <v>3500000</v>
      </c>
      <c r="M12" s="66">
        <f>'[1]UNIV. LIB.2019'!F20</f>
        <v>3500000</v>
      </c>
      <c r="N12" s="66">
        <f t="shared" si="3"/>
        <v>0</v>
      </c>
      <c r="O12" s="66"/>
      <c r="P12" s="66">
        <f>'[1]Univ Comm Fund'!G115</f>
        <v>3500000</v>
      </c>
      <c r="Q12" s="66">
        <f>'[1]UNIV. LIB.2019'!G20</f>
        <v>3500000</v>
      </c>
      <c r="R12" s="66">
        <f t="shared" si="4"/>
        <v>0</v>
      </c>
      <c r="S12" s="66"/>
      <c r="T12" s="66">
        <f>'[1]Univ Comm Fund'!H115</f>
        <v>5000000</v>
      </c>
      <c r="U12" s="66">
        <f>'[1]UNIV. LIB.2019'!H20</f>
        <v>5000000</v>
      </c>
      <c r="V12" s="66">
        <f t="shared" si="5"/>
        <v>0</v>
      </c>
      <c r="W12" s="66"/>
      <c r="X12" s="66">
        <f>'[1]Univ Comm Fund'!I115</f>
        <v>5000000</v>
      </c>
      <c r="Y12" s="66">
        <f>'[1]UNIV. LIB.2019'!I20</f>
        <v>5000000</v>
      </c>
      <c r="Z12" s="66">
        <f t="shared" si="6"/>
        <v>0</v>
      </c>
      <c r="AA12" s="66"/>
      <c r="AB12" s="66">
        <f>'[1]Univ Comm Fund'!J115</f>
        <v>6500000</v>
      </c>
      <c r="AC12" s="66">
        <f>'[1]UNIV. LIB.2019'!J20</f>
        <v>6500000</v>
      </c>
      <c r="AD12" s="66">
        <f t="shared" si="7"/>
        <v>0</v>
      </c>
      <c r="AE12" s="66"/>
      <c r="AF12" s="66">
        <f>'[1]Univ Comm Fund'!K115</f>
        <v>10000000</v>
      </c>
      <c r="AG12" s="66">
        <f>'[1]UNIV. LIB.2019'!K20</f>
        <v>10000000</v>
      </c>
      <c r="AH12" s="66">
        <f t="shared" si="8"/>
        <v>0</v>
      </c>
      <c r="AI12" s="66"/>
      <c r="AJ12" s="66">
        <f>'[1]Univ Comm Fund'!L115</f>
        <v>10000000</v>
      </c>
      <c r="AK12" s="66">
        <f>'[1]UNIV. LIB.2019'!L20</f>
        <v>10000000</v>
      </c>
      <c r="AL12" s="88">
        <f t="shared" si="9"/>
        <v>0</v>
      </c>
      <c r="AM12" s="66"/>
      <c r="AN12" s="66">
        <f>'[1]Univ Comm Fund'!M115</f>
        <v>20000000</v>
      </c>
      <c r="AO12" s="66">
        <f>'[1]UNIV. LIB.2019'!M20</f>
        <v>20000000</v>
      </c>
      <c r="AP12" s="66">
        <f t="shared" si="10"/>
        <v>0</v>
      </c>
      <c r="AQ12" s="66"/>
      <c r="AR12" s="66">
        <f>'[1]Univ Comm Fund'!N115</f>
        <v>25000000</v>
      </c>
      <c r="AS12" s="66">
        <f>'[1]UNIV. LIB.2019'!N20</f>
        <v>21250000</v>
      </c>
      <c r="AT12" s="66">
        <f t="shared" si="11"/>
        <v>3750000</v>
      </c>
      <c r="AU12" s="66"/>
      <c r="AV12" s="66">
        <f>'[1]Univ Comm Fund'!O115</f>
        <v>53000000</v>
      </c>
      <c r="AW12" s="66">
        <f>'[1]UNIV. LIB.2019'!O20</f>
        <v>45050000</v>
      </c>
      <c r="AX12" s="66">
        <f t="shared" si="12"/>
        <v>7950000</v>
      </c>
      <c r="AY12" s="66"/>
      <c r="AZ12" s="66">
        <f>'[1]Univ Comm Fund'!P115</f>
        <v>60000000</v>
      </c>
      <c r="BA12" s="66">
        <f>'[1]UNIV. LIB.2019'!P20</f>
        <v>51000000</v>
      </c>
      <c r="BB12" s="66">
        <f t="shared" si="0"/>
        <v>9000000</v>
      </c>
      <c r="BC12" s="106"/>
      <c r="BD12" s="66">
        <v>100000000</v>
      </c>
      <c r="BE12" s="66">
        <f>'[1]UNIV. LIB.2019'!Q20</f>
        <v>85000000</v>
      </c>
      <c r="BF12" s="66">
        <f t="shared" si="13"/>
        <v>15000000</v>
      </c>
      <c r="BG12" s="106"/>
      <c r="BH12" s="66">
        <v>50000000</v>
      </c>
      <c r="BI12" s="66">
        <f>'[1]UNIV. LIB.2019'!R20</f>
        <v>0</v>
      </c>
      <c r="BJ12" s="66">
        <f t="shared" si="14"/>
        <v>50000000</v>
      </c>
      <c r="BL12" s="66">
        <f>'[1]Univ Comm Fund'!S115</f>
        <v>34000000</v>
      </c>
      <c r="BM12" s="66">
        <f>'[1]UNIV. LIB.2019'!S20</f>
        <v>0</v>
      </c>
      <c r="BN12" s="66">
        <f t="shared" si="15"/>
        <v>34000000</v>
      </c>
      <c r="BP12" s="66">
        <f>'[1]Univ Comm Fund'!T115</f>
        <v>30000000</v>
      </c>
      <c r="BQ12" s="66">
        <f>'[1]UNIV. LIB.2019'!T20</f>
        <v>0</v>
      </c>
      <c r="BR12" s="66">
        <f t="shared" si="16"/>
        <v>30000000</v>
      </c>
      <c r="BT12" s="66">
        <f>'[1]Univ Comm Fund'!U115</f>
        <v>20000000</v>
      </c>
      <c r="BU12" s="66">
        <f>'[1]UNIV. LIB.2019'!U20</f>
        <v>0</v>
      </c>
      <c r="BV12" s="66">
        <f t="shared" si="17"/>
        <v>20000000</v>
      </c>
      <c r="BX12" s="66">
        <f t="shared" si="18"/>
        <v>442500000</v>
      </c>
      <c r="BY12" s="66">
        <f t="shared" si="18"/>
        <v>272800000</v>
      </c>
      <c r="BZ12" s="66">
        <f t="shared" si="19"/>
        <v>169700000</v>
      </c>
      <c r="CJ12" s="106"/>
      <c r="CK12" s="106"/>
      <c r="CL12" s="106"/>
      <c r="CM12" s="106"/>
      <c r="CN12" s="106"/>
      <c r="CO12" s="106"/>
      <c r="CP12" s="106"/>
      <c r="CQ12" s="106"/>
      <c r="CR12" s="166"/>
      <c r="CS12" s="166"/>
      <c r="CT12" s="166"/>
      <c r="CU12" s="166"/>
      <c r="CV12" s="106"/>
      <c r="CW12" s="106"/>
      <c r="CX12" s="106"/>
      <c r="CY12" s="106"/>
      <c r="CZ12" s="106"/>
      <c r="DA12" s="106"/>
      <c r="DB12" s="106"/>
      <c r="DC12" s="106"/>
      <c r="DD12" s="106"/>
      <c r="DE12" s="106"/>
      <c r="DF12" s="106"/>
      <c r="DG12" s="106"/>
      <c r="DH12" s="106"/>
      <c r="DI12" s="106"/>
      <c r="DJ12" s="106"/>
      <c r="DK12" s="106"/>
      <c r="DL12" s="106"/>
      <c r="DM12" s="106"/>
      <c r="DN12" s="106"/>
      <c r="DO12" s="106"/>
      <c r="DP12" s="106"/>
      <c r="DQ12" s="106"/>
      <c r="DR12" s="106"/>
      <c r="DS12" s="106"/>
      <c r="DT12" s="106"/>
      <c r="DU12" s="106"/>
      <c r="DV12" s="106"/>
      <c r="DW12" s="106"/>
      <c r="DX12" s="106"/>
      <c r="DY12" s="106"/>
      <c r="DZ12" s="106"/>
      <c r="EA12" s="106"/>
      <c r="EB12" s="106"/>
      <c r="EC12" s="106"/>
      <c r="ED12" s="106"/>
      <c r="EE12" s="106"/>
      <c r="EF12" s="106"/>
      <c r="EG12" s="106"/>
      <c r="EH12" s="106"/>
      <c r="EI12" s="106"/>
      <c r="EJ12" s="106"/>
      <c r="EK12" s="106"/>
      <c r="EL12" s="106"/>
      <c r="EM12" s="106"/>
      <c r="EN12" s="106"/>
      <c r="EO12" s="106"/>
      <c r="EP12" s="106"/>
      <c r="EQ12" s="106"/>
      <c r="ER12" s="106"/>
      <c r="ES12" s="106"/>
      <c r="ET12" s="106"/>
      <c r="EU12" s="106"/>
      <c r="EV12" s="106"/>
      <c r="EW12" s="143"/>
      <c r="EX12" s="106"/>
      <c r="EY12" s="106"/>
      <c r="EZ12" s="106"/>
      <c r="FA12" s="106"/>
      <c r="FB12" s="106"/>
      <c r="FC12" s="106"/>
      <c r="FD12" s="106"/>
      <c r="FE12" s="106"/>
      <c r="FF12" s="106"/>
      <c r="FG12" s="106"/>
      <c r="FH12" s="106"/>
      <c r="FI12" s="106"/>
      <c r="FJ12" s="106"/>
      <c r="FK12" s="106"/>
      <c r="FL12" s="106"/>
      <c r="FM12" s="106"/>
      <c r="FN12" s="106"/>
      <c r="FO12" s="106"/>
      <c r="FP12" s="106"/>
      <c r="FQ12" s="106"/>
      <c r="FR12" s="106"/>
      <c r="FS12" s="106"/>
      <c r="FT12" s="106"/>
      <c r="FU12" s="106"/>
      <c r="FV12" s="106"/>
      <c r="FW12" s="106"/>
      <c r="FX12" s="106"/>
      <c r="FY12" s="106"/>
      <c r="FZ12" s="106"/>
      <c r="GA12" s="106"/>
      <c r="GB12" s="106"/>
      <c r="GC12" s="106"/>
      <c r="GD12" s="106"/>
      <c r="GE12" s="106"/>
      <c r="GF12" s="106"/>
      <c r="GG12" s="106"/>
      <c r="GH12" s="106"/>
      <c r="GI12" s="106"/>
      <c r="GJ12" s="106"/>
      <c r="GK12" s="106"/>
      <c r="GL12" s="106"/>
      <c r="GM12" s="106"/>
      <c r="GN12" s="106"/>
      <c r="GO12" s="106"/>
      <c r="GP12" s="106"/>
      <c r="GQ12" s="106"/>
      <c r="GR12" s="106"/>
      <c r="GS12" s="106"/>
      <c r="GT12" s="106"/>
      <c r="GU12" s="106"/>
      <c r="GV12" s="106"/>
      <c r="GW12" s="106"/>
      <c r="GX12" s="106"/>
      <c r="GY12" s="106"/>
      <c r="GZ12" s="106"/>
      <c r="HA12" s="106"/>
      <c r="HB12" s="106"/>
      <c r="HC12" s="106"/>
      <c r="HD12" s="106"/>
      <c r="HE12" s="106"/>
      <c r="HF12" s="106"/>
      <c r="HG12" s="106"/>
      <c r="HH12" s="106"/>
      <c r="HI12" s="106"/>
      <c r="HJ12" s="106"/>
      <c r="HK12" s="106"/>
      <c r="HL12" s="106"/>
      <c r="HM12" s="162"/>
    </row>
    <row r="13" spans="1:221" s="4" customFormat="1" x14ac:dyDescent="0.25">
      <c r="A13" s="164">
        <v>9</v>
      </c>
      <c r="B13" s="164" t="s">
        <v>72</v>
      </c>
      <c r="C13" s="164"/>
      <c r="D13" s="66">
        <f>'[1]Univ Comm Fund'!D116</f>
        <v>3500000</v>
      </c>
      <c r="E13" s="66">
        <f>'[1]UNIV. LIB.2019'!D21</f>
        <v>3500000</v>
      </c>
      <c r="F13" s="66">
        <f t="shared" si="1"/>
        <v>0</v>
      </c>
      <c r="G13" s="66"/>
      <c r="H13" s="66">
        <f>'[1]Univ Comm Fund'!E116</f>
        <v>3500000</v>
      </c>
      <c r="I13" s="66">
        <f>'[1]UNIV. LIB.2019'!E21</f>
        <v>3500000</v>
      </c>
      <c r="J13" s="11">
        <f t="shared" si="2"/>
        <v>0</v>
      </c>
      <c r="K13" s="66"/>
      <c r="L13" s="66">
        <f>'[1]Univ Comm Fund'!F116</f>
        <v>3500000</v>
      </c>
      <c r="M13" s="66">
        <f>'[1]UNIV. LIB.2019'!F21</f>
        <v>3500000</v>
      </c>
      <c r="N13" s="66">
        <f t="shared" si="3"/>
        <v>0</v>
      </c>
      <c r="O13" s="66"/>
      <c r="P13" s="66">
        <f>'[1]Univ Comm Fund'!G116</f>
        <v>2975000</v>
      </c>
      <c r="Q13" s="66">
        <f>'[1]UNIV. LIB.2019'!G21</f>
        <v>2975000</v>
      </c>
      <c r="R13" s="66">
        <f t="shared" si="4"/>
        <v>0</v>
      </c>
      <c r="S13" s="66"/>
      <c r="T13" s="66">
        <f>'[1]Univ Comm Fund'!H116</f>
        <v>4250000</v>
      </c>
      <c r="U13" s="66">
        <f>'[1]UNIV. LIB.2019'!H21</f>
        <v>4250000</v>
      </c>
      <c r="V13" s="66">
        <f t="shared" si="5"/>
        <v>0</v>
      </c>
      <c r="W13" s="66"/>
      <c r="X13" s="66">
        <f>'[1]Univ Comm Fund'!I116</f>
        <v>4250000</v>
      </c>
      <c r="Y13" s="66">
        <f>'[1]UNIV. LIB.2019'!I21</f>
        <v>4250000</v>
      </c>
      <c r="Z13" s="66">
        <f t="shared" si="6"/>
        <v>0</v>
      </c>
      <c r="AA13" s="66"/>
      <c r="AB13" s="66">
        <f>'[1]Univ Comm Fund'!J116</f>
        <v>6500000</v>
      </c>
      <c r="AC13" s="66">
        <f>'[1]UNIV. LIB.2019'!J21</f>
        <v>6500000</v>
      </c>
      <c r="AD13" s="66">
        <f t="shared" si="7"/>
        <v>0</v>
      </c>
      <c r="AE13" s="66"/>
      <c r="AF13" s="66">
        <f>'[1]Univ Comm Fund'!K116</f>
        <v>10000000</v>
      </c>
      <c r="AG13" s="66">
        <f>'[1]UNIV. LIB.2019'!K21</f>
        <v>10000000</v>
      </c>
      <c r="AH13" s="66">
        <f t="shared" si="8"/>
        <v>0</v>
      </c>
      <c r="AI13" s="66"/>
      <c r="AJ13" s="66">
        <f>'[1]Univ Comm Fund'!L116</f>
        <v>10000000</v>
      </c>
      <c r="AK13" s="66">
        <f>'[1]UNIV. LIB.2019'!L21</f>
        <v>10000000</v>
      </c>
      <c r="AL13" s="88">
        <f t="shared" si="9"/>
        <v>0</v>
      </c>
      <c r="AM13" s="66"/>
      <c r="AN13" s="66">
        <f>'[1]Univ Comm Fund'!M116</f>
        <v>20000000</v>
      </c>
      <c r="AO13" s="66">
        <f>'[1]UNIV. LIB.2019'!M21</f>
        <v>20000000</v>
      </c>
      <c r="AP13" s="66">
        <f t="shared" si="10"/>
        <v>0</v>
      </c>
      <c r="AQ13" s="66"/>
      <c r="AR13" s="66">
        <f>'[1]Univ Comm Fund'!N116</f>
        <v>25000000</v>
      </c>
      <c r="AS13" s="66">
        <f>'[1]UNIV. LIB.2019'!N21</f>
        <v>21250000</v>
      </c>
      <c r="AT13" s="66">
        <f t="shared" si="11"/>
        <v>3750000</v>
      </c>
      <c r="AU13" s="66"/>
      <c r="AV13" s="66">
        <f>'[1]Univ Comm Fund'!O116</f>
        <v>53000000</v>
      </c>
      <c r="AW13" s="66">
        <f>'[1]UNIV. LIB.2019'!O21</f>
        <v>45050000</v>
      </c>
      <c r="AX13" s="66">
        <f t="shared" si="12"/>
        <v>7950000</v>
      </c>
      <c r="AY13" s="66"/>
      <c r="AZ13" s="66">
        <f>'[1]Univ Comm Fund'!P116</f>
        <v>60000000</v>
      </c>
      <c r="BA13" s="66">
        <f>'[1]UNIV. LIB.2019'!P21</f>
        <v>51000000</v>
      </c>
      <c r="BB13" s="66">
        <f t="shared" si="0"/>
        <v>9000000</v>
      </c>
      <c r="BC13" s="106"/>
      <c r="BD13" s="66">
        <v>100000000</v>
      </c>
      <c r="BE13" s="66">
        <f>'[1]UNIV. LIB.2019'!Q21</f>
        <v>85000000</v>
      </c>
      <c r="BF13" s="66">
        <f t="shared" si="13"/>
        <v>15000000</v>
      </c>
      <c r="BG13" s="106"/>
      <c r="BH13" s="66">
        <v>50000000</v>
      </c>
      <c r="BI13" s="66">
        <f>'[1]UNIV. LIB.2019'!R21</f>
        <v>0</v>
      </c>
      <c r="BJ13" s="66">
        <f t="shared" si="14"/>
        <v>50000000</v>
      </c>
      <c r="BL13" s="66">
        <f>'[1]Univ Comm Fund'!S116</f>
        <v>34000000</v>
      </c>
      <c r="BM13" s="66">
        <f>'[1]UNIV. LIB.2019'!S21</f>
        <v>0</v>
      </c>
      <c r="BN13" s="66">
        <f t="shared" si="15"/>
        <v>34000000</v>
      </c>
      <c r="BP13" s="66">
        <f>'[1]Univ Comm Fund'!T116</f>
        <v>30000000</v>
      </c>
      <c r="BQ13" s="66">
        <f>'[1]UNIV. LIB.2019'!T21</f>
        <v>0</v>
      </c>
      <c r="BR13" s="66">
        <f t="shared" si="16"/>
        <v>30000000</v>
      </c>
      <c r="BT13" s="66">
        <f>'[1]Univ Comm Fund'!U116</f>
        <v>20000000</v>
      </c>
      <c r="BU13" s="66">
        <f>'[1]UNIV. LIB.2019'!U21</f>
        <v>0</v>
      </c>
      <c r="BV13" s="66">
        <f t="shared" si="17"/>
        <v>20000000</v>
      </c>
      <c r="BX13" s="66">
        <f t="shared" si="18"/>
        <v>440475000</v>
      </c>
      <c r="BY13" s="66">
        <f t="shared" si="18"/>
        <v>270775000</v>
      </c>
      <c r="BZ13" s="66">
        <f t="shared" si="19"/>
        <v>169700000</v>
      </c>
      <c r="CR13" s="166"/>
      <c r="CS13" s="166"/>
      <c r="CT13" s="166"/>
      <c r="CU13" s="166"/>
      <c r="EW13" s="16"/>
      <c r="HM13" s="162"/>
    </row>
    <row r="14" spans="1:221" s="4" customFormat="1" x14ac:dyDescent="0.25">
      <c r="A14" s="164">
        <v>10</v>
      </c>
      <c r="B14" s="164" t="s">
        <v>73</v>
      </c>
      <c r="C14" s="164"/>
      <c r="D14" s="66">
        <f>'[1]Univ Comm Fund'!D117</f>
        <v>3500000</v>
      </c>
      <c r="E14" s="66">
        <f>'[1]UNIV. LIB.2019'!D22</f>
        <v>3500000</v>
      </c>
      <c r="F14" s="66">
        <f t="shared" si="1"/>
        <v>0</v>
      </c>
      <c r="G14" s="66"/>
      <c r="H14" s="66">
        <f>'[1]Univ Comm Fund'!E117</f>
        <v>3500000</v>
      </c>
      <c r="I14" s="66">
        <f>'[1]UNIV. LIB.2019'!E22</f>
        <v>3500000</v>
      </c>
      <c r="J14" s="11">
        <f t="shared" si="2"/>
        <v>0</v>
      </c>
      <c r="K14" s="66"/>
      <c r="L14" s="66">
        <f>'[1]Univ Comm Fund'!F117</f>
        <v>3500000</v>
      </c>
      <c r="M14" s="66">
        <f>'[1]UNIV. LIB.2019'!F22</f>
        <v>3500000</v>
      </c>
      <c r="N14" s="66">
        <f t="shared" si="3"/>
        <v>0</v>
      </c>
      <c r="O14" s="66"/>
      <c r="P14" s="66">
        <f>'[1]Univ Comm Fund'!G117</f>
        <v>3500000</v>
      </c>
      <c r="Q14" s="66">
        <f>'[1]UNIV. LIB.2019'!G22</f>
        <v>3500000</v>
      </c>
      <c r="R14" s="66">
        <f t="shared" si="4"/>
        <v>0</v>
      </c>
      <c r="S14" s="66"/>
      <c r="T14" s="66">
        <f>'[1]Univ Comm Fund'!H117</f>
        <v>5000000</v>
      </c>
      <c r="U14" s="66">
        <f>'[1]UNIV. LIB.2019'!H22</f>
        <v>5000000</v>
      </c>
      <c r="V14" s="66">
        <f t="shared" si="5"/>
        <v>0</v>
      </c>
      <c r="W14" s="66"/>
      <c r="X14" s="66">
        <f>'[1]Univ Comm Fund'!I117</f>
        <v>5000000</v>
      </c>
      <c r="Y14" s="66">
        <f>'[1]UNIV. LIB.2019'!I22</f>
        <v>5000000</v>
      </c>
      <c r="Z14" s="66">
        <f t="shared" si="6"/>
        <v>0</v>
      </c>
      <c r="AA14" s="66"/>
      <c r="AB14" s="66">
        <f>'[1]Univ Comm Fund'!J117</f>
        <v>5525000</v>
      </c>
      <c r="AC14" s="66">
        <f>'[1]UNIV. LIB.2019'!J22</f>
        <v>5525000</v>
      </c>
      <c r="AD14" s="66">
        <f t="shared" si="7"/>
        <v>0</v>
      </c>
      <c r="AE14" s="66"/>
      <c r="AF14" s="66">
        <f>'[1]Univ Comm Fund'!K117</f>
        <v>8500000</v>
      </c>
      <c r="AG14" s="66">
        <f>'[1]UNIV. LIB.2019'!K22</f>
        <v>8500000</v>
      </c>
      <c r="AH14" s="66">
        <f t="shared" si="8"/>
        <v>0</v>
      </c>
      <c r="AI14" s="66"/>
      <c r="AJ14" s="66">
        <f>'[1]Univ Comm Fund'!L117</f>
        <v>8500000</v>
      </c>
      <c r="AK14" s="66">
        <f>'[1]UNIV. LIB.2019'!L22</f>
        <v>8500000</v>
      </c>
      <c r="AL14" s="88">
        <f t="shared" si="9"/>
        <v>0</v>
      </c>
      <c r="AM14" s="66"/>
      <c r="AN14" s="66">
        <f>'[1]Univ Comm Fund'!M117</f>
        <v>20000000</v>
      </c>
      <c r="AO14" s="66">
        <f>'[1]UNIV. LIB.2019'!M22</f>
        <v>20000000</v>
      </c>
      <c r="AP14" s="66">
        <f t="shared" si="10"/>
        <v>0</v>
      </c>
      <c r="AQ14" s="66"/>
      <c r="AR14" s="66">
        <f>'[1]Univ Comm Fund'!N117</f>
        <v>25000000</v>
      </c>
      <c r="AS14" s="66">
        <f>'[1]UNIV. LIB.2019'!N22</f>
        <v>25000000</v>
      </c>
      <c r="AT14" s="66">
        <f t="shared" si="11"/>
        <v>0</v>
      </c>
      <c r="AU14" s="66"/>
      <c r="AV14" s="66">
        <f>'[1]Univ Comm Fund'!O117</f>
        <v>53000000</v>
      </c>
      <c r="AW14" s="66">
        <f>'[1]UNIV. LIB.2019'!O22</f>
        <v>53000000</v>
      </c>
      <c r="AX14" s="66">
        <f t="shared" si="12"/>
        <v>0</v>
      </c>
      <c r="AY14" s="66"/>
      <c r="AZ14" s="66">
        <f>'[1]Univ Comm Fund'!P117</f>
        <v>60000000</v>
      </c>
      <c r="BA14" s="66">
        <f>'[1]UNIV. LIB.2019'!P22</f>
        <v>51000000</v>
      </c>
      <c r="BB14" s="66">
        <f t="shared" si="0"/>
        <v>9000000</v>
      </c>
      <c r="BC14" s="106"/>
      <c r="BD14" s="66">
        <v>100000000</v>
      </c>
      <c r="BE14" s="66">
        <f>'[1]UNIV. LIB.2019'!Q22</f>
        <v>85000000</v>
      </c>
      <c r="BF14" s="66">
        <f t="shared" si="13"/>
        <v>15000000</v>
      </c>
      <c r="BG14" s="106"/>
      <c r="BH14" s="66">
        <v>50000000</v>
      </c>
      <c r="BI14" s="66">
        <f>'[1]UNIV. LIB.2019'!R22</f>
        <v>42500000</v>
      </c>
      <c r="BJ14" s="66">
        <f t="shared" si="14"/>
        <v>7500000</v>
      </c>
      <c r="BL14" s="66">
        <f>'[1]Univ Comm Fund'!S117</f>
        <v>34000000</v>
      </c>
      <c r="BM14" s="66">
        <f>'[1]UNIV. LIB.2019'!S22</f>
        <v>28900000</v>
      </c>
      <c r="BN14" s="66">
        <f t="shared" si="15"/>
        <v>5100000</v>
      </c>
      <c r="BP14" s="66">
        <f>'[1]Univ Comm Fund'!T117</f>
        <v>30000000</v>
      </c>
      <c r="BQ14" s="66">
        <f>'[1]UNIV. LIB.2019'!T22</f>
        <v>0</v>
      </c>
      <c r="BR14" s="66">
        <f t="shared" si="16"/>
        <v>30000000</v>
      </c>
      <c r="BT14" s="66">
        <f>'[1]Univ Comm Fund'!U117</f>
        <v>20000000</v>
      </c>
      <c r="BU14" s="66">
        <f>'[1]UNIV. LIB.2019'!U22</f>
        <v>0</v>
      </c>
      <c r="BV14" s="66">
        <f t="shared" si="17"/>
        <v>20000000</v>
      </c>
      <c r="BX14" s="66">
        <f t="shared" si="18"/>
        <v>438525000</v>
      </c>
      <c r="BY14" s="66">
        <f t="shared" si="18"/>
        <v>351925000</v>
      </c>
      <c r="BZ14" s="66">
        <f t="shared" si="19"/>
        <v>86600000</v>
      </c>
      <c r="CR14" s="166"/>
      <c r="CS14" s="166"/>
      <c r="CT14" s="166"/>
      <c r="CU14" s="166"/>
      <c r="EW14" s="16"/>
      <c r="HM14" s="162"/>
    </row>
    <row r="15" spans="1:221" s="4" customFormat="1" x14ac:dyDescent="0.25">
      <c r="A15" s="164">
        <v>11</v>
      </c>
      <c r="B15" s="164" t="s">
        <v>151</v>
      </c>
      <c r="C15" s="164"/>
      <c r="D15" s="66">
        <f>'[1]Univ Comm Fund'!D118</f>
        <v>3500000</v>
      </c>
      <c r="E15" s="66">
        <f>'[1]UNIV. LIB.2019'!D23</f>
        <v>3500000</v>
      </c>
      <c r="F15" s="66">
        <f t="shared" si="1"/>
        <v>0</v>
      </c>
      <c r="G15" s="66"/>
      <c r="H15" s="66">
        <f>'[1]Univ Comm Fund'!E118</f>
        <v>3500000</v>
      </c>
      <c r="I15" s="66">
        <f>'[1]UNIV. LIB.2019'!E23</f>
        <v>3500000</v>
      </c>
      <c r="J15" s="11">
        <f t="shared" si="2"/>
        <v>0</v>
      </c>
      <c r="K15" s="66"/>
      <c r="L15" s="66">
        <f>'[1]Univ Comm Fund'!F118</f>
        <v>3500000</v>
      </c>
      <c r="M15" s="66">
        <f>'[1]UNIV. LIB.2019'!F23</f>
        <v>3500000</v>
      </c>
      <c r="N15" s="66">
        <f t="shared" si="3"/>
        <v>0</v>
      </c>
      <c r="O15" s="66"/>
      <c r="P15" s="66">
        <f>'[1]Univ Comm Fund'!G118</f>
        <v>3500000</v>
      </c>
      <c r="Q15" s="66">
        <f>'[1]UNIV. LIB.2019'!G23</f>
        <v>3500000</v>
      </c>
      <c r="R15" s="66">
        <f t="shared" si="4"/>
        <v>0</v>
      </c>
      <c r="S15" s="66"/>
      <c r="T15" s="66">
        <f>'[1]Univ Comm Fund'!H118</f>
        <v>4250000</v>
      </c>
      <c r="U15" s="66">
        <f>'[1]UNIV. LIB.2019'!H23</f>
        <v>4250000</v>
      </c>
      <c r="V15" s="66">
        <f t="shared" si="5"/>
        <v>0</v>
      </c>
      <c r="W15" s="66"/>
      <c r="X15" s="66">
        <f>'[1]Univ Comm Fund'!I118</f>
        <v>4250000</v>
      </c>
      <c r="Y15" s="66">
        <f>'[1]UNIV. LIB.2019'!I23</f>
        <v>4250000</v>
      </c>
      <c r="Z15" s="66">
        <f t="shared" si="6"/>
        <v>0</v>
      </c>
      <c r="AA15" s="66"/>
      <c r="AB15" s="66">
        <f>'[1]Univ Comm Fund'!J118</f>
        <v>0</v>
      </c>
      <c r="AC15" s="66">
        <f>'[1]UNIV. LIB.2019'!J23</f>
        <v>0</v>
      </c>
      <c r="AD15" s="66">
        <f t="shared" si="7"/>
        <v>0</v>
      </c>
      <c r="AE15" s="66"/>
      <c r="AF15" s="66">
        <f>'[1]Univ Comm Fund'!K118</f>
        <v>0</v>
      </c>
      <c r="AG15" s="66">
        <f>'[1]UNIV. LIB.2019'!K23</f>
        <v>0</v>
      </c>
      <c r="AH15" s="66">
        <f t="shared" si="8"/>
        <v>0</v>
      </c>
      <c r="AI15" s="66"/>
      <c r="AJ15" s="66">
        <f>'[1]Univ Comm Fund'!L118</f>
        <v>0</v>
      </c>
      <c r="AK15" s="66">
        <f>'[1]UNIV. LIB.2019'!L23</f>
        <v>0</v>
      </c>
      <c r="AL15" s="88">
        <f t="shared" si="9"/>
        <v>0</v>
      </c>
      <c r="AM15" s="66"/>
      <c r="AN15" s="66">
        <f>'[1]Univ Comm Fund'!M118</f>
        <v>0</v>
      </c>
      <c r="AO15" s="66">
        <f>'[1]UNIV. LIB.2019'!M23</f>
        <v>0</v>
      </c>
      <c r="AP15" s="66">
        <f t="shared" si="10"/>
        <v>0</v>
      </c>
      <c r="AQ15" s="66"/>
      <c r="AR15" s="66">
        <f>'[1]Univ Comm Fund'!N118</f>
        <v>25000000</v>
      </c>
      <c r="AS15" s="66">
        <f>'[1]UNIV. LIB.2019'!N23</f>
        <v>0</v>
      </c>
      <c r="AT15" s="66">
        <f t="shared" si="11"/>
        <v>25000000</v>
      </c>
      <c r="AU15" s="66"/>
      <c r="AV15" s="66">
        <f>'[1]Univ Comm Fund'!O118</f>
        <v>53000000</v>
      </c>
      <c r="AW15" s="66">
        <f>'[1]UNIV. LIB.2019'!O23</f>
        <v>0</v>
      </c>
      <c r="AX15" s="66">
        <f t="shared" si="12"/>
        <v>53000000</v>
      </c>
      <c r="AY15" s="66"/>
      <c r="AZ15" s="66">
        <f>'[1]Univ Comm Fund'!P118</f>
        <v>60000000</v>
      </c>
      <c r="BA15" s="66">
        <f>'[1]UNIV. LIB.2019'!P23</f>
        <v>0</v>
      </c>
      <c r="BB15" s="66">
        <f t="shared" si="0"/>
        <v>60000000</v>
      </c>
      <c r="BC15" s="106"/>
      <c r="BD15" s="66">
        <v>100000000</v>
      </c>
      <c r="BE15" s="66">
        <f>'[1]UNIV. LIB.2019'!Q23</f>
        <v>0</v>
      </c>
      <c r="BF15" s="66">
        <f t="shared" si="13"/>
        <v>100000000</v>
      </c>
      <c r="BG15" s="106"/>
      <c r="BH15" s="66">
        <v>50000000</v>
      </c>
      <c r="BI15" s="66">
        <f>'[1]UNIV. LIB.2019'!R23</f>
        <v>0</v>
      </c>
      <c r="BJ15" s="66">
        <f t="shared" si="14"/>
        <v>50000000</v>
      </c>
      <c r="BL15" s="66">
        <f>'[1]Univ Comm Fund'!S118</f>
        <v>34000000</v>
      </c>
      <c r="BM15" s="66">
        <f>'[1]UNIV. LIB.2019'!S23</f>
        <v>0</v>
      </c>
      <c r="BN15" s="66">
        <f t="shared" si="15"/>
        <v>34000000</v>
      </c>
      <c r="BP15" s="66">
        <f>'[1]Univ Comm Fund'!T118</f>
        <v>30000000</v>
      </c>
      <c r="BQ15" s="66">
        <f>'[1]UNIV. LIB.2019'!T23</f>
        <v>0</v>
      </c>
      <c r="BR15" s="66">
        <f t="shared" si="16"/>
        <v>30000000</v>
      </c>
      <c r="BT15" s="66">
        <f>'[1]Univ Comm Fund'!U118</f>
        <v>20000000</v>
      </c>
      <c r="BU15" s="66">
        <f>'[1]UNIV. LIB.2019'!U23</f>
        <v>0</v>
      </c>
      <c r="BV15" s="66">
        <f t="shared" si="17"/>
        <v>20000000</v>
      </c>
      <c r="BX15" s="66">
        <f t="shared" si="18"/>
        <v>394500000</v>
      </c>
      <c r="BY15" s="66">
        <f t="shared" si="18"/>
        <v>22500000</v>
      </c>
      <c r="BZ15" s="66">
        <f t="shared" si="19"/>
        <v>372000000</v>
      </c>
      <c r="CR15" s="166"/>
      <c r="CS15" s="166"/>
      <c r="CT15" s="166"/>
      <c r="CU15" s="166"/>
      <c r="EW15" s="16"/>
      <c r="HM15" s="162"/>
    </row>
    <row r="16" spans="1:221" s="4" customFormat="1" x14ac:dyDescent="0.25">
      <c r="A16" s="164">
        <v>12</v>
      </c>
      <c r="B16" s="164" t="s">
        <v>77</v>
      </c>
      <c r="C16" s="164"/>
      <c r="D16" s="66">
        <f>'[1]Univ Comm Fund'!D119</f>
        <v>3500000</v>
      </c>
      <c r="E16" s="66">
        <f>'[1]UNIV. LIB.2019'!D24</f>
        <v>3500000</v>
      </c>
      <c r="F16" s="66">
        <f t="shared" si="1"/>
        <v>0</v>
      </c>
      <c r="G16" s="66"/>
      <c r="H16" s="66">
        <f>'[1]Univ Comm Fund'!E119</f>
        <v>3500000</v>
      </c>
      <c r="I16" s="66">
        <f>'[1]UNIV. LIB.2019'!E24</f>
        <v>3500000</v>
      </c>
      <c r="J16" s="11">
        <f t="shared" si="2"/>
        <v>0</v>
      </c>
      <c r="K16" s="66"/>
      <c r="L16" s="66">
        <f>'[1]Univ Comm Fund'!F119</f>
        <v>3500000</v>
      </c>
      <c r="M16" s="66">
        <f>'[1]UNIV. LIB.2019'!F24</f>
        <v>3500000</v>
      </c>
      <c r="N16" s="66">
        <f t="shared" si="3"/>
        <v>0</v>
      </c>
      <c r="O16" s="66"/>
      <c r="P16" s="66">
        <f>'[1]Univ Comm Fund'!G119</f>
        <v>3500000</v>
      </c>
      <c r="Q16" s="66">
        <f>'[1]UNIV. LIB.2019'!G24</f>
        <v>3500000</v>
      </c>
      <c r="R16" s="66">
        <f t="shared" si="4"/>
        <v>0</v>
      </c>
      <c r="S16" s="66"/>
      <c r="T16" s="66">
        <f>'[1]Univ Comm Fund'!H119</f>
        <v>5000000</v>
      </c>
      <c r="U16" s="66">
        <f>'[1]UNIV. LIB.2019'!H24</f>
        <v>5000000</v>
      </c>
      <c r="V16" s="66">
        <f t="shared" si="5"/>
        <v>0</v>
      </c>
      <c r="W16" s="66"/>
      <c r="X16" s="66">
        <f>'[1]Univ Comm Fund'!I119</f>
        <v>5000000</v>
      </c>
      <c r="Y16" s="66">
        <f>'[1]UNIV. LIB.2019'!I24</f>
        <v>5000000</v>
      </c>
      <c r="Z16" s="66">
        <f t="shared" si="6"/>
        <v>0</v>
      </c>
      <c r="AA16" s="66"/>
      <c r="AB16" s="66">
        <f>'[1]Univ Comm Fund'!J119</f>
        <v>6500000</v>
      </c>
      <c r="AC16" s="66">
        <f>'[1]UNIV. LIB.2019'!J24</f>
        <v>6500000</v>
      </c>
      <c r="AD16" s="66">
        <f t="shared" si="7"/>
        <v>0</v>
      </c>
      <c r="AE16" s="66"/>
      <c r="AF16" s="66">
        <f>'[1]Univ Comm Fund'!K119</f>
        <v>10000000</v>
      </c>
      <c r="AG16" s="66">
        <f>'[1]UNIV. LIB.2019'!K24</f>
        <v>10000000</v>
      </c>
      <c r="AH16" s="66">
        <f t="shared" si="8"/>
        <v>0</v>
      </c>
      <c r="AI16" s="66"/>
      <c r="AJ16" s="66">
        <f>'[1]Univ Comm Fund'!L119</f>
        <v>10000000</v>
      </c>
      <c r="AK16" s="66">
        <f>'[1]UNIV. LIB.2019'!L24</f>
        <v>10000000</v>
      </c>
      <c r="AL16" s="88">
        <f t="shared" si="9"/>
        <v>0</v>
      </c>
      <c r="AM16" s="66"/>
      <c r="AN16" s="66">
        <f>'[1]Univ Comm Fund'!M119</f>
        <v>20000000</v>
      </c>
      <c r="AO16" s="66">
        <f>'[1]UNIV. LIB.2019'!M24</f>
        <v>20000000</v>
      </c>
      <c r="AP16" s="66">
        <f t="shared" si="10"/>
        <v>0</v>
      </c>
      <c r="AQ16" s="66"/>
      <c r="AR16" s="66">
        <f>'[1]Univ Comm Fund'!N119</f>
        <v>25000000</v>
      </c>
      <c r="AS16" s="66">
        <f>'[1]UNIV. LIB.2019'!N24</f>
        <v>25000000</v>
      </c>
      <c r="AT16" s="66">
        <f t="shared" si="11"/>
        <v>0</v>
      </c>
      <c r="AU16" s="66"/>
      <c r="AV16" s="66">
        <f>'[1]Univ Comm Fund'!O119</f>
        <v>53000000</v>
      </c>
      <c r="AW16" s="66">
        <f>'[1]UNIV. LIB.2019'!O24</f>
        <v>45050000</v>
      </c>
      <c r="AX16" s="66">
        <f t="shared" si="12"/>
        <v>7950000</v>
      </c>
      <c r="AY16" s="66"/>
      <c r="AZ16" s="66">
        <f>'[1]Univ Comm Fund'!P119</f>
        <v>60000000</v>
      </c>
      <c r="BA16" s="66">
        <f>'[1]UNIV. LIB.2019'!P24</f>
        <v>51000000</v>
      </c>
      <c r="BB16" s="66">
        <f t="shared" si="0"/>
        <v>9000000</v>
      </c>
      <c r="BC16" s="106"/>
      <c r="BD16" s="66">
        <v>100000000</v>
      </c>
      <c r="BE16" s="66">
        <f>'[1]UNIV. LIB.2019'!Q24</f>
        <v>85000000</v>
      </c>
      <c r="BF16" s="66">
        <f t="shared" si="13"/>
        <v>15000000</v>
      </c>
      <c r="BG16" s="106"/>
      <c r="BH16" s="66">
        <v>50000000</v>
      </c>
      <c r="BI16" s="66">
        <f>'[1]UNIV. LIB.2019'!R24</f>
        <v>0</v>
      </c>
      <c r="BJ16" s="66">
        <f t="shared" si="14"/>
        <v>50000000</v>
      </c>
      <c r="BL16" s="66">
        <f>'[1]Univ Comm Fund'!S119</f>
        <v>34000000</v>
      </c>
      <c r="BM16" s="66">
        <f>'[1]UNIV. LIB.2019'!S24</f>
        <v>0</v>
      </c>
      <c r="BN16" s="66">
        <f t="shared" si="15"/>
        <v>34000000</v>
      </c>
      <c r="BP16" s="66">
        <f>'[1]Univ Comm Fund'!T119</f>
        <v>30000000</v>
      </c>
      <c r="BQ16" s="66">
        <f>'[1]UNIV. LIB.2019'!T24</f>
        <v>0</v>
      </c>
      <c r="BR16" s="66">
        <f t="shared" si="16"/>
        <v>30000000</v>
      </c>
      <c r="BT16" s="66">
        <f>'[1]Univ Comm Fund'!U119</f>
        <v>20000000</v>
      </c>
      <c r="BU16" s="66">
        <f>'[1]UNIV. LIB.2019'!U24</f>
        <v>0</v>
      </c>
      <c r="BV16" s="66">
        <f t="shared" si="17"/>
        <v>20000000</v>
      </c>
      <c r="BX16" s="66">
        <f t="shared" si="18"/>
        <v>442500000</v>
      </c>
      <c r="BY16" s="66">
        <f t="shared" si="18"/>
        <v>276550000</v>
      </c>
      <c r="BZ16" s="66">
        <f t="shared" si="19"/>
        <v>165950000</v>
      </c>
      <c r="CR16" s="166"/>
      <c r="CS16" s="166"/>
      <c r="CT16" s="166"/>
      <c r="CU16" s="166"/>
      <c r="EW16" s="16"/>
      <c r="HM16" s="162"/>
    </row>
    <row r="17" spans="1:221" s="4" customFormat="1" x14ac:dyDescent="0.25">
      <c r="A17" s="164">
        <v>13</v>
      </c>
      <c r="B17" s="164" t="s">
        <v>78</v>
      </c>
      <c r="C17" s="164"/>
      <c r="D17" s="66">
        <f>'[1]Univ Comm Fund'!D120</f>
        <v>3500000</v>
      </c>
      <c r="E17" s="66">
        <f>'[1]UNIV. LIB.2019'!D25</f>
        <v>3500000</v>
      </c>
      <c r="F17" s="66">
        <f t="shared" si="1"/>
        <v>0</v>
      </c>
      <c r="G17" s="66"/>
      <c r="H17" s="66">
        <f>'[1]Univ Comm Fund'!E120</f>
        <v>3500000</v>
      </c>
      <c r="I17" s="66">
        <f>'[1]UNIV. LIB.2019'!E25</f>
        <v>3500000</v>
      </c>
      <c r="J17" s="11">
        <f t="shared" si="2"/>
        <v>0</v>
      </c>
      <c r="K17" s="66"/>
      <c r="L17" s="66">
        <f>'[1]Univ Comm Fund'!F120</f>
        <v>3500000</v>
      </c>
      <c r="M17" s="66">
        <f>'[1]UNIV. LIB.2019'!F25</f>
        <v>3500000</v>
      </c>
      <c r="N17" s="66">
        <f t="shared" si="3"/>
        <v>0</v>
      </c>
      <c r="O17" s="66"/>
      <c r="P17" s="66">
        <f>'[1]Univ Comm Fund'!G120</f>
        <v>3500000</v>
      </c>
      <c r="Q17" s="66">
        <f>'[1]UNIV. LIB.2019'!G25</f>
        <v>3500000</v>
      </c>
      <c r="R17" s="66">
        <f t="shared" si="4"/>
        <v>0</v>
      </c>
      <c r="S17" s="66"/>
      <c r="T17" s="66">
        <f>'[1]Univ Comm Fund'!H120</f>
        <v>5000000</v>
      </c>
      <c r="U17" s="66">
        <f>'[1]UNIV. LIB.2019'!H25</f>
        <v>5000000</v>
      </c>
      <c r="V17" s="66">
        <f t="shared" si="5"/>
        <v>0</v>
      </c>
      <c r="W17" s="66"/>
      <c r="X17" s="66">
        <f>'[1]Univ Comm Fund'!I120</f>
        <v>5000000</v>
      </c>
      <c r="Y17" s="66">
        <f>'[1]UNIV. LIB.2019'!I25</f>
        <v>5000000</v>
      </c>
      <c r="Z17" s="66">
        <f t="shared" si="6"/>
        <v>0</v>
      </c>
      <c r="AA17" s="66"/>
      <c r="AB17" s="66">
        <f>'[1]Univ Comm Fund'!J120</f>
        <v>6500000</v>
      </c>
      <c r="AC17" s="66">
        <f>'[1]UNIV. LIB.2019'!J25</f>
        <v>6500000</v>
      </c>
      <c r="AD17" s="66">
        <f t="shared" si="7"/>
        <v>0</v>
      </c>
      <c r="AE17" s="66"/>
      <c r="AF17" s="66">
        <f>'[1]Univ Comm Fund'!K120</f>
        <v>10000000</v>
      </c>
      <c r="AG17" s="66">
        <f>'[1]UNIV. LIB.2019'!K25</f>
        <v>10000000</v>
      </c>
      <c r="AH17" s="66">
        <f t="shared" si="8"/>
        <v>0</v>
      </c>
      <c r="AI17" s="66"/>
      <c r="AJ17" s="66">
        <f>'[1]Univ Comm Fund'!L120</f>
        <v>10000000</v>
      </c>
      <c r="AK17" s="66">
        <f>'[1]UNIV. LIB.2019'!L25</f>
        <v>10000000</v>
      </c>
      <c r="AL17" s="88">
        <f t="shared" si="9"/>
        <v>0</v>
      </c>
      <c r="AM17" s="66"/>
      <c r="AN17" s="66">
        <f>'[1]Univ Comm Fund'!M120</f>
        <v>20000000</v>
      </c>
      <c r="AO17" s="66">
        <f>'[1]UNIV. LIB.2019'!M25</f>
        <v>20000000</v>
      </c>
      <c r="AP17" s="66">
        <f t="shared" si="10"/>
        <v>0</v>
      </c>
      <c r="AQ17" s="66"/>
      <c r="AR17" s="66">
        <f>'[1]Univ Comm Fund'!N120</f>
        <v>25000000</v>
      </c>
      <c r="AS17" s="66">
        <f>'[1]UNIV. LIB.2019'!N25</f>
        <v>25000000</v>
      </c>
      <c r="AT17" s="66">
        <f t="shared" si="11"/>
        <v>0</v>
      </c>
      <c r="AU17" s="66"/>
      <c r="AV17" s="66">
        <f>'[1]Univ Comm Fund'!O120</f>
        <v>53000000</v>
      </c>
      <c r="AW17" s="66">
        <f>'[1]UNIV. LIB.2019'!O25</f>
        <v>45050000</v>
      </c>
      <c r="AX17" s="66">
        <f t="shared" si="12"/>
        <v>7950000</v>
      </c>
      <c r="AY17" s="66"/>
      <c r="AZ17" s="66">
        <f>'[1]Univ Comm Fund'!P120</f>
        <v>60000000</v>
      </c>
      <c r="BA17" s="66">
        <f>'[1]UNIV. LIB.2019'!P25</f>
        <v>51000000</v>
      </c>
      <c r="BB17" s="66">
        <f t="shared" si="0"/>
        <v>9000000</v>
      </c>
      <c r="BC17" s="106"/>
      <c r="BD17" s="66">
        <v>100000000</v>
      </c>
      <c r="BE17" s="66">
        <f>'[1]UNIV. LIB.2019'!Q25</f>
        <v>85000000</v>
      </c>
      <c r="BF17" s="66">
        <f t="shared" si="13"/>
        <v>15000000</v>
      </c>
      <c r="BG17" s="106"/>
      <c r="BH17" s="66">
        <v>50000000</v>
      </c>
      <c r="BI17" s="66">
        <f>'[1]UNIV. LIB.2019'!R25</f>
        <v>0</v>
      </c>
      <c r="BJ17" s="66">
        <f t="shared" si="14"/>
        <v>50000000</v>
      </c>
      <c r="BL17" s="66">
        <f>'[1]Univ Comm Fund'!S120</f>
        <v>34000000</v>
      </c>
      <c r="BM17" s="66">
        <f>'[1]UNIV. LIB.2019'!S25</f>
        <v>0</v>
      </c>
      <c r="BN17" s="66">
        <f t="shared" si="15"/>
        <v>34000000</v>
      </c>
      <c r="BP17" s="66">
        <f>'[1]Univ Comm Fund'!T120</f>
        <v>30000000</v>
      </c>
      <c r="BQ17" s="66">
        <f>'[1]UNIV. LIB.2019'!T25</f>
        <v>0</v>
      </c>
      <c r="BR17" s="66">
        <f t="shared" si="16"/>
        <v>30000000</v>
      </c>
      <c r="BT17" s="66">
        <f>'[1]Univ Comm Fund'!U120</f>
        <v>20000000</v>
      </c>
      <c r="BU17" s="66">
        <f>'[1]UNIV. LIB.2019'!U25</f>
        <v>0</v>
      </c>
      <c r="BV17" s="66">
        <f t="shared" si="17"/>
        <v>20000000</v>
      </c>
      <c r="BX17" s="66">
        <f t="shared" si="18"/>
        <v>442500000</v>
      </c>
      <c r="BY17" s="66">
        <f t="shared" si="18"/>
        <v>276550000</v>
      </c>
      <c r="BZ17" s="66">
        <f t="shared" si="19"/>
        <v>165950000</v>
      </c>
      <c r="CR17" s="166"/>
      <c r="CS17" s="166"/>
      <c r="CT17" s="166"/>
      <c r="CU17" s="166"/>
      <c r="EW17" s="16"/>
      <c r="HM17" s="162"/>
    </row>
    <row r="18" spans="1:221" s="4" customFormat="1" x14ac:dyDescent="0.25">
      <c r="A18" s="164">
        <v>14</v>
      </c>
      <c r="B18" s="164" t="s">
        <v>79</v>
      </c>
      <c r="C18" s="164"/>
      <c r="D18" s="66">
        <f>'[1]Univ Comm Fund'!D121</f>
        <v>3500000</v>
      </c>
      <c r="E18" s="66">
        <f>'[1]UNIV. LIB.2019'!D26</f>
        <v>3500000</v>
      </c>
      <c r="F18" s="66">
        <f t="shared" si="1"/>
        <v>0</v>
      </c>
      <c r="G18" s="66"/>
      <c r="H18" s="66">
        <f>'[1]Univ Comm Fund'!E121</f>
        <v>3500000</v>
      </c>
      <c r="I18" s="66">
        <f>'[1]UNIV. LIB.2019'!E26</f>
        <v>3500000</v>
      </c>
      <c r="J18" s="11">
        <f t="shared" si="2"/>
        <v>0</v>
      </c>
      <c r="K18" s="66"/>
      <c r="L18" s="66">
        <f>'[1]Univ Comm Fund'!F121</f>
        <v>3500000</v>
      </c>
      <c r="M18" s="66">
        <f>'[1]UNIV. LIB.2019'!F26</f>
        <v>3500000</v>
      </c>
      <c r="N18" s="66">
        <f t="shared" si="3"/>
        <v>0</v>
      </c>
      <c r="O18" s="66"/>
      <c r="P18" s="66">
        <f>'[1]Univ Comm Fund'!G121</f>
        <v>3500000</v>
      </c>
      <c r="Q18" s="66">
        <f>'[1]UNIV. LIB.2019'!G26</f>
        <v>3500000</v>
      </c>
      <c r="R18" s="66">
        <f t="shared" si="4"/>
        <v>0</v>
      </c>
      <c r="S18" s="66"/>
      <c r="T18" s="66">
        <f>'[1]Univ Comm Fund'!H121</f>
        <v>5000000</v>
      </c>
      <c r="U18" s="66">
        <f>'[1]UNIV. LIB.2019'!H26</f>
        <v>5000000</v>
      </c>
      <c r="V18" s="66">
        <f t="shared" si="5"/>
        <v>0</v>
      </c>
      <c r="W18" s="66"/>
      <c r="X18" s="66">
        <f>'[1]Univ Comm Fund'!I121</f>
        <v>5000000</v>
      </c>
      <c r="Y18" s="66">
        <f>'[1]UNIV. LIB.2019'!I26</f>
        <v>5000000</v>
      </c>
      <c r="Z18" s="66">
        <f t="shared" si="6"/>
        <v>0</v>
      </c>
      <c r="AA18" s="66"/>
      <c r="AB18" s="66">
        <f>'[1]Univ Comm Fund'!J121</f>
        <v>6500000</v>
      </c>
      <c r="AC18" s="66">
        <f>'[1]UNIV. LIB.2019'!J26</f>
        <v>6500000</v>
      </c>
      <c r="AD18" s="66">
        <f t="shared" si="7"/>
        <v>0</v>
      </c>
      <c r="AE18" s="66"/>
      <c r="AF18" s="66">
        <f>'[1]Univ Comm Fund'!K121</f>
        <v>8500000</v>
      </c>
      <c r="AG18" s="66">
        <f>'[1]UNIV. LIB.2019'!K26</f>
        <v>8500000</v>
      </c>
      <c r="AH18" s="66">
        <f t="shared" si="8"/>
        <v>0</v>
      </c>
      <c r="AI18" s="66"/>
      <c r="AJ18" s="66">
        <f>'[1]Univ Comm Fund'!L121</f>
        <v>8500000</v>
      </c>
      <c r="AK18" s="66">
        <f>'[1]UNIV. LIB.2019'!L26</f>
        <v>8500000</v>
      </c>
      <c r="AL18" s="88">
        <f t="shared" si="9"/>
        <v>0</v>
      </c>
      <c r="AM18" s="66"/>
      <c r="AN18" s="66">
        <f>'[1]Univ Comm Fund'!M121</f>
        <v>17000000</v>
      </c>
      <c r="AO18" s="66">
        <f>'[1]UNIV. LIB.2019'!M26</f>
        <v>17000000</v>
      </c>
      <c r="AP18" s="66">
        <f t="shared" si="10"/>
        <v>0</v>
      </c>
      <c r="AQ18" s="66"/>
      <c r="AR18" s="66">
        <f>'[1]Univ Comm Fund'!N121</f>
        <v>25000000</v>
      </c>
      <c r="AS18" s="66">
        <f>'[1]UNIV. LIB.2019'!N26</f>
        <v>25000000</v>
      </c>
      <c r="AT18" s="66">
        <f t="shared" si="11"/>
        <v>0</v>
      </c>
      <c r="AU18" s="66"/>
      <c r="AV18" s="66">
        <f>'[1]Univ Comm Fund'!O121</f>
        <v>53000000</v>
      </c>
      <c r="AW18" s="66">
        <f>'[1]UNIV. LIB.2019'!O26</f>
        <v>0</v>
      </c>
      <c r="AX18" s="66">
        <f t="shared" si="12"/>
        <v>53000000</v>
      </c>
      <c r="AY18" s="66"/>
      <c r="AZ18" s="66">
        <f>'[1]Univ Comm Fund'!P121</f>
        <v>60000000</v>
      </c>
      <c r="BA18" s="66">
        <f>'[1]UNIV. LIB.2019'!P26</f>
        <v>0</v>
      </c>
      <c r="BB18" s="66">
        <f t="shared" si="0"/>
        <v>60000000</v>
      </c>
      <c r="BC18" s="106"/>
      <c r="BD18" s="66">
        <v>100000000</v>
      </c>
      <c r="BE18" s="66">
        <f>'[1]UNIV. LIB.2019'!Q26</f>
        <v>0</v>
      </c>
      <c r="BF18" s="66">
        <f t="shared" si="13"/>
        <v>100000000</v>
      </c>
      <c r="BG18" s="106"/>
      <c r="BH18" s="66">
        <v>50000000</v>
      </c>
      <c r="BI18" s="66">
        <f>'[1]UNIV. LIB.2019'!R26</f>
        <v>0</v>
      </c>
      <c r="BJ18" s="66">
        <f t="shared" si="14"/>
        <v>50000000</v>
      </c>
      <c r="BL18" s="66">
        <f>'[1]Univ Comm Fund'!S121</f>
        <v>34000000</v>
      </c>
      <c r="BM18" s="66">
        <f>'[1]UNIV. LIB.2019'!S26</f>
        <v>0</v>
      </c>
      <c r="BN18" s="66">
        <f t="shared" si="15"/>
        <v>34000000</v>
      </c>
      <c r="BP18" s="66">
        <f>'[1]Univ Comm Fund'!T121</f>
        <v>30000000</v>
      </c>
      <c r="BQ18" s="66">
        <f>'[1]UNIV. LIB.2019'!T26</f>
        <v>0</v>
      </c>
      <c r="BR18" s="66">
        <f t="shared" si="16"/>
        <v>30000000</v>
      </c>
      <c r="BT18" s="66">
        <f>'[1]Univ Comm Fund'!U121</f>
        <v>20000000</v>
      </c>
      <c r="BU18" s="66">
        <f>'[1]UNIV. LIB.2019'!U26</f>
        <v>0</v>
      </c>
      <c r="BV18" s="66">
        <f t="shared" si="17"/>
        <v>20000000</v>
      </c>
      <c r="BX18" s="66">
        <f t="shared" si="18"/>
        <v>436500000</v>
      </c>
      <c r="BY18" s="66">
        <f t="shared" si="18"/>
        <v>89500000</v>
      </c>
      <c r="BZ18" s="66">
        <f t="shared" si="19"/>
        <v>347000000</v>
      </c>
      <c r="CR18" s="166"/>
      <c r="CS18" s="166"/>
      <c r="CT18" s="166"/>
      <c r="CU18" s="166"/>
      <c r="EW18" s="16"/>
      <c r="HM18" s="162"/>
    </row>
    <row r="19" spans="1:221" s="4" customFormat="1" x14ac:dyDescent="0.25">
      <c r="A19" s="164">
        <v>15</v>
      </c>
      <c r="B19" s="164" t="s">
        <v>152</v>
      </c>
      <c r="C19" s="164"/>
      <c r="D19" s="66">
        <f>'[1]Univ Comm Fund'!D122</f>
        <v>3500000</v>
      </c>
      <c r="E19" s="66">
        <f>'[1]UNIV. LIB.2019'!D27</f>
        <v>3500000</v>
      </c>
      <c r="F19" s="66">
        <f t="shared" si="1"/>
        <v>0</v>
      </c>
      <c r="G19" s="66"/>
      <c r="H19" s="66">
        <f>'[1]Univ Comm Fund'!E122</f>
        <v>3500000</v>
      </c>
      <c r="I19" s="66">
        <f>'[1]UNIV. LIB.2019'!E27</f>
        <v>3500000</v>
      </c>
      <c r="J19" s="11">
        <f t="shared" si="2"/>
        <v>0</v>
      </c>
      <c r="K19" s="66"/>
      <c r="L19" s="66">
        <f>'[1]Univ Comm Fund'!F122</f>
        <v>3500000</v>
      </c>
      <c r="M19" s="66">
        <f>'[1]UNIV. LIB.2019'!F27</f>
        <v>3500000</v>
      </c>
      <c r="N19" s="66">
        <f t="shared" si="3"/>
        <v>0</v>
      </c>
      <c r="O19" s="66"/>
      <c r="P19" s="66">
        <f>'[1]Univ Comm Fund'!G122</f>
        <v>3500000</v>
      </c>
      <c r="Q19" s="66">
        <f>'[1]UNIV. LIB.2019'!G27</f>
        <v>3500000</v>
      </c>
      <c r="R19" s="66">
        <f t="shared" si="4"/>
        <v>0</v>
      </c>
      <c r="S19" s="66"/>
      <c r="T19" s="66">
        <f>'[1]Univ Comm Fund'!H122</f>
        <v>5000000</v>
      </c>
      <c r="U19" s="66">
        <f>'[1]UNIV. LIB.2019'!H27</f>
        <v>5000000</v>
      </c>
      <c r="V19" s="66">
        <f t="shared" si="5"/>
        <v>0</v>
      </c>
      <c r="W19" s="66"/>
      <c r="X19" s="66">
        <f>'[1]Univ Comm Fund'!I122</f>
        <v>5000000</v>
      </c>
      <c r="Y19" s="66">
        <f>'[1]UNIV. LIB.2019'!I27</f>
        <v>5000000</v>
      </c>
      <c r="Z19" s="66">
        <f t="shared" si="6"/>
        <v>0</v>
      </c>
      <c r="AA19" s="66"/>
      <c r="AB19" s="66">
        <f>'[1]Univ Comm Fund'!J122</f>
        <v>6500000</v>
      </c>
      <c r="AC19" s="66">
        <f>'[1]UNIV. LIB.2019'!J27</f>
        <v>6500000</v>
      </c>
      <c r="AD19" s="66">
        <f t="shared" si="7"/>
        <v>0</v>
      </c>
      <c r="AE19" s="66"/>
      <c r="AF19" s="66">
        <f>'[1]Univ Comm Fund'!K122</f>
        <v>8500000</v>
      </c>
      <c r="AG19" s="66">
        <f>'[1]UNIV. LIB.2019'!K27</f>
        <v>8500000</v>
      </c>
      <c r="AH19" s="66">
        <f t="shared" si="8"/>
        <v>0</v>
      </c>
      <c r="AI19" s="66"/>
      <c r="AJ19" s="66">
        <f>'[1]Univ Comm Fund'!L122</f>
        <v>10000000</v>
      </c>
      <c r="AK19" s="66">
        <f>'[1]UNIV. LIB.2019'!L27</f>
        <v>10000000</v>
      </c>
      <c r="AL19" s="88">
        <f t="shared" si="9"/>
        <v>0</v>
      </c>
      <c r="AM19" s="66"/>
      <c r="AN19" s="66">
        <f>'[1]Univ Comm Fund'!M122</f>
        <v>20000000</v>
      </c>
      <c r="AO19" s="66">
        <f>'[1]UNIV. LIB.2019'!M27</f>
        <v>20000000</v>
      </c>
      <c r="AP19" s="66">
        <f t="shared" si="10"/>
        <v>0</v>
      </c>
      <c r="AQ19" s="66"/>
      <c r="AR19" s="66">
        <f>'[1]Univ Comm Fund'!N122</f>
        <v>25000000</v>
      </c>
      <c r="AS19" s="66">
        <f>'[1]UNIV. LIB.2019'!N27</f>
        <v>25000000</v>
      </c>
      <c r="AT19" s="66">
        <f t="shared" si="11"/>
        <v>0</v>
      </c>
      <c r="AU19" s="66"/>
      <c r="AV19" s="66">
        <f>'[1]Univ Comm Fund'!O122</f>
        <v>53000000</v>
      </c>
      <c r="AW19" s="66">
        <f>'[1]UNIV. LIB.2019'!O27</f>
        <v>53000000</v>
      </c>
      <c r="AX19" s="66">
        <f t="shared" si="12"/>
        <v>0</v>
      </c>
      <c r="AY19" s="66"/>
      <c r="AZ19" s="66">
        <f>'[1]Univ Comm Fund'!P122</f>
        <v>60000000</v>
      </c>
      <c r="BA19" s="66">
        <f>'[1]UNIV. LIB.2019'!P27</f>
        <v>60000000</v>
      </c>
      <c r="BB19" s="66">
        <f t="shared" si="0"/>
        <v>0</v>
      </c>
      <c r="BC19" s="106"/>
      <c r="BD19" s="66">
        <v>100000000</v>
      </c>
      <c r="BE19" s="66">
        <f>'[1]UNIV. LIB.2019'!Q27</f>
        <v>100000000</v>
      </c>
      <c r="BF19" s="66">
        <f t="shared" si="13"/>
        <v>0</v>
      </c>
      <c r="BG19" s="106"/>
      <c r="BH19" s="66">
        <v>50000000</v>
      </c>
      <c r="BI19" s="66">
        <f>'[1]UNIV. LIB.2019'!R27</f>
        <v>50000000</v>
      </c>
      <c r="BJ19" s="66">
        <f t="shared" si="14"/>
        <v>0</v>
      </c>
      <c r="BL19" s="66">
        <f>'[1]Univ Comm Fund'!S122</f>
        <v>34000000</v>
      </c>
      <c r="BM19" s="66">
        <f>'[1]UNIV. LIB.2019'!S27</f>
        <v>34000000</v>
      </c>
      <c r="BN19" s="66">
        <f t="shared" si="15"/>
        <v>0</v>
      </c>
      <c r="BP19" s="66">
        <f>'[1]Univ Comm Fund'!T122</f>
        <v>30000000</v>
      </c>
      <c r="BQ19" s="66">
        <f>'[1]UNIV. LIB.2019'!T27</f>
        <v>0</v>
      </c>
      <c r="BR19" s="66">
        <f t="shared" si="16"/>
        <v>30000000</v>
      </c>
      <c r="BT19" s="66">
        <f>'[1]Univ Comm Fund'!U122</f>
        <v>20000000</v>
      </c>
      <c r="BU19" s="66">
        <f>'[1]UNIV. LIB.2019'!U27</f>
        <v>0</v>
      </c>
      <c r="BV19" s="66">
        <f t="shared" si="17"/>
        <v>20000000</v>
      </c>
      <c r="BX19" s="66">
        <f t="shared" si="18"/>
        <v>441000000</v>
      </c>
      <c r="BY19" s="66">
        <f t="shared" si="18"/>
        <v>391000000</v>
      </c>
      <c r="BZ19" s="66">
        <f t="shared" si="19"/>
        <v>50000000</v>
      </c>
      <c r="CA19" s="106"/>
      <c r="CC19" s="106"/>
      <c r="CD19" s="106"/>
      <c r="CE19" s="106"/>
      <c r="CR19" s="166"/>
      <c r="CS19" s="166"/>
      <c r="CT19" s="166"/>
      <c r="CU19" s="166"/>
      <c r="EW19" s="16"/>
      <c r="HM19" s="162"/>
    </row>
    <row r="20" spans="1:221" s="4" customFormat="1" x14ac:dyDescent="0.25">
      <c r="A20" s="164">
        <v>16</v>
      </c>
      <c r="B20" s="164" t="s">
        <v>80</v>
      </c>
      <c r="C20" s="164"/>
      <c r="D20" s="66">
        <f>'[1]Univ Comm Fund'!D123</f>
        <v>3500000</v>
      </c>
      <c r="E20" s="66">
        <f>'[1]UNIV. LIB.2019'!D28</f>
        <v>3500000</v>
      </c>
      <c r="F20" s="66">
        <f t="shared" si="1"/>
        <v>0</v>
      </c>
      <c r="G20" s="66"/>
      <c r="H20" s="66">
        <f>'[1]Univ Comm Fund'!E123</f>
        <v>3500000</v>
      </c>
      <c r="I20" s="66">
        <f>'[1]UNIV. LIB.2019'!E28</f>
        <v>3500000</v>
      </c>
      <c r="J20" s="11">
        <f t="shared" si="2"/>
        <v>0</v>
      </c>
      <c r="K20" s="66"/>
      <c r="L20" s="66">
        <f>'[1]Univ Comm Fund'!F123</f>
        <v>3500000</v>
      </c>
      <c r="M20" s="66">
        <f>'[1]UNIV. LIB.2019'!F28</f>
        <v>3500000</v>
      </c>
      <c r="N20" s="66">
        <f t="shared" si="3"/>
        <v>0</v>
      </c>
      <c r="O20" s="66"/>
      <c r="P20" s="66">
        <f>'[1]Univ Comm Fund'!G123</f>
        <v>3500000</v>
      </c>
      <c r="Q20" s="66">
        <f>'[1]UNIV. LIB.2019'!G28</f>
        <v>3500000</v>
      </c>
      <c r="R20" s="66">
        <f t="shared" si="4"/>
        <v>0</v>
      </c>
      <c r="S20" s="66"/>
      <c r="T20" s="66">
        <f>'[1]Univ Comm Fund'!H123</f>
        <v>5000000</v>
      </c>
      <c r="U20" s="66">
        <f>'[1]UNIV. LIB.2019'!H28</f>
        <v>5000000</v>
      </c>
      <c r="V20" s="66">
        <f t="shared" si="5"/>
        <v>0</v>
      </c>
      <c r="W20" s="66"/>
      <c r="X20" s="66">
        <f>'[1]Univ Comm Fund'!I123</f>
        <v>5000000</v>
      </c>
      <c r="Y20" s="66">
        <f>'[1]UNIV. LIB.2019'!I28</f>
        <v>5000000</v>
      </c>
      <c r="Z20" s="66">
        <f t="shared" si="6"/>
        <v>0</v>
      </c>
      <c r="AA20" s="66"/>
      <c r="AB20" s="66">
        <f>'[1]Univ Comm Fund'!J123</f>
        <v>6500000</v>
      </c>
      <c r="AC20" s="66">
        <f>'[1]UNIV. LIB.2019'!J28</f>
        <v>6500000</v>
      </c>
      <c r="AD20" s="66">
        <f t="shared" si="7"/>
        <v>0</v>
      </c>
      <c r="AE20" s="66"/>
      <c r="AF20" s="66">
        <f>'[1]Univ Comm Fund'!K123</f>
        <v>10000000</v>
      </c>
      <c r="AG20" s="66">
        <f>'[1]UNIV. LIB.2019'!K28</f>
        <v>10000000</v>
      </c>
      <c r="AH20" s="66">
        <f t="shared" si="8"/>
        <v>0</v>
      </c>
      <c r="AI20" s="66"/>
      <c r="AJ20" s="66">
        <f>'[1]Univ Comm Fund'!L123</f>
        <v>10000000</v>
      </c>
      <c r="AK20" s="66">
        <f>'[1]UNIV. LIB.2019'!L28</f>
        <v>10000000</v>
      </c>
      <c r="AL20" s="88">
        <f t="shared" si="9"/>
        <v>0</v>
      </c>
      <c r="AM20" s="66"/>
      <c r="AN20" s="66">
        <f>'[1]Univ Comm Fund'!M123</f>
        <v>20000000</v>
      </c>
      <c r="AO20" s="66">
        <f>'[1]UNIV. LIB.2019'!M28</f>
        <v>20000000</v>
      </c>
      <c r="AP20" s="66">
        <f t="shared" si="10"/>
        <v>0</v>
      </c>
      <c r="AQ20" s="66"/>
      <c r="AR20" s="66">
        <f>'[1]Univ Comm Fund'!N123</f>
        <v>25000000</v>
      </c>
      <c r="AS20" s="66">
        <f>'[1]UNIV. LIB.2019'!N28</f>
        <v>21250000</v>
      </c>
      <c r="AT20" s="66">
        <f t="shared" si="11"/>
        <v>3750000</v>
      </c>
      <c r="AU20" s="66"/>
      <c r="AV20" s="66">
        <f>'[1]Univ Comm Fund'!O123</f>
        <v>53000000</v>
      </c>
      <c r="AW20" s="66">
        <f>'[1]UNIV. LIB.2019'!O28</f>
        <v>45050000</v>
      </c>
      <c r="AX20" s="66">
        <f t="shared" si="12"/>
        <v>7950000</v>
      </c>
      <c r="AY20" s="66"/>
      <c r="AZ20" s="66">
        <f>'[1]Univ Comm Fund'!P123</f>
        <v>60000000</v>
      </c>
      <c r="BA20" s="66">
        <f>'[1]UNIV. LIB.2019'!P28</f>
        <v>51000000</v>
      </c>
      <c r="BB20" s="66">
        <f t="shared" si="0"/>
        <v>9000000</v>
      </c>
      <c r="BC20" s="106"/>
      <c r="BD20" s="66">
        <v>100000000</v>
      </c>
      <c r="BE20" s="66">
        <f>'[1]UNIV. LIB.2019'!Q28</f>
        <v>85000000</v>
      </c>
      <c r="BF20" s="66">
        <f t="shared" si="13"/>
        <v>15000000</v>
      </c>
      <c r="BG20" s="106"/>
      <c r="BH20" s="66">
        <v>50000000</v>
      </c>
      <c r="BI20" s="66">
        <f>'[1]UNIV. LIB.2019'!R28</f>
        <v>0</v>
      </c>
      <c r="BJ20" s="66">
        <f t="shared" si="14"/>
        <v>50000000</v>
      </c>
      <c r="BL20" s="66">
        <f>'[1]Univ Comm Fund'!S123</f>
        <v>34000000</v>
      </c>
      <c r="BM20" s="66">
        <f>'[1]UNIV. LIB.2019'!S28</f>
        <v>0</v>
      </c>
      <c r="BN20" s="66">
        <f t="shared" si="15"/>
        <v>34000000</v>
      </c>
      <c r="BP20" s="66">
        <f>'[1]Univ Comm Fund'!T123</f>
        <v>30000000</v>
      </c>
      <c r="BQ20" s="66">
        <f>'[1]UNIV. LIB.2019'!T28</f>
        <v>0</v>
      </c>
      <c r="BR20" s="66">
        <f t="shared" si="16"/>
        <v>30000000</v>
      </c>
      <c r="BT20" s="66">
        <f>'[1]Univ Comm Fund'!U123</f>
        <v>20000000</v>
      </c>
      <c r="BU20" s="66">
        <f>'[1]UNIV. LIB.2019'!U28</f>
        <v>0</v>
      </c>
      <c r="BV20" s="66">
        <f t="shared" si="17"/>
        <v>20000000</v>
      </c>
      <c r="BX20" s="66">
        <f t="shared" si="18"/>
        <v>442500000</v>
      </c>
      <c r="BY20" s="66">
        <f t="shared" si="18"/>
        <v>272800000</v>
      </c>
      <c r="BZ20" s="66">
        <f t="shared" si="19"/>
        <v>169700000</v>
      </c>
      <c r="CR20" s="166"/>
      <c r="CS20" s="166"/>
      <c r="CT20" s="166"/>
      <c r="CU20" s="166"/>
      <c r="EW20" s="16"/>
      <c r="HM20" s="162"/>
    </row>
    <row r="21" spans="1:221" s="4" customFormat="1" x14ac:dyDescent="0.25">
      <c r="A21" s="164">
        <v>17</v>
      </c>
      <c r="B21" s="164" t="s">
        <v>153</v>
      </c>
      <c r="C21" s="164"/>
      <c r="D21" s="66">
        <f>'[1]Univ Comm Fund'!D124</f>
        <v>3500000</v>
      </c>
      <c r="E21" s="66">
        <f>'[1]UNIV. LIB.2019'!D29</f>
        <v>3500000</v>
      </c>
      <c r="F21" s="66">
        <f t="shared" si="1"/>
        <v>0</v>
      </c>
      <c r="G21" s="66"/>
      <c r="H21" s="66">
        <f>'[1]Univ Comm Fund'!E124</f>
        <v>3500000</v>
      </c>
      <c r="I21" s="66">
        <f>'[1]UNIV. LIB.2019'!E29</f>
        <v>3500000</v>
      </c>
      <c r="J21" s="11">
        <f t="shared" si="2"/>
        <v>0</v>
      </c>
      <c r="K21" s="66"/>
      <c r="L21" s="66">
        <f>'[1]Univ Comm Fund'!F124</f>
        <v>3500000</v>
      </c>
      <c r="M21" s="66">
        <f>'[1]UNIV. LIB.2019'!F29</f>
        <v>3500000</v>
      </c>
      <c r="N21" s="66">
        <f t="shared" si="3"/>
        <v>0</v>
      </c>
      <c r="O21" s="66"/>
      <c r="P21" s="66">
        <f>'[1]Univ Comm Fund'!G124</f>
        <v>3500000</v>
      </c>
      <c r="Q21" s="66">
        <f>'[1]UNIV. LIB.2019'!G29</f>
        <v>3500000</v>
      </c>
      <c r="R21" s="66">
        <f t="shared" si="4"/>
        <v>0</v>
      </c>
      <c r="S21" s="66"/>
      <c r="T21" s="66">
        <f>'[1]Univ Comm Fund'!H124</f>
        <v>5000000</v>
      </c>
      <c r="U21" s="66">
        <f>'[1]UNIV. LIB.2019'!H29</f>
        <v>5000000</v>
      </c>
      <c r="V21" s="66">
        <f t="shared" si="5"/>
        <v>0</v>
      </c>
      <c r="W21" s="66"/>
      <c r="X21" s="66">
        <f>'[1]Univ Comm Fund'!I124</f>
        <v>5000000</v>
      </c>
      <c r="Y21" s="66">
        <f>'[1]UNIV. LIB.2019'!I29</f>
        <v>5000000</v>
      </c>
      <c r="Z21" s="66">
        <f t="shared" si="6"/>
        <v>0</v>
      </c>
      <c r="AA21" s="66"/>
      <c r="AB21" s="66">
        <f>'[1]Univ Comm Fund'!J124</f>
        <v>6500000</v>
      </c>
      <c r="AC21" s="66">
        <f>'[1]UNIV. LIB.2019'!J29</f>
        <v>6500000</v>
      </c>
      <c r="AD21" s="66">
        <f t="shared" si="7"/>
        <v>0</v>
      </c>
      <c r="AE21" s="66"/>
      <c r="AF21" s="66">
        <f>'[1]Univ Comm Fund'!K124</f>
        <v>10000000</v>
      </c>
      <c r="AG21" s="66">
        <f>'[1]UNIV. LIB.2019'!K29</f>
        <v>10000000</v>
      </c>
      <c r="AH21" s="66">
        <f t="shared" si="8"/>
        <v>0</v>
      </c>
      <c r="AI21" s="66"/>
      <c r="AJ21" s="66">
        <f>'[1]Univ Comm Fund'!L124</f>
        <v>0</v>
      </c>
      <c r="AK21" s="66">
        <f>'[1]UNIV. LIB.2019'!L29</f>
        <v>0</v>
      </c>
      <c r="AL21" s="88">
        <f t="shared" si="9"/>
        <v>0</v>
      </c>
      <c r="AM21" s="66"/>
      <c r="AN21" s="66">
        <f>'[1]Univ Comm Fund'!M124</f>
        <v>0</v>
      </c>
      <c r="AO21" s="66">
        <f>'[1]UNIV. LIB.2019'!M29</f>
        <v>0</v>
      </c>
      <c r="AP21" s="66">
        <f t="shared" si="10"/>
        <v>0</v>
      </c>
      <c r="AQ21" s="66"/>
      <c r="AR21" s="66">
        <f>'[1]Univ Comm Fund'!N124</f>
        <v>25000000</v>
      </c>
      <c r="AS21" s="66">
        <f>'[1]UNIV. LIB.2019'!N29</f>
        <v>25000000</v>
      </c>
      <c r="AT21" s="66">
        <f t="shared" si="11"/>
        <v>0</v>
      </c>
      <c r="AU21" s="66"/>
      <c r="AV21" s="66">
        <f>'[1]Univ Comm Fund'!O124</f>
        <v>53000000</v>
      </c>
      <c r="AW21" s="66">
        <f>'[1]UNIV. LIB.2019'!O29</f>
        <v>53000000</v>
      </c>
      <c r="AX21" s="66">
        <f t="shared" si="12"/>
        <v>0</v>
      </c>
      <c r="AY21" s="66"/>
      <c r="AZ21" s="66">
        <f>'[1]Univ Comm Fund'!P124</f>
        <v>60000000</v>
      </c>
      <c r="BA21" s="66">
        <f>'[1]UNIV. LIB.2019'!P29</f>
        <v>0</v>
      </c>
      <c r="BB21" s="66">
        <f t="shared" si="0"/>
        <v>60000000</v>
      </c>
      <c r="BC21" s="106"/>
      <c r="BD21" s="66">
        <v>100000000</v>
      </c>
      <c r="BE21" s="66">
        <f>'[1]UNIV. LIB.2019'!Q29</f>
        <v>0</v>
      </c>
      <c r="BF21" s="66">
        <f t="shared" si="13"/>
        <v>100000000</v>
      </c>
      <c r="BG21" s="106"/>
      <c r="BH21" s="66">
        <v>50000000</v>
      </c>
      <c r="BI21" s="66">
        <f>'[1]UNIV. LIB.2019'!R29</f>
        <v>0</v>
      </c>
      <c r="BJ21" s="66">
        <f t="shared" si="14"/>
        <v>50000000</v>
      </c>
      <c r="BL21" s="66">
        <f>'[1]Univ Comm Fund'!S124</f>
        <v>34000000</v>
      </c>
      <c r="BM21" s="66">
        <f>'[1]UNIV. LIB.2019'!S29</f>
        <v>0</v>
      </c>
      <c r="BN21" s="66">
        <f t="shared" si="15"/>
        <v>34000000</v>
      </c>
      <c r="BP21" s="66">
        <f>'[1]Univ Comm Fund'!T124</f>
        <v>30000000</v>
      </c>
      <c r="BQ21" s="66">
        <f>'[1]UNIV. LIB.2019'!T29</f>
        <v>0</v>
      </c>
      <c r="BR21" s="66">
        <f t="shared" si="16"/>
        <v>30000000</v>
      </c>
      <c r="BT21" s="66">
        <f>'[1]Univ Comm Fund'!U124</f>
        <v>20000000</v>
      </c>
      <c r="BU21" s="66">
        <f>'[1]UNIV. LIB.2019'!U29</f>
        <v>0</v>
      </c>
      <c r="BV21" s="66">
        <f t="shared" si="17"/>
        <v>20000000</v>
      </c>
      <c r="BX21" s="66">
        <f t="shared" si="18"/>
        <v>412500000</v>
      </c>
      <c r="BY21" s="66">
        <f t="shared" si="18"/>
        <v>118500000</v>
      </c>
      <c r="BZ21" s="66">
        <f t="shared" si="19"/>
        <v>294000000</v>
      </c>
      <c r="CR21" s="166"/>
      <c r="CS21" s="166"/>
      <c r="CT21" s="166"/>
      <c r="CU21" s="166"/>
      <c r="EW21" s="16"/>
      <c r="HM21" s="162"/>
    </row>
    <row r="22" spans="1:221" s="4" customFormat="1" x14ac:dyDescent="0.25">
      <c r="A22" s="164"/>
      <c r="B22" s="164"/>
      <c r="C22" s="164"/>
      <c r="D22" s="66"/>
      <c r="E22" s="66"/>
      <c r="F22" s="66"/>
      <c r="G22" s="66"/>
      <c r="H22" s="66"/>
      <c r="I22" s="66"/>
      <c r="J22" s="11"/>
      <c r="K22" s="66"/>
      <c r="L22" s="66"/>
      <c r="M22" s="66"/>
      <c r="N22" s="66"/>
      <c r="O22" s="66"/>
      <c r="P22" s="66"/>
      <c r="Q22" s="66"/>
      <c r="R22" s="66"/>
      <c r="S22" s="66"/>
      <c r="T22" s="66"/>
      <c r="U22" s="66"/>
      <c r="V22" s="66"/>
      <c r="W22" s="66"/>
      <c r="X22" s="66"/>
      <c r="Y22" s="66"/>
      <c r="Z22" s="66"/>
      <c r="AA22" s="66"/>
      <c r="AB22" s="66"/>
      <c r="AC22" s="66"/>
      <c r="AD22" s="66"/>
      <c r="AE22" s="66"/>
      <c r="AF22" s="66"/>
      <c r="AG22" s="66"/>
      <c r="AH22" s="66"/>
      <c r="AI22" s="66"/>
      <c r="AJ22" s="66"/>
      <c r="AK22" s="66"/>
      <c r="AL22" s="88"/>
      <c r="AM22" s="66"/>
      <c r="AN22" s="66"/>
      <c r="AO22" s="66"/>
      <c r="AP22" s="66"/>
      <c r="AQ22" s="66"/>
      <c r="AR22" s="66"/>
      <c r="AS22" s="66"/>
      <c r="AT22" s="66"/>
      <c r="AU22" s="66"/>
      <c r="AV22" s="66"/>
      <c r="AW22" s="66"/>
      <c r="AX22" s="66"/>
      <c r="AY22" s="66"/>
      <c r="AZ22" s="66"/>
      <c r="BA22" s="66"/>
      <c r="BB22" s="66"/>
      <c r="BC22" s="106"/>
      <c r="BD22" s="66"/>
      <c r="BE22" s="66"/>
      <c r="BF22" s="66"/>
      <c r="BG22" s="106"/>
      <c r="BH22" s="66"/>
      <c r="BI22" s="66"/>
      <c r="BJ22" s="66"/>
      <c r="BL22" s="66"/>
      <c r="BM22" s="66"/>
      <c r="BN22" s="66"/>
      <c r="BP22" s="66"/>
      <c r="BQ22" s="66"/>
      <c r="BR22" s="66"/>
      <c r="BT22" s="66"/>
      <c r="BU22" s="66"/>
      <c r="BV22" s="66"/>
      <c r="BX22" s="66"/>
      <c r="BY22" s="66"/>
      <c r="BZ22" s="66"/>
      <c r="CR22" s="166"/>
      <c r="CS22" s="166"/>
      <c r="CT22" s="166"/>
      <c r="CU22" s="166"/>
      <c r="EW22" s="16"/>
      <c r="HM22" s="162"/>
    </row>
    <row r="23" spans="1:221" s="4" customFormat="1" x14ac:dyDescent="0.25">
      <c r="A23" s="164"/>
      <c r="B23" s="164"/>
      <c r="C23" s="164"/>
      <c r="D23" s="66"/>
      <c r="E23" s="66"/>
      <c r="F23" s="66"/>
      <c r="G23" s="66"/>
      <c r="H23" s="66"/>
      <c r="I23" s="66"/>
      <c r="J23" s="11"/>
      <c r="K23" s="66"/>
      <c r="L23" s="66"/>
      <c r="M23" s="66"/>
      <c r="N23" s="66"/>
      <c r="O23" s="66"/>
      <c r="P23" s="66"/>
      <c r="Q23" s="66"/>
      <c r="R23" s="66"/>
      <c r="S23" s="66"/>
      <c r="T23" s="66"/>
      <c r="U23" s="66"/>
      <c r="V23" s="66"/>
      <c r="W23" s="66"/>
      <c r="X23" s="66"/>
      <c r="Y23" s="66"/>
      <c r="Z23" s="66"/>
      <c r="AA23" s="66"/>
      <c r="AB23" s="66"/>
      <c r="AC23" s="66"/>
      <c r="AD23" s="66"/>
      <c r="AE23" s="66"/>
      <c r="AF23" s="66"/>
      <c r="AG23" s="66"/>
      <c r="AH23" s="66"/>
      <c r="AI23" s="66"/>
      <c r="AJ23" s="66"/>
      <c r="AK23" s="66"/>
      <c r="AL23" s="88"/>
      <c r="AM23" s="66"/>
      <c r="AN23" s="66"/>
      <c r="AO23" s="66"/>
      <c r="AP23" s="66"/>
      <c r="AQ23" s="66"/>
      <c r="AR23" s="66"/>
      <c r="AS23" s="66"/>
      <c r="AT23" s="66"/>
      <c r="AU23" s="66"/>
      <c r="AV23" s="66"/>
      <c r="AW23" s="66"/>
      <c r="AX23" s="66"/>
      <c r="AY23" s="66"/>
      <c r="AZ23" s="66"/>
      <c r="BA23" s="66"/>
      <c r="BB23" s="66"/>
      <c r="BC23" s="106"/>
      <c r="BD23" s="66"/>
      <c r="BE23" s="66"/>
      <c r="BF23" s="66"/>
      <c r="BG23" s="106"/>
      <c r="BH23" s="66"/>
      <c r="BI23" s="66"/>
      <c r="BJ23" s="66"/>
      <c r="BL23" s="66"/>
      <c r="BM23" s="66"/>
      <c r="BN23" s="66"/>
      <c r="BP23" s="66"/>
      <c r="BQ23" s="66"/>
      <c r="BR23" s="66"/>
      <c r="BT23" s="66"/>
      <c r="BU23" s="66"/>
      <c r="BV23" s="66"/>
      <c r="BX23" s="66"/>
      <c r="BY23" s="66"/>
      <c r="BZ23" s="66"/>
      <c r="CR23" s="166"/>
      <c r="CS23" s="166"/>
      <c r="CT23" s="166"/>
      <c r="CU23" s="166"/>
      <c r="EW23" s="16"/>
      <c r="HM23" s="162"/>
    </row>
    <row r="24" spans="1:221" s="4" customFormat="1" x14ac:dyDescent="0.25">
      <c r="A24" s="164">
        <v>18</v>
      </c>
      <c r="B24" s="172" t="s">
        <v>154</v>
      </c>
      <c r="C24" s="172"/>
      <c r="D24" s="66">
        <f>'[1]Univ Comm Fund'!D125</f>
        <v>3500000</v>
      </c>
      <c r="E24" s="66">
        <f>'[1]UNIV. LIB.2019'!D30</f>
        <v>3500000</v>
      </c>
      <c r="F24" s="66">
        <f t="shared" si="1"/>
        <v>0</v>
      </c>
      <c r="G24" s="66"/>
      <c r="H24" s="66">
        <f>'[1]Univ Comm Fund'!E125</f>
        <v>3500000</v>
      </c>
      <c r="I24" s="66">
        <f>'[1]UNIV. LIB.2019'!E30</f>
        <v>3500000</v>
      </c>
      <c r="J24" s="11">
        <f t="shared" si="2"/>
        <v>0</v>
      </c>
      <c r="K24" s="66"/>
      <c r="L24" s="66">
        <f>'[1]Univ Comm Fund'!F125</f>
        <v>3500000</v>
      </c>
      <c r="M24" s="66">
        <f>'[1]UNIV. LIB.2019'!F30</f>
        <v>3500000</v>
      </c>
      <c r="N24" s="66">
        <f t="shared" si="3"/>
        <v>0</v>
      </c>
      <c r="O24" s="66"/>
      <c r="P24" s="66">
        <f>'[1]Univ Comm Fund'!G125</f>
        <v>3500000</v>
      </c>
      <c r="Q24" s="66">
        <f>'[1]UNIV. LIB.2019'!G30</f>
        <v>3500000</v>
      </c>
      <c r="R24" s="66">
        <f t="shared" si="4"/>
        <v>0</v>
      </c>
      <c r="S24" s="66"/>
      <c r="T24" s="66">
        <f>'[1]Univ Comm Fund'!H125</f>
        <v>5000000</v>
      </c>
      <c r="U24" s="66">
        <f>'[1]UNIV. LIB.2019'!H30</f>
        <v>5000000</v>
      </c>
      <c r="V24" s="66">
        <f t="shared" si="5"/>
        <v>0</v>
      </c>
      <c r="W24" s="66"/>
      <c r="X24" s="66">
        <f>'[1]Univ Comm Fund'!I125</f>
        <v>5000000</v>
      </c>
      <c r="Y24" s="66">
        <f>'[1]UNIV. LIB.2019'!I30</f>
        <v>5000000</v>
      </c>
      <c r="Z24" s="66">
        <f t="shared" si="6"/>
        <v>0</v>
      </c>
      <c r="AA24" s="66"/>
      <c r="AB24" s="66">
        <f>'[1]Univ Comm Fund'!J125</f>
        <v>6500000</v>
      </c>
      <c r="AC24" s="66">
        <f>'[1]UNIV. LIB.2019'!J30</f>
        <v>6500000</v>
      </c>
      <c r="AD24" s="66">
        <f t="shared" si="7"/>
        <v>0</v>
      </c>
      <c r="AE24" s="66"/>
      <c r="AF24" s="66">
        <f>'[1]Univ Comm Fund'!K125</f>
        <v>10000000</v>
      </c>
      <c r="AG24" s="66">
        <f>'[1]UNIV. LIB.2019'!K30</f>
        <v>10000000</v>
      </c>
      <c r="AH24" s="66">
        <f t="shared" si="8"/>
        <v>0</v>
      </c>
      <c r="AI24" s="66"/>
      <c r="AJ24" s="66">
        <f>'[1]Univ Comm Fund'!L125</f>
        <v>10000000</v>
      </c>
      <c r="AK24" s="66">
        <f>'[1]UNIV. LIB.2019'!L30</f>
        <v>10000000</v>
      </c>
      <c r="AL24" s="88">
        <f t="shared" si="9"/>
        <v>0</v>
      </c>
      <c r="AM24" s="66"/>
      <c r="AN24" s="66">
        <f>'[1]Univ Comm Fund'!M125</f>
        <v>20000000</v>
      </c>
      <c r="AO24" s="66">
        <f>'[1]UNIV. LIB.2019'!M30</f>
        <v>20000000</v>
      </c>
      <c r="AP24" s="66">
        <f t="shared" si="10"/>
        <v>0</v>
      </c>
      <c r="AQ24" s="66"/>
      <c r="AR24" s="66">
        <f>'[1]Univ Comm Fund'!N125</f>
        <v>25000000</v>
      </c>
      <c r="AS24" s="66">
        <f>'[1]UNIV. LIB.2019'!N30</f>
        <v>25000000</v>
      </c>
      <c r="AT24" s="66">
        <f t="shared" si="11"/>
        <v>0</v>
      </c>
      <c r="AU24" s="66"/>
      <c r="AV24" s="66">
        <f>'[1]Univ Comm Fund'!O125</f>
        <v>53000000</v>
      </c>
      <c r="AW24" s="66">
        <f>'[1]UNIV. LIB.2019'!O30</f>
        <v>53000000</v>
      </c>
      <c r="AX24" s="66">
        <f t="shared" si="12"/>
        <v>0</v>
      </c>
      <c r="AY24" s="66"/>
      <c r="AZ24" s="66">
        <f>'[1]Univ Comm Fund'!P125</f>
        <v>60000000</v>
      </c>
      <c r="BA24" s="66">
        <f>'[1]UNIV. LIB.2019'!P30</f>
        <v>60000000</v>
      </c>
      <c r="BB24" s="66">
        <f t="shared" si="0"/>
        <v>0</v>
      </c>
      <c r="BC24" s="106"/>
      <c r="BD24" s="66">
        <v>100000000</v>
      </c>
      <c r="BE24" s="66">
        <f>'[1]UNIV. LIB.2019'!Q30</f>
        <v>0</v>
      </c>
      <c r="BF24" s="66">
        <f t="shared" si="13"/>
        <v>100000000</v>
      </c>
      <c r="BG24" s="106"/>
      <c r="BH24" s="66">
        <v>50000000</v>
      </c>
      <c r="BI24" s="66">
        <f>'[1]UNIV. LIB.2019'!R30</f>
        <v>0</v>
      </c>
      <c r="BJ24" s="66">
        <f t="shared" si="14"/>
        <v>50000000</v>
      </c>
      <c r="BL24" s="66">
        <f>'[1]Univ Comm Fund'!S125</f>
        <v>34000000</v>
      </c>
      <c r="BM24" s="66">
        <f>'[1]UNIV. LIB.2019'!S30</f>
        <v>0</v>
      </c>
      <c r="BN24" s="66">
        <f t="shared" si="15"/>
        <v>34000000</v>
      </c>
      <c r="BP24" s="66">
        <f>'[1]Univ Comm Fund'!T125</f>
        <v>30000000</v>
      </c>
      <c r="BQ24" s="66">
        <f>'[1]UNIV. LIB.2019'!T30</f>
        <v>0</v>
      </c>
      <c r="BR24" s="66">
        <f t="shared" si="16"/>
        <v>30000000</v>
      </c>
      <c r="BT24" s="66">
        <f>'[1]Univ Comm Fund'!U125</f>
        <v>20000000</v>
      </c>
      <c r="BU24" s="66">
        <f>'[1]UNIV. LIB.2019'!U30</f>
        <v>0</v>
      </c>
      <c r="BV24" s="66">
        <f t="shared" si="17"/>
        <v>20000000</v>
      </c>
      <c r="BX24" s="66">
        <f t="shared" si="18"/>
        <v>442500000</v>
      </c>
      <c r="BY24" s="66">
        <f t="shared" si="18"/>
        <v>208500000</v>
      </c>
      <c r="BZ24" s="66">
        <f t="shared" si="19"/>
        <v>234000000</v>
      </c>
      <c r="CR24" s="166"/>
      <c r="CS24" s="166"/>
      <c r="CT24" s="166"/>
      <c r="CU24" s="166"/>
      <c r="EW24" s="16"/>
      <c r="HM24" s="162"/>
    </row>
    <row r="25" spans="1:221" s="4" customFormat="1" x14ac:dyDescent="0.25">
      <c r="A25" s="164">
        <v>19</v>
      </c>
      <c r="B25" s="164" t="s">
        <v>83</v>
      </c>
      <c r="C25" s="164"/>
      <c r="D25" s="66">
        <f>'[1]Univ Comm Fund'!D126</f>
        <v>3500000</v>
      </c>
      <c r="E25" s="66">
        <f>'[1]UNIV. LIB.2019'!D31</f>
        <v>3500000</v>
      </c>
      <c r="F25" s="66">
        <f t="shared" si="1"/>
        <v>0</v>
      </c>
      <c r="G25" s="66"/>
      <c r="H25" s="66">
        <f>'[1]Univ Comm Fund'!E126</f>
        <v>3500000</v>
      </c>
      <c r="I25" s="66">
        <f>'[1]UNIV. LIB.2019'!E31</f>
        <v>3500000</v>
      </c>
      <c r="J25" s="11">
        <f t="shared" si="2"/>
        <v>0</v>
      </c>
      <c r="K25" s="66"/>
      <c r="L25" s="66">
        <f>'[1]Univ Comm Fund'!F126</f>
        <v>3500000</v>
      </c>
      <c r="M25" s="66">
        <f>'[1]UNIV. LIB.2019'!F31</f>
        <v>3500000</v>
      </c>
      <c r="N25" s="66">
        <f t="shared" si="3"/>
        <v>0</v>
      </c>
      <c r="O25" s="66"/>
      <c r="P25" s="66">
        <f>'[1]Univ Comm Fund'!G126</f>
        <v>3500000</v>
      </c>
      <c r="Q25" s="66">
        <f>'[1]UNIV. LIB.2019'!G31</f>
        <v>3500000</v>
      </c>
      <c r="R25" s="66">
        <f t="shared" si="4"/>
        <v>0</v>
      </c>
      <c r="S25" s="66"/>
      <c r="T25" s="66">
        <f>'[1]Univ Comm Fund'!H126</f>
        <v>5000000</v>
      </c>
      <c r="U25" s="66">
        <f>'[1]UNIV. LIB.2019'!H31</f>
        <v>5000000</v>
      </c>
      <c r="V25" s="66">
        <f t="shared" si="5"/>
        <v>0</v>
      </c>
      <c r="W25" s="66"/>
      <c r="X25" s="66">
        <f>'[1]Univ Comm Fund'!I126</f>
        <v>5000000</v>
      </c>
      <c r="Y25" s="66">
        <f>'[1]UNIV. LIB.2019'!I31</f>
        <v>5000000</v>
      </c>
      <c r="Z25" s="66">
        <f t="shared" si="6"/>
        <v>0</v>
      </c>
      <c r="AA25" s="66"/>
      <c r="AB25" s="66">
        <f>'[1]Univ Comm Fund'!J126</f>
        <v>6500000</v>
      </c>
      <c r="AC25" s="66">
        <f>'[1]UNIV. LIB.2019'!J31</f>
        <v>6500000</v>
      </c>
      <c r="AD25" s="66">
        <f t="shared" si="7"/>
        <v>0</v>
      </c>
      <c r="AE25" s="66"/>
      <c r="AF25" s="66">
        <f>'[1]Univ Comm Fund'!K126</f>
        <v>10000000</v>
      </c>
      <c r="AG25" s="66">
        <f>'[1]UNIV. LIB.2019'!K31</f>
        <v>10000000</v>
      </c>
      <c r="AH25" s="66">
        <f t="shared" si="8"/>
        <v>0</v>
      </c>
      <c r="AI25" s="66"/>
      <c r="AJ25" s="66">
        <f>'[1]Univ Comm Fund'!L126</f>
        <v>8500000</v>
      </c>
      <c r="AK25" s="66">
        <f>'[1]UNIV. LIB.2019'!L31</f>
        <v>8500000</v>
      </c>
      <c r="AL25" s="88">
        <f t="shared" si="9"/>
        <v>0</v>
      </c>
      <c r="AM25" s="66"/>
      <c r="AN25" s="66">
        <f>'[1]Univ Comm Fund'!M126</f>
        <v>17000000</v>
      </c>
      <c r="AO25" s="66">
        <f>'[1]UNIV. LIB.2019'!M31</f>
        <v>17000000</v>
      </c>
      <c r="AP25" s="66">
        <f t="shared" si="10"/>
        <v>0</v>
      </c>
      <c r="AQ25" s="66"/>
      <c r="AR25" s="66">
        <f>'[1]Univ Comm Fund'!N126</f>
        <v>25000000</v>
      </c>
      <c r="AS25" s="66">
        <f>'[1]UNIV. LIB.2019'!N31</f>
        <v>25000000</v>
      </c>
      <c r="AT25" s="66">
        <f t="shared" si="11"/>
        <v>0</v>
      </c>
      <c r="AU25" s="66"/>
      <c r="AV25" s="66">
        <f>'[1]Univ Comm Fund'!O126</f>
        <v>53000000</v>
      </c>
      <c r="AW25" s="66">
        <f>'[1]UNIV. LIB.2019'!O31</f>
        <v>53000000</v>
      </c>
      <c r="AX25" s="66">
        <f t="shared" si="12"/>
        <v>0</v>
      </c>
      <c r="AY25" s="66"/>
      <c r="AZ25" s="66">
        <f>'[1]Univ Comm Fund'!P126</f>
        <v>60000000</v>
      </c>
      <c r="BA25" s="66">
        <f>'[1]UNIV. LIB.2019'!P31</f>
        <v>60000000</v>
      </c>
      <c r="BB25" s="66">
        <f t="shared" si="0"/>
        <v>0</v>
      </c>
      <c r="BC25" s="106"/>
      <c r="BD25" s="66">
        <v>100000000</v>
      </c>
      <c r="BE25" s="66">
        <f>'[1]UNIV. LIB.2019'!Q31</f>
        <v>100000000</v>
      </c>
      <c r="BF25" s="66">
        <f t="shared" si="13"/>
        <v>0</v>
      </c>
      <c r="BG25" s="106"/>
      <c r="BH25" s="66">
        <v>50000000</v>
      </c>
      <c r="BI25" s="66">
        <f>'[1]UNIV. LIB.2019'!R31</f>
        <v>42500000</v>
      </c>
      <c r="BJ25" s="66">
        <f t="shared" si="14"/>
        <v>7500000</v>
      </c>
      <c r="BL25" s="66">
        <f>'[1]Univ Comm Fund'!S126</f>
        <v>34000000</v>
      </c>
      <c r="BM25" s="66">
        <f>'[1]UNIV. LIB.2019'!S31</f>
        <v>28900000</v>
      </c>
      <c r="BN25" s="66">
        <f t="shared" si="15"/>
        <v>5100000</v>
      </c>
      <c r="BP25" s="66">
        <f>'[1]Univ Comm Fund'!T126</f>
        <v>30000000</v>
      </c>
      <c r="BQ25" s="66">
        <f>'[1]UNIV. LIB.2019'!T31</f>
        <v>0</v>
      </c>
      <c r="BR25" s="66">
        <f t="shared" si="16"/>
        <v>30000000</v>
      </c>
      <c r="BT25" s="66">
        <f>'[1]Univ Comm Fund'!U126</f>
        <v>20000000</v>
      </c>
      <c r="BU25" s="66">
        <f>'[1]UNIV. LIB.2019'!U31</f>
        <v>0</v>
      </c>
      <c r="BV25" s="66">
        <f t="shared" si="17"/>
        <v>20000000</v>
      </c>
      <c r="BX25" s="66">
        <f t="shared" si="18"/>
        <v>438000000</v>
      </c>
      <c r="BY25" s="66">
        <f t="shared" si="18"/>
        <v>375400000</v>
      </c>
      <c r="BZ25" s="66">
        <f t="shared" si="19"/>
        <v>62600000</v>
      </c>
      <c r="CR25" s="166"/>
      <c r="CS25" s="166"/>
      <c r="CT25" s="166"/>
      <c r="CU25" s="166"/>
      <c r="EW25" s="16"/>
      <c r="HM25" s="162"/>
    </row>
    <row r="26" spans="1:221" s="4" customFormat="1" x14ac:dyDescent="0.25">
      <c r="A26" s="164">
        <v>20</v>
      </c>
      <c r="B26" s="164" t="s">
        <v>84</v>
      </c>
      <c r="C26" s="164"/>
      <c r="D26" s="66">
        <f>'[1]Univ Comm Fund'!D127</f>
        <v>3500000</v>
      </c>
      <c r="E26" s="66">
        <f>'[1]UNIV. LIB.2019'!D32</f>
        <v>3500000</v>
      </c>
      <c r="F26" s="66">
        <f t="shared" si="1"/>
        <v>0</v>
      </c>
      <c r="G26" s="66"/>
      <c r="H26" s="66">
        <f>'[1]Univ Comm Fund'!E127</f>
        <v>3500000</v>
      </c>
      <c r="I26" s="66">
        <f>'[1]UNIV. LIB.2019'!E32</f>
        <v>3500000</v>
      </c>
      <c r="J26" s="11">
        <f t="shared" si="2"/>
        <v>0</v>
      </c>
      <c r="K26" s="66"/>
      <c r="L26" s="66">
        <f>'[1]Univ Comm Fund'!F127</f>
        <v>3500000</v>
      </c>
      <c r="M26" s="66">
        <f>'[1]UNIV. LIB.2019'!F32</f>
        <v>3500000</v>
      </c>
      <c r="N26" s="66">
        <f t="shared" si="3"/>
        <v>0</v>
      </c>
      <c r="O26" s="66"/>
      <c r="P26" s="66">
        <f>'[1]Univ Comm Fund'!G127</f>
        <v>3500000</v>
      </c>
      <c r="Q26" s="66">
        <f>'[1]UNIV. LIB.2019'!G32</f>
        <v>3500000</v>
      </c>
      <c r="R26" s="66">
        <f t="shared" si="4"/>
        <v>0</v>
      </c>
      <c r="S26" s="66"/>
      <c r="T26" s="66">
        <f>'[1]Univ Comm Fund'!H127</f>
        <v>5000000</v>
      </c>
      <c r="U26" s="66">
        <f>'[1]UNIV. LIB.2019'!H32</f>
        <v>5000000</v>
      </c>
      <c r="V26" s="66">
        <f t="shared" si="5"/>
        <v>0</v>
      </c>
      <c r="W26" s="66"/>
      <c r="X26" s="66">
        <f>'[1]Univ Comm Fund'!I127</f>
        <v>5000000</v>
      </c>
      <c r="Y26" s="66">
        <f>'[1]UNIV. LIB.2019'!I32</f>
        <v>5000000</v>
      </c>
      <c r="Z26" s="66">
        <f t="shared" si="6"/>
        <v>0</v>
      </c>
      <c r="AA26" s="66"/>
      <c r="AB26" s="66">
        <f>'[1]Univ Comm Fund'!J127</f>
        <v>6500000</v>
      </c>
      <c r="AC26" s="66">
        <f>'[1]UNIV. LIB.2019'!J32</f>
        <v>6500000</v>
      </c>
      <c r="AD26" s="66">
        <f t="shared" si="7"/>
        <v>0</v>
      </c>
      <c r="AE26" s="66"/>
      <c r="AF26" s="66">
        <f>'[1]Univ Comm Fund'!K127</f>
        <v>10000000</v>
      </c>
      <c r="AG26" s="66">
        <f>'[1]UNIV. LIB.2019'!K32</f>
        <v>10000000</v>
      </c>
      <c r="AH26" s="66">
        <f t="shared" si="8"/>
        <v>0</v>
      </c>
      <c r="AI26" s="66"/>
      <c r="AJ26" s="66">
        <f>'[1]Univ Comm Fund'!L127</f>
        <v>10000000</v>
      </c>
      <c r="AK26" s="66">
        <f>'[1]UNIV. LIB.2019'!L32</f>
        <v>10000000</v>
      </c>
      <c r="AL26" s="88">
        <f t="shared" si="9"/>
        <v>0</v>
      </c>
      <c r="AM26" s="66"/>
      <c r="AN26" s="66">
        <f>'[1]Univ Comm Fund'!M127</f>
        <v>20000000</v>
      </c>
      <c r="AO26" s="66">
        <f>'[1]UNIV. LIB.2019'!M32</f>
        <v>20000000</v>
      </c>
      <c r="AP26" s="66">
        <f t="shared" si="10"/>
        <v>0</v>
      </c>
      <c r="AQ26" s="66"/>
      <c r="AR26" s="66">
        <f>'[1]Univ Comm Fund'!N127</f>
        <v>25000000</v>
      </c>
      <c r="AS26" s="66">
        <f>'[1]UNIV. LIB.2019'!N32</f>
        <v>25000000</v>
      </c>
      <c r="AT26" s="66">
        <f t="shared" si="11"/>
        <v>0</v>
      </c>
      <c r="AU26" s="66"/>
      <c r="AV26" s="66">
        <f>'[1]Univ Comm Fund'!O127</f>
        <v>53000000</v>
      </c>
      <c r="AW26" s="66">
        <f>'[1]UNIV. LIB.2019'!O32</f>
        <v>53000000</v>
      </c>
      <c r="AX26" s="66">
        <f t="shared" si="12"/>
        <v>0</v>
      </c>
      <c r="AY26" s="66"/>
      <c r="AZ26" s="66">
        <f>'[1]Univ Comm Fund'!P127</f>
        <v>60000000</v>
      </c>
      <c r="BA26" s="66">
        <f>'[1]UNIV. LIB.2019'!P32</f>
        <v>51000000</v>
      </c>
      <c r="BB26" s="66">
        <f t="shared" si="0"/>
        <v>9000000</v>
      </c>
      <c r="BC26" s="106"/>
      <c r="BD26" s="66">
        <v>100000000</v>
      </c>
      <c r="BE26" s="66">
        <f>'[1]UNIV. LIB.2019'!Q32</f>
        <v>85000000</v>
      </c>
      <c r="BF26" s="66">
        <f t="shared" si="13"/>
        <v>15000000</v>
      </c>
      <c r="BG26" s="106"/>
      <c r="BH26" s="66">
        <v>50000000</v>
      </c>
      <c r="BI26" s="66">
        <f>'[1]UNIV. LIB.2019'!R32</f>
        <v>42500000</v>
      </c>
      <c r="BJ26" s="66">
        <f t="shared" si="14"/>
        <v>7500000</v>
      </c>
      <c r="BL26" s="66">
        <f>'[1]Univ Comm Fund'!S127</f>
        <v>34000000</v>
      </c>
      <c r="BM26" s="66">
        <f>'[1]UNIV. LIB.2019'!S32</f>
        <v>0</v>
      </c>
      <c r="BN26" s="66">
        <f t="shared" si="15"/>
        <v>34000000</v>
      </c>
      <c r="BP26" s="66">
        <f>'[1]Univ Comm Fund'!T127</f>
        <v>30000000</v>
      </c>
      <c r="BQ26" s="66">
        <f>'[1]UNIV. LIB.2019'!T32</f>
        <v>0</v>
      </c>
      <c r="BR26" s="66">
        <f t="shared" si="16"/>
        <v>30000000</v>
      </c>
      <c r="BT26" s="66">
        <f>'[1]Univ Comm Fund'!U127</f>
        <v>20000000</v>
      </c>
      <c r="BU26" s="66">
        <f>'[1]UNIV. LIB.2019'!U32</f>
        <v>0</v>
      </c>
      <c r="BV26" s="66">
        <f t="shared" si="17"/>
        <v>20000000</v>
      </c>
      <c r="BX26" s="66">
        <f t="shared" si="18"/>
        <v>442500000</v>
      </c>
      <c r="BY26" s="66">
        <f t="shared" si="18"/>
        <v>327000000</v>
      </c>
      <c r="BZ26" s="66">
        <f t="shared" si="19"/>
        <v>115500000</v>
      </c>
      <c r="CR26" s="166"/>
      <c r="CS26" s="166"/>
      <c r="CT26" s="166"/>
      <c r="CU26" s="166"/>
      <c r="EW26" s="16"/>
      <c r="HM26" s="162"/>
    </row>
    <row r="27" spans="1:221" s="4" customFormat="1" x14ac:dyDescent="0.25">
      <c r="A27" s="164">
        <v>21</v>
      </c>
      <c r="B27" s="164" t="s">
        <v>85</v>
      </c>
      <c r="C27" s="164"/>
      <c r="D27" s="66">
        <f>'[1]Univ Comm Fund'!D128</f>
        <v>3500000</v>
      </c>
      <c r="E27" s="66">
        <f>'[1]UNIV. LIB.2019'!D33</f>
        <v>3500000</v>
      </c>
      <c r="F27" s="66">
        <f t="shared" si="1"/>
        <v>0</v>
      </c>
      <c r="G27" s="66"/>
      <c r="H27" s="66">
        <f>'[1]Univ Comm Fund'!E128</f>
        <v>3500000</v>
      </c>
      <c r="I27" s="66">
        <f>'[1]UNIV. LIB.2019'!E33</f>
        <v>3500000</v>
      </c>
      <c r="J27" s="11">
        <f t="shared" si="2"/>
        <v>0</v>
      </c>
      <c r="K27" s="66"/>
      <c r="L27" s="66">
        <f>'[1]Univ Comm Fund'!F128</f>
        <v>2975000</v>
      </c>
      <c r="M27" s="66">
        <f>'[1]UNIV. LIB.2019'!F33</f>
        <v>2975000</v>
      </c>
      <c r="N27" s="66">
        <f t="shared" si="3"/>
        <v>0</v>
      </c>
      <c r="O27" s="66"/>
      <c r="P27" s="66">
        <f>'[1]Univ Comm Fund'!G128</f>
        <v>2975000</v>
      </c>
      <c r="Q27" s="66">
        <f>'[1]UNIV. LIB.2019'!G33</f>
        <v>2975000</v>
      </c>
      <c r="R27" s="66">
        <f t="shared" si="4"/>
        <v>0</v>
      </c>
      <c r="S27" s="66"/>
      <c r="T27" s="66">
        <f>'[1]Univ Comm Fund'!H128</f>
        <v>4250000</v>
      </c>
      <c r="U27" s="66">
        <f>'[1]UNIV. LIB.2019'!H33</f>
        <v>4250000</v>
      </c>
      <c r="V27" s="66">
        <f t="shared" si="5"/>
        <v>0</v>
      </c>
      <c r="W27" s="66"/>
      <c r="X27" s="66">
        <f>'[1]Univ Comm Fund'!I128</f>
        <v>4250000</v>
      </c>
      <c r="Y27" s="66">
        <f>'[1]UNIV. LIB.2019'!I33</f>
        <v>4250000</v>
      </c>
      <c r="Z27" s="66">
        <f t="shared" si="6"/>
        <v>0</v>
      </c>
      <c r="AA27" s="66"/>
      <c r="AB27" s="66">
        <f>'[1]Univ Comm Fund'!J128</f>
        <v>5525000</v>
      </c>
      <c r="AC27" s="66">
        <f>'[1]UNIV. LIB.2019'!J33</f>
        <v>5525000</v>
      </c>
      <c r="AD27" s="66">
        <f t="shared" si="7"/>
        <v>0</v>
      </c>
      <c r="AE27" s="66"/>
      <c r="AF27" s="66">
        <f>'[1]Univ Comm Fund'!K128</f>
        <v>8500000</v>
      </c>
      <c r="AG27" s="66">
        <f>'[1]UNIV. LIB.2019'!K33</f>
        <v>8500000</v>
      </c>
      <c r="AH27" s="66">
        <f t="shared" si="8"/>
        <v>0</v>
      </c>
      <c r="AI27" s="66"/>
      <c r="AJ27" s="66">
        <f>'[1]Univ Comm Fund'!L128</f>
        <v>10000000</v>
      </c>
      <c r="AK27" s="66">
        <f>'[1]UNIV. LIB.2019'!L33</f>
        <v>10000000</v>
      </c>
      <c r="AL27" s="88">
        <f t="shared" si="9"/>
        <v>0</v>
      </c>
      <c r="AM27" s="66"/>
      <c r="AN27" s="66">
        <f>'[1]Univ Comm Fund'!M128</f>
        <v>20000000</v>
      </c>
      <c r="AO27" s="66">
        <f>'[1]UNIV. LIB.2019'!M33</f>
        <v>20000000</v>
      </c>
      <c r="AP27" s="66">
        <f t="shared" si="10"/>
        <v>0</v>
      </c>
      <c r="AQ27" s="66"/>
      <c r="AR27" s="66">
        <f>'[1]Univ Comm Fund'!N128</f>
        <v>25000000</v>
      </c>
      <c r="AS27" s="66">
        <f>'[1]UNIV. LIB.2019'!N33</f>
        <v>25000000</v>
      </c>
      <c r="AT27" s="66">
        <f t="shared" si="11"/>
        <v>0</v>
      </c>
      <c r="AU27" s="66"/>
      <c r="AV27" s="66">
        <f>'[1]Univ Comm Fund'!O128</f>
        <v>53000000</v>
      </c>
      <c r="AW27" s="66">
        <f>'[1]UNIV. LIB.2019'!O33</f>
        <v>45050000</v>
      </c>
      <c r="AX27" s="66">
        <f t="shared" si="12"/>
        <v>7950000</v>
      </c>
      <c r="AY27" s="66"/>
      <c r="AZ27" s="66">
        <f>'[1]Univ Comm Fund'!P128</f>
        <v>60000000</v>
      </c>
      <c r="BA27" s="66">
        <f>'[1]UNIV. LIB.2019'!P33</f>
        <v>51000000</v>
      </c>
      <c r="BB27" s="66">
        <f t="shared" si="0"/>
        <v>9000000</v>
      </c>
      <c r="BC27" s="106"/>
      <c r="BD27" s="66">
        <v>100000000</v>
      </c>
      <c r="BE27" s="66">
        <f>'[1]UNIV. LIB.2019'!Q33</f>
        <v>85000000</v>
      </c>
      <c r="BF27" s="66">
        <f t="shared" si="13"/>
        <v>15000000</v>
      </c>
      <c r="BG27" s="106"/>
      <c r="BH27" s="66">
        <v>50000000</v>
      </c>
      <c r="BI27" s="66">
        <f>'[1]UNIV. LIB.2019'!R33</f>
        <v>42500000</v>
      </c>
      <c r="BJ27" s="66">
        <f t="shared" si="14"/>
        <v>7500000</v>
      </c>
      <c r="BL27" s="66">
        <f>'[1]Univ Comm Fund'!S128</f>
        <v>34000000</v>
      </c>
      <c r="BM27" s="66">
        <f>'[1]UNIV. LIB.2019'!S33</f>
        <v>0</v>
      </c>
      <c r="BN27" s="66">
        <f t="shared" si="15"/>
        <v>34000000</v>
      </c>
      <c r="BP27" s="66">
        <f>'[1]Univ Comm Fund'!T128</f>
        <v>30000000</v>
      </c>
      <c r="BQ27" s="66">
        <f>'[1]UNIV. LIB.2019'!T33</f>
        <v>0</v>
      </c>
      <c r="BR27" s="66">
        <f t="shared" si="16"/>
        <v>30000000</v>
      </c>
      <c r="BT27" s="66">
        <f>'[1]Univ Comm Fund'!U128</f>
        <v>20000000</v>
      </c>
      <c r="BU27" s="66">
        <f>'[1]UNIV. LIB.2019'!U33</f>
        <v>0</v>
      </c>
      <c r="BV27" s="66">
        <f t="shared" si="17"/>
        <v>20000000</v>
      </c>
      <c r="BX27" s="66">
        <f t="shared" si="18"/>
        <v>437475000</v>
      </c>
      <c r="BY27" s="66">
        <f t="shared" si="18"/>
        <v>314025000</v>
      </c>
      <c r="BZ27" s="66">
        <f t="shared" si="19"/>
        <v>123450000</v>
      </c>
      <c r="CR27" s="166"/>
      <c r="CS27" s="166"/>
      <c r="CT27" s="166"/>
      <c r="CU27" s="166"/>
      <c r="EW27" s="16"/>
      <c r="HM27" s="162"/>
    </row>
    <row r="28" spans="1:221" s="4" customFormat="1" x14ac:dyDescent="0.25">
      <c r="A28" s="164">
        <v>22</v>
      </c>
      <c r="B28" s="164" t="s">
        <v>86</v>
      </c>
      <c r="C28" s="164"/>
      <c r="D28" s="66">
        <f>'[1]Univ Comm Fund'!D129</f>
        <v>3500000</v>
      </c>
      <c r="E28" s="173">
        <f>'[1]UNIV. LIB.2019'!D34</f>
        <v>3500000</v>
      </c>
      <c r="F28" s="66">
        <f t="shared" si="1"/>
        <v>0</v>
      </c>
      <c r="G28" s="173"/>
      <c r="H28" s="173">
        <f>'[1]Univ Comm Fund'!E129</f>
        <v>3500000</v>
      </c>
      <c r="I28" s="173">
        <f>'[1]UNIV. LIB.2019'!E34</f>
        <v>3500000</v>
      </c>
      <c r="J28" s="11">
        <f t="shared" si="2"/>
        <v>0</v>
      </c>
      <c r="K28" s="173"/>
      <c r="L28" s="66">
        <f>'[1]Univ Comm Fund'!F129</f>
        <v>3500000</v>
      </c>
      <c r="M28" s="66">
        <f>'[1]UNIV. LIB.2019'!F34</f>
        <v>3500000</v>
      </c>
      <c r="N28" s="66">
        <f t="shared" si="3"/>
        <v>0</v>
      </c>
      <c r="O28" s="66"/>
      <c r="P28" s="66">
        <f>'[1]Univ Comm Fund'!G129</f>
        <v>3500000</v>
      </c>
      <c r="Q28" s="66">
        <f>'[1]UNIV. LIB.2019'!G34</f>
        <v>3500000</v>
      </c>
      <c r="R28" s="66">
        <f t="shared" si="4"/>
        <v>0</v>
      </c>
      <c r="S28" s="66"/>
      <c r="T28" s="66">
        <f>'[1]Univ Comm Fund'!H129</f>
        <v>5000000</v>
      </c>
      <c r="U28" s="66">
        <f>'[1]UNIV. LIB.2019'!H34</f>
        <v>5000000</v>
      </c>
      <c r="V28" s="66">
        <f t="shared" si="5"/>
        <v>0</v>
      </c>
      <c r="W28" s="66"/>
      <c r="X28" s="66">
        <f>'[1]Univ Comm Fund'!I129</f>
        <v>0</v>
      </c>
      <c r="Y28" s="66">
        <f>'[1]UNIV. LIB.2019'!I34</f>
        <v>0</v>
      </c>
      <c r="Z28" s="66">
        <f t="shared" si="6"/>
        <v>0</v>
      </c>
      <c r="AA28" s="66"/>
      <c r="AB28" s="66">
        <f>'[1]Univ Comm Fund'!J129</f>
        <v>0</v>
      </c>
      <c r="AC28" s="66">
        <f>'[1]UNIV. LIB.2019'!J34</f>
        <v>0</v>
      </c>
      <c r="AD28" s="66">
        <f t="shared" si="7"/>
        <v>0</v>
      </c>
      <c r="AE28" s="66"/>
      <c r="AF28" s="66">
        <f>'[1]Univ Comm Fund'!K129</f>
        <v>0</v>
      </c>
      <c r="AG28" s="66">
        <f>'[1]UNIV. LIB.2019'!K34</f>
        <v>0</v>
      </c>
      <c r="AH28" s="66">
        <f t="shared" si="8"/>
        <v>0</v>
      </c>
      <c r="AI28" s="66"/>
      <c r="AJ28" s="66">
        <f>'[1]Univ Comm Fund'!L129</f>
        <v>0</v>
      </c>
      <c r="AK28" s="66">
        <f>'[1]UNIV. LIB.2019'!L34</f>
        <v>0</v>
      </c>
      <c r="AL28" s="88">
        <f t="shared" si="9"/>
        <v>0</v>
      </c>
      <c r="AM28" s="66"/>
      <c r="AN28" s="66">
        <f>'[1]Univ Comm Fund'!M129</f>
        <v>0</v>
      </c>
      <c r="AO28" s="66">
        <f>'[1]UNIV. LIB.2019'!M34</f>
        <v>0</v>
      </c>
      <c r="AP28" s="66">
        <f t="shared" si="10"/>
        <v>0</v>
      </c>
      <c r="AQ28" s="66"/>
      <c r="AR28" s="66">
        <f>'[1]Univ Comm Fund'!N129</f>
        <v>25000000</v>
      </c>
      <c r="AS28" s="66">
        <f>'[1]UNIV. LIB.2019'!N34</f>
        <v>21250000</v>
      </c>
      <c r="AT28" s="66">
        <f t="shared" si="11"/>
        <v>3750000</v>
      </c>
      <c r="AU28" s="66"/>
      <c r="AV28" s="66">
        <f>'[1]Univ Comm Fund'!O129</f>
        <v>53000000</v>
      </c>
      <c r="AW28" s="66">
        <f>'[1]UNIV. LIB.2019'!O34</f>
        <v>45050000</v>
      </c>
      <c r="AX28" s="66">
        <f t="shared" si="12"/>
        <v>7950000</v>
      </c>
      <c r="AY28" s="66"/>
      <c r="AZ28" s="66">
        <f>'[1]Univ Comm Fund'!P129</f>
        <v>60000000</v>
      </c>
      <c r="BA28" s="66">
        <f>'[1]UNIV. LIB.2019'!P34</f>
        <v>51000000</v>
      </c>
      <c r="BB28" s="66">
        <f t="shared" si="0"/>
        <v>9000000</v>
      </c>
      <c r="BC28" s="106"/>
      <c r="BD28" s="66">
        <v>100000000</v>
      </c>
      <c r="BE28" s="66">
        <f>'[1]UNIV. LIB.2019'!Q34</f>
        <v>85000000</v>
      </c>
      <c r="BF28" s="66">
        <f t="shared" si="13"/>
        <v>15000000</v>
      </c>
      <c r="BG28" s="106"/>
      <c r="BH28" s="66">
        <v>50000000</v>
      </c>
      <c r="BI28" s="66">
        <f>'[1]UNIV. LIB.2019'!R34</f>
        <v>0</v>
      </c>
      <c r="BJ28" s="66">
        <f t="shared" si="14"/>
        <v>50000000</v>
      </c>
      <c r="BL28" s="66">
        <f>'[1]Univ Comm Fund'!S129</f>
        <v>34000000</v>
      </c>
      <c r="BM28" s="66">
        <f>'[1]UNIV. LIB.2019'!S34</f>
        <v>0</v>
      </c>
      <c r="BN28" s="66">
        <f t="shared" si="15"/>
        <v>34000000</v>
      </c>
      <c r="BP28" s="66">
        <f>'[1]Univ Comm Fund'!T129</f>
        <v>30000000</v>
      </c>
      <c r="BQ28" s="66">
        <f>'[1]UNIV. LIB.2019'!T34</f>
        <v>0</v>
      </c>
      <c r="BR28" s="66">
        <f t="shared" si="16"/>
        <v>30000000</v>
      </c>
      <c r="BT28" s="66">
        <f>'[1]Univ Comm Fund'!U129</f>
        <v>20000000</v>
      </c>
      <c r="BU28" s="66">
        <f>'[1]UNIV. LIB.2019'!U34</f>
        <v>0</v>
      </c>
      <c r="BV28" s="66">
        <f t="shared" si="17"/>
        <v>20000000</v>
      </c>
      <c r="BX28" s="66">
        <f t="shared" si="18"/>
        <v>391000000</v>
      </c>
      <c r="BY28" s="66">
        <f t="shared" si="18"/>
        <v>221300000</v>
      </c>
      <c r="BZ28" s="66">
        <f t="shared" si="19"/>
        <v>169700000</v>
      </c>
      <c r="CR28" s="166"/>
      <c r="CS28" s="166"/>
      <c r="CT28" s="166"/>
      <c r="CU28" s="166"/>
      <c r="EW28" s="16"/>
      <c r="HM28" s="162"/>
    </row>
    <row r="29" spans="1:221" s="4" customFormat="1" x14ac:dyDescent="0.25">
      <c r="A29" s="164">
        <v>23</v>
      </c>
      <c r="B29" s="172" t="s">
        <v>155</v>
      </c>
      <c r="C29" s="174"/>
      <c r="D29" s="175">
        <f>'[1]Univ Comm Fund'!D130</f>
        <v>3500000</v>
      </c>
      <c r="E29" s="175">
        <f>'[1]UNIV. LIB.2019'!D35</f>
        <v>3500000</v>
      </c>
      <c r="F29" s="66">
        <f t="shared" si="1"/>
        <v>0</v>
      </c>
      <c r="G29" s="175"/>
      <c r="H29" s="66">
        <f>'[1]Univ Comm Fund'!E130</f>
        <v>2975000</v>
      </c>
      <c r="I29" s="176">
        <f>'[1]UNIV. LIB.2019'!E35</f>
        <v>2975000</v>
      </c>
      <c r="J29" s="11">
        <f t="shared" si="2"/>
        <v>0</v>
      </c>
      <c r="K29" s="176"/>
      <c r="L29" s="176">
        <f>'[1]Univ Comm Fund'!F130</f>
        <v>2975000</v>
      </c>
      <c r="M29" s="66">
        <f>'[1]UNIV. LIB.2019'!F35</f>
        <v>2975000</v>
      </c>
      <c r="N29" s="66">
        <f t="shared" si="3"/>
        <v>0</v>
      </c>
      <c r="O29" s="176"/>
      <c r="P29" s="66">
        <f>'[1]Univ Comm Fund'!G130</f>
        <v>2975000</v>
      </c>
      <c r="Q29" s="66">
        <f>'[1]UNIV. LIB.2019'!G35</f>
        <v>2975000</v>
      </c>
      <c r="R29" s="66">
        <f t="shared" si="4"/>
        <v>0</v>
      </c>
      <c r="S29" s="66"/>
      <c r="T29" s="66">
        <f>'[1]Univ Comm Fund'!H130</f>
        <v>4250000</v>
      </c>
      <c r="U29" s="66">
        <f>'[1]UNIV. LIB.2019'!H35</f>
        <v>4250000</v>
      </c>
      <c r="V29" s="66">
        <f t="shared" si="5"/>
        <v>0</v>
      </c>
      <c r="W29" s="66"/>
      <c r="X29" s="66">
        <f>'[1]Univ Comm Fund'!I130</f>
        <v>5000000</v>
      </c>
      <c r="Y29" s="66">
        <f>'[1]UNIV. LIB.2019'!I35</f>
        <v>5000000</v>
      </c>
      <c r="Z29" s="66">
        <f t="shared" si="6"/>
        <v>0</v>
      </c>
      <c r="AA29" s="66"/>
      <c r="AB29" s="66">
        <f>'[1]Univ Comm Fund'!J130</f>
        <v>6500000</v>
      </c>
      <c r="AC29" s="66">
        <f>'[1]UNIV. LIB.2019'!J35</f>
        <v>6500000</v>
      </c>
      <c r="AD29" s="66">
        <f t="shared" si="7"/>
        <v>0</v>
      </c>
      <c r="AE29" s="66"/>
      <c r="AF29" s="66">
        <f>'[1]Univ Comm Fund'!K130</f>
        <v>10000000</v>
      </c>
      <c r="AG29" s="66">
        <f>'[1]UNIV. LIB.2019'!K35</f>
        <v>10000000</v>
      </c>
      <c r="AH29" s="66">
        <f t="shared" si="8"/>
        <v>0</v>
      </c>
      <c r="AI29" s="66"/>
      <c r="AJ29" s="66">
        <f>'[1]Univ Comm Fund'!L130</f>
        <v>10000000</v>
      </c>
      <c r="AK29" s="66">
        <f>'[1]UNIV. LIB.2019'!L35</f>
        <v>10000000</v>
      </c>
      <c r="AL29" s="88">
        <f t="shared" si="9"/>
        <v>0</v>
      </c>
      <c r="AM29" s="66"/>
      <c r="AN29" s="66">
        <f>'[1]Univ Comm Fund'!M130</f>
        <v>20000000</v>
      </c>
      <c r="AO29" s="66">
        <f>'[1]UNIV. LIB.2019'!M35</f>
        <v>20000000</v>
      </c>
      <c r="AP29" s="66">
        <f t="shared" si="10"/>
        <v>0</v>
      </c>
      <c r="AQ29" s="66"/>
      <c r="AR29" s="66">
        <f>'[1]Univ Comm Fund'!N130</f>
        <v>25000000</v>
      </c>
      <c r="AS29" s="66">
        <f>'[1]UNIV. LIB.2019'!N35</f>
        <v>25000000</v>
      </c>
      <c r="AT29" s="66">
        <f t="shared" si="11"/>
        <v>0</v>
      </c>
      <c r="AU29" s="66"/>
      <c r="AV29" s="66">
        <f>'[1]Univ Comm Fund'!O130</f>
        <v>53000000</v>
      </c>
      <c r="AW29" s="66">
        <f>'[1]UNIV. LIB.2019'!O35</f>
        <v>45050000</v>
      </c>
      <c r="AX29" s="66">
        <f t="shared" si="12"/>
        <v>7950000</v>
      </c>
      <c r="AY29" s="66"/>
      <c r="AZ29" s="66">
        <f>'[1]Univ Comm Fund'!P130</f>
        <v>60000000</v>
      </c>
      <c r="BA29" s="66">
        <f>'[1]UNIV. LIB.2019'!P35</f>
        <v>51000000</v>
      </c>
      <c r="BB29" s="66">
        <f t="shared" si="0"/>
        <v>9000000</v>
      </c>
      <c r="BC29" s="106"/>
      <c r="BD29" s="66">
        <v>100000000</v>
      </c>
      <c r="BE29" s="66">
        <f>'[1]UNIV. LIB.2019'!Q35</f>
        <v>0</v>
      </c>
      <c r="BF29" s="66">
        <f t="shared" si="13"/>
        <v>100000000</v>
      </c>
      <c r="BG29" s="106"/>
      <c r="BH29" s="66">
        <v>50000000</v>
      </c>
      <c r="BI29" s="66">
        <f>'[1]UNIV. LIB.2019'!R35</f>
        <v>0</v>
      </c>
      <c r="BJ29" s="66">
        <f t="shared" si="14"/>
        <v>50000000</v>
      </c>
      <c r="BL29" s="66">
        <f>'[1]Univ Comm Fund'!S130</f>
        <v>34000000</v>
      </c>
      <c r="BM29" s="66">
        <f>'[1]UNIV. LIB.2019'!S35</f>
        <v>0</v>
      </c>
      <c r="BN29" s="66">
        <f t="shared" si="15"/>
        <v>34000000</v>
      </c>
      <c r="BP29" s="66">
        <f>'[1]Univ Comm Fund'!T130</f>
        <v>30000000</v>
      </c>
      <c r="BQ29" s="66">
        <f>'[1]UNIV. LIB.2019'!T35</f>
        <v>0</v>
      </c>
      <c r="BR29" s="66">
        <f t="shared" si="16"/>
        <v>30000000</v>
      </c>
      <c r="BT29" s="66">
        <f>'[1]Univ Comm Fund'!U130</f>
        <v>20000000</v>
      </c>
      <c r="BU29" s="66">
        <f>'[1]UNIV. LIB.2019'!U35</f>
        <v>0</v>
      </c>
      <c r="BV29" s="66">
        <f t="shared" si="17"/>
        <v>20000000</v>
      </c>
      <c r="BX29" s="66">
        <f t="shared" si="18"/>
        <v>440175000</v>
      </c>
      <c r="BY29" s="66">
        <f t="shared" si="18"/>
        <v>189225000</v>
      </c>
      <c r="BZ29" s="66">
        <f t="shared" si="19"/>
        <v>250950000</v>
      </c>
      <c r="CR29" s="166"/>
      <c r="CS29" s="166"/>
      <c r="CT29" s="166"/>
      <c r="CU29" s="166"/>
      <c r="EW29" s="16"/>
      <c r="HM29" s="162"/>
    </row>
    <row r="30" spans="1:221" s="4" customFormat="1" x14ac:dyDescent="0.25">
      <c r="A30" s="164">
        <v>24</v>
      </c>
      <c r="B30" s="164" t="s">
        <v>156</v>
      </c>
      <c r="C30" s="177"/>
      <c r="D30" s="87">
        <f>'[1]Univ Comm Fund'!D131</f>
        <v>3500000</v>
      </c>
      <c r="E30" s="87">
        <f>'[1]UNIV. LIB.2019'!D36</f>
        <v>3500000</v>
      </c>
      <c r="F30" s="66">
        <f t="shared" si="1"/>
        <v>0</v>
      </c>
      <c r="G30" s="87"/>
      <c r="H30" s="66">
        <f>'[1]Univ Comm Fund'!E131</f>
        <v>3500000</v>
      </c>
      <c r="I30" s="176">
        <f>'[1]UNIV. LIB.2019'!E36</f>
        <v>3500000</v>
      </c>
      <c r="J30" s="11">
        <f t="shared" si="2"/>
        <v>0</v>
      </c>
      <c r="K30" s="176"/>
      <c r="L30" s="176">
        <f>'[1]Univ Comm Fund'!F131</f>
        <v>3500000</v>
      </c>
      <c r="M30" s="66">
        <f>'[1]UNIV. LIB.2019'!F36</f>
        <v>3500000</v>
      </c>
      <c r="N30" s="66">
        <f t="shared" si="3"/>
        <v>0</v>
      </c>
      <c r="O30" s="176"/>
      <c r="P30" s="66">
        <f>'[1]Univ Comm Fund'!G131</f>
        <v>3500000</v>
      </c>
      <c r="Q30" s="66">
        <f>'[1]UNIV. LIB.2019'!G36</f>
        <v>3500000</v>
      </c>
      <c r="R30" s="66">
        <f t="shared" si="4"/>
        <v>0</v>
      </c>
      <c r="S30" s="66"/>
      <c r="T30" s="66">
        <f>'[1]Univ Comm Fund'!H131</f>
        <v>5000000</v>
      </c>
      <c r="U30" s="66">
        <f>'[1]UNIV. LIB.2019'!H36</f>
        <v>5000000</v>
      </c>
      <c r="V30" s="66">
        <f t="shared" si="5"/>
        <v>0</v>
      </c>
      <c r="W30" s="66"/>
      <c r="X30" s="66">
        <f>'[1]Univ Comm Fund'!I131</f>
        <v>5000000</v>
      </c>
      <c r="Y30" s="66">
        <f>'[1]UNIV. LIB.2019'!I36</f>
        <v>5000000</v>
      </c>
      <c r="Z30" s="66">
        <f t="shared" si="6"/>
        <v>0</v>
      </c>
      <c r="AA30" s="66"/>
      <c r="AB30" s="66">
        <f>'[1]Univ Comm Fund'!J131</f>
        <v>6500000</v>
      </c>
      <c r="AC30" s="66">
        <f>'[1]UNIV. LIB.2019'!J36</f>
        <v>6500000</v>
      </c>
      <c r="AD30" s="66">
        <f t="shared" si="7"/>
        <v>0</v>
      </c>
      <c r="AE30" s="66"/>
      <c r="AF30" s="66">
        <f>'[1]Univ Comm Fund'!K131</f>
        <v>10000000</v>
      </c>
      <c r="AG30" s="66">
        <f>'[1]UNIV. LIB.2019'!K36</f>
        <v>10000000</v>
      </c>
      <c r="AH30" s="66">
        <f t="shared" si="8"/>
        <v>0</v>
      </c>
      <c r="AI30" s="66"/>
      <c r="AJ30" s="66">
        <f>'[1]Univ Comm Fund'!L131</f>
        <v>10000000</v>
      </c>
      <c r="AK30" s="66">
        <f>'[1]UNIV. LIB.2019'!L36</f>
        <v>10000000</v>
      </c>
      <c r="AL30" s="88">
        <f t="shared" si="9"/>
        <v>0</v>
      </c>
      <c r="AM30" s="66"/>
      <c r="AN30" s="66">
        <f>'[1]Univ Comm Fund'!M131</f>
        <v>20000000</v>
      </c>
      <c r="AO30" s="66">
        <f>'[1]UNIV. LIB.2019'!M36</f>
        <v>20000000</v>
      </c>
      <c r="AP30" s="66">
        <f t="shared" si="10"/>
        <v>0</v>
      </c>
      <c r="AQ30" s="66"/>
      <c r="AR30" s="66">
        <f>'[1]Univ Comm Fund'!N131</f>
        <v>25000000</v>
      </c>
      <c r="AS30" s="66">
        <f>'[1]UNIV. LIB.2019'!N36</f>
        <v>21250000</v>
      </c>
      <c r="AT30" s="66">
        <f t="shared" si="11"/>
        <v>3750000</v>
      </c>
      <c r="AU30" s="66"/>
      <c r="AV30" s="66">
        <f>'[1]Univ Comm Fund'!O131</f>
        <v>53000000</v>
      </c>
      <c r="AW30" s="66">
        <f>'[1]UNIV. LIB.2019'!O36</f>
        <v>45050000</v>
      </c>
      <c r="AX30" s="66">
        <f t="shared" si="12"/>
        <v>7950000</v>
      </c>
      <c r="AY30" s="66"/>
      <c r="AZ30" s="66">
        <f>'[1]Univ Comm Fund'!P131</f>
        <v>60000000</v>
      </c>
      <c r="BA30" s="66">
        <f>'[1]UNIV. LIB.2019'!P36</f>
        <v>0</v>
      </c>
      <c r="BB30" s="66">
        <f t="shared" si="0"/>
        <v>60000000</v>
      </c>
      <c r="BC30" s="106"/>
      <c r="BD30" s="66">
        <v>100000000</v>
      </c>
      <c r="BE30" s="66">
        <f>'[1]UNIV. LIB.2019'!Q36</f>
        <v>0</v>
      </c>
      <c r="BF30" s="66">
        <f t="shared" si="13"/>
        <v>100000000</v>
      </c>
      <c r="BG30" s="106"/>
      <c r="BH30" s="66">
        <v>50000000</v>
      </c>
      <c r="BI30" s="66">
        <f>'[1]UNIV. LIB.2019'!R36</f>
        <v>0</v>
      </c>
      <c r="BJ30" s="66">
        <f t="shared" si="14"/>
        <v>50000000</v>
      </c>
      <c r="BL30" s="66">
        <f>'[1]Univ Comm Fund'!S131</f>
        <v>34000000</v>
      </c>
      <c r="BM30" s="66">
        <f>'[1]UNIV. LIB.2019'!S36</f>
        <v>0</v>
      </c>
      <c r="BN30" s="66">
        <f t="shared" si="15"/>
        <v>34000000</v>
      </c>
      <c r="BP30" s="66">
        <f>'[1]Univ Comm Fund'!T131</f>
        <v>30000000</v>
      </c>
      <c r="BQ30" s="66">
        <f>'[1]UNIV. LIB.2019'!T36</f>
        <v>0</v>
      </c>
      <c r="BR30" s="66">
        <f t="shared" si="16"/>
        <v>30000000</v>
      </c>
      <c r="BT30" s="66">
        <f>'[1]Univ Comm Fund'!U131</f>
        <v>20000000</v>
      </c>
      <c r="BU30" s="66">
        <f>'[1]UNIV. LIB.2019'!U36</f>
        <v>0</v>
      </c>
      <c r="BV30" s="66">
        <f t="shared" si="17"/>
        <v>20000000</v>
      </c>
      <c r="BX30" s="66">
        <f t="shared" si="18"/>
        <v>442500000</v>
      </c>
      <c r="BY30" s="66">
        <f t="shared" si="18"/>
        <v>136800000</v>
      </c>
      <c r="BZ30" s="66">
        <f t="shared" si="19"/>
        <v>305700000</v>
      </c>
      <c r="CR30" s="166"/>
      <c r="CS30" s="166"/>
      <c r="CT30" s="166"/>
      <c r="CU30" s="166"/>
      <c r="EW30" s="16"/>
      <c r="HM30" s="162"/>
    </row>
    <row r="31" spans="1:221" s="4" customFormat="1" x14ac:dyDescent="0.25">
      <c r="A31" s="164">
        <v>25</v>
      </c>
      <c r="B31" s="164" t="s">
        <v>157</v>
      </c>
      <c r="C31" s="164"/>
      <c r="D31" s="11">
        <f>'[1]Univ Comm Fund'!D132</f>
        <v>3500000</v>
      </c>
      <c r="E31" s="178">
        <f>'[1]UNIV. LIB.2019'!D37</f>
        <v>3500000</v>
      </c>
      <c r="F31" s="66">
        <f t="shared" si="1"/>
        <v>0</v>
      </c>
      <c r="G31" s="178"/>
      <c r="H31" s="179">
        <f>'[1]Univ Comm Fund'!E132</f>
        <v>3500000</v>
      </c>
      <c r="I31" s="179">
        <f>'[1]UNIV. LIB.2019'!E37</f>
        <v>3500000</v>
      </c>
      <c r="J31" s="11">
        <f t="shared" si="2"/>
        <v>0</v>
      </c>
      <c r="K31" s="179"/>
      <c r="L31" s="66">
        <f>'[1]Univ Comm Fund'!F132</f>
        <v>3500000</v>
      </c>
      <c r="M31" s="66">
        <f>'[1]UNIV. LIB.2019'!F37</f>
        <v>3500000</v>
      </c>
      <c r="N31" s="66">
        <f t="shared" si="3"/>
        <v>0</v>
      </c>
      <c r="O31" s="66"/>
      <c r="P31" s="66">
        <f>'[1]Univ Comm Fund'!G132</f>
        <v>3500000</v>
      </c>
      <c r="Q31" s="66">
        <f>'[1]UNIV. LIB.2019'!G37</f>
        <v>3500000</v>
      </c>
      <c r="R31" s="66">
        <f t="shared" si="4"/>
        <v>0</v>
      </c>
      <c r="S31" s="66"/>
      <c r="T31" s="66">
        <f>'[1]Univ Comm Fund'!H132</f>
        <v>5000000</v>
      </c>
      <c r="U31" s="66">
        <f>'[1]UNIV. LIB.2019'!H37</f>
        <v>5000000</v>
      </c>
      <c r="V31" s="66">
        <f t="shared" si="5"/>
        <v>0</v>
      </c>
      <c r="W31" s="66"/>
      <c r="X31" s="66">
        <f>'[1]Univ Comm Fund'!I132</f>
        <v>5000000</v>
      </c>
      <c r="Y31" s="66">
        <f>'[1]UNIV. LIB.2019'!I37</f>
        <v>5000000</v>
      </c>
      <c r="Z31" s="66">
        <f t="shared" si="6"/>
        <v>0</v>
      </c>
      <c r="AA31" s="66"/>
      <c r="AB31" s="66">
        <f>'[1]Univ Comm Fund'!J132</f>
        <v>6500000</v>
      </c>
      <c r="AC31" s="66">
        <f>'[1]UNIV. LIB.2019'!J37</f>
        <v>6500000</v>
      </c>
      <c r="AD31" s="66">
        <f t="shared" si="7"/>
        <v>0</v>
      </c>
      <c r="AE31" s="66"/>
      <c r="AF31" s="66">
        <f>'[1]Univ Comm Fund'!K132</f>
        <v>10000000</v>
      </c>
      <c r="AG31" s="66">
        <f>'[1]UNIV. LIB.2019'!K37</f>
        <v>10000000</v>
      </c>
      <c r="AH31" s="66">
        <f t="shared" si="8"/>
        <v>0</v>
      </c>
      <c r="AI31" s="66"/>
      <c r="AJ31" s="66">
        <f>'[1]Univ Comm Fund'!L132</f>
        <v>8500000</v>
      </c>
      <c r="AK31" s="66">
        <f>'[1]UNIV. LIB.2019'!L37</f>
        <v>8500000</v>
      </c>
      <c r="AL31" s="88">
        <f t="shared" si="9"/>
        <v>0</v>
      </c>
      <c r="AM31" s="66"/>
      <c r="AN31" s="66">
        <f>'[1]Univ Comm Fund'!M132</f>
        <v>17000000</v>
      </c>
      <c r="AO31" s="66">
        <f>'[1]UNIV. LIB.2019'!M37</f>
        <v>17000000</v>
      </c>
      <c r="AP31" s="66">
        <f t="shared" si="10"/>
        <v>0</v>
      </c>
      <c r="AQ31" s="66"/>
      <c r="AR31" s="66">
        <f>'[1]Univ Comm Fund'!N132</f>
        <v>25000000</v>
      </c>
      <c r="AS31" s="66">
        <f>'[1]UNIV. LIB.2019'!N37</f>
        <v>21250000</v>
      </c>
      <c r="AT31" s="66">
        <f t="shared" si="11"/>
        <v>3750000</v>
      </c>
      <c r="AU31" s="66"/>
      <c r="AV31" s="66">
        <f>'[1]Univ Comm Fund'!O132</f>
        <v>53000000</v>
      </c>
      <c r="AW31" s="66">
        <f>'[1]UNIV. LIB.2019'!O37</f>
        <v>45050000</v>
      </c>
      <c r="AX31" s="66">
        <f t="shared" si="12"/>
        <v>7950000</v>
      </c>
      <c r="AY31" s="66"/>
      <c r="AZ31" s="66">
        <f>'[1]Univ Comm Fund'!P132</f>
        <v>60000000</v>
      </c>
      <c r="BA31" s="66">
        <f>'[1]UNIV. LIB.2019'!P37</f>
        <v>51000000</v>
      </c>
      <c r="BB31" s="66">
        <f t="shared" si="0"/>
        <v>9000000</v>
      </c>
      <c r="BC31" s="106"/>
      <c r="BD31" s="82">
        <v>0</v>
      </c>
      <c r="BE31" s="66">
        <f>'[1]UNIV. LIB.2019'!Q37</f>
        <v>0</v>
      </c>
      <c r="BF31" s="66">
        <f t="shared" si="13"/>
        <v>0</v>
      </c>
      <c r="BG31" s="106"/>
      <c r="BH31" s="66">
        <v>0</v>
      </c>
      <c r="BI31" s="66">
        <f>'[1]UNIV. LIB.2019'!R37</f>
        <v>0</v>
      </c>
      <c r="BJ31" s="66">
        <f t="shared" si="14"/>
        <v>0</v>
      </c>
      <c r="BL31" s="66">
        <f>'[1]Univ Comm Fund'!S132</f>
        <v>34000000</v>
      </c>
      <c r="BM31" s="66">
        <f>'[1]UNIV. LIB.2019'!S37</f>
        <v>28900000</v>
      </c>
      <c r="BN31" s="66">
        <f t="shared" si="15"/>
        <v>5100000</v>
      </c>
      <c r="BP31" s="66">
        <f>'[1]Univ Comm Fund'!T132</f>
        <v>0</v>
      </c>
      <c r="BQ31" s="66">
        <f>'[1]UNIV. LIB.2019'!T37</f>
        <v>0</v>
      </c>
      <c r="BR31" s="66">
        <f t="shared" si="16"/>
        <v>0</v>
      </c>
      <c r="BT31" s="66">
        <f>'[1]Univ Comm Fund'!U132</f>
        <v>20000000</v>
      </c>
      <c r="BU31" s="66">
        <f>'[1]UNIV. LIB.2019'!U37</f>
        <v>0</v>
      </c>
      <c r="BV31" s="66">
        <f t="shared" si="17"/>
        <v>20000000</v>
      </c>
      <c r="BX31" s="66">
        <f t="shared" si="18"/>
        <v>258000000</v>
      </c>
      <c r="BY31" s="66">
        <f t="shared" si="18"/>
        <v>212200000</v>
      </c>
      <c r="BZ31" s="66">
        <f t="shared" si="19"/>
        <v>45800000</v>
      </c>
      <c r="CR31" s="166"/>
      <c r="CS31" s="166"/>
      <c r="CT31" s="166"/>
      <c r="CU31" s="166"/>
      <c r="EW31" s="16"/>
      <c r="HM31" s="162"/>
    </row>
    <row r="32" spans="1:221" s="4" customFormat="1" x14ac:dyDescent="0.25">
      <c r="A32" s="164">
        <v>26</v>
      </c>
      <c r="B32" s="164" t="s">
        <v>158</v>
      </c>
      <c r="C32" s="164"/>
      <c r="D32" s="66">
        <f>'[1]Univ Comm Fund'!D133</f>
        <v>3500000</v>
      </c>
      <c r="E32" s="66">
        <f>'[1]UNIV. LIB.2019'!D38</f>
        <v>3500000</v>
      </c>
      <c r="F32" s="66">
        <f t="shared" si="1"/>
        <v>0</v>
      </c>
      <c r="G32" s="66"/>
      <c r="H32" s="66">
        <f>'[1]Univ Comm Fund'!E133</f>
        <v>3500000</v>
      </c>
      <c r="I32" s="66">
        <f>'[1]UNIV. LIB.2019'!E38</f>
        <v>3500000</v>
      </c>
      <c r="J32" s="11">
        <f t="shared" si="2"/>
        <v>0</v>
      </c>
      <c r="K32" s="66"/>
      <c r="L32" s="66">
        <f>'[1]Univ Comm Fund'!F133</f>
        <v>3500000</v>
      </c>
      <c r="M32" s="66">
        <f>'[1]UNIV. LIB.2019'!F38</f>
        <v>3500000</v>
      </c>
      <c r="N32" s="66">
        <f t="shared" si="3"/>
        <v>0</v>
      </c>
      <c r="O32" s="66"/>
      <c r="P32" s="66">
        <f>'[1]Univ Comm Fund'!G133</f>
        <v>3500000</v>
      </c>
      <c r="Q32" s="66">
        <f>'[1]UNIV. LIB.2019'!G38</f>
        <v>3500000</v>
      </c>
      <c r="R32" s="66">
        <f t="shared" si="4"/>
        <v>0</v>
      </c>
      <c r="S32" s="66"/>
      <c r="T32" s="66">
        <f>'[1]Univ Comm Fund'!H133</f>
        <v>5000000</v>
      </c>
      <c r="U32" s="66">
        <f>'[1]UNIV. LIB.2019'!H38</f>
        <v>5000000</v>
      </c>
      <c r="V32" s="66">
        <f t="shared" si="5"/>
        <v>0</v>
      </c>
      <c r="W32" s="66"/>
      <c r="X32" s="66">
        <f>'[1]Univ Comm Fund'!I133</f>
        <v>5000000</v>
      </c>
      <c r="Y32" s="66">
        <f>'[1]UNIV. LIB.2019'!I38</f>
        <v>5000000</v>
      </c>
      <c r="Z32" s="66">
        <f t="shared" si="6"/>
        <v>0</v>
      </c>
      <c r="AA32" s="66"/>
      <c r="AB32" s="66">
        <f>'[1]Univ Comm Fund'!J133</f>
        <v>6500000</v>
      </c>
      <c r="AC32" s="66">
        <f>'[1]UNIV. LIB.2019'!J38</f>
        <v>6500000</v>
      </c>
      <c r="AD32" s="66">
        <f t="shared" si="7"/>
        <v>0</v>
      </c>
      <c r="AE32" s="66"/>
      <c r="AF32" s="66">
        <f>'[1]Univ Comm Fund'!K133</f>
        <v>10000000</v>
      </c>
      <c r="AG32" s="66">
        <f>'[1]UNIV. LIB.2019'!K38</f>
        <v>10000000</v>
      </c>
      <c r="AH32" s="66">
        <f t="shared" si="8"/>
        <v>0</v>
      </c>
      <c r="AI32" s="66"/>
      <c r="AJ32" s="66">
        <f>'[1]Univ Comm Fund'!L133</f>
        <v>10000000</v>
      </c>
      <c r="AK32" s="66">
        <f>'[1]UNIV. LIB.2019'!L38</f>
        <v>10000000</v>
      </c>
      <c r="AL32" s="88">
        <f t="shared" si="9"/>
        <v>0</v>
      </c>
      <c r="AM32" s="66"/>
      <c r="AN32" s="66">
        <f>'[1]Univ Comm Fund'!M133</f>
        <v>20000000</v>
      </c>
      <c r="AO32" s="66">
        <f>'[1]UNIV. LIB.2019'!M38</f>
        <v>20000000</v>
      </c>
      <c r="AP32" s="66">
        <f t="shared" si="10"/>
        <v>0</v>
      </c>
      <c r="AQ32" s="66"/>
      <c r="AR32" s="66">
        <f>'[1]Univ Comm Fund'!N133</f>
        <v>25000000</v>
      </c>
      <c r="AS32" s="66">
        <f>'[1]UNIV. LIB.2019'!N38</f>
        <v>25000000</v>
      </c>
      <c r="AT32" s="66">
        <f t="shared" si="11"/>
        <v>0</v>
      </c>
      <c r="AU32" s="66"/>
      <c r="AV32" s="66">
        <f>'[1]Univ Comm Fund'!O133</f>
        <v>53000000</v>
      </c>
      <c r="AW32" s="66">
        <f>'[1]UNIV. LIB.2019'!O38</f>
        <v>53000000</v>
      </c>
      <c r="AX32" s="66">
        <f t="shared" si="12"/>
        <v>0</v>
      </c>
      <c r="AY32" s="66"/>
      <c r="AZ32" s="66">
        <f>'[1]Univ Comm Fund'!P133</f>
        <v>60000000</v>
      </c>
      <c r="BA32" s="66">
        <f>'[1]UNIV. LIB.2019'!P38</f>
        <v>0</v>
      </c>
      <c r="BB32" s="66">
        <f t="shared" si="0"/>
        <v>60000000</v>
      </c>
      <c r="BC32" s="106"/>
      <c r="BD32" s="66">
        <v>100000000</v>
      </c>
      <c r="BE32" s="66">
        <f>'[1]UNIV. LIB.2019'!Q38</f>
        <v>0</v>
      </c>
      <c r="BF32" s="66">
        <f t="shared" si="13"/>
        <v>100000000</v>
      </c>
      <c r="BG32" s="106"/>
      <c r="BH32" s="66">
        <v>50000000</v>
      </c>
      <c r="BI32" s="66">
        <f>'[1]UNIV. LIB.2019'!R38</f>
        <v>0</v>
      </c>
      <c r="BJ32" s="66">
        <f t="shared" si="14"/>
        <v>50000000</v>
      </c>
      <c r="BL32" s="66">
        <f>'[1]Univ Comm Fund'!S133</f>
        <v>34000000</v>
      </c>
      <c r="BM32" s="66">
        <f>'[1]UNIV. LIB.2019'!S38</f>
        <v>0</v>
      </c>
      <c r="BN32" s="66">
        <f t="shared" si="15"/>
        <v>34000000</v>
      </c>
      <c r="BP32" s="66">
        <f>'[1]Univ Comm Fund'!T133</f>
        <v>30000000</v>
      </c>
      <c r="BQ32" s="66">
        <f>'[1]UNIV. LIB.2019'!T38</f>
        <v>0</v>
      </c>
      <c r="BR32" s="66">
        <f t="shared" si="16"/>
        <v>30000000</v>
      </c>
      <c r="BT32" s="66">
        <f>'[1]Univ Comm Fund'!U133</f>
        <v>20000000</v>
      </c>
      <c r="BU32" s="66">
        <f>'[1]UNIV. LIB.2019'!U38</f>
        <v>0</v>
      </c>
      <c r="BV32" s="66">
        <f t="shared" si="17"/>
        <v>20000000</v>
      </c>
      <c r="BX32" s="66">
        <f t="shared" si="18"/>
        <v>442500000</v>
      </c>
      <c r="BY32" s="66">
        <f t="shared" si="18"/>
        <v>148500000</v>
      </c>
      <c r="BZ32" s="66">
        <f t="shared" si="19"/>
        <v>294000000</v>
      </c>
      <c r="CR32" s="166"/>
      <c r="CS32" s="166"/>
      <c r="CT32" s="166"/>
      <c r="CU32" s="166"/>
      <c r="EW32" s="16"/>
      <c r="HM32" s="162"/>
    </row>
    <row r="33" spans="1:221" s="4" customFormat="1" x14ac:dyDescent="0.25">
      <c r="A33" s="164">
        <v>27</v>
      </c>
      <c r="B33" s="164" t="s">
        <v>91</v>
      </c>
      <c r="C33" s="164"/>
      <c r="D33" s="66">
        <f>'[1]Univ Comm Fund'!D134</f>
        <v>3500000</v>
      </c>
      <c r="E33" s="66">
        <f>'[1]UNIV. LIB.2019'!D39</f>
        <v>3500000</v>
      </c>
      <c r="F33" s="66">
        <f t="shared" si="1"/>
        <v>0</v>
      </c>
      <c r="G33" s="66"/>
      <c r="H33" s="66">
        <f>'[1]Univ Comm Fund'!E134</f>
        <v>2975000</v>
      </c>
      <c r="I33" s="66">
        <f>'[1]UNIV. LIB.2019'!E39</f>
        <v>2975000</v>
      </c>
      <c r="J33" s="11">
        <f t="shared" si="2"/>
        <v>0</v>
      </c>
      <c r="K33" s="66"/>
      <c r="L33" s="66">
        <f>'[1]Univ Comm Fund'!F134</f>
        <v>3500000</v>
      </c>
      <c r="M33" s="66">
        <f>'[1]UNIV. LIB.2019'!F39</f>
        <v>3500000</v>
      </c>
      <c r="N33" s="66">
        <f t="shared" si="3"/>
        <v>0</v>
      </c>
      <c r="O33" s="66"/>
      <c r="P33" s="66">
        <f>'[1]Univ Comm Fund'!G134</f>
        <v>3500000</v>
      </c>
      <c r="Q33" s="66">
        <f>'[1]UNIV. LIB.2019'!G39</f>
        <v>3500000</v>
      </c>
      <c r="R33" s="66">
        <f t="shared" si="4"/>
        <v>0</v>
      </c>
      <c r="S33" s="66"/>
      <c r="T33" s="66">
        <f>'[1]Univ Comm Fund'!H134</f>
        <v>4250000</v>
      </c>
      <c r="U33" s="66">
        <f>'[1]UNIV. LIB.2019'!H39</f>
        <v>4250000</v>
      </c>
      <c r="V33" s="66">
        <f t="shared" si="5"/>
        <v>0</v>
      </c>
      <c r="W33" s="66"/>
      <c r="X33" s="66">
        <f>'[1]Univ Comm Fund'!I134</f>
        <v>4250000</v>
      </c>
      <c r="Y33" s="66">
        <f>'[1]UNIV. LIB.2019'!I39</f>
        <v>4250000</v>
      </c>
      <c r="Z33" s="66">
        <f t="shared" si="6"/>
        <v>0</v>
      </c>
      <c r="AA33" s="66"/>
      <c r="AB33" s="66">
        <f>'[1]Univ Comm Fund'!J134</f>
        <v>5525000</v>
      </c>
      <c r="AC33" s="66">
        <f>'[1]UNIV. LIB.2019'!J39</f>
        <v>5525000</v>
      </c>
      <c r="AD33" s="66">
        <f t="shared" si="7"/>
        <v>0</v>
      </c>
      <c r="AE33" s="66"/>
      <c r="AF33" s="66">
        <f>'[1]Univ Comm Fund'!K134</f>
        <v>0</v>
      </c>
      <c r="AG33" s="66">
        <f>'[1]UNIV. LIB.2019'!K39</f>
        <v>0</v>
      </c>
      <c r="AH33" s="66">
        <f t="shared" si="8"/>
        <v>0</v>
      </c>
      <c r="AI33" s="66"/>
      <c r="AJ33" s="88">
        <f>'[1]Univ Comm Fund'!L134</f>
        <v>0</v>
      </c>
      <c r="AK33" s="88">
        <f>'[1]UNIV. LIB.2019'!L39</f>
        <v>0</v>
      </c>
      <c r="AL33" s="88">
        <f t="shared" si="9"/>
        <v>0</v>
      </c>
      <c r="AM33" s="88"/>
      <c r="AN33" s="66">
        <f>'[1]Univ Comm Fund'!M134</f>
        <v>0</v>
      </c>
      <c r="AO33" s="66">
        <f>'[1]UNIV. LIB.2019'!M39</f>
        <v>0</v>
      </c>
      <c r="AP33" s="66">
        <f t="shared" si="10"/>
        <v>0</v>
      </c>
      <c r="AQ33" s="66"/>
      <c r="AR33" s="66">
        <f>'[1]Univ Comm Fund'!N134</f>
        <v>25000000</v>
      </c>
      <c r="AS33" s="66">
        <f>'[1]UNIV. LIB.2019'!N39</f>
        <v>25000000</v>
      </c>
      <c r="AT33" s="66">
        <f t="shared" si="11"/>
        <v>0</v>
      </c>
      <c r="AU33" s="66"/>
      <c r="AV33" s="66">
        <f>'[1]Univ Comm Fund'!O134</f>
        <v>53000000</v>
      </c>
      <c r="AW33" s="66">
        <f>'[1]UNIV. LIB.2019'!O39</f>
        <v>53000000</v>
      </c>
      <c r="AX33" s="66">
        <f t="shared" si="12"/>
        <v>0</v>
      </c>
      <c r="AY33" s="66"/>
      <c r="AZ33" s="66">
        <f>'[1]Univ Comm Fund'!P134</f>
        <v>60000000</v>
      </c>
      <c r="BA33" s="66">
        <f>'[1]UNIV. LIB.2019'!P39</f>
        <v>60000000</v>
      </c>
      <c r="BB33" s="66">
        <f t="shared" si="0"/>
        <v>0</v>
      </c>
      <c r="BC33" s="106"/>
      <c r="BD33" s="66">
        <v>100000000</v>
      </c>
      <c r="BE33" s="66">
        <f>'[1]UNIV. LIB.2019'!Q39</f>
        <v>100000000</v>
      </c>
      <c r="BF33" s="66">
        <f t="shared" si="13"/>
        <v>0</v>
      </c>
      <c r="BG33" s="106"/>
      <c r="BH33" s="66">
        <v>50000000</v>
      </c>
      <c r="BI33" s="66">
        <f>'[1]UNIV. LIB.2019'!R39</f>
        <v>42500000</v>
      </c>
      <c r="BJ33" s="66">
        <f t="shared" si="14"/>
        <v>7500000</v>
      </c>
      <c r="BL33" s="66">
        <f>'[1]Univ Comm Fund'!S134</f>
        <v>34000000</v>
      </c>
      <c r="BM33" s="66">
        <f>'[1]UNIV. LIB.2019'!S39</f>
        <v>28900000</v>
      </c>
      <c r="BN33" s="66">
        <f t="shared" si="15"/>
        <v>5100000</v>
      </c>
      <c r="BP33" s="66">
        <f>'[1]Univ Comm Fund'!T134</f>
        <v>30000000</v>
      </c>
      <c r="BQ33" s="66">
        <f>'[1]UNIV. LIB.2019'!T39</f>
        <v>0</v>
      </c>
      <c r="BR33" s="66">
        <f t="shared" si="16"/>
        <v>30000000</v>
      </c>
      <c r="BT33" s="66">
        <f>'[1]Univ Comm Fund'!U134</f>
        <v>20000000</v>
      </c>
      <c r="BU33" s="66">
        <f>'[1]UNIV. LIB.2019'!U39</f>
        <v>0</v>
      </c>
      <c r="BV33" s="66">
        <f t="shared" si="17"/>
        <v>20000000</v>
      </c>
      <c r="BX33" s="66">
        <f t="shared" si="18"/>
        <v>399500000</v>
      </c>
      <c r="BY33" s="66">
        <f t="shared" si="18"/>
        <v>336900000</v>
      </c>
      <c r="BZ33" s="66">
        <f t="shared" si="19"/>
        <v>62600000</v>
      </c>
      <c r="CR33" s="166"/>
      <c r="CS33" s="166"/>
      <c r="CT33" s="166"/>
      <c r="CU33" s="166"/>
      <c r="EW33" s="16"/>
      <c r="HM33" s="162"/>
    </row>
    <row r="34" spans="1:221" s="4" customFormat="1" x14ac:dyDescent="0.25">
      <c r="A34" s="164">
        <v>28</v>
      </c>
      <c r="B34" s="164" t="s">
        <v>92</v>
      </c>
      <c r="C34" s="164"/>
      <c r="D34" s="66">
        <f>'[1]Univ Comm Fund'!D135</f>
        <v>3500000</v>
      </c>
      <c r="E34" s="66">
        <f>'[1]UNIV. LIB.2019'!D40</f>
        <v>3500000</v>
      </c>
      <c r="F34" s="66">
        <f t="shared" si="1"/>
        <v>0</v>
      </c>
      <c r="G34" s="66"/>
      <c r="H34" s="66">
        <f>'[1]Univ Comm Fund'!E135</f>
        <v>3500000</v>
      </c>
      <c r="I34" s="66">
        <f>'[1]UNIV. LIB.2019'!E40</f>
        <v>3500000</v>
      </c>
      <c r="J34" s="11">
        <f t="shared" si="2"/>
        <v>0</v>
      </c>
      <c r="K34" s="66"/>
      <c r="L34" s="66">
        <f>'[1]Univ Comm Fund'!F135</f>
        <v>3500000</v>
      </c>
      <c r="M34" s="66">
        <f>'[1]UNIV. LIB.2019'!F40</f>
        <v>3500000</v>
      </c>
      <c r="N34" s="66">
        <f t="shared" si="3"/>
        <v>0</v>
      </c>
      <c r="O34" s="66"/>
      <c r="P34" s="66">
        <f>'[1]Univ Comm Fund'!G135</f>
        <v>3500000</v>
      </c>
      <c r="Q34" s="66">
        <f>'[1]UNIV. LIB.2019'!G40</f>
        <v>3500000</v>
      </c>
      <c r="R34" s="66">
        <f t="shared" si="4"/>
        <v>0</v>
      </c>
      <c r="S34" s="66"/>
      <c r="T34" s="66">
        <f>'[1]Univ Comm Fund'!H135</f>
        <v>4250000</v>
      </c>
      <c r="U34" s="66">
        <f>'[1]UNIV. LIB.2019'!H40</f>
        <v>4250000</v>
      </c>
      <c r="V34" s="66">
        <f t="shared" si="5"/>
        <v>0</v>
      </c>
      <c r="W34" s="66"/>
      <c r="X34" s="66">
        <f>'[1]Univ Comm Fund'!I135</f>
        <v>4250000</v>
      </c>
      <c r="Y34" s="66">
        <f>'[1]UNIV. LIB.2019'!I40</f>
        <v>4250000</v>
      </c>
      <c r="Z34" s="66">
        <f t="shared" si="6"/>
        <v>0</v>
      </c>
      <c r="AA34" s="66"/>
      <c r="AB34" s="66">
        <f>'[1]Univ Comm Fund'!J135</f>
        <v>0</v>
      </c>
      <c r="AC34" s="66">
        <f>'[1]UNIV. LIB.2019'!J40</f>
        <v>0</v>
      </c>
      <c r="AD34" s="66">
        <f t="shared" si="7"/>
        <v>0</v>
      </c>
      <c r="AE34" s="66"/>
      <c r="AF34" s="66">
        <f>'[1]Univ Comm Fund'!K135</f>
        <v>0</v>
      </c>
      <c r="AG34" s="66">
        <f>'[1]UNIV. LIB.2019'!K40</f>
        <v>0</v>
      </c>
      <c r="AH34" s="66">
        <f t="shared" si="8"/>
        <v>0</v>
      </c>
      <c r="AI34" s="66"/>
      <c r="AJ34" s="66">
        <f>'[1]Univ Comm Fund'!L135</f>
        <v>0</v>
      </c>
      <c r="AK34" s="66">
        <f>'[1]UNIV. LIB.2019'!L40</f>
        <v>0</v>
      </c>
      <c r="AL34" s="88">
        <f t="shared" si="9"/>
        <v>0</v>
      </c>
      <c r="AM34" s="66"/>
      <c r="AN34" s="66">
        <f>'[1]Univ Comm Fund'!M135</f>
        <v>0</v>
      </c>
      <c r="AO34" s="66">
        <f>'[1]UNIV. LIB.2019'!M40</f>
        <v>0</v>
      </c>
      <c r="AP34" s="66">
        <f t="shared" si="10"/>
        <v>0</v>
      </c>
      <c r="AQ34" s="66"/>
      <c r="AR34" s="66">
        <f>'[1]Univ Comm Fund'!N135</f>
        <v>25000000</v>
      </c>
      <c r="AS34" s="66">
        <f>'[1]UNIV. LIB.2019'!N40</f>
        <v>21250000</v>
      </c>
      <c r="AT34" s="66">
        <f t="shared" si="11"/>
        <v>3750000</v>
      </c>
      <c r="AU34" s="66"/>
      <c r="AV34" s="66">
        <f>'[1]Univ Comm Fund'!O135</f>
        <v>53000000</v>
      </c>
      <c r="AW34" s="66">
        <f>'[1]UNIV. LIB.2019'!O40</f>
        <v>45050000</v>
      </c>
      <c r="AX34" s="66">
        <f t="shared" si="12"/>
        <v>7950000</v>
      </c>
      <c r="AY34" s="66"/>
      <c r="AZ34" s="66">
        <f>'[1]Univ Comm Fund'!P135</f>
        <v>60000000</v>
      </c>
      <c r="BA34" s="66">
        <f>'[1]UNIV. LIB.2019'!P40</f>
        <v>51000000</v>
      </c>
      <c r="BB34" s="66">
        <f t="shared" si="0"/>
        <v>9000000</v>
      </c>
      <c r="BC34" s="106"/>
      <c r="BD34" s="66">
        <v>100000000</v>
      </c>
      <c r="BE34" s="66">
        <f>'[1]UNIV. LIB.2019'!Q40</f>
        <v>85000000</v>
      </c>
      <c r="BF34" s="66">
        <f t="shared" si="13"/>
        <v>15000000</v>
      </c>
      <c r="BG34" s="106"/>
      <c r="BH34" s="66">
        <v>50000000</v>
      </c>
      <c r="BI34" s="66">
        <f>'[1]UNIV. LIB.2019'!R40</f>
        <v>0</v>
      </c>
      <c r="BJ34" s="66">
        <f t="shared" si="14"/>
        <v>50000000</v>
      </c>
      <c r="BL34" s="66">
        <f>'[1]Univ Comm Fund'!S135</f>
        <v>34000000</v>
      </c>
      <c r="BM34" s="66">
        <f>'[1]UNIV. LIB.2019'!S40</f>
        <v>0</v>
      </c>
      <c r="BN34" s="66">
        <f t="shared" si="15"/>
        <v>34000000</v>
      </c>
      <c r="BP34" s="66">
        <f>'[1]Univ Comm Fund'!T135</f>
        <v>30000000</v>
      </c>
      <c r="BQ34" s="66">
        <f>'[1]UNIV. LIB.2019'!T40</f>
        <v>0</v>
      </c>
      <c r="BR34" s="66">
        <f t="shared" si="16"/>
        <v>30000000</v>
      </c>
      <c r="BT34" s="66">
        <f>'[1]Univ Comm Fund'!U135</f>
        <v>20000000</v>
      </c>
      <c r="BU34" s="66">
        <f>'[1]UNIV. LIB.2019'!U40</f>
        <v>0</v>
      </c>
      <c r="BV34" s="66">
        <f t="shared" si="17"/>
        <v>20000000</v>
      </c>
      <c r="BX34" s="66">
        <f t="shared" si="18"/>
        <v>394500000</v>
      </c>
      <c r="BY34" s="66">
        <f t="shared" si="18"/>
        <v>224800000</v>
      </c>
      <c r="BZ34" s="66">
        <f t="shared" si="19"/>
        <v>169700000</v>
      </c>
      <c r="CR34" s="166"/>
      <c r="CS34" s="166"/>
      <c r="CT34" s="166"/>
      <c r="CU34" s="166"/>
      <c r="EW34" s="16"/>
      <c r="HM34" s="162"/>
    </row>
    <row r="35" spans="1:221" s="4" customFormat="1" x14ac:dyDescent="0.25">
      <c r="A35" s="164">
        <v>29</v>
      </c>
      <c r="B35" s="164" t="s">
        <v>93</v>
      </c>
      <c r="C35" s="164"/>
      <c r="D35" s="66">
        <f>'[1]Univ Comm Fund'!D136</f>
        <v>3500000</v>
      </c>
      <c r="E35" s="66">
        <f>'[1]UNIV. LIB.2019'!D41</f>
        <v>3500000</v>
      </c>
      <c r="F35" s="66">
        <f t="shared" si="1"/>
        <v>0</v>
      </c>
      <c r="G35" s="66"/>
      <c r="H35" s="66">
        <f>'[1]Univ Comm Fund'!E136</f>
        <v>3500000</v>
      </c>
      <c r="I35" s="66">
        <f>'[1]UNIV. LIB.2019'!E41</f>
        <v>3500000</v>
      </c>
      <c r="J35" s="11">
        <f t="shared" si="2"/>
        <v>0</v>
      </c>
      <c r="K35" s="66"/>
      <c r="L35" s="66">
        <f>'[1]Univ Comm Fund'!F136</f>
        <v>3500000</v>
      </c>
      <c r="M35" s="66">
        <f>'[1]UNIV. LIB.2019'!F41</f>
        <v>3500000</v>
      </c>
      <c r="N35" s="66">
        <f t="shared" si="3"/>
        <v>0</v>
      </c>
      <c r="O35" s="66"/>
      <c r="P35" s="66">
        <f>'[1]Univ Comm Fund'!G136</f>
        <v>3500000</v>
      </c>
      <c r="Q35" s="66">
        <f>'[1]UNIV. LIB.2019'!G41</f>
        <v>3500000</v>
      </c>
      <c r="R35" s="66">
        <f t="shared" si="4"/>
        <v>0</v>
      </c>
      <c r="S35" s="66"/>
      <c r="T35" s="66">
        <f>'[1]Univ Comm Fund'!H136</f>
        <v>5000000</v>
      </c>
      <c r="U35" s="66">
        <f>'[1]UNIV. LIB.2019'!H41</f>
        <v>5000000</v>
      </c>
      <c r="V35" s="66">
        <f t="shared" si="5"/>
        <v>0</v>
      </c>
      <c r="W35" s="66"/>
      <c r="X35" s="66">
        <f>'[1]Univ Comm Fund'!I136</f>
        <v>5000000</v>
      </c>
      <c r="Y35" s="66">
        <f>'[1]UNIV. LIB.2019'!I41</f>
        <v>5000000</v>
      </c>
      <c r="Z35" s="66">
        <f t="shared" si="6"/>
        <v>0</v>
      </c>
      <c r="AA35" s="66"/>
      <c r="AB35" s="66">
        <f>'[1]Univ Comm Fund'!J136</f>
        <v>6500000</v>
      </c>
      <c r="AC35" s="66">
        <f>'[1]UNIV. LIB.2019'!J41</f>
        <v>6500000</v>
      </c>
      <c r="AD35" s="66">
        <f t="shared" si="7"/>
        <v>0</v>
      </c>
      <c r="AE35" s="66"/>
      <c r="AF35" s="66">
        <f>'[1]Univ Comm Fund'!K136</f>
        <v>10000000</v>
      </c>
      <c r="AG35" s="66">
        <f>'[1]UNIV. LIB.2019'!K41</f>
        <v>10000000</v>
      </c>
      <c r="AH35" s="66">
        <f t="shared" si="8"/>
        <v>0</v>
      </c>
      <c r="AI35" s="66"/>
      <c r="AJ35" s="66">
        <f>'[1]Univ Comm Fund'!L136</f>
        <v>8500000</v>
      </c>
      <c r="AK35" s="66">
        <f>'[1]UNIV. LIB.2019'!L41</f>
        <v>8500000</v>
      </c>
      <c r="AL35" s="88">
        <f t="shared" si="9"/>
        <v>0</v>
      </c>
      <c r="AM35" s="66"/>
      <c r="AN35" s="66">
        <f>'[1]Univ Comm Fund'!M136</f>
        <v>17000000</v>
      </c>
      <c r="AO35" s="66">
        <f>'[1]UNIV. LIB.2019'!M41</f>
        <v>17000000</v>
      </c>
      <c r="AP35" s="66">
        <f t="shared" si="10"/>
        <v>0</v>
      </c>
      <c r="AQ35" s="66"/>
      <c r="AR35" s="66">
        <f>'[1]Univ Comm Fund'!N136</f>
        <v>25000000</v>
      </c>
      <c r="AS35" s="66">
        <f>'[1]UNIV. LIB.2019'!N41</f>
        <v>21250000</v>
      </c>
      <c r="AT35" s="66">
        <f t="shared" si="11"/>
        <v>3750000</v>
      </c>
      <c r="AU35" s="66"/>
      <c r="AV35" s="66">
        <f>'[1]Univ Comm Fund'!O136</f>
        <v>53000000</v>
      </c>
      <c r="AW35" s="66">
        <f>'[1]UNIV. LIB.2019'!O41</f>
        <v>53000000</v>
      </c>
      <c r="AX35" s="66">
        <f t="shared" si="12"/>
        <v>0</v>
      </c>
      <c r="AY35" s="66"/>
      <c r="AZ35" s="121">
        <f>'[1]Univ Comm Fund'!P136</f>
        <v>0</v>
      </c>
      <c r="BA35" s="121">
        <f>'[1]UNIV. LIB.2019'!P41</f>
        <v>0</v>
      </c>
      <c r="BB35" s="121">
        <f t="shared" si="0"/>
        <v>0</v>
      </c>
      <c r="BC35" s="106"/>
      <c r="BD35" s="66">
        <v>100000000</v>
      </c>
      <c r="BE35" s="66">
        <f>'[1]UNIV. LIB.2019'!Q41</f>
        <v>100000000</v>
      </c>
      <c r="BF35" s="66">
        <f t="shared" si="13"/>
        <v>0</v>
      </c>
      <c r="BG35" s="106"/>
      <c r="BH35" s="180">
        <v>0</v>
      </c>
      <c r="BI35" s="66">
        <f>'[1]UNIV. LIB.2019'!R41</f>
        <v>0</v>
      </c>
      <c r="BJ35" s="66">
        <f t="shared" si="14"/>
        <v>0</v>
      </c>
      <c r="BL35" s="66">
        <f>'[1]Univ Comm Fund'!S136</f>
        <v>34000000</v>
      </c>
      <c r="BM35" s="66">
        <f>'[1]UNIV. LIB.2019'!S41</f>
        <v>28900000</v>
      </c>
      <c r="BN35" s="66">
        <f t="shared" si="15"/>
        <v>5100000</v>
      </c>
      <c r="BP35" s="66">
        <f>'[1]Univ Comm Fund'!T136</f>
        <v>0</v>
      </c>
      <c r="BQ35" s="66">
        <f>'[1]UNIV. LIB.2019'!T41</f>
        <v>0</v>
      </c>
      <c r="BR35" s="66">
        <f t="shared" si="16"/>
        <v>0</v>
      </c>
      <c r="BT35" s="66">
        <f>'[1]Univ Comm Fund'!U136</f>
        <v>20000000</v>
      </c>
      <c r="BU35" s="66">
        <f>'[1]UNIV. LIB.2019'!U41</f>
        <v>0</v>
      </c>
      <c r="BV35" s="66">
        <f t="shared" si="17"/>
        <v>20000000</v>
      </c>
      <c r="BX35" s="66">
        <f t="shared" si="18"/>
        <v>298000000</v>
      </c>
      <c r="BY35" s="66">
        <f t="shared" si="18"/>
        <v>269150000</v>
      </c>
      <c r="BZ35" s="66">
        <f t="shared" si="19"/>
        <v>28850000</v>
      </c>
      <c r="CR35" s="166"/>
      <c r="CS35" s="166"/>
      <c r="CT35" s="166"/>
      <c r="CU35" s="166"/>
      <c r="EW35" s="16"/>
      <c r="HM35" s="162"/>
    </row>
    <row r="36" spans="1:221" s="4" customFormat="1" x14ac:dyDescent="0.25">
      <c r="A36" s="164">
        <v>30</v>
      </c>
      <c r="B36" s="164" t="s">
        <v>94</v>
      </c>
      <c r="C36" s="164"/>
      <c r="D36" s="66">
        <f>'[1]Univ Comm Fund'!D137</f>
        <v>3500000</v>
      </c>
      <c r="E36" s="66">
        <f>'[1]UNIV. LIB.2019'!D42</f>
        <v>3500000</v>
      </c>
      <c r="F36" s="66">
        <f t="shared" si="1"/>
        <v>0</v>
      </c>
      <c r="G36" s="66"/>
      <c r="H36" s="66">
        <f>'[1]Univ Comm Fund'!E137</f>
        <v>3500000</v>
      </c>
      <c r="I36" s="66">
        <f>'[1]UNIV. LIB.2019'!E42</f>
        <v>3500000</v>
      </c>
      <c r="J36" s="11">
        <f t="shared" si="2"/>
        <v>0</v>
      </c>
      <c r="K36" s="66"/>
      <c r="L36" s="66">
        <f>'[1]Univ Comm Fund'!F137</f>
        <v>3500000</v>
      </c>
      <c r="M36" s="66">
        <f>'[1]UNIV. LIB.2019'!F42</f>
        <v>3500000</v>
      </c>
      <c r="N36" s="66">
        <f t="shared" si="3"/>
        <v>0</v>
      </c>
      <c r="O36" s="66"/>
      <c r="P36" s="66">
        <f>'[1]Univ Comm Fund'!G137</f>
        <v>3500000</v>
      </c>
      <c r="Q36" s="66">
        <f>'[1]UNIV. LIB.2019'!G42</f>
        <v>3500000</v>
      </c>
      <c r="R36" s="66">
        <f t="shared" si="4"/>
        <v>0</v>
      </c>
      <c r="S36" s="66"/>
      <c r="T36" s="66">
        <f>'[1]Univ Comm Fund'!H137</f>
        <v>5000000</v>
      </c>
      <c r="U36" s="66">
        <f>'[1]UNIV. LIB.2019'!H42</f>
        <v>5000000</v>
      </c>
      <c r="V36" s="66">
        <f t="shared" si="5"/>
        <v>0</v>
      </c>
      <c r="W36" s="66"/>
      <c r="X36" s="66">
        <f>'[1]Univ Comm Fund'!I137</f>
        <v>5000000</v>
      </c>
      <c r="Y36" s="66">
        <f>'[1]UNIV. LIB.2019'!I42</f>
        <v>5000000</v>
      </c>
      <c r="Z36" s="66">
        <f t="shared" si="6"/>
        <v>0</v>
      </c>
      <c r="AA36" s="66"/>
      <c r="AB36" s="66">
        <f>'[1]Univ Comm Fund'!J137</f>
        <v>6500000</v>
      </c>
      <c r="AC36" s="66">
        <f>'[1]UNIV. LIB.2019'!J42</f>
        <v>6500000</v>
      </c>
      <c r="AD36" s="66">
        <f t="shared" si="7"/>
        <v>0</v>
      </c>
      <c r="AE36" s="66"/>
      <c r="AF36" s="66">
        <f>'[1]Univ Comm Fund'!K137</f>
        <v>10000000</v>
      </c>
      <c r="AG36" s="66">
        <f>'[1]UNIV. LIB.2019'!K42</f>
        <v>10000000</v>
      </c>
      <c r="AH36" s="66">
        <f t="shared" si="8"/>
        <v>0</v>
      </c>
      <c r="AI36" s="66"/>
      <c r="AJ36" s="66">
        <f>'[1]Univ Comm Fund'!L137</f>
        <v>10000000</v>
      </c>
      <c r="AK36" s="66">
        <f>'[1]UNIV. LIB.2019'!L42</f>
        <v>10000000</v>
      </c>
      <c r="AL36" s="88">
        <f t="shared" si="9"/>
        <v>0</v>
      </c>
      <c r="AM36" s="66"/>
      <c r="AN36" s="66">
        <f>'[1]Univ Comm Fund'!M137</f>
        <v>20000000</v>
      </c>
      <c r="AO36" s="66">
        <f>'[1]UNIV. LIB.2019'!M42</f>
        <v>20000000</v>
      </c>
      <c r="AP36" s="66">
        <f t="shared" si="10"/>
        <v>0</v>
      </c>
      <c r="AQ36" s="66"/>
      <c r="AR36" s="66">
        <f>'[1]Univ Comm Fund'!N137</f>
        <v>25000000</v>
      </c>
      <c r="AS36" s="66">
        <f>'[1]UNIV. LIB.2019'!N42</f>
        <v>25000000</v>
      </c>
      <c r="AT36" s="66">
        <f t="shared" si="11"/>
        <v>0</v>
      </c>
      <c r="AU36" s="66"/>
      <c r="AV36" s="66">
        <f>'[1]Univ Comm Fund'!O137</f>
        <v>53000000</v>
      </c>
      <c r="AW36" s="66">
        <f>'[1]UNIV. LIB.2019'!O42</f>
        <v>53000000</v>
      </c>
      <c r="AX36" s="66">
        <f t="shared" si="12"/>
        <v>0</v>
      </c>
      <c r="AY36" s="66"/>
      <c r="AZ36" s="66">
        <f>'[1]Univ Comm Fund'!P137</f>
        <v>60000000</v>
      </c>
      <c r="BA36" s="66">
        <f>'[1]UNIV. LIB.2019'!P42</f>
        <v>51000000</v>
      </c>
      <c r="BB36" s="66">
        <f t="shared" si="0"/>
        <v>9000000</v>
      </c>
      <c r="BC36" s="106"/>
      <c r="BD36" s="66">
        <v>100000000</v>
      </c>
      <c r="BE36" s="66">
        <f>'[1]UNIV. LIB.2019'!Q42</f>
        <v>85000000</v>
      </c>
      <c r="BF36" s="66">
        <f t="shared" si="13"/>
        <v>15000000</v>
      </c>
      <c r="BG36" s="106"/>
      <c r="BH36" s="180">
        <v>50000000</v>
      </c>
      <c r="BI36" s="66">
        <f>'[1]UNIV. LIB.2019'!R42</f>
        <v>0</v>
      </c>
      <c r="BJ36" s="66">
        <f t="shared" si="14"/>
        <v>50000000</v>
      </c>
      <c r="BL36" s="66">
        <f>'[1]Univ Comm Fund'!S137</f>
        <v>34000000</v>
      </c>
      <c r="BM36" s="66">
        <f>'[1]UNIV. LIB.2019'!S42</f>
        <v>0</v>
      </c>
      <c r="BN36" s="66">
        <f t="shared" si="15"/>
        <v>34000000</v>
      </c>
      <c r="BP36" s="66">
        <f>'[1]Univ Comm Fund'!T137</f>
        <v>30000000</v>
      </c>
      <c r="BQ36" s="66">
        <f>'[1]UNIV. LIB.2019'!T42</f>
        <v>0</v>
      </c>
      <c r="BR36" s="66">
        <f t="shared" si="16"/>
        <v>30000000</v>
      </c>
      <c r="BT36" s="66">
        <f>'[1]Univ Comm Fund'!U137</f>
        <v>20000000</v>
      </c>
      <c r="BU36" s="66">
        <f>'[1]UNIV. LIB.2019'!U42</f>
        <v>0</v>
      </c>
      <c r="BV36" s="66">
        <f t="shared" si="17"/>
        <v>20000000</v>
      </c>
      <c r="BX36" s="66">
        <f t="shared" si="18"/>
        <v>442500000</v>
      </c>
      <c r="BY36" s="66">
        <f t="shared" si="18"/>
        <v>284500000</v>
      </c>
      <c r="BZ36" s="66">
        <f t="shared" si="19"/>
        <v>158000000</v>
      </c>
      <c r="CR36" s="166"/>
      <c r="CS36" s="166"/>
      <c r="CT36" s="166"/>
      <c r="CU36" s="166"/>
      <c r="EW36" s="16"/>
      <c r="HM36" s="162"/>
    </row>
    <row r="37" spans="1:221" s="4" customFormat="1" x14ac:dyDescent="0.25">
      <c r="A37" s="164">
        <v>31</v>
      </c>
      <c r="B37" s="164" t="s">
        <v>95</v>
      </c>
      <c r="C37" s="164"/>
      <c r="D37" s="66">
        <f>'[1]Univ Comm Fund'!D138</f>
        <v>3500000</v>
      </c>
      <c r="E37" s="66">
        <f>'[1]UNIV. LIB.2019'!D43</f>
        <v>3500000</v>
      </c>
      <c r="F37" s="66">
        <f t="shared" si="1"/>
        <v>0</v>
      </c>
      <c r="G37" s="66"/>
      <c r="H37" s="66">
        <f>'[1]Univ Comm Fund'!E138</f>
        <v>3500000</v>
      </c>
      <c r="I37" s="66">
        <f>'[1]UNIV. LIB.2019'!E43</f>
        <v>3500000</v>
      </c>
      <c r="J37" s="11">
        <f t="shared" si="2"/>
        <v>0</v>
      </c>
      <c r="K37" s="66"/>
      <c r="L37" s="66">
        <f>'[1]Univ Comm Fund'!F138</f>
        <v>3500000</v>
      </c>
      <c r="M37" s="66">
        <f>'[1]UNIV. LIB.2019'!F43</f>
        <v>3500000</v>
      </c>
      <c r="N37" s="66">
        <f t="shared" si="3"/>
        <v>0</v>
      </c>
      <c r="O37" s="66"/>
      <c r="P37" s="66">
        <f>'[1]Univ Comm Fund'!G138</f>
        <v>3500000</v>
      </c>
      <c r="Q37" s="66">
        <f>'[1]UNIV. LIB.2019'!G43</f>
        <v>3500000</v>
      </c>
      <c r="R37" s="66">
        <f t="shared" si="4"/>
        <v>0</v>
      </c>
      <c r="S37" s="66"/>
      <c r="T37" s="66">
        <f>'[1]Univ Comm Fund'!H138</f>
        <v>5000000</v>
      </c>
      <c r="U37" s="66">
        <f>'[1]UNIV. LIB.2019'!H43</f>
        <v>5000000</v>
      </c>
      <c r="V37" s="66">
        <f t="shared" si="5"/>
        <v>0</v>
      </c>
      <c r="W37" s="66"/>
      <c r="X37" s="66">
        <f>'[1]Univ Comm Fund'!I138</f>
        <v>5000000</v>
      </c>
      <c r="Y37" s="66">
        <f>'[1]UNIV. LIB.2019'!I43</f>
        <v>5000000</v>
      </c>
      <c r="Z37" s="66">
        <f t="shared" si="6"/>
        <v>0</v>
      </c>
      <c r="AA37" s="66"/>
      <c r="AB37" s="66">
        <f>'[1]Univ Comm Fund'!J138</f>
        <v>6500000</v>
      </c>
      <c r="AC37" s="66">
        <f>'[1]UNIV. LIB.2019'!J43</f>
        <v>6500000</v>
      </c>
      <c r="AD37" s="66">
        <f t="shared" si="7"/>
        <v>0</v>
      </c>
      <c r="AE37" s="66"/>
      <c r="AF37" s="66">
        <f>'[1]Univ Comm Fund'!K138</f>
        <v>10000000</v>
      </c>
      <c r="AG37" s="66">
        <f>'[1]UNIV. LIB.2019'!K43</f>
        <v>10000000</v>
      </c>
      <c r="AH37" s="66">
        <f t="shared" si="8"/>
        <v>0</v>
      </c>
      <c r="AI37" s="66"/>
      <c r="AJ37" s="66">
        <f>'[1]Univ Comm Fund'!L138</f>
        <v>0</v>
      </c>
      <c r="AK37" s="66">
        <f>'[1]UNIV. LIB.2019'!L43</f>
        <v>0</v>
      </c>
      <c r="AL37" s="88">
        <f t="shared" si="9"/>
        <v>0</v>
      </c>
      <c r="AM37" s="66"/>
      <c r="AN37" s="66">
        <f>'[1]Univ Comm Fund'!M138</f>
        <v>0</v>
      </c>
      <c r="AO37" s="66">
        <f>'[1]UNIV. LIB.2019'!M43</f>
        <v>0</v>
      </c>
      <c r="AP37" s="66">
        <f t="shared" si="10"/>
        <v>0</v>
      </c>
      <c r="AQ37" s="66"/>
      <c r="AR37" s="66">
        <f>'[1]Univ Comm Fund'!N138</f>
        <v>25000000</v>
      </c>
      <c r="AS37" s="66">
        <f>'[1]UNIV. LIB.2019'!N43</f>
        <v>21250000</v>
      </c>
      <c r="AT37" s="66">
        <f t="shared" si="11"/>
        <v>3750000</v>
      </c>
      <c r="AU37" s="66"/>
      <c r="AV37" s="66">
        <f>'[1]Univ Comm Fund'!O138</f>
        <v>53000000</v>
      </c>
      <c r="AW37" s="66">
        <f>'[1]UNIV. LIB.2019'!O43</f>
        <v>45050000</v>
      </c>
      <c r="AX37" s="66">
        <f t="shared" si="12"/>
        <v>7950000</v>
      </c>
      <c r="AY37" s="66"/>
      <c r="AZ37" s="66">
        <f>'[1]Univ Comm Fund'!P138</f>
        <v>0</v>
      </c>
      <c r="BA37" s="66">
        <f>'[1]UNIV. LIB.2019'!P43</f>
        <v>0</v>
      </c>
      <c r="BB37" s="66">
        <f t="shared" si="0"/>
        <v>0</v>
      </c>
      <c r="BC37" s="106"/>
      <c r="BD37" s="66">
        <v>100000000</v>
      </c>
      <c r="BE37" s="66">
        <f>'[1]UNIV. LIB.2019'!Q43</f>
        <v>85000000</v>
      </c>
      <c r="BF37" s="66">
        <f t="shared" si="13"/>
        <v>15000000</v>
      </c>
      <c r="BG37" s="106"/>
      <c r="BH37" s="180">
        <v>0</v>
      </c>
      <c r="BI37" s="66">
        <f>'[1]UNIV. LIB.2019'!R43</f>
        <v>0</v>
      </c>
      <c r="BJ37" s="66">
        <f t="shared" si="14"/>
        <v>0</v>
      </c>
      <c r="BL37" s="66">
        <f>'[1]Univ Comm Fund'!S138</f>
        <v>34000000</v>
      </c>
      <c r="BM37" s="66">
        <f>'[1]UNIV. LIB.2019'!S43</f>
        <v>28900000</v>
      </c>
      <c r="BN37" s="66">
        <f t="shared" si="15"/>
        <v>5100000</v>
      </c>
      <c r="BP37" s="66">
        <f>'[1]Univ Comm Fund'!T138</f>
        <v>0</v>
      </c>
      <c r="BQ37" s="66">
        <f>'[1]UNIV. LIB.2019'!T43</f>
        <v>0</v>
      </c>
      <c r="BR37" s="66">
        <f t="shared" si="16"/>
        <v>0</v>
      </c>
      <c r="BT37" s="66">
        <f>'[1]Univ Comm Fund'!U138</f>
        <v>20000000</v>
      </c>
      <c r="BU37" s="66">
        <f>'[1]UNIV. LIB.2019'!U43</f>
        <v>0</v>
      </c>
      <c r="BV37" s="66">
        <f t="shared" si="17"/>
        <v>20000000</v>
      </c>
      <c r="BX37" s="66">
        <f t="shared" si="18"/>
        <v>272500000</v>
      </c>
      <c r="BY37" s="66">
        <f t="shared" si="18"/>
        <v>220700000</v>
      </c>
      <c r="BZ37" s="66">
        <f t="shared" si="19"/>
        <v>51800000</v>
      </c>
      <c r="CR37" s="166"/>
      <c r="CS37" s="166"/>
      <c r="CT37" s="166"/>
      <c r="CU37" s="166"/>
      <c r="EW37" s="16"/>
      <c r="HM37" s="162"/>
    </row>
    <row r="38" spans="1:221" s="4" customFormat="1" x14ac:dyDescent="0.25">
      <c r="A38" s="164">
        <v>32</v>
      </c>
      <c r="B38" s="164" t="s">
        <v>96</v>
      </c>
      <c r="C38" s="164"/>
      <c r="D38" s="66">
        <f>'[1]Univ Comm Fund'!D139</f>
        <v>3500000</v>
      </c>
      <c r="E38" s="66">
        <f>'[1]UNIV. LIB.2019'!D44</f>
        <v>3500000</v>
      </c>
      <c r="F38" s="66">
        <f t="shared" si="1"/>
        <v>0</v>
      </c>
      <c r="G38" s="66"/>
      <c r="H38" s="66">
        <f>'[1]Univ Comm Fund'!E139</f>
        <v>3500000</v>
      </c>
      <c r="I38" s="66">
        <f>'[1]UNIV. LIB.2019'!E44</f>
        <v>3500000</v>
      </c>
      <c r="J38" s="11">
        <f t="shared" si="2"/>
        <v>0</v>
      </c>
      <c r="K38" s="66"/>
      <c r="L38" s="66">
        <f>'[1]Univ Comm Fund'!F139</f>
        <v>2975000</v>
      </c>
      <c r="M38" s="66">
        <f>'[1]UNIV. LIB.2019'!F44</f>
        <v>2975000</v>
      </c>
      <c r="N38" s="66">
        <f t="shared" si="3"/>
        <v>0</v>
      </c>
      <c r="O38" s="66"/>
      <c r="P38" s="66">
        <f>'[1]Univ Comm Fund'!G139</f>
        <v>2975000</v>
      </c>
      <c r="Q38" s="66">
        <f>'[1]UNIV. LIB.2019'!G44</f>
        <v>2975000</v>
      </c>
      <c r="R38" s="66">
        <f t="shared" si="4"/>
        <v>0</v>
      </c>
      <c r="S38" s="66"/>
      <c r="T38" s="66">
        <f>'[1]Univ Comm Fund'!H139</f>
        <v>4250000</v>
      </c>
      <c r="U38" s="66">
        <f>'[1]UNIV. LIB.2019'!H44</f>
        <v>4250000</v>
      </c>
      <c r="V38" s="66">
        <f t="shared" si="5"/>
        <v>0</v>
      </c>
      <c r="W38" s="66"/>
      <c r="X38" s="66">
        <f>'[1]Univ Comm Fund'!I139</f>
        <v>5000000</v>
      </c>
      <c r="Y38" s="66">
        <f>'[1]UNIV. LIB.2019'!I44</f>
        <v>5000000</v>
      </c>
      <c r="Z38" s="66">
        <f t="shared" si="6"/>
        <v>0</v>
      </c>
      <c r="AA38" s="66"/>
      <c r="AB38" s="66">
        <f>'[1]Univ Comm Fund'!J139</f>
        <v>6500000</v>
      </c>
      <c r="AC38" s="66">
        <f>'[1]UNIV. LIB.2019'!J44</f>
        <v>6500000</v>
      </c>
      <c r="AD38" s="66">
        <f t="shared" si="7"/>
        <v>0</v>
      </c>
      <c r="AE38" s="66"/>
      <c r="AF38" s="66">
        <f>'[1]Univ Comm Fund'!K139</f>
        <v>10000000</v>
      </c>
      <c r="AG38" s="66">
        <f>'[1]UNIV. LIB.2019'!K44</f>
        <v>10000000</v>
      </c>
      <c r="AH38" s="66">
        <f t="shared" si="8"/>
        <v>0</v>
      </c>
      <c r="AI38" s="66"/>
      <c r="AJ38" s="66">
        <f>'[1]Univ Comm Fund'!L139</f>
        <v>10000000</v>
      </c>
      <c r="AK38" s="66">
        <f>'[1]UNIV. LIB.2019'!L44</f>
        <v>10000000</v>
      </c>
      <c r="AL38" s="88">
        <f t="shared" si="9"/>
        <v>0</v>
      </c>
      <c r="AM38" s="66"/>
      <c r="AN38" s="66">
        <f>'[1]Univ Comm Fund'!M139</f>
        <v>0</v>
      </c>
      <c r="AO38" s="66">
        <f>'[1]UNIV. LIB.2019'!M44</f>
        <v>0</v>
      </c>
      <c r="AP38" s="66">
        <f t="shared" si="10"/>
        <v>0</v>
      </c>
      <c r="AQ38" s="66"/>
      <c r="AR38" s="66">
        <f>'[1]Univ Comm Fund'!N139</f>
        <v>25000000</v>
      </c>
      <c r="AS38" s="66">
        <f>'[1]UNIV. LIB.2019'!N44</f>
        <v>0</v>
      </c>
      <c r="AT38" s="66">
        <f t="shared" si="11"/>
        <v>25000000</v>
      </c>
      <c r="AU38" s="66"/>
      <c r="AV38" s="66">
        <f>'[1]Univ Comm Fund'!O139</f>
        <v>53000000</v>
      </c>
      <c r="AW38" s="66">
        <f>'[1]UNIV. LIB.2019'!O44</f>
        <v>0</v>
      </c>
      <c r="AX38" s="66">
        <f t="shared" si="12"/>
        <v>53000000</v>
      </c>
      <c r="AY38" s="66"/>
      <c r="AZ38" s="66">
        <f>'[1]Univ Comm Fund'!P139</f>
        <v>60000000</v>
      </c>
      <c r="BA38" s="66">
        <f>'[1]UNIV. LIB.2019'!P44</f>
        <v>0</v>
      </c>
      <c r="BB38" s="66">
        <f t="shared" si="0"/>
        <v>60000000</v>
      </c>
      <c r="BC38" s="106"/>
      <c r="BD38" s="66">
        <v>100000000</v>
      </c>
      <c r="BE38" s="66">
        <f>'[1]UNIV. LIB.2019'!Q44</f>
        <v>0</v>
      </c>
      <c r="BF38" s="66">
        <f t="shared" si="13"/>
        <v>100000000</v>
      </c>
      <c r="BG38" s="106"/>
      <c r="BH38" s="66">
        <v>50000000</v>
      </c>
      <c r="BI38" s="66">
        <f>'[1]UNIV. LIB.2019'!R44</f>
        <v>0</v>
      </c>
      <c r="BJ38" s="66">
        <f t="shared" si="14"/>
        <v>50000000</v>
      </c>
      <c r="BL38" s="66">
        <f>'[1]Univ Comm Fund'!S139</f>
        <v>34000000</v>
      </c>
      <c r="BM38" s="66">
        <f>'[1]UNIV. LIB.2019'!S44</f>
        <v>0</v>
      </c>
      <c r="BN38" s="66">
        <f t="shared" si="15"/>
        <v>34000000</v>
      </c>
      <c r="BP38" s="66">
        <f>'[1]Univ Comm Fund'!T139</f>
        <v>30000000</v>
      </c>
      <c r="BQ38" s="66">
        <f>'[1]UNIV. LIB.2019'!T44</f>
        <v>0</v>
      </c>
      <c r="BR38" s="66">
        <f t="shared" si="16"/>
        <v>30000000</v>
      </c>
      <c r="BT38" s="66">
        <f>'[1]Univ Comm Fund'!U139</f>
        <v>20000000</v>
      </c>
      <c r="BU38" s="66">
        <f>'[1]UNIV. LIB.2019'!U44</f>
        <v>0</v>
      </c>
      <c r="BV38" s="66">
        <f t="shared" si="17"/>
        <v>20000000</v>
      </c>
      <c r="BX38" s="66">
        <f t="shared" si="18"/>
        <v>420700000</v>
      </c>
      <c r="BY38" s="66">
        <f t="shared" si="18"/>
        <v>48700000</v>
      </c>
      <c r="BZ38" s="66">
        <f t="shared" si="19"/>
        <v>372000000</v>
      </c>
      <c r="CR38" s="166"/>
      <c r="CS38" s="166"/>
      <c r="CT38" s="166"/>
      <c r="CU38" s="166"/>
      <c r="EW38" s="16"/>
      <c r="HM38" s="162"/>
    </row>
    <row r="39" spans="1:221" s="4" customFormat="1" x14ac:dyDescent="0.25">
      <c r="A39" s="164">
        <v>33</v>
      </c>
      <c r="B39" s="164" t="s">
        <v>159</v>
      </c>
      <c r="C39" s="164"/>
      <c r="D39" s="66">
        <f>'[1]Univ Comm Fund'!D140</f>
        <v>3500000</v>
      </c>
      <c r="E39" s="66">
        <f>'[1]UNIV. LIB.2019'!D45</f>
        <v>3500000</v>
      </c>
      <c r="F39" s="66">
        <f t="shared" si="1"/>
        <v>0</v>
      </c>
      <c r="G39" s="66"/>
      <c r="H39" s="66">
        <f>'[1]Univ Comm Fund'!E140</f>
        <v>3500000</v>
      </c>
      <c r="I39" s="66">
        <f>'[1]UNIV. LIB.2019'!E45</f>
        <v>3500000</v>
      </c>
      <c r="J39" s="11">
        <f t="shared" si="2"/>
        <v>0</v>
      </c>
      <c r="K39" s="66"/>
      <c r="L39" s="66">
        <f>'[1]Univ Comm Fund'!F140</f>
        <v>3500000</v>
      </c>
      <c r="M39" s="66">
        <f>'[1]UNIV. LIB.2019'!F45</f>
        <v>3500000</v>
      </c>
      <c r="N39" s="66">
        <f t="shared" si="3"/>
        <v>0</v>
      </c>
      <c r="O39" s="66"/>
      <c r="P39" s="66">
        <f>'[1]Univ Comm Fund'!G140</f>
        <v>2550000</v>
      </c>
      <c r="Q39" s="66">
        <f>'[1]UNIV. LIB.2019'!G45</f>
        <v>2550000</v>
      </c>
      <c r="R39" s="66">
        <f t="shared" si="4"/>
        <v>0</v>
      </c>
      <c r="S39" s="66"/>
      <c r="T39" s="66">
        <f>'[1]Univ Comm Fund'!H140</f>
        <v>4250000</v>
      </c>
      <c r="U39" s="66">
        <f>'[1]UNIV. LIB.2019'!H45</f>
        <v>4250000</v>
      </c>
      <c r="V39" s="66">
        <f t="shared" si="5"/>
        <v>0</v>
      </c>
      <c r="W39" s="66"/>
      <c r="X39" s="66">
        <f>'[1]Univ Comm Fund'!I140</f>
        <v>4250000</v>
      </c>
      <c r="Y39" s="66">
        <f>'[1]UNIV. LIB.2019'!I45</f>
        <v>4250000</v>
      </c>
      <c r="Z39" s="66">
        <f t="shared" si="6"/>
        <v>0</v>
      </c>
      <c r="AA39" s="66"/>
      <c r="AB39" s="66">
        <f>'[1]Univ Comm Fund'!J140</f>
        <v>6500000</v>
      </c>
      <c r="AC39" s="66">
        <f>'[1]UNIV. LIB.2019'!J45</f>
        <v>6500000</v>
      </c>
      <c r="AD39" s="66">
        <f t="shared" si="7"/>
        <v>0</v>
      </c>
      <c r="AE39" s="66"/>
      <c r="AF39" s="66">
        <f>'[1]Univ Comm Fund'!K140</f>
        <v>10000000</v>
      </c>
      <c r="AG39" s="66">
        <f>'[1]UNIV. LIB.2019'!K45</f>
        <v>10000000</v>
      </c>
      <c r="AH39" s="66">
        <f t="shared" si="8"/>
        <v>0</v>
      </c>
      <c r="AI39" s="66"/>
      <c r="AJ39" s="66">
        <f>'[1]Univ Comm Fund'!L140</f>
        <v>10000000</v>
      </c>
      <c r="AK39" s="66">
        <f>'[1]UNIV. LIB.2019'!L45</f>
        <v>10000000</v>
      </c>
      <c r="AL39" s="88">
        <f t="shared" si="9"/>
        <v>0</v>
      </c>
      <c r="AM39" s="66"/>
      <c r="AN39" s="66">
        <f>'[1]Univ Comm Fund'!M140</f>
        <v>20000000</v>
      </c>
      <c r="AO39" s="66">
        <f>'[1]UNIV. LIB.2019'!M45</f>
        <v>20000000</v>
      </c>
      <c r="AP39" s="66">
        <f t="shared" si="10"/>
        <v>0</v>
      </c>
      <c r="AQ39" s="66"/>
      <c r="AR39" s="66">
        <f>'[1]Univ Comm Fund'!N140</f>
        <v>25000000</v>
      </c>
      <c r="AS39" s="66">
        <f>'[1]UNIV. LIB.2019'!N45</f>
        <v>25000000</v>
      </c>
      <c r="AT39" s="66">
        <f t="shared" si="11"/>
        <v>0</v>
      </c>
      <c r="AU39" s="66"/>
      <c r="AV39" s="66">
        <f>'[1]Univ Comm Fund'!O140</f>
        <v>53000000</v>
      </c>
      <c r="AW39" s="66">
        <f>'[1]UNIV. LIB.2019'!O45</f>
        <v>53000000</v>
      </c>
      <c r="AX39" s="66">
        <f t="shared" si="12"/>
        <v>0</v>
      </c>
      <c r="AY39" s="66"/>
      <c r="AZ39" s="66">
        <f>'[1]Univ Comm Fund'!P140</f>
        <v>60000000</v>
      </c>
      <c r="BA39" s="66">
        <f>'[1]UNIV. LIB.2019'!P45</f>
        <v>60000000</v>
      </c>
      <c r="BB39" s="66">
        <f t="shared" si="0"/>
        <v>0</v>
      </c>
      <c r="BC39" s="106"/>
      <c r="BD39" s="66">
        <v>100000000</v>
      </c>
      <c r="BE39" s="66">
        <f>'[1]UNIV. LIB.2019'!Q45</f>
        <v>100000000</v>
      </c>
      <c r="BF39" s="66">
        <f t="shared" si="13"/>
        <v>0</v>
      </c>
      <c r="BG39" s="106"/>
      <c r="BH39" s="66">
        <v>50000000</v>
      </c>
      <c r="BI39" s="66">
        <f>'[1]UNIV. LIB.2019'!R45</f>
        <v>50000000</v>
      </c>
      <c r="BJ39" s="66">
        <f t="shared" si="14"/>
        <v>0</v>
      </c>
      <c r="BL39" s="66">
        <f>'[1]Univ Comm Fund'!S140</f>
        <v>34000000</v>
      </c>
      <c r="BM39" s="66">
        <f>'[1]UNIV. LIB.2019'!S45</f>
        <v>34000000</v>
      </c>
      <c r="BN39" s="66">
        <f t="shared" si="15"/>
        <v>0</v>
      </c>
      <c r="BP39" s="66">
        <f>'[1]Univ Comm Fund'!T140</f>
        <v>30000000</v>
      </c>
      <c r="BQ39" s="66">
        <f>'[1]UNIV. LIB.2019'!T45</f>
        <v>0</v>
      </c>
      <c r="BR39" s="66">
        <f t="shared" si="16"/>
        <v>30000000</v>
      </c>
      <c r="BT39" s="66">
        <f>'[1]Univ Comm Fund'!U140</f>
        <v>20000000</v>
      </c>
      <c r="BU39" s="66">
        <f>'[1]UNIV. LIB.2019'!U45</f>
        <v>0</v>
      </c>
      <c r="BV39" s="66">
        <f t="shared" si="17"/>
        <v>20000000</v>
      </c>
      <c r="BX39" s="66">
        <f t="shared" si="18"/>
        <v>440050000</v>
      </c>
      <c r="BY39" s="66">
        <f t="shared" si="18"/>
        <v>390050000</v>
      </c>
      <c r="BZ39" s="66">
        <f t="shared" si="19"/>
        <v>50000000</v>
      </c>
      <c r="CR39" s="166"/>
      <c r="CS39" s="166"/>
      <c r="CT39" s="166"/>
      <c r="CU39" s="166"/>
      <c r="EW39" s="16"/>
      <c r="HM39" s="162"/>
    </row>
    <row r="40" spans="1:221" s="4" customFormat="1" x14ac:dyDescent="0.25">
      <c r="A40" s="164">
        <v>34</v>
      </c>
      <c r="B40" s="164" t="s">
        <v>98</v>
      </c>
      <c r="C40" s="164"/>
      <c r="D40" s="66">
        <f>'[1]Univ Comm Fund'!D141</f>
        <v>3500000</v>
      </c>
      <c r="E40" s="66">
        <f>'[1]UNIV. LIB.2019'!D46</f>
        <v>3500000</v>
      </c>
      <c r="F40" s="66">
        <f t="shared" si="1"/>
        <v>0</v>
      </c>
      <c r="G40" s="66"/>
      <c r="H40" s="66">
        <f>'[1]Univ Comm Fund'!E141</f>
        <v>3500000</v>
      </c>
      <c r="I40" s="66">
        <f>'[1]UNIV. LIB.2019'!E46</f>
        <v>3500000</v>
      </c>
      <c r="J40" s="11">
        <f t="shared" si="2"/>
        <v>0</v>
      </c>
      <c r="K40" s="66"/>
      <c r="L40" s="66">
        <f>'[1]Univ Comm Fund'!F141</f>
        <v>3500000</v>
      </c>
      <c r="M40" s="66">
        <f>'[1]UNIV. LIB.2019'!F46</f>
        <v>3500000</v>
      </c>
      <c r="N40" s="66">
        <f t="shared" si="3"/>
        <v>0</v>
      </c>
      <c r="O40" s="66"/>
      <c r="P40" s="66">
        <f>'[1]Univ Comm Fund'!G141</f>
        <v>3500000</v>
      </c>
      <c r="Q40" s="66">
        <f>'[1]UNIV. LIB.2019'!G46</f>
        <v>3500000</v>
      </c>
      <c r="R40" s="66">
        <f t="shared" si="4"/>
        <v>0</v>
      </c>
      <c r="S40" s="66"/>
      <c r="T40" s="66">
        <f>'[1]Univ Comm Fund'!H141</f>
        <v>5000000</v>
      </c>
      <c r="U40" s="66">
        <f>'[1]UNIV. LIB.2019'!H46</f>
        <v>5000000</v>
      </c>
      <c r="V40" s="66">
        <f t="shared" si="5"/>
        <v>0</v>
      </c>
      <c r="W40" s="66"/>
      <c r="X40" s="66">
        <f>'[1]Univ Comm Fund'!I141</f>
        <v>5000000</v>
      </c>
      <c r="Y40" s="66">
        <f>'[1]UNIV. LIB.2019'!I46</f>
        <v>5000000</v>
      </c>
      <c r="Z40" s="66">
        <f t="shared" si="6"/>
        <v>0</v>
      </c>
      <c r="AA40" s="66"/>
      <c r="AB40" s="66">
        <f>'[1]Univ Comm Fund'!J141</f>
        <v>6500000</v>
      </c>
      <c r="AC40" s="66">
        <f>'[1]UNIV. LIB.2019'!J46</f>
        <v>6500000</v>
      </c>
      <c r="AD40" s="66">
        <f t="shared" si="7"/>
        <v>0</v>
      </c>
      <c r="AE40" s="66"/>
      <c r="AF40" s="66">
        <f>'[1]Univ Comm Fund'!K141</f>
        <v>10000000</v>
      </c>
      <c r="AG40" s="66">
        <f>'[1]UNIV. LIB.2019'!K46</f>
        <v>10000000</v>
      </c>
      <c r="AH40" s="66">
        <f t="shared" si="8"/>
        <v>0</v>
      </c>
      <c r="AI40" s="66"/>
      <c r="AJ40" s="66">
        <f>'[1]Univ Comm Fund'!L141</f>
        <v>10000000</v>
      </c>
      <c r="AK40" s="66">
        <f>'[1]UNIV. LIB.2019'!L46</f>
        <v>10000000</v>
      </c>
      <c r="AL40" s="88">
        <f t="shared" si="9"/>
        <v>0</v>
      </c>
      <c r="AM40" s="66"/>
      <c r="AN40" s="66">
        <f>'[1]Univ Comm Fund'!M141</f>
        <v>20000000</v>
      </c>
      <c r="AO40" s="66">
        <f>'[1]UNIV. LIB.2019'!M46</f>
        <v>20000000</v>
      </c>
      <c r="AP40" s="66">
        <f t="shared" si="10"/>
        <v>0</v>
      </c>
      <c r="AQ40" s="66"/>
      <c r="AR40" s="66">
        <f>'[1]Univ Comm Fund'!N141</f>
        <v>25000000</v>
      </c>
      <c r="AS40" s="66">
        <f>'[1]UNIV. LIB.2019'!N46</f>
        <v>21250000</v>
      </c>
      <c r="AT40" s="66">
        <f t="shared" si="11"/>
        <v>3750000</v>
      </c>
      <c r="AU40" s="66"/>
      <c r="AV40" s="66">
        <f>'[1]Univ Comm Fund'!O141</f>
        <v>53000000</v>
      </c>
      <c r="AW40" s="66">
        <f>'[1]UNIV. LIB.2019'!O46</f>
        <v>45050000</v>
      </c>
      <c r="AX40" s="66">
        <f t="shared" si="12"/>
        <v>7950000</v>
      </c>
      <c r="AY40" s="66"/>
      <c r="AZ40" s="66">
        <f>'[1]Univ Comm Fund'!P141</f>
        <v>60000000</v>
      </c>
      <c r="BA40" s="66">
        <f>'[1]UNIV. LIB.2019'!P46</f>
        <v>51000000</v>
      </c>
      <c r="BB40" s="66">
        <f t="shared" si="0"/>
        <v>9000000</v>
      </c>
      <c r="BC40" s="106"/>
      <c r="BD40" s="66">
        <v>100000000</v>
      </c>
      <c r="BE40" s="66">
        <f>'[1]UNIV. LIB.2019'!Q46</f>
        <v>85000000</v>
      </c>
      <c r="BF40" s="66">
        <f t="shared" si="13"/>
        <v>15000000</v>
      </c>
      <c r="BG40" s="106"/>
      <c r="BH40" s="66">
        <v>50000000</v>
      </c>
      <c r="BI40" s="66">
        <f>'[1]UNIV. LIB.2019'!R46</f>
        <v>42500000</v>
      </c>
      <c r="BJ40" s="66">
        <f t="shared" si="14"/>
        <v>7500000</v>
      </c>
      <c r="BL40" s="66">
        <f>'[1]Univ Comm Fund'!S141</f>
        <v>34000000</v>
      </c>
      <c r="BM40" s="66">
        <f>'[1]UNIV. LIB.2019'!S46</f>
        <v>0</v>
      </c>
      <c r="BN40" s="66">
        <f t="shared" si="15"/>
        <v>34000000</v>
      </c>
      <c r="BP40" s="66">
        <f>'[1]Univ Comm Fund'!T141</f>
        <v>30000000</v>
      </c>
      <c r="BQ40" s="66">
        <f>'[1]UNIV. LIB.2019'!T46</f>
        <v>0</v>
      </c>
      <c r="BR40" s="66">
        <f t="shared" si="16"/>
        <v>30000000</v>
      </c>
      <c r="BT40" s="66">
        <f>'[1]Univ Comm Fund'!U141</f>
        <v>20000000</v>
      </c>
      <c r="BU40" s="66">
        <f>'[1]UNIV. LIB.2019'!U46</f>
        <v>0</v>
      </c>
      <c r="BV40" s="66">
        <f t="shared" si="17"/>
        <v>20000000</v>
      </c>
      <c r="BX40" s="66">
        <f t="shared" si="18"/>
        <v>442500000</v>
      </c>
      <c r="BY40" s="66">
        <f t="shared" si="18"/>
        <v>315300000</v>
      </c>
      <c r="BZ40" s="66">
        <f t="shared" si="19"/>
        <v>127200000</v>
      </c>
      <c r="CR40" s="166"/>
      <c r="CS40" s="166"/>
      <c r="CT40" s="166"/>
      <c r="CU40" s="166"/>
      <c r="EW40" s="16"/>
      <c r="HM40" s="162"/>
    </row>
    <row r="41" spans="1:221" s="4" customFormat="1" x14ac:dyDescent="0.25">
      <c r="A41" s="164">
        <v>35</v>
      </c>
      <c r="B41" s="164" t="s">
        <v>99</v>
      </c>
      <c r="C41" s="164"/>
      <c r="D41" s="66">
        <f>'[1]Univ Comm Fund'!D142</f>
        <v>3500000</v>
      </c>
      <c r="E41" s="66">
        <f>'[1]UNIV. LIB.2019'!D47</f>
        <v>3500000</v>
      </c>
      <c r="F41" s="66">
        <f t="shared" si="1"/>
        <v>0</v>
      </c>
      <c r="G41" s="66"/>
      <c r="H41" s="66">
        <f>'[1]Univ Comm Fund'!E142</f>
        <v>3500000</v>
      </c>
      <c r="I41" s="66">
        <f>'[1]UNIV. LIB.2019'!E47</f>
        <v>3500000</v>
      </c>
      <c r="J41" s="11">
        <f t="shared" si="2"/>
        <v>0</v>
      </c>
      <c r="K41" s="66"/>
      <c r="L41" s="66">
        <f>'[1]Univ Comm Fund'!F142</f>
        <v>3500000</v>
      </c>
      <c r="M41" s="66">
        <f>'[1]UNIV. LIB.2019'!F47</f>
        <v>3500000</v>
      </c>
      <c r="N41" s="66">
        <f t="shared" si="3"/>
        <v>0</v>
      </c>
      <c r="O41" s="66"/>
      <c r="P41" s="66">
        <f>'[1]Univ Comm Fund'!G142</f>
        <v>3500000</v>
      </c>
      <c r="Q41" s="66">
        <f>'[1]UNIV. LIB.2019'!G47</f>
        <v>3500000</v>
      </c>
      <c r="R41" s="66">
        <f t="shared" si="4"/>
        <v>0</v>
      </c>
      <c r="S41" s="66"/>
      <c r="T41" s="66">
        <f>'[1]Univ Comm Fund'!H142</f>
        <v>5000000</v>
      </c>
      <c r="U41" s="66">
        <f>'[1]UNIV. LIB.2019'!H47</f>
        <v>5000000</v>
      </c>
      <c r="V41" s="66">
        <f t="shared" si="5"/>
        <v>0</v>
      </c>
      <c r="W41" s="66"/>
      <c r="X41" s="66">
        <f>'[1]Univ Comm Fund'!I142</f>
        <v>5000000</v>
      </c>
      <c r="Y41" s="66">
        <f>'[1]UNIV. LIB.2019'!I47</f>
        <v>5000000</v>
      </c>
      <c r="Z41" s="66">
        <f t="shared" si="6"/>
        <v>0</v>
      </c>
      <c r="AA41" s="66"/>
      <c r="AB41" s="66">
        <f>'[1]Univ Comm Fund'!J142</f>
        <v>5525000</v>
      </c>
      <c r="AC41" s="66">
        <f>'[1]UNIV. LIB.2019'!J47</f>
        <v>5525000</v>
      </c>
      <c r="AD41" s="66">
        <f t="shared" si="7"/>
        <v>0</v>
      </c>
      <c r="AE41" s="66"/>
      <c r="AF41" s="66">
        <f>'[1]Univ Comm Fund'!K142</f>
        <v>8500000</v>
      </c>
      <c r="AG41" s="66">
        <f>'[1]UNIV. LIB.2019'!K47</f>
        <v>8500000</v>
      </c>
      <c r="AH41" s="66">
        <f t="shared" si="8"/>
        <v>0</v>
      </c>
      <c r="AI41" s="66"/>
      <c r="AJ41" s="66">
        <f>'[1]Univ Comm Fund'!L142</f>
        <v>8500000</v>
      </c>
      <c r="AK41" s="66">
        <f>'[1]UNIV. LIB.2019'!L47</f>
        <v>8500000</v>
      </c>
      <c r="AL41" s="88">
        <f t="shared" si="9"/>
        <v>0</v>
      </c>
      <c r="AM41" s="66"/>
      <c r="AN41" s="66">
        <f>'[1]Univ Comm Fund'!M142</f>
        <v>17000000</v>
      </c>
      <c r="AO41" s="66">
        <f>'[1]UNIV. LIB.2019'!M47</f>
        <v>17000000</v>
      </c>
      <c r="AP41" s="66">
        <f t="shared" si="10"/>
        <v>0</v>
      </c>
      <c r="AQ41" s="66"/>
      <c r="AR41" s="66">
        <f>'[1]Univ Comm Fund'!N142</f>
        <v>25000000</v>
      </c>
      <c r="AS41" s="66">
        <f>'[1]UNIV. LIB.2019'!N47</f>
        <v>21250000</v>
      </c>
      <c r="AT41" s="66">
        <f t="shared" si="11"/>
        <v>3750000</v>
      </c>
      <c r="AU41" s="66"/>
      <c r="AV41" s="66">
        <f>'[1]Univ Comm Fund'!O142</f>
        <v>53000000</v>
      </c>
      <c r="AW41" s="66">
        <f>'[1]UNIV. LIB.2019'!O47</f>
        <v>45050000</v>
      </c>
      <c r="AX41" s="66">
        <f t="shared" si="12"/>
        <v>7950000</v>
      </c>
      <c r="AY41" s="66"/>
      <c r="AZ41" s="66">
        <f>'[1]Univ Comm Fund'!P142</f>
        <v>60000000</v>
      </c>
      <c r="BA41" s="66">
        <f>'[1]UNIV. LIB.2019'!P47</f>
        <v>51000000</v>
      </c>
      <c r="BB41" s="66">
        <f t="shared" si="0"/>
        <v>9000000</v>
      </c>
      <c r="BC41" s="106"/>
      <c r="BD41" s="66">
        <v>100000000</v>
      </c>
      <c r="BE41" s="66">
        <f>'[1]UNIV. LIB.2019'!Q47</f>
        <v>85000000</v>
      </c>
      <c r="BF41" s="66">
        <f t="shared" si="13"/>
        <v>15000000</v>
      </c>
      <c r="BG41" s="106"/>
      <c r="BH41" s="66">
        <v>50000000</v>
      </c>
      <c r="BI41" s="66">
        <f>'[1]UNIV. LIB.2019'!R47</f>
        <v>0</v>
      </c>
      <c r="BJ41" s="66">
        <f t="shared" si="14"/>
        <v>50000000</v>
      </c>
      <c r="BL41" s="66">
        <f>'[1]Univ Comm Fund'!S142</f>
        <v>34000000</v>
      </c>
      <c r="BM41" s="66">
        <f>'[1]UNIV. LIB.2019'!S47</f>
        <v>0</v>
      </c>
      <c r="BN41" s="66">
        <f t="shared" si="15"/>
        <v>34000000</v>
      </c>
      <c r="BP41" s="66">
        <f>'[1]Univ Comm Fund'!T142</f>
        <v>30000000</v>
      </c>
      <c r="BQ41" s="66">
        <f>'[1]UNIV. LIB.2019'!T47</f>
        <v>0</v>
      </c>
      <c r="BR41" s="66">
        <f t="shared" si="16"/>
        <v>30000000</v>
      </c>
      <c r="BT41" s="66">
        <f>'[1]Univ Comm Fund'!U142</f>
        <v>20000000</v>
      </c>
      <c r="BU41" s="66">
        <f>'[1]UNIV. LIB.2019'!U47</f>
        <v>0</v>
      </c>
      <c r="BV41" s="66">
        <f t="shared" si="17"/>
        <v>20000000</v>
      </c>
      <c r="BX41" s="66">
        <f t="shared" si="18"/>
        <v>435525000</v>
      </c>
      <c r="BY41" s="66">
        <f t="shared" si="18"/>
        <v>265825000</v>
      </c>
      <c r="BZ41" s="66">
        <f t="shared" si="19"/>
        <v>169700000</v>
      </c>
      <c r="CR41" s="166"/>
      <c r="CS41" s="166"/>
      <c r="CT41" s="166"/>
      <c r="CU41" s="166"/>
      <c r="EW41" s="16"/>
      <c r="HM41" s="162"/>
    </row>
    <row r="42" spans="1:221" s="4" customFormat="1" x14ac:dyDescent="0.25">
      <c r="A42" s="164">
        <v>36</v>
      </c>
      <c r="B42" s="164" t="s">
        <v>100</v>
      </c>
      <c r="C42" s="164"/>
      <c r="D42" s="66">
        <f>'[1]Univ Comm Fund'!D143</f>
        <v>3500000</v>
      </c>
      <c r="E42" s="66">
        <f>'[1]UNIV. LIB.2019'!D48</f>
        <v>3500000</v>
      </c>
      <c r="F42" s="66">
        <f t="shared" si="1"/>
        <v>0</v>
      </c>
      <c r="G42" s="66"/>
      <c r="H42" s="66">
        <f>'[1]Univ Comm Fund'!E143</f>
        <v>3500000</v>
      </c>
      <c r="I42" s="66">
        <f>'[1]UNIV. LIB.2019'!E48</f>
        <v>3500000</v>
      </c>
      <c r="J42" s="11">
        <f t="shared" si="2"/>
        <v>0</v>
      </c>
      <c r="K42" s="66"/>
      <c r="L42" s="66">
        <f>'[1]Univ Comm Fund'!F143</f>
        <v>3500000</v>
      </c>
      <c r="M42" s="66">
        <f>'[1]UNIV. LIB.2019'!F48</f>
        <v>3500000</v>
      </c>
      <c r="N42" s="66">
        <f t="shared" si="3"/>
        <v>0</v>
      </c>
      <c r="O42" s="66"/>
      <c r="P42" s="66">
        <f>'[1]Univ Comm Fund'!G143</f>
        <v>3500000</v>
      </c>
      <c r="Q42" s="66">
        <f>'[1]UNIV. LIB.2019'!G48</f>
        <v>3500000</v>
      </c>
      <c r="R42" s="66">
        <f t="shared" si="4"/>
        <v>0</v>
      </c>
      <c r="S42" s="66"/>
      <c r="T42" s="66">
        <f>'[1]Univ Comm Fund'!H143</f>
        <v>5000000</v>
      </c>
      <c r="U42" s="66">
        <f>'[1]UNIV. LIB.2019'!H48</f>
        <v>5000000</v>
      </c>
      <c r="V42" s="66">
        <f t="shared" si="5"/>
        <v>0</v>
      </c>
      <c r="W42" s="66"/>
      <c r="X42" s="66">
        <f>'[1]Univ Comm Fund'!I143</f>
        <v>5000000</v>
      </c>
      <c r="Y42" s="66">
        <f>'[1]UNIV. LIB.2019'!I48</f>
        <v>5000000</v>
      </c>
      <c r="Z42" s="66">
        <f t="shared" si="6"/>
        <v>0</v>
      </c>
      <c r="AA42" s="66"/>
      <c r="AB42" s="66">
        <f>'[1]Univ Comm Fund'!J143</f>
        <v>6500000</v>
      </c>
      <c r="AC42" s="66">
        <f>'[1]UNIV. LIB.2019'!J48</f>
        <v>6500000</v>
      </c>
      <c r="AD42" s="66">
        <f t="shared" si="7"/>
        <v>0</v>
      </c>
      <c r="AE42" s="66"/>
      <c r="AF42" s="66">
        <f>'[1]Univ Comm Fund'!K143</f>
        <v>10000000</v>
      </c>
      <c r="AG42" s="66">
        <f>'[1]UNIV. LIB.2019'!K48</f>
        <v>10000000</v>
      </c>
      <c r="AH42" s="66">
        <f t="shared" si="8"/>
        <v>0</v>
      </c>
      <c r="AI42" s="66"/>
      <c r="AJ42" s="66">
        <f>'[1]Univ Comm Fund'!L143</f>
        <v>10000000</v>
      </c>
      <c r="AK42" s="66">
        <f>'[1]UNIV. LIB.2019'!L48</f>
        <v>10000000</v>
      </c>
      <c r="AL42" s="88">
        <f t="shared" si="9"/>
        <v>0</v>
      </c>
      <c r="AM42" s="66"/>
      <c r="AN42" s="66">
        <f>'[1]Univ Comm Fund'!M143</f>
        <v>20000000</v>
      </c>
      <c r="AO42" s="66">
        <f>'[1]UNIV. LIB.2019'!M48</f>
        <v>20000000</v>
      </c>
      <c r="AP42" s="66">
        <f t="shared" si="10"/>
        <v>0</v>
      </c>
      <c r="AQ42" s="66"/>
      <c r="AR42" s="66">
        <f>'[1]Univ Comm Fund'!N143</f>
        <v>25000000</v>
      </c>
      <c r="AS42" s="66">
        <f>'[1]UNIV. LIB.2019'!N48</f>
        <v>25000000</v>
      </c>
      <c r="AT42" s="66">
        <f t="shared" si="11"/>
        <v>0</v>
      </c>
      <c r="AU42" s="66"/>
      <c r="AV42" s="66">
        <f>'[1]Univ Comm Fund'!O143</f>
        <v>53000000</v>
      </c>
      <c r="AW42" s="66">
        <f>'[1]UNIV. LIB.2019'!O48</f>
        <v>53000000</v>
      </c>
      <c r="AX42" s="66">
        <f t="shared" si="12"/>
        <v>0</v>
      </c>
      <c r="AY42" s="66"/>
      <c r="AZ42" s="66">
        <f>'[1]Univ Comm Fund'!P143</f>
        <v>60000000</v>
      </c>
      <c r="BA42" s="66">
        <f>'[1]UNIV. LIB.2019'!P48</f>
        <v>51000000</v>
      </c>
      <c r="BB42" s="66">
        <f t="shared" si="0"/>
        <v>9000000</v>
      </c>
      <c r="BC42" s="106"/>
      <c r="BD42" s="66">
        <v>100000000</v>
      </c>
      <c r="BE42" s="66">
        <f>'[1]UNIV. LIB.2019'!Q48</f>
        <v>85000000</v>
      </c>
      <c r="BF42" s="66">
        <f t="shared" si="13"/>
        <v>15000000</v>
      </c>
      <c r="BG42" s="106"/>
      <c r="BH42" s="66">
        <v>50000000</v>
      </c>
      <c r="BI42" s="66">
        <f>'[1]UNIV. LIB.2019'!R48</f>
        <v>42500000</v>
      </c>
      <c r="BJ42" s="66">
        <f t="shared" si="14"/>
        <v>7500000</v>
      </c>
      <c r="BL42" s="66">
        <f>'[1]Univ Comm Fund'!S143</f>
        <v>34000000</v>
      </c>
      <c r="BM42" s="66">
        <f>'[1]UNIV. LIB.2019'!S48</f>
        <v>0</v>
      </c>
      <c r="BN42" s="66">
        <f t="shared" si="15"/>
        <v>34000000</v>
      </c>
      <c r="BP42" s="66">
        <f>'[1]Univ Comm Fund'!T143</f>
        <v>30000000</v>
      </c>
      <c r="BQ42" s="66">
        <f>'[1]UNIV. LIB.2019'!T48</f>
        <v>0</v>
      </c>
      <c r="BR42" s="66">
        <f t="shared" si="16"/>
        <v>30000000</v>
      </c>
      <c r="BT42" s="66">
        <f>'[1]Univ Comm Fund'!U143</f>
        <v>20000000</v>
      </c>
      <c r="BU42" s="66">
        <f>'[1]UNIV. LIB.2019'!U48</f>
        <v>0</v>
      </c>
      <c r="BV42" s="66">
        <f t="shared" si="17"/>
        <v>20000000</v>
      </c>
      <c r="BX42" s="66">
        <f t="shared" si="18"/>
        <v>442500000</v>
      </c>
      <c r="BY42" s="66">
        <f t="shared" si="18"/>
        <v>327000000</v>
      </c>
      <c r="BZ42" s="66">
        <f t="shared" si="19"/>
        <v>115500000</v>
      </c>
      <c r="CR42" s="166"/>
      <c r="CS42" s="166"/>
      <c r="CT42" s="166"/>
      <c r="CU42" s="166"/>
      <c r="EW42" s="16"/>
      <c r="HM42" s="162"/>
    </row>
    <row r="43" spans="1:221" s="4" customFormat="1" ht="15.75" x14ac:dyDescent="0.25">
      <c r="A43" s="164">
        <v>37</v>
      </c>
      <c r="B43" s="107" t="s">
        <v>101</v>
      </c>
      <c r="C43" s="164"/>
      <c r="D43" s="66">
        <f>'[1]Univ Comm Fund'!D144</f>
        <v>3500000</v>
      </c>
      <c r="E43" s="66">
        <f>'[1]UNIV. LIB.2019'!D49</f>
        <v>3500000</v>
      </c>
      <c r="F43" s="66">
        <f t="shared" si="1"/>
        <v>0</v>
      </c>
      <c r="G43" s="66"/>
      <c r="H43" s="66">
        <f>'[1]Univ Comm Fund'!E144</f>
        <v>3500000</v>
      </c>
      <c r="I43" s="66">
        <f>'[1]UNIV. LIB.2019'!E49</f>
        <v>3500000</v>
      </c>
      <c r="J43" s="11">
        <f t="shared" si="2"/>
        <v>0</v>
      </c>
      <c r="K43" s="66"/>
      <c r="L43" s="66">
        <f>'[1]Univ Comm Fund'!F144</f>
        <v>3500000</v>
      </c>
      <c r="M43" s="66">
        <f>'[1]UNIV. LIB.2019'!F49</f>
        <v>3500000</v>
      </c>
      <c r="N43" s="66">
        <f t="shared" si="3"/>
        <v>0</v>
      </c>
      <c r="O43" s="66"/>
      <c r="P43" s="66">
        <f>'[1]Univ Comm Fund'!G144</f>
        <v>3500000</v>
      </c>
      <c r="Q43" s="66">
        <f>'[1]UNIV. LIB.2019'!G49</f>
        <v>3500000</v>
      </c>
      <c r="R43" s="66">
        <f t="shared" si="4"/>
        <v>0</v>
      </c>
      <c r="S43" s="66"/>
      <c r="T43" s="66">
        <f>'[1]Univ Comm Fund'!H144</f>
        <v>5000000</v>
      </c>
      <c r="U43" s="66">
        <f>'[1]UNIV. LIB.2019'!H49</f>
        <v>5000000</v>
      </c>
      <c r="V43" s="66">
        <f t="shared" si="5"/>
        <v>0</v>
      </c>
      <c r="W43" s="66"/>
      <c r="X43" s="66">
        <f>'[1]Univ Comm Fund'!I144</f>
        <v>5000000</v>
      </c>
      <c r="Y43" s="66">
        <f>'[1]UNIV. LIB.2019'!I49</f>
        <v>5000000</v>
      </c>
      <c r="Z43" s="66">
        <f t="shared" si="6"/>
        <v>0</v>
      </c>
      <c r="AA43" s="66"/>
      <c r="AB43" s="66">
        <f>'[1]Univ Comm Fund'!J144</f>
        <v>6500000</v>
      </c>
      <c r="AC43" s="66">
        <f>'[1]UNIV. LIB.2019'!J49</f>
        <v>6500000</v>
      </c>
      <c r="AD43" s="66">
        <f t="shared" si="7"/>
        <v>0</v>
      </c>
      <c r="AE43" s="66"/>
      <c r="AF43" s="66">
        <f>'[1]Univ Comm Fund'!K144</f>
        <v>10000000</v>
      </c>
      <c r="AG43" s="66">
        <f>'[1]UNIV. LIB.2019'!K49</f>
        <v>10000000</v>
      </c>
      <c r="AH43" s="66">
        <f t="shared" si="8"/>
        <v>0</v>
      </c>
      <c r="AI43" s="66"/>
      <c r="AJ43" s="66">
        <f>'[1]Univ Comm Fund'!L144</f>
        <v>10000000</v>
      </c>
      <c r="AK43" s="66">
        <f>'[1]UNIV. LIB.2019'!L49</f>
        <v>10000000</v>
      </c>
      <c r="AL43" s="88">
        <f t="shared" si="9"/>
        <v>0</v>
      </c>
      <c r="AM43" s="66"/>
      <c r="AN43" s="66">
        <f>'[1]Univ Comm Fund'!M144</f>
        <v>20000000</v>
      </c>
      <c r="AO43" s="66">
        <f>'[1]UNIV. LIB.2019'!M49</f>
        <v>20000000</v>
      </c>
      <c r="AP43" s="66">
        <f t="shared" si="10"/>
        <v>0</v>
      </c>
      <c r="AQ43" s="66"/>
      <c r="AR43" s="66">
        <f>'[1]Univ Comm Fund'!N144</f>
        <v>25000000</v>
      </c>
      <c r="AS43" s="66">
        <f>'[1]UNIV. LIB.2019'!N49</f>
        <v>21250000</v>
      </c>
      <c r="AT43" s="66">
        <f t="shared" si="11"/>
        <v>3750000</v>
      </c>
      <c r="AU43" s="66"/>
      <c r="AV43" s="66">
        <f>'[1]Univ Comm Fund'!O144</f>
        <v>53000000</v>
      </c>
      <c r="AW43" s="66">
        <f>'[1]UNIV. LIB.2019'!O49</f>
        <v>45050000</v>
      </c>
      <c r="AX43" s="66">
        <f t="shared" si="12"/>
        <v>7950000</v>
      </c>
      <c r="AY43" s="66"/>
      <c r="AZ43" s="66">
        <f>'[1]Univ Comm Fund'!P144</f>
        <v>60000000</v>
      </c>
      <c r="BA43" s="66">
        <f>'[1]UNIV. LIB.2019'!P49</f>
        <v>51000000</v>
      </c>
      <c r="BB43" s="66">
        <f t="shared" si="0"/>
        <v>9000000</v>
      </c>
      <c r="BC43" s="106"/>
      <c r="BD43" s="66">
        <v>100000000</v>
      </c>
      <c r="BE43" s="66">
        <f>'[1]UNIV. LIB.2019'!Q49</f>
        <v>85000000</v>
      </c>
      <c r="BF43" s="66">
        <f t="shared" si="13"/>
        <v>15000000</v>
      </c>
      <c r="BG43" s="106"/>
      <c r="BH43" s="66">
        <v>50000000</v>
      </c>
      <c r="BI43" s="66">
        <f>'[1]UNIV. LIB.2019'!R49</f>
        <v>0</v>
      </c>
      <c r="BJ43" s="66">
        <f t="shared" si="14"/>
        <v>50000000</v>
      </c>
      <c r="BL43" s="66">
        <f>'[1]Univ Comm Fund'!S144</f>
        <v>34000000</v>
      </c>
      <c r="BM43" s="66">
        <f>'[1]UNIV. LIB.2019'!S49</f>
        <v>0</v>
      </c>
      <c r="BN43" s="66">
        <f t="shared" si="15"/>
        <v>34000000</v>
      </c>
      <c r="BP43" s="66">
        <f>'[1]Univ Comm Fund'!T144</f>
        <v>30000000</v>
      </c>
      <c r="BQ43" s="66">
        <f>'[1]UNIV. LIB.2019'!T49</f>
        <v>0</v>
      </c>
      <c r="BR43" s="66">
        <f t="shared" si="16"/>
        <v>30000000</v>
      </c>
      <c r="BT43" s="66">
        <f>'[1]Univ Comm Fund'!U144</f>
        <v>20000000</v>
      </c>
      <c r="BU43" s="66">
        <f>'[1]UNIV. LIB.2019'!U49</f>
        <v>0</v>
      </c>
      <c r="BV43" s="66">
        <f t="shared" si="17"/>
        <v>20000000</v>
      </c>
      <c r="BX43" s="66">
        <f t="shared" si="18"/>
        <v>442500000</v>
      </c>
      <c r="BY43" s="66">
        <f t="shared" si="18"/>
        <v>272800000</v>
      </c>
      <c r="BZ43" s="66">
        <f t="shared" si="19"/>
        <v>169700000</v>
      </c>
      <c r="CR43" s="166"/>
      <c r="CS43" s="166"/>
      <c r="CT43" s="166"/>
      <c r="CU43" s="166"/>
      <c r="EW43" s="16"/>
      <c r="HM43" s="162"/>
    </row>
    <row r="44" spans="1:221" s="4" customFormat="1" x14ac:dyDescent="0.25">
      <c r="A44" s="164">
        <v>38</v>
      </c>
      <c r="B44" s="164" t="s">
        <v>160</v>
      </c>
      <c r="C44" s="164"/>
      <c r="D44" s="147">
        <f>'[1]Univ Comm Fund'!D145</f>
        <v>3500000</v>
      </c>
      <c r="E44" s="147">
        <f>'[1]UNIV. LIB.2019'!D50</f>
        <v>3500000</v>
      </c>
      <c r="F44" s="66">
        <f t="shared" si="1"/>
        <v>0</v>
      </c>
      <c r="G44" s="147"/>
      <c r="H44" s="66">
        <f>'[1]Univ Comm Fund'!E145</f>
        <v>3500000</v>
      </c>
      <c r="I44" s="66">
        <f>'[1]UNIV. LIB.2019'!E50</f>
        <v>3500000</v>
      </c>
      <c r="J44" s="11">
        <f t="shared" si="2"/>
        <v>0</v>
      </c>
      <c r="K44" s="66"/>
      <c r="L44" s="66">
        <f>'[1]Univ Comm Fund'!F145</f>
        <v>3500000</v>
      </c>
      <c r="M44" s="66">
        <f>'[1]UNIV. LIB.2019'!F50</f>
        <v>3500000</v>
      </c>
      <c r="N44" s="66">
        <f t="shared" si="3"/>
        <v>0</v>
      </c>
      <c r="O44" s="66"/>
      <c r="P44" s="66">
        <f>'[1]Univ Comm Fund'!G145</f>
        <v>3500000</v>
      </c>
      <c r="Q44" s="66">
        <f>'[1]UNIV. LIB.2019'!G50</f>
        <v>3500000</v>
      </c>
      <c r="R44" s="66">
        <f t="shared" si="4"/>
        <v>0</v>
      </c>
      <c r="S44" s="66"/>
      <c r="T44" s="66">
        <f>'[1]Univ Comm Fund'!H145</f>
        <v>5000000</v>
      </c>
      <c r="U44" s="66">
        <f>'[1]UNIV. LIB.2019'!H50</f>
        <v>5000000</v>
      </c>
      <c r="V44" s="66">
        <f t="shared" si="5"/>
        <v>0</v>
      </c>
      <c r="W44" s="66"/>
      <c r="X44" s="66">
        <f>'[1]Univ Comm Fund'!I145</f>
        <v>5000000</v>
      </c>
      <c r="Y44" s="66">
        <f>'[1]UNIV. LIB.2019'!I50</f>
        <v>5000000</v>
      </c>
      <c r="Z44" s="66">
        <f t="shared" si="6"/>
        <v>0</v>
      </c>
      <c r="AA44" s="66"/>
      <c r="AB44" s="66">
        <f>'[1]Univ Comm Fund'!J145</f>
        <v>6500000</v>
      </c>
      <c r="AC44" s="66">
        <f>'[1]UNIV. LIB.2019'!J50</f>
        <v>6500000</v>
      </c>
      <c r="AD44" s="66">
        <f t="shared" si="7"/>
        <v>0</v>
      </c>
      <c r="AE44" s="66"/>
      <c r="AF44" s="66">
        <f>'[1]Univ Comm Fund'!K145</f>
        <v>10000000</v>
      </c>
      <c r="AG44" s="66">
        <f>'[1]UNIV. LIB.2019'!K50</f>
        <v>10000000</v>
      </c>
      <c r="AH44" s="66">
        <f t="shared" si="8"/>
        <v>0</v>
      </c>
      <c r="AI44" s="66"/>
      <c r="AJ44" s="66">
        <f>'[1]Univ Comm Fund'!L145</f>
        <v>8500000</v>
      </c>
      <c r="AK44" s="66">
        <f>'[1]UNIV. LIB.2019'!L50</f>
        <v>8500000</v>
      </c>
      <c r="AL44" s="88">
        <f t="shared" si="9"/>
        <v>0</v>
      </c>
      <c r="AM44" s="66"/>
      <c r="AN44" s="66">
        <f>'[1]Univ Comm Fund'!M145</f>
        <v>17000000</v>
      </c>
      <c r="AO44" s="66">
        <f>'[1]UNIV. LIB.2019'!M50</f>
        <v>17000000</v>
      </c>
      <c r="AP44" s="66">
        <f t="shared" si="10"/>
        <v>0</v>
      </c>
      <c r="AQ44" s="66"/>
      <c r="AR44" s="66">
        <f>'[1]Univ Comm Fund'!N145</f>
        <v>25000000</v>
      </c>
      <c r="AS44" s="66">
        <f>'[1]UNIV. LIB.2019'!N50</f>
        <v>25000000</v>
      </c>
      <c r="AT44" s="66">
        <f t="shared" si="11"/>
        <v>0</v>
      </c>
      <c r="AU44" s="66"/>
      <c r="AV44" s="66">
        <f>'[1]Univ Comm Fund'!O145</f>
        <v>53000000</v>
      </c>
      <c r="AW44" s="66">
        <f>'[1]UNIV. LIB.2019'!O50</f>
        <v>53000000</v>
      </c>
      <c r="AX44" s="66">
        <f t="shared" si="12"/>
        <v>0</v>
      </c>
      <c r="AY44" s="66"/>
      <c r="AZ44" s="66">
        <f>'[1]Univ Comm Fund'!P145</f>
        <v>60000000</v>
      </c>
      <c r="BA44" s="66">
        <f>'[1]UNIV. LIB.2019'!P50</f>
        <v>51000000</v>
      </c>
      <c r="BB44" s="66">
        <f t="shared" si="0"/>
        <v>9000000</v>
      </c>
      <c r="BC44" s="106"/>
      <c r="BD44" s="66">
        <v>100000000</v>
      </c>
      <c r="BE44" s="66">
        <f>'[1]UNIV. LIB.2019'!Q50</f>
        <v>85000000</v>
      </c>
      <c r="BF44" s="66">
        <f t="shared" si="13"/>
        <v>15000000</v>
      </c>
      <c r="BG44" s="106"/>
      <c r="BH44" s="66">
        <v>50000000</v>
      </c>
      <c r="BI44" s="66">
        <f>'[1]UNIV. LIB.2019'!R50</f>
        <v>42500000</v>
      </c>
      <c r="BJ44" s="66">
        <f t="shared" si="14"/>
        <v>7500000</v>
      </c>
      <c r="BL44" s="66">
        <f>'[1]Univ Comm Fund'!S145</f>
        <v>34000000</v>
      </c>
      <c r="BM44" s="66">
        <f>'[1]UNIV. LIB.2019'!S50</f>
        <v>28900000</v>
      </c>
      <c r="BN44" s="66">
        <f t="shared" si="15"/>
        <v>5100000</v>
      </c>
      <c r="BP44" s="66">
        <f>'[1]Univ Comm Fund'!T145</f>
        <v>30000000</v>
      </c>
      <c r="BQ44" s="66">
        <f>'[1]UNIV. LIB.2019'!T50</f>
        <v>0</v>
      </c>
      <c r="BR44" s="66">
        <f t="shared" si="16"/>
        <v>30000000</v>
      </c>
      <c r="BT44" s="66">
        <f>'[1]Univ Comm Fund'!U145</f>
        <v>20000000</v>
      </c>
      <c r="BU44" s="66">
        <f>'[1]UNIV. LIB.2019'!U50</f>
        <v>0</v>
      </c>
      <c r="BV44" s="66">
        <f t="shared" si="17"/>
        <v>20000000</v>
      </c>
      <c r="BX44" s="66">
        <f t="shared" si="18"/>
        <v>438000000</v>
      </c>
      <c r="BY44" s="66">
        <f t="shared" si="18"/>
        <v>351400000</v>
      </c>
      <c r="BZ44" s="66">
        <f t="shared" si="19"/>
        <v>86600000</v>
      </c>
      <c r="CR44" s="166"/>
      <c r="CS44" s="166"/>
      <c r="CT44" s="166"/>
      <c r="CU44" s="166"/>
      <c r="EW44" s="16"/>
      <c r="HM44" s="162"/>
    </row>
    <row r="45" spans="1:221" s="4" customFormat="1" x14ac:dyDescent="0.25">
      <c r="A45" s="164">
        <v>39</v>
      </c>
      <c r="B45" s="164" t="s">
        <v>103</v>
      </c>
      <c r="C45" s="164"/>
      <c r="D45" s="110">
        <f>'[1]Univ Comm Fund'!D146</f>
        <v>3150000</v>
      </c>
      <c r="E45" s="110">
        <f>'[1]UNIV. LIB.2019'!D51</f>
        <v>3150000</v>
      </c>
      <c r="F45" s="66">
        <f t="shared" si="1"/>
        <v>0</v>
      </c>
      <c r="G45" s="110"/>
      <c r="H45" s="66">
        <f>'[1]Univ Comm Fund'!E146</f>
        <v>3500000</v>
      </c>
      <c r="I45" s="66">
        <f>'[1]UNIV. LIB.2019'!E51</f>
        <v>3500000</v>
      </c>
      <c r="J45" s="11">
        <f t="shared" si="2"/>
        <v>0</v>
      </c>
      <c r="K45" s="66"/>
      <c r="L45" s="66">
        <f>'[1]Univ Comm Fund'!F146</f>
        <v>3500000</v>
      </c>
      <c r="M45" s="66">
        <f>'[1]UNIV. LIB.2019'!F51</f>
        <v>3500000</v>
      </c>
      <c r="N45" s="66">
        <f t="shared" si="3"/>
        <v>0</v>
      </c>
      <c r="O45" s="66"/>
      <c r="P45" s="66">
        <f>'[1]Univ Comm Fund'!G146</f>
        <v>3500000</v>
      </c>
      <c r="Q45" s="66">
        <f>'[1]UNIV. LIB.2019'!G51</f>
        <v>3500000</v>
      </c>
      <c r="R45" s="66">
        <f t="shared" si="4"/>
        <v>0</v>
      </c>
      <c r="S45" s="66"/>
      <c r="T45" s="66">
        <f>'[1]Univ Comm Fund'!H146</f>
        <v>5000000</v>
      </c>
      <c r="U45" s="66">
        <f>'[1]UNIV. LIB.2019'!H51</f>
        <v>5000000</v>
      </c>
      <c r="V45" s="66">
        <f t="shared" si="5"/>
        <v>0</v>
      </c>
      <c r="W45" s="66"/>
      <c r="X45" s="66">
        <f>'[1]Univ Comm Fund'!I146</f>
        <v>5000000</v>
      </c>
      <c r="Y45" s="66">
        <f>'[1]UNIV. LIB.2019'!I51</f>
        <v>5000000</v>
      </c>
      <c r="Z45" s="66">
        <f t="shared" si="6"/>
        <v>0</v>
      </c>
      <c r="AA45" s="66"/>
      <c r="AB45" s="66">
        <f>'[1]Univ Comm Fund'!J146</f>
        <v>6500000</v>
      </c>
      <c r="AC45" s="66">
        <f>'[1]UNIV. LIB.2019'!J51</f>
        <v>6500000</v>
      </c>
      <c r="AD45" s="66">
        <f t="shared" si="7"/>
        <v>0</v>
      </c>
      <c r="AE45" s="66"/>
      <c r="AF45" s="66">
        <f>'[1]Univ Comm Fund'!K146</f>
        <v>10000000</v>
      </c>
      <c r="AG45" s="66">
        <f>'[1]UNIV. LIB.2019'!K51</f>
        <v>10000000</v>
      </c>
      <c r="AH45" s="66">
        <f t="shared" si="8"/>
        <v>0</v>
      </c>
      <c r="AI45" s="66"/>
      <c r="AJ45" s="88">
        <f>'[1]Univ Comm Fund'!L146</f>
        <v>4500000</v>
      </c>
      <c r="AK45" s="88">
        <f>'[1]UNIV. LIB.2019'!L51</f>
        <v>4500000</v>
      </c>
      <c r="AL45" s="88">
        <f t="shared" si="9"/>
        <v>0</v>
      </c>
      <c r="AM45" s="88"/>
      <c r="AN45" s="66">
        <f>'[1]Univ Comm Fund'!M146</f>
        <v>0</v>
      </c>
      <c r="AO45" s="66">
        <f>'[1]UNIV. LIB.2019'!M51</f>
        <v>0</v>
      </c>
      <c r="AP45" s="66">
        <f t="shared" si="10"/>
        <v>0</v>
      </c>
      <c r="AQ45" s="66"/>
      <c r="AR45" s="66">
        <f>'[1]Univ Comm Fund'!N146</f>
        <v>25000000</v>
      </c>
      <c r="AS45" s="66">
        <f>'[1]UNIV. LIB.2019'!N51</f>
        <v>25000000</v>
      </c>
      <c r="AT45" s="66">
        <f t="shared" si="11"/>
        <v>0</v>
      </c>
      <c r="AU45" s="66"/>
      <c r="AV45" s="66">
        <f>'[1]Univ Comm Fund'!O146</f>
        <v>53000000</v>
      </c>
      <c r="AW45" s="66">
        <f>'[1]UNIV. LIB.2019'!O51</f>
        <v>0</v>
      </c>
      <c r="AX45" s="66">
        <f t="shared" si="12"/>
        <v>53000000</v>
      </c>
      <c r="AY45" s="66"/>
      <c r="AZ45" s="66">
        <f>'[1]Univ Comm Fund'!P146</f>
        <v>60000000</v>
      </c>
      <c r="BA45" s="66">
        <f>'[1]UNIV. LIB.2019'!P51</f>
        <v>0</v>
      </c>
      <c r="BB45" s="66">
        <f t="shared" si="0"/>
        <v>60000000</v>
      </c>
      <c r="BC45" s="106"/>
      <c r="BD45" s="66">
        <v>100000000</v>
      </c>
      <c r="BE45" s="66">
        <f>'[1]UNIV. LIB.2019'!Q51</f>
        <v>0</v>
      </c>
      <c r="BF45" s="66">
        <f t="shared" si="13"/>
        <v>100000000</v>
      </c>
      <c r="BG45" s="106"/>
      <c r="BH45" s="66">
        <v>50000000</v>
      </c>
      <c r="BI45" s="66">
        <f>'[1]UNIV. LIB.2019'!R51</f>
        <v>0</v>
      </c>
      <c r="BJ45" s="66">
        <f t="shared" si="14"/>
        <v>50000000</v>
      </c>
      <c r="BL45" s="66">
        <f>'[1]Univ Comm Fund'!S146</f>
        <v>34000000</v>
      </c>
      <c r="BM45" s="66">
        <f>'[1]UNIV. LIB.2019'!S51</f>
        <v>0</v>
      </c>
      <c r="BN45" s="66">
        <f t="shared" si="15"/>
        <v>34000000</v>
      </c>
      <c r="BP45" s="66">
        <f>'[1]Univ Comm Fund'!T146</f>
        <v>30000000</v>
      </c>
      <c r="BQ45" s="66">
        <f>'[1]UNIV. LIB.2019'!T51</f>
        <v>0</v>
      </c>
      <c r="BR45" s="66">
        <f t="shared" si="16"/>
        <v>30000000</v>
      </c>
      <c r="BT45" s="66">
        <f>'[1]Univ Comm Fund'!U146</f>
        <v>20000000</v>
      </c>
      <c r="BU45" s="66">
        <f>'[1]UNIV. LIB.2019'!U51</f>
        <v>0</v>
      </c>
      <c r="BV45" s="66">
        <f t="shared" si="17"/>
        <v>20000000</v>
      </c>
      <c r="BX45" s="66">
        <f t="shared" si="18"/>
        <v>416650000</v>
      </c>
      <c r="BY45" s="66">
        <f t="shared" si="18"/>
        <v>69650000</v>
      </c>
      <c r="BZ45" s="66">
        <f t="shared" si="19"/>
        <v>347000000</v>
      </c>
      <c r="CR45" s="166"/>
      <c r="CS45" s="166"/>
      <c r="CT45" s="166"/>
      <c r="CU45" s="166"/>
      <c r="EW45" s="16"/>
      <c r="HM45" s="162"/>
    </row>
    <row r="46" spans="1:221" s="4" customFormat="1" x14ac:dyDescent="0.25">
      <c r="A46" s="164">
        <v>40</v>
      </c>
      <c r="B46" s="164" t="s">
        <v>161</v>
      </c>
      <c r="C46" s="164"/>
      <c r="D46" s="110">
        <f>'[1]Univ Comm Fund'!D147</f>
        <v>3500000</v>
      </c>
      <c r="E46" s="110">
        <f>'[1]UNIV. LIB.2019'!D52</f>
        <v>3500000</v>
      </c>
      <c r="F46" s="66">
        <f t="shared" si="1"/>
        <v>0</v>
      </c>
      <c r="G46" s="110"/>
      <c r="H46" s="66">
        <f>'[1]Univ Comm Fund'!E147</f>
        <v>3500000</v>
      </c>
      <c r="I46" s="66">
        <f>'[1]UNIV. LIB.2019'!E52</f>
        <v>3500000</v>
      </c>
      <c r="J46" s="11">
        <f t="shared" si="2"/>
        <v>0</v>
      </c>
      <c r="K46" s="66"/>
      <c r="L46" s="66">
        <f>'[1]Univ Comm Fund'!F147</f>
        <v>3500000</v>
      </c>
      <c r="M46" s="66">
        <f>'[1]UNIV. LIB.2019'!F52</f>
        <v>3500000</v>
      </c>
      <c r="N46" s="66">
        <f t="shared" si="3"/>
        <v>0</v>
      </c>
      <c r="O46" s="66"/>
      <c r="P46" s="66">
        <f>'[1]Univ Comm Fund'!G147</f>
        <v>3500000</v>
      </c>
      <c r="Q46" s="66">
        <f>'[1]UNIV. LIB.2019'!G52</f>
        <v>3500000</v>
      </c>
      <c r="R46" s="66">
        <f t="shared" si="4"/>
        <v>0</v>
      </c>
      <c r="S46" s="66"/>
      <c r="T46" s="66">
        <f>'[1]Univ Comm Fund'!H147</f>
        <v>5000000</v>
      </c>
      <c r="U46" s="66">
        <f>'[1]UNIV. LIB.2019'!H52</f>
        <v>5000000</v>
      </c>
      <c r="V46" s="66">
        <f t="shared" si="5"/>
        <v>0</v>
      </c>
      <c r="W46" s="66"/>
      <c r="X46" s="66">
        <f>'[1]Univ Comm Fund'!I147</f>
        <v>5000000</v>
      </c>
      <c r="Y46" s="66">
        <f>'[1]UNIV. LIB.2019'!I52</f>
        <v>5000000</v>
      </c>
      <c r="Z46" s="66">
        <f t="shared" si="6"/>
        <v>0</v>
      </c>
      <c r="AA46" s="66"/>
      <c r="AB46" s="66">
        <f>'[1]Univ Comm Fund'!J147</f>
        <v>6500000</v>
      </c>
      <c r="AC46" s="66">
        <f>'[1]UNIV. LIB.2019'!J52</f>
        <v>6500000</v>
      </c>
      <c r="AD46" s="66">
        <f t="shared" si="7"/>
        <v>0</v>
      </c>
      <c r="AE46" s="66"/>
      <c r="AF46" s="66">
        <f>'[1]Univ Comm Fund'!K147</f>
        <v>10000000</v>
      </c>
      <c r="AG46" s="66">
        <f>'[1]UNIV. LIB.2019'!K52</f>
        <v>10000000</v>
      </c>
      <c r="AH46" s="66">
        <f t="shared" si="8"/>
        <v>0</v>
      </c>
      <c r="AI46" s="66"/>
      <c r="AJ46" s="88">
        <f>'[1]Univ Comm Fund'!L147</f>
        <v>10000000</v>
      </c>
      <c r="AK46" s="88">
        <f>'[1]UNIV. LIB.2019'!L52</f>
        <v>10000000</v>
      </c>
      <c r="AL46" s="88">
        <f t="shared" si="9"/>
        <v>0</v>
      </c>
      <c r="AM46" s="88"/>
      <c r="AN46" s="66">
        <f>'[1]Univ Comm Fund'!M147</f>
        <v>18600000</v>
      </c>
      <c r="AO46" s="66">
        <f>'[1]UNIV. LIB.2019'!M52</f>
        <v>18600000</v>
      </c>
      <c r="AP46" s="66">
        <f t="shared" si="10"/>
        <v>0</v>
      </c>
      <c r="AQ46" s="66"/>
      <c r="AR46" s="66">
        <f>'[1]Univ Comm Fund'!N147</f>
        <v>25000000</v>
      </c>
      <c r="AS46" s="66">
        <f>'[1]UNIV. LIB.2019'!N52</f>
        <v>21250000</v>
      </c>
      <c r="AT46" s="66">
        <f t="shared" si="11"/>
        <v>3750000</v>
      </c>
      <c r="AU46" s="66"/>
      <c r="AV46" s="66">
        <f>'[1]Univ Comm Fund'!O147</f>
        <v>53000000</v>
      </c>
      <c r="AW46" s="66">
        <f>'[1]UNIV. LIB.2019'!O52</f>
        <v>45050000</v>
      </c>
      <c r="AX46" s="66">
        <f t="shared" si="12"/>
        <v>7950000</v>
      </c>
      <c r="AY46" s="66"/>
      <c r="AZ46" s="66">
        <f>'[1]Univ Comm Fund'!P147</f>
        <v>60000000</v>
      </c>
      <c r="BA46" s="66">
        <f>'[1]UNIV. LIB.2019'!P52</f>
        <v>51000000</v>
      </c>
      <c r="BB46" s="66">
        <f t="shared" si="0"/>
        <v>9000000</v>
      </c>
      <c r="BC46" s="106"/>
      <c r="BD46" s="66">
        <v>100000000</v>
      </c>
      <c r="BE46" s="66">
        <f>'[1]UNIV. LIB.2019'!Q52</f>
        <v>85000000</v>
      </c>
      <c r="BF46" s="66">
        <f t="shared" si="13"/>
        <v>15000000</v>
      </c>
      <c r="BG46" s="106"/>
      <c r="BH46" s="66">
        <v>50000000</v>
      </c>
      <c r="BI46" s="66">
        <f>'[1]UNIV. LIB.2019'!R52</f>
        <v>0</v>
      </c>
      <c r="BJ46" s="66">
        <f t="shared" si="14"/>
        <v>50000000</v>
      </c>
      <c r="BL46" s="66">
        <f>'[1]Univ Comm Fund'!S147</f>
        <v>34000000</v>
      </c>
      <c r="BM46" s="66">
        <f>'[1]UNIV. LIB.2019'!S52</f>
        <v>0</v>
      </c>
      <c r="BN46" s="66">
        <f t="shared" si="15"/>
        <v>34000000</v>
      </c>
      <c r="BP46" s="66">
        <f>'[1]Univ Comm Fund'!T147</f>
        <v>30000000</v>
      </c>
      <c r="BQ46" s="66">
        <f>'[1]UNIV. LIB.2019'!T52</f>
        <v>0</v>
      </c>
      <c r="BR46" s="66">
        <f t="shared" si="16"/>
        <v>30000000</v>
      </c>
      <c r="BT46" s="66">
        <f>'[1]Univ Comm Fund'!U147</f>
        <v>20000000</v>
      </c>
      <c r="BU46" s="66">
        <f>'[1]UNIV. LIB.2019'!U52</f>
        <v>0</v>
      </c>
      <c r="BV46" s="66">
        <f t="shared" si="17"/>
        <v>20000000</v>
      </c>
      <c r="BX46" s="66">
        <f t="shared" si="18"/>
        <v>441100000</v>
      </c>
      <c r="BY46" s="66">
        <f t="shared" si="18"/>
        <v>271400000</v>
      </c>
      <c r="BZ46" s="66">
        <f t="shared" si="19"/>
        <v>169700000</v>
      </c>
      <c r="CR46" s="166"/>
      <c r="CS46" s="166"/>
      <c r="CT46" s="166"/>
      <c r="CU46" s="166"/>
      <c r="EW46" s="16"/>
      <c r="HM46" s="162"/>
    </row>
    <row r="47" spans="1:221" s="4" customFormat="1" x14ac:dyDescent="0.25">
      <c r="A47" s="164">
        <v>41</v>
      </c>
      <c r="B47" s="172" t="s">
        <v>162</v>
      </c>
      <c r="C47" s="172"/>
      <c r="D47" s="110">
        <f>'[1]Univ Comm Fund'!D148</f>
        <v>3500000</v>
      </c>
      <c r="E47" s="110">
        <f>'[1]UNIV. LIB.2019'!D53</f>
        <v>3500000</v>
      </c>
      <c r="F47" s="66">
        <f t="shared" si="1"/>
        <v>0</v>
      </c>
      <c r="G47" s="110"/>
      <c r="H47" s="66">
        <f>'[1]Univ Comm Fund'!E148</f>
        <v>3500000</v>
      </c>
      <c r="I47" s="66">
        <f>'[1]UNIV. LIB.2019'!E53</f>
        <v>3500000</v>
      </c>
      <c r="J47" s="11">
        <f t="shared" si="2"/>
        <v>0</v>
      </c>
      <c r="K47" s="66"/>
      <c r="L47" s="66">
        <f>'[1]Univ Comm Fund'!F148</f>
        <v>3500000</v>
      </c>
      <c r="M47" s="66">
        <f>'[1]UNIV. LIB.2019'!F53</f>
        <v>3500000</v>
      </c>
      <c r="N47" s="66">
        <f t="shared" si="3"/>
        <v>0</v>
      </c>
      <c r="O47" s="66"/>
      <c r="P47" s="66">
        <f>'[1]Univ Comm Fund'!G148</f>
        <v>3500000</v>
      </c>
      <c r="Q47" s="66">
        <f>'[1]UNIV. LIB.2019'!G53</f>
        <v>3500000</v>
      </c>
      <c r="R47" s="66">
        <f t="shared" si="4"/>
        <v>0</v>
      </c>
      <c r="S47" s="66"/>
      <c r="T47" s="66">
        <f>'[1]Univ Comm Fund'!H148</f>
        <v>5000000</v>
      </c>
      <c r="U47" s="66">
        <f>'[1]UNIV. LIB.2019'!H53</f>
        <v>5000000</v>
      </c>
      <c r="V47" s="66">
        <f t="shared" si="5"/>
        <v>0</v>
      </c>
      <c r="W47" s="66"/>
      <c r="X47" s="66">
        <f>'[1]Univ Comm Fund'!I148</f>
        <v>5000000</v>
      </c>
      <c r="Y47" s="66">
        <f>'[1]UNIV. LIB.2019'!I53</f>
        <v>5000000</v>
      </c>
      <c r="Z47" s="66">
        <f t="shared" si="6"/>
        <v>0</v>
      </c>
      <c r="AA47" s="66"/>
      <c r="AB47" s="66">
        <f>'[1]Univ Comm Fund'!J148</f>
        <v>6500000</v>
      </c>
      <c r="AC47" s="66">
        <f>'[1]UNIV. LIB.2019'!J53</f>
        <v>6500000</v>
      </c>
      <c r="AD47" s="66">
        <f t="shared" si="7"/>
        <v>0</v>
      </c>
      <c r="AE47" s="66"/>
      <c r="AF47" s="66">
        <f>'[1]Univ Comm Fund'!K148</f>
        <v>10000000</v>
      </c>
      <c r="AG47" s="66">
        <f>'[1]UNIV. LIB.2019'!K53</f>
        <v>10000000</v>
      </c>
      <c r="AH47" s="66">
        <f t="shared" si="8"/>
        <v>0</v>
      </c>
      <c r="AI47" s="66"/>
      <c r="AJ47" s="88">
        <f>'[1]Univ Comm Fund'!L148</f>
        <v>10000000</v>
      </c>
      <c r="AK47" s="88">
        <f>'[1]UNIV. LIB.2019'!L53</f>
        <v>10000000</v>
      </c>
      <c r="AL47" s="88">
        <f t="shared" si="9"/>
        <v>0</v>
      </c>
      <c r="AM47" s="88"/>
      <c r="AN47" s="66">
        <f>'[1]Univ Comm Fund'!M148</f>
        <v>20000000</v>
      </c>
      <c r="AO47" s="66">
        <f>'[1]UNIV. LIB.2019'!M53</f>
        <v>20000000</v>
      </c>
      <c r="AP47" s="66">
        <f t="shared" si="10"/>
        <v>0</v>
      </c>
      <c r="AQ47" s="66"/>
      <c r="AR47" s="66">
        <f>'[1]Univ Comm Fund'!N148</f>
        <v>25000000</v>
      </c>
      <c r="AS47" s="66">
        <f>'[1]UNIV. LIB.2019'!N53</f>
        <v>25000000</v>
      </c>
      <c r="AT47" s="66">
        <f t="shared" si="11"/>
        <v>0</v>
      </c>
      <c r="AU47" s="66"/>
      <c r="AV47" s="66">
        <f>'[1]Univ Comm Fund'!O148</f>
        <v>53000000</v>
      </c>
      <c r="AW47" s="66">
        <f>'[1]UNIV. LIB.2019'!O53</f>
        <v>53000000</v>
      </c>
      <c r="AX47" s="66">
        <f t="shared" si="12"/>
        <v>0</v>
      </c>
      <c r="AY47" s="66"/>
      <c r="AZ47" s="66">
        <f>'[1]Univ Comm Fund'!P148</f>
        <v>60000000</v>
      </c>
      <c r="BA47" s="66">
        <f>'[1]UNIV. LIB.2019'!P53</f>
        <v>3500000</v>
      </c>
      <c r="BB47" s="66">
        <f t="shared" si="0"/>
        <v>56500000</v>
      </c>
      <c r="BC47" s="106"/>
      <c r="BD47" s="66">
        <v>100000000</v>
      </c>
      <c r="BE47" s="66">
        <f>'[1]UNIV. LIB.2019'!Q53</f>
        <v>0</v>
      </c>
      <c r="BF47" s="66">
        <f t="shared" si="13"/>
        <v>100000000</v>
      </c>
      <c r="BG47" s="106"/>
      <c r="BH47" s="66">
        <v>50000000</v>
      </c>
      <c r="BI47" s="66">
        <f>'[1]UNIV. LIB.2019'!R53</f>
        <v>0</v>
      </c>
      <c r="BJ47" s="66">
        <f t="shared" si="14"/>
        <v>50000000</v>
      </c>
      <c r="BL47" s="66">
        <f>'[1]Univ Comm Fund'!S148</f>
        <v>34000000</v>
      </c>
      <c r="BM47" s="66">
        <f>'[1]UNIV. LIB.2019'!S53</f>
        <v>0</v>
      </c>
      <c r="BN47" s="66">
        <f t="shared" si="15"/>
        <v>34000000</v>
      </c>
      <c r="BP47" s="66">
        <f>'[1]Univ Comm Fund'!T148</f>
        <v>30000000</v>
      </c>
      <c r="BQ47" s="66">
        <f>'[1]UNIV. LIB.2019'!T53</f>
        <v>0</v>
      </c>
      <c r="BR47" s="66">
        <f t="shared" si="16"/>
        <v>30000000</v>
      </c>
      <c r="BT47" s="66">
        <f>'[1]Univ Comm Fund'!U148</f>
        <v>20000000</v>
      </c>
      <c r="BU47" s="66">
        <f>'[1]UNIV. LIB.2019'!U53</f>
        <v>0</v>
      </c>
      <c r="BV47" s="66">
        <f t="shared" si="17"/>
        <v>20000000</v>
      </c>
      <c r="BX47" s="66">
        <f t="shared" si="18"/>
        <v>442500000</v>
      </c>
      <c r="BY47" s="66">
        <f t="shared" si="18"/>
        <v>152000000</v>
      </c>
      <c r="BZ47" s="66">
        <f t="shared" si="19"/>
        <v>290500000</v>
      </c>
      <c r="CR47" s="166"/>
      <c r="CS47" s="166"/>
      <c r="CT47" s="166"/>
      <c r="CU47" s="166"/>
      <c r="EW47" s="16"/>
      <c r="HM47" s="162"/>
    </row>
    <row r="48" spans="1:221" s="4" customFormat="1" x14ac:dyDescent="0.25">
      <c r="A48" s="164">
        <v>42</v>
      </c>
      <c r="B48" s="164" t="s">
        <v>163</v>
      </c>
      <c r="C48" s="164"/>
      <c r="D48" s="110">
        <f>'[1]Univ Comm Fund'!D149</f>
        <v>0</v>
      </c>
      <c r="E48" s="110">
        <f>'[1]UNIV. LIB.2019'!D54</f>
        <v>0</v>
      </c>
      <c r="F48" s="66">
        <f t="shared" si="1"/>
        <v>0</v>
      </c>
      <c r="G48" s="110"/>
      <c r="H48" s="110">
        <f>'[1]Univ Comm Fund'!E149</f>
        <v>0</v>
      </c>
      <c r="I48" s="110">
        <f>'[1]UNIV. LIB.2019'!E54</f>
        <v>0</v>
      </c>
      <c r="J48" s="11">
        <f t="shared" si="2"/>
        <v>0</v>
      </c>
      <c r="K48" s="110"/>
      <c r="L48" s="66">
        <f>'[1]Univ Comm Fund'!F149</f>
        <v>3500000</v>
      </c>
      <c r="M48" s="66">
        <f>'[1]UNIV. LIB.2019'!F54</f>
        <v>3500000</v>
      </c>
      <c r="N48" s="66">
        <f t="shared" si="3"/>
        <v>0</v>
      </c>
      <c r="O48" s="66"/>
      <c r="P48" s="66">
        <f>'[1]Univ Comm Fund'!G149</f>
        <v>3500000</v>
      </c>
      <c r="Q48" s="66">
        <f>'[1]UNIV. LIB.2019'!G54</f>
        <v>3500000</v>
      </c>
      <c r="R48" s="66">
        <f t="shared" si="4"/>
        <v>0</v>
      </c>
      <c r="S48" s="66"/>
      <c r="T48" s="66">
        <f>'[1]Univ Comm Fund'!H149</f>
        <v>5000000</v>
      </c>
      <c r="U48" s="66">
        <f>'[1]UNIV. LIB.2019'!H54</f>
        <v>5000000</v>
      </c>
      <c r="V48" s="66">
        <f t="shared" si="5"/>
        <v>0</v>
      </c>
      <c r="W48" s="66"/>
      <c r="X48" s="66">
        <f>'[1]Univ Comm Fund'!I149</f>
        <v>5000000</v>
      </c>
      <c r="Y48" s="66">
        <f>'[1]UNIV. LIB.2019'!I54</f>
        <v>5000000</v>
      </c>
      <c r="Z48" s="66">
        <f t="shared" si="6"/>
        <v>0</v>
      </c>
      <c r="AA48" s="66"/>
      <c r="AB48" s="66">
        <f>'[1]Univ Comm Fund'!J149</f>
        <v>6500000</v>
      </c>
      <c r="AC48" s="66">
        <f>'[1]UNIV. LIB.2019'!J54</f>
        <v>6500000</v>
      </c>
      <c r="AD48" s="66">
        <f t="shared" si="7"/>
        <v>0</v>
      </c>
      <c r="AE48" s="66"/>
      <c r="AF48" s="66">
        <f>'[1]Univ Comm Fund'!K149</f>
        <v>10000000</v>
      </c>
      <c r="AG48" s="66">
        <f>'[1]UNIV. LIB.2019'!K54</f>
        <v>10000000</v>
      </c>
      <c r="AH48" s="66">
        <f t="shared" si="8"/>
        <v>0</v>
      </c>
      <c r="AI48" s="66"/>
      <c r="AJ48" s="88">
        <f>'[1]Univ Comm Fund'!L149</f>
        <v>10000000</v>
      </c>
      <c r="AK48" s="88">
        <f>'[1]UNIV. LIB.2019'!L54</f>
        <v>10000000</v>
      </c>
      <c r="AL48" s="88">
        <f t="shared" si="9"/>
        <v>0</v>
      </c>
      <c r="AM48" s="88"/>
      <c r="AN48" s="66">
        <f>'[1]Univ Comm Fund'!M149</f>
        <v>17000000</v>
      </c>
      <c r="AO48" s="66">
        <f>'[1]UNIV. LIB.2019'!M54</f>
        <v>17000000</v>
      </c>
      <c r="AP48" s="66">
        <f t="shared" si="10"/>
        <v>0</v>
      </c>
      <c r="AQ48" s="66"/>
      <c r="AR48" s="66">
        <f>'[1]Univ Comm Fund'!N149</f>
        <v>25000000</v>
      </c>
      <c r="AS48" s="66">
        <f>'[1]UNIV. LIB.2019'!N54</f>
        <v>21250000</v>
      </c>
      <c r="AT48" s="66">
        <f t="shared" si="11"/>
        <v>3750000</v>
      </c>
      <c r="AU48" s="66"/>
      <c r="AV48" s="66">
        <f>'[1]Univ Comm Fund'!O149</f>
        <v>53000000</v>
      </c>
      <c r="AW48" s="66">
        <f>'[1]UNIV. LIB.2019'!O54</f>
        <v>45050000</v>
      </c>
      <c r="AX48" s="66">
        <f t="shared" si="12"/>
        <v>7950000</v>
      </c>
      <c r="AY48" s="66"/>
      <c r="AZ48" s="66">
        <f>'[1]Univ Comm Fund'!P149</f>
        <v>60000000</v>
      </c>
      <c r="BA48" s="66">
        <f>'[1]UNIV. LIB.2019'!P54</f>
        <v>0</v>
      </c>
      <c r="BB48" s="66">
        <f t="shared" si="0"/>
        <v>60000000</v>
      </c>
      <c r="BC48" s="106"/>
      <c r="BD48" s="66">
        <v>100000000</v>
      </c>
      <c r="BE48" s="66">
        <f>'[1]UNIV. LIB.2019'!Q54</f>
        <v>0</v>
      </c>
      <c r="BF48" s="66">
        <f t="shared" si="13"/>
        <v>100000000</v>
      </c>
      <c r="BG48" s="106"/>
      <c r="BH48" s="66">
        <v>50000000</v>
      </c>
      <c r="BI48" s="66">
        <f>'[1]UNIV. LIB.2019'!R54</f>
        <v>0</v>
      </c>
      <c r="BJ48" s="66">
        <f t="shared" si="14"/>
        <v>50000000</v>
      </c>
      <c r="BL48" s="66">
        <f>'[1]Univ Comm Fund'!S149</f>
        <v>34000000</v>
      </c>
      <c r="BM48" s="66">
        <f>'[1]UNIV. LIB.2019'!S54</f>
        <v>0</v>
      </c>
      <c r="BN48" s="66">
        <f t="shared" si="15"/>
        <v>34000000</v>
      </c>
      <c r="BP48" s="66">
        <f>'[1]Univ Comm Fund'!T149</f>
        <v>30000000</v>
      </c>
      <c r="BQ48" s="66">
        <f>'[1]UNIV. LIB.2019'!T54</f>
        <v>0</v>
      </c>
      <c r="BR48" s="66">
        <f t="shared" si="16"/>
        <v>30000000</v>
      </c>
      <c r="BT48" s="66">
        <f>'[1]Univ Comm Fund'!U149</f>
        <v>20000000</v>
      </c>
      <c r="BU48" s="66">
        <f>'[1]UNIV. LIB.2019'!U54</f>
        <v>0</v>
      </c>
      <c r="BV48" s="66">
        <f t="shared" si="17"/>
        <v>20000000</v>
      </c>
      <c r="BX48" s="66">
        <f t="shared" si="18"/>
        <v>432500000</v>
      </c>
      <c r="BY48" s="66">
        <f t="shared" si="18"/>
        <v>126800000</v>
      </c>
      <c r="BZ48" s="66">
        <f t="shared" si="19"/>
        <v>305700000</v>
      </c>
      <c r="CR48" s="166"/>
      <c r="CS48" s="166"/>
      <c r="CT48" s="166"/>
      <c r="CU48" s="166"/>
      <c r="EW48" s="16"/>
      <c r="HM48" s="162"/>
    </row>
    <row r="49" spans="1:221" s="4" customFormat="1" x14ac:dyDescent="0.25">
      <c r="A49" s="164">
        <v>43</v>
      </c>
      <c r="B49" s="164" t="s">
        <v>164</v>
      </c>
      <c r="C49" s="164"/>
      <c r="D49" s="110">
        <f>'[1]Univ Comm Fund'!D150</f>
        <v>0</v>
      </c>
      <c r="E49" s="110">
        <f>'[1]UNIV. LIB.2019'!D55</f>
        <v>0</v>
      </c>
      <c r="F49" s="66">
        <f t="shared" si="1"/>
        <v>0</v>
      </c>
      <c r="G49" s="110"/>
      <c r="H49" s="110">
        <f>'[1]Univ Comm Fund'!E150</f>
        <v>0</v>
      </c>
      <c r="I49" s="110">
        <f>'[1]UNIV. LIB.2019'!E55</f>
        <v>0</v>
      </c>
      <c r="J49" s="11">
        <f t="shared" si="2"/>
        <v>0</v>
      </c>
      <c r="K49" s="110"/>
      <c r="L49" s="66">
        <f>'[1]Univ Comm Fund'!F150</f>
        <v>3500000</v>
      </c>
      <c r="M49" s="66">
        <f>'[1]UNIV. LIB.2019'!F55</f>
        <v>3500000</v>
      </c>
      <c r="N49" s="66">
        <f t="shared" si="3"/>
        <v>0</v>
      </c>
      <c r="O49" s="173"/>
      <c r="P49" s="173">
        <f>'[1]Univ Comm Fund'!G150</f>
        <v>3500000</v>
      </c>
      <c r="Q49" s="66">
        <f>'[1]UNIV. LIB.2019'!G55</f>
        <v>3500000</v>
      </c>
      <c r="R49" s="66">
        <f t="shared" si="4"/>
        <v>0</v>
      </c>
      <c r="S49" s="173"/>
      <c r="T49" s="173">
        <f>'[1]Univ Comm Fund'!H150</f>
        <v>5000000</v>
      </c>
      <c r="U49" s="173">
        <f>'[1]UNIV. LIB.2019'!H55</f>
        <v>5000000</v>
      </c>
      <c r="V49" s="66">
        <f t="shared" si="5"/>
        <v>0</v>
      </c>
      <c r="W49" s="173"/>
      <c r="X49" s="66">
        <f>'[1]Univ Comm Fund'!I150</f>
        <v>5000000</v>
      </c>
      <c r="Y49" s="66">
        <f>'[1]UNIV. LIB.2019'!I55</f>
        <v>5000000</v>
      </c>
      <c r="Z49" s="66">
        <f t="shared" si="6"/>
        <v>0</v>
      </c>
      <c r="AA49" s="66"/>
      <c r="AB49" s="66">
        <f>'[1]Univ Comm Fund'!J150</f>
        <v>6500000</v>
      </c>
      <c r="AC49" s="66">
        <f>'[1]UNIV. LIB.2019'!J55</f>
        <v>6500000</v>
      </c>
      <c r="AD49" s="66">
        <f t="shared" si="7"/>
        <v>0</v>
      </c>
      <c r="AE49" s="66"/>
      <c r="AF49" s="66">
        <f>'[1]Univ Comm Fund'!K150</f>
        <v>10000000</v>
      </c>
      <c r="AG49" s="66">
        <f>'[1]UNIV. LIB.2019'!K55</f>
        <v>10000000</v>
      </c>
      <c r="AH49" s="66">
        <f t="shared" si="8"/>
        <v>0</v>
      </c>
      <c r="AI49" s="66"/>
      <c r="AJ49" s="88">
        <f>'[1]Univ Comm Fund'!L150</f>
        <v>10000000</v>
      </c>
      <c r="AK49" s="88">
        <f>'[1]UNIV. LIB.2019'!L55</f>
        <v>10000000</v>
      </c>
      <c r="AL49" s="88">
        <f t="shared" si="9"/>
        <v>0</v>
      </c>
      <c r="AM49" s="88"/>
      <c r="AN49" s="66">
        <f>'[1]Univ Comm Fund'!M150</f>
        <v>20000000</v>
      </c>
      <c r="AO49" s="66">
        <f>'[1]UNIV. LIB.2019'!M55</f>
        <v>20000000</v>
      </c>
      <c r="AP49" s="66">
        <f t="shared" si="10"/>
        <v>0</v>
      </c>
      <c r="AQ49" s="66"/>
      <c r="AR49" s="66">
        <f>'[1]Univ Comm Fund'!N150</f>
        <v>25000000</v>
      </c>
      <c r="AS49" s="66">
        <f>'[1]UNIV. LIB.2019'!N55</f>
        <v>25000000</v>
      </c>
      <c r="AT49" s="66">
        <f t="shared" si="11"/>
        <v>0</v>
      </c>
      <c r="AU49" s="66"/>
      <c r="AV49" s="66">
        <f>'[1]Univ Comm Fund'!O150</f>
        <v>53000000</v>
      </c>
      <c r="AW49" s="66">
        <f>'[1]UNIV. LIB.2019'!O55</f>
        <v>53000000</v>
      </c>
      <c r="AX49" s="66">
        <f t="shared" si="12"/>
        <v>0</v>
      </c>
      <c r="AY49" s="66"/>
      <c r="AZ49" s="66">
        <f>'[1]Univ Comm Fund'!P150</f>
        <v>60000000</v>
      </c>
      <c r="BA49" s="66">
        <f>'[1]UNIV. LIB.2019'!P55</f>
        <v>60000000</v>
      </c>
      <c r="BB49" s="66">
        <f t="shared" si="0"/>
        <v>0</v>
      </c>
      <c r="BC49" s="106"/>
      <c r="BD49" s="66">
        <v>100000000</v>
      </c>
      <c r="BE49" s="66">
        <f>'[1]UNIV. LIB.2019'!Q55</f>
        <v>100000000</v>
      </c>
      <c r="BF49" s="66">
        <f t="shared" si="13"/>
        <v>0</v>
      </c>
      <c r="BG49" s="106"/>
      <c r="BH49" s="66">
        <v>50000000</v>
      </c>
      <c r="BI49" s="66">
        <f>'[1]UNIV. LIB.2019'!R55</f>
        <v>0</v>
      </c>
      <c r="BJ49" s="66">
        <f t="shared" si="14"/>
        <v>50000000</v>
      </c>
      <c r="BL49" s="66">
        <f>'[1]Univ Comm Fund'!S150</f>
        <v>34000000</v>
      </c>
      <c r="BM49" s="66">
        <f>'[1]UNIV. LIB.2019'!S55</f>
        <v>0</v>
      </c>
      <c r="BN49" s="66">
        <f t="shared" si="15"/>
        <v>34000000</v>
      </c>
      <c r="BP49" s="66">
        <f>'[1]Univ Comm Fund'!T150</f>
        <v>30000000</v>
      </c>
      <c r="BQ49" s="66">
        <f>'[1]UNIV. LIB.2019'!T55</f>
        <v>0</v>
      </c>
      <c r="BR49" s="66">
        <f t="shared" si="16"/>
        <v>30000000</v>
      </c>
      <c r="BT49" s="66">
        <f>'[1]Univ Comm Fund'!U150</f>
        <v>20000000</v>
      </c>
      <c r="BU49" s="66">
        <f>'[1]UNIV. LIB.2019'!U55</f>
        <v>0</v>
      </c>
      <c r="BV49" s="66">
        <f t="shared" si="17"/>
        <v>20000000</v>
      </c>
      <c r="BX49" s="66">
        <f t="shared" si="18"/>
        <v>435500000</v>
      </c>
      <c r="BY49" s="66">
        <f t="shared" si="18"/>
        <v>301500000</v>
      </c>
      <c r="BZ49" s="66">
        <f t="shared" si="19"/>
        <v>134000000</v>
      </c>
      <c r="CR49" s="166"/>
      <c r="CS49" s="166"/>
      <c r="CT49" s="166"/>
      <c r="CU49" s="166"/>
      <c r="EW49" s="16"/>
      <c r="HM49" s="162"/>
    </row>
    <row r="50" spans="1:221" s="4" customFormat="1" x14ac:dyDescent="0.25">
      <c r="A50" s="164">
        <v>44</v>
      </c>
      <c r="B50" s="164" t="s">
        <v>165</v>
      </c>
      <c r="C50" s="164"/>
      <c r="D50" s="110">
        <f>'[1]Univ Comm Fund'!D151</f>
        <v>0</v>
      </c>
      <c r="E50" s="110">
        <f>'[1]UNIV. LIB.2019'!D56</f>
        <v>0</v>
      </c>
      <c r="F50" s="66">
        <f t="shared" si="1"/>
        <v>0</v>
      </c>
      <c r="G50" s="110"/>
      <c r="H50" s="110">
        <f>'[1]Univ Comm Fund'!E151</f>
        <v>0</v>
      </c>
      <c r="I50" s="181">
        <f>'[1]UNIV. LIB.2019'!E56</f>
        <v>0</v>
      </c>
      <c r="J50" s="11">
        <f t="shared" si="2"/>
        <v>0</v>
      </c>
      <c r="K50" s="181"/>
      <c r="L50" s="181">
        <f>'[1]Univ Comm Fund'!F151</f>
        <v>0</v>
      </c>
      <c r="M50" s="181">
        <f>'[1]UNIV. LIB.2019'!F56</f>
        <v>0</v>
      </c>
      <c r="N50" s="66">
        <f t="shared" si="3"/>
        <v>0</v>
      </c>
      <c r="O50" s="181"/>
      <c r="P50" s="110">
        <f>'[1]Univ Comm Fund'!G151</f>
        <v>0</v>
      </c>
      <c r="Q50" s="110">
        <f>'[1]UNIV. LIB.2019'!G56</f>
        <v>0</v>
      </c>
      <c r="R50" s="66">
        <f t="shared" si="4"/>
        <v>0</v>
      </c>
      <c r="S50" s="110"/>
      <c r="T50" s="66">
        <f>'[1]Univ Comm Fund'!H151</f>
        <v>5000000</v>
      </c>
      <c r="U50" s="176">
        <f>'[1]UNIV. LIB.2019'!H56</f>
        <v>5000000</v>
      </c>
      <c r="V50" s="66">
        <f t="shared" si="5"/>
        <v>0</v>
      </c>
      <c r="W50" s="176"/>
      <c r="X50" s="176">
        <f>'[1]Univ Comm Fund'!I151</f>
        <v>5000000</v>
      </c>
      <c r="Y50" s="176">
        <f>'[1]UNIV. LIB.2019'!I56</f>
        <v>5000000</v>
      </c>
      <c r="Z50" s="66">
        <f t="shared" si="6"/>
        <v>0</v>
      </c>
      <c r="AA50" s="176"/>
      <c r="AB50" s="66">
        <f>'[1]Univ Comm Fund'!J151</f>
        <v>6500000</v>
      </c>
      <c r="AC50" s="66">
        <f>'[1]UNIV. LIB.2019'!J56</f>
        <v>6500000</v>
      </c>
      <c r="AD50" s="66">
        <f t="shared" si="7"/>
        <v>0</v>
      </c>
      <c r="AE50" s="66"/>
      <c r="AF50" s="66">
        <f>'[1]Univ Comm Fund'!K151</f>
        <v>10000000</v>
      </c>
      <c r="AG50" s="66">
        <f>'[1]UNIV. LIB.2019'!K56</f>
        <v>10000000</v>
      </c>
      <c r="AH50" s="66">
        <f t="shared" si="8"/>
        <v>0</v>
      </c>
      <c r="AI50" s="66"/>
      <c r="AJ50" s="88">
        <f>'[1]Univ Comm Fund'!L151</f>
        <v>10000000</v>
      </c>
      <c r="AK50" s="88">
        <f>'[1]UNIV. LIB.2019'!L56</f>
        <v>10000000</v>
      </c>
      <c r="AL50" s="88">
        <f t="shared" si="9"/>
        <v>0</v>
      </c>
      <c r="AM50" s="88"/>
      <c r="AN50" s="66">
        <f>'[1]Univ Comm Fund'!M151</f>
        <v>20000000</v>
      </c>
      <c r="AO50" s="66">
        <f>'[1]UNIV. LIB.2019'!M56</f>
        <v>20000000</v>
      </c>
      <c r="AP50" s="66">
        <f t="shared" si="10"/>
        <v>0</v>
      </c>
      <c r="AQ50" s="66"/>
      <c r="AR50" s="66">
        <f>'[1]Univ Comm Fund'!N151</f>
        <v>25000000</v>
      </c>
      <c r="AS50" s="66">
        <f>'[1]UNIV. LIB.2019'!N56</f>
        <v>25000000</v>
      </c>
      <c r="AT50" s="66">
        <f t="shared" si="11"/>
        <v>0</v>
      </c>
      <c r="AU50" s="66"/>
      <c r="AV50" s="66">
        <f>'[1]Univ Comm Fund'!O151</f>
        <v>53000000</v>
      </c>
      <c r="AW50" s="66">
        <f>'[1]UNIV. LIB.2019'!O56</f>
        <v>53000000</v>
      </c>
      <c r="AX50" s="66">
        <f t="shared" si="12"/>
        <v>0</v>
      </c>
      <c r="AY50" s="66"/>
      <c r="AZ50" s="66">
        <f>'[1]Univ Comm Fund'!P151</f>
        <v>60000000</v>
      </c>
      <c r="BA50" s="66">
        <f>'[1]UNIV. LIB.2019'!P56</f>
        <v>60000000</v>
      </c>
      <c r="BB50" s="66">
        <f t="shared" si="0"/>
        <v>0</v>
      </c>
      <c r="BC50" s="106"/>
      <c r="BD50" s="66">
        <v>100000000</v>
      </c>
      <c r="BE50" s="66">
        <f>'[1]UNIV. LIB.2019'!Q56</f>
        <v>100000000</v>
      </c>
      <c r="BF50" s="66">
        <f t="shared" si="13"/>
        <v>0</v>
      </c>
      <c r="BG50" s="106"/>
      <c r="BH50" s="66">
        <v>50000000</v>
      </c>
      <c r="BI50" s="66">
        <f>'[1]UNIV. LIB.2019'!R56</f>
        <v>42500000</v>
      </c>
      <c r="BJ50" s="66">
        <f t="shared" si="14"/>
        <v>7500000</v>
      </c>
      <c r="BL50" s="66">
        <f>'[1]Univ Comm Fund'!S151</f>
        <v>34000000</v>
      </c>
      <c r="BM50" s="66">
        <f>'[1]UNIV. LIB.2019'!S56</f>
        <v>28900000</v>
      </c>
      <c r="BN50" s="66">
        <f t="shared" si="15"/>
        <v>5100000</v>
      </c>
      <c r="BP50" s="66">
        <f>'[1]Univ Comm Fund'!T151</f>
        <v>30000000</v>
      </c>
      <c r="BQ50" s="66">
        <f>'[1]UNIV. LIB.2019'!T56</f>
        <v>0</v>
      </c>
      <c r="BR50" s="66">
        <f t="shared" si="16"/>
        <v>30000000</v>
      </c>
      <c r="BT50" s="66">
        <f>'[1]Univ Comm Fund'!U151</f>
        <v>20000000</v>
      </c>
      <c r="BU50" s="66">
        <f>'[1]UNIV. LIB.2019'!U56</f>
        <v>0</v>
      </c>
      <c r="BV50" s="66">
        <f t="shared" si="17"/>
        <v>20000000</v>
      </c>
      <c r="BX50" s="66">
        <f t="shared" si="18"/>
        <v>428500000</v>
      </c>
      <c r="BY50" s="66">
        <f t="shared" si="18"/>
        <v>365900000</v>
      </c>
      <c r="BZ50" s="66">
        <f t="shared" si="19"/>
        <v>62600000</v>
      </c>
      <c r="CR50" s="166"/>
      <c r="CS50" s="166"/>
      <c r="CT50" s="166"/>
      <c r="CU50" s="166"/>
      <c r="EW50" s="16"/>
      <c r="HM50" s="162"/>
    </row>
    <row r="51" spans="1:221" s="4" customFormat="1" ht="30" x14ac:dyDescent="0.25">
      <c r="A51" s="164">
        <v>45</v>
      </c>
      <c r="B51" s="182" t="s">
        <v>109</v>
      </c>
      <c r="C51" s="182"/>
      <c r="D51" s="110">
        <f>'[1]Univ Comm Fund'!D152</f>
        <v>0</v>
      </c>
      <c r="E51" s="110">
        <f>'[1]UNIV. LIB.2019'!D57</f>
        <v>0</v>
      </c>
      <c r="F51" s="66">
        <f t="shared" si="1"/>
        <v>0</v>
      </c>
      <c r="G51" s="110"/>
      <c r="H51" s="110">
        <f>'[1]Univ Comm Fund'!E152</f>
        <v>0</v>
      </c>
      <c r="I51" s="181">
        <f>'[1]UNIV. LIB.2019'!E57</f>
        <v>0</v>
      </c>
      <c r="J51" s="11">
        <f t="shared" si="2"/>
        <v>0</v>
      </c>
      <c r="K51" s="181"/>
      <c r="L51" s="181">
        <f>'[1]Univ Comm Fund'!F152</f>
        <v>0</v>
      </c>
      <c r="M51" s="181">
        <f>'[1]UNIV. LIB.2019'!F57</f>
        <v>0</v>
      </c>
      <c r="N51" s="66">
        <f t="shared" si="3"/>
        <v>0</v>
      </c>
      <c r="O51" s="181"/>
      <c r="P51" s="110">
        <f>'[1]Univ Comm Fund'!G152</f>
        <v>0</v>
      </c>
      <c r="Q51" s="110">
        <f>'[1]UNIV. LIB.2019'!G57</f>
        <v>0</v>
      </c>
      <c r="R51" s="66">
        <f t="shared" si="4"/>
        <v>0</v>
      </c>
      <c r="S51" s="110"/>
      <c r="T51" s="66">
        <f>'[1]Univ Comm Fund'!H152</f>
        <v>5000000</v>
      </c>
      <c r="U51" s="176">
        <f>'[1]UNIV. LIB.2019'!H57</f>
        <v>5000000</v>
      </c>
      <c r="V51" s="66">
        <f t="shared" si="5"/>
        <v>0</v>
      </c>
      <c r="W51" s="176"/>
      <c r="X51" s="176">
        <f>'[1]Univ Comm Fund'!I152</f>
        <v>5000000</v>
      </c>
      <c r="Y51" s="176">
        <f>'[1]UNIV. LIB.2019'!I57</f>
        <v>5000000</v>
      </c>
      <c r="Z51" s="66">
        <f t="shared" si="6"/>
        <v>0</v>
      </c>
      <c r="AA51" s="176"/>
      <c r="AB51" s="66">
        <f>'[1]Univ Comm Fund'!J152</f>
        <v>6500000</v>
      </c>
      <c r="AC51" s="66">
        <f>'[1]UNIV. LIB.2019'!J57</f>
        <v>6500000</v>
      </c>
      <c r="AD51" s="66">
        <f t="shared" si="7"/>
        <v>0</v>
      </c>
      <c r="AE51" s="66"/>
      <c r="AF51" s="66">
        <f>'[1]Univ Comm Fund'!K152</f>
        <v>10000000</v>
      </c>
      <c r="AG51" s="66">
        <f>'[1]UNIV. LIB.2019'!K57</f>
        <v>10000000</v>
      </c>
      <c r="AH51" s="66">
        <f t="shared" si="8"/>
        <v>0</v>
      </c>
      <c r="AI51" s="66"/>
      <c r="AJ51" s="88">
        <f>'[1]Univ Comm Fund'!L152</f>
        <v>10000000</v>
      </c>
      <c r="AK51" s="88">
        <f>'[1]UNIV. LIB.2019'!L57</f>
        <v>10000000</v>
      </c>
      <c r="AL51" s="88">
        <f t="shared" si="9"/>
        <v>0</v>
      </c>
      <c r="AM51" s="88"/>
      <c r="AN51" s="66">
        <f>'[1]Univ Comm Fund'!M152</f>
        <v>0</v>
      </c>
      <c r="AO51" s="66">
        <f>'[1]UNIV. LIB.2019'!M57</f>
        <v>0</v>
      </c>
      <c r="AP51" s="66">
        <f t="shared" si="10"/>
        <v>0</v>
      </c>
      <c r="AQ51" s="66"/>
      <c r="AR51" s="66">
        <f>'[1]Univ Comm Fund'!N152</f>
        <v>25000000</v>
      </c>
      <c r="AS51" s="66">
        <f>'[1]UNIV. LIB.2019'!N57</f>
        <v>21250000</v>
      </c>
      <c r="AT51" s="66">
        <f t="shared" si="11"/>
        <v>3750000</v>
      </c>
      <c r="AU51" s="66"/>
      <c r="AV51" s="66">
        <f>'[1]Univ Comm Fund'!O152</f>
        <v>53000000</v>
      </c>
      <c r="AW51" s="66">
        <f>'[1]UNIV. LIB.2019'!O57</f>
        <v>45050000</v>
      </c>
      <c r="AX51" s="66">
        <f t="shared" si="12"/>
        <v>7950000</v>
      </c>
      <c r="AY51" s="66"/>
      <c r="AZ51" s="66">
        <f>'[1]Univ Comm Fund'!P152</f>
        <v>60000000</v>
      </c>
      <c r="BA51" s="66">
        <f>'[1]UNIV. LIB.2019'!P57</f>
        <v>51000000</v>
      </c>
      <c r="BB51" s="66">
        <f t="shared" si="0"/>
        <v>9000000</v>
      </c>
      <c r="BC51" s="106"/>
      <c r="BD51" s="66">
        <v>100000000</v>
      </c>
      <c r="BE51" s="66">
        <f>'[1]UNIV. LIB.2019'!Q57</f>
        <v>85000000</v>
      </c>
      <c r="BF51" s="66">
        <f t="shared" si="13"/>
        <v>15000000</v>
      </c>
      <c r="BG51" s="106"/>
      <c r="BH51" s="66">
        <v>50000000</v>
      </c>
      <c r="BI51" s="66">
        <f>'[1]UNIV. LIB.2019'!R57</f>
        <v>0</v>
      </c>
      <c r="BJ51" s="66">
        <f t="shared" si="14"/>
        <v>50000000</v>
      </c>
      <c r="BL51" s="66">
        <f>'[1]Univ Comm Fund'!S152</f>
        <v>34000000</v>
      </c>
      <c r="BM51" s="66">
        <f>'[1]UNIV. LIB.2019'!S57</f>
        <v>0</v>
      </c>
      <c r="BN51" s="66">
        <f t="shared" si="15"/>
        <v>34000000</v>
      </c>
      <c r="BP51" s="66">
        <f>'[1]Univ Comm Fund'!T152</f>
        <v>30000000</v>
      </c>
      <c r="BQ51" s="66">
        <f>'[1]UNIV. LIB.2019'!T57</f>
        <v>0</v>
      </c>
      <c r="BR51" s="66">
        <f t="shared" si="16"/>
        <v>30000000</v>
      </c>
      <c r="BT51" s="66">
        <f>'[1]Univ Comm Fund'!U152</f>
        <v>20000000</v>
      </c>
      <c r="BU51" s="66">
        <f>'[1]UNIV. LIB.2019'!U57</f>
        <v>0</v>
      </c>
      <c r="BV51" s="66">
        <f t="shared" si="17"/>
        <v>20000000</v>
      </c>
      <c r="BX51" s="66">
        <f t="shared" si="18"/>
        <v>408500000</v>
      </c>
      <c r="BY51" s="66">
        <f t="shared" si="18"/>
        <v>238800000</v>
      </c>
      <c r="BZ51" s="66">
        <f t="shared" si="19"/>
        <v>169700000</v>
      </c>
      <c r="CR51" s="166"/>
      <c r="CS51" s="166"/>
      <c r="CT51" s="166"/>
      <c r="CU51" s="166"/>
      <c r="EW51" s="16"/>
      <c r="HM51" s="162"/>
    </row>
    <row r="52" spans="1:221" s="4" customFormat="1" x14ac:dyDescent="0.25">
      <c r="A52" s="164">
        <v>46</v>
      </c>
      <c r="B52" s="164" t="s">
        <v>110</v>
      </c>
      <c r="C52" s="164"/>
      <c r="D52" s="110">
        <f>'[1]Univ Comm Fund'!D153</f>
        <v>0</v>
      </c>
      <c r="E52" s="110">
        <f>'[1]UNIV. LIB.2019'!D58</f>
        <v>0</v>
      </c>
      <c r="F52" s="66">
        <f t="shared" si="1"/>
        <v>0</v>
      </c>
      <c r="G52" s="110"/>
      <c r="H52" s="110">
        <f>'[1]Univ Comm Fund'!E153</f>
        <v>0</v>
      </c>
      <c r="I52" s="110">
        <f>'[1]UNIV. LIB.2019'!E58</f>
        <v>0</v>
      </c>
      <c r="J52" s="11">
        <f t="shared" si="2"/>
        <v>0</v>
      </c>
      <c r="K52" s="110"/>
      <c r="L52" s="110">
        <f>'[1]Univ Comm Fund'!F153</f>
        <v>0</v>
      </c>
      <c r="M52" s="110">
        <f>'[1]UNIV. LIB.2019'!F58</f>
        <v>0</v>
      </c>
      <c r="N52" s="66">
        <f t="shared" si="3"/>
        <v>0</v>
      </c>
      <c r="O52" s="183"/>
      <c r="P52" s="183">
        <f>'[1]Univ Comm Fund'!G153</f>
        <v>0</v>
      </c>
      <c r="Q52" s="110">
        <f>'[1]UNIV. LIB.2019'!G58</f>
        <v>0</v>
      </c>
      <c r="R52" s="66">
        <f t="shared" si="4"/>
        <v>0</v>
      </c>
      <c r="S52" s="183"/>
      <c r="T52" s="183">
        <f>'[1]Univ Comm Fund'!H153</f>
        <v>0</v>
      </c>
      <c r="U52" s="183">
        <f>'[1]UNIV. LIB.2019'!H58</f>
        <v>0</v>
      </c>
      <c r="V52" s="66">
        <f t="shared" si="5"/>
        <v>0</v>
      </c>
      <c r="W52" s="183"/>
      <c r="X52" s="66">
        <f>'[1]Univ Comm Fund'!I153</f>
        <v>5000000</v>
      </c>
      <c r="Y52" s="66">
        <f>'[1]UNIV. LIB.2019'!I58</f>
        <v>5000000</v>
      </c>
      <c r="Z52" s="66">
        <f t="shared" si="6"/>
        <v>0</v>
      </c>
      <c r="AA52" s="66"/>
      <c r="AB52" s="66">
        <f>'[1]Univ Comm Fund'!J153</f>
        <v>6500000</v>
      </c>
      <c r="AC52" s="66">
        <f>'[1]UNIV. LIB.2019'!J58</f>
        <v>6500000</v>
      </c>
      <c r="AD52" s="66">
        <f t="shared" si="7"/>
        <v>0</v>
      </c>
      <c r="AE52" s="66"/>
      <c r="AF52" s="66">
        <f>'[1]Univ Comm Fund'!K153</f>
        <v>10000000</v>
      </c>
      <c r="AG52" s="66">
        <f>'[1]UNIV. LIB.2019'!K58</f>
        <v>10000000</v>
      </c>
      <c r="AH52" s="66">
        <f t="shared" si="8"/>
        <v>0</v>
      </c>
      <c r="AI52" s="66"/>
      <c r="AJ52" s="88">
        <f>'[1]Univ Comm Fund'!L153</f>
        <v>10000000</v>
      </c>
      <c r="AK52" s="88">
        <f>'[1]UNIV. LIB.2019'!L58</f>
        <v>10000000</v>
      </c>
      <c r="AL52" s="88">
        <f t="shared" si="9"/>
        <v>0</v>
      </c>
      <c r="AM52" s="88"/>
      <c r="AN52" s="66">
        <f>'[1]Univ Comm Fund'!M153</f>
        <v>20000000</v>
      </c>
      <c r="AO52" s="66">
        <f>'[1]UNIV. LIB.2019'!M58</f>
        <v>20000000</v>
      </c>
      <c r="AP52" s="66">
        <f t="shared" si="10"/>
        <v>0</v>
      </c>
      <c r="AQ52" s="66"/>
      <c r="AR52" s="66">
        <f>'[1]Univ Comm Fund'!N153</f>
        <v>25000000</v>
      </c>
      <c r="AS52" s="66">
        <f>'[1]UNIV. LIB.2019'!N58</f>
        <v>25000000</v>
      </c>
      <c r="AT52" s="66">
        <f t="shared" si="11"/>
        <v>0</v>
      </c>
      <c r="AU52" s="66"/>
      <c r="AV52" s="66">
        <f>'[1]Univ Comm Fund'!O153</f>
        <v>53000000</v>
      </c>
      <c r="AW52" s="66">
        <f>'[1]UNIV. LIB.2019'!O58</f>
        <v>53000000</v>
      </c>
      <c r="AX52" s="66">
        <f t="shared" si="12"/>
        <v>0</v>
      </c>
      <c r="AY52" s="66"/>
      <c r="AZ52" s="66">
        <f>'[1]Univ Comm Fund'!P153</f>
        <v>60000000</v>
      </c>
      <c r="BA52" s="66">
        <f>'[1]UNIV. LIB.2019'!P58</f>
        <v>42136865.799999997</v>
      </c>
      <c r="BB52" s="66">
        <f t="shared" si="0"/>
        <v>17863134.200000003</v>
      </c>
      <c r="BC52" s="106"/>
      <c r="BD52" s="66">
        <v>100000000</v>
      </c>
      <c r="BE52" s="66">
        <f>'[1]UNIV. LIB.2019'!Q58</f>
        <v>100000000</v>
      </c>
      <c r="BF52" s="66">
        <f t="shared" si="13"/>
        <v>0</v>
      </c>
      <c r="BG52" s="106"/>
      <c r="BH52" s="66">
        <v>50000000</v>
      </c>
      <c r="BI52" s="66">
        <f>'[1]UNIV. LIB.2019'!R58</f>
        <v>0</v>
      </c>
      <c r="BJ52" s="66">
        <f t="shared" si="14"/>
        <v>50000000</v>
      </c>
      <c r="BL52" s="66">
        <f>'[1]Univ Comm Fund'!S153</f>
        <v>34000000</v>
      </c>
      <c r="BM52" s="66">
        <f>'[1]UNIV. LIB.2019'!S58</f>
        <v>0</v>
      </c>
      <c r="BN52" s="66">
        <f t="shared" si="15"/>
        <v>34000000</v>
      </c>
      <c r="BP52" s="66">
        <f>'[1]Univ Comm Fund'!T153</f>
        <v>30000000</v>
      </c>
      <c r="BQ52" s="66">
        <f>'[1]UNIV. LIB.2019'!T58</f>
        <v>0</v>
      </c>
      <c r="BR52" s="66">
        <f t="shared" si="16"/>
        <v>30000000</v>
      </c>
      <c r="BT52" s="66">
        <f>'[1]Univ Comm Fund'!U153</f>
        <v>20000000</v>
      </c>
      <c r="BU52" s="66">
        <f>'[1]UNIV. LIB.2019'!U58</f>
        <v>0</v>
      </c>
      <c r="BV52" s="66">
        <f t="shared" si="17"/>
        <v>20000000</v>
      </c>
      <c r="BX52" s="66">
        <f t="shared" si="18"/>
        <v>423500000</v>
      </c>
      <c r="BY52" s="66">
        <f t="shared" si="18"/>
        <v>271636865.80000001</v>
      </c>
      <c r="BZ52" s="66">
        <f t="shared" si="19"/>
        <v>151863134.19999999</v>
      </c>
      <c r="CR52" s="166"/>
      <c r="CS52" s="166"/>
      <c r="CT52" s="166"/>
      <c r="CU52" s="166"/>
      <c r="EW52" s="16"/>
      <c r="HM52" s="162"/>
    </row>
    <row r="53" spans="1:221" s="4" customFormat="1" x14ac:dyDescent="0.25">
      <c r="A53" s="164">
        <v>47</v>
      </c>
      <c r="B53" s="164" t="s">
        <v>111</v>
      </c>
      <c r="C53" s="164"/>
      <c r="D53" s="110">
        <f>'[1]Univ Comm Fund'!D154</f>
        <v>0</v>
      </c>
      <c r="E53" s="110">
        <f>'[1]UNIV. LIB.2019'!D59</f>
        <v>0</v>
      </c>
      <c r="F53" s="66">
        <f t="shared" si="1"/>
        <v>0</v>
      </c>
      <c r="G53" s="110"/>
      <c r="H53" s="110">
        <f>'[1]Univ Comm Fund'!E154</f>
        <v>0</v>
      </c>
      <c r="I53" s="110">
        <f>'[1]UNIV. LIB.2019'!E59</f>
        <v>0</v>
      </c>
      <c r="J53" s="11">
        <f t="shared" si="2"/>
        <v>0</v>
      </c>
      <c r="K53" s="110"/>
      <c r="L53" s="110">
        <f>'[1]Univ Comm Fund'!F154</f>
        <v>0</v>
      </c>
      <c r="M53" s="110">
        <f>'[1]UNIV. LIB.2019'!F59</f>
        <v>0</v>
      </c>
      <c r="N53" s="66">
        <f t="shared" si="3"/>
        <v>0</v>
      </c>
      <c r="O53" s="110"/>
      <c r="P53" s="110">
        <f>'[1]Univ Comm Fund'!G154</f>
        <v>0</v>
      </c>
      <c r="Q53" s="110">
        <f>'[1]UNIV. LIB.2019'!G59</f>
        <v>0</v>
      </c>
      <c r="R53" s="66">
        <f t="shared" si="4"/>
        <v>0</v>
      </c>
      <c r="S53" s="110"/>
      <c r="T53" s="110">
        <f>'[1]Univ Comm Fund'!H154</f>
        <v>0</v>
      </c>
      <c r="U53" s="110">
        <f>'[1]UNIV. LIB.2019'!H59</f>
        <v>0</v>
      </c>
      <c r="V53" s="66">
        <f t="shared" si="5"/>
        <v>0</v>
      </c>
      <c r="W53" s="110"/>
      <c r="X53" s="66">
        <f>'[1]Univ Comm Fund'!I154</f>
        <v>5000000</v>
      </c>
      <c r="Y53" s="66">
        <f>'[1]UNIV. LIB.2019'!I59</f>
        <v>5000000</v>
      </c>
      <c r="Z53" s="66">
        <f t="shared" si="6"/>
        <v>0</v>
      </c>
      <c r="AA53" s="66"/>
      <c r="AB53" s="66">
        <f>'[1]Univ Comm Fund'!J154</f>
        <v>6500000</v>
      </c>
      <c r="AC53" s="66">
        <f>'[1]UNIV. LIB.2019'!J59</f>
        <v>6500000</v>
      </c>
      <c r="AD53" s="66">
        <f t="shared" si="7"/>
        <v>0</v>
      </c>
      <c r="AE53" s="66"/>
      <c r="AF53" s="66">
        <f>'[1]Univ Comm Fund'!K154</f>
        <v>8500000</v>
      </c>
      <c r="AG53" s="66">
        <f>'[1]UNIV. LIB.2019'!K59</f>
        <v>8500000</v>
      </c>
      <c r="AH53" s="66">
        <f t="shared" si="8"/>
        <v>0</v>
      </c>
      <c r="AI53" s="66"/>
      <c r="AJ53" s="88">
        <f>'[1]Univ Comm Fund'!L154</f>
        <v>9918115.6500000004</v>
      </c>
      <c r="AK53" s="88">
        <f>'[1]UNIV. LIB.2019'!L59</f>
        <v>9918115.6500000004</v>
      </c>
      <c r="AL53" s="88">
        <f t="shared" si="9"/>
        <v>0</v>
      </c>
      <c r="AM53" s="88"/>
      <c r="AN53" s="66">
        <f>'[1]Univ Comm Fund'!M154</f>
        <v>18444197.300000001</v>
      </c>
      <c r="AO53" s="66">
        <f>'[1]UNIV. LIB.2019'!M59</f>
        <v>18444197.300000001</v>
      </c>
      <c r="AP53" s="66">
        <f t="shared" si="10"/>
        <v>0</v>
      </c>
      <c r="AQ53" s="66"/>
      <c r="AR53" s="66">
        <f>'[1]Univ Comm Fund'!N154</f>
        <v>25000000</v>
      </c>
      <c r="AS53" s="66">
        <f>'[1]UNIV. LIB.2019'!N59</f>
        <v>25000000</v>
      </c>
      <c r="AT53" s="66">
        <f t="shared" si="11"/>
        <v>0</v>
      </c>
      <c r="AU53" s="66"/>
      <c r="AV53" s="66">
        <f>'[1]Univ Comm Fund'!O154</f>
        <v>53000000</v>
      </c>
      <c r="AW53" s="66">
        <f>'[1]UNIV. LIB.2019'!O59</f>
        <v>53000000</v>
      </c>
      <c r="AX53" s="66">
        <f t="shared" si="12"/>
        <v>0</v>
      </c>
      <c r="AY53" s="66"/>
      <c r="AZ53" s="66">
        <f>'[1]Univ Comm Fund'!P154</f>
        <v>60000000</v>
      </c>
      <c r="BA53" s="66">
        <f>'[1]UNIV. LIB.2019'!P59</f>
        <v>60000000</v>
      </c>
      <c r="BB53" s="66">
        <f t="shared" si="0"/>
        <v>0</v>
      </c>
      <c r="BC53" s="106"/>
      <c r="BD53" s="66">
        <v>100000000</v>
      </c>
      <c r="BE53" s="66">
        <f>'[1]UNIV. LIB.2019'!Q59</f>
        <v>100000000</v>
      </c>
      <c r="BF53" s="66">
        <f t="shared" si="13"/>
        <v>0</v>
      </c>
      <c r="BG53" s="106"/>
      <c r="BH53" s="66">
        <v>50000000</v>
      </c>
      <c r="BI53" s="66">
        <f>'[1]UNIV. LIB.2019'!R59</f>
        <v>42500000</v>
      </c>
      <c r="BJ53" s="66">
        <f t="shared" si="14"/>
        <v>7500000</v>
      </c>
      <c r="BL53" s="66">
        <f>'[1]Univ Comm Fund'!S154</f>
        <v>34000000</v>
      </c>
      <c r="BM53" s="66">
        <f>'[1]UNIV. LIB.2019'!S59</f>
        <v>28900000</v>
      </c>
      <c r="BN53" s="66">
        <f t="shared" si="15"/>
        <v>5100000</v>
      </c>
      <c r="BP53" s="66">
        <f>'[1]Univ Comm Fund'!T154</f>
        <v>30000000</v>
      </c>
      <c r="BQ53" s="66">
        <f>'[1]UNIV. LIB.2019'!T59</f>
        <v>0</v>
      </c>
      <c r="BR53" s="66">
        <f t="shared" si="16"/>
        <v>30000000</v>
      </c>
      <c r="BT53" s="66">
        <f>'[1]Univ Comm Fund'!U154</f>
        <v>20000000</v>
      </c>
      <c r="BU53" s="66">
        <f>'[1]UNIV. LIB.2019'!U59</f>
        <v>0</v>
      </c>
      <c r="BV53" s="66">
        <f t="shared" si="17"/>
        <v>20000000</v>
      </c>
      <c r="BX53" s="66">
        <f t="shared" si="18"/>
        <v>420362312.94999999</v>
      </c>
      <c r="BY53" s="66">
        <f t="shared" si="18"/>
        <v>357762312.94999999</v>
      </c>
      <c r="BZ53" s="66">
        <f t="shared" si="19"/>
        <v>62600000</v>
      </c>
      <c r="CR53" s="166"/>
      <c r="CS53" s="166"/>
      <c r="CT53" s="166"/>
      <c r="CU53" s="166"/>
      <c r="EW53" s="16"/>
      <c r="HM53" s="162"/>
    </row>
    <row r="54" spans="1:221" s="188" customFormat="1" x14ac:dyDescent="0.25">
      <c r="A54" s="184">
        <v>48</v>
      </c>
      <c r="B54" s="184" t="s">
        <v>112</v>
      </c>
      <c r="C54" s="184"/>
      <c r="D54" s="185">
        <f>'[1]Univ Comm Fund'!D155</f>
        <v>0</v>
      </c>
      <c r="E54" s="185">
        <f>'[1]UNIV. LIB.2019'!D60</f>
        <v>0</v>
      </c>
      <c r="F54" s="121">
        <f t="shared" si="1"/>
        <v>0</v>
      </c>
      <c r="G54" s="185"/>
      <c r="H54" s="185">
        <f>'[1]Univ Comm Fund'!E155</f>
        <v>0</v>
      </c>
      <c r="I54" s="185">
        <f>'[1]UNIV. LIB.2019'!E60</f>
        <v>0</v>
      </c>
      <c r="J54" s="186">
        <f t="shared" si="2"/>
        <v>0</v>
      </c>
      <c r="K54" s="185"/>
      <c r="L54" s="185">
        <f>'[1]Univ Comm Fund'!F155</f>
        <v>0</v>
      </c>
      <c r="M54" s="185">
        <f>'[1]UNIV. LIB.2019'!F60</f>
        <v>0</v>
      </c>
      <c r="N54" s="121">
        <f t="shared" si="3"/>
        <v>0</v>
      </c>
      <c r="O54" s="185"/>
      <c r="P54" s="185">
        <f>'[1]Univ Comm Fund'!G155</f>
        <v>0</v>
      </c>
      <c r="Q54" s="185">
        <f>'[1]UNIV. LIB.2019'!G60</f>
        <v>0</v>
      </c>
      <c r="R54" s="121">
        <f t="shared" si="4"/>
        <v>0</v>
      </c>
      <c r="S54" s="185"/>
      <c r="T54" s="185">
        <f>'[1]Univ Comm Fund'!H155</f>
        <v>0</v>
      </c>
      <c r="U54" s="185">
        <f>'[1]UNIV. LIB.2019'!H60</f>
        <v>0</v>
      </c>
      <c r="V54" s="121">
        <f t="shared" si="5"/>
        <v>0</v>
      </c>
      <c r="W54" s="185"/>
      <c r="X54" s="121">
        <f>'[1]Univ Comm Fund'!I155</f>
        <v>5000000</v>
      </c>
      <c r="Y54" s="121">
        <f>'[1]UNIV. LIB.2019'!I60</f>
        <v>5000000</v>
      </c>
      <c r="Z54" s="121">
        <f t="shared" si="6"/>
        <v>0</v>
      </c>
      <c r="AA54" s="121"/>
      <c r="AB54" s="121">
        <f>'[1]Univ Comm Fund'!J155</f>
        <v>0</v>
      </c>
      <c r="AC54" s="121">
        <f>'[1]UNIV. LIB.2019'!J60</f>
        <v>0</v>
      </c>
      <c r="AD54" s="121">
        <f t="shared" si="7"/>
        <v>0</v>
      </c>
      <c r="AE54" s="121"/>
      <c r="AF54" s="121">
        <f>'[1]Univ Comm Fund'!K155</f>
        <v>0</v>
      </c>
      <c r="AG54" s="121">
        <f>'[1]UNIV. LIB.2019'!K60</f>
        <v>0</v>
      </c>
      <c r="AH54" s="121">
        <f t="shared" si="8"/>
        <v>0</v>
      </c>
      <c r="AI54" s="121"/>
      <c r="AJ54" s="123">
        <f>'[1]Univ Comm Fund'!L155</f>
        <v>0</v>
      </c>
      <c r="AK54" s="123">
        <f>'[1]UNIV. LIB.2019'!L60</f>
        <v>0</v>
      </c>
      <c r="AL54" s="123">
        <f t="shared" si="9"/>
        <v>0</v>
      </c>
      <c r="AM54" s="123"/>
      <c r="AN54" s="121">
        <f>'[1]Univ Comm Fund'!M155</f>
        <v>0</v>
      </c>
      <c r="AO54" s="121">
        <f>'[1]UNIV. LIB.2019'!M60</f>
        <v>0</v>
      </c>
      <c r="AP54" s="121">
        <f t="shared" si="10"/>
        <v>0</v>
      </c>
      <c r="AQ54" s="121"/>
      <c r="AR54" s="121">
        <f>'[1]Univ Comm Fund'!N155</f>
        <v>25000000</v>
      </c>
      <c r="AS54" s="121">
        <f>'[1]UNIV. LIB.2019'!N60</f>
        <v>25000000</v>
      </c>
      <c r="AT54" s="121">
        <f t="shared" si="11"/>
        <v>0</v>
      </c>
      <c r="AU54" s="121"/>
      <c r="AV54" s="121">
        <f>'[1]Univ Comm Fund'!O155</f>
        <v>53000000</v>
      </c>
      <c r="AW54" s="121">
        <f>'[1]UNIV. LIB.2019'!O60</f>
        <v>53000000</v>
      </c>
      <c r="AX54" s="121">
        <f t="shared" si="12"/>
        <v>0</v>
      </c>
      <c r="AY54" s="121"/>
      <c r="AZ54" s="121">
        <f>'[1]Univ Comm Fund'!P155</f>
        <v>60000000</v>
      </c>
      <c r="BA54" s="121">
        <f>'[1]UNIV. LIB.2019'!P60</f>
        <v>0</v>
      </c>
      <c r="BB54" s="121">
        <f t="shared" si="0"/>
        <v>60000000</v>
      </c>
      <c r="BC54" s="187"/>
      <c r="BD54" s="66">
        <v>100000000</v>
      </c>
      <c r="BE54" s="121">
        <f>'[1]UNIV. LIB.2019'!Q60</f>
        <v>0</v>
      </c>
      <c r="BF54" s="66">
        <f t="shared" si="13"/>
        <v>100000000</v>
      </c>
      <c r="BG54" s="187"/>
      <c r="BH54" s="121">
        <v>50000000</v>
      </c>
      <c r="BI54" s="66">
        <f>'[1]UNIV. LIB.2019'!R60</f>
        <v>0</v>
      </c>
      <c r="BJ54" s="66">
        <f t="shared" si="14"/>
        <v>50000000</v>
      </c>
      <c r="BL54" s="121">
        <f>'[1]Univ Comm Fund'!S155</f>
        <v>34000000</v>
      </c>
      <c r="BM54" s="121">
        <f>'[1]UNIV. LIB.2019'!S60</f>
        <v>0</v>
      </c>
      <c r="BN54" s="66">
        <f t="shared" si="15"/>
        <v>34000000</v>
      </c>
      <c r="BP54" s="121">
        <f>'[1]Univ Comm Fund'!T155</f>
        <v>30000000</v>
      </c>
      <c r="BQ54" s="121">
        <f>'[1]UNIV. LIB.2019'!T60</f>
        <v>0</v>
      </c>
      <c r="BR54" s="66">
        <f t="shared" si="16"/>
        <v>30000000</v>
      </c>
      <c r="BT54" s="121">
        <f>'[1]Univ Comm Fund'!U155</f>
        <v>20000000</v>
      </c>
      <c r="BU54" s="121">
        <f>'[1]UNIV. LIB.2019'!U60</f>
        <v>0</v>
      </c>
      <c r="BV54" s="66">
        <f t="shared" si="17"/>
        <v>20000000</v>
      </c>
      <c r="BX54" s="66">
        <f t="shared" si="18"/>
        <v>377000000</v>
      </c>
      <c r="BY54" s="66">
        <f t="shared" si="18"/>
        <v>83000000</v>
      </c>
      <c r="BZ54" s="66">
        <f t="shared" si="19"/>
        <v>294000000</v>
      </c>
      <c r="CR54" s="189"/>
      <c r="CS54" s="189"/>
      <c r="CT54" s="189"/>
      <c r="CU54" s="189"/>
      <c r="EW54" s="16"/>
      <c r="HM54" s="190"/>
    </row>
    <row r="55" spans="1:221" s="4" customFormat="1" x14ac:dyDescent="0.25">
      <c r="A55" s="164">
        <v>49</v>
      </c>
      <c r="B55" s="164" t="s">
        <v>113</v>
      </c>
      <c r="C55" s="164"/>
      <c r="D55" s="110">
        <f>'[1]Univ Comm Fund'!D156</f>
        <v>0</v>
      </c>
      <c r="E55" s="110">
        <f>'[1]UNIV. LIB.2019'!D61</f>
        <v>0</v>
      </c>
      <c r="F55" s="66">
        <f t="shared" si="1"/>
        <v>0</v>
      </c>
      <c r="G55" s="110"/>
      <c r="H55" s="110">
        <f>'[1]Univ Comm Fund'!E156</f>
        <v>0</v>
      </c>
      <c r="I55" s="110">
        <f>'[1]UNIV. LIB.2019'!E61</f>
        <v>0</v>
      </c>
      <c r="J55" s="11">
        <f t="shared" si="2"/>
        <v>0</v>
      </c>
      <c r="K55" s="110"/>
      <c r="L55" s="110">
        <f>'[1]Univ Comm Fund'!F156</f>
        <v>0</v>
      </c>
      <c r="M55" s="110">
        <f>'[1]UNIV. LIB.2019'!F61</f>
        <v>0</v>
      </c>
      <c r="N55" s="66">
        <f t="shared" si="3"/>
        <v>0</v>
      </c>
      <c r="O55" s="110"/>
      <c r="P55" s="110">
        <f>'[1]Univ Comm Fund'!G156</f>
        <v>0</v>
      </c>
      <c r="Q55" s="110">
        <f>'[1]UNIV. LIB.2019'!G61</f>
        <v>0</v>
      </c>
      <c r="R55" s="66">
        <f t="shared" si="4"/>
        <v>0</v>
      </c>
      <c r="S55" s="110"/>
      <c r="T55" s="110">
        <f>'[1]Univ Comm Fund'!H156</f>
        <v>0</v>
      </c>
      <c r="U55" s="110">
        <f>'[1]UNIV. LIB.2019'!H61</f>
        <v>0</v>
      </c>
      <c r="V55" s="66">
        <f t="shared" si="5"/>
        <v>0</v>
      </c>
      <c r="W55" s="110"/>
      <c r="X55" s="66">
        <f>'[1]Univ Comm Fund'!I156</f>
        <v>5000000</v>
      </c>
      <c r="Y55" s="66">
        <f>'[1]UNIV. LIB.2019'!I61</f>
        <v>5000000</v>
      </c>
      <c r="Z55" s="66">
        <f t="shared" si="6"/>
        <v>0</v>
      </c>
      <c r="AA55" s="66"/>
      <c r="AB55" s="66">
        <f>'[1]Univ Comm Fund'!J156</f>
        <v>6500000</v>
      </c>
      <c r="AC55" s="66">
        <f>'[1]UNIV. LIB.2019'!J61</f>
        <v>6500000</v>
      </c>
      <c r="AD55" s="66">
        <f t="shared" si="7"/>
        <v>0</v>
      </c>
      <c r="AE55" s="66"/>
      <c r="AF55" s="66">
        <f>'[1]Univ Comm Fund'!K156</f>
        <v>10000000</v>
      </c>
      <c r="AG55" s="66">
        <f>'[1]UNIV. LIB.2019'!K61</f>
        <v>10000000</v>
      </c>
      <c r="AH55" s="66">
        <f t="shared" si="8"/>
        <v>0</v>
      </c>
      <c r="AI55" s="66"/>
      <c r="AJ55" s="88">
        <f>'[1]Univ Comm Fund'!L156</f>
        <v>10000000</v>
      </c>
      <c r="AK55" s="88">
        <f>'[1]UNIV. LIB.2019'!L61</f>
        <v>10000000</v>
      </c>
      <c r="AL55" s="88">
        <f t="shared" si="9"/>
        <v>0</v>
      </c>
      <c r="AM55" s="88"/>
      <c r="AN55" s="66">
        <f>'[1]Univ Comm Fund'!M156</f>
        <v>20000000</v>
      </c>
      <c r="AO55" s="66">
        <f>'[1]UNIV. LIB.2019'!M61</f>
        <v>20000000</v>
      </c>
      <c r="AP55" s="66">
        <f t="shared" si="10"/>
        <v>0</v>
      </c>
      <c r="AQ55" s="66"/>
      <c r="AR55" s="66">
        <f>'[1]Univ Comm Fund'!N156</f>
        <v>25000000</v>
      </c>
      <c r="AS55" s="66">
        <f>'[1]UNIV. LIB.2019'!N61</f>
        <v>25000000</v>
      </c>
      <c r="AT55" s="66">
        <f t="shared" si="11"/>
        <v>0</v>
      </c>
      <c r="AU55" s="66"/>
      <c r="AV55" s="66">
        <f>'[1]Univ Comm Fund'!O156</f>
        <v>53000000</v>
      </c>
      <c r="AW55" s="66">
        <f>'[1]UNIV. LIB.2019'!O61</f>
        <v>53000000</v>
      </c>
      <c r="AX55" s="66">
        <f t="shared" si="12"/>
        <v>0</v>
      </c>
      <c r="AY55" s="66"/>
      <c r="AZ55" s="66">
        <f>'[1]Univ Comm Fund'!P156</f>
        <v>60000000</v>
      </c>
      <c r="BA55" s="66">
        <f>'[1]UNIV. LIB.2019'!P61</f>
        <v>60000000</v>
      </c>
      <c r="BB55" s="66">
        <f t="shared" si="0"/>
        <v>0</v>
      </c>
      <c r="BC55" s="106"/>
      <c r="BD55" s="66">
        <v>100000000</v>
      </c>
      <c r="BE55" s="66">
        <f>'[1]UNIV. LIB.2019'!Q61</f>
        <v>85000000</v>
      </c>
      <c r="BF55" s="66">
        <f t="shared" si="13"/>
        <v>15000000</v>
      </c>
      <c r="BG55" s="106"/>
      <c r="BH55" s="66">
        <v>50000000</v>
      </c>
      <c r="BI55" s="66">
        <f>'[1]UNIV. LIB.2019'!R61</f>
        <v>42500000</v>
      </c>
      <c r="BJ55" s="66">
        <f t="shared" si="14"/>
        <v>7500000</v>
      </c>
      <c r="BL55" s="66">
        <f>'[1]Univ Comm Fund'!S156</f>
        <v>34000000</v>
      </c>
      <c r="BM55" s="66">
        <f>'[1]UNIV. LIB.2019'!S61</f>
        <v>28900000</v>
      </c>
      <c r="BN55" s="66">
        <f t="shared" si="15"/>
        <v>5100000</v>
      </c>
      <c r="BP55" s="66">
        <f>'[1]Univ Comm Fund'!T156</f>
        <v>30000000</v>
      </c>
      <c r="BQ55" s="66">
        <f>'[1]UNIV. LIB.2019'!T61</f>
        <v>0</v>
      </c>
      <c r="BR55" s="66">
        <f t="shared" si="16"/>
        <v>30000000</v>
      </c>
      <c r="BT55" s="66">
        <f>'[1]Univ Comm Fund'!U156</f>
        <v>20000000</v>
      </c>
      <c r="BU55" s="66">
        <f>'[1]UNIV. LIB.2019'!U61</f>
        <v>0</v>
      </c>
      <c r="BV55" s="66">
        <f t="shared" si="17"/>
        <v>20000000</v>
      </c>
      <c r="BX55" s="66">
        <f t="shared" si="18"/>
        <v>423500000</v>
      </c>
      <c r="BY55" s="66">
        <f t="shared" si="18"/>
        <v>345900000</v>
      </c>
      <c r="BZ55" s="66">
        <f t="shared" si="19"/>
        <v>77600000</v>
      </c>
      <c r="CR55" s="166"/>
      <c r="CS55" s="166"/>
      <c r="CT55" s="166"/>
      <c r="CU55" s="166"/>
      <c r="EW55" s="16"/>
      <c r="HM55" s="162"/>
    </row>
    <row r="56" spans="1:221" s="4" customFormat="1" x14ac:dyDescent="0.25">
      <c r="A56" s="164">
        <v>50</v>
      </c>
      <c r="B56" s="164" t="s">
        <v>114</v>
      </c>
      <c r="C56" s="164"/>
      <c r="D56" s="110">
        <f>'[1]Univ Comm Fund'!D157</f>
        <v>0</v>
      </c>
      <c r="E56" s="110">
        <f>'[1]UNIV. LIB.2019'!D62</f>
        <v>0</v>
      </c>
      <c r="F56" s="66">
        <f t="shared" si="1"/>
        <v>0</v>
      </c>
      <c r="G56" s="110"/>
      <c r="H56" s="110">
        <f>'[1]Univ Comm Fund'!E157</f>
        <v>0</v>
      </c>
      <c r="I56" s="110">
        <f>'[1]UNIV. LIB.2019'!E62</f>
        <v>0</v>
      </c>
      <c r="J56" s="11">
        <f t="shared" si="2"/>
        <v>0</v>
      </c>
      <c r="K56" s="110"/>
      <c r="L56" s="110">
        <f>'[1]Univ Comm Fund'!F157</f>
        <v>0</v>
      </c>
      <c r="M56" s="110">
        <f>'[1]UNIV. LIB.2019'!F62</f>
        <v>0</v>
      </c>
      <c r="N56" s="66">
        <f t="shared" si="3"/>
        <v>0</v>
      </c>
      <c r="O56" s="110"/>
      <c r="P56" s="110">
        <f>'[1]Univ Comm Fund'!G157</f>
        <v>0</v>
      </c>
      <c r="Q56" s="110">
        <f>'[1]UNIV. LIB.2019'!G62</f>
        <v>0</v>
      </c>
      <c r="R56" s="66">
        <f t="shared" si="4"/>
        <v>0</v>
      </c>
      <c r="S56" s="110"/>
      <c r="T56" s="110">
        <f>'[1]Univ Comm Fund'!H157</f>
        <v>0</v>
      </c>
      <c r="U56" s="110">
        <f>'[1]UNIV. LIB.2019'!H62</f>
        <v>0</v>
      </c>
      <c r="V56" s="66">
        <f t="shared" si="5"/>
        <v>0</v>
      </c>
      <c r="W56" s="110"/>
      <c r="X56" s="66">
        <f>'[1]Univ Comm Fund'!I157</f>
        <v>5000000</v>
      </c>
      <c r="Y56" s="66">
        <f>'[1]UNIV. LIB.2019'!I62</f>
        <v>5000000</v>
      </c>
      <c r="Z56" s="66">
        <f t="shared" si="6"/>
        <v>0</v>
      </c>
      <c r="AA56" s="66"/>
      <c r="AB56" s="66">
        <f>'[1]Univ Comm Fund'!J157</f>
        <v>6500000</v>
      </c>
      <c r="AC56" s="66">
        <f>'[1]UNIV. LIB.2019'!J62</f>
        <v>6500000</v>
      </c>
      <c r="AD56" s="66">
        <f t="shared" si="7"/>
        <v>0</v>
      </c>
      <c r="AE56" s="66"/>
      <c r="AF56" s="66">
        <f>'[1]Univ Comm Fund'!K157</f>
        <v>10000000</v>
      </c>
      <c r="AG56" s="66">
        <f>'[1]UNIV. LIB.2019'!K62</f>
        <v>10000000</v>
      </c>
      <c r="AH56" s="66">
        <f t="shared" si="8"/>
        <v>0</v>
      </c>
      <c r="AI56" s="66"/>
      <c r="AJ56" s="88">
        <f>'[1]Univ Comm Fund'!L157</f>
        <v>10000000</v>
      </c>
      <c r="AK56" s="88">
        <f>'[1]UNIV. LIB.2019'!L62</f>
        <v>10000000</v>
      </c>
      <c r="AL56" s="88">
        <f t="shared" si="9"/>
        <v>0</v>
      </c>
      <c r="AM56" s="88"/>
      <c r="AN56" s="110">
        <f>'[1]Univ Comm Fund'!M157</f>
        <v>0</v>
      </c>
      <c r="AO56" s="110">
        <f>'[1]UNIV. LIB.2019'!M62</f>
        <v>0</v>
      </c>
      <c r="AP56" s="66">
        <f t="shared" si="10"/>
        <v>0</v>
      </c>
      <c r="AQ56" s="110"/>
      <c r="AR56" s="66">
        <f>'[1]Univ Comm Fund'!N157</f>
        <v>0</v>
      </c>
      <c r="AS56" s="66">
        <f>'[1]UNIV. LIB.2019'!N62</f>
        <v>0</v>
      </c>
      <c r="AT56" s="66">
        <f t="shared" si="11"/>
        <v>0</v>
      </c>
      <c r="AU56" s="66"/>
      <c r="AV56" s="66">
        <f>'[1]Univ Comm Fund'!O157</f>
        <v>0</v>
      </c>
      <c r="AW56" s="66">
        <f>'[1]UNIV. LIB.2019'!O62</f>
        <v>0</v>
      </c>
      <c r="AX56" s="66">
        <f t="shared" si="12"/>
        <v>0</v>
      </c>
      <c r="AY56" s="66"/>
      <c r="AZ56" s="66">
        <f>'[1]Univ Comm Fund'!P157</f>
        <v>60000000</v>
      </c>
      <c r="BA56" s="66">
        <f>'[1]UNIV. LIB.2019'!P62</f>
        <v>60000000</v>
      </c>
      <c r="BB56" s="66">
        <f t="shared" si="0"/>
        <v>0</v>
      </c>
      <c r="BC56" s="106"/>
      <c r="BD56" s="82">
        <v>0</v>
      </c>
      <c r="BE56" s="66">
        <f>'[1]UNIV. LIB.2019'!Q62</f>
        <v>0</v>
      </c>
      <c r="BF56" s="66">
        <f t="shared" si="13"/>
        <v>0</v>
      </c>
      <c r="BG56" s="106"/>
      <c r="BH56" s="66">
        <v>50000000</v>
      </c>
      <c r="BI56" s="66">
        <f>'[1]UNIV. LIB.2019'!R62</f>
        <v>0</v>
      </c>
      <c r="BJ56" s="66">
        <f t="shared" si="14"/>
        <v>50000000</v>
      </c>
      <c r="BL56" s="66">
        <f>'[1]Univ Comm Fund'!S157</f>
        <v>0</v>
      </c>
      <c r="BM56" s="66">
        <f>'[1]UNIV. LIB.2019'!S62</f>
        <v>0</v>
      </c>
      <c r="BN56" s="66">
        <f t="shared" si="15"/>
        <v>0</v>
      </c>
      <c r="BP56" s="66">
        <f>'[1]Univ Comm Fund'!T157</f>
        <v>30000000</v>
      </c>
      <c r="BQ56" s="66">
        <f>'[1]UNIV. LIB.2019'!T62</f>
        <v>0</v>
      </c>
      <c r="BR56" s="66">
        <f t="shared" si="16"/>
        <v>30000000</v>
      </c>
      <c r="BT56" s="66">
        <f>'[1]Univ Comm Fund'!U157</f>
        <v>0</v>
      </c>
      <c r="BU56" s="66">
        <f>'[1]UNIV. LIB.2019'!U62</f>
        <v>0</v>
      </c>
      <c r="BV56" s="66">
        <f t="shared" si="17"/>
        <v>0</v>
      </c>
      <c r="BX56" s="66">
        <f t="shared" si="18"/>
        <v>171500000</v>
      </c>
      <c r="BY56" s="66">
        <f t="shared" si="18"/>
        <v>91500000</v>
      </c>
      <c r="BZ56" s="66">
        <f t="shared" si="19"/>
        <v>80000000</v>
      </c>
      <c r="CR56" s="166"/>
      <c r="CS56" s="166"/>
      <c r="CT56" s="166"/>
      <c r="CU56" s="166"/>
      <c r="EW56" s="16"/>
      <c r="HM56" s="162"/>
    </row>
    <row r="57" spans="1:221" s="4" customFormat="1" x14ac:dyDescent="0.25">
      <c r="A57" s="164">
        <v>51</v>
      </c>
      <c r="B57" s="126" t="s">
        <v>115</v>
      </c>
      <c r="C57" s="164"/>
      <c r="D57" s="110">
        <f>'[1]Univ Comm Fund'!D158</f>
        <v>0</v>
      </c>
      <c r="E57" s="110">
        <f>'[1]UNIV. LIB.2019'!D63</f>
        <v>0</v>
      </c>
      <c r="F57" s="66">
        <f t="shared" si="1"/>
        <v>0</v>
      </c>
      <c r="G57" s="110"/>
      <c r="H57" s="110">
        <f>'[1]Univ Comm Fund'!E158</f>
        <v>0</v>
      </c>
      <c r="I57" s="110">
        <f>'[1]UNIV. LIB.2019'!E63</f>
        <v>0</v>
      </c>
      <c r="J57" s="11">
        <f t="shared" si="2"/>
        <v>0</v>
      </c>
      <c r="K57" s="110"/>
      <c r="L57" s="110">
        <f>'[1]Univ Comm Fund'!F158</f>
        <v>0</v>
      </c>
      <c r="M57" s="110">
        <f>'[1]UNIV. LIB.2019'!F63</f>
        <v>0</v>
      </c>
      <c r="N57" s="66">
        <f t="shared" si="3"/>
        <v>0</v>
      </c>
      <c r="O57" s="110"/>
      <c r="P57" s="110">
        <f>'[1]Univ Comm Fund'!G158</f>
        <v>0</v>
      </c>
      <c r="Q57" s="110">
        <f>'[1]UNIV. LIB.2019'!G63</f>
        <v>0</v>
      </c>
      <c r="R57" s="66">
        <f t="shared" si="4"/>
        <v>0</v>
      </c>
      <c r="S57" s="110"/>
      <c r="T57" s="110">
        <f>'[1]Univ Comm Fund'!H158</f>
        <v>0</v>
      </c>
      <c r="U57" s="110">
        <f>'[1]UNIV. LIB.2019'!H63</f>
        <v>0</v>
      </c>
      <c r="V57" s="66">
        <f t="shared" si="5"/>
        <v>0</v>
      </c>
      <c r="W57" s="110"/>
      <c r="X57" s="110">
        <f>'[1]Univ Comm Fund'!I158</f>
        <v>0</v>
      </c>
      <c r="Y57" s="110">
        <f>'[1]UNIV. LIB.2019'!I63</f>
        <v>0</v>
      </c>
      <c r="Z57" s="66">
        <f t="shared" si="6"/>
        <v>0</v>
      </c>
      <c r="AA57" s="110"/>
      <c r="AB57" s="66">
        <f>'[1]Univ Comm Fund'!J158</f>
        <v>6500000</v>
      </c>
      <c r="AC57" s="66">
        <f>'[1]UNIV. LIB.2019'!J63</f>
        <v>6500000</v>
      </c>
      <c r="AD57" s="66">
        <f t="shared" si="7"/>
        <v>0</v>
      </c>
      <c r="AE57" s="66"/>
      <c r="AF57" s="66">
        <f>'[1]Univ Comm Fund'!K158</f>
        <v>10000000</v>
      </c>
      <c r="AG57" s="66">
        <f>'[1]UNIV. LIB.2019'!K63</f>
        <v>10000000</v>
      </c>
      <c r="AH57" s="66">
        <f t="shared" si="8"/>
        <v>0</v>
      </c>
      <c r="AI57" s="66"/>
      <c r="AJ57" s="88">
        <f>'[1]Univ Comm Fund'!L158</f>
        <v>10000000</v>
      </c>
      <c r="AK57" s="88">
        <f>'[1]UNIV. LIB.2019'!L63</f>
        <v>10000000</v>
      </c>
      <c r="AL57" s="88">
        <f t="shared" si="9"/>
        <v>0</v>
      </c>
      <c r="AM57" s="88"/>
      <c r="AN57" s="66">
        <f>'[1]Univ Comm Fund'!M158</f>
        <v>20000000</v>
      </c>
      <c r="AO57" s="66">
        <f>'[1]UNIV. LIB.2019'!M63</f>
        <v>20000000</v>
      </c>
      <c r="AP57" s="66">
        <f t="shared" si="10"/>
        <v>0</v>
      </c>
      <c r="AQ57" s="66"/>
      <c r="AR57" s="66">
        <f>'[1]Univ Comm Fund'!N158</f>
        <v>25000000</v>
      </c>
      <c r="AS57" s="66">
        <f>'[1]UNIV. LIB.2019'!N63</f>
        <v>25000000</v>
      </c>
      <c r="AT57" s="66">
        <f t="shared" si="11"/>
        <v>0</v>
      </c>
      <c r="AU57" s="66"/>
      <c r="AV57" s="66">
        <f>'[1]Univ Comm Fund'!O158</f>
        <v>53000000</v>
      </c>
      <c r="AW57" s="66">
        <f>'[1]UNIV. LIB.2019'!O63</f>
        <v>53000000</v>
      </c>
      <c r="AX57" s="66">
        <f t="shared" si="12"/>
        <v>0</v>
      </c>
      <c r="AY57" s="66"/>
      <c r="AZ57" s="66">
        <f>'[1]Univ Comm Fund'!P158</f>
        <v>60000000</v>
      </c>
      <c r="BA57" s="66">
        <f>'[1]UNIV. LIB.2019'!P63</f>
        <v>60000000</v>
      </c>
      <c r="BB57" s="66">
        <f t="shared" si="0"/>
        <v>0</v>
      </c>
      <c r="BC57" s="106"/>
      <c r="BD57" s="66">
        <v>100000000</v>
      </c>
      <c r="BE57" s="66">
        <f>'[1]UNIV. LIB.2019'!Q63</f>
        <v>0</v>
      </c>
      <c r="BF57" s="66">
        <f t="shared" si="13"/>
        <v>100000000</v>
      </c>
      <c r="BG57" s="106"/>
      <c r="BH57" s="66">
        <v>50000000</v>
      </c>
      <c r="BI57" s="66">
        <f>'[1]UNIV. LIB.2019'!R63</f>
        <v>0</v>
      </c>
      <c r="BJ57" s="66">
        <f t="shared" si="14"/>
        <v>50000000</v>
      </c>
      <c r="BL57" s="66">
        <f>'[1]Univ Comm Fund'!S158</f>
        <v>34000000</v>
      </c>
      <c r="BM57" s="66">
        <f>'[1]UNIV. LIB.2019'!S63</f>
        <v>0</v>
      </c>
      <c r="BN57" s="66">
        <f t="shared" si="15"/>
        <v>34000000</v>
      </c>
      <c r="BP57" s="66">
        <f>'[1]Univ Comm Fund'!T158</f>
        <v>30000000</v>
      </c>
      <c r="BQ57" s="66">
        <f>'[1]UNIV. LIB.2019'!T63</f>
        <v>0</v>
      </c>
      <c r="BR57" s="66">
        <f t="shared" si="16"/>
        <v>30000000</v>
      </c>
      <c r="BT57" s="66">
        <f>'[1]Univ Comm Fund'!U158</f>
        <v>20000000</v>
      </c>
      <c r="BU57" s="66">
        <f>'[1]UNIV. LIB.2019'!U63</f>
        <v>0</v>
      </c>
      <c r="BV57" s="66">
        <f t="shared" si="17"/>
        <v>20000000</v>
      </c>
      <c r="BX57" s="66">
        <f t="shared" si="18"/>
        <v>418500000</v>
      </c>
      <c r="BY57" s="66">
        <f t="shared" si="18"/>
        <v>184500000</v>
      </c>
      <c r="BZ57" s="66">
        <f t="shared" si="19"/>
        <v>234000000</v>
      </c>
      <c r="CR57" s="166"/>
      <c r="CS57" s="166"/>
      <c r="CT57" s="166"/>
      <c r="CU57" s="166"/>
      <c r="EW57" s="16"/>
      <c r="HM57" s="162"/>
    </row>
    <row r="58" spans="1:221" s="4" customFormat="1" x14ac:dyDescent="0.25">
      <c r="A58" s="164">
        <v>52</v>
      </c>
      <c r="B58" s="172" t="s">
        <v>116</v>
      </c>
      <c r="C58" s="172"/>
      <c r="D58" s="110">
        <f>'[1]Univ Comm Fund'!D159</f>
        <v>0</v>
      </c>
      <c r="E58" s="110">
        <f>'[1]UNIV. LIB.2019'!D64</f>
        <v>0</v>
      </c>
      <c r="F58" s="66">
        <f t="shared" si="1"/>
        <v>0</v>
      </c>
      <c r="G58" s="110"/>
      <c r="H58" s="110">
        <f>'[1]Univ Comm Fund'!E159</f>
        <v>0</v>
      </c>
      <c r="I58" s="110">
        <f>'[1]UNIV. LIB.2019'!E64</f>
        <v>0</v>
      </c>
      <c r="J58" s="11">
        <f t="shared" si="2"/>
        <v>0</v>
      </c>
      <c r="K58" s="110"/>
      <c r="L58" s="110">
        <f>'[1]Univ Comm Fund'!F159</f>
        <v>0</v>
      </c>
      <c r="M58" s="110">
        <f>'[1]UNIV. LIB.2019'!F64</f>
        <v>0</v>
      </c>
      <c r="N58" s="66">
        <f t="shared" si="3"/>
        <v>0</v>
      </c>
      <c r="O58" s="110"/>
      <c r="P58" s="110">
        <f>'[1]Univ Comm Fund'!G159</f>
        <v>0</v>
      </c>
      <c r="Q58" s="110">
        <f>'[1]UNIV. LIB.2019'!G64</f>
        <v>0</v>
      </c>
      <c r="R58" s="66">
        <f t="shared" si="4"/>
        <v>0</v>
      </c>
      <c r="S58" s="110"/>
      <c r="T58" s="110">
        <f>'[1]Univ Comm Fund'!H159</f>
        <v>0</v>
      </c>
      <c r="U58" s="110">
        <f>'[1]UNIV. LIB.2019'!H64</f>
        <v>0</v>
      </c>
      <c r="V58" s="66">
        <f t="shared" si="5"/>
        <v>0</v>
      </c>
      <c r="W58" s="110"/>
      <c r="X58" s="110">
        <f>'[1]Univ Comm Fund'!I159</f>
        <v>0</v>
      </c>
      <c r="Y58" s="110">
        <f>'[1]UNIV. LIB.2019'!I64</f>
        <v>0</v>
      </c>
      <c r="Z58" s="66">
        <f t="shared" si="6"/>
        <v>0</v>
      </c>
      <c r="AA58" s="110"/>
      <c r="AB58" s="66">
        <f>'[1]Univ Comm Fund'!J159</f>
        <v>6500000</v>
      </c>
      <c r="AC58" s="66">
        <f>'[1]UNIV. LIB.2019'!J64</f>
        <v>6500000</v>
      </c>
      <c r="AD58" s="66">
        <f t="shared" si="7"/>
        <v>0</v>
      </c>
      <c r="AE58" s="66"/>
      <c r="AF58" s="66">
        <f>'[1]Univ Comm Fund'!K159</f>
        <v>10000000</v>
      </c>
      <c r="AG58" s="66">
        <f>'[1]UNIV. LIB.2019'!K64</f>
        <v>10000000</v>
      </c>
      <c r="AH58" s="66">
        <f t="shared" si="8"/>
        <v>0</v>
      </c>
      <c r="AI58" s="66"/>
      <c r="AJ58" s="88">
        <f>'[1]Univ Comm Fund'!L159</f>
        <v>10000000</v>
      </c>
      <c r="AK58" s="88">
        <f>'[1]UNIV. LIB.2019'!L64</f>
        <v>10000000</v>
      </c>
      <c r="AL58" s="88">
        <f t="shared" si="9"/>
        <v>0</v>
      </c>
      <c r="AM58" s="88"/>
      <c r="AN58" s="66">
        <f>'[1]Univ Comm Fund'!M159</f>
        <v>20000000</v>
      </c>
      <c r="AO58" s="66">
        <f>'[1]UNIV. LIB.2019'!M64</f>
        <v>20000000</v>
      </c>
      <c r="AP58" s="66">
        <f t="shared" si="10"/>
        <v>0</v>
      </c>
      <c r="AQ58" s="66"/>
      <c r="AR58" s="66">
        <f>'[1]Univ Comm Fund'!N159</f>
        <v>25000000</v>
      </c>
      <c r="AS58" s="66">
        <f>'[1]UNIV. LIB.2019'!N64</f>
        <v>25000000</v>
      </c>
      <c r="AT58" s="66">
        <f t="shared" si="11"/>
        <v>0</v>
      </c>
      <c r="AU58" s="66"/>
      <c r="AV58" s="66">
        <f>'[1]Univ Comm Fund'!O159</f>
        <v>53000000</v>
      </c>
      <c r="AW58" s="66">
        <f>'[1]UNIV. LIB.2019'!O64</f>
        <v>53000000</v>
      </c>
      <c r="AX58" s="66">
        <f t="shared" si="12"/>
        <v>0</v>
      </c>
      <c r="AY58" s="66"/>
      <c r="AZ58" s="66">
        <f>'[1]Univ Comm Fund'!P159</f>
        <v>60000000</v>
      </c>
      <c r="BA58" s="66">
        <f>'[1]UNIV. LIB.2019'!P64</f>
        <v>60000000</v>
      </c>
      <c r="BB58" s="66">
        <f t="shared" si="0"/>
        <v>0</v>
      </c>
      <c r="BC58" s="106"/>
      <c r="BD58" s="66">
        <v>100000000</v>
      </c>
      <c r="BE58" s="66">
        <f>'[1]UNIV. LIB.2019'!Q64</f>
        <v>100000000</v>
      </c>
      <c r="BF58" s="66">
        <f t="shared" si="13"/>
        <v>0</v>
      </c>
      <c r="BG58" s="106"/>
      <c r="BH58" s="66">
        <v>50000000</v>
      </c>
      <c r="BI58" s="66">
        <f>'[1]UNIV. LIB.2019'!R64</f>
        <v>42500000</v>
      </c>
      <c r="BJ58" s="66">
        <f t="shared" si="14"/>
        <v>7500000</v>
      </c>
      <c r="BL58" s="66">
        <f>'[1]Univ Comm Fund'!S159</f>
        <v>34000000</v>
      </c>
      <c r="BM58" s="66">
        <f>'[1]UNIV. LIB.2019'!S64</f>
        <v>28900000</v>
      </c>
      <c r="BN58" s="66">
        <f t="shared" si="15"/>
        <v>5100000</v>
      </c>
      <c r="BP58" s="66">
        <f>'[1]Univ Comm Fund'!T159</f>
        <v>30000000</v>
      </c>
      <c r="BQ58" s="66">
        <f>'[1]UNIV. LIB.2019'!T64</f>
        <v>0</v>
      </c>
      <c r="BR58" s="66">
        <f t="shared" si="16"/>
        <v>30000000</v>
      </c>
      <c r="BT58" s="66">
        <f>'[1]Univ Comm Fund'!U159</f>
        <v>20000000</v>
      </c>
      <c r="BU58" s="66">
        <f>'[1]UNIV. LIB.2019'!U64</f>
        <v>0</v>
      </c>
      <c r="BV58" s="66">
        <f t="shared" si="17"/>
        <v>20000000</v>
      </c>
      <c r="BX58" s="66">
        <f t="shared" si="18"/>
        <v>418500000</v>
      </c>
      <c r="BY58" s="66">
        <f t="shared" si="18"/>
        <v>355900000</v>
      </c>
      <c r="BZ58" s="66">
        <f t="shared" si="19"/>
        <v>62600000</v>
      </c>
      <c r="CR58" s="166"/>
      <c r="CS58" s="166"/>
      <c r="CT58" s="166"/>
      <c r="CU58" s="166"/>
      <c r="EW58" s="16"/>
      <c r="HM58" s="162"/>
    </row>
    <row r="59" spans="1:221" s="4" customFormat="1" x14ac:dyDescent="0.25">
      <c r="A59" s="164">
        <v>53</v>
      </c>
      <c r="B59" s="164" t="s">
        <v>117</v>
      </c>
      <c r="C59" s="164"/>
      <c r="D59" s="110">
        <f>'[1]Univ Comm Fund'!D160</f>
        <v>0</v>
      </c>
      <c r="E59" s="110">
        <f>'[1]UNIV. LIB.2019'!D65</f>
        <v>0</v>
      </c>
      <c r="F59" s="66">
        <f t="shared" si="1"/>
        <v>0</v>
      </c>
      <c r="G59" s="110"/>
      <c r="H59" s="110">
        <f>'[1]Univ Comm Fund'!E160</f>
        <v>0</v>
      </c>
      <c r="I59" s="110">
        <f>'[1]UNIV. LIB.2019'!E65</f>
        <v>0</v>
      </c>
      <c r="J59" s="11">
        <f t="shared" si="2"/>
        <v>0</v>
      </c>
      <c r="K59" s="110"/>
      <c r="L59" s="110">
        <f>'[1]Univ Comm Fund'!F160</f>
        <v>0</v>
      </c>
      <c r="M59" s="110">
        <f>'[1]UNIV. LIB.2019'!F65</f>
        <v>0</v>
      </c>
      <c r="N59" s="66">
        <f t="shared" si="3"/>
        <v>0</v>
      </c>
      <c r="O59" s="110"/>
      <c r="P59" s="110">
        <f>'[1]Univ Comm Fund'!G160</f>
        <v>0</v>
      </c>
      <c r="Q59" s="110">
        <f>'[1]UNIV. LIB.2019'!G65</f>
        <v>0</v>
      </c>
      <c r="R59" s="66">
        <f t="shared" si="4"/>
        <v>0</v>
      </c>
      <c r="S59" s="110"/>
      <c r="T59" s="110">
        <f>'[1]Univ Comm Fund'!H160</f>
        <v>0</v>
      </c>
      <c r="U59" s="110">
        <f>'[1]UNIV. LIB.2019'!H65</f>
        <v>0</v>
      </c>
      <c r="V59" s="66">
        <f t="shared" si="5"/>
        <v>0</v>
      </c>
      <c r="W59" s="110"/>
      <c r="X59" s="110">
        <f>'[1]Univ Comm Fund'!I160</f>
        <v>0</v>
      </c>
      <c r="Y59" s="110">
        <f>'[1]UNIV. LIB.2019'!I65</f>
        <v>0</v>
      </c>
      <c r="Z59" s="66">
        <f t="shared" si="6"/>
        <v>0</v>
      </c>
      <c r="AA59" s="110"/>
      <c r="AB59" s="66">
        <f>'[1]Univ Comm Fund'!J160</f>
        <v>0</v>
      </c>
      <c r="AC59" s="66">
        <f>'[1]UNIV. LIB.2019'!J65</f>
        <v>0</v>
      </c>
      <c r="AD59" s="66">
        <f t="shared" si="7"/>
        <v>0</v>
      </c>
      <c r="AE59" s="66"/>
      <c r="AF59" s="66">
        <f>'[1]Univ Comm Fund'!K160</f>
        <v>10000000</v>
      </c>
      <c r="AG59" s="66">
        <f>'[1]UNIV. LIB.2019'!K65</f>
        <v>10000000</v>
      </c>
      <c r="AH59" s="66">
        <f t="shared" si="8"/>
        <v>0</v>
      </c>
      <c r="AI59" s="66"/>
      <c r="AJ59" s="88">
        <f>'[1]Univ Comm Fund'!L160</f>
        <v>10000000</v>
      </c>
      <c r="AK59" s="88">
        <f>'[1]UNIV. LIB.2019'!L65</f>
        <v>10000000</v>
      </c>
      <c r="AL59" s="88">
        <f t="shared" si="9"/>
        <v>0</v>
      </c>
      <c r="AM59" s="88"/>
      <c r="AN59" s="66">
        <f>'[1]Univ Comm Fund'!M160</f>
        <v>20000000</v>
      </c>
      <c r="AO59" s="66">
        <f>'[1]UNIV. LIB.2019'!M65</f>
        <v>20000000</v>
      </c>
      <c r="AP59" s="66">
        <f t="shared" si="10"/>
        <v>0</v>
      </c>
      <c r="AQ59" s="66"/>
      <c r="AR59" s="66">
        <f>'[1]Univ Comm Fund'!N160</f>
        <v>25000000</v>
      </c>
      <c r="AS59" s="66">
        <f>'[1]UNIV. LIB.2019'!N65</f>
        <v>25000000</v>
      </c>
      <c r="AT59" s="66">
        <f t="shared" si="11"/>
        <v>0</v>
      </c>
      <c r="AU59" s="66"/>
      <c r="AV59" s="66">
        <f>'[1]Univ Comm Fund'!O160</f>
        <v>53000000</v>
      </c>
      <c r="AW59" s="66">
        <f>'[1]UNIV. LIB.2019'!O65</f>
        <v>53000000</v>
      </c>
      <c r="AX59" s="66">
        <f t="shared" si="12"/>
        <v>0</v>
      </c>
      <c r="AY59" s="66"/>
      <c r="AZ59" s="66">
        <f>'[1]Univ Comm Fund'!P160</f>
        <v>60000000</v>
      </c>
      <c r="BA59" s="66">
        <f>'[1]UNIV. LIB.2019'!P65</f>
        <v>60000000</v>
      </c>
      <c r="BB59" s="66">
        <f t="shared" si="0"/>
        <v>0</v>
      </c>
      <c r="BC59" s="106"/>
      <c r="BD59" s="66">
        <v>100000000</v>
      </c>
      <c r="BE59" s="66">
        <f>'[1]UNIV. LIB.2019'!Q65</f>
        <v>100000000</v>
      </c>
      <c r="BF59" s="66">
        <f t="shared" si="13"/>
        <v>0</v>
      </c>
      <c r="BG59" s="106"/>
      <c r="BH59" s="66">
        <v>50000000</v>
      </c>
      <c r="BI59" s="66">
        <f>'[1]UNIV. LIB.2019'!R65</f>
        <v>0</v>
      </c>
      <c r="BJ59" s="66">
        <f t="shared" si="14"/>
        <v>50000000</v>
      </c>
      <c r="BL59" s="66">
        <f>'[1]Univ Comm Fund'!S160</f>
        <v>34000000</v>
      </c>
      <c r="BM59" s="66">
        <f>'[1]UNIV. LIB.2019'!S65</f>
        <v>0</v>
      </c>
      <c r="BN59" s="66">
        <f t="shared" si="15"/>
        <v>34000000</v>
      </c>
      <c r="BP59" s="66">
        <f>'[1]Univ Comm Fund'!T160</f>
        <v>30000000</v>
      </c>
      <c r="BQ59" s="66">
        <f>'[1]UNIV. LIB.2019'!T65</f>
        <v>0</v>
      </c>
      <c r="BR59" s="66">
        <f t="shared" si="16"/>
        <v>30000000</v>
      </c>
      <c r="BT59" s="66">
        <f>'[1]Univ Comm Fund'!U160</f>
        <v>20000000</v>
      </c>
      <c r="BU59" s="66">
        <f>'[1]UNIV. LIB.2019'!U65</f>
        <v>0</v>
      </c>
      <c r="BV59" s="66">
        <f t="shared" si="17"/>
        <v>20000000</v>
      </c>
      <c r="BX59" s="66">
        <f t="shared" si="18"/>
        <v>412000000</v>
      </c>
      <c r="BY59" s="66">
        <f t="shared" si="18"/>
        <v>278000000</v>
      </c>
      <c r="BZ59" s="66">
        <f t="shared" si="19"/>
        <v>134000000</v>
      </c>
      <c r="CR59" s="166"/>
      <c r="CS59" s="166"/>
      <c r="CT59" s="166"/>
      <c r="CU59" s="166"/>
      <c r="EW59" s="16"/>
      <c r="HM59" s="162"/>
    </row>
    <row r="60" spans="1:221" s="4" customFormat="1" x14ac:dyDescent="0.25">
      <c r="A60" s="164">
        <v>54</v>
      </c>
      <c r="B60" s="172" t="s">
        <v>118</v>
      </c>
      <c r="C60" s="172"/>
      <c r="D60" s="110">
        <f>'[1]Univ Comm Fund'!D161</f>
        <v>0</v>
      </c>
      <c r="E60" s="110">
        <f>'[1]UNIV. LIB.2019'!D66</f>
        <v>0</v>
      </c>
      <c r="F60" s="66">
        <f t="shared" si="1"/>
        <v>0</v>
      </c>
      <c r="G60" s="110"/>
      <c r="H60" s="110">
        <f>'[1]Univ Comm Fund'!E161</f>
        <v>0</v>
      </c>
      <c r="I60" s="110">
        <f>'[1]UNIV. LIB.2019'!E66</f>
        <v>0</v>
      </c>
      <c r="J60" s="11">
        <f t="shared" si="2"/>
        <v>0</v>
      </c>
      <c r="K60" s="110"/>
      <c r="L60" s="110">
        <f>'[1]Univ Comm Fund'!F161</f>
        <v>0</v>
      </c>
      <c r="M60" s="110">
        <f>'[1]UNIV. LIB.2019'!F66</f>
        <v>0</v>
      </c>
      <c r="N60" s="66">
        <f t="shared" si="3"/>
        <v>0</v>
      </c>
      <c r="O60" s="110"/>
      <c r="P60" s="110">
        <f>'[1]Univ Comm Fund'!G161</f>
        <v>0</v>
      </c>
      <c r="Q60" s="110">
        <f>'[1]UNIV. LIB.2019'!G66</f>
        <v>0</v>
      </c>
      <c r="R60" s="66">
        <f t="shared" si="4"/>
        <v>0</v>
      </c>
      <c r="S60" s="110"/>
      <c r="T60" s="110">
        <f>'[1]Univ Comm Fund'!H161</f>
        <v>0</v>
      </c>
      <c r="U60" s="110">
        <f>'[1]UNIV. LIB.2019'!H66</f>
        <v>0</v>
      </c>
      <c r="V60" s="66">
        <f t="shared" si="5"/>
        <v>0</v>
      </c>
      <c r="W60" s="110"/>
      <c r="X60" s="110">
        <f>'[1]Univ Comm Fund'!I161</f>
        <v>0</v>
      </c>
      <c r="Y60" s="110">
        <f>'[1]UNIV. LIB.2019'!I66</f>
        <v>0</v>
      </c>
      <c r="Z60" s="66">
        <f t="shared" si="6"/>
        <v>0</v>
      </c>
      <c r="AA60" s="110"/>
      <c r="AB60" s="66">
        <f>'[1]Univ Comm Fund'!J161</f>
        <v>6500000</v>
      </c>
      <c r="AC60" s="66">
        <f>'[1]UNIV. LIB.2019'!J66</f>
        <v>6500000</v>
      </c>
      <c r="AD60" s="66">
        <f t="shared" si="7"/>
        <v>0</v>
      </c>
      <c r="AE60" s="66"/>
      <c r="AF60" s="66">
        <f>'[1]Univ Comm Fund'!K161</f>
        <v>10000000</v>
      </c>
      <c r="AG60" s="66">
        <f>'[1]UNIV. LIB.2019'!K66</f>
        <v>10000000</v>
      </c>
      <c r="AH60" s="66">
        <f t="shared" si="8"/>
        <v>0</v>
      </c>
      <c r="AI60" s="66"/>
      <c r="AJ60" s="88">
        <f>'[1]Univ Comm Fund'!L161</f>
        <v>10000000</v>
      </c>
      <c r="AK60" s="88">
        <f>'[1]UNIV. LIB.2019'!L66</f>
        <v>10000000</v>
      </c>
      <c r="AL60" s="88">
        <f t="shared" si="9"/>
        <v>0</v>
      </c>
      <c r="AM60" s="88"/>
      <c r="AN60" s="66">
        <f>'[1]Univ Comm Fund'!M161</f>
        <v>20000000</v>
      </c>
      <c r="AO60" s="66">
        <f>'[1]UNIV. LIB.2019'!M66</f>
        <v>20000000</v>
      </c>
      <c r="AP60" s="66">
        <f t="shared" si="10"/>
        <v>0</v>
      </c>
      <c r="AQ60" s="66"/>
      <c r="AR60" s="66">
        <f>'[1]Univ Comm Fund'!N161</f>
        <v>25000000</v>
      </c>
      <c r="AS60" s="66">
        <f>'[1]UNIV. LIB.2019'!N66</f>
        <v>21250000</v>
      </c>
      <c r="AT60" s="66">
        <f t="shared" si="11"/>
        <v>3750000</v>
      </c>
      <c r="AU60" s="66"/>
      <c r="AV60" s="66">
        <f>'[1]Univ Comm Fund'!O161</f>
        <v>53000000</v>
      </c>
      <c r="AW60" s="66">
        <f>'[1]UNIV. LIB.2019'!O66</f>
        <v>45050000</v>
      </c>
      <c r="AX60" s="66">
        <f t="shared" si="12"/>
        <v>7950000</v>
      </c>
      <c r="AY60" s="66"/>
      <c r="AZ60" s="66">
        <f>'[1]Univ Comm Fund'!P161</f>
        <v>60000000</v>
      </c>
      <c r="BA60" s="66">
        <f>'[1]UNIV. LIB.2019'!P66</f>
        <v>51000000</v>
      </c>
      <c r="BB60" s="66">
        <f t="shared" si="0"/>
        <v>9000000</v>
      </c>
      <c r="BC60" s="106"/>
      <c r="BD60" s="66">
        <v>100000000</v>
      </c>
      <c r="BE60" s="66">
        <f>'[1]UNIV. LIB.2019'!Q66</f>
        <v>85000000</v>
      </c>
      <c r="BF60" s="66">
        <f t="shared" si="13"/>
        <v>15000000</v>
      </c>
      <c r="BG60" s="106"/>
      <c r="BH60" s="66">
        <v>50000000</v>
      </c>
      <c r="BI60" s="66">
        <f>'[1]UNIV. LIB.2019'!R66</f>
        <v>0</v>
      </c>
      <c r="BJ60" s="66">
        <f t="shared" si="14"/>
        <v>50000000</v>
      </c>
      <c r="BL60" s="66">
        <f>'[1]Univ Comm Fund'!S161</f>
        <v>34000000</v>
      </c>
      <c r="BM60" s="66">
        <f>'[1]UNIV. LIB.2019'!S66</f>
        <v>0</v>
      </c>
      <c r="BN60" s="66">
        <f t="shared" si="15"/>
        <v>34000000</v>
      </c>
      <c r="BP60" s="66">
        <f>'[1]Univ Comm Fund'!T161</f>
        <v>30000000</v>
      </c>
      <c r="BQ60" s="66">
        <f>'[1]UNIV. LIB.2019'!T66</f>
        <v>0</v>
      </c>
      <c r="BR60" s="66">
        <f t="shared" si="16"/>
        <v>30000000</v>
      </c>
      <c r="BT60" s="66">
        <f>'[1]Univ Comm Fund'!U161</f>
        <v>20000000</v>
      </c>
      <c r="BU60" s="66">
        <f>'[1]UNIV. LIB.2019'!U66</f>
        <v>0</v>
      </c>
      <c r="BV60" s="66">
        <f t="shared" si="17"/>
        <v>20000000</v>
      </c>
      <c r="BX60" s="66">
        <f t="shared" si="18"/>
        <v>418500000</v>
      </c>
      <c r="BY60" s="66">
        <f t="shared" si="18"/>
        <v>248800000</v>
      </c>
      <c r="BZ60" s="66">
        <f t="shared" si="19"/>
        <v>169700000</v>
      </c>
      <c r="CR60" s="166"/>
      <c r="CS60" s="166"/>
      <c r="CT60" s="166"/>
      <c r="CU60" s="166"/>
      <c r="EW60" s="16"/>
      <c r="HM60" s="162"/>
    </row>
    <row r="61" spans="1:221" s="4" customFormat="1" x14ac:dyDescent="0.25">
      <c r="A61" s="164">
        <v>55</v>
      </c>
      <c r="B61" s="164" t="s">
        <v>119</v>
      </c>
      <c r="C61" s="164"/>
      <c r="D61" s="110">
        <f>'[1]Univ Comm Fund'!D162</f>
        <v>0</v>
      </c>
      <c r="E61" s="110">
        <f>'[1]UNIV. LIB.2019'!D67</f>
        <v>0</v>
      </c>
      <c r="F61" s="66">
        <f t="shared" si="1"/>
        <v>0</v>
      </c>
      <c r="G61" s="110"/>
      <c r="H61" s="110">
        <f>'[1]Univ Comm Fund'!E162</f>
        <v>0</v>
      </c>
      <c r="I61" s="110">
        <f>'[1]UNIV. LIB.2019'!E67</f>
        <v>0</v>
      </c>
      <c r="J61" s="11">
        <f t="shared" si="2"/>
        <v>0</v>
      </c>
      <c r="K61" s="110"/>
      <c r="L61" s="110">
        <f>'[1]Univ Comm Fund'!F162</f>
        <v>0</v>
      </c>
      <c r="M61" s="110">
        <f>'[1]UNIV. LIB.2019'!F67</f>
        <v>0</v>
      </c>
      <c r="N61" s="66">
        <f t="shared" si="3"/>
        <v>0</v>
      </c>
      <c r="O61" s="110"/>
      <c r="P61" s="110">
        <f>'[1]Univ Comm Fund'!G162</f>
        <v>0</v>
      </c>
      <c r="Q61" s="110">
        <f>'[1]UNIV. LIB.2019'!G67</f>
        <v>0</v>
      </c>
      <c r="R61" s="66">
        <f t="shared" si="4"/>
        <v>0</v>
      </c>
      <c r="S61" s="110"/>
      <c r="T61" s="110">
        <f>'[1]Univ Comm Fund'!H162</f>
        <v>0</v>
      </c>
      <c r="U61" s="110">
        <f>'[1]UNIV. LIB.2019'!H67</f>
        <v>0</v>
      </c>
      <c r="V61" s="66">
        <f t="shared" si="5"/>
        <v>0</v>
      </c>
      <c r="W61" s="110"/>
      <c r="X61" s="110">
        <f>'[1]Univ Comm Fund'!I162</f>
        <v>0</v>
      </c>
      <c r="Y61" s="110">
        <f>'[1]UNIV. LIB.2019'!I67</f>
        <v>0</v>
      </c>
      <c r="Z61" s="66">
        <f t="shared" si="6"/>
        <v>0</v>
      </c>
      <c r="AA61" s="110"/>
      <c r="AB61" s="110">
        <f>'[1]Univ Comm Fund'!J162</f>
        <v>0</v>
      </c>
      <c r="AC61" s="110">
        <f>'[1]UNIV. LIB.2019'!J67</f>
        <v>0</v>
      </c>
      <c r="AD61" s="66">
        <f t="shared" si="7"/>
        <v>0</v>
      </c>
      <c r="AE61" s="110"/>
      <c r="AF61" s="66">
        <f>'[1]Univ Comm Fund'!K162</f>
        <v>10000000</v>
      </c>
      <c r="AG61" s="66">
        <f>'[1]UNIV. LIB.2019'!K67</f>
        <v>10000000</v>
      </c>
      <c r="AH61" s="66">
        <f t="shared" si="8"/>
        <v>0</v>
      </c>
      <c r="AI61" s="66"/>
      <c r="AJ61" s="88">
        <f>'[1]Univ Comm Fund'!L162</f>
        <v>10000000</v>
      </c>
      <c r="AK61" s="88">
        <f>'[1]UNIV. LIB.2019'!L67</f>
        <v>10000000</v>
      </c>
      <c r="AL61" s="88">
        <f t="shared" si="9"/>
        <v>0</v>
      </c>
      <c r="AM61" s="88"/>
      <c r="AN61" s="66">
        <f>'[1]Univ Comm Fund'!M162</f>
        <v>20000000</v>
      </c>
      <c r="AO61" s="66">
        <f>'[1]UNIV. LIB.2019'!M67</f>
        <v>20000000</v>
      </c>
      <c r="AP61" s="66">
        <f t="shared" si="10"/>
        <v>0</v>
      </c>
      <c r="AQ61" s="66"/>
      <c r="AR61" s="66">
        <f>'[1]Univ Comm Fund'!N162</f>
        <v>25000000</v>
      </c>
      <c r="AS61" s="66">
        <f>'[1]UNIV. LIB.2019'!N67</f>
        <v>25000000</v>
      </c>
      <c r="AT61" s="66">
        <f t="shared" si="11"/>
        <v>0</v>
      </c>
      <c r="AU61" s="66"/>
      <c r="AV61" s="66">
        <f>'[1]Univ Comm Fund'!O162</f>
        <v>53000000</v>
      </c>
      <c r="AW61" s="66">
        <f>'[1]UNIV. LIB.2019'!O67</f>
        <v>53000000</v>
      </c>
      <c r="AX61" s="66">
        <f t="shared" si="12"/>
        <v>0</v>
      </c>
      <c r="AY61" s="66"/>
      <c r="AZ61" s="66">
        <f>'[1]Univ Comm Fund'!P162</f>
        <v>60000000</v>
      </c>
      <c r="BA61" s="66">
        <f>'[1]UNIV. LIB.2019'!P67</f>
        <v>51000000</v>
      </c>
      <c r="BB61" s="66">
        <f t="shared" si="0"/>
        <v>9000000</v>
      </c>
      <c r="BC61" s="106"/>
      <c r="BD61" s="66">
        <v>100000000</v>
      </c>
      <c r="BE61" s="66">
        <f>'[1]UNIV. LIB.2019'!Q67</f>
        <v>85000000</v>
      </c>
      <c r="BF61" s="66">
        <f t="shared" si="13"/>
        <v>15000000</v>
      </c>
      <c r="BG61" s="106"/>
      <c r="BH61" s="66">
        <v>50000000</v>
      </c>
      <c r="BI61" s="66">
        <f>'[1]UNIV. LIB.2019'!R67</f>
        <v>42500000</v>
      </c>
      <c r="BJ61" s="66">
        <f t="shared" si="14"/>
        <v>7500000</v>
      </c>
      <c r="BL61" s="66">
        <f>'[1]Univ Comm Fund'!S162</f>
        <v>34000000</v>
      </c>
      <c r="BM61" s="66">
        <f>'[1]UNIV. LIB.2019'!S67</f>
        <v>28900000</v>
      </c>
      <c r="BN61" s="66">
        <f t="shared" si="15"/>
        <v>5100000</v>
      </c>
      <c r="BP61" s="66">
        <f>'[1]Univ Comm Fund'!T162</f>
        <v>30000000</v>
      </c>
      <c r="BQ61" s="66">
        <f>'[1]UNIV. LIB.2019'!T67</f>
        <v>0</v>
      </c>
      <c r="BR61" s="66">
        <f t="shared" si="16"/>
        <v>30000000</v>
      </c>
      <c r="BT61" s="66">
        <f>'[1]Univ Comm Fund'!U162</f>
        <v>20000000</v>
      </c>
      <c r="BU61" s="66">
        <f>'[1]UNIV. LIB.2019'!U67</f>
        <v>0</v>
      </c>
      <c r="BV61" s="66">
        <f t="shared" si="17"/>
        <v>20000000</v>
      </c>
      <c r="BX61" s="66">
        <f t="shared" si="18"/>
        <v>412000000</v>
      </c>
      <c r="BY61" s="66">
        <f t="shared" si="18"/>
        <v>325400000</v>
      </c>
      <c r="BZ61" s="66">
        <f t="shared" si="19"/>
        <v>86600000</v>
      </c>
      <c r="CR61" s="166"/>
      <c r="CS61" s="166"/>
      <c r="CT61" s="166"/>
      <c r="CU61" s="166"/>
      <c r="EW61" s="16"/>
      <c r="HM61" s="162"/>
    </row>
    <row r="62" spans="1:221" s="4" customFormat="1" x14ac:dyDescent="0.25">
      <c r="A62" s="164" t="s">
        <v>120</v>
      </c>
      <c r="B62" s="172" t="s">
        <v>121</v>
      </c>
      <c r="C62" s="172"/>
      <c r="D62" s="110">
        <f>'[1]Univ Comm Fund'!D163</f>
        <v>0</v>
      </c>
      <c r="E62" s="110">
        <f>'[1]UNIV. LIB.2019'!D68</f>
        <v>0</v>
      </c>
      <c r="F62" s="66">
        <f t="shared" si="1"/>
        <v>0</v>
      </c>
      <c r="G62" s="110"/>
      <c r="H62" s="110">
        <f>'[1]Univ Comm Fund'!E163</f>
        <v>0</v>
      </c>
      <c r="I62" s="110">
        <f>'[1]UNIV. LIB.2019'!E68</f>
        <v>0</v>
      </c>
      <c r="J62" s="11">
        <f t="shared" si="2"/>
        <v>0</v>
      </c>
      <c r="K62" s="110"/>
      <c r="L62" s="110">
        <f>'[1]Univ Comm Fund'!F163</f>
        <v>0</v>
      </c>
      <c r="M62" s="110">
        <f>'[1]UNIV. LIB.2019'!F68</f>
        <v>0</v>
      </c>
      <c r="N62" s="66">
        <f t="shared" si="3"/>
        <v>0</v>
      </c>
      <c r="O62" s="110"/>
      <c r="P62" s="110">
        <f>'[1]Univ Comm Fund'!G163</f>
        <v>0</v>
      </c>
      <c r="Q62" s="110">
        <f>'[1]UNIV. LIB.2019'!G68</f>
        <v>0</v>
      </c>
      <c r="R62" s="66">
        <f t="shared" si="4"/>
        <v>0</v>
      </c>
      <c r="S62" s="110"/>
      <c r="T62" s="110">
        <f>'[1]Univ Comm Fund'!H163</f>
        <v>0</v>
      </c>
      <c r="U62" s="110">
        <f>'[1]UNIV. LIB.2019'!H68</f>
        <v>0</v>
      </c>
      <c r="V62" s="66">
        <f t="shared" si="5"/>
        <v>0</v>
      </c>
      <c r="W62" s="110"/>
      <c r="X62" s="110">
        <f>'[1]Univ Comm Fund'!I163</f>
        <v>0</v>
      </c>
      <c r="Y62" s="110">
        <f>'[1]UNIV. LIB.2019'!I68</f>
        <v>0</v>
      </c>
      <c r="Z62" s="66">
        <f t="shared" si="6"/>
        <v>0</v>
      </c>
      <c r="AA62" s="110"/>
      <c r="AB62" s="110">
        <f>'[1]Univ Comm Fund'!J163</f>
        <v>0</v>
      </c>
      <c r="AC62" s="110">
        <f>'[1]UNIV. LIB.2019'!J68</f>
        <v>0</v>
      </c>
      <c r="AD62" s="66">
        <f t="shared" si="7"/>
        <v>0</v>
      </c>
      <c r="AE62" s="110"/>
      <c r="AF62" s="66">
        <f>'[1]Univ Comm Fund'!K163</f>
        <v>0</v>
      </c>
      <c r="AG62" s="66">
        <f>'[1]UNIV. LIB.2019'!K68</f>
        <v>0</v>
      </c>
      <c r="AH62" s="66">
        <f t="shared" si="8"/>
        <v>0</v>
      </c>
      <c r="AI62" s="66"/>
      <c r="AJ62" s="110">
        <f>'[1]Univ Comm Fund'!L163</f>
        <v>0</v>
      </c>
      <c r="AK62" s="110">
        <f>'[1]UNIV. LIB.2019'!L68</f>
        <v>0</v>
      </c>
      <c r="AL62" s="88">
        <f t="shared" si="9"/>
        <v>0</v>
      </c>
      <c r="AM62" s="110"/>
      <c r="AN62" s="110">
        <f>'[1]Univ Comm Fund'!M163</f>
        <v>0</v>
      </c>
      <c r="AO62" s="110">
        <f>'[1]UNIV. LIB.2019'!M68</f>
        <v>0</v>
      </c>
      <c r="AP62" s="66">
        <f t="shared" si="10"/>
        <v>0</v>
      </c>
      <c r="AQ62" s="110"/>
      <c r="AR62" s="66">
        <f>'[1]Univ Comm Fund'!N163</f>
        <v>0</v>
      </c>
      <c r="AS62" s="66">
        <f>'[1]UNIV. LIB.2019'!N68</f>
        <v>0</v>
      </c>
      <c r="AT62" s="66">
        <f t="shared" si="11"/>
        <v>0</v>
      </c>
      <c r="AU62" s="66"/>
      <c r="AV62" s="66">
        <f>'[1]Univ Comm Fund'!O163</f>
        <v>0</v>
      </c>
      <c r="AW62" s="66">
        <f>'[1]UNIV. LIB.2019'!O68</f>
        <v>0</v>
      </c>
      <c r="AX62" s="66">
        <f t="shared" si="12"/>
        <v>0</v>
      </c>
      <c r="AY62" s="66"/>
      <c r="AZ62" s="66">
        <f>'[1]Univ Comm Fund'!P163</f>
        <v>0</v>
      </c>
      <c r="BA62" s="66">
        <f>'[1]UNIV. LIB.2019'!P68</f>
        <v>0</v>
      </c>
      <c r="BB62" s="66">
        <f t="shared" si="0"/>
        <v>0</v>
      </c>
      <c r="BC62" s="106"/>
      <c r="BD62" s="82">
        <v>0</v>
      </c>
      <c r="BE62" s="66">
        <f>'[1]UNIV. LIB.2019'!Q68</f>
        <v>0</v>
      </c>
      <c r="BF62" s="66">
        <f t="shared" si="13"/>
        <v>0</v>
      </c>
      <c r="BG62" s="106"/>
      <c r="BH62" s="66">
        <v>0</v>
      </c>
      <c r="BI62" s="66">
        <f>'[1]UNIV. LIB.2019'!R68</f>
        <v>0</v>
      </c>
      <c r="BJ62" s="66">
        <f t="shared" si="14"/>
        <v>0</v>
      </c>
      <c r="BL62" s="66">
        <f>'[1]Univ Comm Fund'!S163</f>
        <v>0</v>
      </c>
      <c r="BM62" s="66">
        <f>'[1]UNIV. LIB.2019'!S68</f>
        <v>0</v>
      </c>
      <c r="BN62" s="66">
        <f t="shared" si="15"/>
        <v>0</v>
      </c>
      <c r="BP62" s="66">
        <f>'[1]Univ Comm Fund'!T163</f>
        <v>0</v>
      </c>
      <c r="BQ62" s="66">
        <f>'[1]UNIV. LIB.2019'!T68</f>
        <v>0</v>
      </c>
      <c r="BR62" s="66">
        <f t="shared" si="16"/>
        <v>0</v>
      </c>
      <c r="BT62" s="66">
        <f>'[1]Univ Comm Fund'!U163</f>
        <v>0</v>
      </c>
      <c r="BU62" s="66">
        <f>'[1]UNIV. LIB.2019'!U68</f>
        <v>0</v>
      </c>
      <c r="BV62" s="66">
        <f t="shared" si="17"/>
        <v>0</v>
      </c>
      <c r="BX62" s="66">
        <f t="shared" si="18"/>
        <v>0</v>
      </c>
      <c r="BY62" s="66">
        <f t="shared" si="18"/>
        <v>0</v>
      </c>
      <c r="BZ62" s="66">
        <f t="shared" si="19"/>
        <v>0</v>
      </c>
      <c r="CR62" s="166"/>
      <c r="CS62" s="166"/>
      <c r="CT62" s="166"/>
      <c r="CU62" s="166"/>
      <c r="EW62" s="16"/>
      <c r="HM62" s="162"/>
    </row>
    <row r="63" spans="1:221" s="4" customFormat="1" x14ac:dyDescent="0.25">
      <c r="A63" s="164">
        <v>56</v>
      </c>
      <c r="B63" s="172" t="s">
        <v>122</v>
      </c>
      <c r="C63" s="172"/>
      <c r="D63" s="110">
        <f>'[1]Univ Comm Fund'!D164</f>
        <v>0</v>
      </c>
      <c r="E63" s="110">
        <f>'[1]UNIV. LIB.2019'!D69</f>
        <v>0</v>
      </c>
      <c r="F63" s="66">
        <f t="shared" si="1"/>
        <v>0</v>
      </c>
      <c r="G63" s="110"/>
      <c r="H63" s="110">
        <f>'[1]Univ Comm Fund'!E164</f>
        <v>0</v>
      </c>
      <c r="I63" s="110">
        <f>'[1]UNIV. LIB.2019'!E69</f>
        <v>0</v>
      </c>
      <c r="J63" s="11">
        <f t="shared" si="2"/>
        <v>0</v>
      </c>
      <c r="K63" s="110"/>
      <c r="L63" s="110">
        <f>'[1]Univ Comm Fund'!F164</f>
        <v>0</v>
      </c>
      <c r="M63" s="110">
        <f>'[1]UNIV. LIB.2019'!F69</f>
        <v>0</v>
      </c>
      <c r="N63" s="66">
        <f t="shared" si="3"/>
        <v>0</v>
      </c>
      <c r="O63" s="110"/>
      <c r="P63" s="110">
        <f>'[1]Univ Comm Fund'!G164</f>
        <v>0</v>
      </c>
      <c r="Q63" s="110">
        <f>'[1]UNIV. LIB.2019'!G69</f>
        <v>0</v>
      </c>
      <c r="R63" s="66">
        <f t="shared" si="4"/>
        <v>0</v>
      </c>
      <c r="S63" s="110"/>
      <c r="T63" s="110">
        <f>'[1]Univ Comm Fund'!H164</f>
        <v>0</v>
      </c>
      <c r="U63" s="110">
        <f>'[1]UNIV. LIB.2019'!H69</f>
        <v>0</v>
      </c>
      <c r="V63" s="66">
        <f t="shared" si="5"/>
        <v>0</v>
      </c>
      <c r="W63" s="110"/>
      <c r="X63" s="110">
        <f>'[1]Univ Comm Fund'!I164</f>
        <v>0</v>
      </c>
      <c r="Y63" s="110">
        <f>'[1]UNIV. LIB.2019'!I69</f>
        <v>0</v>
      </c>
      <c r="Z63" s="66">
        <f>X63-Y63</f>
        <v>0</v>
      </c>
      <c r="AA63" s="110"/>
      <c r="AB63" s="110">
        <f>'[1]Univ Comm Fund'!J164</f>
        <v>0</v>
      </c>
      <c r="AC63" s="110">
        <f>'[1]UNIV. LIB.2019'!J69</f>
        <v>0</v>
      </c>
      <c r="AD63" s="66">
        <f>AB63-AC63</f>
        <v>0</v>
      </c>
      <c r="AE63" s="110"/>
      <c r="AF63" s="110">
        <f>'[1]Univ Comm Fund'!K164</f>
        <v>0</v>
      </c>
      <c r="AG63" s="110">
        <f>'[1]UNIV. LIB.2019'!K69</f>
        <v>0</v>
      </c>
      <c r="AH63" s="66">
        <f>AF63-AG63</f>
        <v>0</v>
      </c>
      <c r="AI63" s="110"/>
      <c r="AJ63" s="110">
        <f>'[1]Univ Comm Fund'!L164</f>
        <v>0</v>
      </c>
      <c r="AK63" s="110">
        <f>'[1]UNIV. LIB.2019'!L69</f>
        <v>0</v>
      </c>
      <c r="AL63" s="88">
        <f>AJ63-AK63</f>
        <v>0</v>
      </c>
      <c r="AM63" s="110"/>
      <c r="AN63" s="66">
        <f>'[1]Univ Comm Fund'!M164</f>
        <v>20000000</v>
      </c>
      <c r="AO63" s="110">
        <f>'[1]UNIV. LIB.2019'!M69</f>
        <v>20000000</v>
      </c>
      <c r="AP63" s="66">
        <f t="shared" si="10"/>
        <v>0</v>
      </c>
      <c r="AQ63" s="66"/>
      <c r="AR63" s="66">
        <f>'[1]Univ Comm Fund'!N164</f>
        <v>25000000</v>
      </c>
      <c r="AS63" s="66">
        <f>'[1]UNIV. LIB.2019'!N69</f>
        <v>25000000</v>
      </c>
      <c r="AT63" s="66">
        <f>AR63-AS63</f>
        <v>0</v>
      </c>
      <c r="AU63" s="66"/>
      <c r="AV63" s="66">
        <f>'[1]Univ Comm Fund'!O164</f>
        <v>53000000</v>
      </c>
      <c r="AW63" s="66">
        <f>'[1]UNIV. LIB.2019'!O69</f>
        <v>53000000</v>
      </c>
      <c r="AX63" s="66">
        <f>AV63-AW63</f>
        <v>0</v>
      </c>
      <c r="AY63" s="66"/>
      <c r="AZ63" s="66">
        <f>'[1]Univ Comm Fund'!P164</f>
        <v>60000000</v>
      </c>
      <c r="BA63" s="66">
        <f>'[1]UNIV. LIB.2019'!P69</f>
        <v>60000000</v>
      </c>
      <c r="BB63" s="66">
        <f t="shared" si="0"/>
        <v>0</v>
      </c>
      <c r="BC63" s="106"/>
      <c r="BD63" s="66">
        <v>100000000</v>
      </c>
      <c r="BE63" s="66">
        <f>'[1]UNIV. LIB.2019'!Q69</f>
        <v>100000000</v>
      </c>
      <c r="BF63" s="66">
        <f t="shared" si="13"/>
        <v>0</v>
      </c>
      <c r="BG63" s="106"/>
      <c r="BH63" s="66">
        <v>50000000</v>
      </c>
      <c r="BI63" s="66">
        <f>'[1]UNIV. LIB.2019'!R69</f>
        <v>0</v>
      </c>
      <c r="BJ63" s="66">
        <f t="shared" si="14"/>
        <v>50000000</v>
      </c>
      <c r="BL63" s="66">
        <f>'[1]Univ Comm Fund'!S164</f>
        <v>34000000</v>
      </c>
      <c r="BM63" s="66">
        <f>'[1]UNIV. LIB.2019'!S69</f>
        <v>0</v>
      </c>
      <c r="BN63" s="66">
        <f t="shared" si="15"/>
        <v>34000000</v>
      </c>
      <c r="BP63" s="66">
        <f>'[1]Univ Comm Fund'!T164</f>
        <v>30000000</v>
      </c>
      <c r="BQ63" s="66">
        <f>'[1]UNIV. LIB.2019'!T69</f>
        <v>0</v>
      </c>
      <c r="BR63" s="66">
        <f t="shared" si="16"/>
        <v>30000000</v>
      </c>
      <c r="BT63" s="66">
        <f>'[1]Univ Comm Fund'!U164</f>
        <v>20000000</v>
      </c>
      <c r="BU63" s="66">
        <f>'[1]UNIV. LIB.2019'!U69</f>
        <v>0</v>
      </c>
      <c r="BV63" s="66">
        <f t="shared" si="17"/>
        <v>20000000</v>
      </c>
      <c r="BX63" s="66">
        <f t="shared" si="18"/>
        <v>392000000</v>
      </c>
      <c r="BY63" s="66">
        <f t="shared" si="18"/>
        <v>258000000</v>
      </c>
      <c r="BZ63" s="66">
        <f t="shared" si="19"/>
        <v>134000000</v>
      </c>
      <c r="CA63" s="106"/>
      <c r="CB63" s="106"/>
      <c r="CR63" s="166"/>
      <c r="CS63" s="166"/>
      <c r="CT63" s="166"/>
      <c r="CU63" s="166"/>
      <c r="EW63" s="16"/>
      <c r="HM63" s="162"/>
    </row>
    <row r="64" spans="1:221" x14ac:dyDescent="0.25">
      <c r="A64" s="164">
        <v>57</v>
      </c>
      <c r="B64" s="164" t="s">
        <v>123</v>
      </c>
      <c r="C64" s="164"/>
      <c r="D64" s="110">
        <f>'[1]Univ Comm Fund'!D165</f>
        <v>0</v>
      </c>
      <c r="E64" s="110">
        <f>'[1]UNIV. LIB.2019'!D70</f>
        <v>0</v>
      </c>
      <c r="F64" s="66">
        <f t="shared" si="1"/>
        <v>0</v>
      </c>
      <c r="G64" s="110"/>
      <c r="H64" s="110">
        <f>'[1]Univ Comm Fund'!E165</f>
        <v>0</v>
      </c>
      <c r="I64" s="110">
        <f>'[1]UNIV. LIB.2019'!E70</f>
        <v>0</v>
      </c>
      <c r="J64" s="11">
        <f t="shared" si="2"/>
        <v>0</v>
      </c>
      <c r="K64" s="110"/>
      <c r="L64" s="110">
        <f>'[1]Univ Comm Fund'!F165</f>
        <v>0</v>
      </c>
      <c r="M64" s="110">
        <f>'[1]UNIV. LIB.2019'!F70</f>
        <v>0</v>
      </c>
      <c r="N64" s="66">
        <f t="shared" si="3"/>
        <v>0</v>
      </c>
      <c r="O64" s="110"/>
      <c r="P64" s="110">
        <f>'[1]Univ Comm Fund'!G165</f>
        <v>0</v>
      </c>
      <c r="Q64" s="110">
        <f>'[1]UNIV. LIB.2019'!G70</f>
        <v>0</v>
      </c>
      <c r="R64" s="66">
        <f t="shared" si="4"/>
        <v>0</v>
      </c>
      <c r="S64" s="110"/>
      <c r="T64" s="110">
        <f>'[1]Univ Comm Fund'!H165</f>
        <v>0</v>
      </c>
      <c r="U64" s="110">
        <f>'[1]UNIV. LIB.2019'!H70</f>
        <v>0</v>
      </c>
      <c r="V64" s="66">
        <f t="shared" si="5"/>
        <v>0</v>
      </c>
      <c r="W64" s="110"/>
      <c r="X64" s="66">
        <f>'[1]Univ Comm Fund'!I165</f>
        <v>5000000</v>
      </c>
      <c r="Y64" s="110">
        <f>'[1]UNIV. LIB.2019'!I70</f>
        <v>5000000</v>
      </c>
      <c r="Z64" s="66">
        <f t="shared" si="6"/>
        <v>0</v>
      </c>
      <c r="AA64" s="110"/>
      <c r="AB64" s="66">
        <f>'[1]Univ Comm Fund'!J165</f>
        <v>6500000</v>
      </c>
      <c r="AC64" s="110">
        <f>'[1]UNIV. LIB.2019'!J70</f>
        <v>6500000</v>
      </c>
      <c r="AD64" s="66">
        <f t="shared" si="7"/>
        <v>0</v>
      </c>
      <c r="AE64" s="110"/>
      <c r="AF64" s="110">
        <f>'[1]Univ Comm Fund'!K165</f>
        <v>0</v>
      </c>
      <c r="AG64" s="110">
        <f>'[1]UNIV. LIB.2019'!K70</f>
        <v>0</v>
      </c>
      <c r="AH64" s="66">
        <f t="shared" si="8"/>
        <v>0</v>
      </c>
      <c r="AI64" s="110"/>
      <c r="AJ64" s="110">
        <f>'[1]Univ Comm Fund'!L165</f>
        <v>0</v>
      </c>
      <c r="AK64" s="110">
        <f>'[1]UNIV. LIB.2019'!L70</f>
        <v>0</v>
      </c>
      <c r="AL64" s="88">
        <f t="shared" si="9"/>
        <v>0</v>
      </c>
      <c r="AM64" s="110"/>
      <c r="AN64" s="110">
        <f>'[1]Univ Comm Fund'!M165</f>
        <v>0</v>
      </c>
      <c r="AO64" s="4">
        <f>'[1]UNIV. LIB.2019'!M70</f>
        <v>0</v>
      </c>
      <c r="AP64" s="66">
        <f t="shared" si="10"/>
        <v>0</v>
      </c>
      <c r="AQ64" s="110"/>
      <c r="AR64" s="66">
        <f>'[1]Univ Comm Fund'!N165</f>
        <v>25000000</v>
      </c>
      <c r="AS64" s="110">
        <f>'[1]UNIV. LIB.2019'!N70</f>
        <v>25000000</v>
      </c>
      <c r="AT64" s="66">
        <f t="shared" si="11"/>
        <v>0</v>
      </c>
      <c r="AU64" s="66"/>
      <c r="AV64" s="66">
        <f>'[1]Univ Comm Fund'!O165</f>
        <v>53000000</v>
      </c>
      <c r="AW64" s="66">
        <f>'[1]UNIV. LIB.2019'!O70</f>
        <v>53000000</v>
      </c>
      <c r="AX64" s="66">
        <f t="shared" si="12"/>
        <v>0</v>
      </c>
      <c r="AY64" s="66"/>
      <c r="AZ64" s="66">
        <f>'[1]Univ Comm Fund'!P165</f>
        <v>60000000</v>
      </c>
      <c r="BA64" s="66">
        <f>'[1]UNIV. LIB.2019'!P70</f>
        <v>60000000</v>
      </c>
      <c r="BB64" s="66">
        <f t="shared" si="0"/>
        <v>0</v>
      </c>
      <c r="BC64" s="106"/>
      <c r="BD64" s="66">
        <v>100000000</v>
      </c>
      <c r="BE64" s="66">
        <f>'[1]UNIV. LIB.2019'!Q70</f>
        <v>100000000</v>
      </c>
      <c r="BF64" s="66">
        <f t="shared" si="13"/>
        <v>0</v>
      </c>
      <c r="BG64" s="106"/>
      <c r="BH64" s="66">
        <v>50000000</v>
      </c>
      <c r="BI64" s="66">
        <f>'[1]UNIV. LIB.2019'!R70</f>
        <v>0</v>
      </c>
      <c r="BJ64" s="66">
        <f t="shared" si="14"/>
        <v>50000000</v>
      </c>
      <c r="BL64" s="83">
        <f>'[1]Univ Comm Fund'!S165</f>
        <v>34000000</v>
      </c>
      <c r="BM64" s="83">
        <f>'[1]UNIV. LIB.2019'!S70</f>
        <v>0</v>
      </c>
      <c r="BN64" s="66">
        <f t="shared" si="15"/>
        <v>34000000</v>
      </c>
      <c r="BP64" s="83">
        <f>'[1]Univ Comm Fund'!T165</f>
        <v>30000000</v>
      </c>
      <c r="BQ64" s="83">
        <f>'[1]UNIV. LIB.2019'!T70</f>
        <v>0</v>
      </c>
      <c r="BR64" s="66">
        <f t="shared" si="16"/>
        <v>30000000</v>
      </c>
      <c r="BT64" s="83">
        <f>'[1]Univ Comm Fund'!U165</f>
        <v>20000000</v>
      </c>
      <c r="BU64" s="83">
        <f>'[1]UNIV. LIB.2019'!U70</f>
        <v>0</v>
      </c>
      <c r="BV64" s="66">
        <f t="shared" si="17"/>
        <v>20000000</v>
      </c>
      <c r="BX64" s="66">
        <f t="shared" si="18"/>
        <v>383500000</v>
      </c>
      <c r="BY64" s="66">
        <f t="shared" si="18"/>
        <v>249500000</v>
      </c>
      <c r="BZ64" s="66">
        <f t="shared" si="19"/>
        <v>134000000</v>
      </c>
      <c r="CA64" s="106"/>
      <c r="CB64" s="9"/>
      <c r="CC64" s="6"/>
      <c r="CD64" s="6"/>
      <c r="CE64" s="6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166"/>
      <c r="CS64" s="166"/>
      <c r="CT64" s="166"/>
      <c r="CU64" s="166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16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  <c r="GF64" s="4"/>
      <c r="GG64" s="4"/>
      <c r="GH64" s="4"/>
      <c r="GI64" s="4"/>
      <c r="GJ64" s="4"/>
      <c r="GK64" s="4"/>
      <c r="GL64" s="4"/>
      <c r="GM64" s="4"/>
      <c r="GN64" s="4"/>
      <c r="GO64" s="4"/>
      <c r="GP64" s="4"/>
      <c r="GQ64" s="4"/>
      <c r="GR64" s="4"/>
      <c r="GS64" s="4"/>
      <c r="GT64" s="4"/>
      <c r="GU64" s="4"/>
      <c r="GV64" s="4"/>
      <c r="GW64" s="4"/>
      <c r="GX64" s="4"/>
      <c r="GY64" s="4"/>
      <c r="GZ64" s="4"/>
      <c r="HA64" s="4"/>
      <c r="HB64" s="4"/>
      <c r="HC64" s="4"/>
      <c r="HD64" s="4"/>
      <c r="HE64" s="4"/>
      <c r="HF64" s="4"/>
      <c r="HG64" s="4"/>
      <c r="HH64" s="4"/>
      <c r="HI64" s="4"/>
      <c r="HJ64" s="4"/>
      <c r="HK64" s="4"/>
      <c r="HL64" s="4"/>
      <c r="HM64" s="162"/>
    </row>
    <row r="65" spans="1:221" x14ac:dyDescent="0.25">
      <c r="A65" s="164">
        <v>58</v>
      </c>
      <c r="B65" s="191" t="s">
        <v>124</v>
      </c>
      <c r="C65" s="191"/>
      <c r="D65" s="66">
        <f>'[1]Univ Comm Fund'!D166</f>
        <v>0</v>
      </c>
      <c r="E65" s="66">
        <f>'[1]UNIV. LIB.2019'!D71</f>
        <v>0</v>
      </c>
      <c r="F65" s="66">
        <f>D65-E65</f>
        <v>0</v>
      </c>
      <c r="G65" s="8"/>
      <c r="H65" s="66">
        <f>'[1]Univ Comm Fund'!E166</f>
        <v>0</v>
      </c>
      <c r="I65" s="66">
        <f>'[1]UNIV. LIB.2019'!E71</f>
        <v>0</v>
      </c>
      <c r="J65" s="11">
        <f>H65-I65</f>
        <v>0</v>
      </c>
      <c r="L65" s="66">
        <f>'[1]Univ Comm Fund'!F166</f>
        <v>0</v>
      </c>
      <c r="M65" s="66">
        <f>'[1]UNIV. LIB.2019'!F71</f>
        <v>0</v>
      </c>
      <c r="N65" s="66">
        <f>L65-M65</f>
        <v>0</v>
      </c>
      <c r="O65" s="8"/>
      <c r="P65" s="66">
        <f>'[1]Univ Comm Fund'!G166</f>
        <v>0</v>
      </c>
      <c r="Q65" s="66">
        <f>'[1]UNIV. LIB.2019'!G71</f>
        <v>0</v>
      </c>
      <c r="R65" s="66">
        <f>P65-Q65</f>
        <v>0</v>
      </c>
      <c r="S65" s="8"/>
      <c r="T65" s="66">
        <f>'[1]Univ Comm Fund'!H166</f>
        <v>0</v>
      </c>
      <c r="U65" s="66">
        <f>'[1]UNIV. LIB.2019'!H71</f>
        <v>0</v>
      </c>
      <c r="V65" s="66">
        <f>T65-U65</f>
        <v>0</v>
      </c>
      <c r="W65" s="8"/>
      <c r="X65" s="66">
        <f>'[1]Univ Comm Fund'!I166</f>
        <v>0</v>
      </c>
      <c r="Y65" s="66">
        <f>'[1]UNIV. LIB.2019'!I71</f>
        <v>0</v>
      </c>
      <c r="Z65" s="8"/>
      <c r="AA65" s="8"/>
      <c r="AB65" s="66">
        <f>'[1]Univ Comm Fund'!J166</f>
        <v>0</v>
      </c>
      <c r="AC65" s="66">
        <f>'[1]UNIV. LIB.2019'!J71</f>
        <v>0</v>
      </c>
      <c r="AD65" s="8"/>
      <c r="AE65" s="8"/>
      <c r="AF65" s="66">
        <f>'[1]Univ Comm Fund'!K166</f>
        <v>0</v>
      </c>
      <c r="AG65" s="66">
        <f>'[1]UNIV. LIB.2019'!K71</f>
        <v>0</v>
      </c>
      <c r="AH65" s="8"/>
      <c r="AI65" s="8"/>
      <c r="AJ65" s="66">
        <f>'[1]Univ Comm Fund'!L166</f>
        <v>0</v>
      </c>
      <c r="AK65" s="66">
        <f>'[1]UNIV. LIB.2019'!L71</f>
        <v>0</v>
      </c>
      <c r="AL65" s="8"/>
      <c r="AM65" s="8"/>
      <c r="AN65" s="66">
        <f>'[1]Univ Comm Fund'!M166</f>
        <v>0</v>
      </c>
      <c r="AO65" s="66">
        <f>'[1]UNIV. LIB.2019'!M71</f>
        <v>0</v>
      </c>
      <c r="AP65" s="66">
        <f>AN65-AO65</f>
        <v>0</v>
      </c>
      <c r="AQ65" s="8"/>
      <c r="AR65" s="66">
        <f>'[1]Univ Comm Fund'!N166</f>
        <v>25000000</v>
      </c>
      <c r="AS65" s="66">
        <f>'[1]UNIV. LIB.2019'!N71</f>
        <v>25000000</v>
      </c>
      <c r="AT65" s="66">
        <f>AR65-AS65</f>
        <v>0</v>
      </c>
      <c r="AU65" s="8"/>
      <c r="AV65" s="66">
        <f>'[1]Univ Comm Fund'!O166</f>
        <v>53000000</v>
      </c>
      <c r="AW65" s="66">
        <f>'[1]UNIV. LIB.2019'!O71</f>
        <v>53000000</v>
      </c>
      <c r="AX65" s="66">
        <f>AV65-AW65</f>
        <v>0</v>
      </c>
      <c r="AY65" s="8"/>
      <c r="AZ65" s="66">
        <f>'[1]Univ Comm Fund'!P166</f>
        <v>60000000</v>
      </c>
      <c r="BA65" s="66">
        <f>'[1]UNIV. LIB.2019'!P71</f>
        <v>60000000</v>
      </c>
      <c r="BB65" s="66">
        <f t="shared" si="0"/>
        <v>0</v>
      </c>
      <c r="BC65" s="106"/>
      <c r="BD65" s="66">
        <v>100000000</v>
      </c>
      <c r="BE65" s="66">
        <f>'[1]UNIV. LIB.2019'!Q71</f>
        <v>100000000</v>
      </c>
      <c r="BF65" s="66">
        <f t="shared" si="13"/>
        <v>0</v>
      </c>
      <c r="BH65" s="66">
        <v>50000000</v>
      </c>
      <c r="BI65" s="66">
        <f>'[1]UNIV. LIB.2019'!R71</f>
        <v>42500000</v>
      </c>
      <c r="BJ65" s="66">
        <f t="shared" si="14"/>
        <v>7500000</v>
      </c>
      <c r="BL65" s="83">
        <f>'[1]Univ Comm Fund'!S166</f>
        <v>34000000</v>
      </c>
      <c r="BM65" s="83">
        <f>'[1]UNIV. LIB.2019'!S71</f>
        <v>0</v>
      </c>
      <c r="BN65" s="66">
        <f t="shared" si="15"/>
        <v>34000000</v>
      </c>
      <c r="BP65" s="83">
        <f>'[1]Univ Comm Fund'!T166</f>
        <v>30000000</v>
      </c>
      <c r="BQ65" s="83">
        <f>'[1]UNIV. LIB.2019'!T71</f>
        <v>0</v>
      </c>
      <c r="BR65" s="66">
        <f t="shared" si="16"/>
        <v>30000000</v>
      </c>
      <c r="BT65" s="83">
        <f>'[1]Univ Comm Fund'!U166</f>
        <v>20000000</v>
      </c>
      <c r="BU65" s="83">
        <f>'[1]UNIV. LIB.2019'!U71</f>
        <v>0</v>
      </c>
      <c r="BV65" s="66">
        <f t="shared" si="17"/>
        <v>20000000</v>
      </c>
      <c r="BX65" s="66">
        <f t="shared" si="18"/>
        <v>372000000</v>
      </c>
      <c r="BY65" s="66">
        <f t="shared" si="18"/>
        <v>280500000</v>
      </c>
      <c r="BZ65" s="66">
        <f t="shared" si="19"/>
        <v>91500000</v>
      </c>
      <c r="EN65" s="3"/>
      <c r="EO65" s="3"/>
      <c r="EP65" s="3"/>
      <c r="EQ65" s="3"/>
      <c r="EW65" s="10"/>
    </row>
    <row r="66" spans="1:221" x14ac:dyDescent="0.25">
      <c r="A66" s="164">
        <v>59</v>
      </c>
      <c r="B66" s="172" t="s">
        <v>125</v>
      </c>
      <c r="C66" s="172"/>
      <c r="D66" s="66">
        <f>'[1]Univ Comm Fund'!D167</f>
        <v>0</v>
      </c>
      <c r="E66" s="66">
        <f>'[1]UNIV. LIB.2019'!D72</f>
        <v>0</v>
      </c>
      <c r="F66" s="66">
        <f>D66-E66</f>
        <v>0</v>
      </c>
      <c r="G66" s="8"/>
      <c r="H66" s="66">
        <f>'[1]Univ Comm Fund'!E167</f>
        <v>0</v>
      </c>
      <c r="I66" s="66">
        <f>'[1]UNIV. LIB.2019'!E72</f>
        <v>0</v>
      </c>
      <c r="J66" s="11">
        <f>H66-I66</f>
        <v>0</v>
      </c>
      <c r="L66" s="66">
        <f>'[1]Univ Comm Fund'!F167</f>
        <v>0</v>
      </c>
      <c r="M66" s="66">
        <f>'[1]UNIV. LIB.2019'!F72</f>
        <v>0</v>
      </c>
      <c r="N66" s="66">
        <f>L66-M66</f>
        <v>0</v>
      </c>
      <c r="O66" s="8"/>
      <c r="P66" s="66">
        <f>'[1]Univ Comm Fund'!G167</f>
        <v>0</v>
      </c>
      <c r="Q66" s="66">
        <f>'[1]UNIV. LIB.2019'!G72</f>
        <v>0</v>
      </c>
      <c r="R66" s="66">
        <f>P66-Q66</f>
        <v>0</v>
      </c>
      <c r="S66" s="8"/>
      <c r="T66" s="66">
        <f>'[1]Univ Comm Fund'!H167</f>
        <v>0</v>
      </c>
      <c r="U66" s="66">
        <f>'[1]UNIV. LIB.2019'!H72</f>
        <v>0</v>
      </c>
      <c r="V66" s="66">
        <f>T66-U66</f>
        <v>0</v>
      </c>
      <c r="W66" s="8"/>
      <c r="X66" s="66">
        <f>'[1]Univ Comm Fund'!I167</f>
        <v>0</v>
      </c>
      <c r="Y66" s="66">
        <f>'[1]UNIV. LIB.2019'!I72</f>
        <v>0</v>
      </c>
      <c r="Z66" s="8"/>
      <c r="AA66" s="8"/>
      <c r="AB66" s="66">
        <f>'[1]Univ Comm Fund'!J167</f>
        <v>0</v>
      </c>
      <c r="AC66" s="66">
        <f>'[1]UNIV. LIB.2019'!J72</f>
        <v>0</v>
      </c>
      <c r="AD66" s="8"/>
      <c r="AE66" s="8"/>
      <c r="AF66" s="66">
        <f>'[1]Univ Comm Fund'!K167</f>
        <v>0</v>
      </c>
      <c r="AG66" s="66">
        <f>'[1]UNIV. LIB.2019'!K72</f>
        <v>0</v>
      </c>
      <c r="AH66" s="8"/>
      <c r="AI66" s="8"/>
      <c r="AJ66" s="66">
        <f>'[1]Univ Comm Fund'!L167</f>
        <v>0</v>
      </c>
      <c r="AK66" s="66">
        <f>'[1]UNIV. LIB.2019'!L72</f>
        <v>0</v>
      </c>
      <c r="AL66" s="8"/>
      <c r="AM66" s="8"/>
      <c r="AN66" s="66">
        <f>'[1]Univ Comm Fund'!M167</f>
        <v>0</v>
      </c>
      <c r="AO66" s="66">
        <f>'[1]UNIV. LIB.2019'!M72</f>
        <v>0</v>
      </c>
      <c r="AP66" s="66">
        <f>AN66-AO66</f>
        <v>0</v>
      </c>
      <c r="AQ66" s="8"/>
      <c r="AR66" s="66">
        <f>'[1]Univ Comm Fund'!N167</f>
        <v>0</v>
      </c>
      <c r="AS66" s="66">
        <f>'[1]UNIV. LIB.2019'!N72</f>
        <v>0</v>
      </c>
      <c r="AT66" s="66">
        <f>AR66-AS66</f>
        <v>0</v>
      </c>
      <c r="AU66" s="8"/>
      <c r="AV66" s="66">
        <v>0</v>
      </c>
      <c r="AW66" s="66">
        <f>'[1]UNIV. LIB.2019'!O72</f>
        <v>0</v>
      </c>
      <c r="AX66" s="66">
        <f>AV66-AW66</f>
        <v>0</v>
      </c>
      <c r="AY66" s="8"/>
      <c r="AZ66" s="66">
        <f>'[1]Univ Comm Fund'!P167</f>
        <v>60000000</v>
      </c>
      <c r="BA66" s="66">
        <f>'[1]UNIV. LIB.2019'!P72</f>
        <v>60000000</v>
      </c>
      <c r="BB66" s="66">
        <f t="shared" si="0"/>
        <v>0</v>
      </c>
      <c r="BC66" s="106"/>
      <c r="BD66" s="82">
        <v>0</v>
      </c>
      <c r="BE66" s="66">
        <f>'[1]UNIV. LIB.2019'!Q72</f>
        <v>0</v>
      </c>
      <c r="BF66" s="66">
        <f t="shared" si="13"/>
        <v>0</v>
      </c>
      <c r="BH66" s="66">
        <v>50000000</v>
      </c>
      <c r="BI66" s="66">
        <f>'[1]UNIV. LIB.2019'!R72</f>
        <v>50000000</v>
      </c>
      <c r="BJ66" s="66">
        <f t="shared" si="14"/>
        <v>0</v>
      </c>
      <c r="BL66" s="83">
        <f>'[1]Univ Comm Fund'!S167</f>
        <v>0</v>
      </c>
      <c r="BM66" s="83">
        <f>'[1]UNIV. LIB.2019'!S72</f>
        <v>0</v>
      </c>
      <c r="BN66" s="66">
        <f t="shared" si="15"/>
        <v>0</v>
      </c>
      <c r="BP66" s="83">
        <f>'[1]Univ Comm Fund'!T167</f>
        <v>30000000</v>
      </c>
      <c r="BQ66" s="83">
        <f>'[1]UNIV. LIB.2019'!T72</f>
        <v>0</v>
      </c>
      <c r="BR66" s="66">
        <f t="shared" si="16"/>
        <v>30000000</v>
      </c>
      <c r="BT66" s="83">
        <f>'[1]Univ Comm Fund'!U167</f>
        <v>0</v>
      </c>
      <c r="BU66" s="83">
        <f>'[1]UNIV. LIB.2019'!U72</f>
        <v>0</v>
      </c>
      <c r="BV66" s="66">
        <f t="shared" si="17"/>
        <v>0</v>
      </c>
      <c r="BX66" s="66">
        <f t="shared" si="18"/>
        <v>140000000</v>
      </c>
      <c r="BY66" s="66">
        <f t="shared" si="18"/>
        <v>110000000</v>
      </c>
      <c r="BZ66" s="66">
        <f t="shared" si="19"/>
        <v>30000000</v>
      </c>
      <c r="EN66" s="3"/>
      <c r="EO66" s="3"/>
      <c r="EP66" s="3"/>
      <c r="EQ66" s="3"/>
      <c r="EW66" s="10"/>
    </row>
    <row r="67" spans="1:221" x14ac:dyDescent="0.25">
      <c r="A67" s="164">
        <v>60</v>
      </c>
      <c r="B67" s="172" t="s">
        <v>126</v>
      </c>
      <c r="C67" s="172"/>
      <c r="D67" s="66">
        <f>'[1]Univ Comm Fund'!D168</f>
        <v>0</v>
      </c>
      <c r="E67" s="66">
        <f>'[1]UNIV. LIB.2019'!D73</f>
        <v>0</v>
      </c>
      <c r="F67" s="66">
        <f>D67-E67</f>
        <v>0</v>
      </c>
      <c r="G67" s="8"/>
      <c r="H67" s="66">
        <f>'[1]Univ Comm Fund'!E168</f>
        <v>0</v>
      </c>
      <c r="I67" s="66">
        <f>'[1]UNIV. LIB.2019'!E73</f>
        <v>0</v>
      </c>
      <c r="J67" s="11">
        <f>H67-I67</f>
        <v>0</v>
      </c>
      <c r="L67" s="66">
        <f>'[1]Univ Comm Fund'!F168</f>
        <v>0</v>
      </c>
      <c r="M67" s="66">
        <f>'[1]UNIV. LIB.2019'!F73</f>
        <v>0</v>
      </c>
      <c r="N67" s="66">
        <f>L67-M67</f>
        <v>0</v>
      </c>
      <c r="O67" s="8"/>
      <c r="P67" s="66">
        <f>'[1]Univ Comm Fund'!G168</f>
        <v>0</v>
      </c>
      <c r="Q67" s="66">
        <f>'[1]UNIV. LIB.2019'!G73</f>
        <v>0</v>
      </c>
      <c r="R67" s="66">
        <f>P67-Q67</f>
        <v>0</v>
      </c>
      <c r="S67" s="8"/>
      <c r="T67" s="66">
        <f>'[1]Univ Comm Fund'!H168</f>
        <v>0</v>
      </c>
      <c r="U67" s="66">
        <f>'[1]UNIV. LIB.2019'!H73</f>
        <v>0</v>
      </c>
      <c r="V67" s="66">
        <f>T67-U67</f>
        <v>0</v>
      </c>
      <c r="W67" s="8"/>
      <c r="X67" s="66">
        <f>'[1]Univ Comm Fund'!I168</f>
        <v>0</v>
      </c>
      <c r="Y67" s="66">
        <f>'[1]UNIV. LIB.2019'!I73</f>
        <v>0</v>
      </c>
      <c r="Z67" s="8"/>
      <c r="AA67" s="8"/>
      <c r="AB67" s="66">
        <f>'[1]Univ Comm Fund'!J168</f>
        <v>0</v>
      </c>
      <c r="AC67" s="66">
        <f>'[1]UNIV. LIB.2019'!J73</f>
        <v>0</v>
      </c>
      <c r="AD67" s="8"/>
      <c r="AE67" s="8"/>
      <c r="AF67" s="66">
        <f>'[1]Univ Comm Fund'!K168</f>
        <v>0</v>
      </c>
      <c r="AG67" s="66">
        <f>'[1]UNIV. LIB.2019'!K73</f>
        <v>0</v>
      </c>
      <c r="AH67" s="8"/>
      <c r="AI67" s="8"/>
      <c r="AJ67" s="66">
        <f>'[1]Univ Comm Fund'!L168</f>
        <v>0</v>
      </c>
      <c r="AK67" s="66">
        <f>'[1]UNIV. LIB.2019'!L73</f>
        <v>0</v>
      </c>
      <c r="AL67" s="8"/>
      <c r="AM67" s="8"/>
      <c r="AN67" s="66">
        <f>'[1]Univ Comm Fund'!M168</f>
        <v>0</v>
      </c>
      <c r="AO67" s="66">
        <f>'[1]UNIV. LIB.2019'!M73</f>
        <v>0</v>
      </c>
      <c r="AP67" s="66">
        <f>AN67-AO67</f>
        <v>0</v>
      </c>
      <c r="AQ67" s="8"/>
      <c r="AR67" s="66">
        <f>'[1]Univ Comm Fund'!N168</f>
        <v>0</v>
      </c>
      <c r="AS67" s="66">
        <f>'[1]UNIV. LIB.2019'!N73</f>
        <v>0</v>
      </c>
      <c r="AT67" s="66">
        <f>AR67-AS67</f>
        <v>0</v>
      </c>
      <c r="AU67" s="8"/>
      <c r="AV67" s="66">
        <f>'[1]Univ Comm Fund'!O168</f>
        <v>53000000</v>
      </c>
      <c r="AW67" s="66">
        <f>'[1]UNIV. LIB.2019'!O73</f>
        <v>53000000</v>
      </c>
      <c r="AX67" s="66">
        <f>AV67-AW67</f>
        <v>0</v>
      </c>
      <c r="AY67" s="8"/>
      <c r="AZ67" s="66">
        <f>'[1]Univ Comm Fund'!P168</f>
        <v>60000000</v>
      </c>
      <c r="BA67" s="66">
        <f>'[1]UNIV. LIB.2019'!P73</f>
        <v>60000000</v>
      </c>
      <c r="BB67" s="66">
        <f t="shared" si="0"/>
        <v>0</v>
      </c>
      <c r="BC67" s="106"/>
      <c r="BD67" s="66">
        <v>100000000</v>
      </c>
      <c r="BE67" s="66">
        <f>'[1]UNIV. LIB.2019'!Q73</f>
        <v>85000000</v>
      </c>
      <c r="BF67" s="66">
        <f t="shared" si="13"/>
        <v>15000000</v>
      </c>
      <c r="BH67" s="66">
        <v>50000000</v>
      </c>
      <c r="BI67" s="66">
        <f>'[1]UNIV. LIB.2019'!R73</f>
        <v>42500000</v>
      </c>
      <c r="BJ67" s="66">
        <f t="shared" si="14"/>
        <v>7500000</v>
      </c>
      <c r="BL67" s="83">
        <f>'[1]Univ Comm Fund'!S168</f>
        <v>34000000</v>
      </c>
      <c r="BM67" s="83">
        <f>'[1]UNIV. LIB.2019'!S73</f>
        <v>28900000</v>
      </c>
      <c r="BN67" s="66">
        <f t="shared" si="15"/>
        <v>5100000</v>
      </c>
      <c r="BP67" s="83">
        <f>'[1]Univ Comm Fund'!T168</f>
        <v>30000000</v>
      </c>
      <c r="BQ67" s="83">
        <f>'[1]UNIV. LIB.2019'!T73</f>
        <v>0</v>
      </c>
      <c r="BR67" s="66">
        <f t="shared" si="16"/>
        <v>30000000</v>
      </c>
      <c r="BT67" s="83">
        <f>'[1]Univ Comm Fund'!U168</f>
        <v>20000000</v>
      </c>
      <c r="BU67" s="83">
        <f>'[1]UNIV. LIB.2019'!U73</f>
        <v>0</v>
      </c>
      <c r="BV67" s="66">
        <f t="shared" si="17"/>
        <v>20000000</v>
      </c>
      <c r="BX67" s="66">
        <f t="shared" si="18"/>
        <v>347000000</v>
      </c>
      <c r="BY67" s="66">
        <f t="shared" si="18"/>
        <v>269400000</v>
      </c>
      <c r="BZ67" s="66">
        <f t="shared" si="19"/>
        <v>77600000</v>
      </c>
      <c r="EN67" s="3"/>
      <c r="EO67" s="3"/>
      <c r="EP67" s="3"/>
      <c r="EQ67" s="3"/>
      <c r="EW67" s="10"/>
    </row>
    <row r="68" spans="1:221" x14ac:dyDescent="0.25">
      <c r="A68" s="164">
        <v>61</v>
      </c>
      <c r="B68" s="192" t="s">
        <v>127</v>
      </c>
      <c r="C68" s="192"/>
      <c r="D68" s="110">
        <f>'[1]Univ Comm Fund'!D169</f>
        <v>0</v>
      </c>
      <c r="E68" s="110">
        <f>'[1]UNIV. LIB.2019'!D74</f>
        <v>0</v>
      </c>
      <c r="F68" s="66">
        <f t="shared" si="1"/>
        <v>0</v>
      </c>
      <c r="G68" s="110"/>
      <c r="H68" s="110">
        <f>'[1]Univ Comm Fund'!E169</f>
        <v>0</v>
      </c>
      <c r="I68" s="110">
        <f>'[1]UNIV. LIB.2019'!E74</f>
        <v>0</v>
      </c>
      <c r="J68" s="11">
        <f t="shared" si="2"/>
        <v>0</v>
      </c>
      <c r="K68" s="110"/>
      <c r="L68" s="110">
        <f>'[1]Univ Comm Fund'!F169</f>
        <v>0</v>
      </c>
      <c r="M68" s="110">
        <f>'[1]UNIV. LIB.2019'!F74</f>
        <v>0</v>
      </c>
      <c r="N68" s="66">
        <f t="shared" si="3"/>
        <v>0</v>
      </c>
      <c r="O68" s="110"/>
      <c r="P68" s="110">
        <f>'[1]Univ Comm Fund'!G169</f>
        <v>0</v>
      </c>
      <c r="Q68" s="110">
        <f>'[1]UNIV. LIB.2019'!G74</f>
        <v>0</v>
      </c>
      <c r="R68" s="66">
        <f t="shared" si="4"/>
        <v>0</v>
      </c>
      <c r="S68" s="110"/>
      <c r="T68" s="110">
        <f>'[1]Univ Comm Fund'!H169</f>
        <v>0</v>
      </c>
      <c r="U68" s="110">
        <f>'[1]UNIV. LIB.2019'!H74</f>
        <v>0</v>
      </c>
      <c r="V68" s="66">
        <f t="shared" si="5"/>
        <v>0</v>
      </c>
      <c r="W68" s="110"/>
      <c r="X68" s="110">
        <f>'[1]Univ Comm Fund'!I169</f>
        <v>0</v>
      </c>
      <c r="Y68" s="110">
        <f>'[1]UNIV. LIB.2019'!I74</f>
        <v>0</v>
      </c>
      <c r="Z68" s="66">
        <f t="shared" si="6"/>
        <v>0</v>
      </c>
      <c r="AA68" s="110"/>
      <c r="AB68" s="110">
        <f>'[1]Univ Comm Fund'!J169</f>
        <v>0</v>
      </c>
      <c r="AC68" s="110">
        <f>'[1]UNIV. LIB.2019'!J74</f>
        <v>0</v>
      </c>
      <c r="AD68" s="66">
        <f t="shared" si="7"/>
        <v>0</v>
      </c>
      <c r="AE68" s="110"/>
      <c r="AF68" s="110">
        <f>'[1]Univ Comm Fund'!K169</f>
        <v>0</v>
      </c>
      <c r="AG68" s="110">
        <f>'[1]UNIV. LIB.2019'!K74</f>
        <v>0</v>
      </c>
      <c r="AH68" s="66">
        <f t="shared" si="8"/>
        <v>0</v>
      </c>
      <c r="AI68" s="110"/>
      <c r="AJ68" s="110">
        <f>'[1]Univ Comm Fund'!L169</f>
        <v>0</v>
      </c>
      <c r="AK68" s="110">
        <f>'[1]UNIV. LIB.2019'!L74</f>
        <v>0</v>
      </c>
      <c r="AL68" s="88">
        <f t="shared" si="9"/>
        <v>0</v>
      </c>
      <c r="AM68" s="110"/>
      <c r="AN68" s="110">
        <f>'[1]Univ Comm Fund'!M169</f>
        <v>0</v>
      </c>
      <c r="AO68" s="110">
        <f>'[1]UNIV. LIB.2019'!M74</f>
        <v>0</v>
      </c>
      <c r="AP68" s="66">
        <f t="shared" si="10"/>
        <v>0</v>
      </c>
      <c r="AQ68" s="110"/>
      <c r="AR68" s="110">
        <f>'[1]Univ Comm Fund'!N169</f>
        <v>0</v>
      </c>
      <c r="AS68" s="110">
        <f>'[1]UNIV. LIB.2019'!N74</f>
        <v>0</v>
      </c>
      <c r="AT68" s="66">
        <f t="shared" si="11"/>
        <v>0</v>
      </c>
      <c r="AU68" s="110"/>
      <c r="AV68" s="66">
        <f>'[1]Univ Comm Fund'!O169</f>
        <v>0</v>
      </c>
      <c r="AW68" s="66">
        <f>'[1]UNIV. LIB.2019'!O74</f>
        <v>0</v>
      </c>
      <c r="AX68" s="66">
        <f t="shared" si="12"/>
        <v>0</v>
      </c>
      <c r="AY68" s="66"/>
      <c r="AZ68" s="66">
        <f>'[1]Univ Comm Fund'!P169</f>
        <v>60000000</v>
      </c>
      <c r="BA68" s="66">
        <f>'[1]UNIV. LIB.2019'!P74</f>
        <v>60000000</v>
      </c>
      <c r="BB68" s="66">
        <f t="shared" si="0"/>
        <v>0</v>
      </c>
      <c r="BC68" s="106"/>
      <c r="BD68" s="66">
        <v>100000000</v>
      </c>
      <c r="BE68" s="66">
        <f>'[1]UNIV. LIB.2019'!Q74</f>
        <v>85000000</v>
      </c>
      <c r="BF68" s="66">
        <f t="shared" si="13"/>
        <v>15000000</v>
      </c>
      <c r="BG68" s="106"/>
      <c r="BH68" s="66">
        <v>50000000</v>
      </c>
      <c r="BI68" s="66">
        <f>'[1]UNIV. LIB.2019'!R74</f>
        <v>42500000</v>
      </c>
      <c r="BJ68" s="66">
        <f t="shared" si="14"/>
        <v>7500000</v>
      </c>
      <c r="BL68" s="83">
        <f>'[1]Univ Comm Fund'!S169</f>
        <v>34000000</v>
      </c>
      <c r="BM68" s="83">
        <f>'[1]UNIV. LIB.2019'!S74</f>
        <v>28900000</v>
      </c>
      <c r="BN68" s="66">
        <f t="shared" si="15"/>
        <v>5100000</v>
      </c>
      <c r="BP68" s="83">
        <f>'[1]Univ Comm Fund'!T169</f>
        <v>30000000</v>
      </c>
      <c r="BQ68" s="83">
        <f>'[1]UNIV. LIB.2019'!T74</f>
        <v>0</v>
      </c>
      <c r="BR68" s="66">
        <f t="shared" si="16"/>
        <v>30000000</v>
      </c>
      <c r="BT68" s="83">
        <f>'[1]Univ Comm Fund'!U169</f>
        <v>20000000</v>
      </c>
      <c r="BU68" s="83">
        <f>'[1]UNIV. LIB.2019'!U74</f>
        <v>0</v>
      </c>
      <c r="BV68" s="66">
        <f t="shared" si="17"/>
        <v>20000000</v>
      </c>
      <c r="BX68" s="66">
        <f t="shared" si="18"/>
        <v>294000000</v>
      </c>
      <c r="BY68" s="66">
        <f t="shared" si="18"/>
        <v>216400000</v>
      </c>
      <c r="BZ68" s="66">
        <f t="shared" si="19"/>
        <v>77600000</v>
      </c>
      <c r="CA68" s="193"/>
      <c r="CB68" s="9"/>
      <c r="CC68" s="193"/>
      <c r="CD68" s="193"/>
      <c r="CE68" s="193"/>
      <c r="CF68" s="193"/>
      <c r="CG68" s="193"/>
      <c r="CH68" s="193"/>
      <c r="CI68" s="193"/>
      <c r="CJ68" s="193"/>
      <c r="CK68" s="193"/>
      <c r="CL68" s="193"/>
      <c r="CM68" s="193"/>
      <c r="CN68" s="193"/>
      <c r="CO68" s="193"/>
      <c r="CP68" s="193"/>
      <c r="CQ68" s="193"/>
      <c r="CR68" s="166"/>
      <c r="CS68" s="166"/>
      <c r="CT68" s="166"/>
      <c r="CU68" s="166"/>
      <c r="CV68" s="106"/>
      <c r="CW68" s="106"/>
      <c r="CX68" s="106"/>
      <c r="CY68" s="106"/>
      <c r="CZ68" s="106"/>
      <c r="DA68" s="106"/>
      <c r="DB68" s="106"/>
      <c r="DC68" s="106"/>
      <c r="DD68" s="106"/>
      <c r="DE68" s="106"/>
      <c r="DF68" s="106"/>
      <c r="DG68" s="106"/>
      <c r="DH68" s="106"/>
      <c r="DI68" s="106"/>
      <c r="DJ68" s="106"/>
      <c r="DK68" s="106"/>
      <c r="DL68" s="106"/>
      <c r="DM68" s="106"/>
      <c r="DN68" s="106"/>
      <c r="DO68" s="106"/>
      <c r="DP68" s="106"/>
      <c r="DQ68" s="106"/>
      <c r="DR68" s="106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16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V68" s="4"/>
      <c r="FW68" s="4"/>
      <c r="FX68" s="4"/>
      <c r="FY68" s="4"/>
      <c r="FZ68" s="4"/>
      <c r="GA68" s="4"/>
      <c r="GB68" s="4"/>
      <c r="GC68" s="4"/>
      <c r="GD68" s="4"/>
      <c r="GE68" s="4"/>
      <c r="GF68" s="4"/>
      <c r="GG68" s="4"/>
      <c r="GH68" s="4"/>
      <c r="GI68" s="4"/>
      <c r="GJ68" s="4"/>
      <c r="GK68" s="4"/>
      <c r="GL68" s="4"/>
      <c r="GM68" s="4"/>
      <c r="GN68" s="4"/>
      <c r="GO68" s="4"/>
      <c r="GP68" s="4"/>
      <c r="GQ68" s="4"/>
      <c r="GR68" s="4"/>
      <c r="GS68" s="4"/>
      <c r="GT68" s="4"/>
      <c r="GU68" s="4"/>
      <c r="GV68" s="4"/>
      <c r="GW68" s="4"/>
      <c r="GX68" s="4"/>
      <c r="GY68" s="4"/>
      <c r="GZ68" s="4"/>
      <c r="HA68" s="4"/>
      <c r="HB68" s="4"/>
      <c r="HC68" s="4"/>
      <c r="HD68" s="4"/>
      <c r="HE68" s="4"/>
      <c r="HF68" s="4"/>
      <c r="HG68" s="4"/>
      <c r="HH68" s="4"/>
      <c r="HI68" s="4"/>
      <c r="HJ68" s="4"/>
      <c r="HK68" s="4"/>
      <c r="HL68" s="4"/>
      <c r="HM68" s="162"/>
    </row>
    <row r="69" spans="1:221" x14ac:dyDescent="0.25">
      <c r="A69" s="164">
        <v>62</v>
      </c>
      <c r="B69" s="192" t="s">
        <v>128</v>
      </c>
      <c r="C69" s="192"/>
      <c r="D69" s="110">
        <f>'[1]Univ Comm Fund'!D170</f>
        <v>0</v>
      </c>
      <c r="E69" s="110">
        <f>'[1]UNIV. LIB.2019'!D75</f>
        <v>0</v>
      </c>
      <c r="F69" s="66">
        <f t="shared" si="1"/>
        <v>0</v>
      </c>
      <c r="G69" s="110"/>
      <c r="H69" s="110">
        <f>'[1]Univ Comm Fund'!E170</f>
        <v>0</v>
      </c>
      <c r="I69" s="110">
        <f>'[1]UNIV. LIB.2019'!E75</f>
        <v>0</v>
      </c>
      <c r="J69" s="11">
        <f t="shared" si="2"/>
        <v>0</v>
      </c>
      <c r="K69" s="110"/>
      <c r="L69" s="110">
        <f>'[1]Univ Comm Fund'!F170</f>
        <v>0</v>
      </c>
      <c r="M69" s="110">
        <f>'[1]UNIV. LIB.2019'!F75</f>
        <v>0</v>
      </c>
      <c r="N69" s="66">
        <f t="shared" si="3"/>
        <v>0</v>
      </c>
      <c r="O69" s="110"/>
      <c r="P69" s="110">
        <f>'[1]Univ Comm Fund'!G170</f>
        <v>0</v>
      </c>
      <c r="Q69" s="110">
        <f>'[1]UNIV. LIB.2019'!G75</f>
        <v>0</v>
      </c>
      <c r="R69" s="66">
        <f t="shared" si="4"/>
        <v>0</v>
      </c>
      <c r="S69" s="110"/>
      <c r="T69" s="110">
        <f>'[1]Univ Comm Fund'!H170</f>
        <v>0</v>
      </c>
      <c r="U69" s="110">
        <f>'[1]UNIV. LIB.2019'!H75</f>
        <v>0</v>
      </c>
      <c r="V69" s="66">
        <f t="shared" si="5"/>
        <v>0</v>
      </c>
      <c r="W69" s="110"/>
      <c r="X69" s="110">
        <f>'[1]Univ Comm Fund'!I170</f>
        <v>0</v>
      </c>
      <c r="Y69" s="110">
        <f>'[1]UNIV. LIB.2019'!I75</f>
        <v>0</v>
      </c>
      <c r="Z69" s="66">
        <f t="shared" si="6"/>
        <v>0</v>
      </c>
      <c r="AA69" s="110"/>
      <c r="AB69" s="110">
        <f>'[1]Univ Comm Fund'!J170</f>
        <v>0</v>
      </c>
      <c r="AC69" s="110">
        <f>'[1]UNIV. LIB.2019'!J75</f>
        <v>0</v>
      </c>
      <c r="AD69" s="66">
        <f t="shared" si="7"/>
        <v>0</v>
      </c>
      <c r="AE69" s="110"/>
      <c r="AF69" s="110">
        <f>'[1]Univ Comm Fund'!K170</f>
        <v>0</v>
      </c>
      <c r="AG69" s="110">
        <f>'[1]UNIV. LIB.2019'!K75</f>
        <v>0</v>
      </c>
      <c r="AH69" s="66">
        <f t="shared" si="8"/>
        <v>0</v>
      </c>
      <c r="AI69" s="110"/>
      <c r="AJ69" s="110">
        <f>'[1]Univ Comm Fund'!L170</f>
        <v>0</v>
      </c>
      <c r="AK69" s="110">
        <f>'[1]UNIV. LIB.2019'!L75</f>
        <v>0</v>
      </c>
      <c r="AL69" s="88">
        <f t="shared" si="9"/>
        <v>0</v>
      </c>
      <c r="AM69" s="110"/>
      <c r="AN69" s="110">
        <f>'[1]Univ Comm Fund'!M170</f>
        <v>0</v>
      </c>
      <c r="AO69" s="110">
        <f>'[1]UNIV. LIB.2019'!M75</f>
        <v>0</v>
      </c>
      <c r="AP69" s="66">
        <f t="shared" si="10"/>
        <v>0</v>
      </c>
      <c r="AQ69" s="110"/>
      <c r="AR69" s="110">
        <f>'[1]Univ Comm Fund'!N170</f>
        <v>0</v>
      </c>
      <c r="AS69" s="110">
        <f>'[1]UNIV. LIB.2019'!N75</f>
        <v>0</v>
      </c>
      <c r="AT69" s="66">
        <f t="shared" si="11"/>
        <v>0</v>
      </c>
      <c r="AU69" s="110"/>
      <c r="AV69" s="110">
        <f>'[1]Univ Comm Fund'!O170</f>
        <v>0</v>
      </c>
      <c r="AW69" s="66">
        <f>'[1]UNIV. LIB.2019'!O75</f>
        <v>0</v>
      </c>
      <c r="AX69" s="66">
        <f t="shared" si="12"/>
        <v>0</v>
      </c>
      <c r="AY69" s="110"/>
      <c r="AZ69" s="66">
        <f>'[1]Univ Comm Fund'!P170</f>
        <v>60000000</v>
      </c>
      <c r="BA69" s="66">
        <f>'[1]UNIV. LIB.2019'!P75</f>
        <v>60000000</v>
      </c>
      <c r="BB69" s="66">
        <f t="shared" si="0"/>
        <v>0</v>
      </c>
      <c r="BC69" s="106"/>
      <c r="BD69" s="66">
        <v>100000000</v>
      </c>
      <c r="BE69" s="66">
        <f>'[1]UNIV. LIB.2019'!Q75</f>
        <v>100000000</v>
      </c>
      <c r="BF69" s="66">
        <f t="shared" si="13"/>
        <v>0</v>
      </c>
      <c r="BG69" s="106"/>
      <c r="BH69" s="66">
        <v>50000000</v>
      </c>
      <c r="BI69" s="66">
        <f>'[1]UNIV. LIB.2019'!R75</f>
        <v>42500000</v>
      </c>
      <c r="BJ69" s="66">
        <f t="shared" si="14"/>
        <v>7500000</v>
      </c>
      <c r="BL69" s="83">
        <f>'[1]Univ Comm Fund'!S170</f>
        <v>34000000</v>
      </c>
      <c r="BM69" s="83">
        <f>'[1]UNIV. LIB.2019'!S75</f>
        <v>28900000</v>
      </c>
      <c r="BN69" s="66">
        <f t="shared" si="15"/>
        <v>5100000</v>
      </c>
      <c r="BP69" s="83">
        <f>'[1]Univ Comm Fund'!T170</f>
        <v>30000000</v>
      </c>
      <c r="BQ69" s="83">
        <f>'[1]UNIV. LIB.2019'!T75</f>
        <v>0</v>
      </c>
      <c r="BR69" s="66">
        <f t="shared" si="16"/>
        <v>30000000</v>
      </c>
      <c r="BT69" s="83">
        <f>'[1]Univ Comm Fund'!U170</f>
        <v>20000000</v>
      </c>
      <c r="BU69" s="83">
        <f>'[1]UNIV. LIB.2019'!U75</f>
        <v>0</v>
      </c>
      <c r="BV69" s="66">
        <f t="shared" si="17"/>
        <v>20000000</v>
      </c>
      <c r="BX69" s="66">
        <f t="shared" si="18"/>
        <v>294000000</v>
      </c>
      <c r="BY69" s="66">
        <f t="shared" si="18"/>
        <v>231400000</v>
      </c>
      <c r="BZ69" s="66">
        <f t="shared" si="19"/>
        <v>62600000</v>
      </c>
      <c r="CA69" s="106"/>
      <c r="CB69" s="9"/>
      <c r="CC69" s="194"/>
      <c r="CD69" s="194"/>
      <c r="CE69" s="194"/>
      <c r="CF69" s="106"/>
      <c r="CG69" s="106"/>
      <c r="CH69" s="106"/>
      <c r="CI69" s="106"/>
      <c r="CJ69" s="195"/>
      <c r="CK69" s="195"/>
      <c r="CL69" s="195"/>
      <c r="CM69" s="195"/>
      <c r="CN69" s="195"/>
      <c r="CO69" s="195"/>
      <c r="CP69" s="195"/>
      <c r="CQ69" s="195"/>
      <c r="CR69" s="166"/>
      <c r="CS69" s="166"/>
      <c r="CT69" s="166"/>
      <c r="CU69" s="166"/>
      <c r="CV69" s="106"/>
      <c r="CW69" s="106"/>
      <c r="CX69" s="106"/>
      <c r="CY69" s="106"/>
      <c r="CZ69" s="106"/>
      <c r="DA69" s="106"/>
      <c r="DB69" s="106"/>
      <c r="DC69" s="106"/>
      <c r="DD69" s="106"/>
      <c r="DE69" s="106"/>
      <c r="DF69" s="106"/>
      <c r="DG69" s="106"/>
      <c r="DH69" s="106"/>
      <c r="DI69" s="106"/>
      <c r="DJ69" s="106"/>
      <c r="DK69" s="106"/>
      <c r="DL69" s="106"/>
      <c r="DM69" s="106"/>
      <c r="DN69" s="106"/>
      <c r="DO69" s="106"/>
      <c r="DP69" s="106"/>
      <c r="DQ69" s="106"/>
      <c r="DR69" s="106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16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/>
      <c r="FX69" s="4"/>
      <c r="FY69" s="4"/>
      <c r="FZ69" s="4"/>
      <c r="GA69" s="4"/>
      <c r="GB69" s="4"/>
      <c r="GC69" s="4"/>
      <c r="GD69" s="4"/>
      <c r="GE69" s="4"/>
      <c r="GF69" s="4"/>
      <c r="GG69" s="4"/>
      <c r="GH69" s="4"/>
      <c r="GI69" s="4"/>
      <c r="GJ69" s="4"/>
      <c r="GK69" s="4"/>
      <c r="GL69" s="4"/>
      <c r="GM69" s="4"/>
      <c r="GN69" s="4"/>
      <c r="GO69" s="4"/>
      <c r="GP69" s="4"/>
      <c r="GQ69" s="4"/>
      <c r="GR69" s="4"/>
      <c r="GS69" s="4"/>
      <c r="GT69" s="4"/>
      <c r="GU69" s="4"/>
      <c r="GV69" s="4"/>
      <c r="GW69" s="4"/>
      <c r="GX69" s="4"/>
      <c r="GY69" s="4"/>
      <c r="GZ69" s="4"/>
      <c r="HA69" s="4"/>
      <c r="HB69" s="4"/>
      <c r="HC69" s="4"/>
      <c r="HD69" s="4"/>
      <c r="HE69" s="4"/>
      <c r="HF69" s="4"/>
      <c r="HG69" s="4"/>
      <c r="HH69" s="4"/>
      <c r="HI69" s="4"/>
      <c r="HJ69" s="4"/>
      <c r="HK69" s="4"/>
      <c r="HL69" s="4"/>
      <c r="HM69" s="162"/>
    </row>
    <row r="70" spans="1:221" x14ac:dyDescent="0.25">
      <c r="A70" s="164">
        <v>63</v>
      </c>
      <c r="B70" s="192" t="s">
        <v>129</v>
      </c>
      <c r="C70" s="192"/>
      <c r="D70" s="110">
        <f>'[1]Univ Comm Fund'!D171</f>
        <v>0</v>
      </c>
      <c r="E70" s="110">
        <f>'[1]UNIV. LIB.2019'!D76</f>
        <v>0</v>
      </c>
      <c r="F70" s="66">
        <f t="shared" si="1"/>
        <v>0</v>
      </c>
      <c r="G70" s="110"/>
      <c r="H70" s="110">
        <f>'[1]Univ Comm Fund'!E171</f>
        <v>0</v>
      </c>
      <c r="I70" s="110">
        <f>'[1]UNIV. LIB.2019'!E76</f>
        <v>0</v>
      </c>
      <c r="J70" s="11">
        <f t="shared" si="2"/>
        <v>0</v>
      </c>
      <c r="K70" s="110"/>
      <c r="L70" s="110">
        <f>'[1]Univ Comm Fund'!F171</f>
        <v>0</v>
      </c>
      <c r="M70" s="110">
        <f>'[1]UNIV. LIB.2019'!F76</f>
        <v>0</v>
      </c>
      <c r="N70" s="66">
        <f t="shared" si="3"/>
        <v>0</v>
      </c>
      <c r="O70" s="110"/>
      <c r="P70" s="110">
        <f>'[1]Univ Comm Fund'!G171</f>
        <v>0</v>
      </c>
      <c r="Q70" s="110">
        <f>'[1]UNIV. LIB.2019'!G76</f>
        <v>0</v>
      </c>
      <c r="R70" s="66">
        <f t="shared" si="4"/>
        <v>0</v>
      </c>
      <c r="S70" s="110"/>
      <c r="T70" s="110">
        <f>'[1]Univ Comm Fund'!H171</f>
        <v>0</v>
      </c>
      <c r="U70" s="110">
        <f>'[1]UNIV. LIB.2019'!H76</f>
        <v>0</v>
      </c>
      <c r="V70" s="66">
        <f t="shared" si="5"/>
        <v>0</v>
      </c>
      <c r="W70" s="110"/>
      <c r="X70" s="110">
        <f>'[1]Univ Comm Fund'!I171</f>
        <v>0</v>
      </c>
      <c r="Y70" s="110">
        <f>'[1]UNIV. LIB.2019'!I76</f>
        <v>0</v>
      </c>
      <c r="Z70" s="66">
        <f t="shared" si="6"/>
        <v>0</v>
      </c>
      <c r="AA70" s="110"/>
      <c r="AB70" s="110">
        <f>'[1]Univ Comm Fund'!J171</f>
        <v>0</v>
      </c>
      <c r="AC70" s="110">
        <f>'[1]UNIV. LIB.2019'!J76</f>
        <v>0</v>
      </c>
      <c r="AD70" s="66">
        <f t="shared" si="7"/>
        <v>0</v>
      </c>
      <c r="AE70" s="110"/>
      <c r="AF70" s="110">
        <f>'[1]Univ Comm Fund'!K171</f>
        <v>0</v>
      </c>
      <c r="AG70" s="110">
        <f>'[1]UNIV. LIB.2019'!K76</f>
        <v>0</v>
      </c>
      <c r="AH70" s="66">
        <f t="shared" si="8"/>
        <v>0</v>
      </c>
      <c r="AI70" s="110"/>
      <c r="AJ70" s="110">
        <f>'[1]Univ Comm Fund'!L171</f>
        <v>0</v>
      </c>
      <c r="AK70" s="110">
        <f>'[1]UNIV. LIB.2019'!L76</f>
        <v>0</v>
      </c>
      <c r="AL70" s="88">
        <f t="shared" si="9"/>
        <v>0</v>
      </c>
      <c r="AM70" s="110"/>
      <c r="AN70" s="110">
        <f>'[1]Univ Comm Fund'!M171</f>
        <v>0</v>
      </c>
      <c r="AO70" s="110">
        <f>'[1]UNIV. LIB.2019'!M76</f>
        <v>0</v>
      </c>
      <c r="AP70" s="66">
        <f t="shared" si="10"/>
        <v>0</v>
      </c>
      <c r="AQ70" s="110"/>
      <c r="AR70" s="110">
        <f>'[1]Univ Comm Fund'!N171</f>
        <v>0</v>
      </c>
      <c r="AS70" s="110">
        <f>'[1]UNIV. LIB.2019'!N76</f>
        <v>0</v>
      </c>
      <c r="AT70" s="66">
        <f t="shared" si="11"/>
        <v>0</v>
      </c>
      <c r="AU70" s="110"/>
      <c r="AV70" s="110">
        <f>'[1]Univ Comm Fund'!O171</f>
        <v>6756176.5700000003</v>
      </c>
      <c r="AW70" s="110">
        <f>'[1]UNIV. LIB.2019'!O76</f>
        <v>6756176.5600000005</v>
      </c>
      <c r="AX70" s="66">
        <f t="shared" si="12"/>
        <v>9.9999997764825821E-3</v>
      </c>
      <c r="AY70" s="110"/>
      <c r="AZ70" s="66">
        <f>'[1]Univ Comm Fund'!P171</f>
        <v>60000000</v>
      </c>
      <c r="BA70" s="66">
        <f>'[1]UNIV. LIB.2019'!P76</f>
        <v>60000000</v>
      </c>
      <c r="BB70" s="66">
        <f t="shared" si="0"/>
        <v>0</v>
      </c>
      <c r="BC70" s="106"/>
      <c r="BD70" s="66">
        <v>100000000</v>
      </c>
      <c r="BE70" s="66">
        <f>'[1]UNIV. LIB.2019'!Q76</f>
        <v>85000000</v>
      </c>
      <c r="BF70" s="66">
        <f t="shared" si="13"/>
        <v>15000000</v>
      </c>
      <c r="BG70" s="106"/>
      <c r="BH70" s="66">
        <v>50000000</v>
      </c>
      <c r="BI70" s="66">
        <f>'[1]UNIV. LIB.2019'!R76</f>
        <v>50000000</v>
      </c>
      <c r="BJ70" s="66">
        <f t="shared" si="14"/>
        <v>0</v>
      </c>
      <c r="BL70" s="83">
        <f>'[1]Univ Comm Fund'!S171</f>
        <v>34000000</v>
      </c>
      <c r="BM70" s="83">
        <f>'[1]UNIV. LIB.2019'!S76</f>
        <v>0</v>
      </c>
      <c r="BN70" s="66">
        <f t="shared" si="15"/>
        <v>34000000</v>
      </c>
      <c r="BP70" s="83">
        <f>'[1]Univ Comm Fund'!T171</f>
        <v>30000000</v>
      </c>
      <c r="BQ70" s="83">
        <f>'[1]UNIV. LIB.2019'!T76</f>
        <v>0</v>
      </c>
      <c r="BR70" s="66">
        <f t="shared" si="16"/>
        <v>30000000</v>
      </c>
      <c r="BT70" s="83">
        <f>'[1]Univ Comm Fund'!U171</f>
        <v>20000000</v>
      </c>
      <c r="BU70" s="83">
        <f>'[1]UNIV. LIB.2019'!U76</f>
        <v>0</v>
      </c>
      <c r="BV70" s="66">
        <f t="shared" si="17"/>
        <v>20000000</v>
      </c>
      <c r="BX70" s="66">
        <f t="shared" si="18"/>
        <v>300756176.56999999</v>
      </c>
      <c r="BY70" s="66">
        <f t="shared" si="18"/>
        <v>201756176.56</v>
      </c>
      <c r="BZ70" s="66">
        <f t="shared" si="19"/>
        <v>99000000.00999999</v>
      </c>
      <c r="CA70" s="106"/>
      <c r="CB70" s="9"/>
      <c r="CC70" s="6"/>
      <c r="CD70" s="6"/>
      <c r="CE70" s="6"/>
      <c r="CF70" s="4"/>
      <c r="CG70" s="4"/>
      <c r="CH70" s="4"/>
      <c r="CI70" s="4"/>
      <c r="CJ70" s="196"/>
      <c r="CK70" s="196"/>
      <c r="CL70" s="196"/>
      <c r="CM70" s="196"/>
      <c r="CN70" s="196"/>
      <c r="CO70" s="196"/>
      <c r="CP70" s="196"/>
      <c r="CQ70" s="196"/>
      <c r="CR70" s="166"/>
      <c r="CS70" s="166"/>
      <c r="CT70" s="166"/>
      <c r="CU70" s="166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16"/>
      <c r="EX70" s="4"/>
      <c r="EY70" s="4"/>
      <c r="EZ70" s="4"/>
      <c r="FA70" s="4"/>
      <c r="FB70" s="4"/>
      <c r="FC70" s="4"/>
      <c r="FD70" s="4"/>
      <c r="FE70" s="4"/>
      <c r="FF70" s="4"/>
      <c r="FG70" s="4"/>
      <c r="FH70" s="4"/>
      <c r="FI70" s="4"/>
      <c r="FJ70" s="4"/>
      <c r="FK70" s="4"/>
      <c r="FL70" s="4"/>
      <c r="FM70" s="4"/>
      <c r="FN70" s="4"/>
      <c r="FO70" s="4"/>
      <c r="FP70" s="4"/>
      <c r="FQ70" s="4"/>
      <c r="FR70" s="4"/>
      <c r="FS70" s="4"/>
      <c r="FT70" s="4"/>
      <c r="FU70" s="4"/>
      <c r="FV70" s="4"/>
      <c r="FW70" s="4"/>
      <c r="FX70" s="4"/>
      <c r="FY70" s="4"/>
      <c r="FZ70" s="4"/>
      <c r="GA70" s="4"/>
      <c r="GB70" s="4"/>
      <c r="GC70" s="4"/>
      <c r="GD70" s="4"/>
      <c r="GE70" s="4"/>
      <c r="GF70" s="4"/>
      <c r="GG70" s="4"/>
      <c r="GH70" s="4"/>
      <c r="GI70" s="4"/>
      <c r="GJ70" s="4"/>
      <c r="GK70" s="4"/>
      <c r="GL70" s="4"/>
      <c r="GM70" s="4"/>
      <c r="GN70" s="4"/>
      <c r="GO70" s="4"/>
      <c r="GP70" s="4"/>
      <c r="GQ70" s="4"/>
      <c r="GR70" s="4"/>
      <c r="GS70" s="4"/>
      <c r="GT70" s="4"/>
      <c r="GU70" s="4"/>
      <c r="GV70" s="4"/>
      <c r="GW70" s="4"/>
      <c r="GX70" s="4"/>
      <c r="GY70" s="4"/>
      <c r="GZ70" s="4"/>
      <c r="HA70" s="4"/>
      <c r="HB70" s="4"/>
      <c r="HC70" s="4"/>
      <c r="HD70" s="4"/>
      <c r="HE70" s="4"/>
      <c r="HF70" s="4"/>
      <c r="HG70" s="4"/>
      <c r="HH70" s="4"/>
      <c r="HI70" s="4"/>
      <c r="HJ70" s="4"/>
      <c r="HK70" s="4"/>
      <c r="HL70" s="4"/>
      <c r="HM70" s="162"/>
    </row>
    <row r="71" spans="1:221" s="4" customFormat="1" x14ac:dyDescent="0.25">
      <c r="A71" s="164">
        <v>64</v>
      </c>
      <c r="B71" s="192" t="s">
        <v>130</v>
      </c>
      <c r="C71" s="192"/>
      <c r="D71" s="66">
        <f>'[1]Univ Comm Fund'!D172</f>
        <v>0</v>
      </c>
      <c r="E71" s="66">
        <f>'[1]UNIV. LIB.2019'!D77</f>
        <v>0</v>
      </c>
      <c r="F71" s="66">
        <f t="shared" si="1"/>
        <v>0</v>
      </c>
      <c r="G71" s="66"/>
      <c r="H71" s="66">
        <f>'[1]Univ Comm Fund'!E172</f>
        <v>0</v>
      </c>
      <c r="I71" s="66">
        <f>'[1]UNIV. LIB.2019'!E77</f>
        <v>0</v>
      </c>
      <c r="J71" s="11">
        <f t="shared" si="2"/>
        <v>0</v>
      </c>
      <c r="K71" s="66"/>
      <c r="L71" s="66">
        <f>'[1]Univ Comm Fund'!F172</f>
        <v>0</v>
      </c>
      <c r="M71" s="66">
        <f>'[1]UNIV. LIB.2019'!F77</f>
        <v>0</v>
      </c>
      <c r="N71" s="66">
        <f t="shared" si="3"/>
        <v>0</v>
      </c>
      <c r="O71" s="66"/>
      <c r="P71" s="66">
        <f>'[1]Univ Comm Fund'!G172</f>
        <v>0</v>
      </c>
      <c r="Q71" s="66">
        <f>'[1]UNIV. LIB.2019'!G77</f>
        <v>0</v>
      </c>
      <c r="R71" s="66">
        <f t="shared" si="4"/>
        <v>0</v>
      </c>
      <c r="S71" s="66"/>
      <c r="T71" s="66">
        <f>'[1]Univ Comm Fund'!H172</f>
        <v>0</v>
      </c>
      <c r="U71" s="66">
        <f>'[1]UNIV. LIB.2019'!H77</f>
        <v>0</v>
      </c>
      <c r="V71" s="66">
        <f t="shared" si="5"/>
        <v>0</v>
      </c>
      <c r="W71" s="66"/>
      <c r="X71" s="66">
        <f>'[1]Univ Comm Fund'!I172</f>
        <v>0</v>
      </c>
      <c r="Y71" s="66">
        <f>'[1]UNIV. LIB.2019'!I77</f>
        <v>0</v>
      </c>
      <c r="Z71" s="66">
        <f t="shared" si="6"/>
        <v>0</v>
      </c>
      <c r="AA71" s="66"/>
      <c r="AB71" s="66">
        <f>'[1]Univ Comm Fund'!J172</f>
        <v>0</v>
      </c>
      <c r="AC71" s="66">
        <f>'[1]UNIV. LIB.2019'!J77</f>
        <v>0</v>
      </c>
      <c r="AD71" s="66">
        <f t="shared" si="7"/>
        <v>0</v>
      </c>
      <c r="AE71" s="66"/>
      <c r="AF71" s="66">
        <f>'[1]Univ Comm Fund'!K172</f>
        <v>0</v>
      </c>
      <c r="AG71" s="66">
        <f>'[1]UNIV. LIB.2019'!K77</f>
        <v>0</v>
      </c>
      <c r="AH71" s="66">
        <f t="shared" si="8"/>
        <v>0</v>
      </c>
      <c r="AI71" s="66"/>
      <c r="AJ71" s="66">
        <f>'[1]Univ Comm Fund'!L172</f>
        <v>0</v>
      </c>
      <c r="AK71" s="66">
        <f>'[1]UNIV. LIB.2019'!L77</f>
        <v>0</v>
      </c>
      <c r="AL71" s="88">
        <f t="shared" si="9"/>
        <v>0</v>
      </c>
      <c r="AM71" s="66"/>
      <c r="AN71" s="66">
        <f>'[1]Univ Comm Fund'!M172</f>
        <v>0</v>
      </c>
      <c r="AO71" s="66">
        <f>'[1]UNIV. LIB.2019'!M77</f>
        <v>0</v>
      </c>
      <c r="AP71" s="66">
        <f t="shared" si="10"/>
        <v>0</v>
      </c>
      <c r="AQ71" s="66"/>
      <c r="AR71" s="66">
        <f>'[1]Univ Comm Fund'!N172</f>
        <v>0</v>
      </c>
      <c r="AS71" s="66">
        <f>'[1]UNIV. LIB.2019'!N77</f>
        <v>0</v>
      </c>
      <c r="AT71" s="66">
        <f t="shared" si="11"/>
        <v>0</v>
      </c>
      <c r="AU71" s="66"/>
      <c r="AV71" s="66">
        <f>'[1]Univ Comm Fund'!O172</f>
        <v>0</v>
      </c>
      <c r="AW71" s="66">
        <f>'[1]UNIV. LIB.2019'!O77</f>
        <v>0</v>
      </c>
      <c r="AX71" s="66">
        <f t="shared" si="12"/>
        <v>0</v>
      </c>
      <c r="AY71" s="66"/>
      <c r="AZ71" s="66">
        <f>'[1]Univ Comm Fund'!P172</f>
        <v>60000000</v>
      </c>
      <c r="BA71" s="66">
        <f>'[1]UNIV. LIB.2019'!P77</f>
        <v>60000000</v>
      </c>
      <c r="BB71" s="66">
        <f t="shared" ref="BB71:BB82" si="20">AZ71-BA71</f>
        <v>0</v>
      </c>
      <c r="BC71" s="106"/>
      <c r="BD71" s="66">
        <v>100000000</v>
      </c>
      <c r="BE71" s="66">
        <f>'[1]UNIV. LIB.2019'!Q77</f>
        <v>100000000</v>
      </c>
      <c r="BF71" s="66">
        <f t="shared" si="13"/>
        <v>0</v>
      </c>
      <c r="BG71" s="106"/>
      <c r="BH71" s="66">
        <v>50000000</v>
      </c>
      <c r="BI71" s="66">
        <f>'[1]UNIV. LIB.2019'!R77</f>
        <v>50000000</v>
      </c>
      <c r="BJ71" s="66">
        <f t="shared" si="14"/>
        <v>0</v>
      </c>
      <c r="BL71" s="66">
        <f>'[1]Univ Comm Fund'!S172</f>
        <v>34000000</v>
      </c>
      <c r="BM71" s="66">
        <f>'[1]UNIV. LIB.2019'!S77</f>
        <v>0</v>
      </c>
      <c r="BN71" s="66">
        <f t="shared" si="15"/>
        <v>34000000</v>
      </c>
      <c r="BP71" s="66">
        <f>'[1]Univ Comm Fund'!T172</f>
        <v>30000000</v>
      </c>
      <c r="BQ71" s="66">
        <f>'[1]UNIV. LIB.2019'!T77</f>
        <v>0</v>
      </c>
      <c r="BR71" s="66">
        <f t="shared" si="16"/>
        <v>30000000</v>
      </c>
      <c r="BT71" s="66">
        <f>'[1]Univ Comm Fund'!U172</f>
        <v>20000000</v>
      </c>
      <c r="BU71" s="66">
        <f>'[1]UNIV. LIB.2019'!U77</f>
        <v>0</v>
      </c>
      <c r="BV71" s="66">
        <f t="shared" si="17"/>
        <v>20000000</v>
      </c>
      <c r="BX71" s="66">
        <f t="shared" si="18"/>
        <v>294000000</v>
      </c>
      <c r="BY71" s="66">
        <f t="shared" si="18"/>
        <v>210000000</v>
      </c>
      <c r="BZ71" s="66">
        <f t="shared" si="19"/>
        <v>84000000</v>
      </c>
      <c r="CA71" s="106"/>
      <c r="CB71" s="106"/>
      <c r="CC71" s="6"/>
      <c r="CD71" s="6"/>
      <c r="CE71" s="6"/>
      <c r="CR71" s="166"/>
      <c r="CS71" s="166"/>
      <c r="CT71" s="166"/>
      <c r="CU71" s="166"/>
      <c r="EW71" s="16"/>
      <c r="HM71" s="162"/>
    </row>
    <row r="72" spans="1:221" x14ac:dyDescent="0.25">
      <c r="A72" s="164">
        <v>65</v>
      </c>
      <c r="B72" s="192" t="s">
        <v>131</v>
      </c>
      <c r="C72" s="192"/>
      <c r="D72" s="66">
        <f>'[1]Univ Comm Fund'!D173</f>
        <v>0</v>
      </c>
      <c r="E72" s="66">
        <f>'[1]UNIV. LIB.2019'!D78</f>
        <v>0</v>
      </c>
      <c r="F72" s="66">
        <f t="shared" si="1"/>
        <v>0</v>
      </c>
      <c r="G72" s="66"/>
      <c r="H72" s="66"/>
      <c r="I72" s="66">
        <f>'[1]UNIV. LIB.2019'!E78</f>
        <v>0</v>
      </c>
      <c r="J72" s="11">
        <f t="shared" si="2"/>
        <v>0</v>
      </c>
      <c r="K72" s="4"/>
      <c r="L72" s="66">
        <f>'[1]Univ Comm Fund'!F173</f>
        <v>0</v>
      </c>
      <c r="M72" s="66">
        <f>'[1]UNIV. LIB.2019'!F78</f>
        <v>0</v>
      </c>
      <c r="N72" s="66">
        <f t="shared" si="3"/>
        <v>0</v>
      </c>
      <c r="O72" s="66"/>
      <c r="P72" s="66">
        <f>'[1]Univ Comm Fund'!G173</f>
        <v>0</v>
      </c>
      <c r="Q72" s="66">
        <f>'[1]UNIV. LIB.2019'!G78</f>
        <v>0</v>
      </c>
      <c r="R72" s="66">
        <f t="shared" si="4"/>
        <v>0</v>
      </c>
      <c r="S72" s="66"/>
      <c r="T72" s="66">
        <f>'[1]Univ Comm Fund'!H173</f>
        <v>0</v>
      </c>
      <c r="U72" s="66">
        <f>'[1]UNIV. LIB.2019'!H78</f>
        <v>0</v>
      </c>
      <c r="V72" s="66">
        <f t="shared" si="5"/>
        <v>0</v>
      </c>
      <c r="W72" s="66"/>
      <c r="X72" s="66">
        <f>'[1]Univ Comm Fund'!I173</f>
        <v>0</v>
      </c>
      <c r="Y72" s="66">
        <f>'[1]UNIV. LIB.2019'!I78</f>
        <v>0</v>
      </c>
      <c r="Z72" s="66"/>
      <c r="AA72" s="66"/>
      <c r="AB72" s="66">
        <f>'[1]Univ Comm Fund'!J173</f>
        <v>0</v>
      </c>
      <c r="AC72" s="66">
        <f>'[1]UNIV. LIB.2019'!J78</f>
        <v>0</v>
      </c>
      <c r="AD72" s="66"/>
      <c r="AE72" s="66"/>
      <c r="AF72" s="66">
        <f>'[1]Univ Comm Fund'!K173</f>
        <v>0</v>
      </c>
      <c r="AG72" s="66">
        <f>'[1]UNIV. LIB.2019'!K78</f>
        <v>0</v>
      </c>
      <c r="AH72" s="66"/>
      <c r="AI72" s="66"/>
      <c r="AJ72" s="88">
        <f>'[1]Univ Comm Fund'!L173</f>
        <v>0</v>
      </c>
      <c r="AK72" s="88">
        <f>'[1]UNIV. LIB.2019'!L78</f>
        <v>0</v>
      </c>
      <c r="AL72" s="88"/>
      <c r="AM72" s="88"/>
      <c r="AN72" s="66">
        <f>'[1]Univ Comm Fund'!M173</f>
        <v>0</v>
      </c>
      <c r="AO72" s="66">
        <f>'[1]UNIV. LIB.2019'!M78</f>
        <v>0</v>
      </c>
      <c r="AP72" s="66">
        <f t="shared" si="10"/>
        <v>0</v>
      </c>
      <c r="AQ72" s="66"/>
      <c r="AR72" s="66">
        <f>'[1]Univ Comm Fund'!N173</f>
        <v>0</v>
      </c>
      <c r="AS72" s="66">
        <f>'[1]UNIV. LIB.2019'!N78</f>
        <v>0</v>
      </c>
      <c r="AT72" s="66">
        <f t="shared" si="11"/>
        <v>0</v>
      </c>
      <c r="AU72" s="66"/>
      <c r="AV72" s="66">
        <f>'[1]Univ Comm Fund'!O173</f>
        <v>0</v>
      </c>
      <c r="AW72" s="66">
        <f>'[1]UNIV. LIB.2019'!O78</f>
        <v>0</v>
      </c>
      <c r="AX72" s="66">
        <f t="shared" si="12"/>
        <v>0</v>
      </c>
      <c r="AY72" s="66"/>
      <c r="AZ72" s="66">
        <f>'[1]Univ Comm Fund'!P173</f>
        <v>60000000</v>
      </c>
      <c r="BA72" s="66">
        <f>'[1]UNIV. LIB.2019'!P78</f>
        <v>60000000</v>
      </c>
      <c r="BB72" s="66">
        <f t="shared" si="20"/>
        <v>0</v>
      </c>
      <c r="BC72" s="106"/>
      <c r="BD72" s="66">
        <v>100000000</v>
      </c>
      <c r="BE72" s="66">
        <f>'[1]UNIV. LIB.2019'!Q78</f>
        <v>85000000</v>
      </c>
      <c r="BF72" s="66">
        <f t="shared" ref="BF72:BF83" si="21">BD72-BE72</f>
        <v>15000000</v>
      </c>
      <c r="BG72" s="4"/>
      <c r="BH72" s="66">
        <v>50000000</v>
      </c>
      <c r="BI72" s="66">
        <f>'[1]UNIV. LIB.2019'!R78</f>
        <v>42500000</v>
      </c>
      <c r="BJ72" s="66">
        <f t="shared" ref="BJ72:BJ81" si="22">BH72-BI72</f>
        <v>7500000</v>
      </c>
      <c r="BL72" s="83">
        <f>'[1]Univ Comm Fund'!S173</f>
        <v>34000000</v>
      </c>
      <c r="BM72" s="83">
        <f>'[1]UNIV. LIB.2019'!S78</f>
        <v>28900000</v>
      </c>
      <c r="BN72" s="66">
        <f t="shared" ref="BN72:BN87" si="23">BL72-BM72</f>
        <v>5100000</v>
      </c>
      <c r="BP72" s="83">
        <f>'[1]Univ Comm Fund'!T173</f>
        <v>30000000</v>
      </c>
      <c r="BQ72" s="83">
        <f>'[1]UNIV. LIB.2019'!T78</f>
        <v>0</v>
      </c>
      <c r="BR72" s="66">
        <f t="shared" ref="BR72:BR85" si="24">BP72-BQ72</f>
        <v>30000000</v>
      </c>
      <c r="BT72" s="83">
        <f>'[1]Univ Comm Fund'!U173</f>
        <v>20000000</v>
      </c>
      <c r="BU72" s="83">
        <f>'[1]UNIV. LIB.2019'!U78</f>
        <v>0</v>
      </c>
      <c r="BV72" s="66">
        <f t="shared" ref="BV72:BV87" si="25">BT72-BU72</f>
        <v>20000000</v>
      </c>
      <c r="BX72" s="66">
        <f t="shared" ref="BX72:BY86" si="26">D72+H72+L72+P72+T72+X72+AB72+AF72+AJ72+AN72+AR72+AV72+AZ72+BD72+BH72+BL72+BP72+BT72</f>
        <v>294000000</v>
      </c>
      <c r="BY72" s="66">
        <f t="shared" si="26"/>
        <v>216400000</v>
      </c>
      <c r="BZ72" s="66">
        <f t="shared" ref="BZ72:BZ86" si="27">BX72-BY72</f>
        <v>77600000</v>
      </c>
      <c r="CA72" s="106"/>
      <c r="CB72" s="9"/>
      <c r="CC72" s="6"/>
      <c r="CD72" s="6"/>
      <c r="CE72" s="6"/>
      <c r="CF72" s="4"/>
      <c r="CG72" s="4"/>
      <c r="CH72" s="4"/>
      <c r="CI72" s="4"/>
      <c r="CR72" s="166"/>
      <c r="EN72" s="3"/>
      <c r="EO72" s="3"/>
      <c r="EP72" s="3"/>
      <c r="EQ72" s="3"/>
      <c r="EW72" s="10"/>
    </row>
    <row r="73" spans="1:221" x14ac:dyDescent="0.25">
      <c r="A73" s="164">
        <v>66</v>
      </c>
      <c r="B73" s="192" t="s">
        <v>132</v>
      </c>
      <c r="C73" s="192"/>
      <c r="D73" s="66">
        <f>'[1]Univ Comm Fund'!D174</f>
        <v>0</v>
      </c>
      <c r="E73" s="66">
        <f>'[1]UNIV. LIB.2019'!D79</f>
        <v>0</v>
      </c>
      <c r="F73" s="66">
        <f t="shared" si="1"/>
        <v>0</v>
      </c>
      <c r="G73" s="8"/>
      <c r="H73" s="66">
        <f>'[1]Univ Comm Fund'!E174</f>
        <v>0</v>
      </c>
      <c r="I73" s="66">
        <f>'[1]UNIV. LIB.2019'!E79</f>
        <v>0</v>
      </c>
      <c r="J73" s="11">
        <f t="shared" si="2"/>
        <v>0</v>
      </c>
      <c r="L73" s="66">
        <f>'[1]Univ Comm Fund'!F174</f>
        <v>0</v>
      </c>
      <c r="M73" s="66">
        <f>'[1]UNIV. LIB.2019'!F79</f>
        <v>0</v>
      </c>
      <c r="N73" s="66">
        <f t="shared" si="3"/>
        <v>0</v>
      </c>
      <c r="O73" s="8"/>
      <c r="P73" s="66">
        <f>'[1]Univ Comm Fund'!G174</f>
        <v>0</v>
      </c>
      <c r="Q73" s="66">
        <f>'[1]UNIV. LIB.2019'!G79</f>
        <v>0</v>
      </c>
      <c r="R73" s="66">
        <f t="shared" si="4"/>
        <v>0</v>
      </c>
      <c r="S73" s="8"/>
      <c r="T73" s="66">
        <f>'[1]Univ Comm Fund'!H174</f>
        <v>0</v>
      </c>
      <c r="U73" s="66">
        <f>'[1]UNIV. LIB.2019'!H79</f>
        <v>0</v>
      </c>
      <c r="V73" s="66">
        <f t="shared" si="5"/>
        <v>0</v>
      </c>
      <c r="W73" s="8"/>
      <c r="X73" s="66">
        <f>'[1]Univ Comm Fund'!I174</f>
        <v>0</v>
      </c>
      <c r="Y73" s="66">
        <f>'[1]UNIV. LIB.2019'!I79</f>
        <v>0</v>
      </c>
      <c r="Z73" s="8"/>
      <c r="AA73" s="8"/>
      <c r="AB73" s="66">
        <f>'[1]Univ Comm Fund'!J174</f>
        <v>0</v>
      </c>
      <c r="AC73" s="66">
        <f>'[1]UNIV. LIB.2019'!J79</f>
        <v>0</v>
      </c>
      <c r="AD73" s="8"/>
      <c r="AE73" s="8"/>
      <c r="AF73" s="66">
        <f>'[1]Univ Comm Fund'!K174</f>
        <v>0</v>
      </c>
      <c r="AG73" s="66">
        <f>'[1]UNIV. LIB.2019'!K79</f>
        <v>0</v>
      </c>
      <c r="AH73" s="8"/>
      <c r="AI73" s="8"/>
      <c r="AJ73" s="88">
        <f>'[1]Univ Comm Fund'!L174</f>
        <v>0</v>
      </c>
      <c r="AK73" s="88">
        <f>'[1]UNIV. LIB.2019'!L79</f>
        <v>0</v>
      </c>
      <c r="AL73" s="197"/>
      <c r="AM73" s="197"/>
      <c r="AN73" s="66">
        <f>'[1]Univ Comm Fund'!M174</f>
        <v>0</v>
      </c>
      <c r="AO73" s="66">
        <f>'[1]UNIV. LIB.2019'!M79</f>
        <v>0</v>
      </c>
      <c r="AP73" s="66">
        <f t="shared" si="10"/>
        <v>0</v>
      </c>
      <c r="AQ73" s="8"/>
      <c r="AR73" s="66">
        <f>'[1]Univ Comm Fund'!N174</f>
        <v>0</v>
      </c>
      <c r="AS73" s="66">
        <f>'[1]UNIV. LIB.2019'!N79</f>
        <v>0</v>
      </c>
      <c r="AT73" s="66">
        <f t="shared" si="11"/>
        <v>0</v>
      </c>
      <c r="AU73" s="8"/>
      <c r="AV73" s="66">
        <f>'[1]Univ Comm Fund'!O174</f>
        <v>0</v>
      </c>
      <c r="AW73" s="66">
        <f>'[1]UNIV. LIB.2019'!O79</f>
        <v>0</v>
      </c>
      <c r="AX73" s="66">
        <f t="shared" si="12"/>
        <v>0</v>
      </c>
      <c r="AY73" s="8"/>
      <c r="AZ73" s="66">
        <f>'[1]Univ Comm Fund'!P174</f>
        <v>60000000</v>
      </c>
      <c r="BA73" s="66">
        <f>'[1]UNIV. LIB.2019'!P79</f>
        <v>60000000</v>
      </c>
      <c r="BB73" s="66">
        <f t="shared" si="20"/>
        <v>0</v>
      </c>
      <c r="BC73" s="106"/>
      <c r="BD73" s="66">
        <v>100000000</v>
      </c>
      <c r="BE73" s="66">
        <f>'[1]UNIV. LIB.2019'!Q79</f>
        <v>100000000</v>
      </c>
      <c r="BF73" s="66">
        <f t="shared" si="21"/>
        <v>0</v>
      </c>
      <c r="BG73" s="6"/>
      <c r="BH73" s="66">
        <v>50000000</v>
      </c>
      <c r="BI73" s="66">
        <f>'[1]UNIV. LIB.2019'!R79</f>
        <v>50000000</v>
      </c>
      <c r="BJ73" s="66">
        <f t="shared" si="22"/>
        <v>0</v>
      </c>
      <c r="BL73" s="83">
        <f>'[1]Univ Comm Fund'!S174</f>
        <v>34000000</v>
      </c>
      <c r="BM73" s="83">
        <f>'[1]UNIV. LIB.2019'!S79</f>
        <v>34000000</v>
      </c>
      <c r="BN73" s="66">
        <f t="shared" si="23"/>
        <v>0</v>
      </c>
      <c r="BP73" s="83">
        <f>'[1]Univ Comm Fund'!T174</f>
        <v>30000000</v>
      </c>
      <c r="BQ73" s="83">
        <f>'[1]UNIV. LIB.2019'!T79</f>
        <v>0</v>
      </c>
      <c r="BR73" s="66">
        <f t="shared" si="24"/>
        <v>30000000</v>
      </c>
      <c r="BT73" s="83">
        <f>'[1]Univ Comm Fund'!U174</f>
        <v>20000000</v>
      </c>
      <c r="BU73" s="83">
        <f>'[1]UNIV. LIB.2019'!U79</f>
        <v>0</v>
      </c>
      <c r="BV73" s="66">
        <f t="shared" si="25"/>
        <v>20000000</v>
      </c>
      <c r="BX73" s="66">
        <f t="shared" si="26"/>
        <v>294000000</v>
      </c>
      <c r="BY73" s="66">
        <f t="shared" si="26"/>
        <v>244000000</v>
      </c>
      <c r="BZ73" s="66">
        <f t="shared" si="27"/>
        <v>50000000</v>
      </c>
      <c r="EN73" s="3"/>
      <c r="EO73" s="3"/>
      <c r="EP73" s="3"/>
      <c r="EQ73" s="3"/>
      <c r="EW73" s="10"/>
    </row>
    <row r="74" spans="1:221" x14ac:dyDescent="0.25">
      <c r="A74" s="164">
        <v>67</v>
      </c>
      <c r="B74" s="192" t="s">
        <v>133</v>
      </c>
      <c r="C74" s="192"/>
      <c r="D74" s="66">
        <f>'[1]Univ Comm Fund'!D175</f>
        <v>0</v>
      </c>
      <c r="E74" s="66">
        <f>'[1]UNIV. LIB.2019'!D80</f>
        <v>0</v>
      </c>
      <c r="F74" s="66">
        <f>D74-E74</f>
        <v>0</v>
      </c>
      <c r="G74" s="8"/>
      <c r="H74" s="66">
        <f>'[1]Univ Comm Fund'!E175</f>
        <v>0</v>
      </c>
      <c r="I74" s="66">
        <f>'[1]UNIV. LIB.2019'!E80</f>
        <v>0</v>
      </c>
      <c r="J74" s="11">
        <f>H74-I74</f>
        <v>0</v>
      </c>
      <c r="L74" s="66">
        <f>'[1]Univ Comm Fund'!F175</f>
        <v>0</v>
      </c>
      <c r="M74" s="66">
        <f>'[1]UNIV. LIB.2019'!F80</f>
        <v>0</v>
      </c>
      <c r="N74" s="66">
        <f>L74-M74</f>
        <v>0</v>
      </c>
      <c r="O74" s="8"/>
      <c r="P74" s="66">
        <f>'[1]Univ Comm Fund'!G175</f>
        <v>0</v>
      </c>
      <c r="Q74" s="66">
        <f>'[1]UNIV. LIB.2019'!G80</f>
        <v>0</v>
      </c>
      <c r="R74" s="66">
        <f>P74-Q74</f>
        <v>0</v>
      </c>
      <c r="S74" s="8"/>
      <c r="T74" s="66">
        <f>'[1]Univ Comm Fund'!H175</f>
        <v>0</v>
      </c>
      <c r="U74" s="66">
        <f>'[1]UNIV. LIB.2019'!H80</f>
        <v>0</v>
      </c>
      <c r="V74" s="66">
        <f>T74-U74</f>
        <v>0</v>
      </c>
      <c r="W74" s="8"/>
      <c r="X74" s="66">
        <f>'[1]Univ Comm Fund'!I175</f>
        <v>0</v>
      </c>
      <c r="Y74" s="66">
        <f>'[1]UNIV. LIB.2019'!I80</f>
        <v>0</v>
      </c>
      <c r="Z74" s="8"/>
      <c r="AA74" s="8"/>
      <c r="AB74" s="66">
        <f>'[1]Univ Comm Fund'!J175</f>
        <v>0</v>
      </c>
      <c r="AC74" s="66">
        <f>'[1]UNIV. LIB.2019'!J80</f>
        <v>0</v>
      </c>
      <c r="AD74" s="8"/>
      <c r="AE74" s="8"/>
      <c r="AF74" s="66">
        <f>'[1]Univ Comm Fund'!K175</f>
        <v>0</v>
      </c>
      <c r="AG74" s="66">
        <f>'[1]UNIV. LIB.2019'!K80</f>
        <v>0</v>
      </c>
      <c r="AH74" s="8"/>
      <c r="AI74" s="8"/>
      <c r="AJ74" s="88">
        <f>'[1]Univ Comm Fund'!L175</f>
        <v>0</v>
      </c>
      <c r="AK74" s="88">
        <f>'[1]UNIV. LIB.2019'!L80</f>
        <v>0</v>
      </c>
      <c r="AL74" s="197"/>
      <c r="AM74" s="197"/>
      <c r="AN74" s="66">
        <f>'[1]Univ Comm Fund'!M175</f>
        <v>0</v>
      </c>
      <c r="AO74" s="66">
        <f>'[1]UNIV. LIB.2019'!M80</f>
        <v>0</v>
      </c>
      <c r="AP74" s="66">
        <f>AN74-AO74</f>
        <v>0</v>
      </c>
      <c r="AQ74" s="8"/>
      <c r="AR74" s="66">
        <f>'[1]Univ Comm Fund'!N175</f>
        <v>0</v>
      </c>
      <c r="AS74" s="66">
        <f>'[1]UNIV. LIB.2019'!N80</f>
        <v>0</v>
      </c>
      <c r="AT74" s="66">
        <f t="shared" ref="AT74:AT82" si="28">AR74-AS74</f>
        <v>0</v>
      </c>
      <c r="AU74" s="8"/>
      <c r="AV74" s="66">
        <f>'[1]Univ Comm Fund'!O175</f>
        <v>0</v>
      </c>
      <c r="AW74" s="66">
        <f>'[1]UNIV. LIB.2019'!O80</f>
        <v>0</v>
      </c>
      <c r="AX74" s="66">
        <f>AV74-AW74</f>
        <v>0</v>
      </c>
      <c r="AY74" s="8"/>
      <c r="AZ74" s="66">
        <f>'[1]Univ Comm Fund'!P175</f>
        <v>60000000</v>
      </c>
      <c r="BA74" s="66">
        <f>'[1]UNIV. LIB.2019'!P80</f>
        <v>60000000</v>
      </c>
      <c r="BB74" s="66">
        <f t="shared" si="20"/>
        <v>0</v>
      </c>
      <c r="BC74" s="106"/>
      <c r="BD74" s="66">
        <v>100000000</v>
      </c>
      <c r="BE74" s="66">
        <f>'[1]UNIV. LIB.2019'!Q80</f>
        <v>100000000</v>
      </c>
      <c r="BF74" s="66">
        <f t="shared" si="21"/>
        <v>0</v>
      </c>
      <c r="BH74" s="66">
        <v>50000000</v>
      </c>
      <c r="BI74" s="66">
        <f>'[1]UNIV. LIB.2019'!R80</f>
        <v>50000000</v>
      </c>
      <c r="BJ74" s="66">
        <f t="shared" si="22"/>
        <v>0</v>
      </c>
      <c r="BL74" s="83">
        <f>'[1]Univ Comm Fund'!S175</f>
        <v>34000000</v>
      </c>
      <c r="BM74" s="83">
        <f>'[1]UNIV. LIB.2019'!S80</f>
        <v>34000000</v>
      </c>
      <c r="BN74" s="66">
        <f t="shared" si="23"/>
        <v>0</v>
      </c>
      <c r="BP74" s="83">
        <f>'[1]Univ Comm Fund'!T175</f>
        <v>30000000</v>
      </c>
      <c r="BQ74" s="83">
        <f>'[1]UNIV. LIB.2019'!T80</f>
        <v>0</v>
      </c>
      <c r="BR74" s="66">
        <f t="shared" si="24"/>
        <v>30000000</v>
      </c>
      <c r="BT74" s="83">
        <f>'[1]Univ Comm Fund'!U175</f>
        <v>20000000</v>
      </c>
      <c r="BU74" s="83">
        <f>'[1]UNIV. LIB.2019'!U80</f>
        <v>0</v>
      </c>
      <c r="BV74" s="66">
        <f t="shared" si="25"/>
        <v>20000000</v>
      </c>
      <c r="BX74" s="66">
        <f t="shared" si="26"/>
        <v>294000000</v>
      </c>
      <c r="BY74" s="66">
        <f t="shared" si="26"/>
        <v>244000000</v>
      </c>
      <c r="BZ74" s="66">
        <f t="shared" si="27"/>
        <v>50000000</v>
      </c>
      <c r="EN74" s="3"/>
      <c r="EO74" s="3"/>
      <c r="EP74" s="3"/>
      <c r="EQ74" s="3"/>
      <c r="EW74" s="10"/>
    </row>
    <row r="75" spans="1:221" x14ac:dyDescent="0.25">
      <c r="A75" s="164">
        <v>68</v>
      </c>
      <c r="B75" s="192" t="s">
        <v>134</v>
      </c>
      <c r="C75" s="192"/>
      <c r="D75" s="66">
        <f>'[1]Univ Comm Fund'!D176</f>
        <v>0</v>
      </c>
      <c r="E75" s="66">
        <f>'[1]UNIV. LIB.2019'!D81</f>
        <v>0</v>
      </c>
      <c r="F75" s="66">
        <f>D75-E75</f>
        <v>0</v>
      </c>
      <c r="G75" s="8"/>
      <c r="H75" s="66">
        <f>'[1]Univ Comm Fund'!E176</f>
        <v>0</v>
      </c>
      <c r="I75" s="66">
        <f>'[1]UNIV. LIB.2019'!E81</f>
        <v>0</v>
      </c>
      <c r="J75" s="11">
        <f>H75-I75</f>
        <v>0</v>
      </c>
      <c r="L75" s="66">
        <f>'[1]Univ Comm Fund'!F176</f>
        <v>0</v>
      </c>
      <c r="M75" s="66">
        <f>'[1]UNIV. LIB.2019'!F81</f>
        <v>0</v>
      </c>
      <c r="N75" s="66">
        <f>L75-M75</f>
        <v>0</v>
      </c>
      <c r="O75" s="8"/>
      <c r="P75" s="66">
        <f>'[1]Univ Comm Fund'!G176</f>
        <v>0</v>
      </c>
      <c r="Q75" s="66">
        <f>'[1]UNIV. LIB.2019'!G81</f>
        <v>0</v>
      </c>
      <c r="R75" s="66">
        <f>P75-Q75</f>
        <v>0</v>
      </c>
      <c r="S75" s="8"/>
      <c r="T75" s="66">
        <f>'[1]Univ Comm Fund'!H176</f>
        <v>0</v>
      </c>
      <c r="U75" s="66">
        <f>'[1]UNIV. LIB.2019'!H81</f>
        <v>0</v>
      </c>
      <c r="V75" s="66">
        <f>T75-U75</f>
        <v>0</v>
      </c>
      <c r="W75" s="8"/>
      <c r="X75" s="66">
        <f>'[1]Univ Comm Fund'!I176</f>
        <v>0</v>
      </c>
      <c r="Y75" s="66">
        <f>'[1]UNIV. LIB.2019'!I81</f>
        <v>0</v>
      </c>
      <c r="Z75" s="8"/>
      <c r="AA75" s="8"/>
      <c r="AB75" s="66">
        <f>'[1]Univ Comm Fund'!J176</f>
        <v>0</v>
      </c>
      <c r="AC75" s="66">
        <f>'[1]UNIV. LIB.2019'!J81</f>
        <v>0</v>
      </c>
      <c r="AD75" s="8"/>
      <c r="AE75" s="8"/>
      <c r="AF75" s="66">
        <f>'[1]Univ Comm Fund'!K176</f>
        <v>0</v>
      </c>
      <c r="AG75" s="66">
        <f>'[1]UNIV. LIB.2019'!K81</f>
        <v>0</v>
      </c>
      <c r="AH75" s="8"/>
      <c r="AI75" s="8"/>
      <c r="AJ75" s="66">
        <f>'[1]Univ Comm Fund'!L176</f>
        <v>0</v>
      </c>
      <c r="AK75" s="66">
        <f>'[1]UNIV. LIB.2019'!L81</f>
        <v>0</v>
      </c>
      <c r="AL75" s="8"/>
      <c r="AM75" s="8"/>
      <c r="AN75" s="66">
        <f>'[1]Univ Comm Fund'!M176</f>
        <v>0</v>
      </c>
      <c r="AO75" s="66">
        <f>'[1]UNIV. LIB.2019'!M81</f>
        <v>0</v>
      </c>
      <c r="AP75" s="66">
        <f>AN75-AO75</f>
        <v>0</v>
      </c>
      <c r="AQ75" s="8"/>
      <c r="AR75" s="66">
        <f>'[1]Univ Comm Fund'!N176</f>
        <v>0</v>
      </c>
      <c r="AS75" s="66">
        <f>'[1]UNIV. LIB.2019'!N81</f>
        <v>0</v>
      </c>
      <c r="AT75" s="66">
        <f t="shared" si="28"/>
        <v>0</v>
      </c>
      <c r="AU75" s="8"/>
      <c r="AV75" s="66">
        <f>'[1]Univ Comm Fund'!O176</f>
        <v>160000000</v>
      </c>
      <c r="AW75" s="66">
        <f>'[1]UNIV. LIB.2019'!O81</f>
        <v>160000000</v>
      </c>
      <c r="AX75" s="66">
        <f>AV75-AW75</f>
        <v>0</v>
      </c>
      <c r="AY75" s="8"/>
      <c r="AZ75" s="66">
        <f>'[1]Univ Comm Fund'!P176</f>
        <v>60000000</v>
      </c>
      <c r="BA75" s="66">
        <f>'[1]UNIV. LIB.2019'!P81</f>
        <v>60000000</v>
      </c>
      <c r="BB75" s="66">
        <f t="shared" si="20"/>
        <v>0</v>
      </c>
      <c r="BC75" s="106"/>
      <c r="BD75" s="66">
        <v>100000000</v>
      </c>
      <c r="BE75" s="66">
        <f>'[1]UNIV. LIB.2019'!Q81</f>
        <v>85000000</v>
      </c>
      <c r="BF75" s="66">
        <f t="shared" si="21"/>
        <v>15000000</v>
      </c>
      <c r="BH75" s="66">
        <v>50000000</v>
      </c>
      <c r="BI75" s="66">
        <f>'[1]UNIV. LIB.2019'!R81</f>
        <v>0</v>
      </c>
      <c r="BJ75" s="66">
        <f t="shared" si="22"/>
        <v>50000000</v>
      </c>
      <c r="BL75" s="83">
        <f>'[1]Univ Comm Fund'!S176</f>
        <v>34000000</v>
      </c>
      <c r="BM75" s="83">
        <f>'[1]UNIV. LIB.2019'!S81</f>
        <v>0</v>
      </c>
      <c r="BN75" s="66">
        <f t="shared" si="23"/>
        <v>34000000</v>
      </c>
      <c r="BP75" s="83">
        <f>'[1]Univ Comm Fund'!T176</f>
        <v>30000000</v>
      </c>
      <c r="BQ75" s="83">
        <f>'[1]UNIV. LIB.2019'!T81</f>
        <v>0</v>
      </c>
      <c r="BR75" s="66">
        <f t="shared" si="24"/>
        <v>30000000</v>
      </c>
      <c r="BT75" s="83">
        <f>'[1]Univ Comm Fund'!U176</f>
        <v>20000000</v>
      </c>
      <c r="BU75" s="83">
        <f>'[1]UNIV. LIB.2019'!U81</f>
        <v>0</v>
      </c>
      <c r="BV75" s="66">
        <f t="shared" si="25"/>
        <v>20000000</v>
      </c>
      <c r="BX75" s="66">
        <f t="shared" si="26"/>
        <v>454000000</v>
      </c>
      <c r="BY75" s="66">
        <f t="shared" si="26"/>
        <v>305000000</v>
      </c>
      <c r="BZ75" s="66">
        <f t="shared" si="27"/>
        <v>149000000</v>
      </c>
      <c r="EN75" s="3"/>
      <c r="EO75" s="3"/>
      <c r="EP75" s="3"/>
      <c r="EQ75" s="3"/>
      <c r="EW75" s="10"/>
    </row>
    <row r="76" spans="1:221" x14ac:dyDescent="0.25">
      <c r="A76" s="164">
        <v>69</v>
      </c>
      <c r="B76" s="192" t="s">
        <v>135</v>
      </c>
      <c r="C76" s="192"/>
      <c r="D76" s="66">
        <f>'[1]Univ Comm Fund'!D177</f>
        <v>0</v>
      </c>
      <c r="E76" s="66">
        <f>'[1]UNIV. LIB.2019'!D82</f>
        <v>0</v>
      </c>
      <c r="F76" s="66">
        <f>D76-E76</f>
        <v>0</v>
      </c>
      <c r="G76" s="8"/>
      <c r="H76" s="66">
        <f>'[1]Univ Comm Fund'!E177</f>
        <v>0</v>
      </c>
      <c r="I76" s="66">
        <f>'[1]UNIV. LIB.2019'!E82</f>
        <v>0</v>
      </c>
      <c r="J76" s="11">
        <f>H76-I76</f>
        <v>0</v>
      </c>
      <c r="L76" s="66">
        <f>'[1]Univ Comm Fund'!F177</f>
        <v>0</v>
      </c>
      <c r="M76" s="66">
        <f>'[1]UNIV. LIB.2019'!F82</f>
        <v>0</v>
      </c>
      <c r="N76" s="66">
        <f>L76-M76</f>
        <v>0</v>
      </c>
      <c r="O76" s="8"/>
      <c r="P76" s="66">
        <f>'[1]Univ Comm Fund'!G177</f>
        <v>0</v>
      </c>
      <c r="Q76" s="66">
        <f>'[1]UNIV. LIB.2019'!G82</f>
        <v>0</v>
      </c>
      <c r="R76" s="66">
        <f>P76-Q76</f>
        <v>0</v>
      </c>
      <c r="S76" s="8"/>
      <c r="T76" s="66">
        <f>'[1]Univ Comm Fund'!H177</f>
        <v>0</v>
      </c>
      <c r="U76" s="66">
        <f>'[1]UNIV. LIB.2019'!H82</f>
        <v>0</v>
      </c>
      <c r="V76" s="66">
        <f>T76-U76</f>
        <v>0</v>
      </c>
      <c r="W76" s="8"/>
      <c r="X76" s="66">
        <f>'[1]Univ Comm Fund'!I177</f>
        <v>0</v>
      </c>
      <c r="Y76" s="66">
        <f>'[1]UNIV. LIB.2019'!I82</f>
        <v>0</v>
      </c>
      <c r="Z76" s="8"/>
      <c r="AA76" s="8"/>
      <c r="AB76" s="66">
        <f>'[1]Univ Comm Fund'!J177</f>
        <v>0</v>
      </c>
      <c r="AC76" s="66">
        <f>'[1]UNIV. LIB.2019'!J82</f>
        <v>0</v>
      </c>
      <c r="AD76" s="8"/>
      <c r="AE76" s="8"/>
      <c r="AF76" s="66">
        <f>'[1]Univ Comm Fund'!K177</f>
        <v>0</v>
      </c>
      <c r="AG76" s="66">
        <f>'[1]UNIV. LIB.2019'!K82</f>
        <v>0</v>
      </c>
      <c r="AH76" s="8"/>
      <c r="AI76" s="8"/>
      <c r="AJ76" s="66">
        <f>'[1]Univ Comm Fund'!L177</f>
        <v>0</v>
      </c>
      <c r="AK76" s="66">
        <f>'[1]UNIV. LIB.2019'!L82</f>
        <v>0</v>
      </c>
      <c r="AL76" s="8"/>
      <c r="AM76" s="8"/>
      <c r="AN76" s="66">
        <f>'[1]Univ Comm Fund'!M177</f>
        <v>0</v>
      </c>
      <c r="AO76" s="66">
        <f>'[1]UNIV. LIB.2019'!M82</f>
        <v>0</v>
      </c>
      <c r="AP76" s="66">
        <f>AN76-AO76</f>
        <v>0</v>
      </c>
      <c r="AQ76" s="8"/>
      <c r="AR76" s="66">
        <f>'[1]Univ Comm Fund'!N177</f>
        <v>0</v>
      </c>
      <c r="AS76" s="66">
        <f>'[1]UNIV. LIB.2019'!N82</f>
        <v>0</v>
      </c>
      <c r="AT76" s="66">
        <f t="shared" si="28"/>
        <v>0</v>
      </c>
      <c r="AU76" s="8"/>
      <c r="AV76" s="66">
        <f>'[1]Univ Comm Fund'!O177</f>
        <v>0</v>
      </c>
      <c r="AW76" s="66">
        <f>'[1]UNIV. LIB.2019'!O82</f>
        <v>0</v>
      </c>
      <c r="AX76" s="66">
        <f>AV76-AW76</f>
        <v>0</v>
      </c>
      <c r="AY76" s="8"/>
      <c r="AZ76" s="66">
        <f>'[1]Univ Comm Fund'!P177</f>
        <v>60000000</v>
      </c>
      <c r="BA76" s="66">
        <f>'[1]UNIV. LIB.2019'!P82</f>
        <v>60000000</v>
      </c>
      <c r="BB76" s="66">
        <f t="shared" si="20"/>
        <v>0</v>
      </c>
      <c r="BC76" s="106"/>
      <c r="BD76" s="66">
        <v>100000000</v>
      </c>
      <c r="BE76" s="66">
        <f>'[1]UNIV. LIB.2019'!Q82</f>
        <v>0</v>
      </c>
      <c r="BF76" s="66">
        <f t="shared" si="21"/>
        <v>100000000</v>
      </c>
      <c r="BH76" s="66">
        <v>50000000</v>
      </c>
      <c r="BI76" s="66">
        <f>'[1]UNIV. LIB.2019'!R82</f>
        <v>0</v>
      </c>
      <c r="BJ76" s="66">
        <f t="shared" si="22"/>
        <v>50000000</v>
      </c>
      <c r="BL76" s="83">
        <f>'[1]Univ Comm Fund'!S177</f>
        <v>34000000</v>
      </c>
      <c r="BM76" s="83">
        <f>'[1]UNIV. LIB.2019'!S82</f>
        <v>0</v>
      </c>
      <c r="BN76" s="66">
        <f t="shared" si="23"/>
        <v>34000000</v>
      </c>
      <c r="BP76" s="83">
        <f>'[1]Univ Comm Fund'!T177</f>
        <v>30000000</v>
      </c>
      <c r="BQ76" s="83">
        <f>'[1]UNIV. LIB.2019'!T82</f>
        <v>0</v>
      </c>
      <c r="BR76" s="66">
        <f t="shared" si="24"/>
        <v>30000000</v>
      </c>
      <c r="BT76" s="83">
        <f>'[1]Univ Comm Fund'!U177</f>
        <v>20000000</v>
      </c>
      <c r="BU76" s="83">
        <f>'[1]UNIV. LIB.2019'!U82</f>
        <v>0</v>
      </c>
      <c r="BV76" s="66">
        <f t="shared" si="25"/>
        <v>20000000</v>
      </c>
      <c r="BX76" s="66">
        <f t="shared" si="26"/>
        <v>294000000</v>
      </c>
      <c r="BY76" s="66">
        <f t="shared" si="26"/>
        <v>60000000</v>
      </c>
      <c r="BZ76" s="66">
        <f t="shared" si="27"/>
        <v>234000000</v>
      </c>
      <c r="EN76" s="3"/>
      <c r="EO76" s="3"/>
      <c r="EP76" s="3"/>
      <c r="EQ76" s="3"/>
      <c r="EW76" s="10"/>
    </row>
    <row r="77" spans="1:221" x14ac:dyDescent="0.25">
      <c r="A77" s="164">
        <v>70</v>
      </c>
      <c r="B77" s="198" t="s">
        <v>136</v>
      </c>
      <c r="C77" s="198"/>
      <c r="D77" s="66">
        <f>'[1]Univ Comm Fund'!D178</f>
        <v>0</v>
      </c>
      <c r="E77" s="66">
        <f>'[1]UNIV. LIB.2019'!D83</f>
        <v>0</v>
      </c>
      <c r="F77" s="66">
        <f>D77-E77</f>
        <v>0</v>
      </c>
      <c r="G77" s="8"/>
      <c r="H77" s="66">
        <f>'[1]Univ Comm Fund'!E178</f>
        <v>0</v>
      </c>
      <c r="I77" s="66">
        <f>'[1]UNIV. LIB.2019'!E83</f>
        <v>0</v>
      </c>
      <c r="J77" s="11">
        <f>H77-I77</f>
        <v>0</v>
      </c>
      <c r="L77" s="66">
        <f>'[1]Univ Comm Fund'!F178</f>
        <v>0</v>
      </c>
      <c r="M77" s="66">
        <f>'[1]UNIV. LIB.2019'!F83</f>
        <v>0</v>
      </c>
      <c r="N77" s="66">
        <f>L77-M77</f>
        <v>0</v>
      </c>
      <c r="O77" s="8"/>
      <c r="P77" s="66">
        <f>'[1]Univ Comm Fund'!G178</f>
        <v>0</v>
      </c>
      <c r="Q77" s="66">
        <f>'[1]UNIV. LIB.2019'!G83</f>
        <v>0</v>
      </c>
      <c r="R77" s="66">
        <f>P77-Q77</f>
        <v>0</v>
      </c>
      <c r="S77" s="8"/>
      <c r="T77" s="66">
        <f>'[1]Univ Comm Fund'!H178</f>
        <v>0</v>
      </c>
      <c r="U77" s="66">
        <f>'[1]UNIV. LIB.2019'!H83</f>
        <v>0</v>
      </c>
      <c r="V77" s="66">
        <f>T77-U77</f>
        <v>0</v>
      </c>
      <c r="W77" s="8"/>
      <c r="X77" s="66">
        <f>'[1]Univ Comm Fund'!I178</f>
        <v>0</v>
      </c>
      <c r="Y77" s="66">
        <f>'[1]UNIV. LIB.2019'!I83</f>
        <v>0</v>
      </c>
      <c r="Z77" s="8"/>
      <c r="AA77" s="8"/>
      <c r="AB77" s="66">
        <f>'[1]Univ Comm Fund'!J178</f>
        <v>0</v>
      </c>
      <c r="AC77" s="66">
        <f>'[1]UNIV. LIB.2019'!J83</f>
        <v>0</v>
      </c>
      <c r="AD77" s="8"/>
      <c r="AE77" s="8"/>
      <c r="AF77" s="66">
        <f>'[1]Univ Comm Fund'!K178</f>
        <v>0</v>
      </c>
      <c r="AG77" s="66">
        <f>'[1]UNIV. LIB.2019'!K83</f>
        <v>0</v>
      </c>
      <c r="AH77" s="8"/>
      <c r="AI77" s="8"/>
      <c r="AJ77" s="66">
        <f>'[1]Univ Comm Fund'!L178</f>
        <v>0</v>
      </c>
      <c r="AK77" s="66">
        <f>'[1]UNIV. LIB.2019'!L83</f>
        <v>0</v>
      </c>
      <c r="AL77" s="8"/>
      <c r="AM77" s="8"/>
      <c r="AN77" s="66">
        <f>'[1]Univ Comm Fund'!M178</f>
        <v>0</v>
      </c>
      <c r="AO77" s="66">
        <f>'[1]UNIV. LIB.2019'!M83</f>
        <v>0</v>
      </c>
      <c r="AP77" s="66">
        <f>AN77-AO77</f>
        <v>0</v>
      </c>
      <c r="AQ77" s="8"/>
      <c r="AR77" s="66">
        <f>'[1]Univ Comm Fund'!N178</f>
        <v>0</v>
      </c>
      <c r="AS77" s="66">
        <f>'[1]UNIV. LIB.2019'!N83</f>
        <v>0</v>
      </c>
      <c r="AT77" s="66">
        <f t="shared" si="28"/>
        <v>0</v>
      </c>
      <c r="AU77" s="8"/>
      <c r="AV77" s="66">
        <f>'[1]Univ Comm Fund'!O178</f>
        <v>0</v>
      </c>
      <c r="AW77" s="66">
        <f>'[1]UNIV. LIB.2019'!O83</f>
        <v>0</v>
      </c>
      <c r="AX77" s="66">
        <f>AV77-AW77</f>
        <v>0</v>
      </c>
      <c r="AY77" s="8"/>
      <c r="AZ77" s="66">
        <f>'[1]Univ Comm Fund'!P178</f>
        <v>0</v>
      </c>
      <c r="BA77" s="66">
        <f>'[1]UNIV. LIB.2019'!P83</f>
        <v>0</v>
      </c>
      <c r="BB77" s="66">
        <f t="shared" si="20"/>
        <v>0</v>
      </c>
      <c r="BC77" s="106"/>
      <c r="BD77" s="66">
        <v>100000000</v>
      </c>
      <c r="BE77" s="66">
        <f>'[1]UNIV. LIB.2019'!Q83</f>
        <v>100000000</v>
      </c>
      <c r="BF77" s="66">
        <f t="shared" si="21"/>
        <v>0</v>
      </c>
      <c r="BH77" s="66">
        <v>50000000</v>
      </c>
      <c r="BI77" s="66">
        <f>'[1]UNIV. LIB.2019'!R83</f>
        <v>50000000</v>
      </c>
      <c r="BJ77" s="66">
        <f t="shared" si="22"/>
        <v>0</v>
      </c>
      <c r="BL77" s="83">
        <f>'[1]Univ Comm Fund'!S178</f>
        <v>34000000</v>
      </c>
      <c r="BM77" s="83">
        <f>'[1]UNIV. LIB.2019'!S83</f>
        <v>34000000</v>
      </c>
      <c r="BN77" s="66">
        <f t="shared" si="23"/>
        <v>0</v>
      </c>
      <c r="BP77" s="83">
        <f>'[1]Univ Comm Fund'!T178</f>
        <v>30000000</v>
      </c>
      <c r="BQ77" s="83">
        <f>'[1]UNIV. LIB.2019'!T83</f>
        <v>0</v>
      </c>
      <c r="BR77" s="66">
        <f t="shared" si="24"/>
        <v>30000000</v>
      </c>
      <c r="BT77" s="83">
        <f>'[1]Univ Comm Fund'!U178</f>
        <v>20000000</v>
      </c>
      <c r="BU77" s="83">
        <f>'[1]UNIV. LIB.2019'!U83</f>
        <v>0</v>
      </c>
      <c r="BV77" s="66">
        <f t="shared" si="25"/>
        <v>20000000</v>
      </c>
      <c r="BX77" s="66">
        <f t="shared" si="26"/>
        <v>234000000</v>
      </c>
      <c r="BY77" s="66">
        <f t="shared" si="26"/>
        <v>184000000</v>
      </c>
      <c r="BZ77" s="66">
        <f t="shared" si="27"/>
        <v>50000000</v>
      </c>
      <c r="EN77" s="3"/>
      <c r="EO77" s="3"/>
      <c r="EP77" s="3"/>
      <c r="EQ77" s="3"/>
      <c r="EW77" s="10"/>
    </row>
    <row r="78" spans="1:221" x14ac:dyDescent="0.25">
      <c r="A78" s="164">
        <v>71</v>
      </c>
      <c r="B78" s="198" t="s">
        <v>137</v>
      </c>
      <c r="C78" s="198"/>
      <c r="D78" s="66">
        <f>'[1]Univ Comm Fund'!D179</f>
        <v>0</v>
      </c>
      <c r="E78" s="66">
        <f>'[1]UNIV. LIB.2019'!D84</f>
        <v>0</v>
      </c>
      <c r="F78" s="66">
        <f>D78-E78</f>
        <v>0</v>
      </c>
      <c r="G78" s="8"/>
      <c r="H78" s="66">
        <f>'[1]Univ Comm Fund'!E179</f>
        <v>0</v>
      </c>
      <c r="I78" s="66">
        <f>'[1]UNIV. LIB.2019'!E84</f>
        <v>0</v>
      </c>
      <c r="J78" s="11">
        <f>H78-I78</f>
        <v>0</v>
      </c>
      <c r="L78" s="66">
        <f>'[1]Univ Comm Fund'!F179</f>
        <v>0</v>
      </c>
      <c r="M78" s="66">
        <f>'[1]UNIV. LIB.2019'!F84</f>
        <v>0</v>
      </c>
      <c r="N78" s="66">
        <f>L78-M78</f>
        <v>0</v>
      </c>
      <c r="O78" s="8"/>
      <c r="P78" s="66">
        <f>'[1]Univ Comm Fund'!G179</f>
        <v>0</v>
      </c>
      <c r="Q78" s="66">
        <f>'[1]UNIV. LIB.2019'!G84</f>
        <v>0</v>
      </c>
      <c r="R78" s="66">
        <f>P78-Q78</f>
        <v>0</v>
      </c>
      <c r="S78" s="8"/>
      <c r="T78" s="66">
        <f>'[1]Univ Comm Fund'!H179</f>
        <v>0</v>
      </c>
      <c r="U78" s="66">
        <f>'[1]UNIV. LIB.2019'!H84</f>
        <v>0</v>
      </c>
      <c r="V78" s="66">
        <f>T78-U78</f>
        <v>0</v>
      </c>
      <c r="W78" s="8"/>
      <c r="X78" s="66">
        <f>'[1]Univ Comm Fund'!I179</f>
        <v>0</v>
      </c>
      <c r="Y78" s="66">
        <f>'[1]UNIV. LIB.2019'!I84</f>
        <v>0</v>
      </c>
      <c r="Z78" s="8"/>
      <c r="AA78" s="8"/>
      <c r="AB78" s="66">
        <f>'[1]Univ Comm Fund'!J179</f>
        <v>0</v>
      </c>
      <c r="AC78" s="66">
        <f>'[1]UNIV. LIB.2019'!J84</f>
        <v>0</v>
      </c>
      <c r="AD78" s="8"/>
      <c r="AE78" s="8"/>
      <c r="AF78" s="66">
        <f>'[1]Univ Comm Fund'!K179</f>
        <v>0</v>
      </c>
      <c r="AG78" s="66">
        <f>'[1]UNIV. LIB.2019'!K84</f>
        <v>0</v>
      </c>
      <c r="AH78" s="8"/>
      <c r="AI78" s="8"/>
      <c r="AJ78" s="66">
        <f>'[1]Univ Comm Fund'!L179</f>
        <v>0</v>
      </c>
      <c r="AK78" s="66">
        <f>'[1]UNIV. LIB.2019'!L84</f>
        <v>0</v>
      </c>
      <c r="AL78" s="8"/>
      <c r="AM78" s="8"/>
      <c r="AN78" s="66">
        <f>'[1]Univ Comm Fund'!M179</f>
        <v>0</v>
      </c>
      <c r="AO78" s="66">
        <f>'[1]UNIV. LIB.2019'!M84</f>
        <v>0</v>
      </c>
      <c r="AP78" s="66">
        <f>AN78-AO78</f>
        <v>0</v>
      </c>
      <c r="AQ78" s="8"/>
      <c r="AR78" s="66">
        <f>'[1]Univ Comm Fund'!N179</f>
        <v>0</v>
      </c>
      <c r="AS78" s="66">
        <f>'[1]UNIV. LIB.2019'!N84</f>
        <v>0</v>
      </c>
      <c r="AT78" s="66">
        <f t="shared" si="28"/>
        <v>0</v>
      </c>
      <c r="AU78" s="8"/>
      <c r="AV78" s="66">
        <f>'[1]Univ Comm Fund'!O179</f>
        <v>0</v>
      </c>
      <c r="AW78" s="66">
        <f>'[1]UNIV. LIB.2019'!O84</f>
        <v>0</v>
      </c>
      <c r="AX78" s="66">
        <f>AV78-AW78</f>
        <v>0</v>
      </c>
      <c r="AY78" s="8"/>
      <c r="AZ78" s="66">
        <f>'[1]Univ Comm Fund'!P179</f>
        <v>0</v>
      </c>
      <c r="BA78" s="66">
        <f>'[1]UNIV. LIB.2019'!P84</f>
        <v>0</v>
      </c>
      <c r="BB78" s="66">
        <f t="shared" si="20"/>
        <v>0</v>
      </c>
      <c r="BC78" s="106"/>
      <c r="BD78" s="66">
        <v>100000000</v>
      </c>
      <c r="BE78" s="66">
        <f>'[1]UNIV. LIB.2019'!Q84</f>
        <v>100000000</v>
      </c>
      <c r="BF78" s="66">
        <f t="shared" si="21"/>
        <v>0</v>
      </c>
      <c r="BH78" s="66">
        <v>50000000</v>
      </c>
      <c r="BI78" s="66">
        <f>'[1]UNIV. LIB.2019'!R84</f>
        <v>50000000</v>
      </c>
      <c r="BJ78" s="66">
        <f t="shared" si="22"/>
        <v>0</v>
      </c>
      <c r="BL78" s="83">
        <f>'[1]Univ Comm Fund'!S179</f>
        <v>34000000</v>
      </c>
      <c r="BM78" s="83">
        <f>'[1]UNIV. LIB.2019'!S84</f>
        <v>28900000</v>
      </c>
      <c r="BN78" s="66">
        <f t="shared" si="23"/>
        <v>5100000</v>
      </c>
      <c r="BP78" s="83">
        <f>'[1]Univ Comm Fund'!T179</f>
        <v>30000000</v>
      </c>
      <c r="BQ78" s="83">
        <f>'[1]UNIV. LIB.2019'!T84</f>
        <v>0</v>
      </c>
      <c r="BR78" s="66">
        <f t="shared" si="24"/>
        <v>30000000</v>
      </c>
      <c r="BT78" s="83">
        <f>'[1]Univ Comm Fund'!U179</f>
        <v>20000000</v>
      </c>
      <c r="BU78" s="83">
        <f>'[1]UNIV. LIB.2019'!U84</f>
        <v>0</v>
      </c>
      <c r="BV78" s="66">
        <f t="shared" si="25"/>
        <v>20000000</v>
      </c>
      <c r="BX78" s="66">
        <f t="shared" si="26"/>
        <v>234000000</v>
      </c>
      <c r="BY78" s="66">
        <f t="shared" si="26"/>
        <v>178900000</v>
      </c>
      <c r="BZ78" s="66">
        <f t="shared" si="27"/>
        <v>55100000</v>
      </c>
      <c r="EN78" s="3"/>
      <c r="EO78" s="3"/>
      <c r="EP78" s="3"/>
      <c r="EQ78" s="3"/>
      <c r="EW78" s="10"/>
    </row>
    <row r="79" spans="1:221" x14ac:dyDescent="0.25">
      <c r="A79" s="164">
        <v>72</v>
      </c>
      <c r="B79" s="198" t="s">
        <v>138</v>
      </c>
      <c r="C79" s="198"/>
      <c r="D79" s="66">
        <f>'[1]Univ Comm Fund'!D180</f>
        <v>0</v>
      </c>
      <c r="E79" s="66">
        <f>'[1]Univ Comm Fund'!E180</f>
        <v>0</v>
      </c>
      <c r="F79" s="66">
        <f>'[1]Univ Comm Fund'!F180</f>
        <v>0</v>
      </c>
      <c r="G79" s="8"/>
      <c r="H79" s="66">
        <f>'[1]Univ Comm Fund'!E180</f>
        <v>0</v>
      </c>
      <c r="I79" s="66">
        <f>'[1]Univ Comm Fund'!F180</f>
        <v>0</v>
      </c>
      <c r="J79" s="66">
        <f>'[1]Univ Comm Fund'!G180</f>
        <v>0</v>
      </c>
      <c r="L79" s="66">
        <f>'[1]Univ Comm Fund'!F180</f>
        <v>0</v>
      </c>
      <c r="M79" s="66">
        <f>'[1]Univ Comm Fund'!G180</f>
        <v>0</v>
      </c>
      <c r="N79" s="66">
        <f>'[1]Univ Comm Fund'!H180</f>
        <v>0</v>
      </c>
      <c r="O79" s="8"/>
      <c r="P79" s="66">
        <f>'[1]Univ Comm Fund'!G180</f>
        <v>0</v>
      </c>
      <c r="Q79" s="66">
        <f>'[1]Univ Comm Fund'!H180</f>
        <v>0</v>
      </c>
      <c r="R79" s="66">
        <f>'[1]Univ Comm Fund'!I180</f>
        <v>0</v>
      </c>
      <c r="S79" s="8"/>
      <c r="T79" s="66">
        <f>'[1]Univ Comm Fund'!H180</f>
        <v>0</v>
      </c>
      <c r="U79" s="66">
        <f>'[1]Univ Comm Fund'!I180</f>
        <v>0</v>
      </c>
      <c r="V79" s="66">
        <f>'[1]Univ Comm Fund'!J180</f>
        <v>0</v>
      </c>
      <c r="W79" s="8"/>
      <c r="X79" s="66">
        <f>'[1]Univ Comm Fund'!I180</f>
        <v>0</v>
      </c>
      <c r="Y79" s="66">
        <f>'[1]Univ Comm Fund'!J180</f>
        <v>0</v>
      </c>
      <c r="Z79" s="66">
        <f>'[1]Univ Comm Fund'!K180</f>
        <v>0</v>
      </c>
      <c r="AA79" s="8"/>
      <c r="AB79" s="66">
        <f>'[1]Univ Comm Fund'!J180</f>
        <v>0</v>
      </c>
      <c r="AC79" s="66">
        <f>'[1]Univ Comm Fund'!K180</f>
        <v>0</v>
      </c>
      <c r="AD79" s="66">
        <f>'[1]Univ Comm Fund'!L180</f>
        <v>0</v>
      </c>
      <c r="AE79" s="8"/>
      <c r="AF79" s="66">
        <f>'[1]Univ Comm Fund'!K180</f>
        <v>0</v>
      </c>
      <c r="AG79" s="66">
        <f>'[1]Univ Comm Fund'!L180</f>
        <v>0</v>
      </c>
      <c r="AH79" s="66">
        <f>'[1]Univ Comm Fund'!M180</f>
        <v>0</v>
      </c>
      <c r="AI79" s="8"/>
      <c r="AJ79" s="66">
        <f>'[1]Univ Comm Fund'!L180</f>
        <v>0</v>
      </c>
      <c r="AK79" s="66">
        <f>'[1]Univ Comm Fund'!M180</f>
        <v>0</v>
      </c>
      <c r="AL79" s="66">
        <f>'[1]Univ Comm Fund'!N180</f>
        <v>0</v>
      </c>
      <c r="AM79" s="8"/>
      <c r="AN79" s="66">
        <f>'[1]Univ Comm Fund'!M180</f>
        <v>0</v>
      </c>
      <c r="AO79" s="66">
        <f>'[1]Univ Comm Fund'!N180</f>
        <v>0</v>
      </c>
      <c r="AP79" s="66">
        <f>'[1]Univ Comm Fund'!O180</f>
        <v>0</v>
      </c>
      <c r="AQ79" s="8"/>
      <c r="AR79" s="66">
        <f>'[1]Univ Comm Fund'!N180</f>
        <v>0</v>
      </c>
      <c r="AS79" s="66">
        <f>'[1]Univ Comm Fund'!O180</f>
        <v>0</v>
      </c>
      <c r="AT79" s="66">
        <f t="shared" si="28"/>
        <v>0</v>
      </c>
      <c r="AU79" s="8"/>
      <c r="AV79" s="66">
        <f>'[1]Univ Comm Fund'!O180</f>
        <v>0</v>
      </c>
      <c r="AW79" s="66">
        <f>'[1]Univ Comm Fund'!P180</f>
        <v>0</v>
      </c>
      <c r="AX79" s="66">
        <v>0</v>
      </c>
      <c r="AY79" s="8"/>
      <c r="AZ79" s="66">
        <f>'[1]Univ Comm Fund'!P180</f>
        <v>0</v>
      </c>
      <c r="BA79" s="66">
        <f>'[1]UNIV. LIB.2019'!P85</f>
        <v>0</v>
      </c>
      <c r="BB79" s="66">
        <f t="shared" si="20"/>
        <v>0</v>
      </c>
      <c r="BC79" s="106"/>
      <c r="BD79" s="66">
        <v>100000000</v>
      </c>
      <c r="BE79" s="66">
        <f>'[1]UNIV. LIB.2019'!Q85</f>
        <v>100000000</v>
      </c>
      <c r="BF79" s="66">
        <f t="shared" si="21"/>
        <v>0</v>
      </c>
      <c r="BH79" s="66">
        <v>50000000</v>
      </c>
      <c r="BI79" s="66">
        <f>'[1]UNIV. LIB.2019'!R85</f>
        <v>50000000</v>
      </c>
      <c r="BJ79" s="66">
        <f t="shared" si="22"/>
        <v>0</v>
      </c>
      <c r="BL79" s="83">
        <f>'[1]Univ Comm Fund'!S180</f>
        <v>34000000</v>
      </c>
      <c r="BM79" s="83">
        <f>'[1]UNIV. LIB.2019'!S85</f>
        <v>0</v>
      </c>
      <c r="BN79" s="66">
        <f t="shared" si="23"/>
        <v>34000000</v>
      </c>
      <c r="BP79" s="83">
        <f>'[1]Univ Comm Fund'!T180</f>
        <v>30000000</v>
      </c>
      <c r="BQ79" s="83">
        <f>'[1]UNIV. LIB.2019'!T85</f>
        <v>0</v>
      </c>
      <c r="BR79" s="66">
        <f t="shared" si="24"/>
        <v>30000000</v>
      </c>
      <c r="BT79" s="83">
        <f>'[1]Univ Comm Fund'!U180</f>
        <v>20000000</v>
      </c>
      <c r="BU79" s="83">
        <f>'[1]UNIV. LIB.2019'!U85</f>
        <v>0</v>
      </c>
      <c r="BV79" s="66">
        <f t="shared" si="25"/>
        <v>20000000</v>
      </c>
      <c r="BX79" s="66">
        <f t="shared" si="26"/>
        <v>234000000</v>
      </c>
      <c r="BY79" s="66">
        <f t="shared" si="26"/>
        <v>150000000</v>
      </c>
      <c r="BZ79" s="66">
        <f t="shared" si="27"/>
        <v>84000000</v>
      </c>
      <c r="EN79" s="3"/>
      <c r="EO79" s="3"/>
      <c r="EP79" s="3"/>
      <c r="EQ79" s="3"/>
      <c r="EW79" s="10"/>
    </row>
    <row r="80" spans="1:221" x14ac:dyDescent="0.25">
      <c r="A80" s="164">
        <v>73</v>
      </c>
      <c r="B80" s="91" t="s">
        <v>139</v>
      </c>
      <c r="C80" s="91"/>
      <c r="D80" s="66">
        <f>'[1]Univ Comm Fund'!D181</f>
        <v>0</v>
      </c>
      <c r="E80" s="66">
        <f>'[1]Univ Comm Fund'!E181</f>
        <v>0</v>
      </c>
      <c r="F80" s="66">
        <f>'[1]Univ Comm Fund'!F181</f>
        <v>0</v>
      </c>
      <c r="G80" s="8"/>
      <c r="H80" s="66">
        <f>'[1]Univ Comm Fund'!E181</f>
        <v>0</v>
      </c>
      <c r="I80" s="66">
        <f>'[1]Univ Comm Fund'!F181</f>
        <v>0</v>
      </c>
      <c r="J80" s="66">
        <f>'[1]Univ Comm Fund'!G181</f>
        <v>0</v>
      </c>
      <c r="L80" s="66">
        <f>'[1]Univ Comm Fund'!F181</f>
        <v>0</v>
      </c>
      <c r="M80" s="66">
        <f>'[1]Univ Comm Fund'!G181</f>
        <v>0</v>
      </c>
      <c r="N80" s="66">
        <f>'[1]Univ Comm Fund'!H181</f>
        <v>0</v>
      </c>
      <c r="O80" s="8"/>
      <c r="P80" s="66">
        <f>'[1]Univ Comm Fund'!G181</f>
        <v>0</v>
      </c>
      <c r="Q80" s="66">
        <f>'[1]Univ Comm Fund'!H181</f>
        <v>0</v>
      </c>
      <c r="R80" s="66">
        <f>'[1]Univ Comm Fund'!I181</f>
        <v>0</v>
      </c>
      <c r="S80" s="8"/>
      <c r="T80" s="66">
        <f>'[1]Univ Comm Fund'!H181</f>
        <v>0</v>
      </c>
      <c r="U80" s="66">
        <f>'[1]Univ Comm Fund'!I181</f>
        <v>0</v>
      </c>
      <c r="V80" s="66">
        <f>'[1]Univ Comm Fund'!J181</f>
        <v>0</v>
      </c>
      <c r="W80" s="8"/>
      <c r="X80" s="66">
        <f>'[1]Univ Comm Fund'!I181</f>
        <v>0</v>
      </c>
      <c r="Y80" s="66">
        <f>'[1]Univ Comm Fund'!J181</f>
        <v>0</v>
      </c>
      <c r="Z80" s="66">
        <f>'[1]Univ Comm Fund'!K181</f>
        <v>0</v>
      </c>
      <c r="AA80" s="8"/>
      <c r="AB80" s="66">
        <f>'[1]Univ Comm Fund'!J181</f>
        <v>0</v>
      </c>
      <c r="AC80" s="66">
        <f>'[1]Univ Comm Fund'!K181</f>
        <v>0</v>
      </c>
      <c r="AD80" s="66">
        <f>'[1]Univ Comm Fund'!L181</f>
        <v>0</v>
      </c>
      <c r="AE80" s="8"/>
      <c r="AF80" s="66">
        <f>'[1]Univ Comm Fund'!K181</f>
        <v>0</v>
      </c>
      <c r="AG80" s="66">
        <f>'[1]Univ Comm Fund'!L181</f>
        <v>0</v>
      </c>
      <c r="AH80" s="66">
        <f>'[1]Univ Comm Fund'!M181</f>
        <v>0</v>
      </c>
      <c r="AI80" s="8"/>
      <c r="AJ80" s="66">
        <f>'[1]Univ Comm Fund'!L181</f>
        <v>0</v>
      </c>
      <c r="AK80" s="66">
        <f>'[1]Univ Comm Fund'!M181</f>
        <v>0</v>
      </c>
      <c r="AL80" s="66">
        <f>'[1]Univ Comm Fund'!N181</f>
        <v>0</v>
      </c>
      <c r="AM80" s="8"/>
      <c r="AN80" s="66">
        <f>'[1]Univ Comm Fund'!M181</f>
        <v>0</v>
      </c>
      <c r="AO80" s="66">
        <f>'[1]Univ Comm Fund'!N181</f>
        <v>0</v>
      </c>
      <c r="AP80" s="66">
        <f>'[1]Univ Comm Fund'!O181</f>
        <v>0</v>
      </c>
      <c r="AQ80" s="8"/>
      <c r="AR80" s="66">
        <f>'[1]Univ Comm Fund'!N181</f>
        <v>0</v>
      </c>
      <c r="AS80" s="66">
        <f>'[1]Univ Comm Fund'!O181</f>
        <v>0</v>
      </c>
      <c r="AT80" s="66">
        <f t="shared" si="28"/>
        <v>0</v>
      </c>
      <c r="AU80" s="8"/>
      <c r="AV80" s="66">
        <f>'[1]Univ Comm Fund'!O181</f>
        <v>0</v>
      </c>
      <c r="AW80" s="66">
        <v>0</v>
      </c>
      <c r="AX80" s="66">
        <v>0</v>
      </c>
      <c r="AY80" s="8"/>
      <c r="AZ80" s="66">
        <f>'[1]Univ Comm Fund'!P181</f>
        <v>0</v>
      </c>
      <c r="BA80" s="66">
        <f>'[1]UNIV. LIB.2019'!P86</f>
        <v>0</v>
      </c>
      <c r="BB80" s="66">
        <f t="shared" si="20"/>
        <v>0</v>
      </c>
      <c r="BC80" s="106"/>
      <c r="BD80" s="66">
        <v>100000000</v>
      </c>
      <c r="BE80" s="66">
        <f>'[1]UNIV. LIB.2019'!Q86</f>
        <v>100000000</v>
      </c>
      <c r="BF80" s="66">
        <f t="shared" si="21"/>
        <v>0</v>
      </c>
      <c r="BH80" s="66">
        <v>50000000</v>
      </c>
      <c r="BI80" s="66">
        <f>'[1]UNIV. LIB.2019'!R86</f>
        <v>42500000</v>
      </c>
      <c r="BJ80" s="66">
        <f t="shared" si="22"/>
        <v>7500000</v>
      </c>
      <c r="BL80" s="83">
        <f>'[1]Univ Comm Fund'!S181</f>
        <v>34000000</v>
      </c>
      <c r="BM80" s="83">
        <f>'[1]UNIV. LIB.2019'!S86</f>
        <v>28900000</v>
      </c>
      <c r="BN80" s="66">
        <f t="shared" si="23"/>
        <v>5100000</v>
      </c>
      <c r="BP80" s="83">
        <f>'[1]Univ Comm Fund'!T181</f>
        <v>30000000</v>
      </c>
      <c r="BQ80" s="83">
        <f>'[1]UNIV. LIB.2019'!T86</f>
        <v>0</v>
      </c>
      <c r="BR80" s="66">
        <f t="shared" si="24"/>
        <v>30000000</v>
      </c>
      <c r="BT80" s="83">
        <f>'[1]Univ Comm Fund'!U181</f>
        <v>20000000</v>
      </c>
      <c r="BU80" s="83">
        <f>'[1]UNIV. LIB.2019'!U86</f>
        <v>0</v>
      </c>
      <c r="BV80" s="66">
        <f t="shared" si="25"/>
        <v>20000000</v>
      </c>
      <c r="BX80" s="66">
        <f t="shared" si="26"/>
        <v>234000000</v>
      </c>
      <c r="BY80" s="66">
        <f t="shared" si="26"/>
        <v>171400000</v>
      </c>
      <c r="BZ80" s="66">
        <f t="shared" si="27"/>
        <v>62600000</v>
      </c>
      <c r="EN80" s="3"/>
      <c r="EO80" s="3"/>
      <c r="EP80" s="3"/>
      <c r="EQ80" s="3"/>
      <c r="EW80" s="10"/>
    </row>
    <row r="81" spans="1:153" x14ac:dyDescent="0.25">
      <c r="A81" s="164">
        <v>74</v>
      </c>
      <c r="B81" s="91" t="s">
        <v>140</v>
      </c>
      <c r="C81" s="91"/>
      <c r="D81" s="66">
        <f>'[1]Univ Comm Fund'!D182</f>
        <v>0</v>
      </c>
      <c r="E81" s="66">
        <f>'[1]Univ Comm Fund'!E182</f>
        <v>0</v>
      </c>
      <c r="F81" s="66">
        <f>'[1]Univ Comm Fund'!F182</f>
        <v>0</v>
      </c>
      <c r="G81" s="8"/>
      <c r="H81" s="66">
        <f>'[1]Univ Comm Fund'!E182</f>
        <v>0</v>
      </c>
      <c r="I81" s="66">
        <f>'[1]Univ Comm Fund'!F182</f>
        <v>0</v>
      </c>
      <c r="J81" s="66">
        <f>'[1]Univ Comm Fund'!G182</f>
        <v>0</v>
      </c>
      <c r="L81" s="66">
        <f>'[1]Univ Comm Fund'!F182</f>
        <v>0</v>
      </c>
      <c r="M81" s="66">
        <f>'[1]Univ Comm Fund'!G182</f>
        <v>0</v>
      </c>
      <c r="N81" s="66">
        <f>'[1]Univ Comm Fund'!H182</f>
        <v>0</v>
      </c>
      <c r="O81" s="8"/>
      <c r="P81" s="66">
        <f>'[1]Univ Comm Fund'!G182</f>
        <v>0</v>
      </c>
      <c r="Q81" s="66">
        <f>'[1]Univ Comm Fund'!H182</f>
        <v>0</v>
      </c>
      <c r="R81" s="66">
        <f>'[1]Univ Comm Fund'!I182</f>
        <v>0</v>
      </c>
      <c r="S81" s="8"/>
      <c r="T81" s="66">
        <f>'[1]Univ Comm Fund'!H182</f>
        <v>0</v>
      </c>
      <c r="U81" s="66">
        <f>'[1]Univ Comm Fund'!I182</f>
        <v>0</v>
      </c>
      <c r="V81" s="66">
        <f>'[1]Univ Comm Fund'!J182</f>
        <v>0</v>
      </c>
      <c r="W81" s="8"/>
      <c r="X81" s="66">
        <f>'[1]Univ Comm Fund'!I182</f>
        <v>0</v>
      </c>
      <c r="Y81" s="66">
        <f>'[1]Univ Comm Fund'!J182</f>
        <v>0</v>
      </c>
      <c r="Z81" s="66">
        <f>'[1]Univ Comm Fund'!K182</f>
        <v>0</v>
      </c>
      <c r="AA81" s="8"/>
      <c r="AB81" s="66">
        <f>'[1]Univ Comm Fund'!J182</f>
        <v>0</v>
      </c>
      <c r="AC81" s="66">
        <f>'[1]Univ Comm Fund'!K182</f>
        <v>0</v>
      </c>
      <c r="AD81" s="66">
        <f>'[1]Univ Comm Fund'!L182</f>
        <v>0</v>
      </c>
      <c r="AE81" s="8"/>
      <c r="AF81" s="66">
        <f>'[1]Univ Comm Fund'!K182</f>
        <v>0</v>
      </c>
      <c r="AG81" s="66">
        <f>'[1]Univ Comm Fund'!L182</f>
        <v>0</v>
      </c>
      <c r="AH81" s="66">
        <f>'[1]Univ Comm Fund'!M182</f>
        <v>0</v>
      </c>
      <c r="AI81" s="8"/>
      <c r="AJ81" s="66">
        <f>'[1]Univ Comm Fund'!L182</f>
        <v>0</v>
      </c>
      <c r="AK81" s="66">
        <f>'[1]Univ Comm Fund'!M182</f>
        <v>0</v>
      </c>
      <c r="AL81" s="66">
        <f>'[1]Univ Comm Fund'!N182</f>
        <v>0</v>
      </c>
      <c r="AM81" s="8"/>
      <c r="AN81" s="66">
        <f>'[1]Univ Comm Fund'!M182</f>
        <v>0</v>
      </c>
      <c r="AO81" s="66">
        <f>'[1]Univ Comm Fund'!N182</f>
        <v>0</v>
      </c>
      <c r="AP81" s="66">
        <f>'[1]Univ Comm Fund'!O182</f>
        <v>0</v>
      </c>
      <c r="AQ81" s="8"/>
      <c r="AR81" s="66">
        <f>'[1]Univ Comm Fund'!N182</f>
        <v>0</v>
      </c>
      <c r="AS81" s="66">
        <f>'[1]Univ Comm Fund'!O182</f>
        <v>0</v>
      </c>
      <c r="AT81" s="66">
        <f t="shared" si="28"/>
        <v>0</v>
      </c>
      <c r="AU81" s="8"/>
      <c r="AV81" s="66">
        <f>'[1]Univ Comm Fund'!O182</f>
        <v>0</v>
      </c>
      <c r="AW81" s="66">
        <v>0</v>
      </c>
      <c r="AX81" s="66">
        <v>0</v>
      </c>
      <c r="AY81" s="8"/>
      <c r="AZ81" s="66">
        <f>'[1]Univ Comm Fund'!P182</f>
        <v>60000000</v>
      </c>
      <c r="BA81" s="66">
        <v>0</v>
      </c>
      <c r="BB81" s="66">
        <f t="shared" si="20"/>
        <v>60000000</v>
      </c>
      <c r="BC81" s="106"/>
      <c r="BD81" s="66">
        <v>100000000</v>
      </c>
      <c r="BE81" s="66">
        <f>'[1]UNIV. LIB.2019'!Q87</f>
        <v>0</v>
      </c>
      <c r="BF81" s="66">
        <f t="shared" si="21"/>
        <v>100000000</v>
      </c>
      <c r="BH81" s="66">
        <v>50000000</v>
      </c>
      <c r="BI81" s="66">
        <f>'[1]UNIV. LIB.2019'!R87</f>
        <v>0</v>
      </c>
      <c r="BJ81" s="66">
        <f t="shared" si="22"/>
        <v>50000000</v>
      </c>
      <c r="BL81" s="83">
        <f>'[1]Univ Comm Fund'!S182</f>
        <v>34000000</v>
      </c>
      <c r="BM81" s="83">
        <f>'[1]UNIV. LIB.2019'!S87</f>
        <v>0</v>
      </c>
      <c r="BN81" s="66">
        <f t="shared" si="23"/>
        <v>34000000</v>
      </c>
      <c r="BP81" s="83">
        <f>'[1]Univ Comm Fund'!T182</f>
        <v>30000000</v>
      </c>
      <c r="BQ81" s="83">
        <f>'[1]UNIV. LIB.2019'!T87</f>
        <v>0</v>
      </c>
      <c r="BR81" s="66">
        <f t="shared" si="24"/>
        <v>30000000</v>
      </c>
      <c r="BT81" s="83">
        <f>'[1]Univ Comm Fund'!U182</f>
        <v>20000000</v>
      </c>
      <c r="BU81" s="83">
        <f>'[1]UNIV. LIB.2019'!U87</f>
        <v>0</v>
      </c>
      <c r="BV81" s="66">
        <f t="shared" si="25"/>
        <v>20000000</v>
      </c>
      <c r="BX81" s="66">
        <f t="shared" si="26"/>
        <v>294000000</v>
      </c>
      <c r="BY81" s="66">
        <f t="shared" si="26"/>
        <v>0</v>
      </c>
      <c r="BZ81" s="66">
        <f t="shared" si="27"/>
        <v>294000000</v>
      </c>
      <c r="EN81" s="3"/>
      <c r="EO81" s="3"/>
      <c r="EP81" s="3"/>
      <c r="EQ81" s="3"/>
      <c r="EW81" s="10"/>
    </row>
    <row r="82" spans="1:153" x14ac:dyDescent="0.25">
      <c r="A82" s="164">
        <v>75</v>
      </c>
      <c r="B82" s="1" t="s">
        <v>141</v>
      </c>
      <c r="C82" s="1"/>
      <c r="D82" s="66">
        <f>'[1]Univ Comm Fund'!D183</f>
        <v>0</v>
      </c>
      <c r="E82" s="66">
        <f>'[1]Univ Comm Fund'!E183</f>
        <v>0</v>
      </c>
      <c r="F82" s="66">
        <f>'[1]Univ Comm Fund'!F183</f>
        <v>0</v>
      </c>
      <c r="G82" s="8"/>
      <c r="H82" s="66">
        <f>'[1]Univ Comm Fund'!E183</f>
        <v>0</v>
      </c>
      <c r="I82" s="66">
        <f>'[1]Univ Comm Fund'!F183</f>
        <v>0</v>
      </c>
      <c r="J82" s="66">
        <v>0</v>
      </c>
      <c r="L82" s="66">
        <f>'[1]Univ Comm Fund'!F183</f>
        <v>0</v>
      </c>
      <c r="M82" s="66">
        <f>'[1]Univ Comm Fund'!G183</f>
        <v>0</v>
      </c>
      <c r="N82" s="66">
        <f>'[1]Univ Comm Fund'!H183</f>
        <v>0</v>
      </c>
      <c r="O82" s="8"/>
      <c r="P82" s="66">
        <f>'[1]Univ Comm Fund'!G183</f>
        <v>0</v>
      </c>
      <c r="Q82" s="66">
        <f>'[1]Univ Comm Fund'!H183</f>
        <v>0</v>
      </c>
      <c r="R82" s="66">
        <f>'[1]Univ Comm Fund'!I183</f>
        <v>0</v>
      </c>
      <c r="S82" s="8"/>
      <c r="T82" s="66">
        <f>'[1]Univ Comm Fund'!H183</f>
        <v>0</v>
      </c>
      <c r="U82" s="66">
        <f>'[1]Univ Comm Fund'!I183</f>
        <v>0</v>
      </c>
      <c r="V82" s="66">
        <f>'[1]Univ Comm Fund'!J183</f>
        <v>0</v>
      </c>
      <c r="W82" s="8"/>
      <c r="X82" s="66">
        <f>'[1]Univ Comm Fund'!I183</f>
        <v>0</v>
      </c>
      <c r="Y82" s="66">
        <f>'[1]Univ Comm Fund'!J183</f>
        <v>0</v>
      </c>
      <c r="Z82" s="66">
        <f>'[1]Univ Comm Fund'!K183</f>
        <v>0</v>
      </c>
      <c r="AA82" s="8"/>
      <c r="AB82" s="66">
        <f>'[1]Univ Comm Fund'!J183</f>
        <v>0</v>
      </c>
      <c r="AC82" s="66">
        <f>'[1]Univ Comm Fund'!K183</f>
        <v>0</v>
      </c>
      <c r="AD82" s="66">
        <f>'[1]Univ Comm Fund'!L183</f>
        <v>0</v>
      </c>
      <c r="AE82" s="8"/>
      <c r="AF82" s="66">
        <f>'[1]Univ Comm Fund'!K183</f>
        <v>0</v>
      </c>
      <c r="AG82" s="66">
        <f>'[1]Univ Comm Fund'!L183</f>
        <v>0</v>
      </c>
      <c r="AH82" s="66">
        <f>'[1]Univ Comm Fund'!M183</f>
        <v>0</v>
      </c>
      <c r="AI82" s="8"/>
      <c r="AJ82" s="66">
        <f>'[1]Univ Comm Fund'!L183</f>
        <v>0</v>
      </c>
      <c r="AK82" s="66">
        <f>'[1]Univ Comm Fund'!M183</f>
        <v>0</v>
      </c>
      <c r="AL82" s="66">
        <f>'[1]Univ Comm Fund'!N183</f>
        <v>0</v>
      </c>
      <c r="AM82" s="8"/>
      <c r="AN82" s="66">
        <f>'[1]Univ Comm Fund'!M183</f>
        <v>0</v>
      </c>
      <c r="AO82" s="66">
        <f>'[1]Univ Comm Fund'!N183</f>
        <v>0</v>
      </c>
      <c r="AP82" s="66">
        <f>'[1]Univ Comm Fund'!O183</f>
        <v>0</v>
      </c>
      <c r="AQ82" s="8"/>
      <c r="AR82" s="66">
        <f>'[1]Univ Comm Fund'!N183</f>
        <v>0</v>
      </c>
      <c r="AS82" s="66">
        <f>'[1]Univ Comm Fund'!O183</f>
        <v>0</v>
      </c>
      <c r="AT82" s="66">
        <f t="shared" si="28"/>
        <v>0</v>
      </c>
      <c r="AU82" s="8"/>
      <c r="AV82" s="66">
        <f>'[1]Univ Comm Fund'!O183</f>
        <v>0</v>
      </c>
      <c r="AW82" s="66">
        <v>0</v>
      </c>
      <c r="AX82" s="66">
        <v>0</v>
      </c>
      <c r="AY82" s="8"/>
      <c r="AZ82" s="66">
        <f>'[1]Univ Comm Fund'!P183</f>
        <v>60000000</v>
      </c>
      <c r="BA82" s="66">
        <f>'[1]UNIV. LIB.2019'!P88</f>
        <v>60000000</v>
      </c>
      <c r="BB82" s="66">
        <f t="shared" si="20"/>
        <v>0</v>
      </c>
      <c r="BC82" s="106"/>
      <c r="BD82" s="66">
        <v>100000000</v>
      </c>
      <c r="BE82" s="66">
        <f>'[1]UNIV. LIB.2019'!Q88</f>
        <v>100000000</v>
      </c>
      <c r="BF82" s="66">
        <f t="shared" si="21"/>
        <v>0</v>
      </c>
      <c r="BH82" s="66">
        <v>50000000</v>
      </c>
      <c r="BI82" s="66">
        <f>'[1]UNIV. LIB.2019'!R88</f>
        <v>50000000</v>
      </c>
      <c r="BJ82" s="66">
        <f>BH82-BI82</f>
        <v>0</v>
      </c>
      <c r="BL82" s="83">
        <f>'[1]Univ Comm Fund'!S183</f>
        <v>34000000</v>
      </c>
      <c r="BM82" s="83">
        <f>'[1]UNIV. LIB.2019'!S88</f>
        <v>0</v>
      </c>
      <c r="BN82" s="66">
        <f t="shared" si="23"/>
        <v>34000000</v>
      </c>
      <c r="BP82" s="83">
        <f>'[1]Univ Comm Fund'!T183</f>
        <v>30000000</v>
      </c>
      <c r="BQ82" s="83">
        <f>'[1]UNIV. LIB.2019'!T88</f>
        <v>0</v>
      </c>
      <c r="BR82" s="66">
        <f t="shared" si="24"/>
        <v>30000000</v>
      </c>
      <c r="BT82" s="83">
        <f>'[1]Univ Comm Fund'!U183</f>
        <v>20000000</v>
      </c>
      <c r="BU82" s="83">
        <f>'[1]UNIV. LIB.2019'!U88</f>
        <v>0</v>
      </c>
      <c r="BV82" s="66">
        <f t="shared" si="25"/>
        <v>20000000</v>
      </c>
      <c r="BX82" s="66">
        <f t="shared" si="26"/>
        <v>294000000</v>
      </c>
      <c r="BY82" s="66">
        <f t="shared" si="26"/>
        <v>210000000</v>
      </c>
      <c r="BZ82" s="66">
        <f t="shared" si="27"/>
        <v>84000000</v>
      </c>
      <c r="EN82" s="3"/>
      <c r="EO82" s="3"/>
      <c r="EP82" s="3"/>
      <c r="EQ82" s="3"/>
      <c r="EW82" s="10"/>
    </row>
    <row r="83" spans="1:153" x14ac:dyDescent="0.25">
      <c r="A83" s="164">
        <v>76</v>
      </c>
      <c r="B83" s="135" t="s">
        <v>142</v>
      </c>
      <c r="C83" s="135"/>
      <c r="D83" s="66">
        <f>'[1]Univ Comm Fund'!D184</f>
        <v>0</v>
      </c>
      <c r="E83" s="66">
        <v>0</v>
      </c>
      <c r="F83" s="66">
        <v>0</v>
      </c>
      <c r="G83" s="8"/>
      <c r="H83" s="66">
        <v>0</v>
      </c>
      <c r="I83" s="66">
        <v>0</v>
      </c>
      <c r="J83" s="66">
        <v>0</v>
      </c>
      <c r="L83" s="66">
        <v>0</v>
      </c>
      <c r="M83" s="66">
        <v>0</v>
      </c>
      <c r="N83" s="66">
        <v>0</v>
      </c>
      <c r="O83" s="8"/>
      <c r="P83" s="66">
        <v>0</v>
      </c>
      <c r="Q83" s="66">
        <v>0</v>
      </c>
      <c r="R83" s="66">
        <v>0</v>
      </c>
      <c r="S83" s="8"/>
      <c r="T83" s="66">
        <v>0</v>
      </c>
      <c r="U83" s="66">
        <v>0</v>
      </c>
      <c r="V83" s="66">
        <v>0</v>
      </c>
      <c r="W83" s="8"/>
      <c r="X83" s="66">
        <v>0</v>
      </c>
      <c r="Y83" s="66">
        <v>0</v>
      </c>
      <c r="Z83" s="66">
        <v>0</v>
      </c>
      <c r="AA83" s="8"/>
      <c r="AB83" s="66">
        <v>0</v>
      </c>
      <c r="AC83" s="66">
        <v>0</v>
      </c>
      <c r="AD83" s="66">
        <v>0</v>
      </c>
      <c r="AE83" s="8"/>
      <c r="AF83" s="66">
        <v>0</v>
      </c>
      <c r="AG83" s="66">
        <v>0</v>
      </c>
      <c r="AH83" s="66">
        <v>0</v>
      </c>
      <c r="AI83" s="8"/>
      <c r="AJ83" s="66">
        <v>0</v>
      </c>
      <c r="AK83" s="66">
        <v>0</v>
      </c>
      <c r="AL83" s="66">
        <v>0</v>
      </c>
      <c r="AM83" s="8"/>
      <c r="AN83" s="66">
        <v>0</v>
      </c>
      <c r="AO83" s="66">
        <v>0</v>
      </c>
      <c r="AP83" s="66">
        <v>0</v>
      </c>
      <c r="AQ83" s="8"/>
      <c r="AR83" s="66">
        <v>0</v>
      </c>
      <c r="AS83" s="66">
        <v>0</v>
      </c>
      <c r="AT83" s="66">
        <v>0</v>
      </c>
      <c r="AU83" s="8"/>
      <c r="AV83" s="66">
        <v>0</v>
      </c>
      <c r="AW83" s="66">
        <v>0</v>
      </c>
      <c r="AX83" s="66">
        <v>0</v>
      </c>
      <c r="AY83" s="8"/>
      <c r="AZ83" s="66">
        <v>0</v>
      </c>
      <c r="BA83" s="66">
        <v>0</v>
      </c>
      <c r="BB83" s="66">
        <v>0</v>
      </c>
      <c r="BC83" s="106"/>
      <c r="BD83" s="66">
        <v>100000000</v>
      </c>
      <c r="BE83" s="66">
        <f>'[1]UNIV. LIB.2019'!Q89</f>
        <v>100000000</v>
      </c>
      <c r="BF83" s="66">
        <f t="shared" si="21"/>
        <v>0</v>
      </c>
      <c r="BH83" s="66">
        <v>50000000</v>
      </c>
      <c r="BI83" s="66">
        <f>'[1]UNIV. LIB.2019'!R89</f>
        <v>0</v>
      </c>
      <c r="BJ83" s="66">
        <f>BH83-BI83</f>
        <v>50000000</v>
      </c>
      <c r="BL83" s="83">
        <f>'[1]Univ Comm Fund'!S184</f>
        <v>0</v>
      </c>
      <c r="BM83" s="83">
        <f>'[1]UNIV. LIB.2019'!S89</f>
        <v>0</v>
      </c>
      <c r="BN83" s="66">
        <f t="shared" si="23"/>
        <v>0</v>
      </c>
      <c r="BP83" s="83">
        <f>'[1]Univ Comm Fund'!T184</f>
        <v>30000000</v>
      </c>
      <c r="BQ83" s="83">
        <f>'[1]UNIV. LIB.2019'!T89</f>
        <v>0</v>
      </c>
      <c r="BR83" s="66">
        <f t="shared" si="24"/>
        <v>30000000</v>
      </c>
      <c r="BT83" s="83">
        <f>'[1]Univ Comm Fund'!U184</f>
        <v>0</v>
      </c>
      <c r="BU83" s="83">
        <f>'[1]UNIV. LIB.2019'!U89</f>
        <v>0</v>
      </c>
      <c r="BV83" s="66">
        <f t="shared" si="25"/>
        <v>0</v>
      </c>
      <c r="BX83" s="66">
        <f t="shared" si="26"/>
        <v>180000000</v>
      </c>
      <c r="BY83" s="66">
        <f t="shared" si="26"/>
        <v>100000000</v>
      </c>
      <c r="BZ83" s="66">
        <f t="shared" si="27"/>
        <v>80000000</v>
      </c>
      <c r="EN83" s="3"/>
      <c r="EO83" s="3"/>
      <c r="EP83" s="3"/>
      <c r="EQ83" s="3"/>
      <c r="EW83" s="10"/>
    </row>
    <row r="84" spans="1:153" x14ac:dyDescent="0.25">
      <c r="A84" s="164" t="s">
        <v>143</v>
      </c>
      <c r="B84" s="91" t="s">
        <v>144</v>
      </c>
      <c r="C84" s="91"/>
      <c r="D84" s="66">
        <v>0</v>
      </c>
      <c r="E84" s="66">
        <v>0</v>
      </c>
      <c r="F84" s="66">
        <v>0</v>
      </c>
      <c r="G84" s="8"/>
      <c r="H84" s="66">
        <v>0</v>
      </c>
      <c r="I84" s="66">
        <v>0</v>
      </c>
      <c r="J84" s="66">
        <v>0</v>
      </c>
      <c r="L84" s="66">
        <v>0</v>
      </c>
      <c r="M84" s="66">
        <v>0</v>
      </c>
      <c r="N84" s="66">
        <v>0</v>
      </c>
      <c r="O84" s="8"/>
      <c r="P84" s="66">
        <v>0</v>
      </c>
      <c r="Q84" s="66">
        <v>0</v>
      </c>
      <c r="R84" s="66">
        <v>0</v>
      </c>
      <c r="S84" s="8"/>
      <c r="T84" s="66">
        <v>0</v>
      </c>
      <c r="U84" s="66">
        <v>0</v>
      </c>
      <c r="V84" s="66">
        <v>0</v>
      </c>
      <c r="W84" s="8"/>
      <c r="X84" s="66">
        <v>0</v>
      </c>
      <c r="Y84" s="66">
        <v>0</v>
      </c>
      <c r="Z84" s="66">
        <v>0</v>
      </c>
      <c r="AA84" s="8"/>
      <c r="AB84" s="66">
        <v>0</v>
      </c>
      <c r="AC84" s="66">
        <v>0</v>
      </c>
      <c r="AD84" s="66">
        <v>0</v>
      </c>
      <c r="AE84" s="8"/>
      <c r="AF84" s="66">
        <v>0</v>
      </c>
      <c r="AG84" s="66">
        <v>0</v>
      </c>
      <c r="AH84" s="66">
        <v>0</v>
      </c>
      <c r="AI84" s="8"/>
      <c r="AJ84" s="66">
        <v>0</v>
      </c>
      <c r="AK84" s="66">
        <v>0</v>
      </c>
      <c r="AL84" s="66">
        <v>0</v>
      </c>
      <c r="AM84" s="8"/>
      <c r="AN84" s="66">
        <v>0</v>
      </c>
      <c r="AO84" s="66">
        <v>0</v>
      </c>
      <c r="AP84" s="66">
        <v>0</v>
      </c>
      <c r="AQ84" s="8"/>
      <c r="AR84" s="66">
        <v>0</v>
      </c>
      <c r="AS84" s="66">
        <v>0</v>
      </c>
      <c r="AT84" s="66">
        <v>0</v>
      </c>
      <c r="AU84" s="8"/>
      <c r="AV84" s="66">
        <v>0</v>
      </c>
      <c r="AW84" s="66">
        <v>0</v>
      </c>
      <c r="AX84" s="66">
        <v>0</v>
      </c>
      <c r="AY84" s="8"/>
      <c r="AZ84" s="66">
        <v>0</v>
      </c>
      <c r="BA84" s="66">
        <v>0</v>
      </c>
      <c r="BB84" s="66">
        <v>0</v>
      </c>
      <c r="BC84" s="106"/>
      <c r="BD84" s="66">
        <v>0</v>
      </c>
      <c r="BE84" s="66">
        <v>0</v>
      </c>
      <c r="BF84" s="66">
        <v>0</v>
      </c>
      <c r="BH84" s="66">
        <v>0</v>
      </c>
      <c r="BI84" s="66">
        <v>0</v>
      </c>
      <c r="BJ84" s="66">
        <v>0</v>
      </c>
      <c r="BL84" s="83">
        <v>0</v>
      </c>
      <c r="BM84" s="83"/>
      <c r="BN84" s="66">
        <f t="shared" si="23"/>
        <v>0</v>
      </c>
      <c r="BR84" s="66">
        <f t="shared" si="24"/>
        <v>0</v>
      </c>
      <c r="BT84" s="83">
        <f>'[1]Univ Comm Fund'!U185</f>
        <v>20000000</v>
      </c>
      <c r="BU84" s="83">
        <f>'[1]UNIV. LIB.2019'!U90</f>
        <v>0</v>
      </c>
      <c r="BV84" s="66">
        <f t="shared" si="25"/>
        <v>20000000</v>
      </c>
      <c r="BX84" s="66">
        <f t="shared" si="26"/>
        <v>20000000</v>
      </c>
      <c r="BY84" s="66">
        <f t="shared" si="26"/>
        <v>0</v>
      </c>
      <c r="BZ84" s="66">
        <f t="shared" si="27"/>
        <v>20000000</v>
      </c>
      <c r="EN84" s="3"/>
      <c r="EO84" s="3"/>
      <c r="EP84" s="3"/>
      <c r="EQ84" s="3"/>
      <c r="EW84" s="10"/>
    </row>
    <row r="85" spans="1:153" x14ac:dyDescent="0.25">
      <c r="A85" s="164">
        <v>77</v>
      </c>
      <c r="B85" s="91" t="s">
        <v>166</v>
      </c>
      <c r="C85" s="91"/>
      <c r="D85" s="66">
        <f>'[1]Univ Comm Fund'!D185</f>
        <v>0</v>
      </c>
      <c r="E85" s="66">
        <v>0</v>
      </c>
      <c r="F85" s="66">
        <v>0</v>
      </c>
      <c r="G85" s="8"/>
      <c r="H85" s="66">
        <v>0</v>
      </c>
      <c r="I85" s="66">
        <v>0</v>
      </c>
      <c r="J85" s="66">
        <v>0</v>
      </c>
      <c r="L85" s="66">
        <v>0</v>
      </c>
      <c r="M85" s="66">
        <v>0</v>
      </c>
      <c r="N85" s="66">
        <v>0</v>
      </c>
      <c r="O85" s="8"/>
      <c r="P85" s="66">
        <v>0</v>
      </c>
      <c r="Q85" s="66">
        <v>0</v>
      </c>
      <c r="R85" s="66">
        <v>0</v>
      </c>
      <c r="S85" s="8"/>
      <c r="T85" s="66">
        <v>0</v>
      </c>
      <c r="U85" s="66">
        <v>0</v>
      </c>
      <c r="V85" s="66">
        <v>0</v>
      </c>
      <c r="W85" s="8"/>
      <c r="X85" s="66">
        <v>0</v>
      </c>
      <c r="Y85" s="66">
        <v>0</v>
      </c>
      <c r="Z85" s="66">
        <v>0</v>
      </c>
      <c r="AA85" s="8"/>
      <c r="AB85" s="66">
        <v>0</v>
      </c>
      <c r="AC85" s="66">
        <v>0</v>
      </c>
      <c r="AD85" s="66">
        <v>0</v>
      </c>
      <c r="AE85" s="8"/>
      <c r="AF85" s="66">
        <v>0</v>
      </c>
      <c r="AG85" s="66">
        <v>0</v>
      </c>
      <c r="AH85" s="66">
        <v>0</v>
      </c>
      <c r="AI85" s="8"/>
      <c r="AJ85" s="66">
        <v>0</v>
      </c>
      <c r="AK85" s="66">
        <v>0</v>
      </c>
      <c r="AL85" s="66">
        <v>0</v>
      </c>
      <c r="AM85" s="8"/>
      <c r="AN85" s="66">
        <v>0</v>
      </c>
      <c r="AO85" s="66">
        <v>0</v>
      </c>
      <c r="AP85" s="66">
        <v>0</v>
      </c>
      <c r="AQ85" s="8"/>
      <c r="AR85" s="66">
        <v>0</v>
      </c>
      <c r="AS85" s="66">
        <v>0</v>
      </c>
      <c r="AT85" s="66">
        <v>0</v>
      </c>
      <c r="AU85" s="8"/>
      <c r="AV85" s="66">
        <v>0</v>
      </c>
      <c r="AW85" s="66">
        <v>0</v>
      </c>
      <c r="AX85" s="66">
        <v>0</v>
      </c>
      <c r="AY85" s="8"/>
      <c r="AZ85" s="66">
        <v>0</v>
      </c>
      <c r="BA85" s="66">
        <v>0</v>
      </c>
      <c r="BB85" s="66">
        <v>0</v>
      </c>
      <c r="BC85" s="106"/>
      <c r="BD85" s="66"/>
      <c r="BE85" s="66"/>
      <c r="BF85" s="66"/>
      <c r="BH85" s="66">
        <v>50000000</v>
      </c>
      <c r="BI85" s="66">
        <f>'[1]UNIV. LIB.2019'!$R$90</f>
        <v>0</v>
      </c>
      <c r="BJ85" s="66">
        <f>BH85-BI85</f>
        <v>50000000</v>
      </c>
      <c r="BL85" s="83">
        <f>'[1]Univ Comm Fund'!S185</f>
        <v>34000000</v>
      </c>
      <c r="BM85" s="83">
        <f>'[1]UNIV. LIB.2019'!$S$90</f>
        <v>0</v>
      </c>
      <c r="BN85" s="66">
        <f t="shared" si="23"/>
        <v>34000000</v>
      </c>
      <c r="BP85" s="83">
        <f>'[1]Univ Comm Fund'!T185</f>
        <v>30000000</v>
      </c>
      <c r="BQ85" s="83">
        <f>'[1]UNIV. LIB.2019'!T90</f>
        <v>0</v>
      </c>
      <c r="BR85" s="66">
        <f t="shared" si="24"/>
        <v>30000000</v>
      </c>
      <c r="BT85" s="83">
        <f>'[1]Univ Comm Fund'!U186</f>
        <v>0</v>
      </c>
      <c r="BU85" s="83">
        <f>'[1]UNIV. LIB.2019'!U92</f>
        <v>0</v>
      </c>
      <c r="BV85" s="66">
        <f t="shared" si="25"/>
        <v>0</v>
      </c>
      <c r="BX85" s="66">
        <f t="shared" si="26"/>
        <v>114000000</v>
      </c>
      <c r="BY85" s="66">
        <f t="shared" si="26"/>
        <v>0</v>
      </c>
      <c r="BZ85" s="66">
        <f t="shared" si="27"/>
        <v>114000000</v>
      </c>
      <c r="EN85" s="3"/>
      <c r="EO85" s="3"/>
      <c r="EP85" s="3"/>
      <c r="EQ85" s="3"/>
      <c r="EW85" s="10"/>
    </row>
    <row r="86" spans="1:153" x14ac:dyDescent="0.25">
      <c r="A86" s="164">
        <v>78</v>
      </c>
      <c r="B86" s="91" t="s">
        <v>167</v>
      </c>
      <c r="C86" s="91"/>
      <c r="D86" s="66">
        <v>0</v>
      </c>
      <c r="E86" s="66">
        <v>0</v>
      </c>
      <c r="F86" s="66">
        <v>0</v>
      </c>
      <c r="G86" s="66">
        <v>0</v>
      </c>
      <c r="H86" s="66">
        <v>0</v>
      </c>
      <c r="I86" s="66">
        <v>0</v>
      </c>
      <c r="J86" s="66">
        <v>0</v>
      </c>
      <c r="K86" s="66">
        <v>0</v>
      </c>
      <c r="L86" s="66">
        <v>0</v>
      </c>
      <c r="M86" s="66">
        <v>0</v>
      </c>
      <c r="N86" s="66">
        <v>0</v>
      </c>
      <c r="O86" s="66">
        <v>0</v>
      </c>
      <c r="P86" s="66">
        <v>0</v>
      </c>
      <c r="Q86" s="66">
        <v>0</v>
      </c>
      <c r="R86" s="66">
        <v>0</v>
      </c>
      <c r="S86" s="66">
        <v>0</v>
      </c>
      <c r="T86" s="66">
        <v>0</v>
      </c>
      <c r="U86" s="66">
        <v>0</v>
      </c>
      <c r="V86" s="66">
        <v>0</v>
      </c>
      <c r="W86" s="66">
        <v>0</v>
      </c>
      <c r="X86" s="66">
        <v>0</v>
      </c>
      <c r="Y86" s="66">
        <v>0</v>
      </c>
      <c r="Z86" s="66">
        <v>0</v>
      </c>
      <c r="AA86" s="66">
        <v>0</v>
      </c>
      <c r="AB86" s="66">
        <v>0</v>
      </c>
      <c r="AC86" s="66">
        <v>0</v>
      </c>
      <c r="AD86" s="66">
        <v>0</v>
      </c>
      <c r="AE86" s="66">
        <v>0</v>
      </c>
      <c r="AF86" s="66">
        <v>0</v>
      </c>
      <c r="AG86" s="66">
        <v>0</v>
      </c>
      <c r="AH86" s="66">
        <v>0</v>
      </c>
      <c r="AI86" s="66">
        <v>0</v>
      </c>
      <c r="AJ86" s="66">
        <v>0</v>
      </c>
      <c r="AK86" s="66">
        <v>0</v>
      </c>
      <c r="AL86" s="66">
        <v>0</v>
      </c>
      <c r="AM86" s="66">
        <v>0</v>
      </c>
      <c r="AN86" s="66">
        <v>0</v>
      </c>
      <c r="AO86" s="66">
        <v>0</v>
      </c>
      <c r="AP86" s="66">
        <v>0</v>
      </c>
      <c r="AQ86" s="66">
        <v>0</v>
      </c>
      <c r="AR86" s="66">
        <v>0</v>
      </c>
      <c r="AS86" s="66">
        <v>0</v>
      </c>
      <c r="AT86" s="66">
        <v>0</v>
      </c>
      <c r="AU86" s="66">
        <v>0</v>
      </c>
      <c r="AV86" s="66">
        <v>0</v>
      </c>
      <c r="AW86" s="66">
        <v>0</v>
      </c>
      <c r="AX86" s="66">
        <v>0</v>
      </c>
      <c r="AY86" s="66">
        <v>0</v>
      </c>
      <c r="AZ86" s="66">
        <v>0</v>
      </c>
      <c r="BA86" s="66">
        <v>0</v>
      </c>
      <c r="BB86" s="66">
        <v>0</v>
      </c>
      <c r="BC86" s="66">
        <v>0</v>
      </c>
      <c r="BD86" s="66">
        <v>0</v>
      </c>
      <c r="BE86" s="66">
        <v>0</v>
      </c>
      <c r="BF86" s="66">
        <v>0</v>
      </c>
      <c r="BG86" s="66">
        <v>0</v>
      </c>
      <c r="BH86" s="66">
        <v>0</v>
      </c>
      <c r="BI86" s="66">
        <v>0</v>
      </c>
      <c r="BJ86" s="66">
        <v>0</v>
      </c>
      <c r="BK86" s="66">
        <v>0</v>
      </c>
      <c r="BL86" s="66">
        <v>0</v>
      </c>
      <c r="BM86" s="66">
        <v>0</v>
      </c>
      <c r="BN86" s="66">
        <v>0</v>
      </c>
      <c r="BO86" s="66">
        <v>0</v>
      </c>
      <c r="BP86" s="66">
        <v>0</v>
      </c>
      <c r="BQ86" s="66">
        <v>0</v>
      </c>
      <c r="BR86" s="66">
        <v>0</v>
      </c>
      <c r="BS86" s="66">
        <v>0</v>
      </c>
      <c r="BT86" s="66">
        <v>0</v>
      </c>
      <c r="BU86" s="66">
        <f>'[1]UNIV. LIB.2019'!$U$91</f>
        <v>0</v>
      </c>
      <c r="BV86" s="66">
        <v>0</v>
      </c>
      <c r="BX86" s="66">
        <f t="shared" si="26"/>
        <v>0</v>
      </c>
      <c r="BY86" s="66">
        <f t="shared" si="26"/>
        <v>0</v>
      </c>
      <c r="BZ86" s="66">
        <f t="shared" si="27"/>
        <v>0</v>
      </c>
      <c r="EN86" s="3"/>
      <c r="EO86" s="3"/>
      <c r="EP86" s="3"/>
      <c r="EQ86" s="3"/>
      <c r="EW86" s="10"/>
    </row>
    <row r="87" spans="1:153" x14ac:dyDescent="0.25">
      <c r="A87" s="8"/>
      <c r="B87" s="139" t="s">
        <v>147</v>
      </c>
      <c r="C87" s="139"/>
      <c r="D87" s="83">
        <f>SUM(D5:D85)</f>
        <v>142625000</v>
      </c>
      <c r="E87" s="83">
        <f t="shared" ref="E87:BK87" si="29">SUM(E5:E85)</f>
        <v>142625000</v>
      </c>
      <c r="F87" s="83">
        <f t="shared" si="29"/>
        <v>0</v>
      </c>
      <c r="G87" s="83">
        <f t="shared" si="29"/>
        <v>0</v>
      </c>
      <c r="H87" s="83">
        <f t="shared" si="29"/>
        <v>138425000</v>
      </c>
      <c r="I87" s="83">
        <f t="shared" si="29"/>
        <v>138425000</v>
      </c>
      <c r="J87" s="83">
        <f t="shared" si="29"/>
        <v>0</v>
      </c>
      <c r="K87" s="83">
        <f t="shared" si="29"/>
        <v>0</v>
      </c>
      <c r="L87" s="83">
        <f t="shared" si="29"/>
        <v>144900000</v>
      </c>
      <c r="M87" s="83">
        <f t="shared" si="29"/>
        <v>144900000</v>
      </c>
      <c r="N87" s="83">
        <f t="shared" si="29"/>
        <v>0</v>
      </c>
      <c r="O87" s="83">
        <f t="shared" si="29"/>
        <v>0</v>
      </c>
      <c r="P87" s="83">
        <f t="shared" si="29"/>
        <v>142900000</v>
      </c>
      <c r="Q87" s="83">
        <f t="shared" si="29"/>
        <v>142900000</v>
      </c>
      <c r="R87" s="83">
        <f t="shared" si="29"/>
        <v>0</v>
      </c>
      <c r="S87" s="83">
        <f t="shared" si="29"/>
        <v>0</v>
      </c>
      <c r="T87" s="83">
        <f t="shared" si="29"/>
        <v>213250000</v>
      </c>
      <c r="U87" s="83">
        <f t="shared" si="29"/>
        <v>213250000</v>
      </c>
      <c r="V87" s="83">
        <f t="shared" si="29"/>
        <v>0</v>
      </c>
      <c r="W87" s="83">
        <f t="shared" si="29"/>
        <v>0</v>
      </c>
      <c r="X87" s="83">
        <f t="shared" si="29"/>
        <v>239750000</v>
      </c>
      <c r="Y87" s="83">
        <f t="shared" si="29"/>
        <v>239750000</v>
      </c>
      <c r="Z87" s="83">
        <f t="shared" si="29"/>
        <v>0</v>
      </c>
      <c r="AA87" s="83">
        <f t="shared" si="29"/>
        <v>0</v>
      </c>
      <c r="AB87" s="83">
        <f t="shared" si="29"/>
        <v>319150000</v>
      </c>
      <c r="AC87" s="83">
        <f t="shared" si="29"/>
        <v>319150000</v>
      </c>
      <c r="AD87" s="83">
        <f t="shared" si="29"/>
        <v>0</v>
      </c>
      <c r="AE87" s="83">
        <f t="shared" si="29"/>
        <v>0</v>
      </c>
      <c r="AF87" s="83">
        <f t="shared" si="29"/>
        <v>478000000</v>
      </c>
      <c r="AG87" s="83">
        <f t="shared" si="29"/>
        <v>478000000</v>
      </c>
      <c r="AH87" s="83">
        <f t="shared" si="29"/>
        <v>0</v>
      </c>
      <c r="AI87" s="83">
        <f t="shared" si="29"/>
        <v>0</v>
      </c>
      <c r="AJ87" s="83">
        <f t="shared" si="29"/>
        <v>440918115.64999998</v>
      </c>
      <c r="AK87" s="83">
        <f t="shared" si="29"/>
        <v>440918115.64999998</v>
      </c>
      <c r="AL87" s="83">
        <f t="shared" si="29"/>
        <v>0</v>
      </c>
      <c r="AM87" s="83">
        <f t="shared" si="29"/>
        <v>0</v>
      </c>
      <c r="AN87" s="83">
        <f t="shared" si="29"/>
        <v>830044197.29999995</v>
      </c>
      <c r="AO87" s="83">
        <f t="shared" si="29"/>
        <v>830044197.29999995</v>
      </c>
      <c r="AP87" s="83">
        <f t="shared" si="29"/>
        <v>0</v>
      </c>
      <c r="AQ87" s="83">
        <f t="shared" si="29"/>
        <v>0</v>
      </c>
      <c r="AR87" s="83">
        <f t="shared" si="29"/>
        <v>1425000000</v>
      </c>
      <c r="AS87" s="83">
        <f t="shared" si="29"/>
        <v>1307500000</v>
      </c>
      <c r="AT87" s="83">
        <f t="shared" si="29"/>
        <v>117500000</v>
      </c>
      <c r="AU87" s="83">
        <f t="shared" si="29"/>
        <v>0</v>
      </c>
      <c r="AV87" s="83">
        <f t="shared" si="29"/>
        <v>3240756176.5700002</v>
      </c>
      <c r="AW87" s="83">
        <f t="shared" si="29"/>
        <v>2845906176.5599999</v>
      </c>
      <c r="AX87" s="83">
        <f t="shared" si="29"/>
        <v>394850000.00999999</v>
      </c>
      <c r="AY87" s="83">
        <f t="shared" si="29"/>
        <v>0</v>
      </c>
      <c r="AZ87" s="83">
        <f t="shared" si="29"/>
        <v>4140000000</v>
      </c>
      <c r="BA87" s="83">
        <f t="shared" si="29"/>
        <v>3213636865.8000002</v>
      </c>
      <c r="BB87" s="83">
        <f t="shared" si="29"/>
        <v>926363134.20000005</v>
      </c>
      <c r="BC87" s="83">
        <f t="shared" si="29"/>
        <v>0</v>
      </c>
      <c r="BD87" s="83">
        <f t="shared" si="29"/>
        <v>7300000000</v>
      </c>
      <c r="BE87" s="83">
        <f t="shared" si="29"/>
        <v>5205000000</v>
      </c>
      <c r="BF87" s="83">
        <f t="shared" si="29"/>
        <v>2095000000</v>
      </c>
      <c r="BG87" s="83">
        <f t="shared" si="29"/>
        <v>0</v>
      </c>
      <c r="BH87" s="83">
        <f>SUM(BH5:BH85)</f>
        <v>3700000000</v>
      </c>
      <c r="BI87" s="83">
        <f t="shared" si="29"/>
        <v>1527500000</v>
      </c>
      <c r="BJ87" s="83">
        <f t="shared" si="29"/>
        <v>2172500000</v>
      </c>
      <c r="BK87" s="199">
        <f t="shared" si="29"/>
        <v>0</v>
      </c>
      <c r="BL87" s="83">
        <f>SUM(BL5:BL85)</f>
        <v>2516000000</v>
      </c>
      <c r="BM87" s="83">
        <f>SUM(BM5:BM85)</f>
        <v>776900000</v>
      </c>
      <c r="BN87" s="66">
        <f t="shared" si="23"/>
        <v>1739100000</v>
      </c>
      <c r="BO87" s="200"/>
      <c r="BP87" s="83">
        <f>'[1]Univ Comm Fund'!T187</f>
        <v>2220000000</v>
      </c>
      <c r="BQ87" s="83">
        <f>'[1]UNIV. LIB.2019'!T92</f>
        <v>0</v>
      </c>
      <c r="BR87" s="66">
        <f>BP87-BQ87</f>
        <v>2220000000</v>
      </c>
      <c r="BT87" s="83">
        <f>SUM(BT5:BT85)</f>
        <v>1480000000</v>
      </c>
      <c r="BU87" s="83">
        <f>SUM(BU5:BU85)</f>
        <v>0</v>
      </c>
      <c r="BV87" s="66">
        <f t="shared" si="25"/>
        <v>1480000000</v>
      </c>
      <c r="BX87" s="66">
        <f>SUM(BX5:BX86)</f>
        <v>29111718489.52</v>
      </c>
      <c r="BY87" s="66">
        <f>SUM(BY5:BY86)</f>
        <v>17966405355.309998</v>
      </c>
      <c r="BZ87" s="66">
        <f>SUM(BZ5:BZ86)</f>
        <v>11145313134.210001</v>
      </c>
      <c r="EN87" s="3"/>
      <c r="EO87" s="3"/>
      <c r="EP87" s="3"/>
      <c r="EQ87" s="3"/>
      <c r="EW87" s="10"/>
    </row>
    <row r="88" spans="1:153" x14ac:dyDescent="0.25">
      <c r="A88" s="3"/>
      <c r="B88" s="3"/>
      <c r="C88" s="3"/>
      <c r="AJ88" s="3"/>
      <c r="AK88" s="3"/>
      <c r="AL88" s="3"/>
      <c r="AM88" s="3"/>
      <c r="BD88" s="4"/>
      <c r="BI88" s="4"/>
      <c r="BU88" s="102"/>
      <c r="EO88" s="3"/>
      <c r="EP88" s="3"/>
      <c r="EQ88" s="3"/>
    </row>
    <row r="89" spans="1:153" x14ac:dyDescent="0.25">
      <c r="A89" s="3"/>
      <c r="B89" s="3"/>
      <c r="C89" s="3"/>
      <c r="AJ89" s="3"/>
      <c r="AK89" s="3"/>
      <c r="AL89" s="3"/>
      <c r="AM89" s="3"/>
      <c r="BA89" s="4"/>
      <c r="BD89" s="6"/>
      <c r="BU89" s="102"/>
      <c r="EO89" s="3"/>
      <c r="EP89" s="3"/>
      <c r="EQ89" s="3"/>
    </row>
    <row r="90" spans="1:153" x14ac:dyDescent="0.25">
      <c r="A90" s="3"/>
      <c r="B90" s="3"/>
      <c r="C90" s="3"/>
      <c r="AJ90" s="3"/>
      <c r="AK90" s="3"/>
      <c r="AL90" s="3"/>
      <c r="AM90" s="3"/>
      <c r="BU90" s="102"/>
      <c r="EO90" s="3"/>
      <c r="EP90" s="3"/>
      <c r="EQ90" s="3"/>
    </row>
    <row r="91" spans="1:153" x14ac:dyDescent="0.25">
      <c r="A91" s="3"/>
      <c r="B91" s="3"/>
      <c r="C91" s="3"/>
      <c r="AJ91" s="3"/>
      <c r="AK91" s="3"/>
      <c r="AL91" s="3"/>
      <c r="AM91" s="3"/>
      <c r="BI91" s="6"/>
      <c r="EO91" s="3"/>
      <c r="EP91" s="3"/>
      <c r="EQ91" s="3"/>
    </row>
    <row r="92" spans="1:153" x14ac:dyDescent="0.25">
      <c r="A92" s="3"/>
      <c r="B92" s="3"/>
      <c r="C92" s="3"/>
      <c r="AJ92" s="3"/>
      <c r="AK92" s="3"/>
      <c r="AL92" s="3"/>
      <c r="AM92" s="3"/>
      <c r="BA92" s="201"/>
      <c r="EO92" s="3"/>
      <c r="EP92" s="3"/>
      <c r="EQ92" s="3"/>
    </row>
    <row r="93" spans="1:153" x14ac:dyDescent="0.25">
      <c r="A93" s="3"/>
      <c r="B93" s="3"/>
      <c r="C93" s="3"/>
      <c r="AJ93" s="3"/>
      <c r="AK93" s="3"/>
      <c r="AL93" s="3"/>
      <c r="AM93" s="3"/>
      <c r="BH93" s="4"/>
      <c r="EO93" s="3"/>
      <c r="EP93" s="3"/>
      <c r="EQ93" s="3"/>
    </row>
    <row r="94" spans="1:153" x14ac:dyDescent="0.25">
      <c r="A94" s="3"/>
      <c r="B94" s="3"/>
      <c r="C94" s="3"/>
      <c r="AJ94" s="3"/>
      <c r="AK94" s="3"/>
      <c r="AL94" s="3"/>
      <c r="AM94" s="3"/>
      <c r="BH94" s="6"/>
      <c r="EO94" s="3"/>
      <c r="EP94" s="3"/>
      <c r="EQ94" s="3"/>
    </row>
    <row r="95" spans="1:153" x14ac:dyDescent="0.25">
      <c r="A95" s="3"/>
      <c r="B95" s="3"/>
      <c r="C95" s="3"/>
      <c r="AJ95" s="3"/>
      <c r="AK95" s="3"/>
      <c r="AL95" s="3"/>
      <c r="AM95" s="3"/>
      <c r="BH95" s="4"/>
      <c r="EO95" s="3"/>
      <c r="EP95" s="3"/>
      <c r="EQ95" s="3"/>
    </row>
    <row r="96" spans="1:153" x14ac:dyDescent="0.25">
      <c r="A96" s="3"/>
      <c r="B96" s="3"/>
      <c r="C96" s="3"/>
      <c r="AJ96" s="3"/>
      <c r="AK96" s="3"/>
      <c r="AL96" s="3"/>
      <c r="AM96" s="3"/>
      <c r="BH96" s="6"/>
      <c r="EO96" s="3"/>
      <c r="EP96" s="3"/>
      <c r="EQ96" s="3"/>
    </row>
    <row r="97" spans="1:147" x14ac:dyDescent="0.25">
      <c r="A97" s="3"/>
      <c r="B97" s="3"/>
      <c r="C97" s="3"/>
      <c r="AJ97" s="3"/>
      <c r="AK97" s="3"/>
      <c r="AL97" s="3"/>
      <c r="AM97" s="3"/>
      <c r="EO97" s="3"/>
      <c r="EP97" s="3"/>
      <c r="EQ97" s="3"/>
    </row>
    <row r="98" spans="1:147" x14ac:dyDescent="0.25">
      <c r="A98" s="3"/>
      <c r="B98" s="3"/>
      <c r="C98" s="3"/>
      <c r="AJ98" s="3"/>
      <c r="AK98" s="3"/>
      <c r="AL98" s="3"/>
      <c r="AM98" s="3"/>
      <c r="EO98" s="3"/>
      <c r="EP98" s="3"/>
      <c r="EQ98" s="3"/>
    </row>
    <row r="99" spans="1:147" x14ac:dyDescent="0.25">
      <c r="A99" s="3"/>
      <c r="B99" s="3"/>
      <c r="C99" s="3"/>
      <c r="AJ99" s="3"/>
      <c r="AK99" s="3"/>
      <c r="AL99" s="3"/>
      <c r="AM99" s="3"/>
      <c r="EO99" s="3"/>
      <c r="EP99" s="3"/>
      <c r="EQ99" s="3"/>
    </row>
    <row r="100" spans="1:147" x14ac:dyDescent="0.25">
      <c r="A100" s="3"/>
      <c r="B100" s="3"/>
      <c r="C100" s="3"/>
      <c r="AJ100" s="3"/>
      <c r="AK100" s="3"/>
      <c r="AL100" s="3"/>
      <c r="AM100" s="3"/>
      <c r="EO100" s="3"/>
      <c r="EP100" s="3"/>
      <c r="EQ100" s="3"/>
    </row>
    <row r="101" spans="1:147" x14ac:dyDescent="0.25">
      <c r="A101" s="3"/>
      <c r="B101" s="3"/>
      <c r="C101" s="3"/>
      <c r="AJ101" s="3"/>
      <c r="AK101" s="3"/>
      <c r="AL101" s="3"/>
      <c r="AM101" s="3"/>
      <c r="EO101" s="3"/>
      <c r="EP101" s="3"/>
      <c r="EQ101" s="3"/>
    </row>
    <row r="102" spans="1:147" x14ac:dyDescent="0.25">
      <c r="A102" s="3"/>
      <c r="B102" s="3"/>
      <c r="C102" s="3"/>
      <c r="AJ102" s="3"/>
      <c r="AK102" s="3"/>
      <c r="AL102" s="3"/>
      <c r="AM102" s="3"/>
      <c r="EO102" s="3"/>
      <c r="EP102" s="3"/>
      <c r="EQ102" s="3"/>
    </row>
    <row r="103" spans="1:147" x14ac:dyDescent="0.25">
      <c r="A103" s="3"/>
      <c r="B103" s="3"/>
      <c r="C103" s="3"/>
      <c r="AJ103" s="3"/>
      <c r="AK103" s="3"/>
      <c r="AL103" s="3"/>
      <c r="AM103" s="3"/>
      <c r="EO103" s="3"/>
      <c r="EP103" s="3"/>
      <c r="EQ103" s="3"/>
    </row>
    <row r="104" spans="1:147" x14ac:dyDescent="0.25">
      <c r="A104" s="3"/>
      <c r="B104" s="3"/>
      <c r="C104" s="3"/>
      <c r="AJ104" s="3"/>
      <c r="AK104" s="3"/>
      <c r="AL104" s="3"/>
      <c r="AM104" s="3"/>
      <c r="EO104" s="3"/>
      <c r="EP104" s="3"/>
      <c r="EQ104" s="3"/>
    </row>
    <row r="105" spans="1:147" x14ac:dyDescent="0.25">
      <c r="A105" s="3"/>
      <c r="B105" s="3"/>
      <c r="C105" s="3"/>
      <c r="AJ105" s="3"/>
      <c r="AK105" s="3"/>
      <c r="AL105" s="3"/>
      <c r="AM105" s="3"/>
      <c r="EO105" s="3"/>
      <c r="EP105" s="3"/>
      <c r="EQ105" s="3"/>
    </row>
    <row r="106" spans="1:147" x14ac:dyDescent="0.25">
      <c r="A106" s="3"/>
      <c r="B106" s="3"/>
      <c r="C106" s="3"/>
      <c r="AJ106" s="3"/>
      <c r="AK106" s="3"/>
      <c r="AL106" s="3"/>
      <c r="AM106" s="3"/>
      <c r="EO106" s="3"/>
      <c r="EP106" s="3"/>
      <c r="EQ106" s="3"/>
    </row>
    <row r="107" spans="1:147" x14ac:dyDescent="0.25">
      <c r="A107" s="3"/>
      <c r="B107" s="3"/>
      <c r="C107" s="3"/>
      <c r="AJ107" s="3"/>
      <c r="AK107" s="3"/>
      <c r="AL107" s="3"/>
      <c r="AM107" s="3"/>
      <c r="EO107" s="3"/>
      <c r="EP107" s="3"/>
      <c r="EQ107" s="3"/>
    </row>
    <row r="108" spans="1:147" x14ac:dyDescent="0.25">
      <c r="A108" s="3"/>
      <c r="B108" s="3"/>
      <c r="C108" s="3"/>
      <c r="AJ108" s="3"/>
      <c r="AK108" s="3"/>
      <c r="AL108" s="3"/>
      <c r="AM108" s="3"/>
      <c r="EO108" s="3"/>
      <c r="EP108" s="3"/>
      <c r="EQ108" s="3"/>
    </row>
    <row r="109" spans="1:147" x14ac:dyDescent="0.25">
      <c r="A109" s="3"/>
      <c r="B109" s="3"/>
      <c r="C109" s="3"/>
      <c r="AJ109" s="3"/>
      <c r="AK109" s="3"/>
      <c r="AL109" s="3"/>
      <c r="AM109" s="3"/>
      <c r="EO109" s="3"/>
      <c r="EP109" s="3"/>
      <c r="EQ109" s="3"/>
    </row>
    <row r="110" spans="1:147" x14ac:dyDescent="0.25">
      <c r="A110" s="3"/>
      <c r="B110" s="3"/>
      <c r="C110" s="3"/>
      <c r="AJ110" s="3"/>
      <c r="AK110" s="3"/>
      <c r="AL110" s="3"/>
      <c r="AM110" s="3"/>
      <c r="EO110" s="3"/>
      <c r="EP110" s="3"/>
      <c r="EQ110" s="3"/>
    </row>
    <row r="111" spans="1:147" x14ac:dyDescent="0.25">
      <c r="A111" s="3"/>
      <c r="B111" s="3"/>
      <c r="C111" s="3"/>
      <c r="AJ111" s="3"/>
      <c r="AK111" s="3"/>
      <c r="AL111" s="3"/>
      <c r="AM111" s="3"/>
      <c r="EO111" s="3"/>
      <c r="EP111" s="3"/>
      <c r="EQ111" s="3"/>
    </row>
    <row r="112" spans="1:147" x14ac:dyDescent="0.25">
      <c r="A112" s="3"/>
      <c r="B112" s="3"/>
      <c r="C112" s="3"/>
      <c r="AJ112" s="3"/>
      <c r="AK112" s="3"/>
      <c r="AL112" s="3"/>
      <c r="AM112" s="3"/>
      <c r="EO112" s="3"/>
      <c r="EP112" s="3"/>
      <c r="EQ112" s="3"/>
    </row>
    <row r="113" spans="1:147" x14ac:dyDescent="0.25">
      <c r="A113" s="3"/>
      <c r="B113" s="3"/>
      <c r="C113" s="3"/>
      <c r="AJ113" s="3"/>
      <c r="AK113" s="3"/>
      <c r="AL113" s="3"/>
      <c r="AM113" s="3"/>
      <c r="EO113" s="3"/>
      <c r="EP113" s="3"/>
      <c r="EQ113" s="3"/>
    </row>
    <row r="114" spans="1:147" x14ac:dyDescent="0.25">
      <c r="A114" s="3"/>
      <c r="B114" s="3"/>
      <c r="C114" s="3"/>
      <c r="AJ114" s="3"/>
      <c r="AK114" s="3"/>
      <c r="AL114" s="3"/>
      <c r="AM114" s="3"/>
      <c r="EO114" s="3"/>
      <c r="EP114" s="3"/>
      <c r="EQ114" s="3"/>
    </row>
    <row r="115" spans="1:147" x14ac:dyDescent="0.25">
      <c r="A115" s="3"/>
      <c r="B115" s="3"/>
      <c r="C115" s="3"/>
      <c r="AJ115" s="3"/>
      <c r="AK115" s="3"/>
      <c r="AL115" s="3"/>
      <c r="AM115" s="3"/>
      <c r="EO115" s="3"/>
      <c r="EP115" s="3"/>
      <c r="EQ115" s="3"/>
    </row>
    <row r="116" spans="1:147" x14ac:dyDescent="0.25">
      <c r="A116" s="3"/>
      <c r="B116" s="3"/>
      <c r="C116" s="3"/>
      <c r="AJ116" s="3"/>
      <c r="AK116" s="3"/>
      <c r="AL116" s="3"/>
      <c r="AM116" s="3"/>
      <c r="EO116" s="3"/>
      <c r="EP116" s="3"/>
      <c r="EQ116" s="3"/>
    </row>
    <row r="117" spans="1:147" x14ac:dyDescent="0.25">
      <c r="A117" s="3"/>
      <c r="B117" s="3"/>
      <c r="C117" s="3"/>
      <c r="AJ117" s="3"/>
      <c r="AK117" s="3"/>
      <c r="AL117" s="3"/>
      <c r="AM117" s="3"/>
      <c r="EO117" s="3"/>
      <c r="EP117" s="3"/>
      <c r="EQ117" s="3"/>
    </row>
    <row r="118" spans="1:147" x14ac:dyDescent="0.25">
      <c r="A118" s="3"/>
      <c r="B118" s="3"/>
      <c r="C118" s="3"/>
      <c r="AJ118" s="3"/>
      <c r="AK118" s="3"/>
      <c r="AL118" s="3"/>
      <c r="AM118" s="3"/>
      <c r="EO118" s="3"/>
      <c r="EP118" s="3"/>
      <c r="EQ118" s="3"/>
    </row>
    <row r="119" spans="1:147" x14ac:dyDescent="0.25">
      <c r="A119" s="3"/>
      <c r="B119" s="3"/>
      <c r="C119" s="3"/>
      <c r="AJ119" s="3"/>
      <c r="AK119" s="3"/>
      <c r="AL119" s="3"/>
      <c r="AM119" s="3"/>
      <c r="EO119" s="3"/>
      <c r="EP119" s="3"/>
      <c r="EQ119" s="3"/>
    </row>
    <row r="120" spans="1:147" x14ac:dyDescent="0.25">
      <c r="A120" s="3"/>
      <c r="B120" s="3"/>
      <c r="C120" s="3"/>
      <c r="AJ120" s="3"/>
      <c r="AK120" s="3"/>
      <c r="AL120" s="3"/>
      <c r="AM120" s="3"/>
      <c r="EO120" s="3"/>
      <c r="EP120" s="3"/>
      <c r="EQ120" s="3"/>
    </row>
    <row r="121" spans="1:147" x14ac:dyDescent="0.25">
      <c r="A121" s="3"/>
      <c r="B121" s="3"/>
      <c r="C121" s="3"/>
      <c r="AJ121" s="3"/>
      <c r="AK121" s="3"/>
      <c r="AL121" s="3"/>
      <c r="AM121" s="3"/>
      <c r="EO121" s="3"/>
      <c r="EP121" s="3"/>
      <c r="EQ121" s="3"/>
    </row>
    <row r="122" spans="1:147" x14ac:dyDescent="0.25">
      <c r="A122" s="3"/>
      <c r="B122" s="3"/>
      <c r="C122" s="3"/>
      <c r="AJ122" s="3"/>
      <c r="AK122" s="3"/>
      <c r="AL122" s="3"/>
      <c r="AM122" s="3"/>
      <c r="EO122" s="3"/>
      <c r="EP122" s="3"/>
      <c r="EQ122" s="3"/>
    </row>
    <row r="123" spans="1:147" x14ac:dyDescent="0.25">
      <c r="A123" s="3"/>
      <c r="B123" s="3"/>
      <c r="C123" s="3"/>
      <c r="AJ123" s="3"/>
      <c r="AK123" s="3"/>
      <c r="AL123" s="3"/>
      <c r="AM123" s="3"/>
      <c r="EO123" s="3"/>
      <c r="EP123" s="3"/>
      <c r="EQ123" s="3"/>
    </row>
    <row r="124" spans="1:147" x14ac:dyDescent="0.25">
      <c r="A124" s="3"/>
      <c r="B124" s="3"/>
      <c r="C124" s="3"/>
      <c r="AJ124" s="3"/>
      <c r="AK124" s="3"/>
      <c r="AL124" s="3"/>
      <c r="AM124" s="3"/>
      <c r="EO124" s="3"/>
      <c r="EP124" s="3"/>
      <c r="EQ124" s="3"/>
    </row>
    <row r="125" spans="1:147" x14ac:dyDescent="0.25">
      <c r="A125" s="3"/>
      <c r="B125" s="3"/>
      <c r="C125" s="3"/>
      <c r="AJ125" s="3"/>
      <c r="AK125" s="3"/>
      <c r="AL125" s="3"/>
      <c r="AM125" s="3"/>
      <c r="EO125" s="3"/>
      <c r="EP125" s="3"/>
      <c r="EQ125" s="3"/>
    </row>
    <row r="126" spans="1:147" x14ac:dyDescent="0.25">
      <c r="A126" s="3"/>
      <c r="B126" s="3"/>
      <c r="C126" s="3"/>
      <c r="AJ126" s="3"/>
      <c r="AK126" s="3"/>
      <c r="AL126" s="3"/>
      <c r="AM126" s="3"/>
      <c r="EO126" s="3"/>
      <c r="EP126" s="3"/>
      <c r="EQ126" s="3"/>
    </row>
    <row r="127" spans="1:147" x14ac:dyDescent="0.25">
      <c r="A127" s="3"/>
      <c r="B127" s="3"/>
      <c r="C127" s="3"/>
      <c r="AJ127" s="3"/>
      <c r="AK127" s="3"/>
      <c r="AL127" s="3"/>
      <c r="AM127" s="3"/>
      <c r="EO127" s="3"/>
      <c r="EP127" s="3"/>
      <c r="EQ127" s="3"/>
    </row>
    <row r="128" spans="1:147" x14ac:dyDescent="0.25">
      <c r="A128" s="3"/>
      <c r="B128" s="3"/>
      <c r="C128" s="3"/>
      <c r="AJ128" s="3"/>
      <c r="AK128" s="3"/>
      <c r="AL128" s="3"/>
      <c r="AM128" s="3"/>
      <c r="EO128" s="3"/>
      <c r="EP128" s="3"/>
      <c r="EQ128" s="3"/>
    </row>
    <row r="129" spans="1:147" x14ac:dyDescent="0.25">
      <c r="A129" s="3"/>
      <c r="B129" s="3"/>
      <c r="C129" s="3"/>
      <c r="AJ129" s="3"/>
      <c r="AK129" s="3"/>
      <c r="AL129" s="3"/>
      <c r="AM129" s="3"/>
      <c r="EO129" s="3"/>
      <c r="EP129" s="3"/>
      <c r="EQ129" s="3"/>
    </row>
    <row r="130" spans="1:147" x14ac:dyDescent="0.25">
      <c r="A130" s="3"/>
      <c r="B130" s="3"/>
      <c r="C130" s="3"/>
      <c r="AJ130" s="3"/>
      <c r="AK130" s="3"/>
      <c r="AL130" s="3"/>
      <c r="AM130" s="3"/>
      <c r="EO130" s="3"/>
      <c r="EP130" s="3"/>
      <c r="EQ130" s="3"/>
    </row>
    <row r="131" spans="1:147" x14ac:dyDescent="0.25">
      <c r="A131" s="3"/>
      <c r="B131" s="3"/>
      <c r="C131" s="3"/>
      <c r="AJ131" s="3"/>
      <c r="AK131" s="3"/>
      <c r="AL131" s="3"/>
      <c r="AM131" s="3"/>
      <c r="EO131" s="3"/>
      <c r="EP131" s="3"/>
      <c r="EQ131" s="3"/>
    </row>
    <row r="132" spans="1:147" x14ac:dyDescent="0.25">
      <c r="A132" s="3"/>
      <c r="B132" s="3"/>
      <c r="C132" s="3"/>
      <c r="AJ132" s="3"/>
      <c r="AK132" s="3"/>
      <c r="AL132" s="3"/>
      <c r="AM132" s="3"/>
      <c r="EO132" s="3"/>
      <c r="EP132" s="3"/>
      <c r="EQ132" s="3"/>
    </row>
    <row r="133" spans="1:147" x14ac:dyDescent="0.25">
      <c r="A133" s="3"/>
      <c r="B133" s="3"/>
      <c r="C133" s="3"/>
      <c r="AJ133" s="3"/>
      <c r="AK133" s="3"/>
      <c r="AL133" s="3"/>
      <c r="AM133" s="3"/>
      <c r="EO133" s="3"/>
      <c r="EP133" s="3"/>
      <c r="EQ133" s="3"/>
    </row>
    <row r="134" spans="1:147" x14ac:dyDescent="0.25">
      <c r="A134" s="3"/>
      <c r="B134" s="3"/>
      <c r="C134" s="3"/>
    </row>
    <row r="135" spans="1:147" x14ac:dyDescent="0.25">
      <c r="A135" s="3"/>
      <c r="B135" s="3"/>
      <c r="C135" s="3"/>
    </row>
    <row r="136" spans="1:147" x14ac:dyDescent="0.25">
      <c r="A136" s="3"/>
      <c r="B136" s="3"/>
      <c r="C136" s="3"/>
    </row>
    <row r="137" spans="1:147" x14ac:dyDescent="0.25">
      <c r="A137" s="3"/>
      <c r="B137" s="3"/>
      <c r="C137" s="3"/>
    </row>
    <row r="138" spans="1:147" x14ac:dyDescent="0.25">
      <c r="A138" s="3"/>
      <c r="B138" s="3"/>
      <c r="C138" s="3"/>
    </row>
    <row r="139" spans="1:147" x14ac:dyDescent="0.25">
      <c r="A139" s="3"/>
      <c r="B139" s="3"/>
      <c r="C139" s="3"/>
    </row>
    <row r="140" spans="1:147" x14ac:dyDescent="0.25">
      <c r="A140" s="3"/>
      <c r="B140" s="3"/>
      <c r="C140" s="3"/>
    </row>
    <row r="141" spans="1:147" x14ac:dyDescent="0.25">
      <c r="A141" s="3"/>
      <c r="B141" s="3"/>
      <c r="C141" s="3"/>
    </row>
    <row r="142" spans="1:147" x14ac:dyDescent="0.25">
      <c r="A142" s="3"/>
      <c r="B142" s="3"/>
      <c r="C142" s="3"/>
    </row>
    <row r="143" spans="1:147" x14ac:dyDescent="0.25">
      <c r="A143" s="3"/>
      <c r="B143" s="3"/>
      <c r="C143" s="3"/>
    </row>
    <row r="144" spans="1:147" x14ac:dyDescent="0.25">
      <c r="A144" s="3"/>
      <c r="B144" s="3"/>
      <c r="C144" s="3"/>
    </row>
    <row r="145" spans="1:147" x14ac:dyDescent="0.25">
      <c r="A145" s="3"/>
      <c r="B145" s="3"/>
      <c r="C145" s="3"/>
      <c r="AJ145" s="3"/>
      <c r="AK145" s="3"/>
      <c r="AL145" s="3"/>
      <c r="AM145" s="3"/>
      <c r="EO145" s="3"/>
      <c r="EP145" s="3"/>
      <c r="EQ145" s="3"/>
    </row>
    <row r="146" spans="1:147" x14ac:dyDescent="0.25">
      <c r="A146" s="3"/>
      <c r="B146" s="3"/>
      <c r="C146" s="3"/>
      <c r="AJ146" s="3"/>
      <c r="AK146" s="3"/>
      <c r="AL146" s="3"/>
      <c r="AM146" s="3"/>
      <c r="EO146" s="3"/>
      <c r="EP146" s="3"/>
      <c r="EQ146" s="3"/>
    </row>
    <row r="147" spans="1:147" x14ac:dyDescent="0.25">
      <c r="A147" s="3"/>
      <c r="B147" s="3"/>
      <c r="C147" s="3"/>
      <c r="AJ147" s="3"/>
      <c r="AK147" s="3"/>
      <c r="AL147" s="3"/>
      <c r="AM147" s="3"/>
      <c r="EO147" s="3"/>
      <c r="EP147" s="3"/>
      <c r="EQ147" s="3"/>
    </row>
    <row r="148" spans="1:147" x14ac:dyDescent="0.25">
      <c r="A148" s="3"/>
      <c r="B148" s="3"/>
      <c r="C148" s="3"/>
      <c r="AJ148" s="3"/>
      <c r="AK148" s="3"/>
      <c r="AL148" s="3"/>
      <c r="AM148" s="3"/>
      <c r="EO148" s="3"/>
      <c r="EP148" s="3"/>
      <c r="EQ148" s="3"/>
    </row>
    <row r="149" spans="1:147" x14ac:dyDescent="0.25">
      <c r="A149" s="3"/>
      <c r="B149" s="3"/>
      <c r="C149" s="3"/>
      <c r="AJ149" s="3"/>
      <c r="AK149" s="3"/>
      <c r="AL149" s="3"/>
      <c r="AM149" s="3"/>
      <c r="EO149" s="3"/>
      <c r="EP149" s="3"/>
      <c r="EQ149" s="3"/>
    </row>
    <row r="150" spans="1:147" x14ac:dyDescent="0.25">
      <c r="A150" s="3"/>
      <c r="B150" s="3"/>
      <c r="C150" s="3"/>
      <c r="AJ150" s="3"/>
      <c r="AK150" s="3"/>
      <c r="AL150" s="3"/>
      <c r="AM150" s="3"/>
      <c r="EO150" s="3"/>
      <c r="EP150" s="3"/>
      <c r="EQ150" s="3"/>
    </row>
    <row r="151" spans="1:147" x14ac:dyDescent="0.25">
      <c r="A151" s="3"/>
      <c r="B151" s="3"/>
      <c r="C151" s="3"/>
      <c r="AJ151" s="3"/>
      <c r="AK151" s="3"/>
      <c r="AL151" s="3"/>
      <c r="AM151" s="3"/>
      <c r="EO151" s="3"/>
      <c r="EP151" s="3"/>
      <c r="EQ151" s="3"/>
    </row>
    <row r="152" spans="1:147" x14ac:dyDescent="0.25">
      <c r="A152" s="3"/>
      <c r="B152" s="3"/>
      <c r="C152" s="3"/>
      <c r="AJ152" s="3"/>
      <c r="AK152" s="3"/>
      <c r="AL152" s="3"/>
      <c r="AM152" s="3"/>
      <c r="EO152" s="3"/>
      <c r="EP152" s="3"/>
      <c r="EQ152" s="3"/>
    </row>
    <row r="153" spans="1:147" x14ac:dyDescent="0.25">
      <c r="A153" s="3"/>
      <c r="B153" s="3"/>
      <c r="C153" s="3"/>
      <c r="AJ153" s="3"/>
      <c r="AK153" s="3"/>
      <c r="AL153" s="3"/>
      <c r="AM153" s="3"/>
      <c r="EO153" s="3"/>
      <c r="EP153" s="3"/>
      <c r="EQ153" s="3"/>
    </row>
    <row r="154" spans="1:147" x14ac:dyDescent="0.25">
      <c r="A154" s="3"/>
      <c r="B154" s="3"/>
      <c r="C154" s="3"/>
      <c r="AJ154" s="3"/>
      <c r="AK154" s="3"/>
      <c r="AL154" s="3"/>
      <c r="AM154" s="3"/>
      <c r="EO154" s="3"/>
      <c r="EP154" s="3"/>
      <c r="EQ154" s="3"/>
    </row>
    <row r="155" spans="1:147" x14ac:dyDescent="0.25">
      <c r="A155" s="3"/>
      <c r="B155" s="3"/>
      <c r="C155" s="3"/>
      <c r="AJ155" s="3"/>
      <c r="AK155" s="3"/>
      <c r="AL155" s="3"/>
      <c r="AM155" s="3"/>
      <c r="EO155" s="3"/>
      <c r="EP155" s="3"/>
      <c r="EQ155" s="3"/>
    </row>
    <row r="156" spans="1:147" x14ac:dyDescent="0.25">
      <c r="A156" s="3"/>
      <c r="B156" s="3"/>
      <c r="C156" s="3"/>
      <c r="AJ156" s="3"/>
      <c r="AK156" s="3"/>
      <c r="AL156" s="3"/>
      <c r="AM156" s="3"/>
      <c r="EO156" s="3"/>
      <c r="EP156" s="3"/>
      <c r="EQ156" s="3"/>
    </row>
    <row r="157" spans="1:147" x14ac:dyDescent="0.25">
      <c r="A157" s="3"/>
      <c r="B157" s="3"/>
      <c r="C157" s="3"/>
      <c r="AJ157" s="3"/>
      <c r="AK157" s="3"/>
      <c r="AL157" s="3"/>
      <c r="AM157" s="3"/>
      <c r="EO157" s="3"/>
      <c r="EP157" s="3"/>
      <c r="EQ157" s="3"/>
    </row>
    <row r="158" spans="1:147" x14ac:dyDescent="0.25">
      <c r="A158" s="3"/>
      <c r="B158" s="3"/>
      <c r="C158" s="3"/>
      <c r="AJ158" s="3"/>
      <c r="AK158" s="3"/>
      <c r="AL158" s="3"/>
      <c r="AM158" s="3"/>
      <c r="EO158" s="3"/>
      <c r="EP158" s="3"/>
      <c r="EQ158" s="3"/>
    </row>
    <row r="159" spans="1:147" x14ac:dyDescent="0.25">
      <c r="A159" s="3"/>
      <c r="B159" s="3"/>
      <c r="C159" s="3"/>
      <c r="AJ159" s="3"/>
      <c r="AK159" s="3"/>
      <c r="AL159" s="3"/>
      <c r="AM159" s="3"/>
      <c r="EO159" s="3"/>
      <c r="EP159" s="3"/>
      <c r="EQ159" s="3"/>
    </row>
    <row r="160" spans="1:147" x14ac:dyDescent="0.25">
      <c r="A160" s="3"/>
      <c r="B160" s="3"/>
      <c r="C160" s="3"/>
      <c r="AJ160" s="3"/>
      <c r="AK160" s="3"/>
      <c r="AL160" s="3"/>
      <c r="AM160" s="3"/>
      <c r="EO160" s="3"/>
      <c r="EP160" s="3"/>
      <c r="EQ160" s="3"/>
    </row>
    <row r="161" spans="1:147" x14ac:dyDescent="0.25">
      <c r="A161" s="3"/>
      <c r="B161" s="3"/>
      <c r="C161" s="3"/>
      <c r="AJ161" s="3"/>
      <c r="AK161" s="3"/>
      <c r="AL161" s="3"/>
      <c r="AM161" s="3"/>
      <c r="EO161" s="3"/>
      <c r="EP161" s="3"/>
      <c r="EQ161" s="3"/>
    </row>
    <row r="162" spans="1:147" x14ac:dyDescent="0.25">
      <c r="A162" s="3"/>
      <c r="B162" s="3"/>
      <c r="C162" s="3"/>
      <c r="AJ162" s="3"/>
      <c r="AK162" s="3"/>
      <c r="AL162" s="3"/>
      <c r="AM162" s="3"/>
      <c r="EO162" s="3"/>
      <c r="EP162" s="3"/>
      <c r="EQ162" s="3"/>
    </row>
    <row r="163" spans="1:147" x14ac:dyDescent="0.25">
      <c r="A163" s="3"/>
      <c r="B163" s="3"/>
      <c r="C163" s="3"/>
      <c r="AJ163" s="3"/>
      <c r="AK163" s="3"/>
      <c r="AL163" s="3"/>
      <c r="AM163" s="3"/>
      <c r="EO163" s="3"/>
      <c r="EP163" s="3"/>
      <c r="EQ163" s="3"/>
    </row>
    <row r="164" spans="1:147" x14ac:dyDescent="0.25">
      <c r="A164" s="3"/>
      <c r="B164" s="3"/>
      <c r="C164" s="3"/>
      <c r="AJ164" s="3"/>
      <c r="AK164" s="3"/>
      <c r="AL164" s="3"/>
      <c r="AM164" s="3"/>
      <c r="EO164" s="3"/>
      <c r="EP164" s="3"/>
      <c r="EQ164" s="3"/>
    </row>
    <row r="165" spans="1:147" x14ac:dyDescent="0.25">
      <c r="A165" s="3"/>
      <c r="B165" s="3"/>
      <c r="C165" s="3"/>
      <c r="AJ165" s="3"/>
      <c r="AK165" s="3"/>
      <c r="AL165" s="3"/>
      <c r="AM165" s="3"/>
      <c r="EO165" s="3"/>
      <c r="EP165" s="3"/>
      <c r="EQ165" s="3"/>
    </row>
    <row r="166" spans="1:147" x14ac:dyDescent="0.25">
      <c r="A166" s="3"/>
      <c r="B166" s="3"/>
      <c r="C166" s="3"/>
      <c r="AJ166" s="3"/>
      <c r="AK166" s="3"/>
      <c r="AL166" s="3"/>
      <c r="AM166" s="3"/>
      <c r="EO166" s="3"/>
      <c r="EP166" s="3"/>
      <c r="EQ166" s="3"/>
    </row>
    <row r="167" spans="1:147" x14ac:dyDescent="0.25">
      <c r="A167" s="3"/>
      <c r="B167" s="3"/>
      <c r="C167" s="3"/>
      <c r="AJ167" s="3"/>
      <c r="AK167" s="3"/>
      <c r="AL167" s="3"/>
      <c r="AM167" s="3"/>
      <c r="EO167" s="3"/>
      <c r="EP167" s="3"/>
      <c r="EQ167" s="3"/>
    </row>
    <row r="168" spans="1:147" x14ac:dyDescent="0.25">
      <c r="A168" s="3"/>
      <c r="B168" s="3"/>
      <c r="C168" s="3"/>
      <c r="AJ168" s="3"/>
      <c r="AK168" s="3"/>
      <c r="AL168" s="3"/>
      <c r="AM168" s="3"/>
      <c r="EO168" s="3"/>
      <c r="EP168" s="3"/>
      <c r="EQ168" s="3"/>
    </row>
    <row r="169" spans="1:147" x14ac:dyDescent="0.25">
      <c r="A169" s="3"/>
      <c r="B169" s="3"/>
      <c r="C169" s="3"/>
      <c r="AJ169" s="3"/>
      <c r="AK169" s="3"/>
      <c r="AL169" s="3"/>
      <c r="AM169" s="3"/>
      <c r="EO169" s="3"/>
      <c r="EP169" s="3"/>
      <c r="EQ169" s="3"/>
    </row>
    <row r="170" spans="1:147" x14ac:dyDescent="0.25">
      <c r="A170" s="3"/>
      <c r="B170" s="3"/>
      <c r="C170" s="3"/>
      <c r="AJ170" s="3"/>
      <c r="AK170" s="3"/>
      <c r="AL170" s="3"/>
      <c r="AM170" s="3"/>
      <c r="EO170" s="3"/>
      <c r="EP170" s="3"/>
      <c r="EQ170" s="3"/>
    </row>
    <row r="171" spans="1:147" x14ac:dyDescent="0.25">
      <c r="A171" s="3"/>
      <c r="B171" s="3"/>
      <c r="C171" s="3"/>
      <c r="AJ171" s="3"/>
      <c r="AK171" s="3"/>
      <c r="AL171" s="3"/>
      <c r="AM171" s="3"/>
      <c r="EO171" s="3"/>
      <c r="EP171" s="3"/>
      <c r="EQ171" s="3"/>
    </row>
    <row r="172" spans="1:147" x14ac:dyDescent="0.25">
      <c r="A172" s="3"/>
      <c r="B172" s="3"/>
      <c r="C172" s="3"/>
      <c r="AJ172" s="3"/>
      <c r="AK172" s="3"/>
      <c r="AL172" s="3"/>
      <c r="AM172" s="3"/>
      <c r="EO172" s="3"/>
      <c r="EP172" s="3"/>
      <c r="EQ172" s="3"/>
    </row>
    <row r="173" spans="1:147" x14ac:dyDescent="0.25">
      <c r="A173" s="3"/>
      <c r="B173" s="3"/>
      <c r="C173" s="3"/>
      <c r="AJ173" s="3"/>
      <c r="AK173" s="3"/>
      <c r="AL173" s="3"/>
      <c r="AM173" s="3"/>
      <c r="EO173" s="3"/>
      <c r="EP173" s="3"/>
      <c r="EQ173" s="3"/>
    </row>
    <row r="174" spans="1:147" x14ac:dyDescent="0.25">
      <c r="A174" s="3"/>
      <c r="B174" s="3"/>
      <c r="C174" s="3"/>
      <c r="AJ174" s="3"/>
      <c r="AK174" s="3"/>
      <c r="AL174" s="3"/>
      <c r="AM174" s="3"/>
      <c r="EO174" s="3"/>
      <c r="EP174" s="3"/>
      <c r="EQ174" s="3"/>
    </row>
    <row r="175" spans="1:147" x14ac:dyDescent="0.25">
      <c r="A175" s="3"/>
      <c r="B175" s="3"/>
      <c r="C175" s="3"/>
      <c r="AJ175" s="3"/>
      <c r="AK175" s="3"/>
      <c r="AL175" s="3"/>
      <c r="AM175" s="3"/>
      <c r="EO175" s="3"/>
      <c r="EP175" s="3"/>
      <c r="EQ175" s="3"/>
    </row>
    <row r="176" spans="1:147" x14ac:dyDescent="0.25">
      <c r="A176" s="3"/>
      <c r="B176" s="3"/>
      <c r="C176" s="3"/>
      <c r="AJ176" s="3"/>
      <c r="AK176" s="3"/>
      <c r="AL176" s="3"/>
      <c r="AM176" s="3"/>
      <c r="EO176" s="3"/>
      <c r="EP176" s="3"/>
      <c r="EQ176" s="3"/>
    </row>
    <row r="177" spans="1:147" x14ac:dyDescent="0.25">
      <c r="A177" s="3"/>
      <c r="B177" s="3"/>
      <c r="C177" s="3"/>
      <c r="AJ177" s="3"/>
      <c r="AK177" s="3"/>
      <c r="AL177" s="3"/>
      <c r="AM177" s="3"/>
      <c r="EO177" s="3"/>
      <c r="EP177" s="3"/>
      <c r="EQ177" s="3"/>
    </row>
    <row r="178" spans="1:147" x14ac:dyDescent="0.25">
      <c r="A178" s="3"/>
      <c r="B178" s="3"/>
      <c r="C178" s="3"/>
      <c r="AJ178" s="3"/>
      <c r="AK178" s="3"/>
      <c r="AL178" s="3"/>
      <c r="AM178" s="3"/>
      <c r="EO178" s="3"/>
      <c r="EP178" s="3"/>
      <c r="EQ178" s="3"/>
    </row>
    <row r="179" spans="1:147" x14ac:dyDescent="0.25">
      <c r="A179" s="3"/>
      <c r="B179" s="3"/>
      <c r="C179" s="3"/>
      <c r="AJ179" s="3"/>
      <c r="AK179" s="3"/>
      <c r="AL179" s="3"/>
      <c r="AM179" s="3"/>
      <c r="EO179" s="3"/>
      <c r="EP179" s="3"/>
      <c r="EQ179" s="3"/>
    </row>
    <row r="180" spans="1:147" x14ac:dyDescent="0.25">
      <c r="A180" s="3"/>
      <c r="B180" s="3"/>
      <c r="C180" s="3"/>
      <c r="AJ180" s="3"/>
      <c r="AK180" s="3"/>
      <c r="AL180" s="3"/>
      <c r="AM180" s="3"/>
      <c r="EO180" s="3"/>
      <c r="EP180" s="3"/>
      <c r="EQ180" s="3"/>
    </row>
    <row r="181" spans="1:147" x14ac:dyDescent="0.25">
      <c r="A181" s="3"/>
      <c r="B181" s="3"/>
      <c r="C181" s="3"/>
      <c r="AJ181" s="3"/>
      <c r="AK181" s="3"/>
      <c r="AL181" s="3"/>
      <c r="AM181" s="3"/>
      <c r="EO181" s="3"/>
      <c r="EP181" s="3"/>
      <c r="EQ181" s="3"/>
    </row>
    <row r="182" spans="1:147" x14ac:dyDescent="0.25">
      <c r="A182" s="3"/>
      <c r="B182" s="3"/>
      <c r="C182" s="3"/>
      <c r="AJ182" s="3"/>
      <c r="AK182" s="3"/>
      <c r="AL182" s="3"/>
      <c r="AM182" s="3"/>
      <c r="EO182" s="3"/>
      <c r="EP182" s="3"/>
      <c r="EQ182" s="3"/>
    </row>
    <row r="183" spans="1:147" x14ac:dyDescent="0.25">
      <c r="A183" s="3"/>
      <c r="B183" s="3"/>
      <c r="C183" s="3"/>
      <c r="AJ183" s="3"/>
      <c r="AK183" s="3"/>
      <c r="AL183" s="3"/>
      <c r="AM183" s="3"/>
      <c r="EO183" s="3"/>
      <c r="EP183" s="3"/>
      <c r="EQ183" s="3"/>
    </row>
    <row r="184" spans="1:147" x14ac:dyDescent="0.25">
      <c r="A184" s="3"/>
      <c r="B184" s="3"/>
      <c r="C184" s="3"/>
      <c r="AJ184" s="3"/>
      <c r="AK184" s="3"/>
      <c r="AL184" s="3"/>
      <c r="AM184" s="3"/>
      <c r="EO184" s="3"/>
      <c r="EP184" s="3"/>
      <c r="EQ184" s="3"/>
    </row>
    <row r="185" spans="1:147" x14ac:dyDescent="0.25">
      <c r="A185" s="3"/>
      <c r="B185" s="3"/>
      <c r="C185" s="3"/>
      <c r="AJ185" s="3"/>
      <c r="AK185" s="3"/>
      <c r="AL185" s="3"/>
      <c r="AM185" s="3"/>
      <c r="EO185" s="3"/>
      <c r="EP185" s="3"/>
      <c r="EQ185" s="3"/>
    </row>
    <row r="186" spans="1:147" x14ac:dyDescent="0.25">
      <c r="A186" s="3"/>
      <c r="B186" s="3"/>
      <c r="C186" s="3"/>
      <c r="AJ186" s="3"/>
      <c r="AK186" s="3"/>
      <c r="AL186" s="3"/>
      <c r="AM186" s="3"/>
      <c r="EO186" s="3"/>
      <c r="EP186" s="3"/>
      <c r="EQ186" s="3"/>
    </row>
    <row r="187" spans="1:147" x14ac:dyDescent="0.25">
      <c r="A187" s="3"/>
      <c r="B187" s="3"/>
      <c r="C187" s="3"/>
      <c r="AJ187" s="3"/>
      <c r="AK187" s="3"/>
      <c r="AL187" s="3"/>
      <c r="AM187" s="3"/>
      <c r="EO187" s="3"/>
      <c r="EP187" s="3"/>
      <c r="EQ187" s="3"/>
    </row>
    <row r="188" spans="1:147" x14ac:dyDescent="0.25">
      <c r="A188" s="3"/>
      <c r="B188" s="3"/>
      <c r="C188" s="3"/>
      <c r="AJ188" s="3"/>
      <c r="AK188" s="3"/>
      <c r="AL188" s="3"/>
      <c r="AM188" s="3"/>
      <c r="EO188" s="3"/>
      <c r="EP188" s="3"/>
      <c r="EQ188" s="3"/>
    </row>
    <row r="189" spans="1:147" x14ac:dyDescent="0.25">
      <c r="A189" s="3"/>
      <c r="B189" s="3"/>
      <c r="C189" s="3"/>
      <c r="AJ189" s="3"/>
      <c r="AK189" s="3"/>
      <c r="AL189" s="3"/>
      <c r="AM189" s="3"/>
      <c r="EO189" s="3"/>
      <c r="EP189" s="3"/>
      <c r="EQ189" s="3"/>
    </row>
    <row r="190" spans="1:147" x14ac:dyDescent="0.25">
      <c r="A190" s="3"/>
      <c r="B190" s="3"/>
      <c r="C190" s="3"/>
      <c r="AJ190" s="3"/>
      <c r="AK190" s="3"/>
      <c r="AL190" s="3"/>
      <c r="AM190" s="3"/>
      <c r="EO190" s="3"/>
      <c r="EP190" s="3"/>
      <c r="EQ190" s="3"/>
    </row>
    <row r="191" spans="1:147" x14ac:dyDescent="0.25">
      <c r="A191" s="3"/>
      <c r="B191" s="3"/>
      <c r="C191" s="3"/>
      <c r="AJ191" s="3"/>
      <c r="AK191" s="3"/>
      <c r="AL191" s="3"/>
      <c r="AM191" s="3"/>
      <c r="EO191" s="3"/>
      <c r="EP191" s="3"/>
      <c r="EQ191" s="3"/>
    </row>
    <row r="192" spans="1:147" x14ac:dyDescent="0.25">
      <c r="A192" s="3"/>
      <c r="B192" s="3"/>
      <c r="C192" s="3"/>
      <c r="AJ192" s="3"/>
      <c r="AK192" s="3"/>
      <c r="AL192" s="3"/>
      <c r="AM192" s="3"/>
      <c r="EO192" s="3"/>
      <c r="EP192" s="3"/>
      <c r="EQ192" s="3"/>
    </row>
    <row r="193" spans="1:147" x14ac:dyDescent="0.25">
      <c r="A193" s="3"/>
      <c r="B193" s="3"/>
      <c r="C193" s="3"/>
      <c r="AJ193" s="3"/>
      <c r="AK193" s="3"/>
      <c r="AL193" s="3"/>
      <c r="AM193" s="3"/>
      <c r="EO193" s="3"/>
      <c r="EP193" s="3"/>
      <c r="EQ193" s="3"/>
    </row>
    <row r="194" spans="1:147" x14ac:dyDescent="0.25">
      <c r="A194" s="3"/>
      <c r="B194" s="3"/>
      <c r="C194" s="3"/>
      <c r="AJ194" s="3"/>
      <c r="AK194" s="3"/>
      <c r="AL194" s="3"/>
      <c r="AM194" s="3"/>
      <c r="EO194" s="3"/>
      <c r="EP194" s="3"/>
      <c r="EQ194" s="3"/>
    </row>
    <row r="195" spans="1:147" x14ac:dyDescent="0.25">
      <c r="A195" s="3"/>
      <c r="B195" s="3"/>
      <c r="C195" s="3"/>
      <c r="AJ195" s="3"/>
      <c r="AK195" s="3"/>
      <c r="AL195" s="3"/>
      <c r="AM195" s="3"/>
      <c r="EO195" s="3"/>
      <c r="EP195" s="3"/>
      <c r="EQ195" s="3"/>
    </row>
    <row r="196" spans="1:147" x14ac:dyDescent="0.25">
      <c r="A196" s="3"/>
      <c r="B196" s="3"/>
      <c r="C196" s="3"/>
      <c r="AJ196" s="3"/>
      <c r="AK196" s="3"/>
      <c r="AL196" s="3"/>
      <c r="AM196" s="3"/>
      <c r="EO196" s="3"/>
      <c r="EP196" s="3"/>
      <c r="EQ196" s="3"/>
    </row>
    <row r="197" spans="1:147" x14ac:dyDescent="0.25">
      <c r="A197" s="3"/>
      <c r="B197" s="3"/>
      <c r="C197" s="3"/>
      <c r="AJ197" s="3"/>
      <c r="AK197" s="3"/>
      <c r="AL197" s="3"/>
      <c r="AM197" s="3"/>
      <c r="EO197" s="3"/>
      <c r="EP197" s="3"/>
      <c r="EQ197" s="3"/>
    </row>
    <row r="198" spans="1:147" x14ac:dyDescent="0.25">
      <c r="A198" s="3"/>
      <c r="B198" s="3"/>
      <c r="C198" s="3"/>
      <c r="AJ198" s="3"/>
      <c r="AK198" s="3"/>
      <c r="AL198" s="3"/>
      <c r="AM198" s="3"/>
      <c r="EO198" s="3"/>
      <c r="EP198" s="3"/>
      <c r="EQ198" s="3"/>
    </row>
    <row r="199" spans="1:147" x14ac:dyDescent="0.25">
      <c r="A199" s="3"/>
      <c r="B199" s="3"/>
      <c r="C199" s="3"/>
      <c r="AJ199" s="3"/>
      <c r="AK199" s="3"/>
      <c r="AL199" s="3"/>
      <c r="AM199" s="3"/>
      <c r="EO199" s="3"/>
      <c r="EP199" s="3"/>
      <c r="EQ199" s="3"/>
    </row>
    <row r="200" spans="1:147" x14ac:dyDescent="0.25">
      <c r="A200" s="3"/>
      <c r="B200" s="3"/>
      <c r="C200" s="3"/>
      <c r="AJ200" s="3"/>
      <c r="AK200" s="3"/>
      <c r="AL200" s="3"/>
      <c r="AM200" s="3"/>
      <c r="EO200" s="3"/>
      <c r="EP200" s="3"/>
      <c r="EQ200" s="3"/>
    </row>
    <row r="201" spans="1:147" x14ac:dyDescent="0.25">
      <c r="A201" s="3"/>
      <c r="B201" s="3"/>
      <c r="C201" s="3"/>
      <c r="AJ201" s="3"/>
      <c r="AK201" s="3"/>
      <c r="AL201" s="3"/>
      <c r="AM201" s="3"/>
      <c r="EO201" s="3"/>
      <c r="EP201" s="3"/>
      <c r="EQ201" s="3"/>
    </row>
    <row r="202" spans="1:147" x14ac:dyDescent="0.25">
      <c r="A202" s="3"/>
      <c r="B202" s="3"/>
      <c r="C202" s="3"/>
      <c r="AJ202" s="3"/>
      <c r="AK202" s="3"/>
      <c r="AL202" s="3"/>
      <c r="AM202" s="3"/>
      <c r="EO202" s="3"/>
      <c r="EP202" s="3"/>
      <c r="EQ202" s="3"/>
    </row>
    <row r="203" spans="1:147" x14ac:dyDescent="0.25">
      <c r="A203" s="3"/>
      <c r="B203" s="3"/>
      <c r="C203" s="3"/>
      <c r="AJ203" s="3"/>
      <c r="AK203" s="3"/>
      <c r="AL203" s="3"/>
      <c r="AM203" s="3"/>
      <c r="EO203" s="3"/>
      <c r="EP203" s="3"/>
      <c r="EQ203" s="3"/>
    </row>
    <row r="204" spans="1:147" x14ac:dyDescent="0.25">
      <c r="A204" s="3"/>
      <c r="B204" s="3"/>
      <c r="C204" s="3"/>
      <c r="AJ204" s="3"/>
      <c r="AK204" s="3"/>
      <c r="AL204" s="3"/>
      <c r="AM204" s="3"/>
      <c r="EO204" s="3"/>
      <c r="EP204" s="3"/>
      <c r="EQ204" s="3"/>
    </row>
    <row r="205" spans="1:147" x14ac:dyDescent="0.25">
      <c r="A205" s="3"/>
      <c r="B205" s="3"/>
      <c r="C205" s="3"/>
      <c r="AJ205" s="3"/>
      <c r="AK205" s="3"/>
      <c r="AL205" s="3"/>
      <c r="AM205" s="3"/>
      <c r="EO205" s="3"/>
      <c r="EP205" s="3"/>
      <c r="EQ205" s="3"/>
    </row>
    <row r="206" spans="1:147" x14ac:dyDescent="0.25">
      <c r="A206" s="3"/>
      <c r="B206" s="3"/>
      <c r="C206" s="3"/>
      <c r="AJ206" s="3"/>
      <c r="AK206" s="3"/>
      <c r="AL206" s="3"/>
      <c r="AM206" s="3"/>
      <c r="EO206" s="3"/>
      <c r="EP206" s="3"/>
      <c r="EQ206" s="3"/>
    </row>
    <row r="207" spans="1:147" x14ac:dyDescent="0.25">
      <c r="A207" s="3"/>
      <c r="B207" s="3"/>
      <c r="C207" s="3"/>
      <c r="AJ207" s="3"/>
      <c r="AK207" s="3"/>
      <c r="AL207" s="3"/>
      <c r="AM207" s="3"/>
      <c r="EO207" s="3"/>
      <c r="EP207" s="3"/>
      <c r="EQ207" s="3"/>
    </row>
    <row r="208" spans="1:147" x14ac:dyDescent="0.25">
      <c r="A208" s="3"/>
      <c r="B208" s="3"/>
      <c r="C208" s="3"/>
      <c r="AJ208" s="3"/>
      <c r="AK208" s="3"/>
      <c r="AL208" s="3"/>
      <c r="AM208" s="3"/>
      <c r="EO208" s="3"/>
      <c r="EP208" s="3"/>
      <c r="EQ208" s="3"/>
    </row>
    <row r="209" spans="1:147" x14ac:dyDescent="0.25">
      <c r="A209" s="3"/>
      <c r="B209" s="3"/>
      <c r="C209" s="3"/>
      <c r="AJ209" s="3"/>
      <c r="AK209" s="3"/>
      <c r="AL209" s="3"/>
      <c r="AM209" s="3"/>
      <c r="EO209" s="3"/>
      <c r="EP209" s="3"/>
      <c r="EQ209" s="3"/>
    </row>
    <row r="210" spans="1:147" x14ac:dyDescent="0.25">
      <c r="A210" s="3"/>
      <c r="B210" s="3"/>
      <c r="C210" s="3"/>
      <c r="AJ210" s="3"/>
      <c r="AK210" s="3"/>
      <c r="AL210" s="3"/>
      <c r="AM210" s="3"/>
      <c r="EO210" s="3"/>
      <c r="EP210" s="3"/>
      <c r="EQ210" s="3"/>
    </row>
    <row r="211" spans="1:147" x14ac:dyDescent="0.25">
      <c r="A211" s="3"/>
      <c r="B211" s="3"/>
      <c r="C211" s="3"/>
      <c r="AJ211" s="3"/>
      <c r="AK211" s="3"/>
      <c r="AL211" s="3"/>
      <c r="AM211" s="3"/>
      <c r="EO211" s="3"/>
      <c r="EP211" s="3"/>
      <c r="EQ211" s="3"/>
    </row>
    <row r="212" spans="1:147" x14ac:dyDescent="0.25">
      <c r="A212" s="3"/>
      <c r="B212" s="3"/>
      <c r="C212" s="3"/>
      <c r="AJ212" s="3"/>
      <c r="AK212" s="3"/>
      <c r="AL212" s="3"/>
      <c r="AM212" s="3"/>
      <c r="EO212" s="3"/>
      <c r="EP212" s="3"/>
      <c r="EQ212" s="3"/>
    </row>
    <row r="213" spans="1:147" x14ac:dyDescent="0.25">
      <c r="A213" s="3"/>
      <c r="B213" s="3"/>
      <c r="C213" s="3"/>
      <c r="AJ213" s="3"/>
      <c r="AK213" s="3"/>
      <c r="AL213" s="3"/>
      <c r="AM213" s="3"/>
      <c r="EO213" s="3"/>
      <c r="EP213" s="3"/>
      <c r="EQ213" s="3"/>
    </row>
    <row r="214" spans="1:147" x14ac:dyDescent="0.25">
      <c r="A214" s="3"/>
      <c r="B214" s="3"/>
      <c r="C214" s="3"/>
    </row>
    <row r="215" spans="1:147" x14ac:dyDescent="0.25">
      <c r="A215" s="3"/>
      <c r="B215" s="3"/>
      <c r="C215" s="3"/>
    </row>
    <row r="216" spans="1:147" x14ac:dyDescent="0.25">
      <c r="A216" s="3"/>
      <c r="B216" s="3"/>
      <c r="C216" s="3"/>
    </row>
    <row r="217" spans="1:147" x14ac:dyDescent="0.25">
      <c r="A217" s="3"/>
      <c r="B217" s="3"/>
      <c r="C217" s="3"/>
    </row>
    <row r="218" spans="1:147" x14ac:dyDescent="0.25">
      <c r="A218" s="3"/>
      <c r="B218" s="3"/>
      <c r="C218" s="3"/>
    </row>
    <row r="219" spans="1:147" x14ac:dyDescent="0.25">
      <c r="A219" s="3"/>
      <c r="B219" s="3"/>
      <c r="C219" s="3"/>
    </row>
    <row r="220" spans="1:147" x14ac:dyDescent="0.25">
      <c r="A220" s="3"/>
      <c r="B220" s="3"/>
      <c r="C220" s="3"/>
      <c r="E220" s="3"/>
      <c r="AJ220" s="3"/>
      <c r="AK220" s="3"/>
      <c r="AL220" s="3"/>
      <c r="AM220" s="3"/>
      <c r="EO220" s="3"/>
      <c r="EP220" s="3"/>
      <c r="EQ220" s="3"/>
    </row>
    <row r="221" spans="1:147" x14ac:dyDescent="0.25">
      <c r="A221" s="3"/>
      <c r="B221" s="3"/>
      <c r="C221" s="3"/>
      <c r="E221" s="3"/>
      <c r="AJ221" s="3"/>
      <c r="AK221" s="3"/>
      <c r="AL221" s="3"/>
      <c r="AM221" s="3"/>
      <c r="EO221" s="3"/>
      <c r="EP221" s="3"/>
      <c r="EQ221" s="3"/>
    </row>
    <row r="222" spans="1:147" x14ac:dyDescent="0.25">
      <c r="A222" s="3"/>
      <c r="B222" s="3"/>
      <c r="C222" s="3"/>
      <c r="E222" s="3"/>
      <c r="AJ222" s="3"/>
      <c r="AK222" s="3"/>
      <c r="AL222" s="3"/>
      <c r="AM222" s="3"/>
      <c r="EO222" s="3"/>
      <c r="EP222" s="3"/>
      <c r="EQ222" s="3"/>
    </row>
    <row r="223" spans="1:147" x14ac:dyDescent="0.25">
      <c r="A223" s="3"/>
      <c r="B223" s="3"/>
      <c r="C223" s="3"/>
      <c r="E223" s="3"/>
      <c r="AJ223" s="3"/>
      <c r="AK223" s="3"/>
      <c r="AL223" s="3"/>
      <c r="AM223" s="3"/>
      <c r="EO223" s="3"/>
      <c r="EP223" s="3"/>
      <c r="EQ223" s="3"/>
    </row>
    <row r="224" spans="1:147" x14ac:dyDescent="0.25">
      <c r="A224" s="3"/>
      <c r="B224" s="3"/>
      <c r="C224" s="3"/>
      <c r="E224" s="3"/>
      <c r="AJ224" s="3"/>
      <c r="AK224" s="3"/>
      <c r="AL224" s="3"/>
      <c r="AM224" s="3"/>
      <c r="EO224" s="3"/>
      <c r="EP224" s="3"/>
      <c r="EQ224" s="3"/>
    </row>
    <row r="225" spans="1:147" x14ac:dyDescent="0.25">
      <c r="A225" s="3"/>
      <c r="B225" s="3"/>
      <c r="C225" s="3"/>
      <c r="E225" s="3"/>
      <c r="AJ225" s="3"/>
      <c r="AK225" s="3"/>
      <c r="AL225" s="3"/>
      <c r="AM225" s="3"/>
      <c r="EO225" s="3"/>
      <c r="EP225" s="3"/>
      <c r="EQ225" s="3"/>
    </row>
    <row r="226" spans="1:147" x14ac:dyDescent="0.25">
      <c r="A226" s="3"/>
      <c r="B226" s="3"/>
      <c r="C226" s="3"/>
      <c r="E226" s="3"/>
      <c r="AJ226" s="3"/>
      <c r="AK226" s="3"/>
      <c r="AL226" s="3"/>
      <c r="AM226" s="3"/>
      <c r="EO226" s="3"/>
      <c r="EP226" s="3"/>
      <c r="EQ226" s="3"/>
    </row>
    <row r="227" spans="1:147" x14ac:dyDescent="0.25">
      <c r="A227" s="3"/>
      <c r="B227" s="3"/>
      <c r="C227" s="3"/>
      <c r="E227" s="3"/>
      <c r="AJ227" s="3"/>
      <c r="AK227" s="3"/>
      <c r="AL227" s="3"/>
      <c r="AM227" s="3"/>
      <c r="EO227" s="3"/>
      <c r="EP227" s="3"/>
      <c r="EQ227" s="3"/>
    </row>
    <row r="228" spans="1:147" x14ac:dyDescent="0.25">
      <c r="A228" s="3"/>
      <c r="B228" s="3"/>
      <c r="C228" s="3"/>
      <c r="E228" s="3"/>
      <c r="AJ228" s="3"/>
      <c r="AK228" s="3"/>
      <c r="AL228" s="3"/>
      <c r="AM228" s="3"/>
      <c r="EO228" s="3"/>
      <c r="EP228" s="3"/>
      <c r="EQ228" s="3"/>
    </row>
    <row r="229" spans="1:147" x14ac:dyDescent="0.25">
      <c r="A229" s="3"/>
      <c r="B229" s="3"/>
      <c r="C229" s="3"/>
      <c r="E229" s="3"/>
      <c r="AJ229" s="3"/>
      <c r="AK229" s="3"/>
      <c r="AL229" s="3"/>
      <c r="AM229" s="3"/>
      <c r="EO229" s="3"/>
      <c r="EP229" s="3"/>
      <c r="EQ229" s="3"/>
    </row>
    <row r="230" spans="1:147" x14ac:dyDescent="0.25">
      <c r="A230" s="3"/>
      <c r="B230" s="3"/>
      <c r="C230" s="3"/>
      <c r="E230" s="3"/>
      <c r="AJ230" s="3"/>
      <c r="AK230" s="3"/>
      <c r="AL230" s="3"/>
      <c r="AM230" s="3"/>
      <c r="EO230" s="3"/>
      <c r="EP230" s="3"/>
      <c r="EQ230" s="3"/>
    </row>
    <row r="231" spans="1:147" x14ac:dyDescent="0.25">
      <c r="A231" s="3"/>
      <c r="B231" s="3"/>
      <c r="C231" s="3"/>
      <c r="E231" s="3"/>
      <c r="AJ231" s="3"/>
      <c r="AK231" s="3"/>
      <c r="AL231" s="3"/>
      <c r="AM231" s="3"/>
      <c r="EO231" s="3"/>
      <c r="EP231" s="3"/>
      <c r="EQ231" s="3"/>
    </row>
    <row r="232" spans="1:147" x14ac:dyDescent="0.25">
      <c r="A232" s="3"/>
      <c r="B232" s="3"/>
      <c r="C232" s="3"/>
      <c r="E232" s="3"/>
      <c r="AJ232" s="3"/>
      <c r="AK232" s="3"/>
      <c r="AL232" s="3"/>
      <c r="AM232" s="3"/>
      <c r="EO232" s="3"/>
      <c r="EP232" s="3"/>
      <c r="EQ232" s="3"/>
    </row>
    <row r="233" spans="1:147" x14ac:dyDescent="0.25">
      <c r="A233" s="3"/>
      <c r="B233" s="3"/>
      <c r="C233" s="3"/>
      <c r="E233" s="3"/>
      <c r="AJ233" s="3"/>
      <c r="AK233" s="3"/>
      <c r="AL233" s="3"/>
      <c r="AM233" s="3"/>
      <c r="EO233" s="3"/>
      <c r="EP233" s="3"/>
      <c r="EQ233" s="3"/>
    </row>
    <row r="234" spans="1:147" x14ac:dyDescent="0.25">
      <c r="A234" s="3"/>
      <c r="B234" s="3"/>
      <c r="C234" s="3"/>
      <c r="E234" s="3"/>
      <c r="AJ234" s="3"/>
      <c r="AK234" s="3"/>
      <c r="AL234" s="3"/>
      <c r="AM234" s="3"/>
      <c r="EO234" s="3"/>
      <c r="EP234" s="3"/>
      <c r="EQ234" s="3"/>
    </row>
    <row r="235" spans="1:147" x14ac:dyDescent="0.25">
      <c r="A235" s="3"/>
      <c r="B235" s="3"/>
      <c r="C235" s="3"/>
      <c r="E235" s="3"/>
      <c r="AJ235" s="3"/>
      <c r="AK235" s="3"/>
      <c r="AL235" s="3"/>
      <c r="AM235" s="3"/>
      <c r="EO235" s="3"/>
      <c r="EP235" s="3"/>
      <c r="EQ235" s="3"/>
    </row>
    <row r="236" spans="1:147" x14ac:dyDescent="0.25">
      <c r="A236" s="3"/>
      <c r="B236" s="3"/>
      <c r="C236" s="3"/>
      <c r="E236" s="3"/>
      <c r="AJ236" s="3"/>
      <c r="AK236" s="3"/>
      <c r="AL236" s="3"/>
      <c r="AM236" s="3"/>
      <c r="EO236" s="3"/>
      <c r="EP236" s="3"/>
      <c r="EQ236" s="3"/>
    </row>
    <row r="237" spans="1:147" x14ac:dyDescent="0.25">
      <c r="A237" s="3"/>
      <c r="B237" s="3"/>
      <c r="C237" s="3"/>
      <c r="E237" s="3"/>
      <c r="AJ237" s="3"/>
      <c r="AK237" s="3"/>
      <c r="AL237" s="3"/>
      <c r="AM237" s="3"/>
      <c r="EO237" s="3"/>
      <c r="EP237" s="3"/>
      <c r="EQ237" s="3"/>
    </row>
    <row r="238" spans="1:147" x14ac:dyDescent="0.25">
      <c r="A238" s="3"/>
      <c r="B238" s="3"/>
      <c r="C238" s="3"/>
      <c r="E238" s="3"/>
      <c r="AJ238" s="3"/>
      <c r="AK238" s="3"/>
      <c r="AL238" s="3"/>
      <c r="AM238" s="3"/>
      <c r="EO238" s="3"/>
      <c r="EP238" s="3"/>
      <c r="EQ238" s="3"/>
    </row>
    <row r="239" spans="1:147" x14ac:dyDescent="0.25">
      <c r="A239" s="3"/>
      <c r="B239" s="3"/>
      <c r="C239" s="3"/>
      <c r="E239" s="3"/>
      <c r="AJ239" s="3"/>
      <c r="AK239" s="3"/>
      <c r="AL239" s="3"/>
      <c r="AM239" s="3"/>
      <c r="EO239" s="3"/>
      <c r="EP239" s="3"/>
      <c r="EQ239" s="3"/>
    </row>
    <row r="240" spans="1:147" x14ac:dyDescent="0.25">
      <c r="A240" s="3"/>
      <c r="B240" s="3"/>
      <c r="C240" s="3"/>
      <c r="E240" s="3"/>
      <c r="AJ240" s="3"/>
      <c r="AK240" s="3"/>
      <c r="AL240" s="3"/>
      <c r="AM240" s="3"/>
      <c r="EO240" s="3"/>
      <c r="EP240" s="3"/>
      <c r="EQ240" s="3"/>
    </row>
    <row r="241" spans="1:147" x14ac:dyDescent="0.25">
      <c r="A241" s="3"/>
      <c r="B241" s="3"/>
      <c r="C241" s="3"/>
      <c r="E241" s="3"/>
      <c r="AJ241" s="3"/>
      <c r="AK241" s="3"/>
      <c r="AL241" s="3"/>
      <c r="AM241" s="3"/>
      <c r="EO241" s="3"/>
      <c r="EP241" s="3"/>
      <c r="EQ241" s="3"/>
    </row>
    <row r="242" spans="1:147" x14ac:dyDescent="0.25">
      <c r="A242" s="3"/>
      <c r="B242" s="3"/>
      <c r="C242" s="3"/>
      <c r="E242" s="3"/>
      <c r="AJ242" s="3"/>
      <c r="AK242" s="3"/>
      <c r="AL242" s="3"/>
      <c r="AM242" s="3"/>
      <c r="EO242" s="3"/>
      <c r="EP242" s="3"/>
      <c r="EQ242" s="3"/>
    </row>
    <row r="243" spans="1:147" x14ac:dyDescent="0.25">
      <c r="A243" s="3"/>
      <c r="B243" s="3"/>
      <c r="C243" s="3"/>
      <c r="E243" s="3"/>
      <c r="AJ243" s="3"/>
      <c r="AK243" s="3"/>
      <c r="AL243" s="3"/>
      <c r="AM243" s="3"/>
      <c r="EO243" s="3"/>
      <c r="EP243" s="3"/>
      <c r="EQ243" s="3"/>
    </row>
    <row r="244" spans="1:147" x14ac:dyDescent="0.25">
      <c r="A244" s="3"/>
      <c r="B244" s="3"/>
      <c r="C244" s="3"/>
      <c r="E244" s="3"/>
      <c r="AJ244" s="3"/>
      <c r="AK244" s="3"/>
      <c r="AL244" s="3"/>
      <c r="AM244" s="3"/>
      <c r="EO244" s="3"/>
      <c r="EP244" s="3"/>
      <c r="EQ244" s="3"/>
    </row>
    <row r="245" spans="1:147" x14ac:dyDescent="0.25">
      <c r="A245" s="3"/>
      <c r="B245" s="3"/>
      <c r="C245" s="3"/>
      <c r="E245" s="3"/>
      <c r="AJ245" s="3"/>
      <c r="AK245" s="3"/>
      <c r="AL245" s="3"/>
      <c r="AM245" s="3"/>
      <c r="EO245" s="3"/>
      <c r="EP245" s="3"/>
      <c r="EQ245" s="3"/>
    </row>
    <row r="246" spans="1:147" x14ac:dyDescent="0.25">
      <c r="A246" s="3"/>
      <c r="B246" s="3"/>
      <c r="C246" s="3"/>
      <c r="E246" s="3"/>
      <c r="AJ246" s="3"/>
      <c r="AK246" s="3"/>
      <c r="AL246" s="3"/>
      <c r="AM246" s="3"/>
      <c r="EO246" s="3"/>
      <c r="EP246" s="3"/>
      <c r="EQ246" s="3"/>
    </row>
    <row r="247" spans="1:147" x14ac:dyDescent="0.25">
      <c r="A247" s="3"/>
      <c r="B247" s="3"/>
      <c r="C247" s="3"/>
      <c r="E247" s="3"/>
      <c r="AJ247" s="3"/>
      <c r="AK247" s="3"/>
      <c r="AL247" s="3"/>
      <c r="AM247" s="3"/>
      <c r="EO247" s="3"/>
      <c r="EP247" s="3"/>
      <c r="EQ247" s="3"/>
    </row>
    <row r="248" spans="1:147" x14ac:dyDescent="0.25">
      <c r="A248" s="3"/>
      <c r="B248" s="3"/>
      <c r="C248" s="3"/>
      <c r="E248" s="3"/>
      <c r="AJ248" s="3"/>
      <c r="AK248" s="3"/>
      <c r="AL248" s="3"/>
      <c r="AM248" s="3"/>
      <c r="EO248" s="3"/>
      <c r="EP248" s="3"/>
      <c r="EQ248" s="3"/>
    </row>
    <row r="249" spans="1:147" x14ac:dyDescent="0.25">
      <c r="A249" s="3"/>
      <c r="B249" s="3"/>
      <c r="C249" s="3"/>
      <c r="E249" s="3"/>
      <c r="AJ249" s="3"/>
      <c r="AK249" s="3"/>
      <c r="AL249" s="3"/>
      <c r="AM249" s="3"/>
      <c r="EO249" s="3"/>
      <c r="EP249" s="3"/>
      <c r="EQ249" s="3"/>
    </row>
    <row r="250" spans="1:147" x14ac:dyDescent="0.25">
      <c r="A250" s="3"/>
      <c r="B250" s="3"/>
      <c r="C250" s="3"/>
      <c r="E250" s="3"/>
      <c r="AJ250" s="3"/>
      <c r="AK250" s="3"/>
      <c r="AL250" s="3"/>
      <c r="AM250" s="3"/>
      <c r="EO250" s="3"/>
      <c r="EP250" s="3"/>
      <c r="EQ250" s="3"/>
    </row>
    <row r="251" spans="1:147" x14ac:dyDescent="0.25">
      <c r="A251" s="3"/>
      <c r="B251" s="3"/>
      <c r="C251" s="3"/>
      <c r="E251" s="3"/>
      <c r="AJ251" s="3"/>
      <c r="AK251" s="3"/>
      <c r="AL251" s="3"/>
      <c r="AM251" s="3"/>
      <c r="EO251" s="3"/>
      <c r="EP251" s="3"/>
      <c r="EQ251" s="3"/>
    </row>
    <row r="252" spans="1:147" x14ac:dyDescent="0.25">
      <c r="A252" s="3"/>
      <c r="B252" s="3"/>
      <c r="C252" s="3"/>
      <c r="E252" s="3"/>
      <c r="AJ252" s="3"/>
      <c r="AK252" s="3"/>
      <c r="AL252" s="3"/>
      <c r="AM252" s="3"/>
      <c r="EO252" s="3"/>
      <c r="EP252" s="3"/>
      <c r="EQ252" s="3"/>
    </row>
    <row r="253" spans="1:147" x14ac:dyDescent="0.25">
      <c r="A253" s="3"/>
      <c r="B253" s="3"/>
      <c r="C253" s="3"/>
      <c r="E253" s="3"/>
      <c r="AJ253" s="3"/>
      <c r="AK253" s="3"/>
      <c r="AL253" s="3"/>
      <c r="AM253" s="3"/>
      <c r="EO253" s="3"/>
      <c r="EP253" s="3"/>
      <c r="EQ253" s="3"/>
    </row>
    <row r="254" spans="1:147" x14ac:dyDescent="0.25">
      <c r="A254" s="3"/>
      <c r="B254" s="3"/>
      <c r="C254" s="3"/>
      <c r="E254" s="3"/>
      <c r="AJ254" s="3"/>
      <c r="AK254" s="3"/>
      <c r="AL254" s="3"/>
      <c r="AM254" s="3"/>
      <c r="EO254" s="3"/>
      <c r="EP254" s="3"/>
      <c r="EQ254" s="3"/>
    </row>
    <row r="255" spans="1:147" x14ac:dyDescent="0.25">
      <c r="A255" s="3"/>
      <c r="B255" s="3"/>
      <c r="C255" s="3"/>
      <c r="E255" s="3"/>
      <c r="AJ255" s="3"/>
      <c r="AK255" s="3"/>
      <c r="AL255" s="3"/>
      <c r="AM255" s="3"/>
      <c r="EO255" s="3"/>
      <c r="EP255" s="3"/>
      <c r="EQ255" s="3"/>
    </row>
    <row r="256" spans="1:147" x14ac:dyDescent="0.25">
      <c r="A256" s="3"/>
      <c r="B256" s="3"/>
      <c r="C256" s="3"/>
      <c r="E256" s="3"/>
      <c r="AJ256" s="3"/>
      <c r="AK256" s="3"/>
      <c r="AL256" s="3"/>
      <c r="AM256" s="3"/>
      <c r="EO256" s="3"/>
      <c r="EP256" s="3"/>
      <c r="EQ256" s="3"/>
    </row>
    <row r="257" spans="1:147" x14ac:dyDescent="0.25">
      <c r="A257" s="3"/>
      <c r="B257" s="3"/>
      <c r="C257" s="3"/>
      <c r="E257" s="3"/>
      <c r="AJ257" s="3"/>
      <c r="AK257" s="3"/>
      <c r="AL257" s="3"/>
      <c r="AM257" s="3"/>
      <c r="EO257" s="3"/>
      <c r="EP257" s="3"/>
      <c r="EQ257" s="3"/>
    </row>
    <row r="258" spans="1:147" x14ac:dyDescent="0.25">
      <c r="A258" s="3"/>
      <c r="B258" s="3"/>
      <c r="C258" s="3"/>
      <c r="E258" s="3"/>
      <c r="AJ258" s="3"/>
      <c r="AK258" s="3"/>
      <c r="AL258" s="3"/>
      <c r="AM258" s="3"/>
      <c r="EO258" s="3"/>
      <c r="EP258" s="3"/>
      <c r="EQ258" s="3"/>
    </row>
    <row r="259" spans="1:147" x14ac:dyDescent="0.25">
      <c r="A259" s="3"/>
      <c r="B259" s="3"/>
      <c r="C259" s="3"/>
      <c r="E259" s="3"/>
      <c r="AJ259" s="3"/>
      <c r="AK259" s="3"/>
      <c r="AL259" s="3"/>
      <c r="AM259" s="3"/>
      <c r="EO259" s="3"/>
      <c r="EP259" s="3"/>
      <c r="EQ259" s="3"/>
    </row>
    <row r="260" spans="1:147" x14ac:dyDescent="0.25">
      <c r="A260" s="3"/>
      <c r="B260" s="3"/>
      <c r="C260" s="3"/>
      <c r="E260" s="3"/>
      <c r="AJ260" s="3"/>
      <c r="AK260" s="3"/>
      <c r="AL260" s="3"/>
      <c r="AM260" s="3"/>
      <c r="EO260" s="3"/>
      <c r="EP260" s="3"/>
      <c r="EQ260" s="3"/>
    </row>
    <row r="261" spans="1:147" x14ac:dyDescent="0.25">
      <c r="A261" s="3"/>
      <c r="B261" s="3"/>
      <c r="C261" s="3"/>
      <c r="E261" s="3"/>
      <c r="AJ261" s="3"/>
      <c r="AK261" s="3"/>
      <c r="AL261" s="3"/>
      <c r="AM261" s="3"/>
      <c r="EO261" s="3"/>
      <c r="EP261" s="3"/>
      <c r="EQ261" s="3"/>
    </row>
    <row r="262" spans="1:147" x14ac:dyDescent="0.25">
      <c r="A262" s="3"/>
      <c r="B262" s="3"/>
      <c r="C262" s="3"/>
      <c r="E262" s="3"/>
      <c r="AJ262" s="3"/>
      <c r="AK262" s="3"/>
      <c r="AL262" s="3"/>
      <c r="AM262" s="3"/>
      <c r="EO262" s="3"/>
      <c r="EP262" s="3"/>
      <c r="EQ262" s="3"/>
    </row>
    <row r="263" spans="1:147" x14ac:dyDescent="0.25">
      <c r="A263" s="3"/>
      <c r="B263" s="3"/>
      <c r="C263" s="3"/>
      <c r="E263" s="3"/>
      <c r="AJ263" s="3"/>
      <c r="AK263" s="3"/>
      <c r="AL263" s="3"/>
      <c r="AM263" s="3"/>
      <c r="EO263" s="3"/>
      <c r="EP263" s="3"/>
      <c r="EQ263" s="3"/>
    </row>
    <row r="264" spans="1:147" x14ac:dyDescent="0.25">
      <c r="A264" s="3"/>
      <c r="B264" s="3"/>
      <c r="C264" s="3"/>
      <c r="E264" s="3"/>
      <c r="AJ264" s="3"/>
      <c r="AK264" s="3"/>
      <c r="AL264" s="3"/>
      <c r="AM264" s="3"/>
      <c r="EO264" s="3"/>
      <c r="EP264" s="3"/>
      <c r="EQ264" s="3"/>
    </row>
    <row r="265" spans="1:147" x14ac:dyDescent="0.25">
      <c r="A265" s="3"/>
      <c r="B265" s="3"/>
      <c r="C265" s="3"/>
      <c r="E265" s="3"/>
      <c r="AJ265" s="3"/>
      <c r="AK265" s="3"/>
      <c r="AL265" s="3"/>
      <c r="AM265" s="3"/>
      <c r="EO265" s="3"/>
      <c r="EP265" s="3"/>
      <c r="EQ265" s="3"/>
    </row>
    <row r="266" spans="1:147" x14ac:dyDescent="0.25">
      <c r="A266" s="3"/>
      <c r="B266" s="3"/>
      <c r="C266" s="3"/>
      <c r="E266" s="3"/>
      <c r="AJ266" s="3"/>
      <c r="AK266" s="3"/>
      <c r="AL266" s="3"/>
      <c r="AM266" s="3"/>
      <c r="EO266" s="3"/>
      <c r="EP266" s="3"/>
      <c r="EQ266" s="3"/>
    </row>
    <row r="267" spans="1:147" x14ac:dyDescent="0.25">
      <c r="A267" s="3"/>
      <c r="B267" s="3"/>
      <c r="C267" s="3"/>
      <c r="E267" s="3"/>
      <c r="AJ267" s="3"/>
      <c r="AK267" s="3"/>
      <c r="AL267" s="3"/>
      <c r="AM267" s="3"/>
      <c r="EO267" s="3"/>
      <c r="EP267" s="3"/>
      <c r="EQ267" s="3"/>
    </row>
    <row r="268" spans="1:147" x14ac:dyDescent="0.25">
      <c r="A268" s="3"/>
      <c r="B268" s="3"/>
      <c r="C268" s="3"/>
      <c r="E268" s="3"/>
      <c r="AJ268" s="3"/>
      <c r="AK268" s="3"/>
      <c r="AL268" s="3"/>
      <c r="AM268" s="3"/>
      <c r="EO268" s="3"/>
      <c r="EP268" s="3"/>
      <c r="EQ268" s="3"/>
    </row>
    <row r="269" spans="1:147" x14ac:dyDescent="0.25">
      <c r="A269" s="3"/>
      <c r="B269" s="3"/>
      <c r="C269" s="3"/>
      <c r="E269" s="3"/>
      <c r="AJ269" s="3"/>
      <c r="AK269" s="3"/>
      <c r="AL269" s="3"/>
      <c r="AM269" s="3"/>
      <c r="EO269" s="3"/>
      <c r="EP269" s="3"/>
      <c r="EQ269" s="3"/>
    </row>
    <row r="270" spans="1:147" x14ac:dyDescent="0.25">
      <c r="A270" s="3"/>
      <c r="B270" s="3"/>
      <c r="C270" s="3"/>
      <c r="E270" s="3"/>
      <c r="AJ270" s="3"/>
      <c r="AK270" s="3"/>
      <c r="AL270" s="3"/>
      <c r="AM270" s="3"/>
      <c r="EO270" s="3"/>
      <c r="EP270" s="3"/>
      <c r="EQ270" s="3"/>
    </row>
    <row r="271" spans="1:147" x14ac:dyDescent="0.25">
      <c r="A271" s="3"/>
      <c r="B271" s="3"/>
      <c r="C271" s="3"/>
      <c r="E271" s="3"/>
      <c r="AJ271" s="3"/>
      <c r="AK271" s="3"/>
      <c r="AL271" s="3"/>
      <c r="AM271" s="3"/>
      <c r="EO271" s="3"/>
      <c r="EP271" s="3"/>
      <c r="EQ271" s="3"/>
    </row>
    <row r="272" spans="1:147" x14ac:dyDescent="0.25">
      <c r="A272" s="3"/>
      <c r="B272" s="3"/>
      <c r="C272" s="3"/>
      <c r="E272" s="3"/>
      <c r="AJ272" s="3"/>
      <c r="AK272" s="3"/>
      <c r="AL272" s="3"/>
      <c r="AM272" s="3"/>
      <c r="EO272" s="3"/>
      <c r="EP272" s="3"/>
      <c r="EQ272" s="3"/>
    </row>
    <row r="273" spans="1:147" x14ac:dyDescent="0.25">
      <c r="A273" s="3"/>
      <c r="B273" s="3"/>
      <c r="C273" s="3"/>
      <c r="E273" s="3"/>
      <c r="AJ273" s="3"/>
      <c r="AK273" s="3"/>
      <c r="AL273" s="3"/>
      <c r="AM273" s="3"/>
      <c r="EO273" s="3"/>
      <c r="EP273" s="3"/>
      <c r="EQ273" s="3"/>
    </row>
    <row r="274" spans="1:147" x14ac:dyDescent="0.25">
      <c r="A274" s="3"/>
      <c r="B274" s="3"/>
      <c r="C274" s="3"/>
      <c r="E274" s="3"/>
      <c r="AJ274" s="3"/>
      <c r="AK274" s="3"/>
      <c r="AL274" s="3"/>
      <c r="AM274" s="3"/>
      <c r="EO274" s="3"/>
      <c r="EP274" s="3"/>
      <c r="EQ274" s="3"/>
    </row>
    <row r="275" spans="1:147" x14ac:dyDescent="0.25">
      <c r="A275" s="3"/>
      <c r="B275" s="3"/>
      <c r="C275" s="3"/>
      <c r="E275" s="3"/>
      <c r="AJ275" s="3"/>
      <c r="AK275" s="3"/>
      <c r="AL275" s="3"/>
      <c r="AM275" s="3"/>
      <c r="EO275" s="3"/>
      <c r="EP275" s="3"/>
      <c r="EQ275" s="3"/>
    </row>
    <row r="276" spans="1:147" x14ac:dyDescent="0.25">
      <c r="A276" s="3"/>
      <c r="B276" s="3"/>
      <c r="C276" s="3"/>
      <c r="E276" s="3"/>
      <c r="AJ276" s="3"/>
      <c r="AK276" s="3"/>
      <c r="AL276" s="3"/>
      <c r="AM276" s="3"/>
      <c r="EO276" s="3"/>
      <c r="EP276" s="3"/>
      <c r="EQ276" s="3"/>
    </row>
    <row r="277" spans="1:147" x14ac:dyDescent="0.25">
      <c r="A277" s="3"/>
      <c r="B277" s="3"/>
      <c r="C277" s="3"/>
      <c r="E277" s="3"/>
      <c r="AJ277" s="3"/>
      <c r="AK277" s="3"/>
      <c r="AL277" s="3"/>
      <c r="AM277" s="3"/>
      <c r="EO277" s="3"/>
      <c r="EP277" s="3"/>
      <c r="EQ277" s="3"/>
    </row>
    <row r="278" spans="1:147" x14ac:dyDescent="0.25">
      <c r="A278" s="3"/>
      <c r="B278" s="3"/>
      <c r="C278" s="3"/>
      <c r="E278" s="3"/>
      <c r="AJ278" s="3"/>
      <c r="AK278" s="3"/>
      <c r="AL278" s="3"/>
      <c r="AM278" s="3"/>
      <c r="EO278" s="3"/>
      <c r="EP278" s="3"/>
      <c r="EQ278" s="3"/>
    </row>
    <row r="279" spans="1:147" x14ac:dyDescent="0.25">
      <c r="A279" s="3"/>
      <c r="B279" s="3"/>
      <c r="C279" s="3"/>
      <c r="E279" s="3"/>
      <c r="AJ279" s="3"/>
      <c r="AK279" s="3"/>
      <c r="AL279" s="3"/>
      <c r="AM279" s="3"/>
      <c r="EO279" s="3"/>
      <c r="EP279" s="3"/>
      <c r="EQ279" s="3"/>
    </row>
    <row r="280" spans="1:147" x14ac:dyDescent="0.25">
      <c r="A280" s="3"/>
      <c r="B280" s="3"/>
      <c r="C280" s="3"/>
      <c r="E280" s="3"/>
      <c r="AJ280" s="3"/>
      <c r="AK280" s="3"/>
      <c r="AL280" s="3"/>
      <c r="AM280" s="3"/>
      <c r="EO280" s="3"/>
      <c r="EP280" s="3"/>
      <c r="EQ280" s="3"/>
    </row>
    <row r="281" spans="1:147" x14ac:dyDescent="0.25">
      <c r="A281" s="3"/>
      <c r="B281" s="3"/>
      <c r="C281" s="3"/>
      <c r="E281" s="3"/>
      <c r="AJ281" s="3"/>
      <c r="AK281" s="3"/>
      <c r="AL281" s="3"/>
      <c r="AM281" s="3"/>
      <c r="EO281" s="3"/>
      <c r="EP281" s="3"/>
      <c r="EQ281" s="3"/>
    </row>
    <row r="282" spans="1:147" x14ac:dyDescent="0.25">
      <c r="A282" s="3"/>
      <c r="B282" s="3"/>
      <c r="C282" s="3"/>
      <c r="E282" s="3"/>
      <c r="AJ282" s="3"/>
      <c r="AK282" s="3"/>
      <c r="AL282" s="3"/>
      <c r="AM282" s="3"/>
      <c r="EO282" s="3"/>
      <c r="EP282" s="3"/>
      <c r="EQ282" s="3"/>
    </row>
    <row r="283" spans="1:147" x14ac:dyDescent="0.25">
      <c r="A283" s="3"/>
      <c r="B283" s="3"/>
      <c r="C283" s="3"/>
      <c r="E283" s="3"/>
      <c r="AJ283" s="3"/>
      <c r="AK283" s="3"/>
      <c r="AL283" s="3"/>
      <c r="AM283" s="3"/>
      <c r="EO283" s="3"/>
      <c r="EP283" s="3"/>
      <c r="EQ283" s="3"/>
    </row>
    <row r="284" spans="1:147" x14ac:dyDescent="0.25">
      <c r="A284" s="3"/>
      <c r="B284" s="3"/>
      <c r="C284" s="3"/>
      <c r="E284" s="3"/>
      <c r="AJ284" s="3"/>
      <c r="AK284" s="3"/>
      <c r="AL284" s="3"/>
      <c r="AM284" s="3"/>
      <c r="EO284" s="3"/>
      <c r="EP284" s="3"/>
      <c r="EQ284" s="3"/>
    </row>
    <row r="285" spans="1:147" x14ac:dyDescent="0.25">
      <c r="A285" s="3"/>
      <c r="B285" s="3"/>
      <c r="C285" s="3"/>
      <c r="E285" s="3"/>
      <c r="AJ285" s="3"/>
      <c r="AK285" s="3"/>
      <c r="AL285" s="3"/>
      <c r="AM285" s="3"/>
      <c r="EO285" s="3"/>
      <c r="EP285" s="3"/>
      <c r="EQ285" s="3"/>
    </row>
    <row r="286" spans="1:147" x14ac:dyDescent="0.25">
      <c r="A286" s="3"/>
      <c r="B286" s="3"/>
      <c r="C286" s="3"/>
      <c r="E286" s="3"/>
      <c r="AJ286" s="3"/>
      <c r="AK286" s="3"/>
      <c r="AL286" s="3"/>
      <c r="AM286" s="3"/>
      <c r="EO286" s="3"/>
      <c r="EP286" s="3"/>
      <c r="EQ286" s="3"/>
    </row>
    <row r="287" spans="1:147" x14ac:dyDescent="0.25">
      <c r="A287" s="3"/>
      <c r="B287" s="3"/>
      <c r="C287" s="3"/>
      <c r="E287" s="3"/>
      <c r="AJ287" s="3"/>
      <c r="AK287" s="3"/>
      <c r="AL287" s="3"/>
      <c r="AM287" s="3"/>
      <c r="EO287" s="3"/>
      <c r="EP287" s="3"/>
      <c r="EQ287" s="3"/>
    </row>
    <row r="288" spans="1:147" x14ac:dyDescent="0.25">
      <c r="A288" s="3"/>
      <c r="B288" s="3"/>
      <c r="C288" s="3"/>
      <c r="E288" s="3"/>
      <c r="AJ288" s="3"/>
      <c r="AK288" s="3"/>
      <c r="AL288" s="3"/>
      <c r="AM288" s="3"/>
      <c r="EO288" s="3"/>
      <c r="EP288" s="3"/>
      <c r="EQ288" s="3"/>
    </row>
    <row r="289" spans="1:147" x14ac:dyDescent="0.25">
      <c r="A289" s="3"/>
      <c r="B289" s="3"/>
      <c r="C289" s="3"/>
      <c r="E289" s="3"/>
      <c r="AJ289" s="3"/>
      <c r="AK289" s="3"/>
      <c r="AL289" s="3"/>
      <c r="AM289" s="3"/>
      <c r="EO289" s="3"/>
      <c r="EP289" s="3"/>
      <c r="EQ289" s="3"/>
    </row>
    <row r="290" spans="1:147" x14ac:dyDescent="0.25">
      <c r="A290" s="3"/>
      <c r="B290" s="3"/>
      <c r="C290" s="3"/>
      <c r="E290" s="3"/>
      <c r="AJ290" s="3"/>
      <c r="AK290" s="3"/>
      <c r="AL290" s="3"/>
      <c r="AM290" s="3"/>
      <c r="EO290" s="3"/>
      <c r="EP290" s="3"/>
      <c r="EQ290" s="3"/>
    </row>
    <row r="291" spans="1:147" x14ac:dyDescent="0.25">
      <c r="A291" s="3"/>
      <c r="B291" s="3"/>
      <c r="C291" s="3"/>
      <c r="E291" s="3"/>
      <c r="AJ291" s="3"/>
      <c r="AK291" s="3"/>
      <c r="AL291" s="3"/>
      <c r="AM291" s="3"/>
      <c r="EO291" s="3"/>
      <c r="EP291" s="3"/>
      <c r="EQ291" s="3"/>
    </row>
    <row r="292" spans="1:147" x14ac:dyDescent="0.25">
      <c r="A292" s="3"/>
      <c r="B292" s="3"/>
      <c r="C292" s="3"/>
      <c r="E292" s="3"/>
      <c r="AJ292" s="3"/>
      <c r="AK292" s="3"/>
      <c r="AL292" s="3"/>
      <c r="AM292" s="3"/>
      <c r="EO292" s="3"/>
      <c r="EP292" s="3"/>
      <c r="EQ292" s="3"/>
    </row>
    <row r="293" spans="1:147" x14ac:dyDescent="0.25">
      <c r="A293" s="3"/>
      <c r="B293" s="3"/>
      <c r="C293" s="3"/>
      <c r="E293" s="3"/>
      <c r="AJ293" s="3"/>
      <c r="AK293" s="3"/>
      <c r="AL293" s="3"/>
      <c r="AM293" s="3"/>
      <c r="EO293" s="3"/>
      <c r="EP293" s="3"/>
      <c r="EQ293" s="3"/>
    </row>
    <row r="294" spans="1:147" x14ac:dyDescent="0.25">
      <c r="A294" s="3"/>
      <c r="B294" s="3"/>
      <c r="C294" s="3"/>
      <c r="E294" s="3"/>
      <c r="AJ294" s="3"/>
      <c r="AK294" s="3"/>
      <c r="AL294" s="3"/>
      <c r="AM294" s="3"/>
      <c r="EO294" s="3"/>
      <c r="EP294" s="3"/>
      <c r="EQ294" s="3"/>
    </row>
    <row r="295" spans="1:147" x14ac:dyDescent="0.25">
      <c r="A295" s="3"/>
      <c r="B295" s="3"/>
      <c r="C295" s="3"/>
      <c r="E295" s="3"/>
      <c r="AJ295" s="3"/>
      <c r="AK295" s="3"/>
      <c r="AL295" s="3"/>
      <c r="AM295" s="3"/>
      <c r="EO295" s="3"/>
      <c r="EP295" s="3"/>
      <c r="EQ295" s="3"/>
    </row>
    <row r="296" spans="1:147" x14ac:dyDescent="0.25">
      <c r="A296" s="3"/>
      <c r="B296" s="3"/>
      <c r="C296" s="3"/>
      <c r="E296" s="3"/>
      <c r="AJ296" s="3"/>
      <c r="AK296" s="3"/>
      <c r="AL296" s="3"/>
      <c r="AM296" s="3"/>
      <c r="EO296" s="3"/>
      <c r="EP296" s="3"/>
      <c r="EQ296" s="3"/>
    </row>
    <row r="297" spans="1:147" x14ac:dyDescent="0.25">
      <c r="A297" s="3"/>
      <c r="B297" s="3"/>
      <c r="C297" s="3"/>
      <c r="E297" s="3"/>
      <c r="AJ297" s="3"/>
      <c r="AK297" s="3"/>
      <c r="AL297" s="3"/>
      <c r="AM297" s="3"/>
      <c r="EO297" s="3"/>
      <c r="EP297" s="3"/>
      <c r="EQ297" s="3"/>
    </row>
    <row r="298" spans="1:147" x14ac:dyDescent="0.25">
      <c r="A298" s="3"/>
      <c r="B298" s="3"/>
      <c r="C298" s="3"/>
      <c r="E298" s="3"/>
      <c r="AJ298" s="3"/>
      <c r="AK298" s="3"/>
      <c r="AL298" s="3"/>
      <c r="AM298" s="3"/>
      <c r="EO298" s="3"/>
      <c r="EP298" s="3"/>
      <c r="EQ298" s="3"/>
    </row>
    <row r="299" spans="1:147" x14ac:dyDescent="0.25">
      <c r="A299" s="3"/>
      <c r="B299" s="3"/>
      <c r="C299" s="3"/>
      <c r="E299" s="3"/>
      <c r="AJ299" s="3"/>
      <c r="AK299" s="3"/>
      <c r="AL299" s="3"/>
      <c r="AM299" s="3"/>
      <c r="EO299" s="3"/>
      <c r="EP299" s="3"/>
      <c r="EQ299" s="3"/>
    </row>
    <row r="300" spans="1:147" x14ac:dyDescent="0.25">
      <c r="B300" s="3"/>
      <c r="C300" s="3"/>
    </row>
    <row r="301" spans="1:147" x14ac:dyDescent="0.25">
      <c r="A301" s="3"/>
      <c r="B301" s="3"/>
      <c r="C301" s="3"/>
      <c r="E301" s="3"/>
      <c r="AJ301" s="3"/>
      <c r="AK301" s="3"/>
      <c r="AL301" s="3"/>
      <c r="AM301" s="3"/>
      <c r="EO301" s="3"/>
      <c r="EP301" s="3"/>
      <c r="EQ301" s="3"/>
    </row>
    <row r="302" spans="1:147" x14ac:dyDescent="0.25">
      <c r="A302" s="3"/>
      <c r="B302" s="3"/>
      <c r="C302" s="3"/>
      <c r="E302" s="3"/>
      <c r="AJ302" s="3"/>
      <c r="AK302" s="3"/>
      <c r="AL302" s="3"/>
      <c r="AM302" s="3"/>
      <c r="EO302" s="3"/>
      <c r="EP302" s="3"/>
      <c r="EQ302" s="3"/>
    </row>
    <row r="303" spans="1:147" x14ac:dyDescent="0.25">
      <c r="A303" s="3"/>
      <c r="B303" s="3"/>
      <c r="C303" s="3"/>
      <c r="E303" s="3"/>
      <c r="AJ303" s="3"/>
      <c r="AK303" s="3"/>
      <c r="AL303" s="3"/>
      <c r="AM303" s="3"/>
      <c r="EO303" s="3"/>
      <c r="EP303" s="3"/>
      <c r="EQ303" s="3"/>
    </row>
    <row r="304" spans="1:147" x14ac:dyDescent="0.25">
      <c r="A304" s="3"/>
      <c r="B304" s="3"/>
      <c r="C304" s="3"/>
      <c r="E304" s="3"/>
      <c r="AJ304" s="3"/>
      <c r="AK304" s="3"/>
      <c r="AL304" s="3"/>
      <c r="AM304" s="3"/>
      <c r="EO304" s="3"/>
      <c r="EP304" s="3"/>
      <c r="EQ304" s="3"/>
    </row>
    <row r="305" spans="1:147" x14ac:dyDescent="0.25">
      <c r="A305" s="3"/>
      <c r="B305" s="3"/>
      <c r="C305" s="3"/>
      <c r="E305" s="3"/>
      <c r="AJ305" s="3"/>
      <c r="AK305" s="3"/>
      <c r="AL305" s="3"/>
      <c r="AM305" s="3"/>
      <c r="EO305" s="3"/>
      <c r="EP305" s="3"/>
      <c r="EQ305" s="3"/>
    </row>
    <row r="306" spans="1:147" x14ac:dyDescent="0.25">
      <c r="A306" s="3"/>
      <c r="B306" s="3"/>
      <c r="C306" s="3"/>
      <c r="E306" s="3"/>
      <c r="AJ306" s="3"/>
      <c r="AK306" s="3"/>
      <c r="AL306" s="3"/>
      <c r="AM306" s="3"/>
      <c r="EO306" s="3"/>
      <c r="EP306" s="3"/>
      <c r="EQ306" s="3"/>
    </row>
    <row r="307" spans="1:147" x14ac:dyDescent="0.25">
      <c r="A307" s="3"/>
      <c r="B307" s="3"/>
      <c r="C307" s="3"/>
      <c r="E307" s="3"/>
      <c r="AJ307" s="3"/>
      <c r="AK307" s="3"/>
      <c r="AL307" s="3"/>
      <c r="AM307" s="3"/>
      <c r="EO307" s="3"/>
      <c r="EP307" s="3"/>
      <c r="EQ307" s="3"/>
    </row>
    <row r="308" spans="1:147" x14ac:dyDescent="0.25">
      <c r="A308" s="3"/>
      <c r="B308" s="3"/>
      <c r="C308" s="3"/>
      <c r="E308" s="3"/>
      <c r="AJ308" s="3"/>
      <c r="AK308" s="3"/>
      <c r="AL308" s="3"/>
      <c r="AM308" s="3"/>
      <c r="EO308" s="3"/>
      <c r="EP308" s="3"/>
      <c r="EQ308" s="3"/>
    </row>
    <row r="309" spans="1:147" x14ac:dyDescent="0.25">
      <c r="A309" s="3"/>
      <c r="B309" s="3"/>
      <c r="C309" s="3"/>
      <c r="E309" s="3"/>
      <c r="AJ309" s="3"/>
      <c r="AK309" s="3"/>
      <c r="AL309" s="3"/>
      <c r="AM309" s="3"/>
      <c r="EO309" s="3"/>
      <c r="EP309" s="3"/>
      <c r="EQ309" s="3"/>
    </row>
    <row r="310" spans="1:147" x14ac:dyDescent="0.25">
      <c r="A310" s="3"/>
      <c r="B310" s="3"/>
      <c r="C310" s="3"/>
      <c r="E310" s="3"/>
      <c r="AJ310" s="3"/>
      <c r="AK310" s="3"/>
      <c r="AL310" s="3"/>
      <c r="AM310" s="3"/>
      <c r="EO310" s="3"/>
      <c r="EP310" s="3"/>
      <c r="EQ310" s="3"/>
    </row>
    <row r="311" spans="1:147" x14ac:dyDescent="0.25">
      <c r="A311" s="3"/>
      <c r="B311" s="3"/>
      <c r="C311" s="3"/>
      <c r="E311" s="3"/>
      <c r="AJ311" s="3"/>
      <c r="AK311" s="3"/>
      <c r="AL311" s="3"/>
      <c r="AM311" s="3"/>
      <c r="EO311" s="3"/>
      <c r="EP311" s="3"/>
      <c r="EQ311" s="3"/>
    </row>
    <row r="312" spans="1:147" x14ac:dyDescent="0.25">
      <c r="A312" s="3"/>
      <c r="B312" s="3"/>
      <c r="C312" s="3"/>
      <c r="E312" s="3"/>
      <c r="AJ312" s="3"/>
      <c r="AK312" s="3"/>
      <c r="AL312" s="3"/>
      <c r="AM312" s="3"/>
      <c r="EO312" s="3"/>
      <c r="EP312" s="3"/>
      <c r="EQ312" s="3"/>
    </row>
    <row r="313" spans="1:147" x14ac:dyDescent="0.25">
      <c r="A313" s="3"/>
      <c r="B313" s="3"/>
      <c r="C313" s="3"/>
      <c r="E313" s="3"/>
      <c r="AJ313" s="3"/>
      <c r="AK313" s="3"/>
      <c r="AL313" s="3"/>
      <c r="AM313" s="3"/>
      <c r="EO313" s="3"/>
      <c r="EP313" s="3"/>
      <c r="EQ313" s="3"/>
    </row>
    <row r="314" spans="1:147" x14ac:dyDescent="0.25">
      <c r="A314" s="3"/>
      <c r="B314" s="3"/>
      <c r="C314" s="3"/>
      <c r="E314" s="3"/>
      <c r="AJ314" s="3"/>
      <c r="AK314" s="3"/>
      <c r="AL314" s="3"/>
      <c r="AM314" s="3"/>
      <c r="EO314" s="3"/>
      <c r="EP314" s="3"/>
      <c r="EQ314" s="3"/>
    </row>
    <row r="315" spans="1:147" x14ac:dyDescent="0.25">
      <c r="A315" s="3"/>
      <c r="B315" s="3"/>
      <c r="C315" s="3"/>
      <c r="E315" s="3"/>
      <c r="AJ315" s="3"/>
      <c r="AK315" s="3"/>
      <c r="AL315" s="3"/>
      <c r="AM315" s="3"/>
      <c r="EO315" s="3"/>
      <c r="EP315" s="3"/>
      <c r="EQ315" s="3"/>
    </row>
    <row r="316" spans="1:147" x14ac:dyDescent="0.25">
      <c r="A316" s="3"/>
      <c r="B316" s="3"/>
      <c r="C316" s="3"/>
      <c r="E316" s="3"/>
      <c r="AJ316" s="3"/>
      <c r="AK316" s="3"/>
      <c r="AL316" s="3"/>
      <c r="AM316" s="3"/>
      <c r="EO316" s="3"/>
      <c r="EP316" s="3"/>
      <c r="EQ316" s="3"/>
    </row>
    <row r="317" spans="1:147" x14ac:dyDescent="0.25">
      <c r="A317" s="3"/>
      <c r="B317" s="3"/>
      <c r="C317" s="3"/>
      <c r="E317" s="3"/>
      <c r="AJ317" s="3"/>
      <c r="AK317" s="3"/>
      <c r="AL317" s="3"/>
      <c r="AM317" s="3"/>
      <c r="EO317" s="3"/>
      <c r="EP317" s="3"/>
      <c r="EQ317" s="3"/>
    </row>
    <row r="318" spans="1:147" x14ac:dyDescent="0.25">
      <c r="A318" s="3"/>
      <c r="B318" s="3"/>
      <c r="C318" s="3"/>
      <c r="E318" s="3"/>
      <c r="AJ318" s="3"/>
      <c r="AK318" s="3"/>
      <c r="AL318" s="3"/>
      <c r="AM318" s="3"/>
      <c r="EO318" s="3"/>
      <c r="EP318" s="3"/>
      <c r="EQ318" s="3"/>
    </row>
    <row r="319" spans="1:147" x14ac:dyDescent="0.25">
      <c r="A319" s="3"/>
      <c r="B319" s="3"/>
      <c r="C319" s="3"/>
      <c r="E319" s="3"/>
      <c r="AJ319" s="3"/>
      <c r="AK319" s="3"/>
      <c r="AL319" s="3"/>
      <c r="AM319" s="3"/>
      <c r="EO319" s="3"/>
      <c r="EP319" s="3"/>
      <c r="EQ319" s="3"/>
    </row>
    <row r="320" spans="1:147" x14ac:dyDescent="0.25">
      <c r="A320" s="3"/>
      <c r="B320" s="3"/>
      <c r="C320" s="3"/>
      <c r="E320" s="3"/>
      <c r="AJ320" s="3"/>
      <c r="AK320" s="3"/>
      <c r="AL320" s="3"/>
      <c r="AM320" s="3"/>
      <c r="EO320" s="3"/>
      <c r="EP320" s="3"/>
      <c r="EQ320" s="3"/>
    </row>
    <row r="321" spans="1:147" x14ac:dyDescent="0.25">
      <c r="A321" s="3"/>
      <c r="B321" s="3"/>
      <c r="C321" s="3"/>
      <c r="E321" s="3"/>
      <c r="AJ321" s="3"/>
      <c r="AK321" s="3"/>
      <c r="AL321" s="3"/>
      <c r="AM321" s="3"/>
      <c r="EO321" s="3"/>
      <c r="EP321" s="3"/>
      <c r="EQ321" s="3"/>
    </row>
    <row r="322" spans="1:147" x14ac:dyDescent="0.25">
      <c r="A322" s="3"/>
      <c r="B322" s="3"/>
      <c r="C322" s="3"/>
      <c r="E322" s="3"/>
      <c r="AJ322" s="3"/>
      <c r="AK322" s="3"/>
      <c r="AL322" s="3"/>
      <c r="AM322" s="3"/>
      <c r="EO322" s="3"/>
      <c r="EP322" s="3"/>
      <c r="EQ322" s="3"/>
    </row>
    <row r="323" spans="1:147" x14ac:dyDescent="0.25">
      <c r="A323" s="3"/>
      <c r="B323" s="3"/>
      <c r="C323" s="3"/>
      <c r="E323" s="3"/>
      <c r="AJ323" s="3"/>
      <c r="AK323" s="3"/>
      <c r="AL323" s="3"/>
      <c r="AM323" s="3"/>
      <c r="EO323" s="3"/>
      <c r="EP323" s="3"/>
      <c r="EQ323" s="3"/>
    </row>
    <row r="324" spans="1:147" x14ac:dyDescent="0.25">
      <c r="A324" s="3"/>
      <c r="B324" s="3"/>
      <c r="C324" s="3"/>
      <c r="E324" s="3"/>
      <c r="AJ324" s="3"/>
      <c r="AK324" s="3"/>
      <c r="AL324" s="3"/>
      <c r="AM324" s="3"/>
      <c r="EO324" s="3"/>
      <c r="EP324" s="3"/>
      <c r="EQ324" s="3"/>
    </row>
    <row r="325" spans="1:147" x14ac:dyDescent="0.25">
      <c r="A325" s="3"/>
      <c r="B325" s="3"/>
      <c r="C325" s="3"/>
      <c r="E325" s="3"/>
      <c r="AJ325" s="3"/>
      <c r="AK325" s="3"/>
      <c r="AL325" s="3"/>
      <c r="AM325" s="3"/>
      <c r="EO325" s="3"/>
      <c r="EP325" s="3"/>
      <c r="EQ325" s="3"/>
    </row>
    <row r="326" spans="1:147" x14ac:dyDescent="0.25">
      <c r="A326" s="3"/>
      <c r="B326" s="3"/>
      <c r="C326" s="3"/>
      <c r="E326" s="3"/>
      <c r="AJ326" s="3"/>
      <c r="AK326" s="3"/>
      <c r="AL326" s="3"/>
      <c r="AM326" s="3"/>
      <c r="EO326" s="3"/>
      <c r="EP326" s="3"/>
      <c r="EQ326" s="3"/>
    </row>
    <row r="327" spans="1:147" x14ac:dyDescent="0.25">
      <c r="A327" s="3"/>
      <c r="B327" s="3"/>
      <c r="C327" s="3"/>
      <c r="E327" s="3"/>
      <c r="AJ327" s="3"/>
      <c r="AK327" s="3"/>
      <c r="AL327" s="3"/>
      <c r="AM327" s="3"/>
      <c r="EO327" s="3"/>
      <c r="EP327" s="3"/>
      <c r="EQ327" s="3"/>
    </row>
    <row r="328" spans="1:147" x14ac:dyDescent="0.25">
      <c r="A328" s="3"/>
      <c r="B328" s="3"/>
      <c r="C328" s="3"/>
      <c r="E328" s="3"/>
      <c r="AJ328" s="3"/>
      <c r="AK328" s="3"/>
      <c r="AL328" s="3"/>
      <c r="AM328" s="3"/>
      <c r="EO328" s="3"/>
      <c r="EP328" s="3"/>
      <c r="EQ328" s="3"/>
    </row>
    <row r="329" spans="1:147" x14ac:dyDescent="0.25">
      <c r="A329" s="3"/>
      <c r="B329" s="3"/>
      <c r="C329" s="3"/>
      <c r="E329" s="3"/>
      <c r="AJ329" s="3"/>
      <c r="AK329" s="3"/>
      <c r="AL329" s="3"/>
      <c r="AM329" s="3"/>
      <c r="EO329" s="3"/>
      <c r="EP329" s="3"/>
      <c r="EQ329" s="3"/>
    </row>
    <row r="330" spans="1:147" x14ac:dyDescent="0.25">
      <c r="A330" s="3"/>
      <c r="B330" s="3"/>
      <c r="C330" s="3"/>
      <c r="E330" s="3"/>
      <c r="AJ330" s="3"/>
      <c r="AK330" s="3"/>
      <c r="AL330" s="3"/>
      <c r="AM330" s="3"/>
      <c r="EO330" s="3"/>
      <c r="EP330" s="3"/>
      <c r="EQ330" s="3"/>
    </row>
    <row r="331" spans="1:147" x14ac:dyDescent="0.25">
      <c r="A331" s="3"/>
      <c r="B331" s="3"/>
      <c r="C331" s="3"/>
      <c r="E331" s="3"/>
      <c r="AJ331" s="3"/>
      <c r="AK331" s="3"/>
      <c r="AL331" s="3"/>
      <c r="AM331" s="3"/>
      <c r="EO331" s="3"/>
      <c r="EP331" s="3"/>
      <c r="EQ331" s="3"/>
    </row>
    <row r="332" spans="1:147" x14ac:dyDescent="0.25">
      <c r="A332" s="3"/>
      <c r="B332" s="3"/>
      <c r="C332" s="3"/>
      <c r="E332" s="3"/>
      <c r="AJ332" s="3"/>
      <c r="AK332" s="3"/>
      <c r="AL332" s="3"/>
      <c r="AM332" s="3"/>
      <c r="EO332" s="3"/>
      <c r="EP332" s="3"/>
      <c r="EQ332" s="3"/>
    </row>
    <row r="333" spans="1:147" x14ac:dyDescent="0.25">
      <c r="A333" s="3"/>
      <c r="B333" s="3"/>
      <c r="C333" s="3"/>
      <c r="E333" s="3"/>
      <c r="AJ333" s="3"/>
      <c r="AK333" s="3"/>
      <c r="AL333" s="3"/>
      <c r="AM333" s="3"/>
      <c r="EO333" s="3"/>
      <c r="EP333" s="3"/>
      <c r="EQ333" s="3"/>
    </row>
    <row r="334" spans="1:147" x14ac:dyDescent="0.25">
      <c r="A334" s="3"/>
      <c r="B334" s="3"/>
      <c r="C334" s="3"/>
      <c r="E334" s="3"/>
      <c r="AJ334" s="3"/>
      <c r="AK334" s="3"/>
      <c r="AL334" s="3"/>
      <c r="AM334" s="3"/>
      <c r="EO334" s="3"/>
      <c r="EP334" s="3"/>
      <c r="EQ334" s="3"/>
    </row>
    <row r="335" spans="1:147" x14ac:dyDescent="0.25">
      <c r="A335" s="3"/>
      <c r="B335" s="3"/>
      <c r="C335" s="3"/>
      <c r="E335" s="3"/>
      <c r="AJ335" s="3"/>
      <c r="AK335" s="3"/>
      <c r="AL335" s="3"/>
      <c r="AM335" s="3"/>
      <c r="EO335" s="3"/>
      <c r="EP335" s="3"/>
      <c r="EQ335" s="3"/>
    </row>
    <row r="336" spans="1:147" x14ac:dyDescent="0.25">
      <c r="A336" s="3"/>
      <c r="B336" s="3"/>
      <c r="C336" s="3"/>
      <c r="E336" s="3"/>
      <c r="AJ336" s="3"/>
      <c r="AK336" s="3"/>
      <c r="AL336" s="3"/>
      <c r="AM336" s="3"/>
      <c r="EO336" s="3"/>
      <c r="EP336" s="3"/>
      <c r="EQ336" s="3"/>
    </row>
    <row r="337" spans="1:147" x14ac:dyDescent="0.25">
      <c r="A337" s="3"/>
      <c r="B337" s="3"/>
      <c r="C337" s="3"/>
      <c r="E337" s="3"/>
      <c r="AJ337" s="3"/>
      <c r="AK337" s="3"/>
      <c r="AL337" s="3"/>
      <c r="AM337" s="3"/>
      <c r="EO337" s="3"/>
      <c r="EP337" s="3"/>
      <c r="EQ337" s="3"/>
    </row>
    <row r="338" spans="1:147" x14ac:dyDescent="0.25">
      <c r="A338" s="3"/>
      <c r="B338" s="3"/>
      <c r="C338" s="3"/>
      <c r="E338" s="3"/>
      <c r="AJ338" s="3"/>
      <c r="AK338" s="3"/>
      <c r="AL338" s="3"/>
      <c r="AM338" s="3"/>
      <c r="EO338" s="3"/>
      <c r="EP338" s="3"/>
      <c r="EQ338" s="3"/>
    </row>
    <row r="339" spans="1:147" x14ac:dyDescent="0.25">
      <c r="A339" s="3"/>
      <c r="B339" s="3"/>
      <c r="C339" s="3"/>
      <c r="E339" s="3"/>
      <c r="AJ339" s="3"/>
      <c r="AK339" s="3"/>
      <c r="AL339" s="3"/>
      <c r="AM339" s="3"/>
      <c r="EO339" s="3"/>
      <c r="EP339" s="3"/>
      <c r="EQ339" s="3"/>
    </row>
    <row r="340" spans="1:147" x14ac:dyDescent="0.25">
      <c r="A340" s="3"/>
      <c r="B340" s="3"/>
      <c r="C340" s="3"/>
      <c r="E340" s="3"/>
      <c r="AJ340" s="3"/>
      <c r="AK340" s="3"/>
      <c r="AL340" s="3"/>
      <c r="AM340" s="3"/>
      <c r="EO340" s="3"/>
      <c r="EP340" s="3"/>
      <c r="EQ340" s="3"/>
    </row>
    <row r="341" spans="1:147" x14ac:dyDescent="0.25">
      <c r="A341" s="3"/>
      <c r="B341" s="3"/>
      <c r="C341" s="3"/>
      <c r="E341" s="3"/>
      <c r="AJ341" s="3"/>
      <c r="AK341" s="3"/>
      <c r="AL341" s="3"/>
      <c r="AM341" s="3"/>
      <c r="EO341" s="3"/>
      <c r="EP341" s="3"/>
      <c r="EQ341" s="3"/>
    </row>
    <row r="342" spans="1:147" x14ac:dyDescent="0.25">
      <c r="A342" s="3"/>
      <c r="B342" s="3"/>
      <c r="C342" s="3"/>
      <c r="E342" s="3"/>
      <c r="AJ342" s="3"/>
      <c r="AK342" s="3"/>
      <c r="AL342" s="3"/>
      <c r="AM342" s="3"/>
      <c r="EO342" s="3"/>
      <c r="EP342" s="3"/>
      <c r="EQ342" s="3"/>
    </row>
    <row r="343" spans="1:147" x14ac:dyDescent="0.25">
      <c r="A343" s="3"/>
      <c r="B343" s="3"/>
      <c r="C343" s="3"/>
      <c r="E343" s="3"/>
      <c r="AJ343" s="3"/>
      <c r="AK343" s="3"/>
      <c r="AL343" s="3"/>
      <c r="AM343" s="3"/>
      <c r="EO343" s="3"/>
      <c r="EP343" s="3"/>
      <c r="EQ343" s="3"/>
    </row>
    <row r="344" spans="1:147" x14ac:dyDescent="0.25">
      <c r="A344" s="3"/>
      <c r="B344" s="3"/>
      <c r="C344" s="3"/>
      <c r="E344" s="3"/>
      <c r="AJ344" s="3"/>
      <c r="AK344" s="3"/>
      <c r="AL344" s="3"/>
      <c r="AM344" s="3"/>
      <c r="EO344" s="3"/>
      <c r="EP344" s="3"/>
      <c r="EQ344" s="3"/>
    </row>
    <row r="345" spans="1:147" x14ac:dyDescent="0.25">
      <c r="A345" s="3"/>
      <c r="B345" s="3"/>
      <c r="C345" s="3"/>
      <c r="E345" s="3"/>
      <c r="AJ345" s="3"/>
      <c r="AK345" s="3"/>
      <c r="AL345" s="3"/>
      <c r="AM345" s="3"/>
      <c r="EO345" s="3"/>
      <c r="EP345" s="3"/>
      <c r="EQ345" s="3"/>
    </row>
    <row r="346" spans="1:147" x14ac:dyDescent="0.25">
      <c r="A346" s="3"/>
      <c r="B346" s="3"/>
      <c r="C346" s="3"/>
      <c r="E346" s="3"/>
      <c r="AJ346" s="3"/>
      <c r="AK346" s="3"/>
      <c r="AL346" s="3"/>
      <c r="AM346" s="3"/>
      <c r="EO346" s="3"/>
      <c r="EP346" s="3"/>
      <c r="EQ346" s="3"/>
    </row>
    <row r="347" spans="1:147" x14ac:dyDescent="0.25">
      <c r="A347" s="3"/>
      <c r="B347" s="3"/>
      <c r="C347" s="3"/>
      <c r="E347" s="3"/>
      <c r="AJ347" s="3"/>
      <c r="AK347" s="3"/>
      <c r="AL347" s="3"/>
      <c r="AM347" s="3"/>
      <c r="EO347" s="3"/>
      <c r="EP347" s="3"/>
      <c r="EQ347" s="3"/>
    </row>
    <row r="348" spans="1:147" x14ac:dyDescent="0.25">
      <c r="A348" s="3"/>
      <c r="B348" s="3"/>
      <c r="C348" s="3"/>
      <c r="E348" s="3"/>
      <c r="AJ348" s="3"/>
      <c r="AK348" s="3"/>
      <c r="AL348" s="3"/>
      <c r="AM348" s="3"/>
      <c r="EO348" s="3"/>
      <c r="EP348" s="3"/>
      <c r="EQ348" s="3"/>
    </row>
    <row r="349" spans="1:147" x14ac:dyDescent="0.25">
      <c r="A349" s="3"/>
      <c r="B349" s="3"/>
      <c r="C349" s="3"/>
      <c r="E349" s="3"/>
      <c r="AJ349" s="3"/>
      <c r="AK349" s="3"/>
      <c r="AL349" s="3"/>
      <c r="AM349" s="3"/>
      <c r="EO349" s="3"/>
      <c r="EP349" s="3"/>
      <c r="EQ349" s="3"/>
    </row>
    <row r="350" spans="1:147" x14ac:dyDescent="0.25">
      <c r="A350" s="3"/>
      <c r="B350" s="3"/>
      <c r="C350" s="3"/>
      <c r="E350" s="3"/>
      <c r="AJ350" s="3"/>
      <c r="AK350" s="3"/>
      <c r="AL350" s="3"/>
      <c r="AM350" s="3"/>
      <c r="EO350" s="3"/>
      <c r="EP350" s="3"/>
      <c r="EQ350" s="3"/>
    </row>
    <row r="351" spans="1:147" x14ac:dyDescent="0.25">
      <c r="A351" s="3"/>
      <c r="B351" s="3"/>
      <c r="C351" s="3"/>
      <c r="E351" s="3"/>
      <c r="AJ351" s="3"/>
      <c r="AK351" s="3"/>
      <c r="AL351" s="3"/>
      <c r="AM351" s="3"/>
      <c r="EO351" s="3"/>
      <c r="EP351" s="3"/>
      <c r="EQ351" s="3"/>
    </row>
    <row r="352" spans="1:147" x14ac:dyDescent="0.25">
      <c r="A352" s="3"/>
      <c r="B352" s="3"/>
      <c r="C352" s="3"/>
      <c r="E352" s="3"/>
      <c r="AJ352" s="3"/>
      <c r="AK352" s="3"/>
      <c r="AL352" s="3"/>
      <c r="AM352" s="3"/>
      <c r="EO352" s="3"/>
      <c r="EP352" s="3"/>
      <c r="EQ352" s="3"/>
    </row>
    <row r="353" spans="1:147" x14ac:dyDescent="0.25">
      <c r="A353" s="3"/>
      <c r="B353" s="3"/>
      <c r="C353" s="3"/>
      <c r="E353" s="3"/>
      <c r="AJ353" s="3"/>
      <c r="AK353" s="3"/>
      <c r="AL353" s="3"/>
      <c r="AM353" s="3"/>
      <c r="EO353" s="3"/>
      <c r="EP353" s="3"/>
      <c r="EQ353" s="3"/>
    </row>
    <row r="354" spans="1:147" x14ac:dyDescent="0.25">
      <c r="A354" s="3"/>
      <c r="B354" s="3"/>
      <c r="C354" s="3"/>
      <c r="E354" s="3"/>
      <c r="AJ354" s="3"/>
      <c r="AK354" s="3"/>
      <c r="AL354" s="3"/>
      <c r="AM354" s="3"/>
      <c r="EO354" s="3"/>
      <c r="EP354" s="3"/>
      <c r="EQ354" s="3"/>
    </row>
    <row r="355" spans="1:147" x14ac:dyDescent="0.25">
      <c r="A355" s="3"/>
      <c r="B355" s="3"/>
      <c r="C355" s="3"/>
      <c r="E355" s="3"/>
      <c r="AJ355" s="3"/>
      <c r="AK355" s="3"/>
      <c r="AL355" s="3"/>
      <c r="AM355" s="3"/>
      <c r="EO355" s="3"/>
      <c r="EP355" s="3"/>
      <c r="EQ355" s="3"/>
    </row>
    <row r="356" spans="1:147" x14ac:dyDescent="0.25">
      <c r="A356" s="3"/>
      <c r="B356" s="3"/>
      <c r="C356" s="3"/>
      <c r="E356" s="3"/>
      <c r="AJ356" s="3"/>
      <c r="AK356" s="3"/>
      <c r="AL356" s="3"/>
      <c r="AM356" s="3"/>
      <c r="EO356" s="3"/>
      <c r="EP356" s="3"/>
      <c r="EQ356" s="3"/>
    </row>
    <row r="357" spans="1:147" x14ac:dyDescent="0.25">
      <c r="A357" s="3"/>
      <c r="B357" s="3"/>
      <c r="C357" s="3"/>
      <c r="E357" s="3"/>
      <c r="AJ357" s="3"/>
      <c r="AK357" s="3"/>
      <c r="AL357" s="3"/>
      <c r="AM357" s="3"/>
      <c r="EO357" s="3"/>
      <c r="EP357" s="3"/>
      <c r="EQ357" s="3"/>
    </row>
    <row r="358" spans="1:147" x14ac:dyDescent="0.25">
      <c r="A358" s="3"/>
      <c r="B358" s="3"/>
      <c r="C358" s="3"/>
      <c r="E358" s="3"/>
      <c r="AJ358" s="3"/>
      <c r="AK358" s="3"/>
      <c r="AL358" s="3"/>
      <c r="AM358" s="3"/>
      <c r="EO358" s="3"/>
      <c r="EP358" s="3"/>
      <c r="EQ358" s="3"/>
    </row>
    <row r="359" spans="1:147" x14ac:dyDescent="0.25">
      <c r="A359" s="3"/>
      <c r="B359" s="3"/>
      <c r="C359" s="3"/>
      <c r="E359" s="3"/>
      <c r="AJ359" s="3"/>
      <c r="AK359" s="3"/>
      <c r="AL359" s="3"/>
      <c r="AM359" s="3"/>
      <c r="EO359" s="3"/>
      <c r="EP359" s="3"/>
      <c r="EQ359" s="3"/>
    </row>
    <row r="360" spans="1:147" x14ac:dyDescent="0.25">
      <c r="A360" s="3"/>
      <c r="B360" s="3"/>
      <c r="C360" s="3"/>
      <c r="E360" s="3"/>
      <c r="AJ360" s="3"/>
      <c r="AK360" s="3"/>
      <c r="AL360" s="3"/>
      <c r="AM360" s="3"/>
      <c r="EO360" s="3"/>
      <c r="EP360" s="3"/>
      <c r="EQ360" s="3"/>
    </row>
    <row r="361" spans="1:147" x14ac:dyDescent="0.25">
      <c r="A361" s="3"/>
      <c r="B361" s="3"/>
      <c r="C361" s="3"/>
      <c r="E361" s="3"/>
      <c r="AJ361" s="3"/>
      <c r="AK361" s="3"/>
      <c r="AL361" s="3"/>
      <c r="AM361" s="3"/>
      <c r="EO361" s="3"/>
      <c r="EP361" s="3"/>
      <c r="EQ361" s="3"/>
    </row>
    <row r="362" spans="1:147" x14ac:dyDescent="0.25">
      <c r="A362" s="3"/>
      <c r="B362" s="3"/>
      <c r="C362" s="3"/>
      <c r="E362" s="3"/>
      <c r="AJ362" s="3"/>
      <c r="AK362" s="3"/>
      <c r="AL362" s="3"/>
      <c r="AM362" s="3"/>
      <c r="EO362" s="3"/>
      <c r="EP362" s="3"/>
      <c r="EQ362" s="3"/>
    </row>
    <row r="363" spans="1:147" x14ac:dyDescent="0.25">
      <c r="A363" s="3"/>
      <c r="B363" s="3"/>
      <c r="C363" s="3"/>
      <c r="E363" s="3"/>
      <c r="AJ363" s="3"/>
      <c r="AK363" s="3"/>
      <c r="AL363" s="3"/>
      <c r="AM363" s="3"/>
      <c r="EO363" s="3"/>
      <c r="EP363" s="3"/>
      <c r="EQ363" s="3"/>
    </row>
    <row r="364" spans="1:147" x14ac:dyDescent="0.25">
      <c r="A364" s="3"/>
      <c r="B364" s="3"/>
      <c r="C364" s="3"/>
      <c r="E364" s="3"/>
      <c r="AJ364" s="3"/>
      <c r="AK364" s="3"/>
      <c r="AL364" s="3"/>
      <c r="AM364" s="3"/>
      <c r="EO364" s="3"/>
      <c r="EP364" s="3"/>
      <c r="EQ364" s="3"/>
    </row>
    <row r="365" spans="1:147" x14ac:dyDescent="0.25">
      <c r="A365" s="3"/>
      <c r="B365" s="3"/>
      <c r="C365" s="3"/>
      <c r="E365" s="3"/>
      <c r="AJ365" s="3"/>
      <c r="AK365" s="3"/>
      <c r="AL365" s="3"/>
      <c r="AM365" s="3"/>
      <c r="EO365" s="3"/>
      <c r="EP365" s="3"/>
      <c r="EQ365" s="3"/>
    </row>
    <row r="366" spans="1:147" x14ac:dyDescent="0.25">
      <c r="A366" s="3"/>
      <c r="B366" s="3"/>
      <c r="C366" s="3"/>
      <c r="E366" s="3"/>
      <c r="AJ366" s="3"/>
      <c r="AK366" s="3"/>
      <c r="AL366" s="3"/>
      <c r="AM366" s="3"/>
      <c r="EO366" s="3"/>
      <c r="EP366" s="3"/>
      <c r="EQ366" s="3"/>
    </row>
    <row r="367" spans="1:147" x14ac:dyDescent="0.25">
      <c r="A367" s="3"/>
      <c r="B367" s="3"/>
      <c r="C367" s="3"/>
      <c r="E367" s="3"/>
      <c r="AJ367" s="3"/>
      <c r="AK367" s="3"/>
      <c r="AL367" s="3"/>
      <c r="AM367" s="3"/>
      <c r="EO367" s="3"/>
      <c r="EP367" s="3"/>
      <c r="EQ367" s="3"/>
    </row>
    <row r="368" spans="1:147" x14ac:dyDescent="0.25">
      <c r="A368" s="3"/>
      <c r="B368" s="3"/>
      <c r="C368" s="3"/>
      <c r="E368" s="3"/>
      <c r="AJ368" s="3"/>
      <c r="AK368" s="3"/>
      <c r="AL368" s="3"/>
      <c r="AM368" s="3"/>
      <c r="EO368" s="3"/>
      <c r="EP368" s="3"/>
      <c r="EQ368" s="3"/>
    </row>
    <row r="369" spans="1:147" x14ac:dyDescent="0.25">
      <c r="A369" s="3"/>
      <c r="B369" s="3"/>
      <c r="C369" s="3"/>
      <c r="E369" s="3"/>
      <c r="AJ369" s="3"/>
      <c r="AK369" s="3"/>
      <c r="AL369" s="3"/>
      <c r="AM369" s="3"/>
      <c r="EO369" s="3"/>
      <c r="EP369" s="3"/>
      <c r="EQ369" s="3"/>
    </row>
    <row r="370" spans="1:147" x14ac:dyDescent="0.25">
      <c r="A370" s="3"/>
      <c r="B370" s="3"/>
      <c r="C370" s="3"/>
      <c r="E370" s="3"/>
      <c r="AJ370" s="3"/>
      <c r="AK370" s="3"/>
      <c r="AL370" s="3"/>
      <c r="AM370" s="3"/>
      <c r="EO370" s="3"/>
      <c r="EP370" s="3"/>
      <c r="EQ370" s="3"/>
    </row>
    <row r="371" spans="1:147" x14ac:dyDescent="0.25">
      <c r="A371" s="3"/>
      <c r="B371" s="3"/>
      <c r="C371" s="3"/>
      <c r="E371" s="3"/>
      <c r="AJ371" s="3"/>
      <c r="AK371" s="3"/>
      <c r="AL371" s="3"/>
      <c r="AM371" s="3"/>
      <c r="EO371" s="3"/>
      <c r="EP371" s="3"/>
      <c r="EQ371" s="3"/>
    </row>
    <row r="372" spans="1:147" x14ac:dyDescent="0.25">
      <c r="A372" s="3"/>
      <c r="B372" s="3"/>
      <c r="C372" s="3"/>
      <c r="E372" s="3"/>
      <c r="AJ372" s="3"/>
      <c r="AK372" s="3"/>
      <c r="AL372" s="3"/>
      <c r="AM372" s="3"/>
      <c r="EO372" s="3"/>
      <c r="EP372" s="3"/>
      <c r="EQ372" s="3"/>
    </row>
    <row r="373" spans="1:147" x14ac:dyDescent="0.25">
      <c r="A373" s="3"/>
      <c r="B373" s="3"/>
      <c r="C373" s="3"/>
      <c r="E373" s="3"/>
      <c r="AJ373" s="3"/>
      <c r="AK373" s="3"/>
      <c r="AL373" s="3"/>
      <c r="AM373" s="3"/>
      <c r="EO373" s="3"/>
      <c r="EP373" s="3"/>
      <c r="EQ373" s="3"/>
    </row>
    <row r="374" spans="1:147" x14ac:dyDescent="0.25">
      <c r="A374" s="3"/>
      <c r="B374" s="3"/>
      <c r="C374" s="3"/>
      <c r="E374" s="3"/>
      <c r="AJ374" s="3"/>
      <c r="AK374" s="3"/>
      <c r="AL374" s="3"/>
      <c r="AM374" s="3"/>
      <c r="EO374" s="3"/>
      <c r="EP374" s="3"/>
      <c r="EQ374" s="3"/>
    </row>
    <row r="375" spans="1:147" x14ac:dyDescent="0.25">
      <c r="A375" s="3"/>
      <c r="B375" s="3"/>
      <c r="C375" s="3"/>
      <c r="E375" s="3"/>
      <c r="AJ375" s="3"/>
      <c r="AK375" s="3"/>
      <c r="AL375" s="3"/>
      <c r="AM375" s="3"/>
      <c r="EO375" s="3"/>
      <c r="EP375" s="3"/>
      <c r="EQ375" s="3"/>
    </row>
    <row r="377" spans="1:147" x14ac:dyDescent="0.25">
      <c r="A377" s="3"/>
      <c r="B377" s="3"/>
      <c r="C377" s="3"/>
      <c r="E377" s="3"/>
      <c r="AJ377" s="3"/>
      <c r="AK377" s="3"/>
      <c r="AL377" s="3"/>
      <c r="AM377" s="3"/>
      <c r="EO377" s="3"/>
      <c r="EP377" s="3"/>
      <c r="EQ377" s="3"/>
    </row>
    <row r="378" spans="1:147" x14ac:dyDescent="0.25">
      <c r="A378" s="3"/>
      <c r="B378" s="3"/>
      <c r="C378" s="3"/>
      <c r="E378" s="3"/>
      <c r="AJ378" s="3"/>
      <c r="AK378" s="3"/>
      <c r="AL378" s="3"/>
      <c r="AM378" s="3"/>
      <c r="EO378" s="3"/>
      <c r="EP378" s="3"/>
      <c r="EQ378" s="3"/>
    </row>
    <row r="379" spans="1:147" x14ac:dyDescent="0.25">
      <c r="A379" s="3"/>
      <c r="B379" s="3"/>
      <c r="C379" s="3"/>
      <c r="E379" s="3"/>
      <c r="AJ379" s="3"/>
      <c r="AK379" s="3"/>
      <c r="AL379" s="3"/>
      <c r="AM379" s="3"/>
      <c r="EO379" s="3"/>
      <c r="EP379" s="3"/>
      <c r="EQ379" s="3"/>
    </row>
    <row r="380" spans="1:147" x14ac:dyDescent="0.25">
      <c r="A380" s="3"/>
      <c r="B380" s="3"/>
      <c r="C380" s="3"/>
      <c r="E380" s="3"/>
      <c r="AJ380" s="3"/>
      <c r="AK380" s="3"/>
      <c r="AL380" s="3"/>
      <c r="AM380" s="3"/>
      <c r="EO380" s="3"/>
      <c r="EP380" s="3"/>
      <c r="EQ380" s="3"/>
    </row>
    <row r="381" spans="1:147" x14ac:dyDescent="0.25">
      <c r="A381" s="3"/>
      <c r="B381" s="3"/>
      <c r="C381" s="3"/>
      <c r="E381" s="3"/>
      <c r="AJ381" s="3"/>
      <c r="AK381" s="3"/>
      <c r="AL381" s="3"/>
      <c r="AM381" s="3"/>
      <c r="EO381" s="3"/>
      <c r="EP381" s="3"/>
      <c r="EQ381" s="3"/>
    </row>
    <row r="382" spans="1:147" x14ac:dyDescent="0.25">
      <c r="A382" s="3"/>
      <c r="B382" s="3"/>
      <c r="C382" s="3"/>
      <c r="E382" s="3"/>
      <c r="AJ382" s="3"/>
      <c r="AK382" s="3"/>
      <c r="AL382" s="3"/>
      <c r="AM382" s="3"/>
      <c r="EO382" s="3"/>
      <c r="EP382" s="3"/>
      <c r="EQ382" s="3"/>
    </row>
    <row r="383" spans="1:147" x14ac:dyDescent="0.25">
      <c r="A383" s="3"/>
      <c r="B383" s="3"/>
      <c r="C383" s="3"/>
      <c r="E383" s="3"/>
      <c r="AJ383" s="3"/>
      <c r="AK383" s="3"/>
      <c r="AL383" s="3"/>
      <c r="AM383" s="3"/>
      <c r="EO383" s="3"/>
      <c r="EP383" s="3"/>
      <c r="EQ383" s="3"/>
    </row>
    <row r="384" spans="1:147" x14ac:dyDescent="0.25">
      <c r="A384" s="3"/>
      <c r="B384" s="3"/>
      <c r="C384" s="3"/>
      <c r="E384" s="3"/>
      <c r="AJ384" s="3"/>
      <c r="AK384" s="3"/>
      <c r="AL384" s="3"/>
      <c r="AM384" s="3"/>
      <c r="EO384" s="3"/>
      <c r="EP384" s="3"/>
      <c r="EQ384" s="3"/>
    </row>
    <row r="385" spans="1:147" x14ac:dyDescent="0.25">
      <c r="A385" s="3"/>
      <c r="B385" s="3"/>
      <c r="C385" s="3"/>
      <c r="E385" s="3"/>
      <c r="AJ385" s="3"/>
      <c r="AK385" s="3"/>
      <c r="AL385" s="3"/>
      <c r="AM385" s="3"/>
      <c r="EO385" s="3"/>
      <c r="EP385" s="3"/>
      <c r="EQ385" s="3"/>
    </row>
    <row r="386" spans="1:147" x14ac:dyDescent="0.25">
      <c r="A386" s="3"/>
      <c r="B386" s="3"/>
      <c r="C386" s="3"/>
      <c r="E386" s="3"/>
      <c r="AJ386" s="3"/>
      <c r="AK386" s="3"/>
      <c r="AL386" s="3"/>
      <c r="AM386" s="3"/>
      <c r="EO386" s="3"/>
      <c r="EP386" s="3"/>
      <c r="EQ386" s="3"/>
    </row>
    <row r="387" spans="1:147" x14ac:dyDescent="0.25">
      <c r="A387" s="3"/>
      <c r="B387" s="3"/>
      <c r="C387" s="3"/>
      <c r="E387" s="3"/>
      <c r="AJ387" s="3"/>
      <c r="AK387" s="3"/>
      <c r="AL387" s="3"/>
      <c r="AM387" s="3"/>
      <c r="EO387" s="3"/>
      <c r="EP387" s="3"/>
      <c r="EQ387" s="3"/>
    </row>
    <row r="388" spans="1:147" x14ac:dyDescent="0.25">
      <c r="A388" s="3"/>
      <c r="B388" s="3"/>
      <c r="C388" s="3"/>
      <c r="E388" s="3"/>
      <c r="AJ388" s="3"/>
      <c r="AK388" s="3"/>
      <c r="AL388" s="3"/>
      <c r="AM388" s="3"/>
      <c r="EO388" s="3"/>
      <c r="EP388" s="3"/>
      <c r="EQ388" s="3"/>
    </row>
    <row r="389" spans="1:147" x14ac:dyDescent="0.25">
      <c r="A389" s="3"/>
      <c r="B389" s="3"/>
      <c r="C389" s="3"/>
      <c r="E389" s="3"/>
      <c r="AJ389" s="3"/>
      <c r="AK389" s="3"/>
      <c r="AL389" s="3"/>
      <c r="AM389" s="3"/>
      <c r="EO389" s="3"/>
      <c r="EP389" s="3"/>
      <c r="EQ389" s="3"/>
    </row>
    <row r="390" spans="1:147" x14ac:dyDescent="0.25">
      <c r="A390" s="3"/>
      <c r="B390" s="3"/>
      <c r="C390" s="3"/>
      <c r="E390" s="3"/>
      <c r="AJ390" s="3"/>
      <c r="AK390" s="3"/>
      <c r="AL390" s="3"/>
      <c r="AM390" s="3"/>
      <c r="EO390" s="3"/>
      <c r="EP390" s="3"/>
      <c r="EQ390" s="3"/>
    </row>
    <row r="391" spans="1:147" x14ac:dyDescent="0.25">
      <c r="A391" s="3"/>
      <c r="B391" s="3"/>
      <c r="C391" s="3"/>
      <c r="E391" s="3"/>
      <c r="AJ391" s="3"/>
      <c r="AK391" s="3"/>
      <c r="AL391" s="3"/>
      <c r="AM391" s="3"/>
      <c r="EO391" s="3"/>
      <c r="EP391" s="3"/>
      <c r="EQ391" s="3"/>
    </row>
    <row r="392" spans="1:147" x14ac:dyDescent="0.25">
      <c r="A392" s="3"/>
      <c r="B392" s="3"/>
      <c r="C392" s="3"/>
      <c r="E392" s="3"/>
      <c r="AJ392" s="3"/>
      <c r="AK392" s="3"/>
      <c r="AL392" s="3"/>
      <c r="AM392" s="3"/>
      <c r="EO392" s="3"/>
      <c r="EP392" s="3"/>
      <c r="EQ392" s="3"/>
    </row>
    <row r="393" spans="1:147" x14ac:dyDescent="0.25">
      <c r="A393" s="3"/>
      <c r="B393" s="3"/>
      <c r="C393" s="3"/>
      <c r="E393" s="3"/>
      <c r="AJ393" s="3"/>
      <c r="AK393" s="3"/>
      <c r="AL393" s="3"/>
      <c r="AM393" s="3"/>
      <c r="EO393" s="3"/>
      <c r="EP393" s="3"/>
      <c r="EQ393" s="3"/>
    </row>
    <row r="394" spans="1:147" x14ac:dyDescent="0.25">
      <c r="A394" s="3"/>
      <c r="B394" s="3"/>
      <c r="C394" s="3"/>
      <c r="E394" s="3"/>
      <c r="AJ394" s="3"/>
      <c r="AK394" s="3"/>
      <c r="AL394" s="3"/>
      <c r="AM394" s="3"/>
      <c r="EO394" s="3"/>
      <c r="EP394" s="3"/>
      <c r="EQ394" s="3"/>
    </row>
    <row r="395" spans="1:147" x14ac:dyDescent="0.25">
      <c r="A395" s="3"/>
      <c r="B395" s="3"/>
      <c r="C395" s="3"/>
      <c r="E395" s="3"/>
      <c r="AJ395" s="3"/>
      <c r="AK395" s="3"/>
      <c r="AL395" s="3"/>
      <c r="AM395" s="3"/>
      <c r="EO395" s="3"/>
      <c r="EP395" s="3"/>
      <c r="EQ395" s="3"/>
    </row>
    <row r="396" spans="1:147" x14ac:dyDescent="0.25">
      <c r="A396" s="3"/>
      <c r="B396" s="3"/>
      <c r="C396" s="3"/>
      <c r="E396" s="3"/>
      <c r="AJ396" s="3"/>
      <c r="AK396" s="3"/>
      <c r="AL396" s="3"/>
      <c r="AM396" s="3"/>
      <c r="EO396" s="3"/>
      <c r="EP396" s="3"/>
      <c r="EQ396" s="3"/>
    </row>
    <row r="397" spans="1:147" x14ac:dyDescent="0.25">
      <c r="A397" s="3"/>
      <c r="B397" s="3"/>
      <c r="C397" s="3"/>
      <c r="E397" s="3"/>
      <c r="AJ397" s="3"/>
      <c r="AK397" s="3"/>
      <c r="AL397" s="3"/>
      <c r="AM397" s="3"/>
      <c r="EO397" s="3"/>
      <c r="EP397" s="3"/>
      <c r="EQ397" s="3"/>
    </row>
    <row r="398" spans="1:147" x14ac:dyDescent="0.25">
      <c r="A398" s="3"/>
      <c r="B398" s="3"/>
      <c r="C398" s="3"/>
      <c r="E398" s="3"/>
      <c r="AJ398" s="3"/>
      <c r="AK398" s="3"/>
      <c r="AL398" s="3"/>
      <c r="AM398" s="3"/>
      <c r="EO398" s="3"/>
      <c r="EP398" s="3"/>
      <c r="EQ398" s="3"/>
    </row>
    <row r="399" spans="1:147" x14ac:dyDescent="0.25">
      <c r="A399" s="3"/>
      <c r="B399" s="3"/>
      <c r="C399" s="3"/>
      <c r="E399" s="3"/>
      <c r="AJ399" s="3"/>
      <c r="AK399" s="3"/>
      <c r="AL399" s="3"/>
      <c r="AM399" s="3"/>
      <c r="EO399" s="3"/>
      <c r="EP399" s="3"/>
      <c r="EQ399" s="3"/>
    </row>
    <row r="400" spans="1:147" x14ac:dyDescent="0.25">
      <c r="A400" s="3"/>
      <c r="B400" s="3"/>
      <c r="C400" s="3"/>
      <c r="E400" s="3"/>
      <c r="AJ400" s="3"/>
      <c r="AK400" s="3"/>
      <c r="AL400" s="3"/>
      <c r="AM400" s="3"/>
      <c r="EO400" s="3"/>
      <c r="EP400" s="3"/>
      <c r="EQ400" s="3"/>
    </row>
    <row r="401" spans="1:147" x14ac:dyDescent="0.25">
      <c r="A401" s="3"/>
      <c r="B401" s="3"/>
      <c r="C401" s="3"/>
      <c r="E401" s="3"/>
      <c r="AJ401" s="3"/>
      <c r="AK401" s="3"/>
      <c r="AL401" s="3"/>
      <c r="AM401" s="3"/>
      <c r="EO401" s="3"/>
      <c r="EP401" s="3"/>
      <c r="EQ401" s="3"/>
    </row>
    <row r="402" spans="1:147" x14ac:dyDescent="0.25">
      <c r="A402" s="3"/>
      <c r="B402" s="3"/>
      <c r="C402" s="3"/>
      <c r="E402" s="3"/>
      <c r="AJ402" s="3"/>
      <c r="AK402" s="3"/>
      <c r="AL402" s="3"/>
      <c r="AM402" s="3"/>
      <c r="EO402" s="3"/>
      <c r="EP402" s="3"/>
      <c r="EQ402" s="3"/>
    </row>
    <row r="403" spans="1:147" x14ac:dyDescent="0.25">
      <c r="A403" s="3"/>
      <c r="B403" s="3"/>
      <c r="C403" s="3"/>
      <c r="E403" s="3"/>
      <c r="AJ403" s="3"/>
      <c r="AK403" s="3"/>
      <c r="AL403" s="3"/>
      <c r="AM403" s="3"/>
      <c r="EO403" s="3"/>
      <c r="EP403" s="3"/>
      <c r="EQ403" s="3"/>
    </row>
    <row r="404" spans="1:147" x14ac:dyDescent="0.25">
      <c r="A404" s="3"/>
      <c r="B404" s="3"/>
      <c r="C404" s="3"/>
      <c r="E404" s="3"/>
      <c r="AJ404" s="3"/>
      <c r="AK404" s="3"/>
      <c r="AL404" s="3"/>
      <c r="AM404" s="3"/>
      <c r="EO404" s="3"/>
      <c r="EP404" s="3"/>
      <c r="EQ404" s="3"/>
    </row>
    <row r="405" spans="1:147" x14ac:dyDescent="0.25">
      <c r="A405" s="3"/>
      <c r="B405" s="3"/>
      <c r="C405" s="3"/>
      <c r="E405" s="3"/>
      <c r="AJ405" s="3"/>
      <c r="AK405" s="3"/>
      <c r="AL405" s="3"/>
      <c r="AM405" s="3"/>
      <c r="EO405" s="3"/>
      <c r="EP405" s="3"/>
      <c r="EQ405" s="3"/>
    </row>
    <row r="406" spans="1:147" x14ac:dyDescent="0.25">
      <c r="A406" s="3"/>
      <c r="B406" s="3"/>
      <c r="C406" s="3"/>
      <c r="E406" s="3"/>
      <c r="AJ406" s="3"/>
      <c r="AK406" s="3"/>
      <c r="AL406" s="3"/>
      <c r="AM406" s="3"/>
      <c r="EO406" s="3"/>
      <c r="EP406" s="3"/>
      <c r="EQ406" s="3"/>
    </row>
    <row r="407" spans="1:147" x14ac:dyDescent="0.25">
      <c r="A407" s="3"/>
      <c r="B407" s="3"/>
      <c r="C407" s="3"/>
      <c r="E407" s="3"/>
      <c r="AJ407" s="3"/>
      <c r="AK407" s="3"/>
      <c r="AL407" s="3"/>
      <c r="AM407" s="3"/>
      <c r="EO407" s="3"/>
      <c r="EP407" s="3"/>
      <c r="EQ407" s="3"/>
    </row>
    <row r="408" spans="1:147" x14ac:dyDescent="0.25">
      <c r="A408" s="3"/>
      <c r="B408" s="3"/>
      <c r="C408" s="3"/>
      <c r="E408" s="3"/>
      <c r="AJ408" s="3"/>
      <c r="AK408" s="3"/>
      <c r="AL408" s="3"/>
      <c r="AM408" s="3"/>
      <c r="EO408" s="3"/>
      <c r="EP408" s="3"/>
      <c r="EQ408" s="3"/>
    </row>
    <row r="409" spans="1:147" x14ac:dyDescent="0.25">
      <c r="A409" s="3"/>
      <c r="B409" s="3"/>
      <c r="C409" s="3"/>
      <c r="E409" s="3"/>
      <c r="AJ409" s="3"/>
      <c r="AK409" s="3"/>
      <c r="AL409" s="3"/>
      <c r="AM409" s="3"/>
      <c r="EO409" s="3"/>
      <c r="EP409" s="3"/>
      <c r="EQ409" s="3"/>
    </row>
    <row r="410" spans="1:147" x14ac:dyDescent="0.25">
      <c r="A410" s="3"/>
      <c r="B410" s="3"/>
      <c r="C410" s="3"/>
      <c r="E410" s="3"/>
      <c r="AJ410" s="3"/>
      <c r="AK410" s="3"/>
      <c r="AL410" s="3"/>
      <c r="AM410" s="3"/>
      <c r="EO410" s="3"/>
      <c r="EP410" s="3"/>
      <c r="EQ410" s="3"/>
    </row>
    <row r="411" spans="1:147" x14ac:dyDescent="0.25">
      <c r="A411" s="3"/>
      <c r="B411" s="3"/>
      <c r="C411" s="3"/>
      <c r="E411" s="3"/>
      <c r="AJ411" s="3"/>
      <c r="AK411" s="3"/>
      <c r="AL411" s="3"/>
      <c r="AM411" s="3"/>
      <c r="EO411" s="3"/>
      <c r="EP411" s="3"/>
      <c r="EQ411" s="3"/>
    </row>
    <row r="412" spans="1:147" x14ac:dyDescent="0.25">
      <c r="A412" s="3"/>
      <c r="B412" s="3"/>
      <c r="C412" s="3"/>
      <c r="E412" s="3"/>
      <c r="AJ412" s="3"/>
      <c r="AK412" s="3"/>
      <c r="AL412" s="3"/>
      <c r="AM412" s="3"/>
      <c r="EO412" s="3"/>
      <c r="EP412" s="3"/>
      <c r="EQ412" s="3"/>
    </row>
    <row r="413" spans="1:147" x14ac:dyDescent="0.25">
      <c r="A413" s="3"/>
      <c r="B413" s="3"/>
      <c r="C413" s="3"/>
      <c r="E413" s="3"/>
      <c r="AJ413" s="3"/>
      <c r="AK413" s="3"/>
      <c r="AL413" s="3"/>
      <c r="AM413" s="3"/>
      <c r="EO413" s="3"/>
      <c r="EP413" s="3"/>
      <c r="EQ413" s="3"/>
    </row>
    <row r="414" spans="1:147" x14ac:dyDescent="0.25">
      <c r="A414" s="3"/>
      <c r="B414" s="3"/>
      <c r="C414" s="3"/>
      <c r="E414" s="3"/>
      <c r="AJ414" s="3"/>
      <c r="AK414" s="3"/>
      <c r="AL414" s="3"/>
      <c r="AM414" s="3"/>
      <c r="EO414" s="3"/>
      <c r="EP414" s="3"/>
      <c r="EQ414" s="3"/>
    </row>
    <row r="415" spans="1:147" x14ac:dyDescent="0.25">
      <c r="A415" s="3"/>
      <c r="B415" s="3"/>
      <c r="C415" s="3"/>
      <c r="E415" s="3"/>
      <c r="AJ415" s="3"/>
      <c r="AK415" s="3"/>
      <c r="AL415" s="3"/>
      <c r="AM415" s="3"/>
      <c r="EO415" s="3"/>
      <c r="EP415" s="3"/>
      <c r="EQ415" s="3"/>
    </row>
    <row r="416" spans="1:147" x14ac:dyDescent="0.25">
      <c r="A416" s="3"/>
      <c r="B416" s="3"/>
      <c r="C416" s="3"/>
      <c r="E416" s="3"/>
      <c r="AJ416" s="3"/>
      <c r="AK416" s="3"/>
      <c r="AL416" s="3"/>
      <c r="AM416" s="3"/>
      <c r="EO416" s="3"/>
      <c r="EP416" s="3"/>
      <c r="EQ416" s="3"/>
    </row>
    <row r="417" spans="1:147" x14ac:dyDescent="0.25">
      <c r="A417" s="3"/>
      <c r="B417" s="3"/>
      <c r="C417" s="3"/>
      <c r="E417" s="3"/>
      <c r="AJ417" s="3"/>
      <c r="AK417" s="3"/>
      <c r="AL417" s="3"/>
      <c r="AM417" s="3"/>
      <c r="EO417" s="3"/>
      <c r="EP417" s="3"/>
      <c r="EQ417" s="3"/>
    </row>
    <row r="418" spans="1:147" x14ac:dyDescent="0.25">
      <c r="A418" s="3"/>
      <c r="B418" s="3"/>
      <c r="C418" s="3"/>
      <c r="E418" s="3"/>
      <c r="AJ418" s="3"/>
      <c r="AK418" s="3"/>
      <c r="AL418" s="3"/>
      <c r="AM418" s="3"/>
      <c r="EO418" s="3"/>
      <c r="EP418" s="3"/>
      <c r="EQ418" s="3"/>
    </row>
    <row r="419" spans="1:147" x14ac:dyDescent="0.25">
      <c r="A419" s="3"/>
      <c r="B419" s="3"/>
      <c r="C419" s="3"/>
      <c r="E419" s="3"/>
      <c r="AJ419" s="3"/>
      <c r="AK419" s="3"/>
      <c r="AL419" s="3"/>
      <c r="AM419" s="3"/>
      <c r="EO419" s="3"/>
      <c r="EP419" s="3"/>
      <c r="EQ419" s="3"/>
    </row>
    <row r="420" spans="1:147" x14ac:dyDescent="0.25">
      <c r="A420" s="3"/>
      <c r="B420" s="3"/>
      <c r="C420" s="3"/>
      <c r="E420" s="3"/>
      <c r="AJ420" s="3"/>
      <c r="AK420" s="3"/>
      <c r="AL420" s="3"/>
      <c r="AM420" s="3"/>
      <c r="EO420" s="3"/>
      <c r="EP420" s="3"/>
      <c r="EQ420" s="3"/>
    </row>
    <row r="421" spans="1:147" x14ac:dyDescent="0.25">
      <c r="A421" s="3"/>
      <c r="B421" s="3"/>
      <c r="C421" s="3"/>
      <c r="E421" s="3"/>
      <c r="AJ421" s="3"/>
      <c r="AK421" s="3"/>
      <c r="AL421" s="3"/>
      <c r="AM421" s="3"/>
      <c r="EO421" s="3"/>
      <c r="EP421" s="3"/>
      <c r="EQ421" s="3"/>
    </row>
    <row r="422" spans="1:147" x14ac:dyDescent="0.25">
      <c r="A422" s="3"/>
      <c r="B422" s="3"/>
      <c r="C422" s="3"/>
      <c r="E422" s="3"/>
      <c r="AJ422" s="3"/>
      <c r="AK422" s="3"/>
      <c r="AL422" s="3"/>
      <c r="AM422" s="3"/>
      <c r="EO422" s="3"/>
      <c r="EP422" s="3"/>
      <c r="EQ422" s="3"/>
    </row>
    <row r="423" spans="1:147" x14ac:dyDescent="0.25">
      <c r="A423" s="3"/>
      <c r="B423" s="3"/>
      <c r="C423" s="3"/>
      <c r="E423" s="3"/>
      <c r="AJ423" s="3"/>
      <c r="AK423" s="3"/>
      <c r="AL423" s="3"/>
      <c r="AM423" s="3"/>
      <c r="EO423" s="3"/>
      <c r="EP423" s="3"/>
      <c r="EQ423" s="3"/>
    </row>
    <row r="424" spans="1:147" x14ac:dyDescent="0.25">
      <c r="A424" s="3"/>
      <c r="B424" s="3"/>
      <c r="C424" s="3"/>
      <c r="E424" s="3"/>
      <c r="AJ424" s="3"/>
      <c r="AK424" s="3"/>
      <c r="AL424" s="3"/>
      <c r="AM424" s="3"/>
      <c r="EO424" s="3"/>
      <c r="EP424" s="3"/>
      <c r="EQ424" s="3"/>
    </row>
    <row r="425" spans="1:147" x14ac:dyDescent="0.25">
      <c r="A425" s="3"/>
      <c r="B425" s="3"/>
      <c r="C425" s="3"/>
      <c r="E425" s="3"/>
      <c r="AJ425" s="3"/>
      <c r="AK425" s="3"/>
      <c r="AL425" s="3"/>
      <c r="AM425" s="3"/>
      <c r="EO425" s="3"/>
      <c r="EP425" s="3"/>
      <c r="EQ425" s="3"/>
    </row>
    <row r="426" spans="1:147" x14ac:dyDescent="0.25">
      <c r="A426" s="3"/>
      <c r="B426" s="3"/>
      <c r="C426" s="3"/>
      <c r="E426" s="3"/>
      <c r="AJ426" s="3"/>
      <c r="AK426" s="3"/>
      <c r="AL426" s="3"/>
      <c r="AM426" s="3"/>
      <c r="EO426" s="3"/>
      <c r="EP426" s="3"/>
      <c r="EQ426" s="3"/>
    </row>
    <row r="427" spans="1:147" x14ac:dyDescent="0.25">
      <c r="A427" s="3"/>
      <c r="B427" s="3"/>
      <c r="C427" s="3"/>
      <c r="E427" s="3"/>
      <c r="AJ427" s="3"/>
      <c r="AK427" s="3"/>
      <c r="AL427" s="3"/>
      <c r="AM427" s="3"/>
      <c r="EO427" s="3"/>
      <c r="EP427" s="3"/>
      <c r="EQ427" s="3"/>
    </row>
    <row r="428" spans="1:147" x14ac:dyDescent="0.25">
      <c r="A428" s="3"/>
      <c r="B428" s="3"/>
      <c r="C428" s="3"/>
      <c r="E428" s="3"/>
      <c r="AJ428" s="3"/>
      <c r="AK428" s="3"/>
      <c r="AL428" s="3"/>
      <c r="AM428" s="3"/>
      <c r="EO428" s="3"/>
      <c r="EP428" s="3"/>
      <c r="EQ428" s="3"/>
    </row>
    <row r="429" spans="1:147" x14ac:dyDescent="0.25">
      <c r="A429" s="3"/>
      <c r="B429" s="3"/>
      <c r="C429" s="3"/>
      <c r="E429" s="3"/>
      <c r="AJ429" s="3"/>
      <c r="AK429" s="3"/>
      <c r="AL429" s="3"/>
      <c r="AM429" s="3"/>
      <c r="EO429" s="3"/>
      <c r="EP429" s="3"/>
      <c r="EQ429" s="3"/>
    </row>
    <row r="430" spans="1:147" x14ac:dyDescent="0.25">
      <c r="A430" s="3"/>
      <c r="B430" s="3"/>
      <c r="C430" s="3"/>
      <c r="E430" s="3"/>
      <c r="AJ430" s="3"/>
      <c r="AK430" s="3"/>
      <c r="AL430" s="3"/>
      <c r="AM430" s="3"/>
      <c r="EO430" s="3"/>
      <c r="EP430" s="3"/>
      <c r="EQ430" s="3"/>
    </row>
    <row r="431" spans="1:147" x14ac:dyDescent="0.25">
      <c r="A431" s="3"/>
      <c r="B431" s="3"/>
      <c r="C431" s="3"/>
      <c r="E431" s="3"/>
      <c r="AJ431" s="3"/>
      <c r="AK431" s="3"/>
      <c r="AL431" s="3"/>
      <c r="AM431" s="3"/>
      <c r="EO431" s="3"/>
      <c r="EP431" s="3"/>
      <c r="EQ431" s="3"/>
    </row>
    <row r="432" spans="1:147" x14ac:dyDescent="0.25">
      <c r="A432" s="3"/>
      <c r="B432" s="3"/>
      <c r="C432" s="3"/>
      <c r="E432" s="3"/>
      <c r="AJ432" s="3"/>
      <c r="AK432" s="3"/>
      <c r="AL432" s="3"/>
      <c r="AM432" s="3"/>
      <c r="EO432" s="3"/>
      <c r="EP432" s="3"/>
      <c r="EQ432" s="3"/>
    </row>
    <row r="433" spans="1:147" x14ac:dyDescent="0.25">
      <c r="A433" s="3"/>
      <c r="B433" s="3"/>
      <c r="C433" s="3"/>
      <c r="E433" s="3"/>
      <c r="AJ433" s="3"/>
      <c r="AK433" s="3"/>
      <c r="AL433" s="3"/>
      <c r="AM433" s="3"/>
      <c r="EO433" s="3"/>
      <c r="EP433" s="3"/>
      <c r="EQ433" s="3"/>
    </row>
    <row r="434" spans="1:147" x14ac:dyDescent="0.25">
      <c r="A434" s="3"/>
      <c r="B434" s="3"/>
      <c r="C434" s="3"/>
      <c r="E434" s="3"/>
      <c r="AJ434" s="3"/>
      <c r="AK434" s="3"/>
      <c r="AL434" s="3"/>
      <c r="AM434" s="3"/>
      <c r="EO434" s="3"/>
      <c r="EP434" s="3"/>
      <c r="EQ434" s="3"/>
    </row>
    <row r="435" spans="1:147" x14ac:dyDescent="0.25">
      <c r="A435" s="3"/>
      <c r="B435" s="3"/>
      <c r="C435" s="3"/>
      <c r="E435" s="3"/>
      <c r="AJ435" s="3"/>
      <c r="AK435" s="3"/>
      <c r="AL435" s="3"/>
      <c r="AM435" s="3"/>
      <c r="EO435" s="3"/>
      <c r="EP435" s="3"/>
      <c r="EQ435" s="3"/>
    </row>
    <row r="436" spans="1:147" x14ac:dyDescent="0.25">
      <c r="A436" s="3"/>
      <c r="B436" s="3"/>
      <c r="C436" s="3"/>
      <c r="E436" s="3"/>
      <c r="AJ436" s="3"/>
      <c r="AK436" s="3"/>
      <c r="AL436" s="3"/>
      <c r="AM436" s="3"/>
      <c r="EO436" s="3"/>
      <c r="EP436" s="3"/>
      <c r="EQ436" s="3"/>
    </row>
    <row r="437" spans="1:147" x14ac:dyDescent="0.25">
      <c r="A437" s="3"/>
      <c r="B437" s="3"/>
      <c r="C437" s="3"/>
      <c r="E437" s="3"/>
      <c r="AJ437" s="3"/>
      <c r="AK437" s="3"/>
      <c r="AL437" s="3"/>
      <c r="AM437" s="3"/>
      <c r="EO437" s="3"/>
      <c r="EP437" s="3"/>
      <c r="EQ437" s="3"/>
    </row>
    <row r="438" spans="1:147" x14ac:dyDescent="0.25">
      <c r="A438" s="3"/>
      <c r="B438" s="3"/>
      <c r="C438" s="3"/>
      <c r="E438" s="3"/>
      <c r="AJ438" s="3"/>
      <c r="AK438" s="3"/>
      <c r="AL438" s="3"/>
      <c r="AM438" s="3"/>
      <c r="EO438" s="3"/>
      <c r="EP438" s="3"/>
      <c r="EQ438" s="3"/>
    </row>
    <row r="439" spans="1:147" x14ac:dyDescent="0.25">
      <c r="A439" s="3"/>
      <c r="B439" s="3"/>
      <c r="C439" s="3"/>
      <c r="E439" s="3"/>
      <c r="AJ439" s="3"/>
      <c r="AK439" s="3"/>
      <c r="AL439" s="3"/>
      <c r="AM439" s="3"/>
      <c r="EO439" s="3"/>
      <c r="EP439" s="3"/>
      <c r="EQ439" s="3"/>
    </row>
    <row r="440" spans="1:147" x14ac:dyDescent="0.25">
      <c r="A440" s="3"/>
      <c r="B440" s="3"/>
      <c r="C440" s="3"/>
      <c r="E440" s="3"/>
      <c r="AJ440" s="3"/>
      <c r="AK440" s="3"/>
      <c r="AL440" s="3"/>
      <c r="AM440" s="3"/>
      <c r="EO440" s="3"/>
      <c r="EP440" s="3"/>
      <c r="EQ440" s="3"/>
    </row>
    <row r="441" spans="1:147" x14ac:dyDescent="0.25">
      <c r="A441" s="3"/>
      <c r="B441" s="3"/>
      <c r="C441" s="3"/>
      <c r="E441" s="3"/>
      <c r="AJ441" s="3"/>
      <c r="AK441" s="3"/>
      <c r="AL441" s="3"/>
      <c r="AM441" s="3"/>
      <c r="EO441" s="3"/>
      <c r="EP441" s="3"/>
      <c r="EQ441" s="3"/>
    </row>
    <row r="442" spans="1:147" x14ac:dyDescent="0.25">
      <c r="A442" s="3"/>
      <c r="B442" s="3"/>
      <c r="C442" s="3"/>
      <c r="E442" s="3"/>
      <c r="AJ442" s="3"/>
      <c r="AK442" s="3"/>
      <c r="AL442" s="3"/>
      <c r="AM442" s="3"/>
      <c r="EO442" s="3"/>
      <c r="EP442" s="3"/>
      <c r="EQ442" s="3"/>
    </row>
    <row r="443" spans="1:147" x14ac:dyDescent="0.25">
      <c r="A443" s="3"/>
      <c r="B443" s="3"/>
      <c r="C443" s="3"/>
      <c r="E443" s="3"/>
      <c r="AJ443" s="3"/>
      <c r="AK443" s="3"/>
      <c r="AL443" s="3"/>
      <c r="AM443" s="3"/>
      <c r="EO443" s="3"/>
      <c r="EP443" s="3"/>
      <c r="EQ443" s="3"/>
    </row>
    <row r="444" spans="1:147" x14ac:dyDescent="0.25">
      <c r="A444" s="3"/>
      <c r="B444" s="3"/>
      <c r="C444" s="3"/>
      <c r="E444" s="3"/>
      <c r="AJ444" s="3"/>
      <c r="AK444" s="3"/>
      <c r="AL444" s="3"/>
      <c r="AM444" s="3"/>
      <c r="EO444" s="3"/>
      <c r="EP444" s="3"/>
      <c r="EQ444" s="3"/>
    </row>
    <row r="445" spans="1:147" x14ac:dyDescent="0.25">
      <c r="A445" s="3"/>
      <c r="B445" s="3"/>
      <c r="C445" s="3"/>
      <c r="E445" s="3"/>
      <c r="AJ445" s="3"/>
      <c r="AK445" s="3"/>
      <c r="AL445" s="3"/>
      <c r="AM445" s="3"/>
      <c r="EO445" s="3"/>
      <c r="EP445" s="3"/>
      <c r="EQ445" s="3"/>
    </row>
    <row r="446" spans="1:147" x14ac:dyDescent="0.25">
      <c r="A446" s="3"/>
      <c r="B446" s="3"/>
      <c r="C446" s="3"/>
      <c r="E446" s="3"/>
      <c r="AJ446" s="3"/>
      <c r="AK446" s="3"/>
      <c r="AL446" s="3"/>
      <c r="AM446" s="3"/>
      <c r="EO446" s="3"/>
      <c r="EP446" s="3"/>
      <c r="EQ446" s="3"/>
    </row>
    <row r="447" spans="1:147" x14ac:dyDescent="0.25">
      <c r="A447" s="3"/>
      <c r="B447" s="3"/>
      <c r="C447" s="3"/>
      <c r="E447" s="3"/>
      <c r="AJ447" s="3"/>
      <c r="AK447" s="3"/>
      <c r="AL447" s="3"/>
      <c r="AM447" s="3"/>
      <c r="EO447" s="3"/>
      <c r="EP447" s="3"/>
      <c r="EQ447" s="3"/>
    </row>
    <row r="448" spans="1:147" x14ac:dyDescent="0.25">
      <c r="A448" s="3"/>
      <c r="B448" s="3"/>
      <c r="C448" s="3"/>
      <c r="E448" s="3"/>
      <c r="AJ448" s="3"/>
      <c r="AK448" s="3"/>
      <c r="AL448" s="3"/>
      <c r="AM448" s="3"/>
      <c r="EO448" s="3"/>
      <c r="EP448" s="3"/>
      <c r="EQ448" s="3"/>
    </row>
    <row r="449" spans="1:147" x14ac:dyDescent="0.25">
      <c r="A449" s="3"/>
      <c r="B449" s="3"/>
      <c r="C449" s="3"/>
      <c r="E449" s="3"/>
      <c r="AJ449" s="3"/>
      <c r="AK449" s="3"/>
      <c r="AL449" s="3"/>
      <c r="AM449" s="3"/>
      <c r="EO449" s="3"/>
      <c r="EP449" s="3"/>
      <c r="EQ449" s="3"/>
    </row>
    <row r="450" spans="1:147" x14ac:dyDescent="0.25">
      <c r="A450" s="3"/>
      <c r="B450" s="3"/>
      <c r="C450" s="3"/>
      <c r="E450" s="3"/>
      <c r="AJ450" s="3"/>
      <c r="AK450" s="3"/>
      <c r="AL450" s="3"/>
      <c r="AM450" s="3"/>
      <c r="EO450" s="3"/>
      <c r="EP450" s="3"/>
      <c r="EQ450" s="3"/>
    </row>
    <row r="451" spans="1:147" x14ac:dyDescent="0.25">
      <c r="A451" s="3"/>
      <c r="B451" s="3"/>
      <c r="C451" s="3"/>
      <c r="E451" s="3"/>
      <c r="AJ451" s="3"/>
      <c r="AK451" s="3"/>
      <c r="AL451" s="3"/>
      <c r="AM451" s="3"/>
      <c r="EO451" s="3"/>
      <c r="EP451" s="3"/>
      <c r="EQ451" s="3"/>
    </row>
    <row r="454" spans="1:147" x14ac:dyDescent="0.25">
      <c r="A454" s="3"/>
      <c r="B454" s="3"/>
      <c r="C454" s="3"/>
      <c r="E454" s="3"/>
      <c r="AJ454" s="3"/>
      <c r="AK454" s="3"/>
      <c r="AL454" s="3"/>
      <c r="AM454" s="3"/>
      <c r="EO454" s="3"/>
      <c r="EP454" s="3"/>
      <c r="EQ454" s="3"/>
    </row>
    <row r="455" spans="1:147" x14ac:dyDescent="0.25">
      <c r="A455" s="3"/>
      <c r="B455" s="3"/>
      <c r="C455" s="3"/>
      <c r="E455" s="3"/>
      <c r="AJ455" s="3"/>
      <c r="AK455" s="3"/>
      <c r="AL455" s="3"/>
      <c r="AM455" s="3"/>
      <c r="EO455" s="3"/>
      <c r="EP455" s="3"/>
      <c r="EQ455" s="3"/>
    </row>
    <row r="456" spans="1:147" x14ac:dyDescent="0.25">
      <c r="A456" s="3"/>
      <c r="B456" s="3"/>
      <c r="C456" s="3"/>
      <c r="E456" s="3"/>
      <c r="AJ456" s="3"/>
      <c r="AK456" s="3"/>
      <c r="AL456" s="3"/>
      <c r="AM456" s="3"/>
      <c r="EO456" s="3"/>
      <c r="EP456" s="3"/>
      <c r="EQ456" s="3"/>
    </row>
    <row r="457" spans="1:147" x14ac:dyDescent="0.25">
      <c r="A457" s="3"/>
      <c r="B457" s="3"/>
      <c r="C457" s="3"/>
      <c r="E457" s="3"/>
      <c r="AJ457" s="3"/>
      <c r="AK457" s="3"/>
      <c r="AL457" s="3"/>
      <c r="AM457" s="3"/>
      <c r="EO457" s="3"/>
      <c r="EP457" s="3"/>
      <c r="EQ457" s="3"/>
    </row>
    <row r="458" spans="1:147" x14ac:dyDescent="0.25">
      <c r="A458" s="3"/>
      <c r="B458" s="3"/>
      <c r="C458" s="3"/>
      <c r="E458" s="3"/>
      <c r="AJ458" s="3"/>
      <c r="AK458" s="3"/>
      <c r="AL458" s="3"/>
      <c r="AM458" s="3"/>
      <c r="EO458" s="3"/>
      <c r="EP458" s="3"/>
      <c r="EQ458" s="3"/>
    </row>
    <row r="459" spans="1:147" x14ac:dyDescent="0.25">
      <c r="A459" s="3"/>
      <c r="B459" s="3"/>
      <c r="C459" s="3"/>
      <c r="E459" s="3"/>
      <c r="AJ459" s="3"/>
      <c r="AK459" s="3"/>
      <c r="AL459" s="3"/>
      <c r="AM459" s="3"/>
      <c r="EO459" s="3"/>
      <c r="EP459" s="3"/>
      <c r="EQ459" s="3"/>
    </row>
    <row r="460" spans="1:147" x14ac:dyDescent="0.25">
      <c r="A460" s="3"/>
      <c r="B460" s="3"/>
      <c r="C460" s="3"/>
      <c r="E460" s="3"/>
      <c r="AJ460" s="3"/>
      <c r="AK460" s="3"/>
      <c r="AL460" s="3"/>
      <c r="AM460" s="3"/>
      <c r="EO460" s="3"/>
      <c r="EP460" s="3"/>
      <c r="EQ460" s="3"/>
    </row>
    <row r="461" spans="1:147" x14ac:dyDescent="0.25">
      <c r="A461" s="3"/>
      <c r="B461" s="3"/>
      <c r="C461" s="3"/>
      <c r="E461" s="3"/>
      <c r="AJ461" s="3"/>
      <c r="AK461" s="3"/>
      <c r="AL461" s="3"/>
      <c r="AM461" s="3"/>
      <c r="EO461" s="3"/>
      <c r="EP461" s="3"/>
      <c r="EQ461" s="3"/>
    </row>
    <row r="462" spans="1:147" x14ac:dyDescent="0.25">
      <c r="A462" s="3"/>
      <c r="B462" s="3"/>
      <c r="C462" s="3"/>
      <c r="E462" s="3"/>
      <c r="AJ462" s="3"/>
      <c r="AK462" s="3"/>
      <c r="AL462" s="3"/>
      <c r="AM462" s="3"/>
      <c r="EO462" s="3"/>
      <c r="EP462" s="3"/>
      <c r="EQ462" s="3"/>
    </row>
    <row r="463" spans="1:147" x14ac:dyDescent="0.25">
      <c r="A463" s="3"/>
      <c r="B463" s="3"/>
      <c r="C463" s="3"/>
      <c r="E463" s="3"/>
      <c r="AJ463" s="3"/>
      <c r="AK463" s="3"/>
      <c r="AL463" s="3"/>
      <c r="AM463" s="3"/>
      <c r="EO463" s="3"/>
      <c r="EP463" s="3"/>
      <c r="EQ463" s="3"/>
    </row>
    <row r="464" spans="1:147" x14ac:dyDescent="0.25">
      <c r="A464" s="3"/>
      <c r="B464" s="3"/>
      <c r="C464" s="3"/>
      <c r="E464" s="3"/>
      <c r="AJ464" s="3"/>
      <c r="AK464" s="3"/>
      <c r="AL464" s="3"/>
      <c r="AM464" s="3"/>
      <c r="EO464" s="3"/>
      <c r="EP464" s="3"/>
      <c r="EQ464" s="3"/>
    </row>
    <row r="465" spans="1:147" x14ac:dyDescent="0.25">
      <c r="A465" s="3"/>
      <c r="B465" s="3"/>
      <c r="C465" s="3"/>
      <c r="E465" s="3"/>
      <c r="AJ465" s="3"/>
      <c r="AK465" s="3"/>
      <c r="AL465" s="3"/>
      <c r="AM465" s="3"/>
      <c r="EO465" s="3"/>
      <c r="EP465" s="3"/>
      <c r="EQ465" s="3"/>
    </row>
    <row r="466" spans="1:147" x14ac:dyDescent="0.25">
      <c r="A466" s="3"/>
      <c r="B466" s="3"/>
      <c r="C466" s="3"/>
      <c r="E466" s="3"/>
      <c r="AJ466" s="3"/>
      <c r="AK466" s="3"/>
      <c r="AL466" s="3"/>
      <c r="AM466" s="3"/>
      <c r="EO466" s="3"/>
      <c r="EP466" s="3"/>
      <c r="EQ466" s="3"/>
    </row>
    <row r="467" spans="1:147" x14ac:dyDescent="0.25">
      <c r="A467" s="3"/>
      <c r="B467" s="3"/>
      <c r="C467" s="3"/>
      <c r="E467" s="3"/>
      <c r="AJ467" s="3"/>
      <c r="AK467" s="3"/>
      <c r="AL467" s="3"/>
      <c r="AM467" s="3"/>
      <c r="EO467" s="3"/>
      <c r="EP467" s="3"/>
      <c r="EQ467" s="3"/>
    </row>
    <row r="468" spans="1:147" x14ac:dyDescent="0.25">
      <c r="A468" s="3"/>
      <c r="B468" s="3"/>
      <c r="C468" s="3"/>
      <c r="E468" s="3"/>
      <c r="AJ468" s="3"/>
      <c r="AK468" s="3"/>
      <c r="AL468" s="3"/>
      <c r="AM468" s="3"/>
      <c r="EO468" s="3"/>
      <c r="EP468" s="3"/>
      <c r="EQ468" s="3"/>
    </row>
    <row r="469" spans="1:147" x14ac:dyDescent="0.25">
      <c r="A469" s="3"/>
      <c r="B469" s="3"/>
      <c r="C469" s="3"/>
      <c r="E469" s="3"/>
      <c r="AJ469" s="3"/>
      <c r="AK469" s="3"/>
      <c r="AL469" s="3"/>
      <c r="AM469" s="3"/>
      <c r="EO469" s="3"/>
      <c r="EP469" s="3"/>
      <c r="EQ469" s="3"/>
    </row>
    <row r="470" spans="1:147" x14ac:dyDescent="0.25">
      <c r="A470" s="3"/>
      <c r="B470" s="3"/>
      <c r="C470" s="3"/>
      <c r="E470" s="3"/>
      <c r="AJ470" s="3"/>
      <c r="AK470" s="3"/>
      <c r="AL470" s="3"/>
      <c r="AM470" s="3"/>
      <c r="EO470" s="3"/>
      <c r="EP470" s="3"/>
      <c r="EQ470" s="3"/>
    </row>
    <row r="471" spans="1:147" x14ac:dyDescent="0.25">
      <c r="A471" s="3"/>
      <c r="B471" s="3"/>
      <c r="C471" s="3"/>
      <c r="E471" s="3"/>
      <c r="AJ471" s="3"/>
      <c r="AK471" s="3"/>
      <c r="AL471" s="3"/>
      <c r="AM471" s="3"/>
      <c r="EO471" s="3"/>
      <c r="EP471" s="3"/>
      <c r="EQ471" s="3"/>
    </row>
    <row r="472" spans="1:147" x14ac:dyDescent="0.25">
      <c r="A472" s="3"/>
      <c r="B472" s="3"/>
      <c r="C472" s="3"/>
      <c r="E472" s="3"/>
      <c r="AJ472" s="3"/>
      <c r="AK472" s="3"/>
      <c r="AL472" s="3"/>
      <c r="AM472" s="3"/>
      <c r="EO472" s="3"/>
      <c r="EP472" s="3"/>
      <c r="EQ472" s="3"/>
    </row>
    <row r="473" spans="1:147" x14ac:dyDescent="0.25">
      <c r="A473" s="3"/>
      <c r="B473" s="3"/>
      <c r="C473" s="3"/>
      <c r="E473" s="3"/>
      <c r="AJ473" s="3"/>
      <c r="AK473" s="3"/>
      <c r="AL473" s="3"/>
      <c r="AM473" s="3"/>
      <c r="EO473" s="3"/>
      <c r="EP473" s="3"/>
      <c r="EQ473" s="3"/>
    </row>
    <row r="474" spans="1:147" x14ac:dyDescent="0.25">
      <c r="A474" s="3"/>
      <c r="B474" s="3"/>
      <c r="C474" s="3"/>
      <c r="E474" s="3"/>
      <c r="AJ474" s="3"/>
      <c r="AK474" s="3"/>
      <c r="AL474" s="3"/>
      <c r="AM474" s="3"/>
      <c r="EO474" s="3"/>
      <c r="EP474" s="3"/>
      <c r="EQ474" s="3"/>
    </row>
    <row r="475" spans="1:147" x14ac:dyDescent="0.25">
      <c r="A475" s="3"/>
      <c r="B475" s="3"/>
      <c r="C475" s="3"/>
      <c r="E475" s="3"/>
      <c r="AJ475" s="3"/>
      <c r="AK475" s="3"/>
      <c r="AL475" s="3"/>
      <c r="AM475" s="3"/>
      <c r="EO475" s="3"/>
      <c r="EP475" s="3"/>
      <c r="EQ475" s="3"/>
    </row>
    <row r="476" spans="1:147" x14ac:dyDescent="0.25">
      <c r="A476" s="3"/>
      <c r="B476" s="3"/>
      <c r="C476" s="3"/>
      <c r="E476" s="3"/>
      <c r="AJ476" s="3"/>
      <c r="AK476" s="3"/>
      <c r="AL476" s="3"/>
      <c r="AM476" s="3"/>
      <c r="EO476" s="3"/>
      <c r="EP476" s="3"/>
      <c r="EQ476" s="3"/>
    </row>
    <row r="477" spans="1:147" x14ac:dyDescent="0.25">
      <c r="A477" s="3"/>
      <c r="B477" s="3"/>
      <c r="C477" s="3"/>
      <c r="E477" s="3"/>
      <c r="AJ477" s="3"/>
      <c r="AK477" s="3"/>
      <c r="AL477" s="3"/>
      <c r="AM477" s="3"/>
      <c r="EO477" s="3"/>
      <c r="EP477" s="3"/>
      <c r="EQ477" s="3"/>
    </row>
    <row r="478" spans="1:147" x14ac:dyDescent="0.25">
      <c r="A478" s="3"/>
      <c r="B478" s="3"/>
      <c r="C478" s="3"/>
      <c r="E478" s="3"/>
      <c r="AJ478" s="3"/>
      <c r="AK478" s="3"/>
      <c r="AL478" s="3"/>
      <c r="AM478" s="3"/>
      <c r="EO478" s="3"/>
      <c r="EP478" s="3"/>
      <c r="EQ478" s="3"/>
    </row>
    <row r="479" spans="1:147" x14ac:dyDescent="0.25">
      <c r="A479" s="3"/>
      <c r="B479" s="3"/>
      <c r="C479" s="3"/>
      <c r="E479" s="3"/>
      <c r="AJ479" s="3"/>
      <c r="AK479" s="3"/>
      <c r="AL479" s="3"/>
      <c r="AM479" s="3"/>
      <c r="EO479" s="3"/>
      <c r="EP479" s="3"/>
      <c r="EQ479" s="3"/>
    </row>
    <row r="480" spans="1:147" x14ac:dyDescent="0.25">
      <c r="A480" s="3"/>
      <c r="B480" s="3"/>
      <c r="C480" s="3"/>
      <c r="E480" s="3"/>
      <c r="AJ480" s="3"/>
      <c r="AK480" s="3"/>
      <c r="AL480" s="3"/>
      <c r="AM480" s="3"/>
      <c r="EO480" s="3"/>
      <c r="EP480" s="3"/>
      <c r="EQ480" s="3"/>
    </row>
    <row r="481" spans="1:147" x14ac:dyDescent="0.25">
      <c r="A481" s="3"/>
      <c r="B481" s="3"/>
      <c r="C481" s="3"/>
      <c r="E481" s="3"/>
      <c r="AJ481" s="3"/>
      <c r="AK481" s="3"/>
      <c r="AL481" s="3"/>
      <c r="AM481" s="3"/>
      <c r="EO481" s="3"/>
      <c r="EP481" s="3"/>
      <c r="EQ481" s="3"/>
    </row>
    <row r="482" spans="1:147" x14ac:dyDescent="0.25">
      <c r="A482" s="3"/>
      <c r="B482" s="3"/>
      <c r="C482" s="3"/>
      <c r="E482" s="3"/>
      <c r="AJ482" s="3"/>
      <c r="AK482" s="3"/>
      <c r="AL482" s="3"/>
      <c r="AM482" s="3"/>
      <c r="EO482" s="3"/>
      <c r="EP482" s="3"/>
      <c r="EQ482" s="3"/>
    </row>
    <row r="483" spans="1:147" x14ac:dyDescent="0.25">
      <c r="A483" s="3"/>
      <c r="B483" s="3"/>
      <c r="C483" s="3"/>
      <c r="E483" s="3"/>
      <c r="AJ483" s="3"/>
      <c r="AK483" s="3"/>
      <c r="AL483" s="3"/>
      <c r="AM483" s="3"/>
      <c r="EO483" s="3"/>
      <c r="EP483" s="3"/>
      <c r="EQ483" s="3"/>
    </row>
    <row r="484" spans="1:147" x14ac:dyDescent="0.25">
      <c r="A484" s="3"/>
      <c r="B484" s="3"/>
      <c r="C484" s="3"/>
      <c r="E484" s="3"/>
      <c r="AJ484" s="3"/>
      <c r="AK484" s="3"/>
      <c r="AL484" s="3"/>
      <c r="AM484" s="3"/>
      <c r="EO484" s="3"/>
      <c r="EP484" s="3"/>
      <c r="EQ484" s="3"/>
    </row>
    <row r="485" spans="1:147" x14ac:dyDescent="0.25">
      <c r="A485" s="3"/>
      <c r="B485" s="3"/>
      <c r="C485" s="3"/>
      <c r="E485" s="3"/>
      <c r="AJ485" s="3"/>
      <c r="AK485" s="3"/>
      <c r="AL485" s="3"/>
      <c r="AM485" s="3"/>
      <c r="EO485" s="3"/>
      <c r="EP485" s="3"/>
      <c r="EQ485" s="3"/>
    </row>
    <row r="486" spans="1:147" x14ac:dyDescent="0.25">
      <c r="A486" s="3"/>
      <c r="B486" s="3"/>
      <c r="C486" s="3"/>
      <c r="E486" s="3"/>
      <c r="AJ486" s="3"/>
      <c r="AK486" s="3"/>
      <c r="AL486" s="3"/>
      <c r="AM486" s="3"/>
      <c r="EO486" s="3"/>
      <c r="EP486" s="3"/>
      <c r="EQ486" s="3"/>
    </row>
    <row r="487" spans="1:147" x14ac:dyDescent="0.25">
      <c r="A487" s="3"/>
      <c r="B487" s="3"/>
      <c r="C487" s="3"/>
      <c r="E487" s="3"/>
      <c r="AJ487" s="3"/>
      <c r="AK487" s="3"/>
      <c r="AL487" s="3"/>
      <c r="AM487" s="3"/>
      <c r="EO487" s="3"/>
      <c r="EP487" s="3"/>
      <c r="EQ487" s="3"/>
    </row>
    <row r="488" spans="1:147" x14ac:dyDescent="0.25">
      <c r="A488" s="3"/>
      <c r="B488" s="3"/>
      <c r="C488" s="3"/>
      <c r="E488" s="3"/>
      <c r="AJ488" s="3"/>
      <c r="AK488" s="3"/>
      <c r="AL488" s="3"/>
      <c r="AM488" s="3"/>
      <c r="EO488" s="3"/>
      <c r="EP488" s="3"/>
      <c r="EQ488" s="3"/>
    </row>
    <row r="489" spans="1:147" x14ac:dyDescent="0.25">
      <c r="A489" s="3"/>
      <c r="B489" s="3"/>
      <c r="C489" s="3"/>
      <c r="E489" s="3"/>
      <c r="AJ489" s="3"/>
      <c r="AK489" s="3"/>
      <c r="AL489" s="3"/>
      <c r="AM489" s="3"/>
      <c r="EO489" s="3"/>
      <c r="EP489" s="3"/>
      <c r="EQ489" s="3"/>
    </row>
    <row r="490" spans="1:147" x14ac:dyDescent="0.25">
      <c r="A490" s="3"/>
      <c r="B490" s="3"/>
      <c r="C490" s="3"/>
      <c r="E490" s="3"/>
      <c r="AJ490" s="3"/>
      <c r="AK490" s="3"/>
      <c r="AL490" s="3"/>
      <c r="AM490" s="3"/>
      <c r="EO490" s="3"/>
      <c r="EP490" s="3"/>
      <c r="EQ490" s="3"/>
    </row>
    <row r="491" spans="1:147" x14ac:dyDescent="0.25">
      <c r="A491" s="3"/>
      <c r="B491" s="3"/>
      <c r="C491" s="3"/>
      <c r="E491" s="3"/>
      <c r="AJ491" s="3"/>
      <c r="AK491" s="3"/>
      <c r="AL491" s="3"/>
      <c r="AM491" s="3"/>
      <c r="EO491" s="3"/>
      <c r="EP491" s="3"/>
      <c r="EQ491" s="3"/>
    </row>
    <row r="492" spans="1:147" x14ac:dyDescent="0.25">
      <c r="A492" s="3"/>
      <c r="B492" s="3"/>
      <c r="C492" s="3"/>
      <c r="E492" s="3"/>
      <c r="AJ492" s="3"/>
      <c r="AK492" s="3"/>
      <c r="AL492" s="3"/>
      <c r="AM492" s="3"/>
      <c r="EO492" s="3"/>
      <c r="EP492" s="3"/>
      <c r="EQ492" s="3"/>
    </row>
    <row r="493" spans="1:147" x14ac:dyDescent="0.25">
      <c r="A493" s="3"/>
      <c r="B493" s="3"/>
      <c r="C493" s="3"/>
      <c r="E493" s="3"/>
      <c r="AJ493" s="3"/>
      <c r="AK493" s="3"/>
      <c r="AL493" s="3"/>
      <c r="AM493" s="3"/>
      <c r="EO493" s="3"/>
      <c r="EP493" s="3"/>
      <c r="EQ493" s="3"/>
    </row>
    <row r="494" spans="1:147" x14ac:dyDescent="0.25">
      <c r="A494" s="3"/>
      <c r="B494" s="3"/>
      <c r="C494" s="3"/>
      <c r="E494" s="3"/>
      <c r="AJ494" s="3"/>
      <c r="AK494" s="3"/>
      <c r="AL494" s="3"/>
      <c r="AM494" s="3"/>
      <c r="EO494" s="3"/>
      <c r="EP494" s="3"/>
      <c r="EQ494" s="3"/>
    </row>
    <row r="495" spans="1:147" x14ac:dyDescent="0.25">
      <c r="A495" s="3"/>
      <c r="B495" s="3"/>
      <c r="C495" s="3"/>
      <c r="E495" s="3"/>
      <c r="AJ495" s="3"/>
      <c r="AK495" s="3"/>
      <c r="AL495" s="3"/>
      <c r="AM495" s="3"/>
      <c r="EO495" s="3"/>
      <c r="EP495" s="3"/>
      <c r="EQ495" s="3"/>
    </row>
    <row r="496" spans="1:147" x14ac:dyDescent="0.25">
      <c r="A496" s="3"/>
      <c r="B496" s="3"/>
      <c r="C496" s="3"/>
      <c r="E496" s="3"/>
      <c r="AJ496" s="3"/>
      <c r="AK496" s="3"/>
      <c r="AL496" s="3"/>
      <c r="AM496" s="3"/>
      <c r="EO496" s="3"/>
      <c r="EP496" s="3"/>
      <c r="EQ496" s="3"/>
    </row>
    <row r="497" spans="1:147" x14ac:dyDescent="0.25">
      <c r="A497" s="3"/>
      <c r="B497" s="3"/>
      <c r="C497" s="3"/>
      <c r="E497" s="3"/>
      <c r="AJ497" s="3"/>
      <c r="AK497" s="3"/>
      <c r="AL497" s="3"/>
      <c r="AM497" s="3"/>
      <c r="EO497" s="3"/>
      <c r="EP497" s="3"/>
      <c r="EQ497" s="3"/>
    </row>
    <row r="498" spans="1:147" x14ac:dyDescent="0.25">
      <c r="A498" s="3"/>
      <c r="B498" s="3"/>
      <c r="C498" s="3"/>
      <c r="E498" s="3"/>
      <c r="AJ498" s="3"/>
      <c r="AK498" s="3"/>
      <c r="AL498" s="3"/>
      <c r="AM498" s="3"/>
      <c r="EO498" s="3"/>
      <c r="EP498" s="3"/>
      <c r="EQ498" s="3"/>
    </row>
    <row r="499" spans="1:147" x14ac:dyDescent="0.25">
      <c r="A499" s="3"/>
      <c r="B499" s="3"/>
      <c r="C499" s="3"/>
      <c r="E499" s="3"/>
      <c r="AJ499" s="3"/>
      <c r="AK499" s="3"/>
      <c r="AL499" s="3"/>
      <c r="AM499" s="3"/>
      <c r="EO499" s="3"/>
      <c r="EP499" s="3"/>
      <c r="EQ499" s="3"/>
    </row>
    <row r="500" spans="1:147" x14ac:dyDescent="0.25">
      <c r="A500" s="3"/>
      <c r="B500" s="3"/>
      <c r="C500" s="3"/>
      <c r="E500" s="3"/>
      <c r="AJ500" s="3"/>
      <c r="AK500" s="3"/>
      <c r="AL500" s="3"/>
      <c r="AM500" s="3"/>
      <c r="EO500" s="3"/>
      <c r="EP500" s="3"/>
      <c r="EQ500" s="3"/>
    </row>
    <row r="501" spans="1:147" x14ac:dyDescent="0.25">
      <c r="A501" s="3"/>
      <c r="B501" s="3"/>
      <c r="C501" s="3"/>
      <c r="E501" s="3"/>
      <c r="AJ501" s="3"/>
      <c r="AK501" s="3"/>
      <c r="AL501" s="3"/>
      <c r="AM501" s="3"/>
      <c r="EO501" s="3"/>
      <c r="EP501" s="3"/>
      <c r="EQ501" s="3"/>
    </row>
    <row r="502" spans="1:147" x14ac:dyDescent="0.25">
      <c r="A502" s="3"/>
      <c r="B502" s="3"/>
      <c r="C502" s="3"/>
      <c r="E502" s="3"/>
      <c r="AJ502" s="3"/>
      <c r="AK502" s="3"/>
      <c r="AL502" s="3"/>
      <c r="AM502" s="3"/>
      <c r="EO502" s="3"/>
      <c r="EP502" s="3"/>
      <c r="EQ502" s="3"/>
    </row>
    <row r="503" spans="1:147" x14ac:dyDescent="0.25">
      <c r="A503" s="3"/>
      <c r="B503" s="3"/>
      <c r="C503" s="3"/>
      <c r="E503" s="3"/>
      <c r="AJ503" s="3"/>
      <c r="AK503" s="3"/>
      <c r="AL503" s="3"/>
      <c r="AM503" s="3"/>
      <c r="EO503" s="3"/>
      <c r="EP503" s="3"/>
      <c r="EQ503" s="3"/>
    </row>
    <row r="504" spans="1:147" x14ac:dyDescent="0.25">
      <c r="A504" s="3"/>
      <c r="B504" s="3"/>
      <c r="C504" s="3"/>
      <c r="E504" s="3"/>
      <c r="AJ504" s="3"/>
      <c r="AK504" s="3"/>
      <c r="AL504" s="3"/>
      <c r="AM504" s="3"/>
      <c r="EO504" s="3"/>
      <c r="EP504" s="3"/>
      <c r="EQ504" s="3"/>
    </row>
    <row r="505" spans="1:147" x14ac:dyDescent="0.25">
      <c r="A505" s="3"/>
      <c r="B505" s="3"/>
      <c r="C505" s="3"/>
      <c r="E505" s="3"/>
      <c r="AJ505" s="3"/>
      <c r="AK505" s="3"/>
      <c r="AL505" s="3"/>
      <c r="AM505" s="3"/>
      <c r="EO505" s="3"/>
      <c r="EP505" s="3"/>
      <c r="EQ505" s="3"/>
    </row>
    <row r="506" spans="1:147" x14ac:dyDescent="0.25">
      <c r="A506" s="3"/>
      <c r="B506" s="3"/>
      <c r="C506" s="3"/>
      <c r="E506" s="3"/>
      <c r="AJ506" s="3"/>
      <c r="AK506" s="3"/>
      <c r="AL506" s="3"/>
      <c r="AM506" s="3"/>
      <c r="EO506" s="3"/>
      <c r="EP506" s="3"/>
      <c r="EQ506" s="3"/>
    </row>
    <row r="507" spans="1:147" x14ac:dyDescent="0.25">
      <c r="A507" s="3"/>
      <c r="B507" s="3"/>
      <c r="C507" s="3"/>
      <c r="E507" s="3"/>
      <c r="AJ507" s="3"/>
      <c r="AK507" s="3"/>
      <c r="AL507" s="3"/>
      <c r="AM507" s="3"/>
      <c r="EO507" s="3"/>
      <c r="EP507" s="3"/>
      <c r="EQ507" s="3"/>
    </row>
    <row r="508" spans="1:147" x14ac:dyDescent="0.25">
      <c r="A508" s="3"/>
      <c r="B508" s="3"/>
      <c r="C508" s="3"/>
      <c r="E508" s="3"/>
      <c r="AJ508" s="3"/>
      <c r="AK508" s="3"/>
      <c r="AL508" s="3"/>
      <c r="AM508" s="3"/>
      <c r="EO508" s="3"/>
      <c r="EP508" s="3"/>
      <c r="EQ508" s="3"/>
    </row>
    <row r="509" spans="1:147" x14ac:dyDescent="0.25">
      <c r="A509" s="3"/>
      <c r="B509" s="3"/>
      <c r="C509" s="3"/>
      <c r="E509" s="3"/>
      <c r="AJ509" s="3"/>
      <c r="AK509" s="3"/>
      <c r="AL509" s="3"/>
      <c r="AM509" s="3"/>
      <c r="EO509" s="3"/>
      <c r="EP509" s="3"/>
      <c r="EQ509" s="3"/>
    </row>
    <row r="510" spans="1:147" x14ac:dyDescent="0.25">
      <c r="A510" s="3"/>
      <c r="B510" s="3"/>
      <c r="C510" s="3"/>
      <c r="E510" s="3"/>
      <c r="AJ510" s="3"/>
      <c r="AK510" s="3"/>
      <c r="AL510" s="3"/>
      <c r="AM510" s="3"/>
      <c r="EO510" s="3"/>
      <c r="EP510" s="3"/>
      <c r="EQ510" s="3"/>
    </row>
    <row r="511" spans="1:147" x14ac:dyDescent="0.25">
      <c r="A511" s="3"/>
      <c r="B511" s="3"/>
      <c r="C511" s="3"/>
      <c r="E511" s="3"/>
      <c r="AJ511" s="3"/>
      <c r="AK511" s="3"/>
      <c r="AL511" s="3"/>
      <c r="AM511" s="3"/>
      <c r="EO511" s="3"/>
      <c r="EP511" s="3"/>
      <c r="EQ511" s="3"/>
    </row>
    <row r="512" spans="1:147" x14ac:dyDescent="0.25">
      <c r="A512" s="3"/>
      <c r="B512" s="3"/>
      <c r="C512" s="3"/>
      <c r="E512" s="3"/>
      <c r="AJ512" s="3"/>
      <c r="AK512" s="3"/>
      <c r="AL512" s="3"/>
      <c r="AM512" s="3"/>
      <c r="EO512" s="3"/>
      <c r="EP512" s="3"/>
      <c r="EQ512" s="3"/>
    </row>
    <row r="513" spans="1:147" x14ac:dyDescent="0.25">
      <c r="A513" s="3"/>
      <c r="B513" s="3"/>
      <c r="C513" s="3"/>
      <c r="E513" s="3"/>
      <c r="AJ513" s="3"/>
      <c r="AK513" s="3"/>
      <c r="AL513" s="3"/>
      <c r="AM513" s="3"/>
      <c r="EO513" s="3"/>
      <c r="EP513" s="3"/>
      <c r="EQ513" s="3"/>
    </row>
    <row r="514" spans="1:147" x14ac:dyDescent="0.25">
      <c r="A514" s="3"/>
      <c r="B514" s="3"/>
      <c r="C514" s="3"/>
      <c r="E514" s="3"/>
      <c r="AJ514" s="3"/>
      <c r="AK514" s="3"/>
      <c r="AL514" s="3"/>
      <c r="AM514" s="3"/>
      <c r="EO514" s="3"/>
      <c r="EP514" s="3"/>
      <c r="EQ514" s="3"/>
    </row>
    <row r="515" spans="1:147" x14ac:dyDescent="0.25">
      <c r="A515" s="3"/>
      <c r="B515" s="3"/>
      <c r="C515" s="3"/>
      <c r="E515" s="3"/>
      <c r="AJ515" s="3"/>
      <c r="AK515" s="3"/>
      <c r="AL515" s="3"/>
      <c r="AM515" s="3"/>
      <c r="EO515" s="3"/>
      <c r="EP515" s="3"/>
      <c r="EQ515" s="3"/>
    </row>
    <row r="516" spans="1:147" x14ac:dyDescent="0.25">
      <c r="A516" s="3"/>
      <c r="B516" s="3"/>
      <c r="C516" s="3"/>
      <c r="E516" s="3"/>
      <c r="AJ516" s="3"/>
      <c r="AK516" s="3"/>
      <c r="AL516" s="3"/>
      <c r="AM516" s="3"/>
      <c r="EO516" s="3"/>
      <c r="EP516" s="3"/>
      <c r="EQ516" s="3"/>
    </row>
    <row r="517" spans="1:147" x14ac:dyDescent="0.25">
      <c r="A517" s="3"/>
      <c r="B517" s="3"/>
      <c r="C517" s="3"/>
      <c r="E517" s="3"/>
      <c r="AJ517" s="3"/>
      <c r="AK517" s="3"/>
      <c r="AL517" s="3"/>
      <c r="AM517" s="3"/>
      <c r="EO517" s="3"/>
      <c r="EP517" s="3"/>
      <c r="EQ517" s="3"/>
    </row>
    <row r="518" spans="1:147" x14ac:dyDescent="0.25">
      <c r="A518" s="3"/>
      <c r="B518" s="3"/>
      <c r="C518" s="3"/>
      <c r="E518" s="3"/>
      <c r="AJ518" s="3"/>
      <c r="AK518" s="3"/>
      <c r="AL518" s="3"/>
      <c r="AM518" s="3"/>
      <c r="EO518" s="3"/>
      <c r="EP518" s="3"/>
      <c r="EQ518" s="3"/>
    </row>
    <row r="519" spans="1:147" x14ac:dyDescent="0.25">
      <c r="A519" s="3"/>
      <c r="B519" s="3"/>
      <c r="C519" s="3"/>
      <c r="E519" s="3"/>
      <c r="AJ519" s="3"/>
      <c r="AK519" s="3"/>
      <c r="AL519" s="3"/>
      <c r="AM519" s="3"/>
      <c r="EO519" s="3"/>
      <c r="EP519" s="3"/>
      <c r="EQ519" s="3"/>
    </row>
    <row r="520" spans="1:147" x14ac:dyDescent="0.25">
      <c r="A520" s="3"/>
      <c r="B520" s="3"/>
      <c r="C520" s="3"/>
      <c r="E520" s="3"/>
      <c r="AJ520" s="3"/>
      <c r="AK520" s="3"/>
      <c r="AL520" s="3"/>
      <c r="AM520" s="3"/>
      <c r="EO520" s="3"/>
      <c r="EP520" s="3"/>
      <c r="EQ520" s="3"/>
    </row>
    <row r="521" spans="1:147" x14ac:dyDescent="0.25">
      <c r="A521" s="3"/>
      <c r="B521" s="3"/>
      <c r="C521" s="3"/>
      <c r="E521" s="3"/>
      <c r="AJ521" s="3"/>
      <c r="AK521" s="3"/>
      <c r="AL521" s="3"/>
      <c r="AM521" s="3"/>
      <c r="EO521" s="3"/>
      <c r="EP521" s="3"/>
      <c r="EQ521" s="3"/>
    </row>
    <row r="522" spans="1:147" x14ac:dyDescent="0.25">
      <c r="A522" s="3"/>
      <c r="B522" s="3"/>
      <c r="C522" s="3"/>
      <c r="E522" s="3"/>
      <c r="AJ522" s="3"/>
      <c r="AK522" s="3"/>
      <c r="AL522" s="3"/>
      <c r="AM522" s="3"/>
      <c r="EO522" s="3"/>
      <c r="EP522" s="3"/>
      <c r="EQ522" s="3"/>
    </row>
    <row r="523" spans="1:147" x14ac:dyDescent="0.25">
      <c r="A523" s="3"/>
      <c r="B523" s="3"/>
      <c r="C523" s="3"/>
      <c r="E523" s="3"/>
      <c r="AJ523" s="3"/>
      <c r="AK523" s="3"/>
      <c r="AL523" s="3"/>
      <c r="AM523" s="3"/>
      <c r="EO523" s="3"/>
      <c r="EP523" s="3"/>
      <c r="EQ523" s="3"/>
    </row>
    <row r="524" spans="1:147" x14ac:dyDescent="0.25">
      <c r="A524" s="3"/>
      <c r="B524" s="3"/>
      <c r="C524" s="3"/>
      <c r="E524" s="3"/>
      <c r="AJ524" s="3"/>
      <c r="AK524" s="3"/>
      <c r="AL524" s="3"/>
      <c r="AM524" s="3"/>
      <c r="EO524" s="3"/>
      <c r="EP524" s="3"/>
      <c r="EQ524" s="3"/>
    </row>
    <row r="525" spans="1:147" x14ac:dyDescent="0.25">
      <c r="A525" s="3"/>
      <c r="B525" s="3"/>
      <c r="C525" s="3"/>
      <c r="E525" s="3"/>
      <c r="AJ525" s="3"/>
      <c r="AK525" s="3"/>
      <c r="AL525" s="3"/>
      <c r="AM525" s="3"/>
      <c r="EO525" s="3"/>
      <c r="EP525" s="3"/>
      <c r="EQ525" s="3"/>
    </row>
    <row r="526" spans="1:147" x14ac:dyDescent="0.25">
      <c r="A526" s="3"/>
      <c r="B526" s="3"/>
      <c r="C526" s="3"/>
      <c r="E526" s="3"/>
      <c r="AJ526" s="3"/>
      <c r="AK526" s="3"/>
      <c r="AL526" s="3"/>
      <c r="AM526" s="3"/>
      <c r="EO526" s="3"/>
      <c r="EP526" s="3"/>
      <c r="EQ526" s="3"/>
    </row>
    <row r="527" spans="1:147" x14ac:dyDescent="0.25">
      <c r="A527" s="3"/>
      <c r="B527" s="3"/>
      <c r="C527" s="3"/>
      <c r="E527" s="3"/>
      <c r="AJ527" s="3"/>
      <c r="AK527" s="3"/>
      <c r="AL527" s="3"/>
      <c r="AM527" s="3"/>
      <c r="EO527" s="3"/>
      <c r="EP527" s="3"/>
      <c r="EQ527" s="3"/>
    </row>
    <row r="528" spans="1:147" x14ac:dyDescent="0.25">
      <c r="A528" s="3"/>
      <c r="B528" s="3"/>
      <c r="C528" s="3"/>
      <c r="E528" s="3"/>
      <c r="AJ528" s="3"/>
      <c r="AK528" s="3"/>
      <c r="AL528" s="3"/>
      <c r="AM528" s="3"/>
      <c r="EO528" s="3"/>
      <c r="EP528" s="3"/>
      <c r="EQ528" s="3"/>
    </row>
    <row r="530" spans="1:147" x14ac:dyDescent="0.25">
      <c r="A530" s="3"/>
      <c r="B530" s="3"/>
      <c r="C530" s="3"/>
      <c r="E530" s="3"/>
      <c r="AJ530" s="3"/>
      <c r="AK530" s="3"/>
      <c r="AL530" s="3"/>
      <c r="AM530" s="3"/>
      <c r="EO530" s="3"/>
      <c r="EP530" s="3"/>
      <c r="EQ530" s="3"/>
    </row>
    <row r="531" spans="1:147" x14ac:dyDescent="0.25">
      <c r="A531" s="3"/>
      <c r="B531" s="3"/>
      <c r="C531" s="3"/>
      <c r="E531" s="3"/>
      <c r="AJ531" s="3"/>
      <c r="AK531" s="3"/>
      <c r="AL531" s="3"/>
      <c r="AM531" s="3"/>
      <c r="EO531" s="3"/>
      <c r="EP531" s="3"/>
      <c r="EQ531" s="3"/>
    </row>
    <row r="532" spans="1:147" x14ac:dyDescent="0.25">
      <c r="A532" s="3"/>
      <c r="B532" s="3"/>
      <c r="C532" s="3"/>
      <c r="E532" s="3"/>
      <c r="AJ532" s="3"/>
      <c r="AK532" s="3"/>
      <c r="AL532" s="3"/>
      <c r="AM532" s="3"/>
      <c r="EO532" s="3"/>
      <c r="EP532" s="3"/>
      <c r="EQ532" s="3"/>
    </row>
    <row r="533" spans="1:147" x14ac:dyDescent="0.25">
      <c r="A533" s="3"/>
      <c r="B533" s="3"/>
      <c r="C533" s="3"/>
      <c r="E533" s="3"/>
      <c r="AJ533" s="3"/>
      <c r="AK533" s="3"/>
      <c r="AL533" s="3"/>
      <c r="AM533" s="3"/>
      <c r="EO533" s="3"/>
      <c r="EP533" s="3"/>
      <c r="EQ533" s="3"/>
    </row>
  </sheetData>
  <mergeCells count="18">
    <mergeCell ref="BH3:BJ3"/>
    <mergeCell ref="BL3:BN3"/>
    <mergeCell ref="BP3:BR3"/>
    <mergeCell ref="BT3:BV3"/>
    <mergeCell ref="AJ3:AL3"/>
    <mergeCell ref="AN3:AP3"/>
    <mergeCell ref="AR3:AT3"/>
    <mergeCell ref="AV3:AX3"/>
    <mergeCell ref="AZ3:BB3"/>
    <mergeCell ref="BD3:BF3"/>
    <mergeCell ref="D3:F3"/>
    <mergeCell ref="H3:J3"/>
    <mergeCell ref="L3:N3"/>
    <mergeCell ref="P3:R3"/>
    <mergeCell ref="T3:V3"/>
    <mergeCell ref="X3:Z3"/>
    <mergeCell ref="AB3:AD3"/>
    <mergeCell ref="AF3:AH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19"/>
  <sheetViews>
    <sheetView topLeftCell="A43" workbookViewId="0">
      <selection activeCell="D58" sqref="D58"/>
    </sheetView>
  </sheetViews>
  <sheetFormatPr defaultColWidth="8.85546875" defaultRowHeight="15.75" x14ac:dyDescent="0.25"/>
  <cols>
    <col min="1" max="1" width="8.85546875" style="452"/>
    <col min="2" max="2" width="6.7109375" style="452" customWidth="1"/>
    <col min="3" max="3" width="51.140625" style="649" customWidth="1"/>
    <col min="4" max="4" width="20.85546875" style="452" customWidth="1"/>
    <col min="5" max="5" width="2.7109375" style="452" customWidth="1"/>
    <col min="6" max="6" width="24.85546875" style="452" customWidth="1"/>
    <col min="7" max="7" width="21" style="452" customWidth="1"/>
    <col min="8" max="16384" width="8.85546875" style="452"/>
  </cols>
  <sheetData>
    <row r="1" spans="2:7" x14ac:dyDescent="0.25">
      <c r="B1" s="537" t="s">
        <v>723</v>
      </c>
      <c r="C1" s="537"/>
      <c r="D1" s="537"/>
      <c r="E1" s="537"/>
      <c r="F1" s="537"/>
      <c r="G1" s="522"/>
    </row>
    <row r="2" spans="2:7" x14ac:dyDescent="0.25">
      <c r="B2" s="282"/>
      <c r="C2" s="282"/>
      <c r="D2" s="282"/>
      <c r="E2" s="282"/>
      <c r="F2" s="282"/>
      <c r="G2" s="522"/>
    </row>
    <row r="3" spans="2:7" x14ac:dyDescent="0.25">
      <c r="B3" s="282"/>
      <c r="C3" s="282"/>
      <c r="D3" s="282"/>
      <c r="E3" s="282"/>
      <c r="F3" s="282"/>
      <c r="G3" s="522"/>
    </row>
    <row r="4" spans="2:7" x14ac:dyDescent="0.25">
      <c r="B4" s="522" t="s">
        <v>267</v>
      </c>
      <c r="C4" s="282" t="s">
        <v>661</v>
      </c>
      <c r="D4" s="282" t="s">
        <v>2</v>
      </c>
      <c r="E4" s="282"/>
      <c r="F4" s="670" t="s">
        <v>722</v>
      </c>
      <c r="G4" s="522" t="s">
        <v>270</v>
      </c>
    </row>
    <row r="5" spans="2:7" x14ac:dyDescent="0.25">
      <c r="B5" s="522"/>
      <c r="D5" s="282" t="s">
        <v>471</v>
      </c>
      <c r="E5" s="282"/>
      <c r="F5" s="670" t="s">
        <v>471</v>
      </c>
      <c r="G5" s="282" t="s">
        <v>471</v>
      </c>
    </row>
    <row r="6" spans="2:7" x14ac:dyDescent="0.25">
      <c r="B6" s="522">
        <v>1</v>
      </c>
      <c r="C6" s="650" t="s">
        <v>62</v>
      </c>
      <c r="D6" s="526">
        <f t="shared" ref="D6:D11" si="0">3000000000+1200000000</f>
        <v>4200000000</v>
      </c>
      <c r="E6" s="526"/>
      <c r="F6" s="671">
        <v>3856297546.54</v>
      </c>
      <c r="G6" s="544">
        <f>D6-F6</f>
        <v>343702453.46000004</v>
      </c>
    </row>
    <row r="7" spans="2:7" x14ac:dyDescent="0.25">
      <c r="B7" s="522">
        <v>2</v>
      </c>
      <c r="C7" s="650" t="s">
        <v>73</v>
      </c>
      <c r="D7" s="526">
        <f t="shared" si="0"/>
        <v>4200000000</v>
      </c>
      <c r="E7" s="526"/>
      <c r="F7" s="671">
        <v>4195387528.6700001</v>
      </c>
      <c r="G7" s="544">
        <f t="shared" ref="G7:G56" si="1">D7-F7</f>
        <v>4612471.3299999237</v>
      </c>
    </row>
    <row r="8" spans="2:7" x14ac:dyDescent="0.25">
      <c r="B8" s="522">
        <v>3</v>
      </c>
      <c r="C8" s="650" t="s">
        <v>72</v>
      </c>
      <c r="D8" s="526">
        <f t="shared" si="0"/>
        <v>4200000000</v>
      </c>
      <c r="E8" s="526"/>
      <c r="F8" s="671">
        <v>3970020538.6600008</v>
      </c>
      <c r="G8" s="544">
        <f t="shared" si="1"/>
        <v>229979461.3399992</v>
      </c>
    </row>
    <row r="9" spans="2:7" x14ac:dyDescent="0.25">
      <c r="B9" s="522">
        <v>4</v>
      </c>
      <c r="C9" s="650" t="s">
        <v>64</v>
      </c>
      <c r="D9" s="526">
        <f t="shared" si="0"/>
        <v>4200000000</v>
      </c>
      <c r="E9" s="526"/>
      <c r="F9" s="671">
        <v>3887500000</v>
      </c>
      <c r="G9" s="544">
        <f t="shared" si="1"/>
        <v>312500000</v>
      </c>
    </row>
    <row r="10" spans="2:7" x14ac:dyDescent="0.25">
      <c r="B10" s="522">
        <v>5</v>
      </c>
      <c r="C10" s="650" t="s">
        <v>151</v>
      </c>
      <c r="D10" s="526">
        <f t="shared" si="0"/>
        <v>4200000000</v>
      </c>
      <c r="E10" s="526"/>
      <c r="F10" s="671">
        <v>3150430621.9499998</v>
      </c>
      <c r="G10" s="544">
        <f t="shared" si="1"/>
        <v>1049569378.0500002</v>
      </c>
    </row>
    <row r="11" spans="2:7" x14ac:dyDescent="0.25">
      <c r="B11" s="522">
        <v>6</v>
      </c>
      <c r="C11" s="650" t="s">
        <v>68</v>
      </c>
      <c r="D11" s="526">
        <f t="shared" si="0"/>
        <v>4200000000</v>
      </c>
      <c r="E11" s="526"/>
      <c r="F11" s="671">
        <v>3557219995.1200004</v>
      </c>
      <c r="G11" s="544">
        <f t="shared" si="1"/>
        <v>642780004.87999964</v>
      </c>
    </row>
    <row r="12" spans="2:7" x14ac:dyDescent="0.25">
      <c r="B12" s="522">
        <v>7</v>
      </c>
      <c r="C12" s="650" t="s">
        <v>1</v>
      </c>
      <c r="D12" s="526">
        <v>1500000000</v>
      </c>
      <c r="E12" s="526"/>
      <c r="F12" s="671">
        <v>1500000008</v>
      </c>
      <c r="G12" s="544">
        <f t="shared" si="1"/>
        <v>-8</v>
      </c>
    </row>
    <row r="13" spans="2:7" x14ac:dyDescent="0.25">
      <c r="B13" s="522">
        <v>8</v>
      </c>
      <c r="C13" s="650" t="s">
        <v>60</v>
      </c>
      <c r="D13" s="526">
        <v>2000000000</v>
      </c>
      <c r="E13" s="526"/>
      <c r="F13" s="671">
        <v>1982236473.5299997</v>
      </c>
      <c r="G13" s="544">
        <f t="shared" si="1"/>
        <v>17763526.470000267</v>
      </c>
    </row>
    <row r="14" spans="2:7" x14ac:dyDescent="0.25">
      <c r="B14" s="522">
        <v>9</v>
      </c>
      <c r="C14" s="650" t="s">
        <v>66</v>
      </c>
      <c r="D14" s="526">
        <v>3000000000</v>
      </c>
      <c r="E14" s="526"/>
      <c r="F14" s="671">
        <v>2999999998.9976101</v>
      </c>
      <c r="G14" s="544">
        <f t="shared" si="1"/>
        <v>1.0023899078369141</v>
      </c>
    </row>
    <row r="15" spans="2:7" x14ac:dyDescent="0.25">
      <c r="B15" s="522">
        <v>10</v>
      </c>
      <c r="C15" s="650" t="s">
        <v>71</v>
      </c>
      <c r="D15" s="526">
        <v>3000000000</v>
      </c>
      <c r="E15" s="526"/>
      <c r="F15" s="671">
        <v>2606501234.5299997</v>
      </c>
      <c r="G15" s="544">
        <f t="shared" si="1"/>
        <v>393498765.47000027</v>
      </c>
    </row>
    <row r="16" spans="2:7" x14ac:dyDescent="0.25">
      <c r="B16" s="522">
        <v>11</v>
      </c>
      <c r="C16" s="650" t="s">
        <v>662</v>
      </c>
      <c r="D16" s="526">
        <v>3000000000</v>
      </c>
      <c r="E16" s="526"/>
      <c r="F16" s="671">
        <v>2958666375.0799999</v>
      </c>
      <c r="G16" s="544">
        <f t="shared" si="1"/>
        <v>41333624.920000076</v>
      </c>
    </row>
    <row r="17" spans="1:7" x14ac:dyDescent="0.25">
      <c r="B17" s="522">
        <v>12</v>
      </c>
      <c r="C17" s="650" t="s">
        <v>79</v>
      </c>
      <c r="D17" s="526">
        <v>3000000000</v>
      </c>
      <c r="E17" s="526"/>
      <c r="F17" s="671">
        <v>2188216886.6565723</v>
      </c>
      <c r="G17" s="544">
        <f t="shared" si="1"/>
        <v>811783113.34342766</v>
      </c>
    </row>
    <row r="18" spans="1:7" x14ac:dyDescent="0.25">
      <c r="B18" s="522">
        <v>13</v>
      </c>
      <c r="C18" s="650" t="s">
        <v>77</v>
      </c>
      <c r="D18" s="526">
        <v>3000000000</v>
      </c>
      <c r="E18" s="526"/>
      <c r="F18" s="671">
        <v>2730621622.3699999</v>
      </c>
      <c r="G18" s="544">
        <f t="shared" si="1"/>
        <v>269378377.63000011</v>
      </c>
    </row>
    <row r="19" spans="1:7" x14ac:dyDescent="0.25">
      <c r="B19" s="522">
        <v>14</v>
      </c>
      <c r="C19" s="650" t="s">
        <v>100</v>
      </c>
      <c r="D19" s="526">
        <v>3000000000</v>
      </c>
      <c r="E19" s="526"/>
      <c r="F19" s="671">
        <v>3000000000.0100002</v>
      </c>
      <c r="G19" s="544">
        <f t="shared" si="1"/>
        <v>-1.0000228881835937E-2</v>
      </c>
    </row>
    <row r="20" spans="1:7" x14ac:dyDescent="0.25">
      <c r="A20" s="452">
        <v>2011</v>
      </c>
      <c r="B20" s="522">
        <v>15</v>
      </c>
      <c r="C20" s="650" t="s">
        <v>663</v>
      </c>
      <c r="D20" s="526">
        <v>3000000000</v>
      </c>
      <c r="E20" s="526"/>
      <c r="F20" s="671">
        <v>2995628612.2312493</v>
      </c>
      <c r="G20" s="544">
        <f t="shared" si="1"/>
        <v>4371387.7687506676</v>
      </c>
    </row>
    <row r="21" spans="1:7" x14ac:dyDescent="0.25">
      <c r="B21" s="522">
        <v>16</v>
      </c>
      <c r="C21" s="650" t="s">
        <v>664</v>
      </c>
      <c r="D21" s="526">
        <v>3000000000</v>
      </c>
      <c r="E21" s="526"/>
      <c r="F21" s="671">
        <v>2516142957.25</v>
      </c>
      <c r="G21" s="544">
        <f t="shared" si="1"/>
        <v>483857042.75</v>
      </c>
    </row>
    <row r="22" spans="1:7" x14ac:dyDescent="0.25">
      <c r="B22" s="522">
        <v>17</v>
      </c>
      <c r="C22" s="650" t="s">
        <v>665</v>
      </c>
      <c r="D22" s="526">
        <v>3000000000</v>
      </c>
      <c r="E22" s="526"/>
      <c r="F22" s="671">
        <v>2999999999.0999999</v>
      </c>
      <c r="G22" s="544">
        <f t="shared" si="1"/>
        <v>0.90000009536743164</v>
      </c>
    </row>
    <row r="23" spans="1:7" x14ac:dyDescent="0.25">
      <c r="B23" s="522">
        <v>18</v>
      </c>
      <c r="C23" s="651" t="s">
        <v>666</v>
      </c>
      <c r="D23" s="526">
        <v>3000000000</v>
      </c>
      <c r="E23" s="526"/>
      <c r="F23" s="671">
        <v>2974447436.3599997</v>
      </c>
      <c r="G23" s="544">
        <f t="shared" si="1"/>
        <v>25552563.640000343</v>
      </c>
    </row>
    <row r="24" spans="1:7" x14ac:dyDescent="0.25">
      <c r="B24" s="522">
        <v>19</v>
      </c>
      <c r="C24" s="650" t="s">
        <v>667</v>
      </c>
      <c r="D24" s="526">
        <v>3000000000</v>
      </c>
      <c r="E24" s="526"/>
      <c r="F24" s="671">
        <v>2917094487.7700005</v>
      </c>
      <c r="G24" s="544">
        <f t="shared" si="1"/>
        <v>82905512.229999542</v>
      </c>
    </row>
    <row r="25" spans="1:7" x14ac:dyDescent="0.25">
      <c r="B25" s="522">
        <v>20</v>
      </c>
      <c r="C25" s="650" t="s">
        <v>67</v>
      </c>
      <c r="D25" s="526">
        <v>3000000000</v>
      </c>
      <c r="E25" s="526"/>
      <c r="F25" s="671">
        <v>2387361164.0700002</v>
      </c>
      <c r="G25" s="544">
        <f t="shared" si="1"/>
        <v>612638835.92999983</v>
      </c>
    </row>
    <row r="26" spans="1:7" x14ac:dyDescent="0.25">
      <c r="B26" s="522">
        <v>21</v>
      </c>
      <c r="C26" s="650" t="s">
        <v>70</v>
      </c>
      <c r="D26" s="526">
        <v>3000000000</v>
      </c>
      <c r="E26" s="526"/>
      <c r="F26" s="671">
        <v>2038181947.3199999</v>
      </c>
      <c r="G26" s="544">
        <f t="shared" si="1"/>
        <v>961818052.68000007</v>
      </c>
    </row>
    <row r="27" spans="1:7" x14ac:dyDescent="0.25">
      <c r="B27" s="522">
        <v>22</v>
      </c>
      <c r="C27" s="544" t="s">
        <v>668</v>
      </c>
      <c r="D27" s="526">
        <v>3000000000</v>
      </c>
      <c r="E27" s="526"/>
      <c r="F27" s="671">
        <v>2818721328.1399999</v>
      </c>
      <c r="G27" s="544">
        <f t="shared" si="1"/>
        <v>181278671.86000013</v>
      </c>
    </row>
    <row r="28" spans="1:7" x14ac:dyDescent="0.25">
      <c r="B28" s="522">
        <v>23</v>
      </c>
      <c r="C28" s="544" t="s">
        <v>669</v>
      </c>
      <c r="D28" s="526">
        <v>3000000000</v>
      </c>
      <c r="E28" s="526"/>
      <c r="F28" s="671">
        <v>2550000000</v>
      </c>
      <c r="G28" s="544">
        <f t="shared" si="1"/>
        <v>450000000</v>
      </c>
    </row>
    <row r="29" spans="1:7" x14ac:dyDescent="0.25">
      <c r="B29" s="522">
        <v>24</v>
      </c>
      <c r="C29" s="544" t="s">
        <v>126</v>
      </c>
      <c r="D29" s="526">
        <v>3000000000</v>
      </c>
      <c r="E29" s="526"/>
      <c r="F29" s="671">
        <v>2661647993.5500002</v>
      </c>
      <c r="G29" s="544">
        <f t="shared" si="1"/>
        <v>338352006.44999981</v>
      </c>
    </row>
    <row r="30" spans="1:7" x14ac:dyDescent="0.25">
      <c r="B30" s="522">
        <v>25</v>
      </c>
      <c r="C30" s="544" t="s">
        <v>122</v>
      </c>
      <c r="D30" s="526">
        <v>3000000000</v>
      </c>
      <c r="E30" s="526"/>
      <c r="F30" s="671">
        <v>2775000000</v>
      </c>
      <c r="G30" s="544">
        <f t="shared" si="1"/>
        <v>225000000</v>
      </c>
    </row>
    <row r="31" spans="1:7" x14ac:dyDescent="0.25">
      <c r="B31" s="522">
        <v>26</v>
      </c>
      <c r="C31" s="544" t="s">
        <v>87</v>
      </c>
      <c r="D31" s="526">
        <v>3000000000</v>
      </c>
      <c r="E31" s="526"/>
      <c r="F31" s="671">
        <v>2689647277.02</v>
      </c>
      <c r="G31" s="544">
        <f t="shared" si="1"/>
        <v>310352722.98000002</v>
      </c>
    </row>
    <row r="32" spans="1:7" x14ac:dyDescent="0.25">
      <c r="B32" s="522">
        <v>27</v>
      </c>
      <c r="C32" s="544" t="s">
        <v>96</v>
      </c>
      <c r="D32" s="526">
        <v>3000000000</v>
      </c>
      <c r="E32" s="526"/>
      <c r="F32" s="671">
        <v>1600706013.98</v>
      </c>
      <c r="G32" s="544">
        <f t="shared" si="1"/>
        <v>1399293986.02</v>
      </c>
    </row>
    <row r="33" spans="1:7" x14ac:dyDescent="0.25">
      <c r="B33" s="522">
        <v>28</v>
      </c>
      <c r="C33" s="544" t="s">
        <v>97</v>
      </c>
      <c r="D33" s="526">
        <v>3000000000</v>
      </c>
      <c r="E33" s="526"/>
      <c r="F33" s="671">
        <v>2734151268.0100002</v>
      </c>
      <c r="G33" s="544">
        <f t="shared" si="1"/>
        <v>265848731.98999977</v>
      </c>
    </row>
    <row r="34" spans="1:7" x14ac:dyDescent="0.25">
      <c r="B34" s="522">
        <v>29</v>
      </c>
      <c r="C34" s="522" t="s">
        <v>670</v>
      </c>
      <c r="D34" s="526">
        <v>2000000000</v>
      </c>
      <c r="E34" s="526"/>
      <c r="F34" s="671">
        <v>0</v>
      </c>
      <c r="G34" s="544">
        <f t="shared" si="1"/>
        <v>2000000000</v>
      </c>
    </row>
    <row r="35" spans="1:7" x14ac:dyDescent="0.25">
      <c r="B35" s="522">
        <v>30</v>
      </c>
      <c r="C35" s="522" t="s">
        <v>671</v>
      </c>
      <c r="D35" s="526">
        <v>2000000000</v>
      </c>
      <c r="E35" s="526"/>
      <c r="F35" s="671">
        <v>0</v>
      </c>
      <c r="G35" s="544">
        <f t="shared" si="1"/>
        <v>2000000000</v>
      </c>
    </row>
    <row r="36" spans="1:7" x14ac:dyDescent="0.25">
      <c r="B36" s="522">
        <v>31</v>
      </c>
      <c r="C36" s="522" t="s">
        <v>672</v>
      </c>
      <c r="D36" s="526">
        <v>2000000000</v>
      </c>
      <c r="E36" s="526"/>
      <c r="F36" s="671">
        <v>0</v>
      </c>
      <c r="G36" s="544">
        <f t="shared" si="1"/>
        <v>2000000000</v>
      </c>
    </row>
    <row r="37" spans="1:7" x14ac:dyDescent="0.25">
      <c r="B37" s="522">
        <v>32</v>
      </c>
      <c r="C37" s="522" t="s">
        <v>673</v>
      </c>
      <c r="D37" s="526">
        <v>2000000000</v>
      </c>
      <c r="E37" s="526"/>
      <c r="F37" s="671">
        <v>0</v>
      </c>
      <c r="G37" s="544">
        <f t="shared" si="1"/>
        <v>2000000000</v>
      </c>
    </row>
    <row r="38" spans="1:7" x14ac:dyDescent="0.25">
      <c r="B38" s="522">
        <v>33</v>
      </c>
      <c r="C38" s="522" t="s">
        <v>674</v>
      </c>
      <c r="D38" s="526">
        <v>2000000000</v>
      </c>
      <c r="E38" s="526"/>
      <c r="F38" s="671">
        <v>0</v>
      </c>
      <c r="G38" s="544">
        <f t="shared" si="1"/>
        <v>2000000000</v>
      </c>
    </row>
    <row r="39" spans="1:7" x14ac:dyDescent="0.25">
      <c r="B39" s="522">
        <v>34</v>
      </c>
      <c r="C39" s="522" t="s">
        <v>675</v>
      </c>
      <c r="D39" s="526">
        <v>2000000000</v>
      </c>
      <c r="E39" s="526"/>
      <c r="F39" s="671">
        <v>0</v>
      </c>
      <c r="G39" s="544">
        <f t="shared" si="1"/>
        <v>2000000000</v>
      </c>
    </row>
    <row r="40" spans="1:7" x14ac:dyDescent="0.25">
      <c r="B40" s="522">
        <v>35</v>
      </c>
      <c r="C40" s="522" t="s">
        <v>676</v>
      </c>
      <c r="D40" s="526">
        <v>2000000000</v>
      </c>
      <c r="E40" s="526"/>
      <c r="F40" s="671">
        <v>0</v>
      </c>
      <c r="G40" s="544">
        <f t="shared" si="1"/>
        <v>2000000000</v>
      </c>
    </row>
    <row r="41" spans="1:7" x14ac:dyDescent="0.25">
      <c r="B41" s="522">
        <v>36</v>
      </c>
      <c r="C41" s="522" t="s">
        <v>677</v>
      </c>
      <c r="D41" s="526">
        <v>2000000000</v>
      </c>
      <c r="E41" s="526"/>
      <c r="F41" s="671">
        <v>0</v>
      </c>
      <c r="G41" s="544">
        <f t="shared" si="1"/>
        <v>2000000000</v>
      </c>
    </row>
    <row r="42" spans="1:7" x14ac:dyDescent="0.25">
      <c r="B42" s="522">
        <v>37</v>
      </c>
      <c r="C42" s="522" t="s">
        <v>678</v>
      </c>
      <c r="D42" s="526">
        <v>2000000000</v>
      </c>
      <c r="E42" s="526"/>
      <c r="F42" s="671">
        <v>0</v>
      </c>
      <c r="G42" s="544">
        <f t="shared" si="1"/>
        <v>2000000000</v>
      </c>
    </row>
    <row r="43" spans="1:7" x14ac:dyDescent="0.25">
      <c r="B43" s="522">
        <v>38</v>
      </c>
      <c r="C43" s="522" t="s">
        <v>679</v>
      </c>
      <c r="D43" s="526">
        <v>2000000000</v>
      </c>
      <c r="E43" s="526"/>
      <c r="F43" s="671">
        <v>0</v>
      </c>
      <c r="G43" s="544">
        <f t="shared" si="1"/>
        <v>2000000000</v>
      </c>
    </row>
    <row r="44" spans="1:7" x14ac:dyDescent="0.25">
      <c r="B44" s="522">
        <v>39</v>
      </c>
      <c r="C44" s="522" t="s">
        <v>680</v>
      </c>
      <c r="D44" s="526">
        <v>2000000000</v>
      </c>
      <c r="E44" s="526"/>
      <c r="F44" s="671">
        <v>0</v>
      </c>
      <c r="G44" s="544">
        <f t="shared" si="1"/>
        <v>2000000000</v>
      </c>
    </row>
    <row r="45" spans="1:7" x14ac:dyDescent="0.25">
      <c r="B45" s="522">
        <v>40</v>
      </c>
      <c r="C45" s="522" t="s">
        <v>681</v>
      </c>
      <c r="D45" s="526">
        <v>2000000000</v>
      </c>
      <c r="E45" s="526"/>
      <c r="F45" s="671">
        <v>0</v>
      </c>
      <c r="G45" s="544">
        <f t="shared" si="1"/>
        <v>2000000000</v>
      </c>
    </row>
    <row r="46" spans="1:7" x14ac:dyDescent="0.25">
      <c r="B46" s="522">
        <v>41</v>
      </c>
      <c r="C46" s="522" t="s">
        <v>682</v>
      </c>
      <c r="D46" s="526">
        <v>3000000000</v>
      </c>
      <c r="E46" s="526"/>
      <c r="F46" s="671">
        <v>2550000000</v>
      </c>
      <c r="G46" s="544">
        <f t="shared" si="1"/>
        <v>450000000</v>
      </c>
    </row>
    <row r="47" spans="1:7" x14ac:dyDescent="0.25">
      <c r="B47" s="522">
        <v>42</v>
      </c>
      <c r="C47" s="522" t="s">
        <v>683</v>
      </c>
      <c r="D47" s="526">
        <v>3000000000</v>
      </c>
      <c r="E47" s="526"/>
      <c r="F47" s="671">
        <v>2550000000</v>
      </c>
      <c r="G47" s="544">
        <f t="shared" si="1"/>
        <v>450000000</v>
      </c>
    </row>
    <row r="48" spans="1:7" x14ac:dyDescent="0.25">
      <c r="A48" s="452">
        <v>43</v>
      </c>
      <c r="B48" s="522">
        <v>43</v>
      </c>
      <c r="C48" s="522" t="s">
        <v>60</v>
      </c>
      <c r="D48" s="526">
        <v>3000000000</v>
      </c>
      <c r="E48" s="526"/>
      <c r="F48" s="671">
        <v>314068613.98000002</v>
      </c>
      <c r="G48" s="544">
        <f t="shared" si="1"/>
        <v>2685931386.02</v>
      </c>
    </row>
    <row r="49" spans="2:7" x14ac:dyDescent="0.25">
      <c r="B49" s="522">
        <v>44</v>
      </c>
      <c r="C49" s="522" t="s">
        <v>684</v>
      </c>
      <c r="D49" s="526">
        <v>3000000000</v>
      </c>
      <c r="E49" s="526"/>
      <c r="F49" s="671">
        <v>1680000000</v>
      </c>
      <c r="G49" s="544">
        <f t="shared" si="1"/>
        <v>1320000000</v>
      </c>
    </row>
    <row r="50" spans="2:7" x14ac:dyDescent="0.25">
      <c r="B50" s="522">
        <v>45</v>
      </c>
      <c r="C50" s="522" t="s">
        <v>685</v>
      </c>
      <c r="D50" s="526">
        <v>3000000000</v>
      </c>
      <c r="E50" s="526"/>
      <c r="F50" s="671">
        <v>1770000000</v>
      </c>
      <c r="G50" s="544">
        <f t="shared" si="1"/>
        <v>1230000000</v>
      </c>
    </row>
    <row r="51" spans="2:7" x14ac:dyDescent="0.25">
      <c r="B51" s="522">
        <v>46</v>
      </c>
      <c r="C51" s="522" t="s">
        <v>686</v>
      </c>
      <c r="D51" s="526">
        <v>3000000000</v>
      </c>
      <c r="E51" s="526"/>
      <c r="F51" s="671">
        <v>2550000000</v>
      </c>
      <c r="G51" s="544">
        <f t="shared" si="1"/>
        <v>450000000</v>
      </c>
    </row>
    <row r="52" spans="2:7" ht="31.5" x14ac:dyDescent="0.25">
      <c r="B52" s="522">
        <v>47</v>
      </c>
      <c r="C52" s="652" t="s">
        <v>687</v>
      </c>
      <c r="D52" s="526">
        <v>3000000000</v>
      </c>
      <c r="E52" s="526"/>
      <c r="F52" s="671">
        <v>1590000000</v>
      </c>
      <c r="G52" s="544">
        <f t="shared" si="1"/>
        <v>1410000000</v>
      </c>
    </row>
    <row r="53" spans="2:7" x14ac:dyDescent="0.25">
      <c r="B53" s="522">
        <v>48</v>
      </c>
      <c r="C53" s="652" t="s">
        <v>688</v>
      </c>
      <c r="D53" s="526">
        <v>3000000000</v>
      </c>
      <c r="E53" s="526"/>
      <c r="F53" s="671">
        <v>1590000000</v>
      </c>
      <c r="G53" s="544">
        <f t="shared" si="1"/>
        <v>1410000000</v>
      </c>
    </row>
    <row r="54" spans="2:7" x14ac:dyDescent="0.25">
      <c r="B54" s="522">
        <v>49</v>
      </c>
      <c r="C54" s="652" t="s">
        <v>689</v>
      </c>
      <c r="D54" s="526">
        <v>3000000000</v>
      </c>
      <c r="E54" s="526"/>
      <c r="F54" s="671">
        <v>1710000000</v>
      </c>
      <c r="G54" s="544">
        <f>D54-F54</f>
        <v>1290000000</v>
      </c>
    </row>
    <row r="55" spans="2:7" x14ac:dyDescent="0.25">
      <c r="B55" s="522"/>
      <c r="C55" s="652"/>
      <c r="D55" s="526"/>
      <c r="E55" s="526"/>
      <c r="F55" s="671"/>
      <c r="G55" s="544"/>
    </row>
    <row r="56" spans="2:7" x14ac:dyDescent="0.25">
      <c r="B56" s="522"/>
      <c r="C56" s="650" t="s">
        <v>532</v>
      </c>
      <c r="D56" s="526">
        <f>SUM(D6:D54)</f>
        <v>139700000000</v>
      </c>
      <c r="E56" s="526">
        <f t="shared" ref="E56:F56" si="2">SUM(E6:E54)</f>
        <v>0</v>
      </c>
      <c r="F56" s="526">
        <f t="shared" si="2"/>
        <v>95545897928.895416</v>
      </c>
      <c r="G56" s="544">
        <f>D56-F56</f>
        <v>44154102071.104584</v>
      </c>
    </row>
    <row r="57" spans="2:7" x14ac:dyDescent="0.25">
      <c r="B57" s="648"/>
      <c r="C57" s="653"/>
      <c r="D57" s="548"/>
      <c r="E57" s="548"/>
      <c r="F57" s="548"/>
      <c r="G57" s="522"/>
    </row>
    <row r="58" spans="2:7" x14ac:dyDescent="0.25">
      <c r="B58" s="648"/>
      <c r="C58" s="653"/>
      <c r="D58" s="548"/>
      <c r="E58" s="548"/>
      <c r="F58" s="548"/>
      <c r="G58" s="522"/>
    </row>
    <row r="59" spans="2:7" x14ac:dyDescent="0.25">
      <c r="B59" s="648"/>
      <c r="C59" s="653"/>
      <c r="D59" s="548"/>
      <c r="E59" s="548"/>
      <c r="F59" s="548"/>
      <c r="G59" s="522"/>
    </row>
    <row r="60" spans="2:7" x14ac:dyDescent="0.25">
      <c r="B60" s="648"/>
      <c r="C60" s="653"/>
      <c r="D60" s="548"/>
      <c r="E60" s="548"/>
      <c r="F60" s="548"/>
      <c r="G60" s="522"/>
    </row>
    <row r="61" spans="2:7" x14ac:dyDescent="0.25">
      <c r="B61" s="648"/>
      <c r="C61" s="653"/>
      <c r="D61" s="654"/>
      <c r="E61" s="654"/>
      <c r="F61" s="654"/>
      <c r="G61" s="522"/>
    </row>
    <row r="62" spans="2:7" s="648" customFormat="1" x14ac:dyDescent="0.25">
      <c r="C62" s="653"/>
      <c r="D62" s="547"/>
      <c r="E62" s="547"/>
      <c r="F62" s="547"/>
      <c r="G62" s="522"/>
    </row>
    <row r="63" spans="2:7" s="215" customFormat="1" x14ac:dyDescent="0.25">
      <c r="B63" s="667"/>
    </row>
    <row r="64" spans="2:7" s="215" customFormat="1" x14ac:dyDescent="0.25">
      <c r="B64" s="667"/>
    </row>
    <row r="65" spans="2:2" s="215" customFormat="1" x14ac:dyDescent="0.25">
      <c r="B65" s="667"/>
    </row>
    <row r="66" spans="2:2" s="215" customFormat="1" x14ac:dyDescent="0.25">
      <c r="B66" s="668"/>
    </row>
    <row r="67" spans="2:2" s="215" customFormat="1" x14ac:dyDescent="0.25">
      <c r="B67" s="668"/>
    </row>
    <row r="68" spans="2:2" s="215" customFormat="1" x14ac:dyDescent="0.25">
      <c r="B68" s="668"/>
    </row>
    <row r="69" spans="2:2" s="215" customFormat="1" x14ac:dyDescent="0.25">
      <c r="B69" s="668"/>
    </row>
    <row r="70" spans="2:2" s="215" customFormat="1" x14ac:dyDescent="0.25">
      <c r="B70" s="668"/>
    </row>
    <row r="71" spans="2:2" s="215" customFormat="1" x14ac:dyDescent="0.25">
      <c r="B71" s="668"/>
    </row>
    <row r="72" spans="2:2" s="215" customFormat="1" x14ac:dyDescent="0.25">
      <c r="B72" s="668"/>
    </row>
    <row r="73" spans="2:2" s="215" customFormat="1" x14ac:dyDescent="0.25">
      <c r="B73" s="668"/>
    </row>
    <row r="74" spans="2:2" s="215" customFormat="1" x14ac:dyDescent="0.25">
      <c r="B74" s="668"/>
    </row>
    <row r="75" spans="2:2" s="215" customFormat="1" x14ac:dyDescent="0.25">
      <c r="B75" s="668"/>
    </row>
    <row r="76" spans="2:2" s="215" customFormat="1" x14ac:dyDescent="0.25">
      <c r="B76" s="668"/>
    </row>
    <row r="77" spans="2:2" s="215" customFormat="1" x14ac:dyDescent="0.25">
      <c r="B77" s="668"/>
    </row>
    <row r="78" spans="2:2" s="215" customFormat="1" x14ac:dyDescent="0.25">
      <c r="B78" s="668"/>
    </row>
    <row r="79" spans="2:2" s="215" customFormat="1" x14ac:dyDescent="0.25">
      <c r="B79" s="668"/>
    </row>
    <row r="80" spans="2:2" s="215" customFormat="1" x14ac:dyDescent="0.25">
      <c r="B80" s="668"/>
    </row>
    <row r="81" spans="2:2" s="215" customFormat="1" x14ac:dyDescent="0.25">
      <c r="B81" s="668"/>
    </row>
    <row r="82" spans="2:2" s="215" customFormat="1" x14ac:dyDescent="0.25">
      <c r="B82" s="668"/>
    </row>
    <row r="83" spans="2:2" s="215" customFormat="1" x14ac:dyDescent="0.25">
      <c r="B83" s="668"/>
    </row>
    <row r="84" spans="2:2" s="215" customFormat="1" x14ac:dyDescent="0.25">
      <c r="B84" s="668"/>
    </row>
    <row r="85" spans="2:2" s="215" customFormat="1" x14ac:dyDescent="0.25">
      <c r="B85" s="668"/>
    </row>
    <row r="86" spans="2:2" s="215" customFormat="1" x14ac:dyDescent="0.25">
      <c r="B86" s="668"/>
    </row>
    <row r="87" spans="2:2" s="215" customFormat="1" x14ac:dyDescent="0.25">
      <c r="B87" s="668"/>
    </row>
    <row r="88" spans="2:2" s="215" customFormat="1" x14ac:dyDescent="0.25">
      <c r="B88" s="668"/>
    </row>
    <row r="89" spans="2:2" s="215" customFormat="1" x14ac:dyDescent="0.25">
      <c r="B89" s="668"/>
    </row>
    <row r="90" spans="2:2" s="215" customFormat="1" x14ac:dyDescent="0.25">
      <c r="B90" s="668"/>
    </row>
    <row r="91" spans="2:2" s="215" customFormat="1" x14ac:dyDescent="0.25">
      <c r="B91" s="668"/>
    </row>
    <row r="92" spans="2:2" s="215" customFormat="1" x14ac:dyDescent="0.25">
      <c r="B92" s="668"/>
    </row>
    <row r="93" spans="2:2" s="215" customFormat="1" x14ac:dyDescent="0.25">
      <c r="B93" s="668"/>
    </row>
    <row r="94" spans="2:2" s="215" customFormat="1" x14ac:dyDescent="0.25">
      <c r="B94" s="668"/>
    </row>
    <row r="95" spans="2:2" s="215" customFormat="1" x14ac:dyDescent="0.25">
      <c r="B95" s="668"/>
    </row>
    <row r="96" spans="2:2" s="215" customFormat="1" x14ac:dyDescent="0.25">
      <c r="B96" s="668"/>
    </row>
    <row r="97" spans="2:2" s="215" customFormat="1" x14ac:dyDescent="0.25">
      <c r="B97" s="668"/>
    </row>
    <row r="98" spans="2:2" s="215" customFormat="1" x14ac:dyDescent="0.25">
      <c r="B98" s="668"/>
    </row>
    <row r="99" spans="2:2" s="215" customFormat="1" x14ac:dyDescent="0.25">
      <c r="B99" s="668"/>
    </row>
    <row r="100" spans="2:2" s="215" customFormat="1" x14ac:dyDescent="0.25">
      <c r="B100" s="668"/>
    </row>
    <row r="101" spans="2:2" s="215" customFormat="1" x14ac:dyDescent="0.25">
      <c r="B101" s="668"/>
    </row>
    <row r="102" spans="2:2" s="215" customFormat="1" x14ac:dyDescent="0.25">
      <c r="B102" s="668"/>
    </row>
    <row r="103" spans="2:2" s="215" customFormat="1" x14ac:dyDescent="0.25">
      <c r="B103" s="668"/>
    </row>
    <row r="104" spans="2:2" s="215" customFormat="1" x14ac:dyDescent="0.25">
      <c r="B104" s="668"/>
    </row>
    <row r="105" spans="2:2" s="215" customFormat="1" x14ac:dyDescent="0.25">
      <c r="B105" s="668"/>
    </row>
    <row r="106" spans="2:2" s="215" customFormat="1" x14ac:dyDescent="0.25">
      <c r="B106" s="668"/>
    </row>
    <row r="107" spans="2:2" s="215" customFormat="1" x14ac:dyDescent="0.25">
      <c r="B107" s="668"/>
    </row>
    <row r="108" spans="2:2" s="215" customFormat="1" x14ac:dyDescent="0.25">
      <c r="B108" s="668"/>
    </row>
    <row r="109" spans="2:2" s="215" customFormat="1" x14ac:dyDescent="0.25">
      <c r="B109" s="668"/>
    </row>
    <row r="110" spans="2:2" s="215" customFormat="1" x14ac:dyDescent="0.25">
      <c r="B110" s="668"/>
    </row>
    <row r="111" spans="2:2" s="215" customFormat="1" x14ac:dyDescent="0.25">
      <c r="B111" s="668"/>
    </row>
    <row r="112" spans="2:2" s="215" customFormat="1" x14ac:dyDescent="0.25">
      <c r="B112" s="668"/>
    </row>
    <row r="113" spans="2:2" s="215" customFormat="1" x14ac:dyDescent="0.25">
      <c r="B113" s="668"/>
    </row>
    <row r="114" spans="2:2" s="215" customFormat="1" x14ac:dyDescent="0.25">
      <c r="B114" s="668"/>
    </row>
    <row r="115" spans="2:2" s="215" customFormat="1" x14ac:dyDescent="0.25">
      <c r="B115" s="668"/>
    </row>
    <row r="116" spans="2:2" s="215" customFormat="1" x14ac:dyDescent="0.25">
      <c r="B116" s="668"/>
    </row>
    <row r="117" spans="2:2" s="215" customFormat="1" x14ac:dyDescent="0.25">
      <c r="B117" s="668"/>
    </row>
    <row r="118" spans="2:2" s="215" customFormat="1" x14ac:dyDescent="0.25">
      <c r="B118" s="668"/>
    </row>
    <row r="119" spans="2:2" s="215" customFormat="1" x14ac:dyDescent="0.25">
      <c r="B119" s="668"/>
    </row>
    <row r="120" spans="2:2" s="215" customFormat="1" x14ac:dyDescent="0.25">
      <c r="B120" s="668"/>
    </row>
    <row r="121" spans="2:2" s="215" customFormat="1" x14ac:dyDescent="0.25">
      <c r="B121" s="668"/>
    </row>
    <row r="122" spans="2:2" s="215" customFormat="1" x14ac:dyDescent="0.25">
      <c r="B122" s="668"/>
    </row>
    <row r="123" spans="2:2" s="215" customFormat="1" x14ac:dyDescent="0.25">
      <c r="B123" s="668"/>
    </row>
    <row r="124" spans="2:2" s="215" customFormat="1" x14ac:dyDescent="0.25">
      <c r="B124" s="668"/>
    </row>
    <row r="125" spans="2:2" s="215" customFormat="1" x14ac:dyDescent="0.25">
      <c r="B125" s="668"/>
    </row>
    <row r="126" spans="2:2" s="215" customFormat="1" x14ac:dyDescent="0.25">
      <c r="B126" s="668"/>
    </row>
    <row r="127" spans="2:2" s="215" customFormat="1" x14ac:dyDescent="0.25">
      <c r="B127" s="668"/>
    </row>
    <row r="128" spans="2:2" s="215" customFormat="1" x14ac:dyDescent="0.25">
      <c r="B128" s="668"/>
    </row>
    <row r="129" spans="2:2" s="215" customFormat="1" x14ac:dyDescent="0.25">
      <c r="B129" s="668"/>
    </row>
    <row r="130" spans="2:2" s="215" customFormat="1" x14ac:dyDescent="0.25">
      <c r="B130" s="668"/>
    </row>
    <row r="131" spans="2:2" s="215" customFormat="1" x14ac:dyDescent="0.25">
      <c r="B131" s="668"/>
    </row>
    <row r="132" spans="2:2" s="215" customFormat="1" x14ac:dyDescent="0.25">
      <c r="B132" s="668"/>
    </row>
    <row r="133" spans="2:2" s="215" customFormat="1" x14ac:dyDescent="0.25">
      <c r="B133" s="668"/>
    </row>
    <row r="134" spans="2:2" s="215" customFormat="1" x14ac:dyDescent="0.25">
      <c r="B134" s="668"/>
    </row>
    <row r="135" spans="2:2" s="215" customFormat="1" x14ac:dyDescent="0.25">
      <c r="B135" s="668"/>
    </row>
    <row r="136" spans="2:2" s="215" customFormat="1" x14ac:dyDescent="0.25">
      <c r="B136" s="668"/>
    </row>
    <row r="137" spans="2:2" s="215" customFormat="1" x14ac:dyDescent="0.25">
      <c r="B137" s="668"/>
    </row>
    <row r="138" spans="2:2" s="215" customFormat="1" x14ac:dyDescent="0.25">
      <c r="B138" s="668"/>
    </row>
    <row r="139" spans="2:2" s="215" customFormat="1" x14ac:dyDescent="0.25">
      <c r="B139" s="668"/>
    </row>
    <row r="140" spans="2:2" s="215" customFormat="1" x14ac:dyDescent="0.25">
      <c r="B140" s="668"/>
    </row>
    <row r="141" spans="2:2" s="215" customFormat="1" x14ac:dyDescent="0.25">
      <c r="B141" s="668"/>
    </row>
    <row r="142" spans="2:2" s="215" customFormat="1" x14ac:dyDescent="0.25">
      <c r="B142" s="668"/>
    </row>
    <row r="143" spans="2:2" s="215" customFormat="1" x14ac:dyDescent="0.25">
      <c r="B143" s="668"/>
    </row>
    <row r="144" spans="2:2" s="215" customFormat="1" x14ac:dyDescent="0.25">
      <c r="B144" s="668"/>
    </row>
    <row r="145" spans="2:2" s="215" customFormat="1" x14ac:dyDescent="0.25">
      <c r="B145" s="668"/>
    </row>
    <row r="146" spans="2:2" s="215" customFormat="1" x14ac:dyDescent="0.25">
      <c r="B146" s="668"/>
    </row>
    <row r="147" spans="2:2" s="215" customFormat="1" x14ac:dyDescent="0.25">
      <c r="B147" s="668"/>
    </row>
    <row r="148" spans="2:2" s="215" customFormat="1" x14ac:dyDescent="0.25">
      <c r="B148" s="668"/>
    </row>
    <row r="149" spans="2:2" s="215" customFormat="1" x14ac:dyDescent="0.25">
      <c r="B149" s="668"/>
    </row>
    <row r="150" spans="2:2" s="215" customFormat="1" x14ac:dyDescent="0.25">
      <c r="B150" s="668"/>
    </row>
    <row r="151" spans="2:2" s="215" customFormat="1" x14ac:dyDescent="0.25">
      <c r="B151" s="668"/>
    </row>
    <row r="152" spans="2:2" s="215" customFormat="1" x14ac:dyDescent="0.25">
      <c r="B152" s="668"/>
    </row>
    <row r="153" spans="2:2" s="215" customFormat="1" x14ac:dyDescent="0.25">
      <c r="B153" s="668"/>
    </row>
    <row r="154" spans="2:2" s="215" customFormat="1" x14ac:dyDescent="0.25">
      <c r="B154" s="668"/>
    </row>
    <row r="155" spans="2:2" s="215" customFormat="1" x14ac:dyDescent="0.25">
      <c r="B155" s="668"/>
    </row>
    <row r="156" spans="2:2" s="215" customFormat="1" x14ac:dyDescent="0.25">
      <c r="B156" s="668"/>
    </row>
    <row r="157" spans="2:2" s="215" customFormat="1" x14ac:dyDescent="0.25">
      <c r="B157" s="668"/>
    </row>
    <row r="158" spans="2:2" s="215" customFormat="1" x14ac:dyDescent="0.25">
      <c r="B158" s="668"/>
    </row>
    <row r="159" spans="2:2" s="215" customFormat="1" x14ac:dyDescent="0.25">
      <c r="B159" s="668"/>
    </row>
    <row r="160" spans="2:2" s="215" customFormat="1" x14ac:dyDescent="0.25">
      <c r="B160" s="668"/>
    </row>
    <row r="161" spans="2:2" s="215" customFormat="1" x14ac:dyDescent="0.25">
      <c r="B161" s="668"/>
    </row>
    <row r="162" spans="2:2" s="215" customFormat="1" x14ac:dyDescent="0.25">
      <c r="B162" s="668"/>
    </row>
    <row r="163" spans="2:2" s="215" customFormat="1" x14ac:dyDescent="0.25">
      <c r="B163" s="668"/>
    </row>
    <row r="164" spans="2:2" s="215" customFormat="1" x14ac:dyDescent="0.25">
      <c r="B164" s="668"/>
    </row>
    <row r="165" spans="2:2" s="215" customFormat="1" x14ac:dyDescent="0.25">
      <c r="B165" s="668"/>
    </row>
    <row r="166" spans="2:2" s="215" customFormat="1" x14ac:dyDescent="0.25">
      <c r="B166" s="668"/>
    </row>
    <row r="167" spans="2:2" s="215" customFormat="1" x14ac:dyDescent="0.25">
      <c r="B167" s="668"/>
    </row>
    <row r="168" spans="2:2" s="215" customFormat="1" x14ac:dyDescent="0.25">
      <c r="B168" s="668"/>
    </row>
    <row r="169" spans="2:2" s="215" customFormat="1" x14ac:dyDescent="0.25">
      <c r="B169" s="668"/>
    </row>
    <row r="170" spans="2:2" s="215" customFormat="1" x14ac:dyDescent="0.25">
      <c r="B170" s="668"/>
    </row>
    <row r="171" spans="2:2" s="215" customFormat="1" x14ac:dyDescent="0.25">
      <c r="B171" s="668"/>
    </row>
    <row r="172" spans="2:2" s="215" customFormat="1" x14ac:dyDescent="0.25">
      <c r="B172" s="668"/>
    </row>
    <row r="173" spans="2:2" s="215" customFormat="1" x14ac:dyDescent="0.25">
      <c r="B173" s="668"/>
    </row>
    <row r="174" spans="2:2" s="215" customFormat="1" x14ac:dyDescent="0.25">
      <c r="B174" s="668"/>
    </row>
    <row r="175" spans="2:2" s="215" customFormat="1" x14ac:dyDescent="0.25">
      <c r="B175" s="668"/>
    </row>
    <row r="176" spans="2:2" s="215" customFormat="1" x14ac:dyDescent="0.25">
      <c r="B176" s="668"/>
    </row>
    <row r="177" spans="2:2" s="215" customFormat="1" x14ac:dyDescent="0.25">
      <c r="B177" s="668"/>
    </row>
    <row r="178" spans="2:2" s="215" customFormat="1" x14ac:dyDescent="0.25">
      <c r="B178" s="668"/>
    </row>
    <row r="179" spans="2:2" s="215" customFormat="1" x14ac:dyDescent="0.25">
      <c r="B179" s="668"/>
    </row>
    <row r="180" spans="2:2" s="215" customFormat="1" x14ac:dyDescent="0.25">
      <c r="B180" s="668"/>
    </row>
    <row r="181" spans="2:2" s="215" customFormat="1" x14ac:dyDescent="0.25">
      <c r="B181" s="668"/>
    </row>
    <row r="182" spans="2:2" s="215" customFormat="1" x14ac:dyDescent="0.25">
      <c r="B182" s="668"/>
    </row>
    <row r="183" spans="2:2" s="215" customFormat="1" x14ac:dyDescent="0.25">
      <c r="B183" s="668"/>
    </row>
    <row r="184" spans="2:2" s="215" customFormat="1" x14ac:dyDescent="0.25">
      <c r="B184" s="668"/>
    </row>
    <row r="185" spans="2:2" s="215" customFormat="1" x14ac:dyDescent="0.25">
      <c r="B185" s="668"/>
    </row>
    <row r="186" spans="2:2" s="215" customFormat="1" x14ac:dyDescent="0.25">
      <c r="B186" s="668"/>
    </row>
    <row r="187" spans="2:2" s="215" customFormat="1" x14ac:dyDescent="0.25">
      <c r="B187" s="668"/>
    </row>
    <row r="188" spans="2:2" s="215" customFormat="1" x14ac:dyDescent="0.25">
      <c r="B188" s="668"/>
    </row>
    <row r="189" spans="2:2" s="215" customFormat="1" x14ac:dyDescent="0.25">
      <c r="B189" s="668"/>
    </row>
    <row r="190" spans="2:2" s="215" customFormat="1" x14ac:dyDescent="0.25">
      <c r="B190" s="668"/>
    </row>
    <row r="191" spans="2:2" s="215" customFormat="1" x14ac:dyDescent="0.25">
      <c r="B191" s="668"/>
    </row>
    <row r="192" spans="2:2" s="215" customFormat="1" x14ac:dyDescent="0.25">
      <c r="B192" s="668"/>
    </row>
    <row r="193" spans="2:2" s="215" customFormat="1" x14ac:dyDescent="0.25">
      <c r="B193" s="668"/>
    </row>
    <row r="194" spans="2:2" s="215" customFormat="1" x14ac:dyDescent="0.25">
      <c r="B194" s="668"/>
    </row>
    <row r="195" spans="2:2" s="215" customFormat="1" x14ac:dyDescent="0.25">
      <c r="B195" s="668"/>
    </row>
    <row r="196" spans="2:2" s="215" customFormat="1" x14ac:dyDescent="0.25">
      <c r="B196" s="668"/>
    </row>
    <row r="197" spans="2:2" s="215" customFormat="1" x14ac:dyDescent="0.25">
      <c r="B197" s="668"/>
    </row>
    <row r="198" spans="2:2" s="215" customFormat="1" x14ac:dyDescent="0.25">
      <c r="B198" s="668"/>
    </row>
    <row r="199" spans="2:2" s="215" customFormat="1" x14ac:dyDescent="0.25">
      <c r="B199" s="668"/>
    </row>
    <row r="200" spans="2:2" s="215" customFormat="1" x14ac:dyDescent="0.25">
      <c r="B200" s="668"/>
    </row>
    <row r="201" spans="2:2" s="215" customFormat="1" x14ac:dyDescent="0.25">
      <c r="B201" s="668"/>
    </row>
    <row r="202" spans="2:2" s="215" customFormat="1" x14ac:dyDescent="0.25">
      <c r="B202" s="668"/>
    </row>
    <row r="203" spans="2:2" s="215" customFormat="1" x14ac:dyDescent="0.25">
      <c r="B203" s="668"/>
    </row>
    <row r="204" spans="2:2" s="215" customFormat="1" x14ac:dyDescent="0.25">
      <c r="B204" s="668"/>
    </row>
    <row r="205" spans="2:2" s="215" customFormat="1" x14ac:dyDescent="0.25">
      <c r="B205" s="668"/>
    </row>
    <row r="206" spans="2:2" s="215" customFormat="1" x14ac:dyDescent="0.25">
      <c r="B206" s="668"/>
    </row>
    <row r="207" spans="2:2" s="215" customFormat="1" x14ac:dyDescent="0.25">
      <c r="B207" s="668"/>
    </row>
    <row r="208" spans="2:2" s="215" customFormat="1" x14ac:dyDescent="0.25">
      <c r="B208" s="668"/>
    </row>
    <row r="209" spans="2:2" s="215" customFormat="1" x14ac:dyDescent="0.25">
      <c r="B209" s="668"/>
    </row>
    <row r="210" spans="2:2" s="215" customFormat="1" x14ac:dyDescent="0.25">
      <c r="B210" s="668"/>
    </row>
    <row r="211" spans="2:2" s="215" customFormat="1" x14ac:dyDescent="0.25">
      <c r="B211" s="668"/>
    </row>
    <row r="212" spans="2:2" s="215" customFormat="1" x14ac:dyDescent="0.25">
      <c r="B212" s="668"/>
    </row>
    <row r="213" spans="2:2" s="215" customFormat="1" x14ac:dyDescent="0.25">
      <c r="B213" s="668"/>
    </row>
    <row r="214" spans="2:2" s="215" customFormat="1" x14ac:dyDescent="0.25">
      <c r="B214" s="668"/>
    </row>
    <row r="215" spans="2:2" s="215" customFormat="1" x14ac:dyDescent="0.25">
      <c r="B215" s="668"/>
    </row>
    <row r="216" spans="2:2" s="215" customFormat="1" x14ac:dyDescent="0.25">
      <c r="B216" s="668"/>
    </row>
    <row r="217" spans="2:2" s="215" customFormat="1" x14ac:dyDescent="0.25">
      <c r="B217" s="668"/>
    </row>
    <row r="218" spans="2:2" s="215" customFormat="1" x14ac:dyDescent="0.25">
      <c r="B218" s="668"/>
    </row>
    <row r="219" spans="2:2" s="215" customFormat="1" x14ac:dyDescent="0.25">
      <c r="B219" s="668"/>
    </row>
    <row r="220" spans="2:2" s="215" customFormat="1" x14ac:dyDescent="0.25">
      <c r="B220" s="668"/>
    </row>
    <row r="221" spans="2:2" s="215" customFormat="1" x14ac:dyDescent="0.25">
      <c r="B221" s="668"/>
    </row>
    <row r="222" spans="2:2" s="215" customFormat="1" x14ac:dyDescent="0.25">
      <c r="B222" s="668"/>
    </row>
    <row r="223" spans="2:2" s="215" customFormat="1" x14ac:dyDescent="0.25">
      <c r="B223" s="668"/>
    </row>
    <row r="224" spans="2:2" s="215" customFormat="1" x14ac:dyDescent="0.25">
      <c r="B224" s="668"/>
    </row>
    <row r="225" spans="2:2" s="215" customFormat="1" x14ac:dyDescent="0.25">
      <c r="B225" s="668"/>
    </row>
    <row r="226" spans="2:2" s="215" customFormat="1" x14ac:dyDescent="0.25">
      <c r="B226" s="668"/>
    </row>
    <row r="227" spans="2:2" s="215" customFormat="1" x14ac:dyDescent="0.25">
      <c r="B227" s="668"/>
    </row>
    <row r="228" spans="2:2" s="215" customFormat="1" x14ac:dyDescent="0.25">
      <c r="B228" s="668"/>
    </row>
    <row r="229" spans="2:2" s="215" customFormat="1" x14ac:dyDescent="0.25">
      <c r="B229" s="668"/>
    </row>
    <row r="230" spans="2:2" s="215" customFormat="1" x14ac:dyDescent="0.25">
      <c r="B230" s="668"/>
    </row>
    <row r="231" spans="2:2" s="215" customFormat="1" x14ac:dyDescent="0.25">
      <c r="B231" s="668"/>
    </row>
    <row r="232" spans="2:2" s="215" customFormat="1" x14ac:dyDescent="0.25">
      <c r="B232" s="668"/>
    </row>
    <row r="233" spans="2:2" s="215" customFormat="1" x14ac:dyDescent="0.25">
      <c r="B233" s="668"/>
    </row>
    <row r="234" spans="2:2" s="215" customFormat="1" x14ac:dyDescent="0.25">
      <c r="B234" s="668"/>
    </row>
    <row r="235" spans="2:2" s="215" customFormat="1" x14ac:dyDescent="0.25">
      <c r="B235" s="668"/>
    </row>
    <row r="236" spans="2:2" s="215" customFormat="1" x14ac:dyDescent="0.25">
      <c r="B236" s="668"/>
    </row>
    <row r="237" spans="2:2" s="215" customFormat="1" x14ac:dyDescent="0.25">
      <c r="B237" s="668"/>
    </row>
    <row r="238" spans="2:2" s="215" customFormat="1" x14ac:dyDescent="0.25">
      <c r="B238" s="668"/>
    </row>
    <row r="239" spans="2:2" s="215" customFormat="1" x14ac:dyDescent="0.25">
      <c r="B239" s="668"/>
    </row>
    <row r="240" spans="2:2" s="215" customFormat="1" x14ac:dyDescent="0.25">
      <c r="B240" s="668"/>
    </row>
    <row r="241" spans="2:2" s="215" customFormat="1" x14ac:dyDescent="0.25">
      <c r="B241" s="668"/>
    </row>
    <row r="242" spans="2:2" s="215" customFormat="1" x14ac:dyDescent="0.25">
      <c r="B242" s="668"/>
    </row>
    <row r="243" spans="2:2" s="215" customFormat="1" x14ac:dyDescent="0.25">
      <c r="B243" s="668"/>
    </row>
    <row r="244" spans="2:2" s="215" customFormat="1" x14ac:dyDescent="0.25">
      <c r="B244" s="668"/>
    </row>
    <row r="245" spans="2:2" s="215" customFormat="1" x14ac:dyDescent="0.25">
      <c r="B245" s="668"/>
    </row>
    <row r="246" spans="2:2" s="215" customFormat="1" x14ac:dyDescent="0.25">
      <c r="B246" s="668"/>
    </row>
    <row r="247" spans="2:2" s="215" customFormat="1" x14ac:dyDescent="0.25">
      <c r="B247" s="668"/>
    </row>
    <row r="248" spans="2:2" s="215" customFormat="1" x14ac:dyDescent="0.25">
      <c r="B248" s="668"/>
    </row>
    <row r="249" spans="2:2" s="215" customFormat="1" x14ac:dyDescent="0.25">
      <c r="B249" s="668"/>
    </row>
    <row r="250" spans="2:2" s="215" customFormat="1" x14ac:dyDescent="0.25">
      <c r="B250" s="668"/>
    </row>
    <row r="251" spans="2:2" s="215" customFormat="1" x14ac:dyDescent="0.25">
      <c r="B251" s="668"/>
    </row>
    <row r="252" spans="2:2" s="215" customFormat="1" x14ac:dyDescent="0.25">
      <c r="B252" s="668"/>
    </row>
    <row r="253" spans="2:2" s="215" customFormat="1" x14ac:dyDescent="0.25">
      <c r="B253" s="668"/>
    </row>
    <row r="254" spans="2:2" s="215" customFormat="1" x14ac:dyDescent="0.25">
      <c r="B254" s="668"/>
    </row>
    <row r="255" spans="2:2" s="215" customFormat="1" x14ac:dyDescent="0.25">
      <c r="B255" s="668"/>
    </row>
    <row r="256" spans="2:2" s="215" customFormat="1" x14ac:dyDescent="0.25">
      <c r="B256" s="668"/>
    </row>
    <row r="257" spans="2:2" s="215" customFormat="1" x14ac:dyDescent="0.25">
      <c r="B257" s="668"/>
    </row>
    <row r="258" spans="2:2" s="215" customFormat="1" x14ac:dyDescent="0.25">
      <c r="B258" s="668"/>
    </row>
    <row r="259" spans="2:2" s="215" customFormat="1" x14ac:dyDescent="0.25">
      <c r="B259" s="668"/>
    </row>
    <row r="260" spans="2:2" s="215" customFormat="1" x14ac:dyDescent="0.25">
      <c r="B260" s="668"/>
    </row>
    <row r="261" spans="2:2" s="215" customFormat="1" x14ac:dyDescent="0.25">
      <c r="B261" s="668"/>
    </row>
    <row r="262" spans="2:2" s="215" customFormat="1" x14ac:dyDescent="0.25">
      <c r="B262" s="668"/>
    </row>
    <row r="263" spans="2:2" s="215" customFormat="1" x14ac:dyDescent="0.25">
      <c r="B263" s="668"/>
    </row>
    <row r="264" spans="2:2" s="215" customFormat="1" x14ac:dyDescent="0.25">
      <c r="B264" s="668"/>
    </row>
    <row r="265" spans="2:2" s="215" customFormat="1" x14ac:dyDescent="0.25">
      <c r="B265" s="668"/>
    </row>
    <row r="266" spans="2:2" s="215" customFormat="1" x14ac:dyDescent="0.25">
      <c r="B266" s="668"/>
    </row>
    <row r="267" spans="2:2" s="215" customFormat="1" x14ac:dyDescent="0.25">
      <c r="B267" s="668"/>
    </row>
    <row r="268" spans="2:2" s="215" customFormat="1" x14ac:dyDescent="0.25">
      <c r="B268" s="668"/>
    </row>
    <row r="269" spans="2:2" s="215" customFormat="1" x14ac:dyDescent="0.25">
      <c r="B269" s="668"/>
    </row>
    <row r="270" spans="2:2" s="215" customFormat="1" x14ac:dyDescent="0.25">
      <c r="B270" s="668"/>
    </row>
    <row r="271" spans="2:2" s="215" customFormat="1" x14ac:dyDescent="0.25">
      <c r="B271" s="668"/>
    </row>
    <row r="272" spans="2:2" s="215" customFormat="1" x14ac:dyDescent="0.25">
      <c r="B272" s="668"/>
    </row>
    <row r="273" spans="2:2" s="215" customFormat="1" x14ac:dyDescent="0.25">
      <c r="B273" s="668"/>
    </row>
    <row r="274" spans="2:2" s="215" customFormat="1" x14ac:dyDescent="0.25">
      <c r="B274" s="668"/>
    </row>
    <row r="275" spans="2:2" s="215" customFormat="1" x14ac:dyDescent="0.25">
      <c r="B275" s="668"/>
    </row>
    <row r="276" spans="2:2" s="215" customFormat="1" x14ac:dyDescent="0.25">
      <c r="B276" s="668"/>
    </row>
    <row r="277" spans="2:2" s="215" customFormat="1" x14ac:dyDescent="0.25">
      <c r="B277" s="668"/>
    </row>
    <row r="278" spans="2:2" s="215" customFormat="1" x14ac:dyDescent="0.25">
      <c r="B278" s="668"/>
    </row>
    <row r="279" spans="2:2" s="215" customFormat="1" x14ac:dyDescent="0.25">
      <c r="B279" s="668"/>
    </row>
    <row r="280" spans="2:2" s="215" customFormat="1" x14ac:dyDescent="0.25">
      <c r="B280" s="668"/>
    </row>
    <row r="281" spans="2:2" s="215" customFormat="1" x14ac:dyDescent="0.25">
      <c r="B281" s="668"/>
    </row>
    <row r="282" spans="2:2" s="215" customFormat="1" x14ac:dyDescent="0.25">
      <c r="B282" s="668"/>
    </row>
    <row r="283" spans="2:2" s="215" customFormat="1" x14ac:dyDescent="0.25">
      <c r="B283" s="668"/>
    </row>
    <row r="284" spans="2:2" s="215" customFormat="1" x14ac:dyDescent="0.25">
      <c r="B284" s="668"/>
    </row>
    <row r="285" spans="2:2" s="215" customFormat="1" x14ac:dyDescent="0.25">
      <c r="B285" s="668"/>
    </row>
    <row r="286" spans="2:2" s="215" customFormat="1" x14ac:dyDescent="0.25">
      <c r="B286" s="668"/>
    </row>
    <row r="287" spans="2:2" s="215" customFormat="1" x14ac:dyDescent="0.25">
      <c r="B287" s="668"/>
    </row>
    <row r="288" spans="2:2" s="215" customFormat="1" x14ac:dyDescent="0.25">
      <c r="B288" s="668"/>
    </row>
    <row r="289" spans="2:2" s="215" customFormat="1" x14ac:dyDescent="0.25">
      <c r="B289" s="668"/>
    </row>
    <row r="290" spans="2:2" s="215" customFormat="1" x14ac:dyDescent="0.25">
      <c r="B290" s="668"/>
    </row>
    <row r="291" spans="2:2" s="215" customFormat="1" x14ac:dyDescent="0.25">
      <c r="B291" s="668"/>
    </row>
    <row r="292" spans="2:2" s="215" customFormat="1" x14ac:dyDescent="0.25">
      <c r="B292" s="668"/>
    </row>
    <row r="293" spans="2:2" s="215" customFormat="1" x14ac:dyDescent="0.25">
      <c r="B293" s="668"/>
    </row>
    <row r="294" spans="2:2" s="215" customFormat="1" x14ac:dyDescent="0.25">
      <c r="B294" s="668"/>
    </row>
    <row r="295" spans="2:2" s="215" customFormat="1" x14ac:dyDescent="0.25">
      <c r="B295" s="668"/>
    </row>
    <row r="296" spans="2:2" s="215" customFormat="1" x14ac:dyDescent="0.25">
      <c r="B296" s="668"/>
    </row>
    <row r="297" spans="2:2" s="215" customFormat="1" x14ac:dyDescent="0.25">
      <c r="B297" s="668"/>
    </row>
    <row r="298" spans="2:2" s="215" customFormat="1" x14ac:dyDescent="0.25">
      <c r="B298" s="668"/>
    </row>
    <row r="299" spans="2:2" s="215" customFormat="1" x14ac:dyDescent="0.25">
      <c r="B299" s="668"/>
    </row>
    <row r="300" spans="2:2" s="215" customFormat="1" x14ac:dyDescent="0.25">
      <c r="B300" s="668"/>
    </row>
    <row r="301" spans="2:2" s="215" customFormat="1" x14ac:dyDescent="0.25">
      <c r="B301" s="668"/>
    </row>
    <row r="302" spans="2:2" s="215" customFormat="1" x14ac:dyDescent="0.25">
      <c r="B302" s="668"/>
    </row>
    <row r="303" spans="2:2" s="215" customFormat="1" x14ac:dyDescent="0.25">
      <c r="B303" s="668"/>
    </row>
    <row r="304" spans="2:2" s="215" customFormat="1" x14ac:dyDescent="0.25">
      <c r="B304" s="668"/>
    </row>
    <row r="305" spans="2:2" s="215" customFormat="1" x14ac:dyDescent="0.25">
      <c r="B305" s="668"/>
    </row>
    <row r="306" spans="2:2" s="215" customFormat="1" x14ac:dyDescent="0.25">
      <c r="B306" s="668"/>
    </row>
    <row r="307" spans="2:2" s="215" customFormat="1" x14ac:dyDescent="0.25">
      <c r="B307" s="668"/>
    </row>
    <row r="308" spans="2:2" s="215" customFormat="1" x14ac:dyDescent="0.25">
      <c r="B308" s="668"/>
    </row>
    <row r="309" spans="2:2" s="215" customFormat="1" x14ac:dyDescent="0.25">
      <c r="B309" s="668"/>
    </row>
    <row r="310" spans="2:2" s="215" customFormat="1" x14ac:dyDescent="0.25">
      <c r="B310" s="668"/>
    </row>
    <row r="311" spans="2:2" s="215" customFormat="1" x14ac:dyDescent="0.25">
      <c r="B311" s="668"/>
    </row>
    <row r="312" spans="2:2" s="215" customFormat="1" x14ac:dyDescent="0.25">
      <c r="B312" s="668"/>
    </row>
    <row r="313" spans="2:2" s="215" customFormat="1" x14ac:dyDescent="0.25">
      <c r="B313" s="668"/>
    </row>
    <row r="314" spans="2:2" s="215" customFormat="1" x14ac:dyDescent="0.25">
      <c r="B314" s="668"/>
    </row>
    <row r="315" spans="2:2" s="215" customFormat="1" x14ac:dyDescent="0.25">
      <c r="B315" s="668"/>
    </row>
    <row r="316" spans="2:2" s="215" customFormat="1" x14ac:dyDescent="0.25">
      <c r="B316" s="668"/>
    </row>
    <row r="317" spans="2:2" s="215" customFormat="1" x14ac:dyDescent="0.25">
      <c r="B317" s="668"/>
    </row>
    <row r="318" spans="2:2" s="215" customFormat="1" x14ac:dyDescent="0.25">
      <c r="B318" s="668"/>
    </row>
    <row r="319" spans="2:2" s="215" customFormat="1" x14ac:dyDescent="0.25">
      <c r="B319" s="668"/>
    </row>
    <row r="320" spans="2:2" s="215" customFormat="1" x14ac:dyDescent="0.25">
      <c r="B320" s="668"/>
    </row>
    <row r="321" spans="2:2" s="215" customFormat="1" x14ac:dyDescent="0.25">
      <c r="B321" s="668"/>
    </row>
    <row r="322" spans="2:2" s="215" customFormat="1" x14ac:dyDescent="0.25">
      <c r="B322" s="668"/>
    </row>
    <row r="323" spans="2:2" s="215" customFormat="1" x14ac:dyDescent="0.25">
      <c r="B323" s="668"/>
    </row>
    <row r="324" spans="2:2" s="215" customFormat="1" x14ac:dyDescent="0.25">
      <c r="B324" s="668"/>
    </row>
    <row r="325" spans="2:2" s="215" customFormat="1" x14ac:dyDescent="0.25">
      <c r="B325" s="668"/>
    </row>
    <row r="326" spans="2:2" s="215" customFormat="1" x14ac:dyDescent="0.25">
      <c r="B326" s="668"/>
    </row>
    <row r="327" spans="2:2" s="215" customFormat="1" x14ac:dyDescent="0.25">
      <c r="B327" s="668"/>
    </row>
    <row r="328" spans="2:2" s="215" customFormat="1" x14ac:dyDescent="0.25">
      <c r="B328" s="668"/>
    </row>
    <row r="329" spans="2:2" s="215" customFormat="1" x14ac:dyDescent="0.25">
      <c r="B329" s="668"/>
    </row>
    <row r="330" spans="2:2" s="215" customFormat="1" x14ac:dyDescent="0.25">
      <c r="B330" s="668"/>
    </row>
    <row r="331" spans="2:2" s="215" customFormat="1" x14ac:dyDescent="0.25">
      <c r="B331" s="668"/>
    </row>
    <row r="332" spans="2:2" s="215" customFormat="1" x14ac:dyDescent="0.25">
      <c r="B332" s="668"/>
    </row>
    <row r="333" spans="2:2" s="215" customFormat="1" x14ac:dyDescent="0.25">
      <c r="B333" s="668"/>
    </row>
    <row r="334" spans="2:2" s="215" customFormat="1" x14ac:dyDescent="0.25">
      <c r="B334" s="668"/>
    </row>
    <row r="335" spans="2:2" s="215" customFormat="1" x14ac:dyDescent="0.25">
      <c r="B335" s="668"/>
    </row>
    <row r="336" spans="2:2" s="215" customFormat="1" x14ac:dyDescent="0.25">
      <c r="B336" s="668"/>
    </row>
    <row r="337" spans="2:2" s="215" customFormat="1" x14ac:dyDescent="0.25">
      <c r="B337" s="668"/>
    </row>
    <row r="338" spans="2:2" s="215" customFormat="1" x14ac:dyDescent="0.25">
      <c r="B338" s="668"/>
    </row>
    <row r="339" spans="2:2" s="215" customFormat="1" x14ac:dyDescent="0.25">
      <c r="B339" s="668"/>
    </row>
    <row r="340" spans="2:2" s="215" customFormat="1" x14ac:dyDescent="0.25">
      <c r="B340" s="668"/>
    </row>
    <row r="341" spans="2:2" s="215" customFormat="1" x14ac:dyDescent="0.25">
      <c r="B341" s="668"/>
    </row>
    <row r="342" spans="2:2" s="215" customFormat="1" x14ac:dyDescent="0.25">
      <c r="B342" s="668"/>
    </row>
    <row r="343" spans="2:2" s="215" customFormat="1" x14ac:dyDescent="0.25">
      <c r="B343" s="668"/>
    </row>
    <row r="344" spans="2:2" s="215" customFormat="1" x14ac:dyDescent="0.25">
      <c r="B344" s="668"/>
    </row>
    <row r="345" spans="2:2" s="215" customFormat="1" x14ac:dyDescent="0.25">
      <c r="B345" s="668"/>
    </row>
    <row r="346" spans="2:2" s="215" customFormat="1" x14ac:dyDescent="0.25">
      <c r="B346" s="668"/>
    </row>
    <row r="347" spans="2:2" s="215" customFormat="1" x14ac:dyDescent="0.25">
      <c r="B347" s="668"/>
    </row>
    <row r="348" spans="2:2" s="215" customFormat="1" x14ac:dyDescent="0.25">
      <c r="B348" s="668"/>
    </row>
    <row r="349" spans="2:2" s="215" customFormat="1" x14ac:dyDescent="0.25">
      <c r="B349" s="668"/>
    </row>
    <row r="350" spans="2:2" s="215" customFormat="1" x14ac:dyDescent="0.25">
      <c r="B350" s="668"/>
    </row>
    <row r="351" spans="2:2" s="215" customFormat="1" x14ac:dyDescent="0.25">
      <c r="B351" s="668"/>
    </row>
    <row r="352" spans="2:2" s="215" customFormat="1" x14ac:dyDescent="0.25">
      <c r="B352" s="668"/>
    </row>
    <row r="353" spans="2:2" s="215" customFormat="1" x14ac:dyDescent="0.25">
      <c r="B353" s="668"/>
    </row>
    <row r="354" spans="2:2" s="215" customFormat="1" x14ac:dyDescent="0.25">
      <c r="B354" s="668"/>
    </row>
    <row r="355" spans="2:2" s="215" customFormat="1" x14ac:dyDescent="0.25">
      <c r="B355" s="668"/>
    </row>
    <row r="356" spans="2:2" s="215" customFormat="1" x14ac:dyDescent="0.25">
      <c r="B356" s="668"/>
    </row>
    <row r="357" spans="2:2" s="215" customFormat="1" x14ac:dyDescent="0.25">
      <c r="B357" s="668"/>
    </row>
    <row r="358" spans="2:2" s="215" customFormat="1" x14ac:dyDescent="0.25">
      <c r="B358" s="668"/>
    </row>
    <row r="359" spans="2:2" s="215" customFormat="1" x14ac:dyDescent="0.25">
      <c r="B359" s="668"/>
    </row>
    <row r="360" spans="2:2" s="215" customFormat="1" x14ac:dyDescent="0.25">
      <c r="B360" s="668"/>
    </row>
    <row r="361" spans="2:2" s="215" customFormat="1" x14ac:dyDescent="0.25">
      <c r="B361" s="668"/>
    </row>
    <row r="362" spans="2:2" s="215" customFormat="1" x14ac:dyDescent="0.25">
      <c r="B362" s="668"/>
    </row>
    <row r="363" spans="2:2" s="215" customFormat="1" x14ac:dyDescent="0.25">
      <c r="B363" s="668"/>
    </row>
    <row r="364" spans="2:2" s="215" customFormat="1" x14ac:dyDescent="0.25">
      <c r="B364" s="668"/>
    </row>
    <row r="365" spans="2:2" s="215" customFormat="1" x14ac:dyDescent="0.25">
      <c r="B365" s="668"/>
    </row>
    <row r="366" spans="2:2" s="215" customFormat="1" x14ac:dyDescent="0.25">
      <c r="B366" s="668"/>
    </row>
    <row r="367" spans="2:2" s="215" customFormat="1" x14ac:dyDescent="0.25">
      <c r="B367" s="668"/>
    </row>
    <row r="368" spans="2:2" s="215" customFormat="1" x14ac:dyDescent="0.25">
      <c r="B368" s="668"/>
    </row>
    <row r="369" spans="2:2" s="215" customFormat="1" x14ac:dyDescent="0.25">
      <c r="B369" s="668"/>
    </row>
    <row r="370" spans="2:2" s="215" customFormat="1" x14ac:dyDescent="0.25">
      <c r="B370" s="668"/>
    </row>
    <row r="371" spans="2:2" s="215" customFormat="1" x14ac:dyDescent="0.25">
      <c r="B371" s="668"/>
    </row>
    <row r="372" spans="2:2" s="215" customFormat="1" x14ac:dyDescent="0.25">
      <c r="B372" s="668"/>
    </row>
    <row r="373" spans="2:2" s="215" customFormat="1" x14ac:dyDescent="0.25">
      <c r="B373" s="668"/>
    </row>
    <row r="374" spans="2:2" s="215" customFormat="1" x14ac:dyDescent="0.25">
      <c r="B374" s="668"/>
    </row>
    <row r="375" spans="2:2" s="215" customFormat="1" x14ac:dyDescent="0.25">
      <c r="B375" s="668"/>
    </row>
    <row r="376" spans="2:2" s="215" customFormat="1" x14ac:dyDescent="0.25">
      <c r="B376" s="668"/>
    </row>
    <row r="377" spans="2:2" s="215" customFormat="1" x14ac:dyDescent="0.25">
      <c r="B377" s="668"/>
    </row>
    <row r="378" spans="2:2" s="215" customFormat="1" x14ac:dyDescent="0.25">
      <c r="B378" s="668"/>
    </row>
    <row r="379" spans="2:2" s="215" customFormat="1" x14ac:dyDescent="0.25">
      <c r="B379" s="668"/>
    </row>
    <row r="380" spans="2:2" s="215" customFormat="1" x14ac:dyDescent="0.25">
      <c r="B380" s="668"/>
    </row>
    <row r="381" spans="2:2" s="215" customFormat="1" x14ac:dyDescent="0.25">
      <c r="B381" s="668"/>
    </row>
    <row r="382" spans="2:2" s="215" customFormat="1" x14ac:dyDescent="0.25">
      <c r="B382" s="668"/>
    </row>
    <row r="383" spans="2:2" s="215" customFormat="1" x14ac:dyDescent="0.25">
      <c r="B383" s="668"/>
    </row>
    <row r="384" spans="2:2" s="215" customFormat="1" x14ac:dyDescent="0.25">
      <c r="B384" s="668"/>
    </row>
    <row r="385" spans="2:2" s="215" customFormat="1" x14ac:dyDescent="0.25">
      <c r="B385" s="668"/>
    </row>
    <row r="386" spans="2:2" s="215" customFormat="1" x14ac:dyDescent="0.25">
      <c r="B386" s="668"/>
    </row>
    <row r="387" spans="2:2" s="215" customFormat="1" x14ac:dyDescent="0.25">
      <c r="B387" s="668"/>
    </row>
    <row r="388" spans="2:2" s="215" customFormat="1" x14ac:dyDescent="0.25">
      <c r="B388" s="668"/>
    </row>
    <row r="389" spans="2:2" s="215" customFormat="1" x14ac:dyDescent="0.25">
      <c r="B389" s="668"/>
    </row>
    <row r="390" spans="2:2" s="215" customFormat="1" x14ac:dyDescent="0.25">
      <c r="B390" s="668"/>
    </row>
    <row r="391" spans="2:2" s="215" customFormat="1" x14ac:dyDescent="0.25">
      <c r="B391" s="668"/>
    </row>
    <row r="392" spans="2:2" s="215" customFormat="1" x14ac:dyDescent="0.25">
      <c r="B392" s="668"/>
    </row>
    <row r="393" spans="2:2" s="215" customFormat="1" x14ac:dyDescent="0.25">
      <c r="B393" s="668"/>
    </row>
    <row r="394" spans="2:2" s="215" customFormat="1" x14ac:dyDescent="0.25">
      <c r="B394" s="668"/>
    </row>
    <row r="395" spans="2:2" s="215" customFormat="1" x14ac:dyDescent="0.25">
      <c r="B395" s="668"/>
    </row>
    <row r="396" spans="2:2" s="215" customFormat="1" x14ac:dyDescent="0.25">
      <c r="B396" s="668"/>
    </row>
    <row r="397" spans="2:2" s="215" customFormat="1" x14ac:dyDescent="0.25">
      <c r="B397" s="668"/>
    </row>
    <row r="398" spans="2:2" s="215" customFormat="1" x14ac:dyDescent="0.25">
      <c r="B398" s="668"/>
    </row>
    <row r="399" spans="2:2" s="215" customFormat="1" x14ac:dyDescent="0.25">
      <c r="B399" s="668"/>
    </row>
    <row r="400" spans="2:2" s="215" customFormat="1" x14ac:dyDescent="0.25">
      <c r="B400" s="668"/>
    </row>
    <row r="401" spans="2:6" s="215" customFormat="1" x14ac:dyDescent="0.25">
      <c r="B401" s="668"/>
    </row>
    <row r="402" spans="2:6" s="215" customFormat="1" x14ac:dyDescent="0.25">
      <c r="B402" s="668"/>
    </row>
    <row r="403" spans="2:6" s="215" customFormat="1" x14ac:dyDescent="0.25">
      <c r="B403" s="668"/>
    </row>
    <row r="404" spans="2:6" s="215" customFormat="1" x14ac:dyDescent="0.25">
      <c r="B404" s="668"/>
    </row>
    <row r="405" spans="2:6" s="215" customFormat="1" x14ac:dyDescent="0.25">
      <c r="B405" s="668"/>
    </row>
    <row r="406" spans="2:6" s="215" customFormat="1" x14ac:dyDescent="0.25">
      <c r="B406" s="668"/>
    </row>
    <row r="407" spans="2:6" s="215" customFormat="1" x14ac:dyDescent="0.25">
      <c r="B407" s="668"/>
    </row>
    <row r="408" spans="2:6" s="215" customFormat="1" x14ac:dyDescent="0.25">
      <c r="B408" s="668"/>
    </row>
    <row r="409" spans="2:6" s="215" customFormat="1" x14ac:dyDescent="0.25">
      <c r="B409" s="668"/>
    </row>
    <row r="410" spans="2:6" s="215" customFormat="1" x14ac:dyDescent="0.25">
      <c r="B410" s="668"/>
    </row>
    <row r="411" spans="2:6" s="215" customFormat="1" x14ac:dyDescent="0.25">
      <c r="B411" s="667"/>
    </row>
    <row r="412" spans="2:6" s="215" customFormat="1" x14ac:dyDescent="0.25">
      <c r="B412" s="667"/>
    </row>
    <row r="413" spans="2:6" s="215" customFormat="1" x14ac:dyDescent="0.25">
      <c r="B413" s="669"/>
      <c r="C413" s="464"/>
      <c r="D413" s="464"/>
      <c r="E413" s="464"/>
      <c r="F413" s="464"/>
    </row>
    <row r="414" spans="2:6" s="215" customFormat="1" x14ac:dyDescent="0.25">
      <c r="B414" s="669"/>
      <c r="C414" s="464"/>
      <c r="D414" s="464"/>
      <c r="E414" s="464"/>
      <c r="F414" s="464"/>
    </row>
    <row r="415" spans="2:6" s="215" customFormat="1" x14ac:dyDescent="0.25">
      <c r="B415" s="669"/>
      <c r="C415" s="464"/>
      <c r="D415" s="464"/>
      <c r="E415" s="464"/>
      <c r="F415" s="464"/>
    </row>
    <row r="416" spans="2:6" s="215" customFormat="1" x14ac:dyDescent="0.25">
      <c r="B416" s="669"/>
      <c r="C416" s="464"/>
      <c r="D416" s="464"/>
      <c r="E416" s="464"/>
      <c r="F416" s="464"/>
    </row>
    <row r="417" spans="2:6" s="215" customFormat="1" x14ac:dyDescent="0.25">
      <c r="B417" s="669"/>
      <c r="C417" s="464"/>
      <c r="D417" s="464"/>
      <c r="E417" s="464"/>
      <c r="F417" s="464"/>
    </row>
    <row r="418" spans="2:6" s="215" customFormat="1" x14ac:dyDescent="0.25">
      <c r="B418" s="669"/>
      <c r="C418" s="464"/>
      <c r="D418" s="464"/>
      <c r="E418" s="464"/>
      <c r="F418" s="464"/>
    </row>
    <row r="419" spans="2:6" x14ac:dyDescent="0.25">
      <c r="C419" s="452"/>
    </row>
  </sheetData>
  <mergeCells count="2">
    <mergeCell ref="B1:F1"/>
    <mergeCell ref="D61:F61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HT163"/>
  <sheetViews>
    <sheetView topLeftCell="A74" workbookViewId="0">
      <selection activeCell="A85" sqref="A85:XFD159"/>
    </sheetView>
  </sheetViews>
  <sheetFormatPr defaultColWidth="15.42578125" defaultRowHeight="15.75" x14ac:dyDescent="0.25"/>
  <cols>
    <col min="1" max="1" width="8.42578125" style="203" customWidth="1"/>
    <col min="2" max="2" width="62.42578125" style="203" customWidth="1"/>
    <col min="3" max="3" width="14.85546875" style="203" customWidth="1"/>
    <col min="4" max="4" width="21.5703125" style="204" customWidth="1"/>
    <col min="5" max="5" width="21.7109375" style="204" customWidth="1"/>
    <col min="6" max="6" width="19.28515625" style="204" customWidth="1"/>
    <col min="7" max="7" width="5" style="204" customWidth="1"/>
    <col min="8" max="8" width="19.5703125" style="204" customWidth="1"/>
    <col min="9" max="9" width="19.42578125" style="204" customWidth="1"/>
    <col min="10" max="10" width="15.85546875" style="204" bestFit="1" customWidth="1"/>
    <col min="11" max="11" width="7.42578125" style="204" customWidth="1"/>
    <col min="12" max="13" width="17.28515625" style="204" bestFit="1" customWidth="1"/>
    <col min="14" max="14" width="16.5703125" style="204" bestFit="1" customWidth="1"/>
    <col min="15" max="15" width="15.85546875" style="204" bestFit="1" customWidth="1"/>
    <col min="16" max="17" width="19.140625" style="204" bestFit="1" customWidth="1"/>
    <col min="18" max="18" width="16.85546875" style="204" bestFit="1" customWidth="1"/>
    <col min="19" max="19" width="17.140625" style="204" bestFit="1" customWidth="1"/>
    <col min="20" max="20" width="19.85546875" style="204" customWidth="1"/>
    <col min="21" max="21" width="18.5703125" style="204" customWidth="1"/>
    <col min="22" max="22" width="17.7109375" style="204" customWidth="1"/>
    <col min="23" max="23" width="18.7109375" style="204" bestFit="1" customWidth="1"/>
    <col min="24" max="24" width="17.5703125" style="204" customWidth="1"/>
    <col min="25" max="25" width="18" style="204" customWidth="1"/>
    <col min="26" max="26" width="18.42578125" style="204" customWidth="1"/>
    <col min="27" max="27" width="3.85546875" style="204" customWidth="1"/>
    <col min="28" max="29" width="17.28515625" style="204" bestFit="1" customWidth="1"/>
    <col min="30" max="30" width="15.85546875" style="204" bestFit="1" customWidth="1"/>
    <col min="31" max="31" width="5.85546875" style="204" customWidth="1"/>
    <col min="32" max="32" width="19" style="204" bestFit="1" customWidth="1"/>
    <col min="33" max="33" width="17.5703125" style="204" customWidth="1"/>
    <col min="34" max="34" width="17.28515625" style="204" customWidth="1"/>
    <col min="35" max="35" width="5.140625" style="204" customWidth="1"/>
    <col min="36" max="36" width="17.7109375" style="204" customWidth="1"/>
    <col min="37" max="37" width="17.85546875" style="204" customWidth="1"/>
    <col min="38" max="38" width="16.42578125" style="204" bestFit="1" customWidth="1"/>
    <col min="39" max="39" width="7.7109375" style="204" customWidth="1"/>
    <col min="40" max="41" width="20.140625" style="204" customWidth="1"/>
    <col min="42" max="42" width="16" style="204" bestFit="1" customWidth="1"/>
    <col min="43" max="43" width="6.42578125" style="204" customWidth="1"/>
    <col min="44" max="44" width="20" style="204" customWidth="1"/>
    <col min="45" max="45" width="19.28515625" style="204" customWidth="1"/>
    <col min="46" max="46" width="17.140625" style="204" bestFit="1" customWidth="1"/>
    <col min="47" max="47" width="4.7109375" style="204" customWidth="1"/>
    <col min="48" max="48" width="20" style="204" customWidth="1"/>
    <col min="49" max="49" width="19.28515625" style="204" customWidth="1"/>
    <col min="50" max="50" width="19.5703125" style="204" customWidth="1"/>
    <col min="51" max="51" width="3.85546875" style="204" customWidth="1"/>
    <col min="52" max="52" width="19" style="204" customWidth="1"/>
    <col min="53" max="53" width="19.28515625" style="204" customWidth="1"/>
    <col min="54" max="54" width="18.140625" style="204" customWidth="1"/>
    <col min="55" max="55" width="3" style="204" customWidth="1"/>
    <col min="56" max="56" width="18.28515625" style="204" customWidth="1"/>
    <col min="57" max="57" width="21.28515625" style="204" customWidth="1"/>
    <col min="58" max="58" width="19.140625" style="204" customWidth="1"/>
    <col min="59" max="59" width="7.42578125" style="204" customWidth="1"/>
    <col min="60" max="60" width="22.5703125" style="204" customWidth="1"/>
    <col min="61" max="61" width="19.140625" style="204" customWidth="1"/>
    <col min="62" max="62" width="19.42578125" style="204" customWidth="1"/>
    <col min="63" max="63" width="3.7109375" style="204" customWidth="1"/>
    <col min="64" max="64" width="20.7109375" style="204" customWidth="1"/>
    <col min="65" max="65" width="21.140625" style="204" customWidth="1"/>
    <col min="66" max="66" width="20.140625" style="204" customWidth="1"/>
    <col min="67" max="67" width="3.42578125" style="204" customWidth="1"/>
    <col min="68" max="68" width="19" style="204" customWidth="1"/>
    <col min="69" max="69" width="19.85546875" style="204" customWidth="1"/>
    <col min="70" max="70" width="21.42578125" style="204" customWidth="1"/>
    <col min="71" max="71" width="4.42578125" style="204" customWidth="1"/>
    <col min="72" max="72" width="19.42578125" style="204" customWidth="1"/>
    <col min="73" max="73" width="19.5703125" style="204" customWidth="1"/>
    <col min="74" max="74" width="21" style="204" customWidth="1"/>
    <col min="75" max="75" width="4.7109375" style="204" customWidth="1"/>
    <col min="76" max="76" width="22" style="204" customWidth="1"/>
    <col min="77" max="77" width="21.28515625" style="204" customWidth="1"/>
    <col min="78" max="78" width="18.140625" style="204" customWidth="1"/>
    <col min="79" max="79" width="4.7109375" style="204" customWidth="1"/>
    <col min="80" max="80" width="19.7109375" style="204" customWidth="1"/>
    <col min="81" max="81" width="19.5703125" style="204" customWidth="1"/>
    <col min="82" max="82" width="22.28515625" style="204" customWidth="1"/>
    <col min="83" max="83" width="4.28515625" style="204" customWidth="1"/>
    <col min="84" max="84" width="19.42578125" style="204" customWidth="1"/>
    <col min="85" max="85" width="19.28515625" style="204" customWidth="1"/>
    <col min="86" max="86" width="20.140625" style="204" customWidth="1"/>
    <col min="87" max="87" width="2.7109375" style="204" customWidth="1"/>
    <col min="88" max="89" width="19.140625" style="204" customWidth="1"/>
    <col min="90" max="90" width="19.28515625" style="204" customWidth="1"/>
    <col min="91" max="91" width="3.42578125" style="204" customWidth="1"/>
    <col min="92" max="92" width="19.28515625" style="204" customWidth="1"/>
    <col min="93" max="93" width="19.5703125" style="204" customWidth="1"/>
    <col min="94" max="94" width="20.5703125" style="204" customWidth="1"/>
    <col min="95" max="95" width="2.28515625" style="204" customWidth="1"/>
    <col min="96" max="96" width="19.5703125" style="204" customWidth="1"/>
    <col min="97" max="97" width="18.42578125" style="204" customWidth="1"/>
    <col min="98" max="98" width="19.42578125" style="204" customWidth="1"/>
    <col min="99" max="99" width="3.85546875" style="204" customWidth="1"/>
    <col min="100" max="100" width="21.28515625" style="204" customWidth="1"/>
    <col min="101" max="101" width="20.5703125" style="204" customWidth="1"/>
    <col min="102" max="102" width="20.85546875" style="204" customWidth="1"/>
    <col min="103" max="103" width="4.28515625" style="204" customWidth="1"/>
    <col min="104" max="104" width="20.5703125" style="204" customWidth="1"/>
    <col min="105" max="106" width="21.85546875" style="204" customWidth="1"/>
    <col min="107" max="107" width="7.28515625" style="204" customWidth="1"/>
    <col min="108" max="108" width="20" style="204" customWidth="1"/>
    <col min="109" max="109" width="23.140625" style="206" customWidth="1"/>
    <col min="110" max="110" width="18.140625" style="206" customWidth="1"/>
    <col min="111" max="111" width="4.140625" style="206" customWidth="1"/>
    <col min="112" max="112" width="21" style="206" customWidth="1"/>
    <col min="113" max="114" width="20.85546875" style="206" customWidth="1"/>
    <col min="115" max="115" width="3.140625" style="206" customWidth="1"/>
    <col min="116" max="118" width="20.85546875" style="206" customWidth="1"/>
    <col min="119" max="119" width="3.28515625" style="206" customWidth="1"/>
    <col min="120" max="122" width="20.85546875" style="206" customWidth="1"/>
    <col min="123" max="123" width="1.7109375" style="206" customWidth="1"/>
    <col min="124" max="126" width="20.85546875" style="206" customWidth="1"/>
    <col min="127" max="127" width="2.42578125" style="206" customWidth="1"/>
    <col min="128" max="130" width="20.85546875" style="206" customWidth="1"/>
    <col min="131" max="131" width="4.140625" style="206" customWidth="1"/>
    <col min="132" max="132" width="19" style="206" customWidth="1"/>
    <col min="133" max="133" width="17.85546875" style="206" customWidth="1"/>
    <col min="134" max="134" width="19.140625" style="206" customWidth="1"/>
    <col min="135" max="135" width="6.140625" style="206" customWidth="1"/>
    <col min="136" max="138" width="17.85546875" style="206" customWidth="1"/>
    <col min="139" max="139" width="5.42578125" style="206" customWidth="1"/>
    <col min="140" max="142" width="17.85546875" style="206" customWidth="1"/>
    <col min="143" max="143" width="6.5703125" style="206" customWidth="1"/>
    <col min="144" max="149" width="17.85546875" style="206" customWidth="1"/>
    <col min="150" max="150" width="6.42578125" style="206" customWidth="1"/>
    <col min="151" max="151" width="20.28515625" style="206" customWidth="1"/>
    <col min="152" max="152" width="17.85546875" style="206" customWidth="1"/>
    <col min="153" max="153" width="19.7109375" style="206" customWidth="1"/>
    <col min="154" max="154" width="7" style="206" customWidth="1"/>
    <col min="155" max="157" width="17.85546875" style="206" customWidth="1"/>
    <col min="158" max="158" width="7.5703125" style="206" customWidth="1"/>
    <col min="159" max="161" width="17.85546875" style="206" customWidth="1"/>
    <col min="162" max="162" width="7.7109375" style="206" customWidth="1"/>
    <col min="163" max="165" width="17.85546875" style="206" customWidth="1"/>
    <col min="166" max="166" width="7.7109375" style="206" customWidth="1"/>
    <col min="167" max="169" width="17.85546875" style="206" customWidth="1"/>
    <col min="170" max="170" width="7.5703125" style="206" customWidth="1"/>
    <col min="171" max="171" width="19.42578125" style="206" customWidth="1"/>
    <col min="172" max="172" width="17.28515625" style="206" customWidth="1"/>
    <col min="173" max="173" width="19.85546875" style="206" customWidth="1"/>
    <col min="174" max="174" width="21" style="206" customWidth="1"/>
    <col min="175" max="175" width="22.7109375" style="206" customWidth="1"/>
    <col min="176" max="176" width="20.42578125" style="206" customWidth="1"/>
    <col min="177" max="177" width="7.5703125" style="206" customWidth="1"/>
    <col min="178" max="178" width="18.5703125" style="206" customWidth="1"/>
    <col min="179" max="179" width="17.140625" style="206" customWidth="1"/>
    <col min="180" max="180" width="18.5703125" style="206" customWidth="1"/>
    <col min="181" max="181" width="7.5703125" style="206" customWidth="1"/>
    <col min="182" max="182" width="19.42578125" style="206" customWidth="1"/>
    <col min="183" max="183" width="18.140625" style="206" customWidth="1"/>
    <col min="184" max="184" width="24.7109375" style="206" customWidth="1"/>
    <col min="185" max="185" width="19.5703125" style="206" customWidth="1"/>
    <col min="186" max="187" width="19.7109375" style="206" customWidth="1"/>
    <col min="188" max="188" width="7.5703125" style="206" customWidth="1"/>
    <col min="189" max="190" width="19.85546875" style="206" customWidth="1"/>
    <col min="191" max="191" width="20.28515625" style="206" customWidth="1"/>
    <col min="192" max="192" width="7.5703125" style="206" customWidth="1"/>
    <col min="193" max="193" width="21.85546875" style="206" customWidth="1"/>
    <col min="194" max="194" width="21.7109375" style="206" customWidth="1"/>
    <col min="195" max="195" width="20.85546875" style="206" customWidth="1"/>
    <col min="196" max="196" width="5.28515625" style="206" customWidth="1"/>
    <col min="197" max="197" width="27.5703125" style="206" customWidth="1"/>
    <col min="198" max="198" width="20.7109375" style="206" customWidth="1"/>
    <col min="199" max="199" width="22.140625" style="206" customWidth="1"/>
    <col min="200" max="200" width="17.28515625" style="206" customWidth="1"/>
    <col min="201" max="201" width="18.85546875" style="206" customWidth="1"/>
    <col min="202" max="202" width="19.85546875" style="206" customWidth="1"/>
    <col min="203" max="203" width="5" style="206" customWidth="1"/>
    <col min="204" max="204" width="2" style="206" customWidth="1"/>
    <col min="205" max="205" width="20.28515625" style="206" customWidth="1"/>
    <col min="206" max="206" width="22.7109375" style="206" customWidth="1"/>
    <col min="207" max="207" width="18.42578125" style="206" customWidth="1"/>
    <col min="208" max="208" width="5.140625" style="206" customWidth="1"/>
    <col min="209" max="215" width="20.85546875" style="206" customWidth="1"/>
    <col min="216" max="216" width="7.28515625" style="206" customWidth="1"/>
    <col min="217" max="217" width="22.7109375" style="206" customWidth="1"/>
    <col min="218" max="218" width="21.5703125" style="206" customWidth="1"/>
    <col min="219" max="219" width="20.140625" style="206" customWidth="1"/>
    <col min="220" max="220" width="9.42578125" style="206" customWidth="1"/>
    <col min="221" max="221" width="21" style="206" customWidth="1"/>
    <col min="222" max="222" width="20.7109375" style="206" customWidth="1"/>
    <col min="223" max="223" width="22.42578125" style="206" customWidth="1"/>
    <col min="224" max="224" width="15.42578125" style="206"/>
    <col min="225" max="225" width="20.7109375" style="206" customWidth="1"/>
    <col min="226" max="226" width="19.7109375" style="206" customWidth="1"/>
    <col min="227" max="227" width="22.5703125" style="206" customWidth="1"/>
    <col min="228" max="16384" width="15.42578125" style="206"/>
  </cols>
  <sheetData>
    <row r="3" spans="1:228" x14ac:dyDescent="0.25">
      <c r="CZ3" s="205">
        <f>SUM(D3:CJ3)</f>
        <v>0</v>
      </c>
    </row>
    <row r="4" spans="1:228" s="211" customFormat="1" x14ac:dyDescent="0.25">
      <c r="A4" s="207"/>
      <c r="B4" s="208" t="s">
        <v>168</v>
      </c>
      <c r="C4" s="208"/>
      <c r="D4" s="208"/>
      <c r="E4" s="208"/>
      <c r="F4" s="208"/>
      <c r="G4" s="208"/>
      <c r="H4" s="208"/>
      <c r="I4" s="208"/>
      <c r="J4" s="208"/>
      <c r="K4" s="208"/>
      <c r="L4" s="208"/>
      <c r="M4" s="208"/>
      <c r="N4" s="208"/>
      <c r="O4" s="208"/>
      <c r="P4" s="208"/>
      <c r="Q4" s="208"/>
      <c r="R4" s="208"/>
      <c r="S4" s="208"/>
      <c r="T4" s="208"/>
      <c r="U4" s="208"/>
      <c r="V4" s="208"/>
      <c r="W4" s="208"/>
      <c r="X4" s="208"/>
      <c r="Y4" s="208"/>
      <c r="Z4" s="208"/>
      <c r="AA4" s="208"/>
      <c r="AB4" s="208"/>
      <c r="AC4" s="208"/>
      <c r="AD4" s="208"/>
      <c r="AE4" s="208"/>
      <c r="AF4" s="208"/>
      <c r="AG4" s="208"/>
      <c r="AH4" s="208"/>
      <c r="AI4" s="208"/>
      <c r="AJ4" s="208"/>
      <c r="AK4" s="208"/>
      <c r="AL4" s="208"/>
      <c r="AM4" s="208"/>
      <c r="AN4" s="208"/>
      <c r="AO4" s="209"/>
      <c r="AP4" s="209"/>
      <c r="AQ4" s="209"/>
      <c r="AR4" s="205"/>
      <c r="AS4" s="205"/>
      <c r="AT4" s="205"/>
      <c r="AU4" s="205"/>
      <c r="AV4" s="205"/>
      <c r="AW4" s="205"/>
      <c r="AX4" s="205"/>
      <c r="AY4" s="205"/>
      <c r="AZ4" s="210"/>
      <c r="BA4" s="210"/>
      <c r="BB4" s="210"/>
      <c r="BC4" s="210"/>
      <c r="BD4" s="210"/>
      <c r="BE4" s="210"/>
      <c r="BF4" s="210"/>
      <c r="BG4" s="210"/>
      <c r="BH4" s="210"/>
      <c r="BI4" s="210"/>
      <c r="BJ4" s="210"/>
      <c r="BK4" s="210"/>
      <c r="BL4" s="210"/>
      <c r="BM4" s="210"/>
      <c r="BN4" s="210"/>
      <c r="BO4" s="210"/>
      <c r="BP4" s="210"/>
      <c r="BQ4" s="210"/>
      <c r="BR4" s="210"/>
      <c r="BS4" s="210"/>
      <c r="BT4" s="210"/>
      <c r="BU4" s="210"/>
      <c r="BV4" s="210"/>
      <c r="BW4" s="210"/>
      <c r="BX4" s="210"/>
      <c r="BY4" s="210"/>
      <c r="BZ4" s="210"/>
      <c r="CA4" s="210"/>
      <c r="CB4" s="210"/>
      <c r="CC4" s="210"/>
      <c r="CD4" s="210"/>
      <c r="CE4" s="210"/>
      <c r="CF4" s="210"/>
      <c r="CG4" s="210"/>
      <c r="CH4" s="210"/>
      <c r="CI4" s="210"/>
      <c r="CJ4" s="210"/>
      <c r="CK4" s="210"/>
      <c r="CL4" s="210"/>
      <c r="CM4" s="210"/>
      <c r="CN4" s="210"/>
      <c r="CO4" s="210"/>
      <c r="CP4" s="210"/>
      <c r="CQ4" s="210"/>
      <c r="CR4" s="210"/>
      <c r="CS4" s="210"/>
      <c r="CT4" s="210"/>
      <c r="CU4" s="210"/>
      <c r="CV4" s="210"/>
      <c r="CW4" s="210"/>
      <c r="CX4" s="210"/>
      <c r="CY4" s="210"/>
      <c r="CZ4" s="210"/>
      <c r="DA4" s="210"/>
      <c r="DB4" s="210"/>
      <c r="DC4" s="205"/>
      <c r="DD4" s="205"/>
    </row>
    <row r="5" spans="1:228" s="215" customFormat="1" x14ac:dyDescent="0.25">
      <c r="A5" s="208"/>
      <c r="B5" s="208"/>
      <c r="C5" s="208"/>
      <c r="D5" s="208"/>
      <c r="E5" s="208"/>
      <c r="F5" s="208"/>
      <c r="G5" s="208"/>
      <c r="H5" s="208"/>
      <c r="I5" s="208"/>
      <c r="J5" s="208"/>
      <c r="K5" s="208"/>
      <c r="L5" s="208"/>
      <c r="M5" s="208"/>
      <c r="N5" s="208"/>
      <c r="O5" s="208"/>
      <c r="P5" s="208"/>
      <c r="Q5" s="208"/>
      <c r="R5" s="208"/>
      <c r="S5" s="208"/>
      <c r="T5" s="208"/>
      <c r="U5" s="209"/>
      <c r="V5" s="209"/>
      <c r="W5" s="209"/>
      <c r="X5" s="212"/>
      <c r="Y5" s="212"/>
      <c r="Z5" s="212"/>
      <c r="AA5" s="212"/>
      <c r="AB5" s="213"/>
      <c r="AC5" s="213"/>
      <c r="AD5" s="213"/>
      <c r="AE5" s="213"/>
      <c r="AF5" s="205"/>
      <c r="AG5" s="205"/>
      <c r="AH5" s="205"/>
      <c r="AI5" s="205"/>
      <c r="AJ5" s="205" t="s">
        <v>169</v>
      </c>
      <c r="AK5" s="205"/>
      <c r="AL5" s="205"/>
      <c r="AM5" s="205"/>
      <c r="AN5" s="214"/>
      <c r="AO5" s="214"/>
      <c r="AP5" s="214"/>
      <c r="AQ5" s="214"/>
      <c r="AR5" s="214"/>
      <c r="AS5" s="214"/>
      <c r="AT5" s="214"/>
      <c r="AU5" s="214"/>
      <c r="AV5" s="214"/>
      <c r="AW5" s="214"/>
      <c r="AX5" s="214"/>
      <c r="AY5" s="214"/>
      <c r="AZ5" s="214"/>
      <c r="BA5" s="214"/>
      <c r="BB5" s="214"/>
      <c r="BC5" s="214"/>
      <c r="BD5" s="214"/>
      <c r="BE5" s="214"/>
      <c r="BF5" s="214"/>
      <c r="BG5" s="214"/>
      <c r="BH5" s="214"/>
      <c r="BI5" s="214"/>
      <c r="BJ5" s="214"/>
      <c r="BK5" s="214"/>
      <c r="BL5" s="214"/>
      <c r="BM5" s="214"/>
      <c r="BN5" s="214"/>
      <c r="BO5" s="214"/>
      <c r="BP5" s="214"/>
      <c r="BQ5" s="214"/>
      <c r="BR5" s="214"/>
      <c r="BS5" s="214"/>
      <c r="BT5" s="214"/>
      <c r="BU5" s="214"/>
      <c r="BV5" s="214"/>
      <c r="BW5" s="214"/>
      <c r="BX5" s="214"/>
      <c r="BY5" s="214"/>
      <c r="BZ5" s="214"/>
      <c r="CA5" s="214"/>
      <c r="CB5" s="214"/>
      <c r="CC5" s="214"/>
      <c r="CD5" s="214"/>
      <c r="CE5" s="214"/>
      <c r="CF5" s="214"/>
      <c r="CG5" s="214"/>
      <c r="CH5" s="214"/>
      <c r="CI5" s="214"/>
      <c r="CJ5" s="214"/>
      <c r="CK5" s="214"/>
      <c r="CL5" s="214"/>
      <c r="CM5" s="214"/>
      <c r="CN5" s="214"/>
      <c r="CO5" s="214"/>
      <c r="CP5" s="214"/>
      <c r="CQ5" s="214"/>
      <c r="CR5" s="214"/>
      <c r="CS5" s="214"/>
      <c r="CT5" s="214"/>
      <c r="CU5" s="214"/>
      <c r="CV5" s="214"/>
      <c r="CW5" s="214"/>
      <c r="CX5" s="214"/>
      <c r="CY5" s="214"/>
      <c r="CZ5" s="214"/>
      <c r="DA5" s="214"/>
      <c r="DB5" s="214"/>
      <c r="DC5" s="208"/>
      <c r="DD5" s="208"/>
    </row>
    <row r="6" spans="1:228" s="228" customFormat="1" ht="26.25" customHeight="1" x14ac:dyDescent="0.25">
      <c r="A6" s="216"/>
      <c r="B6" s="217" t="s">
        <v>2</v>
      </c>
      <c r="C6" s="218"/>
      <c r="D6" s="219">
        <v>24709302</v>
      </c>
      <c r="E6" s="220"/>
      <c r="F6" s="221"/>
      <c r="G6" s="222"/>
      <c r="H6" s="222">
        <v>10000000</v>
      </c>
      <c r="I6" s="222"/>
      <c r="J6" s="222"/>
      <c r="K6" s="222"/>
      <c r="L6" s="222">
        <v>20000000</v>
      </c>
      <c r="M6" s="222"/>
      <c r="N6" s="222"/>
      <c r="O6" s="222"/>
      <c r="P6" s="222">
        <v>25000000</v>
      </c>
      <c r="Q6" s="222"/>
      <c r="R6" s="222"/>
      <c r="S6" s="222"/>
      <c r="T6" s="222">
        <v>12000000</v>
      </c>
      <c r="U6" s="222"/>
      <c r="V6" s="222"/>
      <c r="W6" s="222"/>
      <c r="X6" s="222">
        <v>12000000</v>
      </c>
      <c r="Y6" s="222"/>
      <c r="Z6" s="222"/>
      <c r="AA6" s="222"/>
      <c r="AB6" s="222" t="s">
        <v>170</v>
      </c>
      <c r="AC6" s="222"/>
      <c r="AD6" s="222"/>
      <c r="AE6" s="222"/>
      <c r="AF6" s="222">
        <v>20000000</v>
      </c>
      <c r="AG6" s="222"/>
      <c r="AH6" s="222"/>
      <c r="AI6" s="222"/>
      <c r="AJ6" s="219" t="s">
        <v>171</v>
      </c>
      <c r="AK6" s="220"/>
      <c r="AL6" s="221"/>
      <c r="AM6" s="222"/>
      <c r="AN6" s="222">
        <v>20000000</v>
      </c>
      <c r="AO6" s="222"/>
      <c r="AP6" s="222"/>
      <c r="AQ6" s="222"/>
      <c r="AR6" s="222">
        <v>26000000</v>
      </c>
      <c r="AS6" s="222"/>
      <c r="AT6" s="222"/>
      <c r="AU6" s="222"/>
      <c r="AV6" s="222">
        <v>45000000</v>
      </c>
      <c r="AW6" s="222"/>
      <c r="AX6" s="222"/>
      <c r="AY6" s="222"/>
      <c r="AZ6" s="222">
        <v>38340000</v>
      </c>
      <c r="BA6" s="222"/>
      <c r="BB6" s="222"/>
      <c r="BC6" s="222"/>
      <c r="BD6" s="222" t="s">
        <v>172</v>
      </c>
      <c r="BE6" s="222"/>
      <c r="BF6" s="222"/>
      <c r="BG6" s="222"/>
      <c r="BH6" s="222">
        <v>126060000</v>
      </c>
      <c r="BI6" s="222"/>
      <c r="BJ6" s="222"/>
      <c r="BK6" s="222"/>
      <c r="BL6" s="222" t="s">
        <v>172</v>
      </c>
      <c r="BM6" s="222"/>
      <c r="BN6" s="222"/>
      <c r="BO6" s="222"/>
      <c r="BP6" s="223">
        <v>169900000</v>
      </c>
      <c r="BQ6" s="223"/>
      <c r="BR6" s="223"/>
      <c r="BS6" s="222"/>
      <c r="BT6" s="223"/>
      <c r="BU6" s="223"/>
      <c r="BV6" s="223"/>
      <c r="BW6" s="222"/>
      <c r="BX6" s="222"/>
      <c r="BY6" s="222"/>
      <c r="BZ6" s="222"/>
      <c r="CA6" s="222"/>
      <c r="CB6" s="222">
        <v>210000000</v>
      </c>
      <c r="CC6" s="222"/>
      <c r="CD6" s="222"/>
      <c r="CE6" s="222"/>
      <c r="CF6" s="224"/>
      <c r="CG6" s="224"/>
      <c r="CH6" s="225"/>
      <c r="CI6" s="226"/>
      <c r="CJ6" s="227"/>
      <c r="CK6" s="227"/>
      <c r="CL6" s="227"/>
      <c r="CM6" s="227"/>
      <c r="CN6" s="227"/>
      <c r="CO6" s="227"/>
      <c r="CP6" s="227"/>
      <c r="CQ6" s="227"/>
      <c r="CR6" s="227"/>
      <c r="CS6" s="227"/>
      <c r="CT6" s="227"/>
      <c r="CU6" s="227"/>
      <c r="CV6" s="227"/>
      <c r="GK6" s="224"/>
      <c r="GL6" s="224" t="s">
        <v>43</v>
      </c>
      <c r="GM6" s="224" t="s">
        <v>43</v>
      </c>
      <c r="GN6" s="229"/>
      <c r="GO6" s="229"/>
    </row>
    <row r="7" spans="1:228" s="248" customFormat="1" ht="30" customHeight="1" x14ac:dyDescent="0.25">
      <c r="A7" s="230"/>
      <c r="B7" s="231" t="s">
        <v>52</v>
      </c>
      <c r="C7" s="231" t="s">
        <v>53</v>
      </c>
      <c r="D7" s="230">
        <v>1999</v>
      </c>
      <c r="E7" s="230"/>
      <c r="F7" s="230"/>
      <c r="G7" s="230"/>
      <c r="H7" s="230">
        <v>2000</v>
      </c>
      <c r="I7" s="230"/>
      <c r="J7" s="230"/>
      <c r="K7" s="230"/>
      <c r="L7" s="230">
        <v>2001</v>
      </c>
      <c r="M7" s="230"/>
      <c r="N7" s="230"/>
      <c r="O7" s="230"/>
      <c r="P7" s="230">
        <v>2002</v>
      </c>
      <c r="Q7" s="230"/>
      <c r="R7" s="230"/>
      <c r="S7" s="230"/>
      <c r="T7" s="230">
        <v>2003</v>
      </c>
      <c r="U7" s="230"/>
      <c r="V7" s="230"/>
      <c r="W7" s="230"/>
      <c r="X7" s="230">
        <v>2004</v>
      </c>
      <c r="Y7" s="230"/>
      <c r="Z7" s="230"/>
      <c r="AA7" s="230"/>
      <c r="AB7" s="230">
        <v>2004</v>
      </c>
      <c r="AC7" s="230"/>
      <c r="AD7" s="230"/>
      <c r="AE7" s="230"/>
      <c r="AF7" s="232">
        <v>2005</v>
      </c>
      <c r="AG7" s="233"/>
      <c r="AH7" s="234"/>
      <c r="AI7" s="230"/>
      <c r="AJ7" s="232">
        <v>2005</v>
      </c>
      <c r="AK7" s="233"/>
      <c r="AL7" s="234"/>
      <c r="AM7" s="230"/>
      <c r="AN7" s="230">
        <v>2006</v>
      </c>
      <c r="AO7" s="230"/>
      <c r="AP7" s="230"/>
      <c r="AQ7" s="230"/>
      <c r="AR7" s="230">
        <v>2007</v>
      </c>
      <c r="AS7" s="230"/>
      <c r="AT7" s="230"/>
      <c r="AU7" s="230"/>
      <c r="AV7" s="230">
        <v>2008</v>
      </c>
      <c r="AW7" s="230"/>
      <c r="AX7" s="230"/>
      <c r="AY7" s="230"/>
      <c r="AZ7" s="230">
        <v>2009</v>
      </c>
      <c r="BA7" s="230"/>
      <c r="BB7" s="230"/>
      <c r="BC7" s="230"/>
      <c r="BD7" s="235">
        <v>2009</v>
      </c>
      <c r="BE7" s="235"/>
      <c r="BF7" s="235"/>
      <c r="BG7" s="235"/>
      <c r="BH7" s="235">
        <v>2010</v>
      </c>
      <c r="BI7" s="235"/>
      <c r="BJ7" s="235"/>
      <c r="BK7" s="235"/>
      <c r="BL7" s="236">
        <v>2010</v>
      </c>
      <c r="BM7" s="237"/>
      <c r="BN7" s="238"/>
      <c r="BO7" s="239"/>
      <c r="BP7" s="239"/>
      <c r="BQ7" s="240" t="s">
        <v>173</v>
      </c>
      <c r="BR7" s="241"/>
      <c r="BS7" s="240"/>
      <c r="BT7" s="236" t="s">
        <v>174</v>
      </c>
      <c r="BU7" s="237"/>
      <c r="BV7" s="238"/>
      <c r="BW7" s="240"/>
      <c r="BX7" s="236" t="s">
        <v>175</v>
      </c>
      <c r="BY7" s="237"/>
      <c r="BZ7" s="238"/>
      <c r="CA7" s="235"/>
      <c r="CB7" s="242">
        <v>2012</v>
      </c>
      <c r="CC7" s="242"/>
      <c r="CD7" s="242"/>
      <c r="CE7" s="242"/>
      <c r="CF7" s="243" t="s">
        <v>176</v>
      </c>
      <c r="CG7" s="244"/>
      <c r="CH7" s="245"/>
      <c r="CI7" s="246"/>
      <c r="CJ7" s="243" t="s">
        <v>177</v>
      </c>
      <c r="CK7" s="244"/>
      <c r="CL7" s="245"/>
      <c r="CM7" s="247"/>
      <c r="CN7" s="243" t="s">
        <v>38</v>
      </c>
      <c r="CO7" s="244"/>
      <c r="CP7" s="245"/>
      <c r="CQ7" s="247"/>
      <c r="CR7" s="243" t="s">
        <v>178</v>
      </c>
      <c r="CS7" s="244"/>
      <c r="CT7" s="245"/>
      <c r="CU7" s="247"/>
      <c r="CV7" s="243" t="s">
        <v>40</v>
      </c>
      <c r="CW7" s="244"/>
      <c r="CX7" s="245"/>
      <c r="CY7" s="247"/>
      <c r="CZ7" s="243" t="s">
        <v>179</v>
      </c>
      <c r="DA7" s="244"/>
      <c r="DB7" s="245"/>
      <c r="DD7" s="249"/>
      <c r="DE7" s="250" t="s">
        <v>42</v>
      </c>
      <c r="DF7" s="251"/>
      <c r="DG7" s="252"/>
      <c r="DH7" s="253" t="s">
        <v>180</v>
      </c>
      <c r="DI7" s="254"/>
      <c r="DJ7" s="254"/>
      <c r="DK7" s="252"/>
      <c r="DL7" s="253" t="s">
        <v>12</v>
      </c>
      <c r="DM7" s="254"/>
      <c r="DN7" s="254"/>
      <c r="DO7" s="252"/>
      <c r="DP7" s="255" t="s">
        <v>13</v>
      </c>
      <c r="DQ7" s="255"/>
      <c r="DR7" s="255"/>
      <c r="DS7" s="252"/>
      <c r="DT7" s="255" t="s">
        <v>181</v>
      </c>
      <c r="DU7" s="255"/>
      <c r="DV7" s="255"/>
      <c r="DW7" s="252"/>
      <c r="DX7" s="255" t="s">
        <v>15</v>
      </c>
      <c r="DY7" s="255"/>
      <c r="DZ7" s="255"/>
      <c r="EB7" s="253" t="s">
        <v>182</v>
      </c>
      <c r="EC7" s="254"/>
      <c r="ED7" s="254"/>
      <c r="EF7" s="253" t="s">
        <v>183</v>
      </c>
      <c r="EG7" s="254"/>
      <c r="EH7" s="254"/>
      <c r="EJ7" s="255" t="s">
        <v>184</v>
      </c>
      <c r="EK7" s="255"/>
      <c r="EL7" s="255"/>
      <c r="EN7" s="255" t="s">
        <v>18</v>
      </c>
      <c r="EO7" s="255"/>
      <c r="EP7" s="255"/>
      <c r="EQ7" s="255" t="s">
        <v>185</v>
      </c>
      <c r="ER7" s="255"/>
      <c r="ES7" s="256"/>
      <c r="ET7" s="257"/>
      <c r="EU7" s="258" t="s">
        <v>186</v>
      </c>
      <c r="EV7" s="258"/>
      <c r="EW7" s="258"/>
      <c r="EX7" s="257"/>
      <c r="EY7" s="243" t="s">
        <v>23</v>
      </c>
      <c r="EZ7" s="244"/>
      <c r="FA7" s="245"/>
      <c r="FB7" s="257"/>
      <c r="FC7" s="259" t="s">
        <v>24</v>
      </c>
      <c r="FD7" s="259"/>
      <c r="FE7" s="259"/>
      <c r="FF7" s="257"/>
      <c r="FG7" s="259" t="s">
        <v>187</v>
      </c>
      <c r="FH7" s="259"/>
      <c r="FI7" s="259"/>
      <c r="FJ7" s="257"/>
      <c r="FK7" s="243" t="s">
        <v>26</v>
      </c>
      <c r="FL7" s="244"/>
      <c r="FM7" s="245"/>
      <c r="FN7" s="251"/>
      <c r="FO7" s="260" t="s">
        <v>188</v>
      </c>
      <c r="FP7" s="261"/>
      <c r="FQ7" s="262"/>
      <c r="FR7" s="260" t="s">
        <v>29</v>
      </c>
      <c r="FS7" s="261"/>
      <c r="FT7" s="262"/>
      <c r="FU7" s="251"/>
      <c r="FV7" s="259" t="s">
        <v>189</v>
      </c>
      <c r="FW7" s="259"/>
      <c r="FX7" s="259"/>
      <c r="FY7" s="251"/>
      <c r="FZ7" s="259" t="s">
        <v>190</v>
      </c>
      <c r="GA7" s="259"/>
      <c r="GB7" s="259"/>
      <c r="GC7" s="243" t="s">
        <v>32</v>
      </c>
      <c r="GD7" s="244"/>
      <c r="GE7" s="245"/>
      <c r="GF7" s="251"/>
      <c r="GG7" s="243" t="s">
        <v>191</v>
      </c>
      <c r="GH7" s="244"/>
      <c r="GI7" s="245"/>
      <c r="GJ7" s="251"/>
      <c r="GK7" s="263" t="s">
        <v>150</v>
      </c>
      <c r="GL7" s="242" t="s">
        <v>192</v>
      </c>
      <c r="GM7" s="264" t="s">
        <v>59</v>
      </c>
      <c r="GN7" s="265"/>
      <c r="GO7" s="259" t="s">
        <v>193</v>
      </c>
      <c r="GP7" s="259"/>
      <c r="GQ7" s="259"/>
      <c r="GR7" s="259" t="s">
        <v>169</v>
      </c>
      <c r="GS7" s="259"/>
      <c r="GT7" s="264"/>
      <c r="GU7" s="264"/>
      <c r="GW7" s="266" t="s">
        <v>194</v>
      </c>
      <c r="GX7" s="255"/>
      <c r="GY7" s="255"/>
      <c r="GZ7" s="247"/>
      <c r="HA7" s="259" t="s">
        <v>195</v>
      </c>
      <c r="HB7" s="259"/>
      <c r="HC7" s="259"/>
      <c r="HE7" s="259" t="s">
        <v>196</v>
      </c>
      <c r="HF7" s="259"/>
      <c r="HG7" s="259"/>
      <c r="HI7" s="243" t="s">
        <v>197</v>
      </c>
      <c r="HJ7" s="244"/>
      <c r="HK7" s="245"/>
      <c r="HM7" s="243" t="s">
        <v>198</v>
      </c>
      <c r="HN7" s="244"/>
      <c r="HO7" s="245"/>
      <c r="HQ7" s="266" t="s">
        <v>199</v>
      </c>
      <c r="HR7" s="255"/>
      <c r="HS7" s="255"/>
      <c r="HT7" s="252"/>
    </row>
    <row r="8" spans="1:228" s="272" customFormat="1" x14ac:dyDescent="0.25">
      <c r="A8" s="230"/>
      <c r="B8" s="231"/>
      <c r="C8" s="231"/>
      <c r="D8" s="267" t="s">
        <v>54</v>
      </c>
      <c r="E8" s="267" t="s">
        <v>55</v>
      </c>
      <c r="F8" s="267" t="s">
        <v>56</v>
      </c>
      <c r="G8" s="267"/>
      <c r="H8" s="267" t="s">
        <v>54</v>
      </c>
      <c r="I8" s="267" t="s">
        <v>55</v>
      </c>
      <c r="J8" s="267" t="s">
        <v>56</v>
      </c>
      <c r="K8" s="267"/>
      <c r="L8" s="267" t="s">
        <v>54</v>
      </c>
      <c r="M8" s="267" t="s">
        <v>55</v>
      </c>
      <c r="N8" s="267" t="s">
        <v>56</v>
      </c>
      <c r="O8" s="267"/>
      <c r="P8" s="267" t="s">
        <v>54</v>
      </c>
      <c r="Q8" s="267" t="s">
        <v>55</v>
      </c>
      <c r="R8" s="267" t="s">
        <v>56</v>
      </c>
      <c r="S8" s="267"/>
      <c r="T8" s="267" t="s">
        <v>54</v>
      </c>
      <c r="U8" s="267" t="s">
        <v>55</v>
      </c>
      <c r="V8" s="267" t="s">
        <v>56</v>
      </c>
      <c r="W8" s="267"/>
      <c r="X8" s="267" t="s">
        <v>54</v>
      </c>
      <c r="Y8" s="267" t="s">
        <v>55</v>
      </c>
      <c r="Z8" s="267" t="s">
        <v>56</v>
      </c>
      <c r="AA8" s="267"/>
      <c r="AB8" s="267" t="s">
        <v>54</v>
      </c>
      <c r="AC8" s="267" t="s">
        <v>55</v>
      </c>
      <c r="AD8" s="267" t="s">
        <v>56</v>
      </c>
      <c r="AE8" s="267"/>
      <c r="AF8" s="267" t="s">
        <v>54</v>
      </c>
      <c r="AG8" s="267" t="s">
        <v>55</v>
      </c>
      <c r="AH8" s="267" t="s">
        <v>56</v>
      </c>
      <c r="AI8" s="268"/>
      <c r="AJ8" s="267" t="s">
        <v>54</v>
      </c>
      <c r="AK8" s="267" t="s">
        <v>55</v>
      </c>
      <c r="AL8" s="267" t="s">
        <v>56</v>
      </c>
      <c r="AM8" s="268"/>
      <c r="AN8" s="267" t="s">
        <v>54</v>
      </c>
      <c r="AO8" s="267" t="s">
        <v>55</v>
      </c>
      <c r="AP8" s="267" t="s">
        <v>56</v>
      </c>
      <c r="AQ8" s="267"/>
      <c r="AR8" s="267" t="s">
        <v>54</v>
      </c>
      <c r="AS8" s="267" t="s">
        <v>55</v>
      </c>
      <c r="AT8" s="267" t="s">
        <v>56</v>
      </c>
      <c r="AU8" s="267"/>
      <c r="AV8" s="267" t="s">
        <v>54</v>
      </c>
      <c r="AW8" s="267" t="s">
        <v>55</v>
      </c>
      <c r="AX8" s="267" t="s">
        <v>56</v>
      </c>
      <c r="AY8" s="267"/>
      <c r="AZ8" s="267" t="s">
        <v>54</v>
      </c>
      <c r="BA8" s="267" t="s">
        <v>55</v>
      </c>
      <c r="BB8" s="267" t="s">
        <v>56</v>
      </c>
      <c r="BC8" s="267"/>
      <c r="BD8" s="267" t="s">
        <v>54</v>
      </c>
      <c r="BE8" s="267" t="s">
        <v>55</v>
      </c>
      <c r="BF8" s="267" t="s">
        <v>56</v>
      </c>
      <c r="BG8" s="269"/>
      <c r="BH8" s="267" t="s">
        <v>54</v>
      </c>
      <c r="BI8" s="267" t="s">
        <v>55</v>
      </c>
      <c r="BJ8" s="267" t="s">
        <v>56</v>
      </c>
      <c r="BK8" s="269"/>
      <c r="BL8" s="267" t="s">
        <v>54</v>
      </c>
      <c r="BM8" s="267" t="s">
        <v>55</v>
      </c>
      <c r="BN8" s="267" t="s">
        <v>56</v>
      </c>
      <c r="BO8" s="269"/>
      <c r="BP8" s="270" t="s">
        <v>54</v>
      </c>
      <c r="BQ8" s="270" t="s">
        <v>55</v>
      </c>
      <c r="BR8" s="270" t="s">
        <v>56</v>
      </c>
      <c r="BS8" s="269"/>
      <c r="BT8" s="270" t="s">
        <v>54</v>
      </c>
      <c r="BU8" s="270" t="s">
        <v>55</v>
      </c>
      <c r="BV8" s="270" t="s">
        <v>56</v>
      </c>
      <c r="BW8" s="269"/>
      <c r="BX8" s="267" t="s">
        <v>54</v>
      </c>
      <c r="BY8" s="267" t="s">
        <v>55</v>
      </c>
      <c r="BZ8" s="267" t="s">
        <v>56</v>
      </c>
      <c r="CA8" s="269"/>
      <c r="CB8" s="267" t="s">
        <v>54</v>
      </c>
      <c r="CC8" s="267" t="s">
        <v>55</v>
      </c>
      <c r="CD8" s="267" t="s">
        <v>56</v>
      </c>
      <c r="CE8" s="271"/>
      <c r="CF8" s="267" t="s">
        <v>54</v>
      </c>
      <c r="CG8" s="267" t="s">
        <v>55</v>
      </c>
      <c r="CH8" s="270" t="s">
        <v>56</v>
      </c>
      <c r="CI8" s="271"/>
      <c r="CJ8" s="267" t="s">
        <v>54</v>
      </c>
      <c r="CK8" s="267" t="s">
        <v>55</v>
      </c>
      <c r="CL8" s="270" t="s">
        <v>56</v>
      </c>
      <c r="CM8" s="271"/>
      <c r="CN8" s="267" t="s">
        <v>54</v>
      </c>
      <c r="CO8" s="267" t="s">
        <v>55</v>
      </c>
      <c r="CP8" s="270" t="s">
        <v>56</v>
      </c>
      <c r="CQ8" s="271"/>
      <c r="CR8" s="267" t="s">
        <v>54</v>
      </c>
      <c r="CS8" s="267" t="s">
        <v>55</v>
      </c>
      <c r="CT8" s="270" t="s">
        <v>56</v>
      </c>
      <c r="CU8" s="271"/>
      <c r="CV8" s="267" t="s">
        <v>54</v>
      </c>
      <c r="CW8" s="267" t="s">
        <v>55</v>
      </c>
      <c r="CX8" s="270" t="s">
        <v>56</v>
      </c>
      <c r="CY8" s="271"/>
      <c r="CZ8" s="267" t="s">
        <v>54</v>
      </c>
      <c r="DA8" s="267" t="s">
        <v>55</v>
      </c>
      <c r="DB8" s="267" t="s">
        <v>56</v>
      </c>
      <c r="DC8" s="267"/>
      <c r="DD8" s="267" t="s">
        <v>54</v>
      </c>
      <c r="DE8" s="267" t="s">
        <v>55</v>
      </c>
      <c r="DF8" s="267" t="s">
        <v>56</v>
      </c>
      <c r="DG8" s="267"/>
      <c r="DH8" s="267" t="s">
        <v>54</v>
      </c>
      <c r="DI8" s="267" t="s">
        <v>55</v>
      </c>
      <c r="DJ8" s="267" t="s">
        <v>56</v>
      </c>
      <c r="DK8" s="267"/>
      <c r="DL8" s="267" t="s">
        <v>54</v>
      </c>
      <c r="DM8" s="267" t="s">
        <v>55</v>
      </c>
      <c r="DN8" s="267" t="s">
        <v>56</v>
      </c>
      <c r="DO8" s="267"/>
      <c r="DP8" s="267" t="s">
        <v>54</v>
      </c>
      <c r="DQ8" s="267" t="s">
        <v>55</v>
      </c>
      <c r="DR8" s="267" t="s">
        <v>56</v>
      </c>
      <c r="DS8" s="267"/>
      <c r="DT8" s="267" t="s">
        <v>54</v>
      </c>
      <c r="DU8" s="267" t="s">
        <v>55</v>
      </c>
      <c r="DV8" s="267" t="s">
        <v>56</v>
      </c>
      <c r="DW8" s="267"/>
      <c r="DX8" s="267" t="s">
        <v>54</v>
      </c>
      <c r="DY8" s="267" t="s">
        <v>55</v>
      </c>
      <c r="DZ8" s="267" t="s">
        <v>56</v>
      </c>
      <c r="EA8" s="267"/>
      <c r="EB8" s="267" t="s">
        <v>54</v>
      </c>
      <c r="EC8" s="267" t="s">
        <v>55</v>
      </c>
      <c r="ED8" s="267" t="s">
        <v>56</v>
      </c>
      <c r="EE8" s="267"/>
      <c r="EF8" s="267" t="s">
        <v>54</v>
      </c>
      <c r="EG8" s="267" t="s">
        <v>55</v>
      </c>
      <c r="EH8" s="267" t="s">
        <v>56</v>
      </c>
      <c r="EI8" s="267"/>
      <c r="EJ8" s="267" t="s">
        <v>54</v>
      </c>
      <c r="EK8" s="267" t="s">
        <v>55</v>
      </c>
      <c r="EL8" s="267" t="s">
        <v>56</v>
      </c>
      <c r="EM8" s="267"/>
      <c r="EN8" s="267" t="s">
        <v>54</v>
      </c>
      <c r="EO8" s="267" t="s">
        <v>55</v>
      </c>
      <c r="EP8" s="267" t="s">
        <v>56</v>
      </c>
      <c r="EQ8" s="267" t="s">
        <v>54</v>
      </c>
      <c r="ER8" s="267" t="s">
        <v>55</v>
      </c>
      <c r="ES8" s="267" t="s">
        <v>56</v>
      </c>
      <c r="ET8" s="267"/>
      <c r="EU8" s="267" t="s">
        <v>54</v>
      </c>
      <c r="EV8" s="267" t="s">
        <v>55</v>
      </c>
      <c r="EW8" s="267" t="s">
        <v>56</v>
      </c>
      <c r="EX8" s="267"/>
      <c r="EY8" s="267" t="s">
        <v>54</v>
      </c>
      <c r="EZ8" s="267" t="s">
        <v>55</v>
      </c>
      <c r="FA8" s="267" t="s">
        <v>56</v>
      </c>
      <c r="FB8" s="267"/>
      <c r="FC8" s="267" t="s">
        <v>54</v>
      </c>
      <c r="FD8" s="267" t="s">
        <v>55</v>
      </c>
      <c r="FE8" s="267" t="s">
        <v>56</v>
      </c>
      <c r="FF8" s="267"/>
      <c r="FG8" s="267" t="s">
        <v>54</v>
      </c>
      <c r="FH8" s="267" t="s">
        <v>55</v>
      </c>
      <c r="FI8" s="267" t="s">
        <v>56</v>
      </c>
      <c r="FJ8" s="267"/>
      <c r="FK8" s="267" t="s">
        <v>54</v>
      </c>
      <c r="FL8" s="267" t="s">
        <v>55</v>
      </c>
      <c r="FM8" s="267" t="s">
        <v>56</v>
      </c>
      <c r="FN8" s="267"/>
      <c r="FO8" s="267" t="s">
        <v>54</v>
      </c>
      <c r="FP8" s="267" t="s">
        <v>55</v>
      </c>
      <c r="FQ8" s="267" t="s">
        <v>56</v>
      </c>
      <c r="FR8" s="267" t="s">
        <v>54</v>
      </c>
      <c r="FS8" s="267" t="s">
        <v>55</v>
      </c>
      <c r="FT8" s="267" t="s">
        <v>56</v>
      </c>
      <c r="FU8" s="267"/>
      <c r="FV8" s="267" t="s">
        <v>54</v>
      </c>
      <c r="FW8" s="267" t="s">
        <v>55</v>
      </c>
      <c r="FX8" s="267" t="s">
        <v>56</v>
      </c>
      <c r="FY8" s="267"/>
      <c r="FZ8" s="267" t="s">
        <v>54</v>
      </c>
      <c r="GA8" s="267" t="s">
        <v>55</v>
      </c>
      <c r="GB8" s="267" t="s">
        <v>56</v>
      </c>
      <c r="GC8" s="267" t="s">
        <v>54</v>
      </c>
      <c r="GD8" s="267" t="s">
        <v>55</v>
      </c>
      <c r="GE8" s="267" t="s">
        <v>56</v>
      </c>
      <c r="GF8" s="267"/>
      <c r="GG8" s="267" t="s">
        <v>54</v>
      </c>
      <c r="GH8" s="267" t="s">
        <v>55</v>
      </c>
      <c r="GI8" s="267" t="s">
        <v>56</v>
      </c>
      <c r="GJ8" s="267"/>
      <c r="GK8" s="267" t="s">
        <v>54</v>
      </c>
      <c r="GL8" s="267" t="s">
        <v>55</v>
      </c>
      <c r="GM8" s="267" t="s">
        <v>56</v>
      </c>
      <c r="GN8" s="265"/>
      <c r="GO8" s="267" t="s">
        <v>54</v>
      </c>
      <c r="GP8" s="267" t="s">
        <v>55</v>
      </c>
      <c r="GQ8" s="267" t="s">
        <v>56</v>
      </c>
      <c r="GR8" s="267" t="s">
        <v>54</v>
      </c>
      <c r="GS8" s="267" t="s">
        <v>55</v>
      </c>
      <c r="GT8" s="267" t="s">
        <v>56</v>
      </c>
      <c r="GU8" s="264"/>
      <c r="GV8" s="265"/>
      <c r="GW8" s="267" t="s">
        <v>54</v>
      </c>
      <c r="GX8" s="267" t="s">
        <v>55</v>
      </c>
      <c r="GY8" s="268" t="s">
        <v>56</v>
      </c>
      <c r="GZ8" s="268"/>
      <c r="HA8" s="267" t="s">
        <v>54</v>
      </c>
      <c r="HB8" s="267" t="s">
        <v>55</v>
      </c>
      <c r="HC8" s="267" t="s">
        <v>56</v>
      </c>
      <c r="HE8" s="267" t="s">
        <v>54</v>
      </c>
      <c r="HF8" s="267" t="s">
        <v>55</v>
      </c>
      <c r="HG8" s="267" t="s">
        <v>56</v>
      </c>
      <c r="HI8" s="267" t="s">
        <v>54</v>
      </c>
      <c r="HJ8" s="267" t="s">
        <v>55</v>
      </c>
      <c r="HK8" s="267" t="s">
        <v>56</v>
      </c>
      <c r="HM8" s="267" t="s">
        <v>54</v>
      </c>
      <c r="HN8" s="267" t="s">
        <v>55</v>
      </c>
      <c r="HO8" s="267" t="s">
        <v>56</v>
      </c>
      <c r="HQ8" s="267" t="s">
        <v>54</v>
      </c>
      <c r="HR8" s="267" t="s">
        <v>55</v>
      </c>
      <c r="HS8" s="267" t="s">
        <v>56</v>
      </c>
    </row>
    <row r="9" spans="1:228" x14ac:dyDescent="0.25">
      <c r="A9" s="235">
        <v>1</v>
      </c>
      <c r="B9" s="273" t="s">
        <v>200</v>
      </c>
      <c r="C9" s="274" t="s">
        <v>76</v>
      </c>
      <c r="D9" s="275">
        <v>24709302</v>
      </c>
      <c r="E9" s="275">
        <f>'[1]POLY DISB 2019'!C13</f>
        <v>24709302</v>
      </c>
      <c r="F9" s="275">
        <f>D9-E9</f>
        <v>0</v>
      </c>
      <c r="G9" s="275"/>
      <c r="H9" s="275">
        <v>10000000</v>
      </c>
      <c r="I9" s="275">
        <f>'[1]POLY DISB 2019'!D13</f>
        <v>10000000</v>
      </c>
      <c r="J9" s="275">
        <f>H9-I9</f>
        <v>0</v>
      </c>
      <c r="K9" s="275"/>
      <c r="L9" s="275">
        <v>20000000</v>
      </c>
      <c r="M9" s="275">
        <f>'[1]POLY DISB 2019'!E13</f>
        <v>20000000</v>
      </c>
      <c r="N9" s="275">
        <f>L9-M9</f>
        <v>0</v>
      </c>
      <c r="O9" s="275"/>
      <c r="P9" s="275">
        <v>25000000</v>
      </c>
      <c r="Q9" s="275">
        <f>'[1]POLY DISB 2019'!F13</f>
        <v>25000000</v>
      </c>
      <c r="R9" s="275">
        <f>P9-Q9</f>
        <v>0</v>
      </c>
      <c r="S9" s="275"/>
      <c r="T9" s="275">
        <v>12000000</v>
      </c>
      <c r="U9" s="275">
        <f>'[1]POLY DISB 2019'!G13</f>
        <v>12000000</v>
      </c>
      <c r="V9" s="275">
        <f>T9-U9</f>
        <v>0</v>
      </c>
      <c r="W9" s="275"/>
      <c r="X9" s="275">
        <v>12000000</v>
      </c>
      <c r="Y9" s="275">
        <f>'[1]POLY DISB 2019'!H13</f>
        <v>12000000</v>
      </c>
      <c r="Z9" s="275">
        <f>X9-Y9</f>
        <v>0</v>
      </c>
      <c r="AA9" s="275"/>
      <c r="AB9" s="275">
        <v>0</v>
      </c>
      <c r="AC9" s="275">
        <f>'[1]POLY DISB 2019'!I13</f>
        <v>0</v>
      </c>
      <c r="AD9" s="275">
        <f>AB9-AC9</f>
        <v>0</v>
      </c>
      <c r="AE9" s="275"/>
      <c r="AF9" s="275">
        <f>'[1]POLY commited funds to date'!K9</f>
        <v>20000000</v>
      </c>
      <c r="AG9" s="275">
        <f>'[1]POLY DISB 2019'!J13</f>
        <v>20000000</v>
      </c>
      <c r="AH9" s="275">
        <f>AF9-AG9</f>
        <v>0</v>
      </c>
      <c r="AI9" s="275"/>
      <c r="AJ9" s="275">
        <v>8500000</v>
      </c>
      <c r="AK9" s="275">
        <f>'[1]POLY DISB 2019'!K13</f>
        <v>8500000</v>
      </c>
      <c r="AL9" s="275">
        <f>AJ9-AK9</f>
        <v>0</v>
      </c>
      <c r="AM9" s="275"/>
      <c r="AN9" s="275">
        <v>20000000</v>
      </c>
      <c r="AO9" s="275">
        <f>'[1]POLY DISB 2019'!L13</f>
        <v>20000000</v>
      </c>
      <c r="AP9" s="275">
        <f>AN9-AO9</f>
        <v>0</v>
      </c>
      <c r="AQ9" s="275"/>
      <c r="AR9" s="275">
        <v>26000000</v>
      </c>
      <c r="AS9" s="275">
        <f>'[1]POLY DISB 2019'!M13</f>
        <v>26000000</v>
      </c>
      <c r="AT9" s="275">
        <f>AR9-AS9</f>
        <v>0</v>
      </c>
      <c r="AU9" s="275"/>
      <c r="AV9" s="275">
        <v>45000000</v>
      </c>
      <c r="AW9" s="275">
        <f>'[1]POLY DISB 2019'!N13</f>
        <v>45000000</v>
      </c>
      <c r="AX9" s="275">
        <f>AV9-AW9</f>
        <v>0</v>
      </c>
      <c r="AY9" s="275"/>
      <c r="AZ9" s="275">
        <v>38340000</v>
      </c>
      <c r="BA9" s="275">
        <f>'[1]POLY DISB 2019'!P13</f>
        <v>38340000</v>
      </c>
      <c r="BB9" s="275">
        <f>AZ9-BA9</f>
        <v>0</v>
      </c>
      <c r="BC9" s="275"/>
      <c r="BD9" s="275">
        <v>0</v>
      </c>
      <c r="BE9" s="275">
        <f>'[1]POLY DISB 2019'!Q13</f>
        <v>0</v>
      </c>
      <c r="BF9" s="275">
        <f>BD9-BE9</f>
        <v>0</v>
      </c>
      <c r="BG9" s="275"/>
      <c r="BH9" s="275">
        <f>'[1]POLY commited funds to date'!S9</f>
        <v>126060000</v>
      </c>
      <c r="BI9" s="275">
        <f>'[1]POLY DISB 2019'!R13</f>
        <v>126060000</v>
      </c>
      <c r="BJ9" s="275">
        <f>BH9-BI9</f>
        <v>0</v>
      </c>
      <c r="BK9" s="275"/>
      <c r="BL9" s="275">
        <v>220000000</v>
      </c>
      <c r="BM9" s="275">
        <f>'[1]POLY DISB 2019'!S13</f>
        <v>220000000</v>
      </c>
      <c r="BN9" s="269">
        <f>BL9-BM9</f>
        <v>0</v>
      </c>
      <c r="BO9" s="275"/>
      <c r="BP9" s="276">
        <f>'[1]POLY commited funds to date'!U9</f>
        <v>169900000</v>
      </c>
      <c r="BQ9" s="275">
        <f>'[1]POLY DISB 2019'!T13</f>
        <v>107037000</v>
      </c>
      <c r="BR9" s="275">
        <f>BP9-BQ9</f>
        <v>62863000</v>
      </c>
      <c r="BS9" s="275"/>
      <c r="BT9" s="275">
        <f>'[1]POLY commited funds to date'!V9</f>
        <v>10000000</v>
      </c>
      <c r="BU9" s="275">
        <f>'[1]POLY DISB 2019'!U13</f>
        <v>5100000</v>
      </c>
      <c r="BV9" s="275">
        <f>BT9-BU9</f>
        <v>4900000</v>
      </c>
      <c r="BW9" s="275"/>
      <c r="BX9" s="275">
        <f>'[1]POLY commited funds to date'!W9</f>
        <v>200000000</v>
      </c>
      <c r="BY9" s="275">
        <f>'[1]POLY DISB 2019'!V13</f>
        <v>170000000</v>
      </c>
      <c r="BZ9" s="275">
        <f>BX9-BY9</f>
        <v>30000000</v>
      </c>
      <c r="CA9" s="275"/>
      <c r="CB9" s="275">
        <f>'[1]POLY commited funds to date'!X9</f>
        <v>210000000</v>
      </c>
      <c r="CC9" s="275">
        <f>'[1]POLY DISB 2019'!W13</f>
        <v>132300000</v>
      </c>
      <c r="CD9" s="275">
        <f>CB9-CC9</f>
        <v>77700000</v>
      </c>
      <c r="CE9" s="275"/>
      <c r="CF9" s="275">
        <f>'[1]POLY commited funds to date'!Y9</f>
        <v>40000000</v>
      </c>
      <c r="CG9" s="275">
        <f>'[1]POLY DISB 2019'!X13</f>
        <v>40000000</v>
      </c>
      <c r="CH9" s="275">
        <f>CF9-CG9</f>
        <v>0</v>
      </c>
      <c r="CI9" s="275"/>
      <c r="CJ9" s="275">
        <f>'[1]POLY commited funds to date'!Z9</f>
        <v>150000000</v>
      </c>
      <c r="CK9" s="275">
        <f>'[1]POLY DISB 2019'!Y13</f>
        <v>150000000</v>
      </c>
      <c r="CL9" s="275">
        <f>CJ9-CK9</f>
        <v>0</v>
      </c>
      <c r="CM9" s="275"/>
      <c r="CN9" s="275">
        <f>'[1]POLY commited funds to date'!AA9</f>
        <v>243000000</v>
      </c>
      <c r="CO9" s="275">
        <f>'[1]POLY DISB 2019'!Z13</f>
        <v>153090000</v>
      </c>
      <c r="CP9" s="275">
        <f>CN9-CO9</f>
        <v>89910000</v>
      </c>
      <c r="CQ9" s="275"/>
      <c r="CR9" s="275">
        <v>10000000</v>
      </c>
      <c r="CS9" s="275">
        <f>'[1]POLY DISB 2019'!AA13</f>
        <v>5100000</v>
      </c>
      <c r="CT9" s="275">
        <f>CR9-CS9</f>
        <v>4900000</v>
      </c>
      <c r="CU9" s="275"/>
      <c r="CV9" s="275">
        <f>'[1]POLY commited funds to date'!AC9</f>
        <v>371000000</v>
      </c>
      <c r="CW9" s="275">
        <f>'[1]POLY DISB 2019'!AB13</f>
        <v>233730000</v>
      </c>
      <c r="CX9" s="275">
        <f>CV9-CW9</f>
        <v>137270000</v>
      </c>
      <c r="CY9" s="275"/>
      <c r="CZ9" s="275">
        <f>'[1]POLY commited funds to date'!AD9</f>
        <v>20000000</v>
      </c>
      <c r="DA9" s="275">
        <f>'[1]POLY DISB 2019'!AC13</f>
        <v>0</v>
      </c>
      <c r="DB9" s="275">
        <f>CZ9-DA9</f>
        <v>20000000</v>
      </c>
      <c r="DC9" s="275"/>
      <c r="DD9" s="275">
        <f>'[1]POLY commited funds to date'!AE9</f>
        <v>810000000</v>
      </c>
      <c r="DE9" s="275">
        <f>'[1]POLY DISB 2019'!AD13</f>
        <v>810000000</v>
      </c>
      <c r="DF9" s="275">
        <f>DD9-DE9</f>
        <v>0</v>
      </c>
      <c r="DG9" s="275"/>
      <c r="DH9" s="275">
        <f>'[1]poly  com. adj for fmis'!AE9</f>
        <v>80000000</v>
      </c>
      <c r="DI9" s="275">
        <f>'[1]POLY DISB 2019'!AE13</f>
        <v>0</v>
      </c>
      <c r="DJ9" s="275">
        <f>DH9-DI9</f>
        <v>80000000</v>
      </c>
      <c r="DK9" s="275"/>
      <c r="DL9" s="275">
        <f>'[1]poly  com. adj for fmis'!AF9</f>
        <v>8000000</v>
      </c>
      <c r="DM9" s="275">
        <f>'[1]POLY DISB 2019'!AF13</f>
        <v>0</v>
      </c>
      <c r="DN9" s="275">
        <f>DL9-DM9</f>
        <v>8000000</v>
      </c>
      <c r="DO9" s="275"/>
      <c r="DP9" s="275">
        <f>'[1]poly  com. adj for fmis'!AG9</f>
        <v>2000000</v>
      </c>
      <c r="DQ9" s="275">
        <f>'[1]POLY DISB 2019'!AG13</f>
        <v>0</v>
      </c>
      <c r="DR9" s="275">
        <f>DP9-DQ9</f>
        <v>2000000</v>
      </c>
      <c r="DS9" s="275"/>
      <c r="DT9" s="275">
        <f>'[1]poly  com. adj for fmis'!AH9</f>
        <v>10000000</v>
      </c>
      <c r="DU9" s="275">
        <f>'[1]POLY DISB 2019'!AH13</f>
        <v>0</v>
      </c>
      <c r="DV9" s="275">
        <f>DT9-DU9</f>
        <v>10000000</v>
      </c>
      <c r="DW9" s="275"/>
      <c r="DX9" s="275">
        <f>'[1]poly  com. adj for fmis'!AI9</f>
        <v>1000000000</v>
      </c>
      <c r="DY9" s="275">
        <f>'[1]POLY DISB 2019'!AI13</f>
        <v>573500000</v>
      </c>
      <c r="DZ9" s="275">
        <f>DX9-DY9</f>
        <v>426500000</v>
      </c>
      <c r="EA9" s="275"/>
      <c r="EB9" s="275">
        <f>'[1]POLY commited funds to date'!AK9</f>
        <v>380632000</v>
      </c>
      <c r="EC9" s="275">
        <f>'[1]POLY DISB 2019'!AJ13</f>
        <v>0</v>
      </c>
      <c r="ED9" s="275">
        <f>EB9-EC9</f>
        <v>380632000</v>
      </c>
      <c r="EE9" s="275"/>
      <c r="EF9" s="275">
        <f>'[1]POLY commited funds to date'!AL9</f>
        <v>8000000</v>
      </c>
      <c r="EG9" s="275">
        <f>'[1]POLY DISB 2019'!AK13</f>
        <v>0</v>
      </c>
      <c r="EH9" s="275">
        <f>EF9-EG9</f>
        <v>8000000</v>
      </c>
      <c r="EI9" s="275"/>
      <c r="EJ9" s="275">
        <f>'[1]POLY commited funds to date'!AM9</f>
        <v>10000000</v>
      </c>
      <c r="EK9" s="275">
        <f>'[1]POLY DISB 2019'!AL13</f>
        <v>0</v>
      </c>
      <c r="EL9" s="275">
        <f>EJ9-EK9</f>
        <v>10000000</v>
      </c>
      <c r="EM9" s="275"/>
      <c r="EN9" s="275">
        <f>'[1]POLY commited funds to date'!AN9</f>
        <v>10000000</v>
      </c>
      <c r="EO9" s="275">
        <f>'[1]POLY DISB 2019'!AM13</f>
        <v>0</v>
      </c>
      <c r="EP9" s="275">
        <f>EN9-EO9</f>
        <v>10000000</v>
      </c>
      <c r="EQ9" s="275">
        <f>'[1]POLY commited funds to date'!AO9</f>
        <v>0</v>
      </c>
      <c r="ER9" s="275">
        <f>'[1]POLY DISB 2019'!AN13</f>
        <v>0</v>
      </c>
      <c r="ES9" s="275">
        <f>EQ9-ER9</f>
        <v>0</v>
      </c>
      <c r="ET9" s="275"/>
      <c r="EU9" s="275">
        <f>'[1]POLY commited funds to date'!AP9</f>
        <v>205000000</v>
      </c>
      <c r="EV9" s="275">
        <f>'[1]POLY DISB 2019'!AO13</f>
        <v>0</v>
      </c>
      <c r="EW9" s="275">
        <f>EU9-EV9</f>
        <v>205000000</v>
      </c>
      <c r="EX9" s="275"/>
      <c r="EY9" s="275">
        <f>'[1]POLY commited funds to date'!AQ9</f>
        <v>75000000</v>
      </c>
      <c r="EZ9" s="275">
        <f>'[1]POLY DISB 2019'!AP13</f>
        <v>63750000</v>
      </c>
      <c r="FA9" s="275">
        <f>EY9-EZ9</f>
        <v>11250000</v>
      </c>
      <c r="FB9" s="275"/>
      <c r="FC9" s="275">
        <f>'[1]POLY commited funds to date'!AR9</f>
        <v>7000000</v>
      </c>
      <c r="FD9" s="275">
        <f>'[1]POLY DISB 2019'!AQ13</f>
        <v>0</v>
      </c>
      <c r="FE9" s="275">
        <f>FC9-FD9</f>
        <v>7000000</v>
      </c>
      <c r="FF9" s="275"/>
      <c r="FG9" s="275">
        <f>'[1]POLY commited funds to date'!AS9</f>
        <v>6300000</v>
      </c>
      <c r="FH9" s="275">
        <f>'[1]POLY DISB 2019'!AR13</f>
        <v>0</v>
      </c>
      <c r="FI9" s="275">
        <f>FG9-FH9</f>
        <v>6300000</v>
      </c>
      <c r="FJ9" s="275"/>
      <c r="FK9" s="275">
        <f>'[1]POLY commited funds to date'!AT9</f>
        <v>7500000</v>
      </c>
      <c r="FL9" s="275">
        <f>'[1]POLY DISB 2019'!AS13</f>
        <v>0</v>
      </c>
      <c r="FM9" s="275">
        <f>FK9-FL9</f>
        <v>7500000</v>
      </c>
      <c r="FN9" s="275"/>
      <c r="FO9" s="275">
        <f>'[1]POLY commited funds to date'!AU9</f>
        <v>245000000</v>
      </c>
      <c r="FP9" s="275">
        <f>'[1]POLY DISB 2019'!AT13</f>
        <v>0</v>
      </c>
      <c r="FQ9" s="275">
        <f>FO9-FP9</f>
        <v>245000000</v>
      </c>
      <c r="FR9" s="275">
        <f>'[1]POLY commited funds to date'!AV9</f>
        <v>119074602</v>
      </c>
      <c r="FS9" s="275">
        <f>'[1]POLY DISB 2019'!AU13</f>
        <v>0</v>
      </c>
      <c r="FT9" s="275">
        <f>FR9-FS9</f>
        <v>119074602</v>
      </c>
      <c r="FU9" s="275"/>
      <c r="FV9" s="275">
        <f>'[1]POLY commited funds to date'!AW9</f>
        <v>13000000</v>
      </c>
      <c r="FW9" s="275">
        <f>'[1]POLY DISB 2019'!AV13</f>
        <v>0</v>
      </c>
      <c r="FX9" s="275">
        <f>FV9-FW9</f>
        <v>13000000</v>
      </c>
      <c r="FY9" s="275"/>
      <c r="FZ9" s="275">
        <f>'[1]POLY commited funds to date'!AX9</f>
        <v>8628900</v>
      </c>
      <c r="GA9" s="275">
        <f>'[1]POLY DISB 2019'!AW13</f>
        <v>0</v>
      </c>
      <c r="GB9" s="275">
        <f>FZ9-GA9</f>
        <v>8628900</v>
      </c>
      <c r="GC9" s="275">
        <f>'[1]POLY commited funds to date'!AY9</f>
        <v>5000000</v>
      </c>
      <c r="GD9" s="275">
        <f>'[1]POLY DISB 2019'!AX13</f>
        <v>0</v>
      </c>
      <c r="GE9" s="275">
        <f>GC9-GD9</f>
        <v>5000000</v>
      </c>
      <c r="GF9" s="275"/>
      <c r="GG9" s="275">
        <f>'[1]POLY commited funds to date'!AZ9</f>
        <v>0</v>
      </c>
      <c r="GH9" s="275">
        <f>'[1]POLY DISB 2019'!AY13</f>
        <v>0</v>
      </c>
      <c r="GI9" s="275">
        <f>GG9-GH9</f>
        <v>0</v>
      </c>
      <c r="GJ9" s="275"/>
      <c r="GK9" s="275">
        <f>D9+H9+L9+AB9+AF9+AJ9+AN9+AR9+AV9+AZ9+BD9+BH9+BL9+BP9+BX9+CB9+CF9+CJ9+CN9+CR9+BT9+CV9+CZ9+DD9+T9+P9+X9+DH9+DL9+DP9+DT9+DX9+EB9+EF9+EJ9+EN9+EQ9+EU9+EY9+FC9+FG9+FK9+FO9+FR9+FV9+FZ9+GC9</f>
        <v>5041644804</v>
      </c>
      <c r="GL9" s="275">
        <f>E9+I9+M9+AC9+AG9+AK9+AO9+AS9+AW9+BA9+BE9+BI9+BM9+BQ9+BY9+CC9+CG9+CK9+CO9+CS9+BU9+CW9+DA9+DE9+U9+Q9+Y9+DI9+DM9+DQ9+DU9+DY9+EC9+EG9+EK9+EO9+ER9+EV9+EZ9+FD9+FH9+FL9+FP9+FS9+FW9+GA9+GD9</f>
        <v>3051216302</v>
      </c>
      <c r="GM9" s="275">
        <f>GK9-GL9</f>
        <v>1990428502</v>
      </c>
      <c r="GN9" s="265"/>
      <c r="GO9" s="277">
        <f>D9+H9+L9+P9+T9+X9+AF9+AN9+AR9+AV9+AZ9+BH9+BP9+CB9+CN9+CV9+DH9+EB9+EU9+FO9</f>
        <v>2283641302</v>
      </c>
      <c r="GP9" s="277">
        <f>E9+I9+M9+Q9+U9+Y9+AG9+AO9+AS9+AW9+BA9+BI9+BQ9+CC9+CO9+CW9+DI9+EC9+EV9+FP9</f>
        <v>1005266302</v>
      </c>
      <c r="GQ9" s="277">
        <f>GO9-GP9</f>
        <v>1278375000</v>
      </c>
      <c r="GR9" s="277">
        <f t="shared" ref="GR9:GS40" si="0">AJ9</f>
        <v>8500000</v>
      </c>
      <c r="GS9" s="277">
        <f t="shared" si="0"/>
        <v>8500000</v>
      </c>
      <c r="GT9" s="277">
        <f>GR9-GS9</f>
        <v>0</v>
      </c>
      <c r="GU9" s="277"/>
      <c r="GV9" s="278"/>
      <c r="GW9" s="279">
        <f>BD9+BL9+BX9+CF9+CJ9+DD9+DX9+AB9</f>
        <v>2420000000</v>
      </c>
      <c r="GX9" s="279">
        <f>BE9+BM9+BY9+CG9+CK9+DE9+DY9+AC9</f>
        <v>1963500000</v>
      </c>
      <c r="GY9" s="280">
        <f>GW9-GX9</f>
        <v>456500000</v>
      </c>
      <c r="GZ9" s="280"/>
      <c r="HA9" s="277">
        <f>BT9+CR9+CZ9+DT9+EJ9+FG9+FZ9</f>
        <v>74928900</v>
      </c>
      <c r="HB9" s="277">
        <f>BU9+CS9+DA9+DU9+EK9+FH9+GA9</f>
        <v>10200000</v>
      </c>
      <c r="HC9" s="277">
        <f>HA9-HB9</f>
        <v>64728900</v>
      </c>
      <c r="HE9" s="277">
        <f>DL9+EF9+FC9+FV9</f>
        <v>36000000</v>
      </c>
      <c r="HF9" s="277">
        <f>DM9+EG9+FD9+FW9</f>
        <v>0</v>
      </c>
      <c r="HG9" s="277">
        <f>HE9-HF9</f>
        <v>36000000</v>
      </c>
      <c r="HI9" s="279">
        <f>EQ9+EY9+FR9</f>
        <v>194074602</v>
      </c>
      <c r="HJ9" s="279">
        <f>ER9+EZ9+FS9</f>
        <v>63750000</v>
      </c>
      <c r="HK9" s="279">
        <f>HI9-HJ9</f>
        <v>130324602</v>
      </c>
      <c r="HM9" s="279">
        <f>DP9</f>
        <v>2000000</v>
      </c>
      <c r="HN9" s="279">
        <f t="shared" ref="HN9:HN69" si="1">DQ9</f>
        <v>0</v>
      </c>
      <c r="HO9" s="279">
        <f>HM9-HN9</f>
        <v>2000000</v>
      </c>
      <c r="HQ9" s="279">
        <f>EN9+FK9+GC9</f>
        <v>22500000</v>
      </c>
      <c r="HR9" s="279">
        <f t="shared" ref="HR9:HR72" si="2">EO9+FL9+GD9</f>
        <v>0</v>
      </c>
      <c r="HS9" s="279">
        <f>HQ9-HR9</f>
        <v>22500000</v>
      </c>
    </row>
    <row r="10" spans="1:228" x14ac:dyDescent="0.25">
      <c r="A10" s="235">
        <v>2</v>
      </c>
      <c r="B10" s="273" t="s">
        <v>201</v>
      </c>
      <c r="C10" s="274" t="s">
        <v>74</v>
      </c>
      <c r="D10" s="275">
        <v>24709302</v>
      </c>
      <c r="E10" s="275">
        <f>'[1]POLY DISB 2019'!C14</f>
        <v>24709302</v>
      </c>
      <c r="F10" s="275">
        <f t="shared" ref="F10:F75" si="3">D10-E10</f>
        <v>0</v>
      </c>
      <c r="G10" s="275"/>
      <c r="H10" s="275">
        <v>10000000</v>
      </c>
      <c r="I10" s="275">
        <f>'[1]POLY DISB 2019'!D14</f>
        <v>10000000</v>
      </c>
      <c r="J10" s="275">
        <f t="shared" ref="J10:J75" si="4">H10-I10</f>
        <v>0</v>
      </c>
      <c r="K10" s="275"/>
      <c r="L10" s="275">
        <v>20000000</v>
      </c>
      <c r="M10" s="275">
        <f>'[1]POLY DISB 2019'!E14</f>
        <v>20000000</v>
      </c>
      <c r="N10" s="275">
        <f t="shared" ref="N10:N74" si="5">L10-M10</f>
        <v>0</v>
      </c>
      <c r="O10" s="275"/>
      <c r="P10" s="275">
        <v>25000000</v>
      </c>
      <c r="Q10" s="275">
        <f>'[1]POLY DISB 2019'!F14</f>
        <v>25000000</v>
      </c>
      <c r="R10" s="275">
        <f t="shared" ref="R10:R74" si="6">P10-Q10</f>
        <v>0</v>
      </c>
      <c r="S10" s="275"/>
      <c r="T10" s="275">
        <v>12000000</v>
      </c>
      <c r="U10" s="275">
        <f>'[1]POLY DISB 2019'!G14</f>
        <v>12000000</v>
      </c>
      <c r="V10" s="275">
        <f t="shared" ref="V10:V75" si="7">T10-U10</f>
        <v>0</v>
      </c>
      <c r="W10" s="275"/>
      <c r="X10" s="275">
        <v>12000000</v>
      </c>
      <c r="Y10" s="275">
        <f>'[1]POLY DISB 2019'!H14</f>
        <v>12000000</v>
      </c>
      <c r="Z10" s="275">
        <f t="shared" ref="Z10:Z75" si="8">X10-Y10</f>
        <v>0</v>
      </c>
      <c r="AA10" s="275"/>
      <c r="AB10" s="275">
        <v>0</v>
      </c>
      <c r="AC10" s="275">
        <f>'[1]POLY DISB 2019'!I14</f>
        <v>0</v>
      </c>
      <c r="AD10" s="275">
        <f t="shared" ref="AD10:AD75" si="9">AB10-AC10</f>
        <v>0</v>
      </c>
      <c r="AE10" s="275"/>
      <c r="AF10" s="275">
        <f>'[1]POLY commited funds to date'!K10</f>
        <v>20000000</v>
      </c>
      <c r="AG10" s="275">
        <f>'[1]POLY DISB 2019'!J14</f>
        <v>20000000</v>
      </c>
      <c r="AH10" s="275">
        <f t="shared" ref="AH10:AH75" si="10">AF10-AG10</f>
        <v>0</v>
      </c>
      <c r="AI10" s="275"/>
      <c r="AJ10" s="275">
        <v>8500000</v>
      </c>
      <c r="AK10" s="275">
        <f>'[1]POLY DISB 2019'!K14</f>
        <v>8500000</v>
      </c>
      <c r="AL10" s="275">
        <f t="shared" ref="AL10:AL75" si="11">AJ10-AK10</f>
        <v>0</v>
      </c>
      <c r="AM10" s="275"/>
      <c r="AN10" s="275">
        <v>20000000</v>
      </c>
      <c r="AO10" s="275">
        <f>'[1]POLY DISB 2019'!L14</f>
        <v>20000000</v>
      </c>
      <c r="AP10" s="275">
        <f t="shared" ref="AP10:AP75" si="12">AN10-AO10</f>
        <v>0</v>
      </c>
      <c r="AQ10" s="275"/>
      <c r="AR10" s="275">
        <v>26000000</v>
      </c>
      <c r="AS10" s="275">
        <f>'[1]POLY DISB 2019'!M14</f>
        <v>26000000</v>
      </c>
      <c r="AT10" s="275">
        <f t="shared" ref="AT10:AT75" si="13">AR10-AS10</f>
        <v>0</v>
      </c>
      <c r="AU10" s="275"/>
      <c r="AV10" s="275">
        <v>45000000</v>
      </c>
      <c r="AW10" s="275">
        <f>'[1]POLY DISB 2019'!N14</f>
        <v>45000000</v>
      </c>
      <c r="AX10" s="275">
        <f t="shared" ref="AX10:AX75" si="14">AV10-AW10</f>
        <v>0</v>
      </c>
      <c r="AY10" s="275"/>
      <c r="AZ10" s="275">
        <v>38340000</v>
      </c>
      <c r="BA10" s="275">
        <f>'[1]POLY DISB 2019'!P14</f>
        <v>38340000</v>
      </c>
      <c r="BB10" s="275">
        <f t="shared" ref="BB10:BB75" si="15">AZ10-BA10</f>
        <v>0</v>
      </c>
      <c r="BC10" s="275"/>
      <c r="BD10" s="275">
        <v>0</v>
      </c>
      <c r="BE10" s="275">
        <f>'[1]POLY DISB 2019'!Q14</f>
        <v>0</v>
      </c>
      <c r="BF10" s="275">
        <f t="shared" ref="BF10:BF75" si="16">BD10-BE10</f>
        <v>0</v>
      </c>
      <c r="BG10" s="275"/>
      <c r="BH10" s="275">
        <v>107151000</v>
      </c>
      <c r="BI10" s="275">
        <f>'[1]POLY DISB 2019'!R14</f>
        <v>107151000</v>
      </c>
      <c r="BJ10" s="275">
        <f t="shared" ref="BJ10:BJ75" si="17">BH10-BI10</f>
        <v>0</v>
      </c>
      <c r="BK10" s="275"/>
      <c r="BL10" s="275">
        <f>'[1]poly  com. adj for fmis'!S10</f>
        <v>0</v>
      </c>
      <c r="BM10" s="275">
        <f>'[1]POLY DISB 2019'!S14</f>
        <v>0</v>
      </c>
      <c r="BN10" s="269">
        <f t="shared" ref="BN10:BN75" si="18">BL10-BM10</f>
        <v>0</v>
      </c>
      <c r="BO10" s="275"/>
      <c r="BP10" s="276">
        <f>'[1]POLY commited funds to date'!U10</f>
        <v>169900000</v>
      </c>
      <c r="BQ10" s="275">
        <f>'[1]POLY DISB 2019'!T14</f>
        <v>144415000</v>
      </c>
      <c r="BR10" s="275">
        <f t="shared" ref="BR10:BR75" si="19">BP10-BQ10</f>
        <v>25485000</v>
      </c>
      <c r="BS10" s="275"/>
      <c r="BT10" s="275">
        <f>'[1]POLY commited funds to date'!V10</f>
        <v>10000000</v>
      </c>
      <c r="BU10" s="275">
        <f>'[1]POLY DISB 2019'!U14</f>
        <v>8500000</v>
      </c>
      <c r="BV10" s="275">
        <f t="shared" ref="BV10:BV75" si="20">BT10-BU10</f>
        <v>1500000</v>
      </c>
      <c r="BW10" s="275"/>
      <c r="BX10" s="275">
        <f>'[1]POLY commited funds to date'!W10</f>
        <v>0</v>
      </c>
      <c r="BY10" s="275">
        <f>'[1]POLY DISB 2019'!V14</f>
        <v>0</v>
      </c>
      <c r="BZ10" s="275">
        <f t="shared" ref="BZ10:BZ75" si="21">BX10-BY10</f>
        <v>0</v>
      </c>
      <c r="CA10" s="275"/>
      <c r="CB10" s="275">
        <f>'[1]POLY commited funds to date'!X10</f>
        <v>210000000</v>
      </c>
      <c r="CC10" s="275">
        <f>'[1]POLY DISB 2019'!W14</f>
        <v>178500000</v>
      </c>
      <c r="CD10" s="275">
        <f t="shared" ref="CD10:CD75" si="22">CB10-CC10</f>
        <v>31500000</v>
      </c>
      <c r="CE10" s="275"/>
      <c r="CF10" s="275">
        <f>'[1]POLY commited funds to date'!Y10</f>
        <v>42000000</v>
      </c>
      <c r="CG10" s="275">
        <f>'[1]POLY DISB 2019'!X14</f>
        <v>35700000</v>
      </c>
      <c r="CH10" s="275">
        <f t="shared" ref="CH10:CH75" si="23">CF10-CG10</f>
        <v>6300000</v>
      </c>
      <c r="CI10" s="275"/>
      <c r="CJ10" s="275">
        <f>'[1]POLY commited funds to date'!Z10</f>
        <v>10000000</v>
      </c>
      <c r="CK10" s="275">
        <f>'[1]POLY DISB 2019'!Y14</f>
        <v>8500000</v>
      </c>
      <c r="CL10" s="275">
        <f t="shared" ref="CL10:CL75" si="24">CJ10-CK10</f>
        <v>1500000</v>
      </c>
      <c r="CM10" s="275"/>
      <c r="CN10" s="275">
        <f>'[1]POLY commited funds to date'!AA10</f>
        <v>243000000</v>
      </c>
      <c r="CO10" s="275">
        <f>'[1]POLY DISB 2019'!Z14</f>
        <v>206550000</v>
      </c>
      <c r="CP10" s="275">
        <f t="shared" ref="CP10:CP75" si="25">CN10-CO10</f>
        <v>36450000</v>
      </c>
      <c r="CQ10" s="275"/>
      <c r="CR10" s="275">
        <v>10000000</v>
      </c>
      <c r="CS10" s="275">
        <f>'[1]POLY DISB 2019'!AA14</f>
        <v>8500000</v>
      </c>
      <c r="CT10" s="275">
        <f t="shared" ref="CT10:CT75" si="26">CR10-CS10</f>
        <v>1500000</v>
      </c>
      <c r="CU10" s="275"/>
      <c r="CV10" s="275">
        <f>'[1]POLY commited funds to date'!AC10</f>
        <v>371000000</v>
      </c>
      <c r="CW10" s="275">
        <f>'[1]POLY DISB 2019'!AB14</f>
        <v>315350000</v>
      </c>
      <c r="CX10" s="275">
        <f t="shared" ref="CX10:CX75" si="27">CV10-CW10</f>
        <v>55650000</v>
      </c>
      <c r="CY10" s="275"/>
      <c r="CZ10" s="275">
        <f>'[1]POLY commited funds to date'!AD10</f>
        <v>20000000</v>
      </c>
      <c r="DA10" s="275">
        <f>'[1]POLY DISB 2019'!AC14</f>
        <v>17000000</v>
      </c>
      <c r="DB10" s="275">
        <f t="shared" ref="DB10:DB75" si="28">CZ10-DA10</f>
        <v>3000000</v>
      </c>
      <c r="DC10" s="275"/>
      <c r="DD10" s="275">
        <f>'[1]POLY commited funds to date'!AE10</f>
        <v>100000000</v>
      </c>
      <c r="DE10" s="275">
        <f>'[1]POLY DISB 2019'!AD14</f>
        <v>100000000</v>
      </c>
      <c r="DF10" s="275">
        <f t="shared" ref="DF10:DF74" si="29">DD10-DE10</f>
        <v>0</v>
      </c>
      <c r="DG10" s="275"/>
      <c r="DH10" s="275">
        <f>'[1]poly  com. adj for fmis'!AE10</f>
        <v>80000000</v>
      </c>
      <c r="DI10" s="275">
        <f>'[1]POLY DISB 2019'!AE14</f>
        <v>0</v>
      </c>
      <c r="DJ10" s="275">
        <f t="shared" ref="DJ10:DJ75" si="30">DH10-DI10</f>
        <v>80000000</v>
      </c>
      <c r="DK10" s="275"/>
      <c r="DL10" s="275">
        <f>'[1]poly  com. adj for fmis'!AF10</f>
        <v>8000000</v>
      </c>
      <c r="DM10" s="275">
        <f>'[1]POLY DISB 2019'!AF14</f>
        <v>0</v>
      </c>
      <c r="DN10" s="275">
        <f t="shared" ref="DN10:DN75" si="31">DL10-DM10</f>
        <v>8000000</v>
      </c>
      <c r="DO10" s="275"/>
      <c r="DP10" s="275">
        <f>'[1]poly  com. adj for fmis'!AG10</f>
        <v>2000000</v>
      </c>
      <c r="DQ10" s="275">
        <f>'[1]POLY DISB 2019'!AG14</f>
        <v>0</v>
      </c>
      <c r="DR10" s="275">
        <f t="shared" ref="DR10:DR75" si="32">DP10-DQ10</f>
        <v>2000000</v>
      </c>
      <c r="DS10" s="275"/>
      <c r="DT10" s="275">
        <f>'[1]poly  com. adj for fmis'!AH10</f>
        <v>10000000</v>
      </c>
      <c r="DU10" s="275">
        <f>'[1]POLY DISB 2019'!AH14</f>
        <v>8500000</v>
      </c>
      <c r="DV10" s="275">
        <f t="shared" ref="DV10:DV75" si="33">DT10-DU10</f>
        <v>1500000</v>
      </c>
      <c r="DW10" s="275"/>
      <c r="DX10" s="275">
        <f>'[1]poly  com. adj for fmis'!AI10</f>
        <v>500000000</v>
      </c>
      <c r="DY10" s="275">
        <f>'[1]POLY DISB 2019'!AI14</f>
        <v>500000000</v>
      </c>
      <c r="DZ10" s="275">
        <f t="shared" ref="DZ10:DZ75" si="34">DX10-DY10</f>
        <v>0</v>
      </c>
      <c r="EA10" s="275"/>
      <c r="EB10" s="275">
        <f>'[1]POLY commited funds to date'!AK10</f>
        <v>380632000</v>
      </c>
      <c r="EC10" s="275">
        <f>'[1]POLY DISB 2019'!AJ14</f>
        <v>0</v>
      </c>
      <c r="ED10" s="275">
        <f t="shared" ref="ED10:ED75" si="35">EB10-EC10</f>
        <v>380632000</v>
      </c>
      <c r="EE10" s="275"/>
      <c r="EF10" s="275">
        <f>'[1]POLY commited funds to date'!AL10</f>
        <v>8000000</v>
      </c>
      <c r="EG10" s="275">
        <f>'[1]POLY DISB 2019'!AK14</f>
        <v>0</v>
      </c>
      <c r="EH10" s="275">
        <f t="shared" ref="EH10:EH75" si="36">EF10-EG10</f>
        <v>8000000</v>
      </c>
      <c r="EI10" s="275"/>
      <c r="EJ10" s="275">
        <f>'[1]POLY commited funds to date'!AM10</f>
        <v>10000000</v>
      </c>
      <c r="EK10" s="275">
        <f>'[1]POLY DISB 2019'!AL14</f>
        <v>0</v>
      </c>
      <c r="EL10" s="275">
        <f t="shared" ref="EL10:EL75" si="37">EJ10-EK10</f>
        <v>10000000</v>
      </c>
      <c r="EM10" s="275"/>
      <c r="EN10" s="275">
        <f>'[1]POLY commited funds to date'!AN10</f>
        <v>10000000</v>
      </c>
      <c r="EO10" s="275">
        <f>'[1]POLY DISB 2019'!AM14</f>
        <v>0</v>
      </c>
      <c r="EP10" s="275">
        <f t="shared" ref="EP10:EP75" si="38">EN10-EO10</f>
        <v>10000000</v>
      </c>
      <c r="EQ10" s="275">
        <f>'[1]POLY commited funds to date'!AO10</f>
        <v>0</v>
      </c>
      <c r="ER10" s="275">
        <f>'[1]POLY DISB 2019'!AN14</f>
        <v>0</v>
      </c>
      <c r="ES10" s="275">
        <f t="shared" ref="ES10:ES75" si="39">EQ10-ER10</f>
        <v>0</v>
      </c>
      <c r="ET10" s="275"/>
      <c r="EU10" s="275">
        <f>'[1]POLY commited funds to date'!AP10</f>
        <v>205000000</v>
      </c>
      <c r="EV10" s="275">
        <f>'[1]POLY DISB 2019'!AO14</f>
        <v>0</v>
      </c>
      <c r="EW10" s="275">
        <f t="shared" ref="EW10:EW66" si="40">EU10-EV10</f>
        <v>205000000</v>
      </c>
      <c r="EX10" s="275"/>
      <c r="EY10" s="275">
        <f>'[1]POLY commited funds to date'!AQ10</f>
        <v>75000000</v>
      </c>
      <c r="EZ10" s="275">
        <f>'[1]POLY DISB 2019'!AP14</f>
        <v>45750000</v>
      </c>
      <c r="FA10" s="275">
        <f t="shared" ref="FA10:FA66" si="41">EY10-EZ10</f>
        <v>29250000</v>
      </c>
      <c r="FB10" s="275"/>
      <c r="FC10" s="275">
        <f>'[1]POLY commited funds to date'!AR10</f>
        <v>7000000</v>
      </c>
      <c r="FD10" s="275">
        <f>'[1]POLY DISB 2019'!AQ14</f>
        <v>0</v>
      </c>
      <c r="FE10" s="275">
        <f t="shared" ref="FE10:FE66" si="42">FC10-FD10</f>
        <v>7000000</v>
      </c>
      <c r="FF10" s="275"/>
      <c r="FG10" s="275">
        <f>'[1]POLY commited funds to date'!AS10</f>
        <v>6300000</v>
      </c>
      <c r="FH10" s="275">
        <f>'[1]POLY DISB 2019'!AR14</f>
        <v>0</v>
      </c>
      <c r="FI10" s="275">
        <f t="shared" ref="FI10:FI66" si="43">FG10-FH10</f>
        <v>6300000</v>
      </c>
      <c r="FJ10" s="275"/>
      <c r="FK10" s="275">
        <f>'[1]POLY commited funds to date'!AT10</f>
        <v>7500000</v>
      </c>
      <c r="FL10" s="275">
        <f>'[1]POLY DISB 2019'!AS14</f>
        <v>0</v>
      </c>
      <c r="FM10" s="275">
        <f t="shared" ref="FM10:FM66" si="44">FK10-FL10</f>
        <v>7500000</v>
      </c>
      <c r="FN10" s="275"/>
      <c r="FO10" s="275">
        <f>'[1]POLY commited funds to date'!AU10</f>
        <v>245000000</v>
      </c>
      <c r="FP10" s="275">
        <f>'[1]POLY DISB 2019'!AT14</f>
        <v>0</v>
      </c>
      <c r="FQ10" s="275">
        <f t="shared" ref="FQ10:FQ66" si="45">FO10-FP10</f>
        <v>245000000</v>
      </c>
      <c r="FR10" s="275">
        <f>'[1]POLY commited funds to date'!AV10</f>
        <v>119074602</v>
      </c>
      <c r="FS10" s="275">
        <f>'[1]POLY DISB 2019'!AU14</f>
        <v>0</v>
      </c>
      <c r="FT10" s="275">
        <f t="shared" ref="FT10:FT66" si="46">FR10-FS10</f>
        <v>119074602</v>
      </c>
      <c r="FU10" s="275"/>
      <c r="FV10" s="275">
        <f>'[1]POLY commited funds to date'!AW10</f>
        <v>13000000</v>
      </c>
      <c r="FW10" s="275">
        <f>'[1]POLY DISB 2019'!AV14</f>
        <v>0</v>
      </c>
      <c r="FX10" s="275">
        <f t="shared" ref="FX10:FX66" si="47">FV10-FW10</f>
        <v>13000000</v>
      </c>
      <c r="FY10" s="275"/>
      <c r="FZ10" s="275">
        <f>'[1]POLY commited funds to date'!AX10</f>
        <v>8628900</v>
      </c>
      <c r="GA10" s="275">
        <f>'[1]POLY DISB 2019'!AW14</f>
        <v>0</v>
      </c>
      <c r="GB10" s="275">
        <f t="shared" ref="GB10:GB66" si="48">FZ10-GA10</f>
        <v>8628900</v>
      </c>
      <c r="GC10" s="275">
        <f>'[1]POLY commited funds to date'!AY10</f>
        <v>5000000</v>
      </c>
      <c r="GD10" s="275">
        <f>'[1]POLY DISB 2019'!AX14</f>
        <v>0</v>
      </c>
      <c r="GE10" s="275">
        <f t="shared" ref="GE10:GE66" si="49">GC10-GD10</f>
        <v>5000000</v>
      </c>
      <c r="GF10" s="275"/>
      <c r="GG10" s="275">
        <f>'[1]POLY commited funds to date'!AZ10</f>
        <v>0</v>
      </c>
      <c r="GH10" s="275">
        <f>'[1]POLY DISB 2019'!AY14</f>
        <v>0</v>
      </c>
      <c r="GI10" s="275">
        <f t="shared" ref="GI10:GI74" si="50">GG10-GH10</f>
        <v>0</v>
      </c>
      <c r="GJ10" s="275"/>
      <c r="GK10" s="275">
        <f t="shared" ref="GK10:GL74" si="51">D10+H10+L10+AB10+AF10+AJ10+AN10+AR10+AV10+AZ10+BD10+BH10+BL10+BP10+BX10+CB10+CF10+CJ10+CN10+CR10+BT10+CV10+CZ10+DD10+T10+P10+X10+DH10+DL10+DP10+DT10+DX10+EB10+EF10+EJ10+EN10+EQ10+EU10+EY10+FC10+FG10+FK10+FO10+FR10+FV10+FZ10+GC10</f>
        <v>3254735804</v>
      </c>
      <c r="GL10" s="275">
        <f t="shared" si="51"/>
        <v>1945965302</v>
      </c>
      <c r="GM10" s="275">
        <f t="shared" ref="GM10:GM74" si="52">GK10-GL10</f>
        <v>1308770502</v>
      </c>
      <c r="GN10" s="265"/>
      <c r="GO10" s="277">
        <f t="shared" ref="GO10:GP74" si="53">D10+H10+L10+P10+T10+X10+AF10+AN10+AR10+AV10+AZ10+BH10+BP10+CB10+CN10+CV10+DH10+EB10+EU10+FO10</f>
        <v>2264732302</v>
      </c>
      <c r="GP10" s="277">
        <f t="shared" si="53"/>
        <v>1205015302</v>
      </c>
      <c r="GQ10" s="277">
        <f t="shared" ref="GQ10:GQ74" si="54">GO10-GP10</f>
        <v>1059717000</v>
      </c>
      <c r="GR10" s="277">
        <f t="shared" si="0"/>
        <v>8500000</v>
      </c>
      <c r="GS10" s="277">
        <f t="shared" si="0"/>
        <v>8500000</v>
      </c>
      <c r="GT10" s="277">
        <f t="shared" ref="GT10:GT75" si="55">GR10-GS10</f>
        <v>0</v>
      </c>
      <c r="GU10" s="277"/>
      <c r="GV10" s="265"/>
      <c r="GW10" s="279">
        <f t="shared" ref="GW10:GX25" si="56">BD10+BL10+BX10+CF10+CJ10+DD10+DX10+AB10</f>
        <v>652000000</v>
      </c>
      <c r="GX10" s="279">
        <f t="shared" si="56"/>
        <v>644200000</v>
      </c>
      <c r="GY10" s="280">
        <f t="shared" ref="GY10:GY73" si="57">GW10-GX10</f>
        <v>7800000</v>
      </c>
      <c r="GZ10" s="280"/>
      <c r="HA10" s="277">
        <f t="shared" ref="HA10:HB74" si="58">BT10+CR10+CZ10+DT10+EJ10+FG10+FZ10</f>
        <v>74928900</v>
      </c>
      <c r="HB10" s="277">
        <f t="shared" si="58"/>
        <v>42500000</v>
      </c>
      <c r="HC10" s="277">
        <f t="shared" ref="HC10:HC74" si="59">HA10-HB10</f>
        <v>32428900</v>
      </c>
      <c r="HE10" s="277">
        <f t="shared" ref="HE10:HF74" si="60">DL10+EF10+FC10+FV10</f>
        <v>36000000</v>
      </c>
      <c r="HF10" s="277">
        <f t="shared" si="60"/>
        <v>0</v>
      </c>
      <c r="HG10" s="277">
        <f t="shared" ref="HG10:HG74" si="61">HE10-HF10</f>
        <v>36000000</v>
      </c>
      <c r="HI10" s="279">
        <f t="shared" ref="HI10:HJ74" si="62">EQ10+EY10+FR10</f>
        <v>194074602</v>
      </c>
      <c r="HJ10" s="279">
        <f t="shared" si="62"/>
        <v>45750000</v>
      </c>
      <c r="HK10" s="279">
        <f t="shared" ref="HK10:HK74" si="63">HI10-HJ10</f>
        <v>148324602</v>
      </c>
      <c r="HM10" s="279">
        <f t="shared" ref="HM10:HM69" si="64">DP10</f>
        <v>2000000</v>
      </c>
      <c r="HN10" s="279">
        <f t="shared" si="1"/>
        <v>0</v>
      </c>
      <c r="HO10" s="279">
        <f t="shared" ref="HO10:HO75" si="65">HM10-HN10</f>
        <v>2000000</v>
      </c>
      <c r="HQ10" s="279">
        <f t="shared" ref="HQ10:HR74" si="66">EN10+FK10+GC10</f>
        <v>22500000</v>
      </c>
      <c r="HR10" s="279">
        <f t="shared" si="2"/>
        <v>0</v>
      </c>
      <c r="HS10" s="279">
        <f t="shared" ref="HS10:HS74" si="67">HQ10-HR10</f>
        <v>22500000</v>
      </c>
    </row>
    <row r="11" spans="1:228" x14ac:dyDescent="0.25">
      <c r="A11" s="235">
        <v>3</v>
      </c>
      <c r="B11" s="273" t="s">
        <v>202</v>
      </c>
      <c r="C11" s="274" t="s">
        <v>74</v>
      </c>
      <c r="D11" s="275">
        <v>24709302</v>
      </c>
      <c r="E11" s="275">
        <f>'[1]POLY DISB 2019'!C15</f>
        <v>24709302</v>
      </c>
      <c r="F11" s="275">
        <f t="shared" si="3"/>
        <v>0</v>
      </c>
      <c r="G11" s="275"/>
      <c r="H11" s="275">
        <v>10000000</v>
      </c>
      <c r="I11" s="275">
        <f>'[1]POLY DISB 2019'!D15</f>
        <v>10000000</v>
      </c>
      <c r="J11" s="275">
        <f t="shared" si="4"/>
        <v>0</v>
      </c>
      <c r="K11" s="275"/>
      <c r="L11" s="275">
        <v>20000000</v>
      </c>
      <c r="M11" s="275">
        <f>'[1]POLY DISB 2019'!E15</f>
        <v>20000000</v>
      </c>
      <c r="N11" s="275">
        <f t="shared" si="5"/>
        <v>0</v>
      </c>
      <c r="O11" s="275"/>
      <c r="P11" s="275">
        <v>25000000</v>
      </c>
      <c r="Q11" s="275">
        <f>'[1]POLY DISB 2019'!F15</f>
        <v>25000000</v>
      </c>
      <c r="R11" s="275">
        <f t="shared" si="6"/>
        <v>0</v>
      </c>
      <c r="S11" s="275"/>
      <c r="T11" s="275">
        <v>12000000</v>
      </c>
      <c r="U11" s="275">
        <f>'[1]POLY DISB 2019'!G15</f>
        <v>12000000</v>
      </c>
      <c r="V11" s="275">
        <f t="shared" si="7"/>
        <v>0</v>
      </c>
      <c r="W11" s="275"/>
      <c r="X11" s="275">
        <v>12000000</v>
      </c>
      <c r="Y11" s="275">
        <f>'[1]POLY DISB 2019'!H15</f>
        <v>12000000</v>
      </c>
      <c r="Z11" s="275">
        <f t="shared" si="8"/>
        <v>0</v>
      </c>
      <c r="AA11" s="275"/>
      <c r="AB11" s="275">
        <v>0</v>
      </c>
      <c r="AC11" s="275">
        <f>'[1]POLY DISB 2019'!I15</f>
        <v>0</v>
      </c>
      <c r="AD11" s="275">
        <f t="shared" si="9"/>
        <v>0</v>
      </c>
      <c r="AE11" s="275"/>
      <c r="AF11" s="275">
        <f>'[1]POLY commited funds to date'!K11</f>
        <v>20000000</v>
      </c>
      <c r="AG11" s="275">
        <f>'[1]POLY DISB 2019'!J15</f>
        <v>20000000</v>
      </c>
      <c r="AH11" s="275">
        <f t="shared" si="10"/>
        <v>0</v>
      </c>
      <c r="AI11" s="275"/>
      <c r="AJ11" s="275">
        <v>10000000</v>
      </c>
      <c r="AK11" s="275">
        <f>'[1]POLY DISB 2019'!K15</f>
        <v>10000000</v>
      </c>
      <c r="AL11" s="275">
        <f t="shared" si="11"/>
        <v>0</v>
      </c>
      <c r="AM11" s="275"/>
      <c r="AN11" s="275">
        <v>20000000</v>
      </c>
      <c r="AO11" s="275">
        <f>'[1]POLY DISB 2019'!L15</f>
        <v>20000000</v>
      </c>
      <c r="AP11" s="275">
        <f t="shared" si="12"/>
        <v>0</v>
      </c>
      <c r="AQ11" s="275"/>
      <c r="AR11" s="275">
        <v>26000000</v>
      </c>
      <c r="AS11" s="275">
        <f>'[1]POLY DISB 2019'!M15</f>
        <v>26000000</v>
      </c>
      <c r="AT11" s="275">
        <f t="shared" si="13"/>
        <v>0</v>
      </c>
      <c r="AU11" s="275"/>
      <c r="AV11" s="275">
        <v>45000000</v>
      </c>
      <c r="AW11" s="275">
        <f>'[1]POLY DISB 2019'!N15</f>
        <v>45000000</v>
      </c>
      <c r="AX11" s="275">
        <f t="shared" si="14"/>
        <v>0</v>
      </c>
      <c r="AY11" s="275"/>
      <c r="AZ11" s="275">
        <v>38340000</v>
      </c>
      <c r="BA11" s="275">
        <f>'[1]POLY DISB 2019'!P15</f>
        <v>38340000</v>
      </c>
      <c r="BB11" s="275">
        <f t="shared" si="15"/>
        <v>0</v>
      </c>
      <c r="BC11" s="275"/>
      <c r="BD11" s="275">
        <v>20000000</v>
      </c>
      <c r="BE11" s="275">
        <f>'[1]POLY DISB 2019'!Q15</f>
        <v>20000000</v>
      </c>
      <c r="BF11" s="275">
        <f t="shared" si="16"/>
        <v>0</v>
      </c>
      <c r="BG11" s="275"/>
      <c r="BH11" s="275">
        <f>'[1]POLY commited funds to date'!S11</f>
        <v>126060000</v>
      </c>
      <c r="BI11" s="275">
        <f>'[1]POLY DISB 2019'!R15</f>
        <v>126060000</v>
      </c>
      <c r="BJ11" s="275">
        <f t="shared" si="17"/>
        <v>0</v>
      </c>
      <c r="BK11" s="275"/>
      <c r="BL11" s="275">
        <v>170000000</v>
      </c>
      <c r="BM11" s="275">
        <f>'[1]POLY DISB 2019'!S15</f>
        <v>170000000</v>
      </c>
      <c r="BN11" s="269">
        <f t="shared" si="18"/>
        <v>0</v>
      </c>
      <c r="BO11" s="275"/>
      <c r="BP11" s="276">
        <f>'[1]POLY commited funds to date'!U11</f>
        <v>169900000</v>
      </c>
      <c r="BQ11" s="275">
        <f>'[1]POLY DISB 2019'!T15</f>
        <v>144415000</v>
      </c>
      <c r="BR11" s="275">
        <f t="shared" si="19"/>
        <v>25485000</v>
      </c>
      <c r="BS11" s="275"/>
      <c r="BT11" s="275">
        <f>'[1]POLY commited funds to date'!V11</f>
        <v>10000000</v>
      </c>
      <c r="BU11" s="275">
        <f>'[1]POLY DISB 2019'!U15</f>
        <v>8500000</v>
      </c>
      <c r="BV11" s="275">
        <f t="shared" si="20"/>
        <v>1500000</v>
      </c>
      <c r="BW11" s="275"/>
      <c r="BX11" s="275">
        <f>'[1]POLY commited funds to date'!W11</f>
        <v>0</v>
      </c>
      <c r="BY11" s="275">
        <f>'[1]POLY DISB 2019'!V15</f>
        <v>0</v>
      </c>
      <c r="BZ11" s="275">
        <f t="shared" si="21"/>
        <v>0</v>
      </c>
      <c r="CA11" s="275"/>
      <c r="CB11" s="275">
        <f>'[1]POLY commited funds to date'!X11</f>
        <v>210000000</v>
      </c>
      <c r="CC11" s="275">
        <f>'[1]POLY DISB 2019'!W15</f>
        <v>178500000</v>
      </c>
      <c r="CD11" s="275">
        <f t="shared" si="22"/>
        <v>31500000</v>
      </c>
      <c r="CE11" s="275"/>
      <c r="CF11" s="275">
        <f>'[1]POLY commited funds to date'!Y11</f>
        <v>100000000</v>
      </c>
      <c r="CG11" s="275">
        <f>'[1]POLY DISB 2019'!X15</f>
        <v>100000000</v>
      </c>
      <c r="CH11" s="275">
        <f t="shared" si="23"/>
        <v>0</v>
      </c>
      <c r="CI11" s="275"/>
      <c r="CJ11" s="275">
        <f>'[1]POLY commited funds to date'!Z11</f>
        <v>0</v>
      </c>
      <c r="CK11" s="275">
        <f>'[1]POLY DISB 2019'!Y15</f>
        <v>0</v>
      </c>
      <c r="CL11" s="275">
        <f t="shared" si="24"/>
        <v>0</v>
      </c>
      <c r="CM11" s="275"/>
      <c r="CN11" s="275">
        <f>'[1]POLY commited funds to date'!AA11</f>
        <v>243000000</v>
      </c>
      <c r="CO11" s="275">
        <f>'[1]POLY DISB 2019'!Z15</f>
        <v>206550000</v>
      </c>
      <c r="CP11" s="275">
        <f t="shared" si="25"/>
        <v>36450000</v>
      </c>
      <c r="CQ11" s="275"/>
      <c r="CR11" s="275">
        <v>10000000</v>
      </c>
      <c r="CS11" s="275">
        <f>'[1]POLY DISB 2019'!AA15</f>
        <v>8500000</v>
      </c>
      <c r="CT11" s="275">
        <f t="shared" si="26"/>
        <v>1500000</v>
      </c>
      <c r="CU11" s="275"/>
      <c r="CV11" s="275">
        <f>'[1]POLY commited funds to date'!AC11</f>
        <v>371000000</v>
      </c>
      <c r="CW11" s="275">
        <f>'[1]POLY DISB 2019'!AB15</f>
        <v>315350000</v>
      </c>
      <c r="CX11" s="275">
        <f t="shared" si="27"/>
        <v>55650000</v>
      </c>
      <c r="CY11" s="275"/>
      <c r="CZ11" s="275">
        <f>'[1]POLY commited funds to date'!AD11</f>
        <v>20000000</v>
      </c>
      <c r="DA11" s="275">
        <f>'[1]POLY DISB 2019'!AC15</f>
        <v>17000000</v>
      </c>
      <c r="DB11" s="275">
        <f t="shared" si="28"/>
        <v>3000000</v>
      </c>
      <c r="DC11" s="275"/>
      <c r="DD11" s="275">
        <f>'[1]POLY commited funds to date'!AE11</f>
        <v>100000000</v>
      </c>
      <c r="DE11" s="275">
        <f>'[1]POLY DISB 2019'!AD15</f>
        <v>100000000</v>
      </c>
      <c r="DF11" s="275">
        <f t="shared" si="29"/>
        <v>0</v>
      </c>
      <c r="DG11" s="275"/>
      <c r="DH11" s="275">
        <f>'[1]poly  com. adj for fmis'!AE11</f>
        <v>80000000</v>
      </c>
      <c r="DI11" s="275">
        <f>'[1]POLY DISB 2019'!AE15</f>
        <v>0</v>
      </c>
      <c r="DJ11" s="275">
        <f t="shared" si="30"/>
        <v>80000000</v>
      </c>
      <c r="DK11" s="275"/>
      <c r="DL11" s="275">
        <f>'[1]poly  com. adj for fmis'!AF11</f>
        <v>8000000</v>
      </c>
      <c r="DM11" s="275">
        <f>'[1]POLY DISB 2019'!AF15</f>
        <v>0</v>
      </c>
      <c r="DN11" s="275">
        <f t="shared" si="31"/>
        <v>8000000</v>
      </c>
      <c r="DO11" s="275"/>
      <c r="DP11" s="275">
        <f>'[1]poly  com. adj for fmis'!AG11</f>
        <v>2000000</v>
      </c>
      <c r="DQ11" s="275">
        <f>'[1]POLY DISB 2019'!AG15</f>
        <v>0</v>
      </c>
      <c r="DR11" s="275">
        <f t="shared" si="32"/>
        <v>2000000</v>
      </c>
      <c r="DS11" s="275"/>
      <c r="DT11" s="275">
        <f>'[1]poly  com. adj for fmis'!AH11</f>
        <v>10000000</v>
      </c>
      <c r="DU11" s="275">
        <f>'[1]POLY DISB 2019'!AH15</f>
        <v>0</v>
      </c>
      <c r="DV11" s="275">
        <f t="shared" si="33"/>
        <v>10000000</v>
      </c>
      <c r="DW11" s="275"/>
      <c r="DX11" s="275">
        <f>'[1]poly  com. adj for fmis'!AI11</f>
        <v>1050000000</v>
      </c>
      <c r="DY11" s="275">
        <f>'[1]POLY DISB 2019'!AI15</f>
        <v>952500000</v>
      </c>
      <c r="DZ11" s="275">
        <f t="shared" si="34"/>
        <v>97500000</v>
      </c>
      <c r="EA11" s="275"/>
      <c r="EB11" s="275">
        <f>'[1]POLY commited funds to date'!AK11</f>
        <v>380632000</v>
      </c>
      <c r="EC11" s="275">
        <f>'[1]POLY DISB 2019'!AJ15</f>
        <v>0</v>
      </c>
      <c r="ED11" s="275">
        <f t="shared" si="35"/>
        <v>380632000</v>
      </c>
      <c r="EE11" s="275"/>
      <c r="EF11" s="275">
        <f>'[1]POLY commited funds to date'!AL11</f>
        <v>8000000</v>
      </c>
      <c r="EG11" s="275">
        <f>'[1]POLY DISB 2019'!AK15</f>
        <v>0</v>
      </c>
      <c r="EH11" s="275">
        <f t="shared" si="36"/>
        <v>8000000</v>
      </c>
      <c r="EI11" s="275"/>
      <c r="EJ11" s="275">
        <f>'[1]POLY commited funds to date'!AM11</f>
        <v>10000000</v>
      </c>
      <c r="EK11" s="275">
        <f>'[1]POLY DISB 2019'!AL15</f>
        <v>0</v>
      </c>
      <c r="EL11" s="275">
        <f t="shared" si="37"/>
        <v>10000000</v>
      </c>
      <c r="EM11" s="275"/>
      <c r="EN11" s="275">
        <f>'[1]POLY commited funds to date'!AN11</f>
        <v>10000000</v>
      </c>
      <c r="EO11" s="275">
        <f>'[1]POLY DISB 2019'!AM15</f>
        <v>0</v>
      </c>
      <c r="EP11" s="275">
        <f t="shared" si="38"/>
        <v>10000000</v>
      </c>
      <c r="EQ11" s="281">
        <f>'[1]POLY commited funds to date'!AO11</f>
        <v>150000000</v>
      </c>
      <c r="ER11" s="275">
        <f>'[1]POLY DISB 2019'!AN15</f>
        <v>0</v>
      </c>
      <c r="ES11" s="275">
        <f t="shared" si="39"/>
        <v>150000000</v>
      </c>
      <c r="ET11" s="275"/>
      <c r="EU11" s="275">
        <f>'[1]POLY commited funds to date'!AP11</f>
        <v>205000000</v>
      </c>
      <c r="EV11" s="275">
        <f>'[1]POLY DISB 2019'!AO15</f>
        <v>0</v>
      </c>
      <c r="EW11" s="275">
        <f t="shared" si="40"/>
        <v>205000000</v>
      </c>
      <c r="EX11" s="275"/>
      <c r="EY11" s="275">
        <f>'[1]POLY commited funds to date'!AQ11</f>
        <v>75000000</v>
      </c>
      <c r="EZ11" s="275">
        <f>'[1]POLY DISB 2019'!AP15</f>
        <v>52500000</v>
      </c>
      <c r="FA11" s="275">
        <f t="shared" si="41"/>
        <v>22500000</v>
      </c>
      <c r="FB11" s="275"/>
      <c r="FC11" s="275">
        <f>'[1]POLY commited funds to date'!AR11</f>
        <v>7000000</v>
      </c>
      <c r="FD11" s="275">
        <f>'[1]POLY DISB 2019'!AQ15</f>
        <v>0</v>
      </c>
      <c r="FE11" s="275">
        <f t="shared" si="42"/>
        <v>7000000</v>
      </c>
      <c r="FF11" s="275"/>
      <c r="FG11" s="275">
        <f>'[1]POLY commited funds to date'!AS11</f>
        <v>6300000</v>
      </c>
      <c r="FH11" s="275">
        <f>'[1]POLY DISB 2019'!AR15</f>
        <v>0</v>
      </c>
      <c r="FI11" s="275">
        <f t="shared" si="43"/>
        <v>6300000</v>
      </c>
      <c r="FJ11" s="275"/>
      <c r="FK11" s="275">
        <f>'[1]POLY commited funds to date'!AT11</f>
        <v>7500000</v>
      </c>
      <c r="FL11" s="275">
        <f>'[1]POLY DISB 2019'!AS15</f>
        <v>0</v>
      </c>
      <c r="FM11" s="275">
        <f t="shared" si="44"/>
        <v>7500000</v>
      </c>
      <c r="FN11" s="275"/>
      <c r="FO11" s="275">
        <f>'[1]POLY commited funds to date'!AU11</f>
        <v>245000000</v>
      </c>
      <c r="FP11" s="275">
        <f>'[1]POLY DISB 2019'!AT15</f>
        <v>0</v>
      </c>
      <c r="FQ11" s="275">
        <f t="shared" si="45"/>
        <v>245000000</v>
      </c>
      <c r="FR11" s="275">
        <f>'[1]POLY commited funds to date'!AV11</f>
        <v>119074602</v>
      </c>
      <c r="FS11" s="275">
        <f>'[1]POLY DISB 2019'!AU15</f>
        <v>0</v>
      </c>
      <c r="FT11" s="275">
        <f t="shared" si="46"/>
        <v>119074602</v>
      </c>
      <c r="FU11" s="275"/>
      <c r="FV11" s="275">
        <f>'[1]POLY commited funds to date'!AW11</f>
        <v>13000000</v>
      </c>
      <c r="FW11" s="275">
        <f>'[1]POLY DISB 2019'!AV15</f>
        <v>0</v>
      </c>
      <c r="FX11" s="275">
        <f t="shared" si="47"/>
        <v>13000000</v>
      </c>
      <c r="FY11" s="275"/>
      <c r="FZ11" s="275">
        <f>'[1]POLY commited funds to date'!AX11</f>
        <v>8628900</v>
      </c>
      <c r="GA11" s="275">
        <f>'[1]POLY DISB 2019'!AW15</f>
        <v>0</v>
      </c>
      <c r="GB11" s="275">
        <f t="shared" si="48"/>
        <v>8628900</v>
      </c>
      <c r="GC11" s="275">
        <f>'[1]POLY commited funds to date'!AY11</f>
        <v>5000000</v>
      </c>
      <c r="GD11" s="275">
        <f>'[1]POLY DISB 2019'!AX15</f>
        <v>0</v>
      </c>
      <c r="GE11" s="275">
        <f t="shared" si="49"/>
        <v>5000000</v>
      </c>
      <c r="GF11" s="275"/>
      <c r="GG11" s="275">
        <f>'[1]POLY commited funds to date'!AZ11</f>
        <v>0</v>
      </c>
      <c r="GH11" s="275">
        <f>'[1]POLY DISB 2019'!AY15</f>
        <v>0</v>
      </c>
      <c r="GI11" s="275">
        <f t="shared" si="50"/>
        <v>0</v>
      </c>
      <c r="GJ11" s="275"/>
      <c r="GK11" s="275">
        <f t="shared" si="51"/>
        <v>4213144804</v>
      </c>
      <c r="GL11" s="275">
        <f t="shared" si="51"/>
        <v>2662924302</v>
      </c>
      <c r="GM11" s="275">
        <f t="shared" si="52"/>
        <v>1550220502</v>
      </c>
      <c r="GN11" s="265"/>
      <c r="GO11" s="277">
        <f t="shared" si="53"/>
        <v>2283641302</v>
      </c>
      <c r="GP11" s="277">
        <f t="shared" si="53"/>
        <v>1223924302</v>
      </c>
      <c r="GQ11" s="277">
        <f t="shared" si="54"/>
        <v>1059717000</v>
      </c>
      <c r="GR11" s="277">
        <f t="shared" si="0"/>
        <v>10000000</v>
      </c>
      <c r="GS11" s="277">
        <f t="shared" si="0"/>
        <v>10000000</v>
      </c>
      <c r="GT11" s="277">
        <f t="shared" si="55"/>
        <v>0</v>
      </c>
      <c r="GU11" s="277"/>
      <c r="GV11" s="265"/>
      <c r="GW11" s="279">
        <f t="shared" si="56"/>
        <v>1440000000</v>
      </c>
      <c r="GX11" s="279">
        <f t="shared" si="56"/>
        <v>1342500000</v>
      </c>
      <c r="GY11" s="280">
        <f t="shared" si="57"/>
        <v>97500000</v>
      </c>
      <c r="GZ11" s="280"/>
      <c r="HA11" s="277">
        <f t="shared" si="58"/>
        <v>74928900</v>
      </c>
      <c r="HB11" s="277">
        <f t="shared" si="58"/>
        <v>34000000</v>
      </c>
      <c r="HC11" s="277">
        <f t="shared" si="59"/>
        <v>40928900</v>
      </c>
      <c r="HE11" s="277">
        <f t="shared" si="60"/>
        <v>36000000</v>
      </c>
      <c r="HF11" s="277">
        <f t="shared" si="60"/>
        <v>0</v>
      </c>
      <c r="HG11" s="277">
        <f t="shared" si="61"/>
        <v>36000000</v>
      </c>
      <c r="HI11" s="279">
        <f t="shared" si="62"/>
        <v>344074602</v>
      </c>
      <c r="HJ11" s="279">
        <f t="shared" si="62"/>
        <v>52500000</v>
      </c>
      <c r="HK11" s="279">
        <f t="shared" si="63"/>
        <v>291574602</v>
      </c>
      <c r="HM11" s="279">
        <f t="shared" si="64"/>
        <v>2000000</v>
      </c>
      <c r="HN11" s="279">
        <f t="shared" si="1"/>
        <v>0</v>
      </c>
      <c r="HO11" s="279">
        <f t="shared" si="65"/>
        <v>2000000</v>
      </c>
      <c r="HQ11" s="279">
        <f t="shared" si="66"/>
        <v>22500000</v>
      </c>
      <c r="HR11" s="279">
        <f t="shared" si="2"/>
        <v>0</v>
      </c>
      <c r="HS11" s="279">
        <f t="shared" si="67"/>
        <v>22500000</v>
      </c>
    </row>
    <row r="12" spans="1:228" x14ac:dyDescent="0.25">
      <c r="A12" s="235">
        <v>4</v>
      </c>
      <c r="B12" s="273" t="s">
        <v>203</v>
      </c>
      <c r="C12" s="274" t="s">
        <v>65</v>
      </c>
      <c r="D12" s="275">
        <v>24709302</v>
      </c>
      <c r="E12" s="275">
        <f>'[1]POLY DISB 2019'!C16</f>
        <v>24709302</v>
      </c>
      <c r="F12" s="275">
        <f t="shared" si="3"/>
        <v>0</v>
      </c>
      <c r="G12" s="275"/>
      <c r="H12" s="275">
        <v>10000000</v>
      </c>
      <c r="I12" s="275">
        <f>'[1]POLY DISB 2019'!D16</f>
        <v>10000000</v>
      </c>
      <c r="J12" s="275">
        <f t="shared" si="4"/>
        <v>0</v>
      </c>
      <c r="K12" s="275"/>
      <c r="L12" s="275">
        <v>20000000</v>
      </c>
      <c r="M12" s="275">
        <f>'[1]POLY DISB 2019'!E16</f>
        <v>20000000</v>
      </c>
      <c r="N12" s="275">
        <f t="shared" si="5"/>
        <v>0</v>
      </c>
      <c r="O12" s="275"/>
      <c r="P12" s="275">
        <v>25000000</v>
      </c>
      <c r="Q12" s="275">
        <f>'[1]POLY DISB 2019'!F16</f>
        <v>25000000</v>
      </c>
      <c r="R12" s="275">
        <f t="shared" si="6"/>
        <v>0</v>
      </c>
      <c r="S12" s="275"/>
      <c r="T12" s="275">
        <v>12000000</v>
      </c>
      <c r="U12" s="275">
        <f>'[1]POLY DISB 2019'!G16</f>
        <v>12000000</v>
      </c>
      <c r="V12" s="275">
        <f t="shared" si="7"/>
        <v>0</v>
      </c>
      <c r="W12" s="275"/>
      <c r="X12" s="275">
        <v>12000000</v>
      </c>
      <c r="Y12" s="275">
        <f>'[1]POLY DISB 2019'!H16</f>
        <v>12000000</v>
      </c>
      <c r="Z12" s="275">
        <f t="shared" si="8"/>
        <v>0</v>
      </c>
      <c r="AA12" s="275"/>
      <c r="AB12" s="275">
        <v>0</v>
      </c>
      <c r="AC12" s="275">
        <f>'[1]POLY DISB 2019'!I16</f>
        <v>0</v>
      </c>
      <c r="AD12" s="275">
        <f t="shared" si="9"/>
        <v>0</v>
      </c>
      <c r="AE12" s="275"/>
      <c r="AF12" s="275">
        <f>'[1]POLY commited funds to date'!K12</f>
        <v>20000000</v>
      </c>
      <c r="AG12" s="275">
        <f>'[1]POLY DISB 2019'!J16</f>
        <v>20000000</v>
      </c>
      <c r="AH12" s="275">
        <f t="shared" si="10"/>
        <v>0</v>
      </c>
      <c r="AI12" s="275"/>
      <c r="AJ12" s="275">
        <v>10000000</v>
      </c>
      <c r="AK12" s="275">
        <f>'[1]POLY DISB 2019'!K16</f>
        <v>10000000</v>
      </c>
      <c r="AL12" s="275">
        <f t="shared" si="11"/>
        <v>0</v>
      </c>
      <c r="AM12" s="275"/>
      <c r="AN12" s="275">
        <v>20000000</v>
      </c>
      <c r="AO12" s="275">
        <f>'[1]POLY DISB 2019'!L16</f>
        <v>20000000</v>
      </c>
      <c r="AP12" s="275">
        <f t="shared" si="12"/>
        <v>0</v>
      </c>
      <c r="AQ12" s="275"/>
      <c r="AR12" s="275">
        <v>26000000</v>
      </c>
      <c r="AS12" s="275">
        <f>'[1]POLY DISB 2019'!M16</f>
        <v>26000000</v>
      </c>
      <c r="AT12" s="275">
        <f t="shared" si="13"/>
        <v>0</v>
      </c>
      <c r="AU12" s="275"/>
      <c r="AV12" s="275">
        <v>45000000</v>
      </c>
      <c r="AW12" s="275">
        <f>'[1]POLY DISB 2019'!N16</f>
        <v>45000000</v>
      </c>
      <c r="AX12" s="275">
        <f t="shared" si="14"/>
        <v>0</v>
      </c>
      <c r="AY12" s="275"/>
      <c r="AZ12" s="275">
        <v>38340000</v>
      </c>
      <c r="BA12" s="275">
        <f>'[1]POLY DISB 2019'!P16</f>
        <v>38340000</v>
      </c>
      <c r="BB12" s="275">
        <f t="shared" si="15"/>
        <v>0</v>
      </c>
      <c r="BC12" s="275"/>
      <c r="BD12" s="275">
        <v>77961638.200000003</v>
      </c>
      <c r="BE12" s="275">
        <f>'[1]POLY DISB 2019'!Q16</f>
        <v>77961638.200000003</v>
      </c>
      <c r="BF12" s="275">
        <f t="shared" si="16"/>
        <v>0</v>
      </c>
      <c r="BG12" s="275"/>
      <c r="BH12" s="275">
        <f>'[1]POLY commited funds to date'!S12</f>
        <v>126060000</v>
      </c>
      <c r="BI12" s="275">
        <f>'[1]POLY DISB 2019'!R16</f>
        <v>126060000</v>
      </c>
      <c r="BJ12" s="275">
        <f t="shared" si="17"/>
        <v>0</v>
      </c>
      <c r="BK12" s="275"/>
      <c r="BL12" s="275">
        <f>'[1]poly  com. adj for fmis'!S12</f>
        <v>100000000</v>
      </c>
      <c r="BM12" s="275">
        <f>'[1]POLY DISB 2019'!S16</f>
        <v>100000000</v>
      </c>
      <c r="BN12" s="269">
        <f t="shared" si="18"/>
        <v>0</v>
      </c>
      <c r="BO12" s="275"/>
      <c r="BP12" s="276">
        <f>'[1]POLY commited funds to date'!U12</f>
        <v>169900000</v>
      </c>
      <c r="BQ12" s="275">
        <f>'[1]POLY DISB 2019'!T16</f>
        <v>169900000</v>
      </c>
      <c r="BR12" s="275">
        <f t="shared" si="19"/>
        <v>0</v>
      </c>
      <c r="BS12" s="275"/>
      <c r="BT12" s="275">
        <f>'[1]POLY commited funds to date'!V12</f>
        <v>10000000</v>
      </c>
      <c r="BU12" s="275">
        <f>'[1]POLY DISB 2019'!U16</f>
        <v>10000000</v>
      </c>
      <c r="BV12" s="275">
        <f t="shared" si="20"/>
        <v>0</v>
      </c>
      <c r="BW12" s="275"/>
      <c r="BX12" s="275">
        <f>'[1]POLY commited funds to date'!W12</f>
        <v>730000000</v>
      </c>
      <c r="BY12" s="275">
        <f>'[1]POLY DISB 2019'!V16</f>
        <v>730000000</v>
      </c>
      <c r="BZ12" s="275">
        <f t="shared" si="21"/>
        <v>0</v>
      </c>
      <c r="CA12" s="275"/>
      <c r="CB12" s="275">
        <f>'[1]POLY commited funds to date'!X12</f>
        <v>210000000</v>
      </c>
      <c r="CC12" s="275">
        <f>'[1]POLY DISB 2019'!W16</f>
        <v>210000000</v>
      </c>
      <c r="CD12" s="275">
        <f t="shared" si="22"/>
        <v>0</v>
      </c>
      <c r="CE12" s="275"/>
      <c r="CF12" s="275">
        <f>'[1]POLY commited funds to date'!Y12</f>
        <v>68000000</v>
      </c>
      <c r="CG12" s="275">
        <f>'[1]POLY DISB 2019'!X16</f>
        <v>68000000</v>
      </c>
      <c r="CH12" s="275">
        <f t="shared" si="23"/>
        <v>0</v>
      </c>
      <c r="CI12" s="275"/>
      <c r="CJ12" s="275">
        <f>'[1]POLY commited funds to date'!Z12</f>
        <v>100000000</v>
      </c>
      <c r="CK12" s="275">
        <f>'[1]POLY DISB 2019'!Y16</f>
        <v>100000000</v>
      </c>
      <c r="CL12" s="275">
        <f t="shared" si="24"/>
        <v>0</v>
      </c>
      <c r="CM12" s="275"/>
      <c r="CN12" s="275">
        <f>'[1]POLY commited funds to date'!AA12</f>
        <v>243000000</v>
      </c>
      <c r="CO12" s="275">
        <f>'[1]POLY DISB 2019'!Z16</f>
        <v>243000000</v>
      </c>
      <c r="CP12" s="275">
        <f t="shared" si="25"/>
        <v>0</v>
      </c>
      <c r="CQ12" s="275"/>
      <c r="CR12" s="275">
        <v>10000000</v>
      </c>
      <c r="CS12" s="275">
        <f>'[1]POLY DISB 2019'!AA16</f>
        <v>10000000</v>
      </c>
      <c r="CT12" s="275">
        <f t="shared" si="26"/>
        <v>0</v>
      </c>
      <c r="CU12" s="275"/>
      <c r="CV12" s="275">
        <f>'[1]POLY commited funds to date'!AC12</f>
        <v>371000000</v>
      </c>
      <c r="CW12" s="275">
        <f>'[1]POLY DISB 2019'!AB16</f>
        <v>371000000</v>
      </c>
      <c r="CX12" s="275">
        <f t="shared" si="27"/>
        <v>0</v>
      </c>
      <c r="CY12" s="275"/>
      <c r="CZ12" s="275">
        <f>'[1]POLY commited funds to date'!AD12</f>
        <v>20000000</v>
      </c>
      <c r="DA12" s="275">
        <f>'[1]POLY DISB 2019'!AC16</f>
        <v>20000000</v>
      </c>
      <c r="DB12" s="275">
        <f t="shared" si="28"/>
        <v>0</v>
      </c>
      <c r="DC12" s="275"/>
      <c r="DD12" s="275">
        <f>'[1]POLY commited funds to date'!AE12</f>
        <v>261000000</v>
      </c>
      <c r="DE12" s="275">
        <f>'[1]POLY DISB 2019'!AD16</f>
        <v>261000000</v>
      </c>
      <c r="DF12" s="275">
        <f t="shared" si="29"/>
        <v>0</v>
      </c>
      <c r="DG12" s="275"/>
      <c r="DH12" s="275">
        <f>'[1]poly  com. adj for fmis'!AE12</f>
        <v>80000000</v>
      </c>
      <c r="DI12" s="275">
        <f>'[1]POLY DISB 2019'!AE16</f>
        <v>43200000</v>
      </c>
      <c r="DJ12" s="275">
        <f t="shared" si="30"/>
        <v>36800000</v>
      </c>
      <c r="DK12" s="275"/>
      <c r="DL12" s="275">
        <f>'[1]poly  com. adj for fmis'!AF12</f>
        <v>8000000</v>
      </c>
      <c r="DM12" s="275">
        <f>'[1]POLY DISB 2019'!AF16</f>
        <v>8000000</v>
      </c>
      <c r="DN12" s="275">
        <f t="shared" si="31"/>
        <v>0</v>
      </c>
      <c r="DO12" s="275"/>
      <c r="DP12" s="275">
        <f>'[1]poly  com. adj for fmis'!AG12</f>
        <v>2000000</v>
      </c>
      <c r="DQ12" s="275">
        <f>'[1]POLY DISB 2019'!AG16</f>
        <v>2000000</v>
      </c>
      <c r="DR12" s="275">
        <f t="shared" si="32"/>
        <v>0</v>
      </c>
      <c r="DS12" s="275"/>
      <c r="DT12" s="275">
        <f>'[1]poly  com. adj for fmis'!AH12</f>
        <v>10000000</v>
      </c>
      <c r="DU12" s="275">
        <f>'[1]POLY DISB 2019'!AH16</f>
        <v>10000000</v>
      </c>
      <c r="DV12" s="275">
        <f t="shared" si="33"/>
        <v>0</v>
      </c>
      <c r="DW12" s="275"/>
      <c r="DX12" s="275">
        <f>'[1]poly  com. adj for fmis'!AI12</f>
        <v>1500000000</v>
      </c>
      <c r="DY12" s="275">
        <f>'[1]POLY DISB 2019'!AI16</f>
        <v>1485000000</v>
      </c>
      <c r="DZ12" s="275">
        <f t="shared" si="34"/>
        <v>15000000</v>
      </c>
      <c r="EA12" s="275"/>
      <c r="EB12" s="275">
        <f>'[1]POLY commited funds to date'!AK12</f>
        <v>380632000</v>
      </c>
      <c r="EC12" s="275">
        <f>'[1]POLY DISB 2019'!AJ16</f>
        <v>205541280</v>
      </c>
      <c r="ED12" s="275">
        <f t="shared" si="35"/>
        <v>175090720</v>
      </c>
      <c r="EE12" s="275"/>
      <c r="EF12" s="275">
        <f>'[1]POLY commited funds to date'!AL12</f>
        <v>8000000</v>
      </c>
      <c r="EG12" s="275">
        <f>'[1]POLY DISB 2019'!AK16</f>
        <v>8000000</v>
      </c>
      <c r="EH12" s="275">
        <f t="shared" si="36"/>
        <v>0</v>
      </c>
      <c r="EI12" s="275"/>
      <c r="EJ12" s="275">
        <f>'[1]POLY commited funds to date'!AM12</f>
        <v>10000000</v>
      </c>
      <c r="EK12" s="275">
        <f>'[1]POLY DISB 2019'!AL16</f>
        <v>10000000</v>
      </c>
      <c r="EL12" s="275">
        <f t="shared" si="37"/>
        <v>0</v>
      </c>
      <c r="EM12" s="275"/>
      <c r="EN12" s="275">
        <f>'[1]POLY commited funds to date'!AN12</f>
        <v>10000000</v>
      </c>
      <c r="EO12" s="275">
        <f>'[1]POLY DISB 2019'!AM16</f>
        <v>0</v>
      </c>
      <c r="EP12" s="275">
        <f t="shared" si="38"/>
        <v>10000000</v>
      </c>
      <c r="EQ12" s="275">
        <f>'[1]POLY commited funds to date'!AO12</f>
        <v>0</v>
      </c>
      <c r="ER12" s="275">
        <f>'[1]POLY DISB 2019'!AN16</f>
        <v>0</v>
      </c>
      <c r="ES12" s="275">
        <f t="shared" si="39"/>
        <v>0</v>
      </c>
      <c r="ET12" s="275"/>
      <c r="EU12" s="275">
        <f>'[1]POLY commited funds to date'!AP12</f>
        <v>205000000</v>
      </c>
      <c r="EV12" s="275">
        <f>'[1]POLY DISB 2019'!AO16</f>
        <v>0</v>
      </c>
      <c r="EW12" s="275">
        <f t="shared" si="40"/>
        <v>205000000</v>
      </c>
      <c r="EX12" s="275"/>
      <c r="EY12" s="275">
        <f>'[1]POLY commited funds to date'!AQ12</f>
        <v>75000000</v>
      </c>
      <c r="EZ12" s="275">
        <f>'[1]POLY DISB 2019'!AP16</f>
        <v>63500000</v>
      </c>
      <c r="FA12" s="275">
        <f t="shared" si="41"/>
        <v>11500000</v>
      </c>
      <c r="FB12" s="275"/>
      <c r="FC12" s="275">
        <f>'[1]POLY commited funds to date'!AR12</f>
        <v>7000000</v>
      </c>
      <c r="FD12" s="275">
        <f>'[1]POLY DISB 2019'!AQ16</f>
        <v>0</v>
      </c>
      <c r="FE12" s="275">
        <f t="shared" si="42"/>
        <v>7000000</v>
      </c>
      <c r="FF12" s="275"/>
      <c r="FG12" s="275">
        <f>'[1]POLY commited funds to date'!AS12</f>
        <v>6300000</v>
      </c>
      <c r="FH12" s="275">
        <f>'[1]POLY DISB 2019'!AR16</f>
        <v>5355000</v>
      </c>
      <c r="FI12" s="275">
        <f t="shared" si="43"/>
        <v>945000</v>
      </c>
      <c r="FJ12" s="275"/>
      <c r="FK12" s="275">
        <f>'[1]POLY commited funds to date'!AT12</f>
        <v>7500000</v>
      </c>
      <c r="FL12" s="275">
        <f>'[1]POLY DISB 2019'!AS16</f>
        <v>0</v>
      </c>
      <c r="FM12" s="275">
        <f t="shared" si="44"/>
        <v>7500000</v>
      </c>
      <c r="FN12" s="275"/>
      <c r="FO12" s="275">
        <f>'[1]POLY commited funds to date'!AU12</f>
        <v>245000000</v>
      </c>
      <c r="FP12" s="275">
        <f>'[1]POLY DISB 2019'!AT16</f>
        <v>0</v>
      </c>
      <c r="FQ12" s="275">
        <f t="shared" si="45"/>
        <v>245000000</v>
      </c>
      <c r="FR12" s="275">
        <f>'[1]POLY commited funds to date'!AV12</f>
        <v>119074602</v>
      </c>
      <c r="FS12" s="275">
        <f>'[1]POLY DISB 2019'!AU16</f>
        <v>0</v>
      </c>
      <c r="FT12" s="275">
        <f t="shared" si="46"/>
        <v>119074602</v>
      </c>
      <c r="FU12" s="275"/>
      <c r="FV12" s="275">
        <f>'[1]POLY commited funds to date'!AW12</f>
        <v>13000000</v>
      </c>
      <c r="FW12" s="275">
        <f>'[1]POLY DISB 2019'!AV16</f>
        <v>0</v>
      </c>
      <c r="FX12" s="275">
        <f t="shared" si="47"/>
        <v>13000000</v>
      </c>
      <c r="FY12" s="275"/>
      <c r="FZ12" s="275">
        <f>'[1]POLY commited funds to date'!AX12</f>
        <v>8628900</v>
      </c>
      <c r="GA12" s="275">
        <f>'[1]POLY DISB 2019'!AW16</f>
        <v>7334565</v>
      </c>
      <c r="GB12" s="275">
        <f t="shared" si="48"/>
        <v>1294335</v>
      </c>
      <c r="GC12" s="275">
        <f>'[1]POLY commited funds to date'!AY12</f>
        <v>5000000</v>
      </c>
      <c r="GD12" s="275">
        <f>'[1]POLY DISB 2019'!AX16</f>
        <v>0</v>
      </c>
      <c r="GE12" s="275">
        <f t="shared" si="49"/>
        <v>5000000</v>
      </c>
      <c r="GF12" s="275"/>
      <c r="GG12" s="275">
        <f>'[1]POLY commited funds to date'!AZ12</f>
        <v>0</v>
      </c>
      <c r="GH12" s="275">
        <f>'[1]POLY DISB 2019'!AY16</f>
        <v>0</v>
      </c>
      <c r="GI12" s="275">
        <f t="shared" si="50"/>
        <v>0</v>
      </c>
      <c r="GJ12" s="275"/>
      <c r="GK12" s="275">
        <f t="shared" si="51"/>
        <v>5460106442.1999998</v>
      </c>
      <c r="GL12" s="275">
        <f t="shared" si="51"/>
        <v>4607901785.1999998</v>
      </c>
      <c r="GM12" s="275">
        <f t="shared" si="52"/>
        <v>852204657</v>
      </c>
      <c r="GN12" s="265"/>
      <c r="GO12" s="277">
        <f t="shared" si="53"/>
        <v>2283641302</v>
      </c>
      <c r="GP12" s="277">
        <f t="shared" si="53"/>
        <v>1621750582</v>
      </c>
      <c r="GQ12" s="277">
        <f t="shared" si="54"/>
        <v>661890720</v>
      </c>
      <c r="GR12" s="277">
        <f t="shared" si="0"/>
        <v>10000000</v>
      </c>
      <c r="GS12" s="277">
        <f t="shared" si="0"/>
        <v>10000000</v>
      </c>
      <c r="GT12" s="277">
        <f t="shared" si="55"/>
        <v>0</v>
      </c>
      <c r="GU12" s="277"/>
      <c r="GV12" s="265"/>
      <c r="GW12" s="279">
        <f t="shared" si="56"/>
        <v>2836961638.1999998</v>
      </c>
      <c r="GX12" s="279">
        <f t="shared" si="56"/>
        <v>2821961638.1999998</v>
      </c>
      <c r="GY12" s="280">
        <f t="shared" si="57"/>
        <v>15000000</v>
      </c>
      <c r="GZ12" s="280"/>
      <c r="HA12" s="277">
        <f t="shared" si="58"/>
        <v>74928900</v>
      </c>
      <c r="HB12" s="277">
        <f t="shared" si="58"/>
        <v>72689565</v>
      </c>
      <c r="HC12" s="277">
        <f t="shared" si="59"/>
        <v>2239335</v>
      </c>
      <c r="HE12" s="277">
        <f t="shared" si="60"/>
        <v>36000000</v>
      </c>
      <c r="HF12" s="277">
        <f t="shared" si="60"/>
        <v>16000000</v>
      </c>
      <c r="HG12" s="277">
        <f t="shared" si="61"/>
        <v>20000000</v>
      </c>
      <c r="HI12" s="279">
        <f t="shared" si="62"/>
        <v>194074602</v>
      </c>
      <c r="HJ12" s="279">
        <f t="shared" si="62"/>
        <v>63500000</v>
      </c>
      <c r="HK12" s="279">
        <f t="shared" si="63"/>
        <v>130574602</v>
      </c>
      <c r="HM12" s="279">
        <f t="shared" si="64"/>
        <v>2000000</v>
      </c>
      <c r="HN12" s="279">
        <f t="shared" si="1"/>
        <v>2000000</v>
      </c>
      <c r="HO12" s="279">
        <f t="shared" si="65"/>
        <v>0</v>
      </c>
      <c r="HQ12" s="279">
        <f t="shared" si="66"/>
        <v>22500000</v>
      </c>
      <c r="HR12" s="279">
        <f t="shared" si="2"/>
        <v>0</v>
      </c>
      <c r="HS12" s="279">
        <f t="shared" si="67"/>
        <v>22500000</v>
      </c>
    </row>
    <row r="13" spans="1:228" x14ac:dyDescent="0.25">
      <c r="A13" s="235">
        <v>5</v>
      </c>
      <c r="B13" s="273" t="s">
        <v>204</v>
      </c>
      <c r="C13" s="274" t="s">
        <v>74</v>
      </c>
      <c r="D13" s="275">
        <v>24709302</v>
      </c>
      <c r="E13" s="275">
        <f>'[1]POLY DISB 2019'!C17</f>
        <v>24709302</v>
      </c>
      <c r="F13" s="275">
        <f t="shared" si="3"/>
        <v>0</v>
      </c>
      <c r="G13" s="275"/>
      <c r="H13" s="275">
        <v>10000000</v>
      </c>
      <c r="I13" s="275">
        <f>'[1]POLY DISB 2019'!D17</f>
        <v>10000000</v>
      </c>
      <c r="J13" s="275">
        <f t="shared" si="4"/>
        <v>0</v>
      </c>
      <c r="K13" s="275"/>
      <c r="L13" s="275">
        <v>20000000</v>
      </c>
      <c r="M13" s="275">
        <f>'[1]POLY DISB 2019'!E17</f>
        <v>20000000</v>
      </c>
      <c r="N13" s="275">
        <f t="shared" si="5"/>
        <v>0</v>
      </c>
      <c r="O13" s="275"/>
      <c r="P13" s="275">
        <v>25000000</v>
      </c>
      <c r="Q13" s="275">
        <f>'[1]POLY DISB 2019'!F17</f>
        <v>25000000</v>
      </c>
      <c r="R13" s="275">
        <f t="shared" si="6"/>
        <v>0</v>
      </c>
      <c r="S13" s="275"/>
      <c r="T13" s="275">
        <v>12000000</v>
      </c>
      <c r="U13" s="275">
        <f>'[1]POLY DISB 2019'!G17</f>
        <v>12000000</v>
      </c>
      <c r="V13" s="275">
        <f t="shared" si="7"/>
        <v>0</v>
      </c>
      <c r="W13" s="275"/>
      <c r="X13" s="275">
        <v>12000000</v>
      </c>
      <c r="Y13" s="275">
        <f>'[1]POLY DISB 2019'!H17</f>
        <v>12000000</v>
      </c>
      <c r="Z13" s="275">
        <f t="shared" si="8"/>
        <v>0</v>
      </c>
      <c r="AA13" s="275"/>
      <c r="AB13" s="275">
        <v>0</v>
      </c>
      <c r="AC13" s="275">
        <f>'[1]POLY DISB 2019'!I17</f>
        <v>0</v>
      </c>
      <c r="AD13" s="275">
        <f t="shared" si="9"/>
        <v>0</v>
      </c>
      <c r="AE13" s="275"/>
      <c r="AF13" s="275">
        <f>'[1]POLY commited funds to date'!K13</f>
        <v>20000000</v>
      </c>
      <c r="AG13" s="275">
        <f>'[1]POLY DISB 2019'!J17</f>
        <v>20000000</v>
      </c>
      <c r="AH13" s="275">
        <f t="shared" si="10"/>
        <v>0</v>
      </c>
      <c r="AI13" s="275"/>
      <c r="AJ13" s="275">
        <v>10000000</v>
      </c>
      <c r="AK13" s="275">
        <f>'[1]POLY DISB 2019'!K17</f>
        <v>10000000</v>
      </c>
      <c r="AL13" s="275">
        <f t="shared" si="11"/>
        <v>0</v>
      </c>
      <c r="AM13" s="275"/>
      <c r="AN13" s="275">
        <v>20000000</v>
      </c>
      <c r="AO13" s="275">
        <f>'[1]POLY DISB 2019'!L17</f>
        <v>20000000</v>
      </c>
      <c r="AP13" s="275">
        <f t="shared" si="12"/>
        <v>0</v>
      </c>
      <c r="AQ13" s="275"/>
      <c r="AR13" s="275">
        <v>26000000</v>
      </c>
      <c r="AS13" s="275">
        <f>'[1]POLY DISB 2019'!M17</f>
        <v>26000000</v>
      </c>
      <c r="AT13" s="275">
        <f t="shared" si="13"/>
        <v>0</v>
      </c>
      <c r="AU13" s="275"/>
      <c r="AV13" s="275">
        <v>45000000</v>
      </c>
      <c r="AW13" s="275">
        <f>'[1]POLY DISB 2019'!N17</f>
        <v>45000000</v>
      </c>
      <c r="AX13" s="275">
        <f t="shared" si="14"/>
        <v>0</v>
      </c>
      <c r="AY13" s="275"/>
      <c r="AZ13" s="275">
        <v>38340000</v>
      </c>
      <c r="BA13" s="275">
        <f>'[1]POLY DISB 2019'!P17</f>
        <v>38340000</v>
      </c>
      <c r="BB13" s="275">
        <f t="shared" si="15"/>
        <v>0</v>
      </c>
      <c r="BC13" s="275"/>
      <c r="BD13" s="275">
        <v>0</v>
      </c>
      <c r="BE13" s="275">
        <f>'[1]POLY DISB 2019'!Q17</f>
        <v>0</v>
      </c>
      <c r="BF13" s="275">
        <f t="shared" si="16"/>
        <v>0</v>
      </c>
      <c r="BG13" s="275"/>
      <c r="BH13" s="275">
        <f>'[1]POLY commited funds to date'!S13</f>
        <v>126060000</v>
      </c>
      <c r="BI13" s="275">
        <f>'[1]POLY DISB 2019'!R17</f>
        <v>126060000</v>
      </c>
      <c r="BJ13" s="275">
        <f t="shared" si="17"/>
        <v>0</v>
      </c>
      <c r="BK13" s="275"/>
      <c r="BL13" s="275">
        <f>'[1]poly  com. adj for fmis'!S13</f>
        <v>250000000</v>
      </c>
      <c r="BM13" s="275">
        <f>'[1]POLY DISB 2019'!S17</f>
        <v>250000000</v>
      </c>
      <c r="BN13" s="269">
        <f t="shared" si="18"/>
        <v>0</v>
      </c>
      <c r="BO13" s="275"/>
      <c r="BP13" s="276">
        <f>'[1]POLY commited funds to date'!U13</f>
        <v>169900000</v>
      </c>
      <c r="BQ13" s="275">
        <f>'[1]POLY DISB 2019'!T17</f>
        <v>169900000</v>
      </c>
      <c r="BR13" s="275">
        <f t="shared" si="19"/>
        <v>0</v>
      </c>
      <c r="BS13" s="275"/>
      <c r="BT13" s="275">
        <f>'[1]POLY commited funds to date'!V13</f>
        <v>10000000</v>
      </c>
      <c r="BU13" s="275">
        <f>'[1]POLY DISB 2019'!U17</f>
        <v>8500000</v>
      </c>
      <c r="BV13" s="275">
        <f t="shared" si="20"/>
        <v>1500000</v>
      </c>
      <c r="BW13" s="275"/>
      <c r="BX13" s="275">
        <f>'[1]POLY commited funds to date'!W13</f>
        <v>0</v>
      </c>
      <c r="BY13" s="275">
        <f>'[1]POLY DISB 2019'!V17</f>
        <v>0</v>
      </c>
      <c r="BZ13" s="275">
        <f t="shared" si="21"/>
        <v>0</v>
      </c>
      <c r="CA13" s="275"/>
      <c r="CB13" s="275">
        <f>'[1]POLY commited funds to date'!X13</f>
        <v>210000000</v>
      </c>
      <c r="CC13" s="275">
        <f>'[1]POLY DISB 2019'!W17</f>
        <v>210000000</v>
      </c>
      <c r="CD13" s="275">
        <f t="shared" si="22"/>
        <v>0</v>
      </c>
      <c r="CE13" s="275"/>
      <c r="CF13" s="275">
        <f>'[1]POLY commited funds to date'!Y13</f>
        <v>0</v>
      </c>
      <c r="CG13" s="275">
        <f>'[1]POLY DISB 2019'!X17</f>
        <v>0</v>
      </c>
      <c r="CH13" s="275">
        <f t="shared" si="23"/>
        <v>0</v>
      </c>
      <c r="CI13" s="275"/>
      <c r="CJ13" s="275">
        <f>'[1]POLY commited funds to date'!Z13</f>
        <v>0</v>
      </c>
      <c r="CK13" s="275">
        <f>'[1]POLY DISB 2019'!Y17</f>
        <v>0</v>
      </c>
      <c r="CL13" s="275">
        <f t="shared" si="24"/>
        <v>0</v>
      </c>
      <c r="CM13" s="275"/>
      <c r="CN13" s="275">
        <f>'[1]POLY commited funds to date'!AA13</f>
        <v>243000000</v>
      </c>
      <c r="CO13" s="275">
        <f>'[1]POLY DISB 2019'!Z17</f>
        <v>243000000</v>
      </c>
      <c r="CP13" s="275">
        <f t="shared" si="25"/>
        <v>0</v>
      </c>
      <c r="CQ13" s="275"/>
      <c r="CR13" s="275">
        <v>10000000</v>
      </c>
      <c r="CS13" s="275">
        <f>'[1]POLY DISB 2019'!AA17</f>
        <v>8500000</v>
      </c>
      <c r="CT13" s="275">
        <f t="shared" si="26"/>
        <v>1500000</v>
      </c>
      <c r="CU13" s="275"/>
      <c r="CV13" s="275">
        <f>'[1]POLY commited funds to date'!AC13</f>
        <v>371000000</v>
      </c>
      <c r="CW13" s="275">
        <f>'[1]POLY DISB 2019'!AB17</f>
        <v>241150000</v>
      </c>
      <c r="CX13" s="275">
        <f t="shared" si="27"/>
        <v>129850000</v>
      </c>
      <c r="CY13" s="275"/>
      <c r="CZ13" s="275">
        <f>'[1]POLY commited funds to date'!AD13</f>
        <v>20000000</v>
      </c>
      <c r="DA13" s="275">
        <f>'[1]POLY DISB 2019'!AC17</f>
        <v>0</v>
      </c>
      <c r="DB13" s="275">
        <f t="shared" si="28"/>
        <v>20000000</v>
      </c>
      <c r="DC13" s="275"/>
      <c r="DD13" s="275">
        <f>'[1]POLY commited funds to date'!AE13</f>
        <v>213000000</v>
      </c>
      <c r="DE13" s="275">
        <f>'[1]POLY DISB 2019'!AD17</f>
        <v>42500000</v>
      </c>
      <c r="DF13" s="275">
        <f t="shared" si="29"/>
        <v>170500000</v>
      </c>
      <c r="DG13" s="275"/>
      <c r="DH13" s="275">
        <f>'[1]poly  com. adj for fmis'!AE13</f>
        <v>80000000</v>
      </c>
      <c r="DI13" s="275">
        <f>'[1]POLY DISB 2019'!AE17</f>
        <v>52000000</v>
      </c>
      <c r="DJ13" s="275">
        <f t="shared" si="30"/>
        <v>28000000</v>
      </c>
      <c r="DK13" s="275"/>
      <c r="DL13" s="275">
        <f>'[1]poly  com. adj for fmis'!AF13</f>
        <v>8000000</v>
      </c>
      <c r="DM13" s="275">
        <f>'[1]POLY DISB 2019'!AF17</f>
        <v>8000000</v>
      </c>
      <c r="DN13" s="275">
        <f t="shared" si="31"/>
        <v>0</v>
      </c>
      <c r="DO13" s="275"/>
      <c r="DP13" s="275">
        <f>'[1]poly  com. adj for fmis'!AG13</f>
        <v>2000000</v>
      </c>
      <c r="DQ13" s="275">
        <f>'[1]POLY DISB 2019'!AG17</f>
        <v>0</v>
      </c>
      <c r="DR13" s="275">
        <f t="shared" si="32"/>
        <v>2000000</v>
      </c>
      <c r="DS13" s="275"/>
      <c r="DT13" s="275">
        <f>'[1]poly  com. adj for fmis'!AH13</f>
        <v>10000000</v>
      </c>
      <c r="DU13" s="275">
        <f>'[1]POLY DISB 2019'!AH17</f>
        <v>0</v>
      </c>
      <c r="DV13" s="275">
        <f t="shared" si="33"/>
        <v>10000000</v>
      </c>
      <c r="DW13" s="275"/>
      <c r="DX13" s="275">
        <f>'[1]poly  com. adj for fmis'!AI13</f>
        <v>220000000</v>
      </c>
      <c r="DY13" s="275">
        <f>'[1]POLY DISB 2019'!AI17</f>
        <v>220000000</v>
      </c>
      <c r="DZ13" s="275">
        <f t="shared" si="34"/>
        <v>0</v>
      </c>
      <c r="EA13" s="275"/>
      <c r="EB13" s="275">
        <f>'[1]POLY commited funds to date'!AK13</f>
        <v>380632000</v>
      </c>
      <c r="EC13" s="275">
        <f>'[1]POLY DISB 2019'!AJ17</f>
        <v>247410800</v>
      </c>
      <c r="ED13" s="275">
        <f t="shared" si="35"/>
        <v>133221200</v>
      </c>
      <c r="EE13" s="275"/>
      <c r="EF13" s="275">
        <f>'[1]POLY commited funds to date'!AL13</f>
        <v>8000000</v>
      </c>
      <c r="EG13" s="275">
        <f>'[1]POLY DISB 2019'!AK17</f>
        <v>8000000</v>
      </c>
      <c r="EH13" s="275">
        <f t="shared" si="36"/>
        <v>0</v>
      </c>
      <c r="EI13" s="275"/>
      <c r="EJ13" s="275">
        <f>'[1]POLY commited funds to date'!AM13</f>
        <v>10000000</v>
      </c>
      <c r="EK13" s="275">
        <f>'[1]POLY DISB 2019'!AL17</f>
        <v>0</v>
      </c>
      <c r="EL13" s="275">
        <f t="shared" si="37"/>
        <v>10000000</v>
      </c>
      <c r="EM13" s="275"/>
      <c r="EN13" s="275">
        <f>'[1]POLY commited funds to date'!AN13</f>
        <v>10000000</v>
      </c>
      <c r="EO13" s="275">
        <f>'[1]POLY DISB 2019'!AM17</f>
        <v>0</v>
      </c>
      <c r="EP13" s="275">
        <f t="shared" si="38"/>
        <v>10000000</v>
      </c>
      <c r="EQ13" s="281">
        <f>'[1]POLY commited funds to date'!AO13</f>
        <v>150000000</v>
      </c>
      <c r="ER13" s="275">
        <f>'[1]POLY DISB 2019'!AN17</f>
        <v>127500000</v>
      </c>
      <c r="ES13" s="275">
        <f t="shared" si="39"/>
        <v>22500000</v>
      </c>
      <c r="ET13" s="275"/>
      <c r="EU13" s="275">
        <f>'[1]POLY commited funds to date'!AP13</f>
        <v>205000000</v>
      </c>
      <c r="EV13" s="275">
        <f>'[1]POLY DISB 2019'!AO17</f>
        <v>0</v>
      </c>
      <c r="EW13" s="275">
        <f t="shared" si="40"/>
        <v>205000000</v>
      </c>
      <c r="EX13" s="275"/>
      <c r="EY13" s="275">
        <f>'[1]POLY commited funds to date'!AQ13</f>
        <v>75000000</v>
      </c>
      <c r="EZ13" s="275">
        <f>'[1]POLY DISB 2019'!AP17</f>
        <v>40500000</v>
      </c>
      <c r="FA13" s="275">
        <f t="shared" si="41"/>
        <v>34500000</v>
      </c>
      <c r="FB13" s="275"/>
      <c r="FC13" s="275">
        <f>'[1]POLY commited funds to date'!AR13</f>
        <v>7000000</v>
      </c>
      <c r="FD13" s="275">
        <f>'[1]POLY DISB 2019'!AQ17</f>
        <v>0</v>
      </c>
      <c r="FE13" s="275">
        <f t="shared" si="42"/>
        <v>7000000</v>
      </c>
      <c r="FF13" s="275"/>
      <c r="FG13" s="275">
        <f>'[1]POLY commited funds to date'!AS13</f>
        <v>6300000</v>
      </c>
      <c r="FH13" s="275">
        <f>'[1]POLY DISB 2019'!AR17</f>
        <v>0</v>
      </c>
      <c r="FI13" s="275">
        <f t="shared" si="43"/>
        <v>6300000</v>
      </c>
      <c r="FJ13" s="275"/>
      <c r="FK13" s="275">
        <f>'[1]POLY commited funds to date'!AT13</f>
        <v>7500000</v>
      </c>
      <c r="FL13" s="275">
        <f>'[1]POLY DISB 2019'!AS17</f>
        <v>0</v>
      </c>
      <c r="FM13" s="275">
        <f t="shared" si="44"/>
        <v>7500000</v>
      </c>
      <c r="FN13" s="275"/>
      <c r="FO13" s="275">
        <f>'[1]POLY commited funds to date'!AU13</f>
        <v>245000000</v>
      </c>
      <c r="FP13" s="275">
        <f>'[1]POLY DISB 2019'!AT17</f>
        <v>0</v>
      </c>
      <c r="FQ13" s="275">
        <f t="shared" si="45"/>
        <v>245000000</v>
      </c>
      <c r="FR13" s="275">
        <f>'[1]POLY commited funds to date'!AV13</f>
        <v>119074602</v>
      </c>
      <c r="FS13" s="275">
        <f>'[1]POLY DISB 2019'!AU17</f>
        <v>0</v>
      </c>
      <c r="FT13" s="275">
        <f t="shared" si="46"/>
        <v>119074602</v>
      </c>
      <c r="FU13" s="275"/>
      <c r="FV13" s="275">
        <f>'[1]POLY commited funds to date'!AW13</f>
        <v>13000000</v>
      </c>
      <c r="FW13" s="275">
        <f>'[1]POLY DISB 2019'!AV17</f>
        <v>0</v>
      </c>
      <c r="FX13" s="275">
        <f t="shared" si="47"/>
        <v>13000000</v>
      </c>
      <c r="FY13" s="275"/>
      <c r="FZ13" s="275">
        <f>'[1]POLY commited funds to date'!AX13</f>
        <v>8628900</v>
      </c>
      <c r="GA13" s="275">
        <f>'[1]POLY DISB 2019'!AW17</f>
        <v>0</v>
      </c>
      <c r="GB13" s="275">
        <f t="shared" si="48"/>
        <v>8628900</v>
      </c>
      <c r="GC13" s="275">
        <f>'[1]POLY commited funds to date'!AY13</f>
        <v>5000000</v>
      </c>
      <c r="GD13" s="275">
        <f>'[1]POLY DISB 2019'!AX17</f>
        <v>0</v>
      </c>
      <c r="GE13" s="275">
        <f t="shared" si="49"/>
        <v>5000000</v>
      </c>
      <c r="GF13" s="275"/>
      <c r="GG13" s="275">
        <f>'[1]POLY commited funds to date'!AZ13</f>
        <v>0</v>
      </c>
      <c r="GH13" s="275">
        <f>'[1]POLY DISB 2019'!AY17</f>
        <v>0</v>
      </c>
      <c r="GI13" s="275">
        <f t="shared" si="50"/>
        <v>0</v>
      </c>
      <c r="GJ13" s="275"/>
      <c r="GK13" s="275">
        <f t="shared" si="51"/>
        <v>3456144804</v>
      </c>
      <c r="GL13" s="275">
        <f t="shared" si="51"/>
        <v>2266070102</v>
      </c>
      <c r="GM13" s="275">
        <f t="shared" si="52"/>
        <v>1190074702</v>
      </c>
      <c r="GN13" s="265"/>
      <c r="GO13" s="277">
        <f t="shared" si="53"/>
        <v>2283641302</v>
      </c>
      <c r="GP13" s="277">
        <f t="shared" si="53"/>
        <v>1542570102</v>
      </c>
      <c r="GQ13" s="277">
        <f t="shared" si="54"/>
        <v>741071200</v>
      </c>
      <c r="GR13" s="277">
        <f t="shared" si="0"/>
        <v>10000000</v>
      </c>
      <c r="GS13" s="277">
        <f t="shared" si="0"/>
        <v>10000000</v>
      </c>
      <c r="GT13" s="277">
        <f t="shared" si="55"/>
        <v>0</v>
      </c>
      <c r="GU13" s="277"/>
      <c r="GV13" s="265"/>
      <c r="GW13" s="279">
        <f t="shared" si="56"/>
        <v>683000000</v>
      </c>
      <c r="GX13" s="279">
        <f t="shared" si="56"/>
        <v>512500000</v>
      </c>
      <c r="GY13" s="280">
        <f t="shared" si="57"/>
        <v>170500000</v>
      </c>
      <c r="GZ13" s="280"/>
      <c r="HA13" s="277">
        <f t="shared" si="58"/>
        <v>74928900</v>
      </c>
      <c r="HB13" s="277">
        <f t="shared" si="58"/>
        <v>17000000</v>
      </c>
      <c r="HC13" s="277">
        <f t="shared" si="59"/>
        <v>57928900</v>
      </c>
      <c r="HE13" s="277">
        <f t="shared" si="60"/>
        <v>36000000</v>
      </c>
      <c r="HF13" s="277">
        <f t="shared" si="60"/>
        <v>16000000</v>
      </c>
      <c r="HG13" s="277">
        <f t="shared" si="61"/>
        <v>20000000</v>
      </c>
      <c r="HI13" s="279">
        <f t="shared" si="62"/>
        <v>344074602</v>
      </c>
      <c r="HJ13" s="279">
        <f t="shared" si="62"/>
        <v>168000000</v>
      </c>
      <c r="HK13" s="279">
        <f t="shared" si="63"/>
        <v>176074602</v>
      </c>
      <c r="HM13" s="279">
        <f t="shared" si="64"/>
        <v>2000000</v>
      </c>
      <c r="HN13" s="279">
        <f t="shared" si="1"/>
        <v>0</v>
      </c>
      <c r="HO13" s="279">
        <f t="shared" si="65"/>
        <v>2000000</v>
      </c>
      <c r="HQ13" s="279">
        <f t="shared" si="66"/>
        <v>22500000</v>
      </c>
      <c r="HR13" s="279">
        <f t="shared" si="2"/>
        <v>0</v>
      </c>
      <c r="HS13" s="279">
        <f t="shared" si="67"/>
        <v>22500000</v>
      </c>
    </row>
    <row r="14" spans="1:228" x14ac:dyDescent="0.25">
      <c r="A14" s="235">
        <v>6</v>
      </c>
      <c r="B14" s="273" t="s">
        <v>205</v>
      </c>
      <c r="C14" s="274" t="s">
        <v>76</v>
      </c>
      <c r="D14" s="275">
        <v>24709302</v>
      </c>
      <c r="E14" s="275">
        <f>'[1]POLY DISB 2019'!C18</f>
        <v>24709302</v>
      </c>
      <c r="F14" s="275">
        <f t="shared" si="3"/>
        <v>0</v>
      </c>
      <c r="G14" s="275"/>
      <c r="H14" s="275">
        <v>10000000</v>
      </c>
      <c r="I14" s="275">
        <f>'[1]POLY DISB 2019'!D18</f>
        <v>10000000</v>
      </c>
      <c r="J14" s="275">
        <f t="shared" si="4"/>
        <v>0</v>
      </c>
      <c r="K14" s="275"/>
      <c r="L14" s="275">
        <v>20000000</v>
      </c>
      <c r="M14" s="275">
        <f>'[1]POLY DISB 2019'!E18</f>
        <v>20000000</v>
      </c>
      <c r="N14" s="275">
        <f t="shared" si="5"/>
        <v>0</v>
      </c>
      <c r="O14" s="275"/>
      <c r="P14" s="275">
        <v>25000000</v>
      </c>
      <c r="Q14" s="275">
        <f>'[1]POLY DISB 2019'!F18</f>
        <v>25000000</v>
      </c>
      <c r="R14" s="275">
        <f t="shared" si="6"/>
        <v>0</v>
      </c>
      <c r="S14" s="275"/>
      <c r="T14" s="275">
        <v>12000000</v>
      </c>
      <c r="U14" s="275">
        <f>'[1]POLY DISB 2019'!G18</f>
        <v>12000000.01</v>
      </c>
      <c r="V14" s="275">
        <f t="shared" si="7"/>
        <v>-9.9999997764825821E-3</v>
      </c>
      <c r="W14" s="275"/>
      <c r="X14" s="275">
        <v>12000000</v>
      </c>
      <c r="Y14" s="275">
        <f>'[1]POLY DISB 2019'!H18</f>
        <v>12000000</v>
      </c>
      <c r="Z14" s="275">
        <f t="shared" si="8"/>
        <v>0</v>
      </c>
      <c r="AA14" s="275"/>
      <c r="AB14" s="275">
        <v>0</v>
      </c>
      <c r="AC14" s="275">
        <f>'[1]POLY DISB 2019'!I18</f>
        <v>0</v>
      </c>
      <c r="AD14" s="275">
        <f t="shared" si="9"/>
        <v>0</v>
      </c>
      <c r="AE14" s="275"/>
      <c r="AF14" s="275">
        <f>'[1]POLY commited funds to date'!K14</f>
        <v>20000000</v>
      </c>
      <c r="AG14" s="275">
        <f>'[1]POLY DISB 2019'!J18</f>
        <v>20000000</v>
      </c>
      <c r="AH14" s="275">
        <f t="shared" si="10"/>
        <v>0</v>
      </c>
      <c r="AI14" s="275"/>
      <c r="AJ14" s="275">
        <v>10000000</v>
      </c>
      <c r="AK14" s="275">
        <f>'[1]POLY DISB 2019'!K18</f>
        <v>10000000</v>
      </c>
      <c r="AL14" s="275">
        <f t="shared" si="11"/>
        <v>0</v>
      </c>
      <c r="AM14" s="275"/>
      <c r="AN14" s="275">
        <v>20000000</v>
      </c>
      <c r="AO14" s="275">
        <f>'[1]POLY DISB 2019'!L18</f>
        <v>20000000</v>
      </c>
      <c r="AP14" s="275">
        <f t="shared" si="12"/>
        <v>0</v>
      </c>
      <c r="AQ14" s="275"/>
      <c r="AR14" s="275">
        <v>26000000</v>
      </c>
      <c r="AS14" s="275">
        <f>'[1]POLY DISB 2019'!M18</f>
        <v>26000000</v>
      </c>
      <c r="AT14" s="275">
        <f t="shared" si="13"/>
        <v>0</v>
      </c>
      <c r="AU14" s="275"/>
      <c r="AV14" s="275">
        <v>45000000</v>
      </c>
      <c r="AW14" s="275">
        <f>'[1]POLY DISB 2019'!N18</f>
        <v>45000000</v>
      </c>
      <c r="AX14" s="275">
        <f t="shared" si="14"/>
        <v>0</v>
      </c>
      <c r="AY14" s="275"/>
      <c r="AZ14" s="275">
        <v>38340000</v>
      </c>
      <c r="BA14" s="275">
        <f>'[1]POLY DISB 2019'!P18</f>
        <v>38340000</v>
      </c>
      <c r="BB14" s="275">
        <f t="shared" si="15"/>
        <v>0</v>
      </c>
      <c r="BC14" s="275"/>
      <c r="BD14" s="275">
        <v>0</v>
      </c>
      <c r="BE14" s="275">
        <f>'[1]POLY DISB 2019'!Q18</f>
        <v>0</v>
      </c>
      <c r="BF14" s="275">
        <f t="shared" si="16"/>
        <v>0</v>
      </c>
      <c r="BG14" s="275"/>
      <c r="BH14" s="275">
        <f>'[1]POLY commited funds to date'!S14</f>
        <v>126060000</v>
      </c>
      <c r="BI14" s="275">
        <f>'[1]POLY DISB 2019'!R18</f>
        <v>126060000</v>
      </c>
      <c r="BJ14" s="275">
        <f t="shared" si="17"/>
        <v>0</v>
      </c>
      <c r="BK14" s="275"/>
      <c r="BL14" s="275">
        <f>'[1]poly  com. adj for fmis'!S14</f>
        <v>685000000</v>
      </c>
      <c r="BM14" s="275">
        <f>'[1]POLY DISB 2019'!S18</f>
        <v>685500000</v>
      </c>
      <c r="BN14" s="269">
        <f t="shared" si="18"/>
        <v>-500000</v>
      </c>
      <c r="BO14" s="275"/>
      <c r="BP14" s="276">
        <f>'[1]POLY commited funds to date'!U14</f>
        <v>169900000</v>
      </c>
      <c r="BQ14" s="275">
        <f>'[1]POLY DISB 2019'!T18</f>
        <v>169900000</v>
      </c>
      <c r="BR14" s="275">
        <f t="shared" si="19"/>
        <v>0</v>
      </c>
      <c r="BS14" s="275"/>
      <c r="BT14" s="275">
        <f>'[1]POLY commited funds to date'!V14</f>
        <v>10000000</v>
      </c>
      <c r="BU14" s="275">
        <f>'[1]POLY DISB 2019'!U18</f>
        <v>10000000</v>
      </c>
      <c r="BV14" s="275">
        <f t="shared" si="20"/>
        <v>0</v>
      </c>
      <c r="BW14" s="275"/>
      <c r="BX14" s="275">
        <f>'[1]POLY commited funds to date'!W14</f>
        <v>50000000</v>
      </c>
      <c r="BY14" s="275">
        <f>'[1]POLY DISB 2019'!V18</f>
        <v>50000000</v>
      </c>
      <c r="BZ14" s="275">
        <f t="shared" si="21"/>
        <v>0</v>
      </c>
      <c r="CA14" s="275"/>
      <c r="CB14" s="275">
        <f>'[1]POLY commited funds to date'!X14</f>
        <v>210000000</v>
      </c>
      <c r="CC14" s="275">
        <f>'[1]POLY DISB 2019'!W18</f>
        <v>210000000.0009931</v>
      </c>
      <c r="CD14" s="275">
        <f t="shared" si="22"/>
        <v>-9.931027889251709E-4</v>
      </c>
      <c r="CE14" s="275"/>
      <c r="CF14" s="275">
        <f>'[1]POLY commited funds to date'!Y14</f>
        <v>300000000</v>
      </c>
      <c r="CG14" s="275">
        <f>'[1]POLY DISB 2019'!X18</f>
        <v>255000000</v>
      </c>
      <c r="CH14" s="275">
        <f t="shared" si="23"/>
        <v>45000000</v>
      </c>
      <c r="CI14" s="275"/>
      <c r="CJ14" s="275">
        <f>'[1]POLY commited funds to date'!Z14</f>
        <v>0</v>
      </c>
      <c r="CK14" s="275">
        <f>'[1]POLY DISB 2019'!Y18</f>
        <v>0</v>
      </c>
      <c r="CL14" s="275">
        <f t="shared" si="24"/>
        <v>0</v>
      </c>
      <c r="CM14" s="275"/>
      <c r="CN14" s="275">
        <f>'[1]POLY commited funds to date'!AA14</f>
        <v>243000000</v>
      </c>
      <c r="CO14" s="275">
        <f>'[1]POLY DISB 2019'!Z18</f>
        <v>242999999.9990069</v>
      </c>
      <c r="CP14" s="275">
        <f t="shared" si="25"/>
        <v>9.931027889251709E-4</v>
      </c>
      <c r="CQ14" s="275"/>
      <c r="CR14" s="275">
        <v>10000000</v>
      </c>
      <c r="CS14" s="275">
        <f>'[1]POLY DISB 2019'!AA18</f>
        <v>10000000</v>
      </c>
      <c r="CT14" s="275">
        <f t="shared" si="26"/>
        <v>0</v>
      </c>
      <c r="CU14" s="275"/>
      <c r="CV14" s="275">
        <f>'[1]POLY commited funds to date'!AC14</f>
        <v>371000000</v>
      </c>
      <c r="CW14" s="275">
        <f>'[1]POLY DISB 2019'!AB18</f>
        <v>371000000</v>
      </c>
      <c r="CX14" s="275">
        <f t="shared" si="27"/>
        <v>0</v>
      </c>
      <c r="CY14" s="275"/>
      <c r="CZ14" s="275">
        <f>'[1]POLY commited funds to date'!AD14</f>
        <v>20000000</v>
      </c>
      <c r="DA14" s="275">
        <f>'[1]POLY DISB 2019'!AC18</f>
        <v>0</v>
      </c>
      <c r="DB14" s="275">
        <f t="shared" si="28"/>
        <v>20000000</v>
      </c>
      <c r="DC14" s="275"/>
      <c r="DD14" s="275">
        <f>'[1]POLY commited funds to date'!AE14</f>
        <v>650000000</v>
      </c>
      <c r="DE14" s="275">
        <f>'[1]POLY DISB 2019'!AD18</f>
        <v>642500000</v>
      </c>
      <c r="DF14" s="275">
        <f t="shared" si="29"/>
        <v>7500000</v>
      </c>
      <c r="DG14" s="275"/>
      <c r="DH14" s="275">
        <f>'[1]poly  com. adj for fmis'!AE14</f>
        <v>80000000</v>
      </c>
      <c r="DI14" s="275">
        <f>'[1]POLY DISB 2019'!AE18</f>
        <v>68000000</v>
      </c>
      <c r="DJ14" s="275">
        <f t="shared" si="30"/>
        <v>12000000</v>
      </c>
      <c r="DK14" s="275"/>
      <c r="DL14" s="275">
        <f>'[1]poly  com. adj for fmis'!AF14</f>
        <v>8000000</v>
      </c>
      <c r="DM14" s="275">
        <f>'[1]POLY DISB 2019'!AF18</f>
        <v>4240000</v>
      </c>
      <c r="DN14" s="275">
        <f t="shared" si="31"/>
        <v>3760000</v>
      </c>
      <c r="DO14" s="275"/>
      <c r="DP14" s="275">
        <f>'[1]poly  com. adj for fmis'!AG14</f>
        <v>2000000</v>
      </c>
      <c r="DQ14" s="275">
        <f>'[1]POLY DISB 2019'!AG18</f>
        <v>1700000</v>
      </c>
      <c r="DR14" s="275">
        <f t="shared" si="32"/>
        <v>300000</v>
      </c>
      <c r="DS14" s="275"/>
      <c r="DT14" s="275">
        <f>'[1]poly  com. adj for fmis'!AH14</f>
        <v>10000000</v>
      </c>
      <c r="DU14" s="275">
        <f>'[1]POLY DISB 2019'!AH18</f>
        <v>0</v>
      </c>
      <c r="DV14" s="275">
        <f t="shared" si="33"/>
        <v>10000000</v>
      </c>
      <c r="DW14" s="275"/>
      <c r="DX14" s="275">
        <f>'[1]poly  com. adj for fmis'!AI14</f>
        <v>1200000000</v>
      </c>
      <c r="DY14" s="275">
        <f>'[1]POLY DISB 2019'!AI18</f>
        <v>1200000000</v>
      </c>
      <c r="DZ14" s="275">
        <f t="shared" si="34"/>
        <v>0</v>
      </c>
      <c r="EA14" s="275"/>
      <c r="EB14" s="275">
        <f>'[1]POLY commited funds to date'!AK14</f>
        <v>380632000</v>
      </c>
      <c r="EC14" s="275">
        <f>'[1]POLY DISB 2019'!AJ18</f>
        <v>323537200</v>
      </c>
      <c r="ED14" s="275">
        <f t="shared" si="35"/>
        <v>57094800</v>
      </c>
      <c r="EE14" s="275"/>
      <c r="EF14" s="275">
        <f>'[1]POLY commited funds to date'!AL14</f>
        <v>8000000</v>
      </c>
      <c r="EG14" s="275">
        <f>'[1]POLY DISB 2019'!AK18</f>
        <v>4240000</v>
      </c>
      <c r="EH14" s="275">
        <f t="shared" si="36"/>
        <v>3760000</v>
      </c>
      <c r="EI14" s="275"/>
      <c r="EJ14" s="275">
        <f>'[1]POLY commited funds to date'!AM14</f>
        <v>10000000</v>
      </c>
      <c r="EK14" s="275">
        <f>'[1]POLY DISB 2019'!AL18</f>
        <v>0</v>
      </c>
      <c r="EL14" s="275">
        <f t="shared" si="37"/>
        <v>10000000</v>
      </c>
      <c r="EM14" s="275"/>
      <c r="EN14" s="275">
        <f>'[1]POLY commited funds to date'!AN14</f>
        <v>10000000</v>
      </c>
      <c r="EO14" s="275">
        <f>'[1]POLY DISB 2019'!AM18</f>
        <v>0</v>
      </c>
      <c r="EP14" s="275">
        <f t="shared" si="38"/>
        <v>10000000</v>
      </c>
      <c r="EQ14" s="281">
        <f>'[1]POLY commited funds to date'!AO14</f>
        <v>150000000</v>
      </c>
      <c r="ER14" s="275">
        <f>'[1]POLY DISB 2019'!AN18</f>
        <v>150000000</v>
      </c>
      <c r="ES14" s="275">
        <f t="shared" si="39"/>
        <v>0</v>
      </c>
      <c r="ET14" s="275"/>
      <c r="EU14" s="275">
        <f>'[1]POLY commited funds to date'!AP14</f>
        <v>205000000</v>
      </c>
      <c r="EV14" s="275">
        <f>'[1]POLY DISB 2019'!AO18</f>
        <v>0</v>
      </c>
      <c r="EW14" s="275">
        <f t="shared" si="40"/>
        <v>205000000</v>
      </c>
      <c r="EX14" s="275"/>
      <c r="EY14" s="275">
        <f>'[1]POLY commited funds to date'!AQ14</f>
        <v>75000000</v>
      </c>
      <c r="EZ14" s="275">
        <f>'[1]POLY DISB 2019'!AP18</f>
        <v>63750000</v>
      </c>
      <c r="FA14" s="275">
        <f t="shared" si="41"/>
        <v>11250000</v>
      </c>
      <c r="FB14" s="275"/>
      <c r="FC14" s="275">
        <f>'[1]POLY commited funds to date'!AR14</f>
        <v>7000000</v>
      </c>
      <c r="FD14" s="275">
        <f>'[1]POLY DISB 2019'!AQ18</f>
        <v>0</v>
      </c>
      <c r="FE14" s="275">
        <f t="shared" si="42"/>
        <v>7000000</v>
      </c>
      <c r="FF14" s="275"/>
      <c r="FG14" s="275">
        <f>'[1]POLY commited funds to date'!AS14</f>
        <v>6300000</v>
      </c>
      <c r="FH14" s="275">
        <f>'[1]POLY DISB 2019'!AR18</f>
        <v>0</v>
      </c>
      <c r="FI14" s="275">
        <f t="shared" si="43"/>
        <v>6300000</v>
      </c>
      <c r="FJ14" s="275"/>
      <c r="FK14" s="275">
        <f>'[1]POLY commited funds to date'!AT14</f>
        <v>7500000</v>
      </c>
      <c r="FL14" s="275">
        <f>'[1]POLY DISB 2019'!AS18</f>
        <v>0</v>
      </c>
      <c r="FM14" s="275">
        <f t="shared" si="44"/>
        <v>7500000</v>
      </c>
      <c r="FN14" s="275"/>
      <c r="FO14" s="275">
        <f>'[1]POLY commited funds to date'!AU14</f>
        <v>245000000</v>
      </c>
      <c r="FP14" s="275">
        <f>'[1]POLY DISB 2019'!AT18</f>
        <v>0</v>
      </c>
      <c r="FQ14" s="275">
        <f t="shared" si="45"/>
        <v>245000000</v>
      </c>
      <c r="FR14" s="275">
        <f>'[1]POLY commited funds to date'!AV14</f>
        <v>119074602</v>
      </c>
      <c r="FS14" s="275">
        <f>'[1]POLY DISB 2019'!AU18</f>
        <v>0</v>
      </c>
      <c r="FT14" s="275">
        <f t="shared" si="46"/>
        <v>119074602</v>
      </c>
      <c r="FU14" s="275"/>
      <c r="FV14" s="275">
        <f>'[1]POLY commited funds to date'!AW14</f>
        <v>13000000</v>
      </c>
      <c r="FW14" s="275">
        <f>'[1]POLY DISB 2019'!AV18</f>
        <v>0</v>
      </c>
      <c r="FX14" s="275">
        <f t="shared" si="47"/>
        <v>13000000</v>
      </c>
      <c r="FY14" s="275"/>
      <c r="FZ14" s="275">
        <f>'[1]POLY commited funds to date'!AX14</f>
        <v>8628900</v>
      </c>
      <c r="GA14" s="275">
        <f>'[1]POLY DISB 2019'!AW18</f>
        <v>0</v>
      </c>
      <c r="GB14" s="275">
        <f t="shared" si="48"/>
        <v>8628900</v>
      </c>
      <c r="GC14" s="275">
        <f>'[1]POLY commited funds to date'!AY14</f>
        <v>5000000</v>
      </c>
      <c r="GD14" s="275">
        <f>'[1]POLY DISB 2019'!AX18</f>
        <v>0</v>
      </c>
      <c r="GE14" s="275">
        <f t="shared" si="49"/>
        <v>5000000</v>
      </c>
      <c r="GF14" s="275"/>
      <c r="GG14" s="275">
        <f>'[1]POLY commited funds to date'!AZ14</f>
        <v>0</v>
      </c>
      <c r="GH14" s="275">
        <f>'[1]POLY DISB 2019'!AY18</f>
        <v>0</v>
      </c>
      <c r="GI14" s="275">
        <f t="shared" si="50"/>
        <v>0</v>
      </c>
      <c r="GJ14" s="275"/>
      <c r="GK14" s="275">
        <f t="shared" si="51"/>
        <v>5658144804</v>
      </c>
      <c r="GL14" s="275">
        <f t="shared" si="51"/>
        <v>4851476502.0100002</v>
      </c>
      <c r="GM14" s="275">
        <f t="shared" si="52"/>
        <v>806668301.98999977</v>
      </c>
      <c r="GN14" s="265"/>
      <c r="GO14" s="277">
        <f t="shared" si="53"/>
        <v>2283641302</v>
      </c>
      <c r="GP14" s="277">
        <f t="shared" si="53"/>
        <v>1764546502.01</v>
      </c>
      <c r="GQ14" s="277">
        <f t="shared" si="54"/>
        <v>519094799.99000001</v>
      </c>
      <c r="GR14" s="277">
        <f t="shared" si="0"/>
        <v>10000000</v>
      </c>
      <c r="GS14" s="277">
        <f t="shared" si="0"/>
        <v>10000000</v>
      </c>
      <c r="GT14" s="277">
        <f t="shared" si="55"/>
        <v>0</v>
      </c>
      <c r="GU14" s="277"/>
      <c r="GV14" s="265"/>
      <c r="GW14" s="279">
        <f t="shared" si="56"/>
        <v>2885000000</v>
      </c>
      <c r="GX14" s="279">
        <f t="shared" si="56"/>
        <v>2833000000</v>
      </c>
      <c r="GY14" s="280">
        <f t="shared" si="57"/>
        <v>52000000</v>
      </c>
      <c r="GZ14" s="280"/>
      <c r="HA14" s="277">
        <f t="shared" si="58"/>
        <v>74928900</v>
      </c>
      <c r="HB14" s="277">
        <f t="shared" si="58"/>
        <v>20000000</v>
      </c>
      <c r="HC14" s="277">
        <f t="shared" si="59"/>
        <v>54928900</v>
      </c>
      <c r="HE14" s="277">
        <f t="shared" si="60"/>
        <v>36000000</v>
      </c>
      <c r="HF14" s="277">
        <f t="shared" si="60"/>
        <v>8480000</v>
      </c>
      <c r="HG14" s="277">
        <f t="shared" si="61"/>
        <v>27520000</v>
      </c>
      <c r="HI14" s="279">
        <f t="shared" si="62"/>
        <v>344074602</v>
      </c>
      <c r="HJ14" s="279">
        <f t="shared" si="62"/>
        <v>213750000</v>
      </c>
      <c r="HK14" s="279">
        <f t="shared" si="63"/>
        <v>130324602</v>
      </c>
      <c r="HM14" s="279">
        <f t="shared" si="64"/>
        <v>2000000</v>
      </c>
      <c r="HN14" s="279">
        <f t="shared" si="1"/>
        <v>1700000</v>
      </c>
      <c r="HO14" s="279">
        <f t="shared" si="65"/>
        <v>300000</v>
      </c>
      <c r="HQ14" s="279">
        <f t="shared" si="66"/>
        <v>22500000</v>
      </c>
      <c r="HR14" s="279">
        <f t="shared" si="2"/>
        <v>0</v>
      </c>
      <c r="HS14" s="279">
        <f t="shared" si="67"/>
        <v>22500000</v>
      </c>
    </row>
    <row r="15" spans="1:228" x14ac:dyDescent="0.25">
      <c r="A15" s="235">
        <v>7</v>
      </c>
      <c r="B15" s="273" t="s">
        <v>206</v>
      </c>
      <c r="C15" s="274" t="s">
        <v>63</v>
      </c>
      <c r="D15" s="275">
        <v>24708302</v>
      </c>
      <c r="E15" s="275">
        <f>'[1]POLY DISB 2019'!C19</f>
        <v>24708302</v>
      </c>
      <c r="F15" s="275">
        <f t="shared" si="3"/>
        <v>0</v>
      </c>
      <c r="G15" s="275"/>
      <c r="H15" s="275">
        <v>10000000</v>
      </c>
      <c r="I15" s="275">
        <f>'[1]POLY DISB 2019'!D19</f>
        <v>10000000</v>
      </c>
      <c r="J15" s="275">
        <f t="shared" si="4"/>
        <v>0</v>
      </c>
      <c r="K15" s="275"/>
      <c r="L15" s="275">
        <v>20000000</v>
      </c>
      <c r="M15" s="275">
        <f>'[1]POLY DISB 2019'!E19</f>
        <v>20000000</v>
      </c>
      <c r="N15" s="275">
        <f t="shared" si="5"/>
        <v>0</v>
      </c>
      <c r="O15" s="275"/>
      <c r="P15" s="275">
        <v>25000000</v>
      </c>
      <c r="Q15" s="275">
        <f>'[1]POLY DISB 2019'!F19</f>
        <v>25000000</v>
      </c>
      <c r="R15" s="275">
        <f t="shared" si="6"/>
        <v>0</v>
      </c>
      <c r="S15" s="275"/>
      <c r="T15" s="275">
        <v>12000000</v>
      </c>
      <c r="U15" s="275">
        <f>'[1]POLY DISB 2019'!G19</f>
        <v>12000000</v>
      </c>
      <c r="V15" s="275">
        <f t="shared" si="7"/>
        <v>0</v>
      </c>
      <c r="W15" s="275"/>
      <c r="X15" s="275">
        <v>12000000</v>
      </c>
      <c r="Y15" s="275">
        <f>'[1]POLY DISB 2019'!H19</f>
        <v>12000000</v>
      </c>
      <c r="Z15" s="275">
        <f t="shared" si="8"/>
        <v>0</v>
      </c>
      <c r="AA15" s="275"/>
      <c r="AB15" s="275">
        <v>0</v>
      </c>
      <c r="AC15" s="275">
        <f>'[1]POLY DISB 2019'!I19</f>
        <v>0</v>
      </c>
      <c r="AD15" s="275">
        <f t="shared" si="9"/>
        <v>0</v>
      </c>
      <c r="AE15" s="275"/>
      <c r="AF15" s="275">
        <f>'[1]POLY commited funds to date'!K15</f>
        <v>20000000</v>
      </c>
      <c r="AG15" s="275">
        <f>'[1]POLY DISB 2019'!J19</f>
        <v>20000000</v>
      </c>
      <c r="AH15" s="275">
        <f t="shared" si="10"/>
        <v>0</v>
      </c>
      <c r="AI15" s="275"/>
      <c r="AJ15" s="275">
        <v>10000000</v>
      </c>
      <c r="AK15" s="275">
        <f>'[1]POLY DISB 2019'!K19</f>
        <v>10000000</v>
      </c>
      <c r="AL15" s="275">
        <f t="shared" si="11"/>
        <v>0</v>
      </c>
      <c r="AM15" s="275"/>
      <c r="AN15" s="275">
        <v>20000000</v>
      </c>
      <c r="AO15" s="275">
        <f>'[1]POLY DISB 2019'!L19</f>
        <v>20000000</v>
      </c>
      <c r="AP15" s="275">
        <f t="shared" si="12"/>
        <v>0</v>
      </c>
      <c r="AQ15" s="275"/>
      <c r="AR15" s="275">
        <v>26000000</v>
      </c>
      <c r="AS15" s="275">
        <f>'[1]POLY DISB 2019'!M19</f>
        <v>26000000</v>
      </c>
      <c r="AT15" s="275">
        <f t="shared" si="13"/>
        <v>0</v>
      </c>
      <c r="AU15" s="275"/>
      <c r="AV15" s="275">
        <v>45000000</v>
      </c>
      <c r="AW15" s="275">
        <f>'[1]POLY DISB 2019'!N19</f>
        <v>45000000</v>
      </c>
      <c r="AX15" s="275">
        <f t="shared" si="14"/>
        <v>0</v>
      </c>
      <c r="AY15" s="275"/>
      <c r="AZ15" s="275">
        <v>32589000</v>
      </c>
      <c r="BA15" s="275">
        <f>'[1]POLY DISB 2019'!P19</f>
        <v>32589000</v>
      </c>
      <c r="BB15" s="275">
        <f t="shared" si="15"/>
        <v>0</v>
      </c>
      <c r="BC15" s="275"/>
      <c r="BD15" s="275">
        <v>0</v>
      </c>
      <c r="BE15" s="275">
        <f>'[1]POLY DISB 2019'!Q19</f>
        <v>0</v>
      </c>
      <c r="BF15" s="275">
        <f t="shared" si="16"/>
        <v>0</v>
      </c>
      <c r="BG15" s="275"/>
      <c r="BH15" s="275">
        <v>107151000</v>
      </c>
      <c r="BI15" s="275">
        <f>'[1]POLY DISB 2019'!R19</f>
        <v>107151000</v>
      </c>
      <c r="BJ15" s="275">
        <f t="shared" si="17"/>
        <v>0</v>
      </c>
      <c r="BK15" s="275"/>
      <c r="BL15" s="275">
        <f>'[1]poly  com. adj for fmis'!S15</f>
        <v>0</v>
      </c>
      <c r="BM15" s="275">
        <f>'[1]POLY DISB 2019'!S19</f>
        <v>0</v>
      </c>
      <c r="BN15" s="269">
        <f t="shared" si="18"/>
        <v>0</v>
      </c>
      <c r="BO15" s="275"/>
      <c r="BP15" s="276">
        <f>'[1]POLY commited funds to date'!U15</f>
        <v>169900000</v>
      </c>
      <c r="BQ15" s="275">
        <f>'[1]POLY DISB 2019'!T19</f>
        <v>169899999.99886811</v>
      </c>
      <c r="BR15" s="275">
        <f t="shared" si="19"/>
        <v>1.131892204284668E-3</v>
      </c>
      <c r="BS15" s="275"/>
      <c r="BT15" s="275">
        <f>'[1]POLY commited funds to date'!V15</f>
        <v>10000000</v>
      </c>
      <c r="BU15" s="275">
        <f>'[1]POLY DISB 2019'!U19</f>
        <v>0</v>
      </c>
      <c r="BV15" s="275">
        <f t="shared" si="20"/>
        <v>10000000</v>
      </c>
      <c r="BW15" s="275"/>
      <c r="BX15" s="275">
        <f>'[1]POLY commited funds to date'!W15</f>
        <v>232000000</v>
      </c>
      <c r="BY15" s="275">
        <f>'[1]POLY DISB 2019'!V19</f>
        <v>120000000</v>
      </c>
      <c r="BZ15" s="275">
        <f t="shared" si="21"/>
        <v>112000000</v>
      </c>
      <c r="CA15" s="275"/>
      <c r="CB15" s="275">
        <f>'[1]POLY commited funds to date'!X15</f>
        <v>210000000</v>
      </c>
      <c r="CC15" s="275">
        <f>'[1]POLY DISB 2019'!W19</f>
        <v>210000000.00113189</v>
      </c>
      <c r="CD15" s="275">
        <f t="shared" si="22"/>
        <v>-1.131892204284668E-3</v>
      </c>
      <c r="CE15" s="275"/>
      <c r="CF15" s="275">
        <f>'[1]POLY commited funds to date'!Y15</f>
        <v>217000000</v>
      </c>
      <c r="CG15" s="275">
        <f>'[1]POLY DISB 2019'!X19</f>
        <v>217000000</v>
      </c>
      <c r="CH15" s="275">
        <f t="shared" si="23"/>
        <v>0</v>
      </c>
      <c r="CI15" s="275"/>
      <c r="CJ15" s="275">
        <f>'[1]POLY commited funds to date'!Z15</f>
        <v>0</v>
      </c>
      <c r="CK15" s="275">
        <f>'[1]POLY DISB 2019'!Y19</f>
        <v>0</v>
      </c>
      <c r="CL15" s="275">
        <f t="shared" si="24"/>
        <v>0</v>
      </c>
      <c r="CM15" s="275"/>
      <c r="CN15" s="275">
        <f>'[1]POLY commited funds to date'!AA15</f>
        <v>243000000</v>
      </c>
      <c r="CO15" s="275">
        <f>'[1]POLY DISB 2019'!Z19</f>
        <v>243000000</v>
      </c>
      <c r="CP15" s="275">
        <f t="shared" si="25"/>
        <v>0</v>
      </c>
      <c r="CQ15" s="275"/>
      <c r="CR15" s="275">
        <v>10000000</v>
      </c>
      <c r="CS15" s="275">
        <f>'[1]POLY DISB 2019'!AA19</f>
        <v>0</v>
      </c>
      <c r="CT15" s="275">
        <f t="shared" si="26"/>
        <v>10000000</v>
      </c>
      <c r="CU15" s="275"/>
      <c r="CV15" s="275">
        <f>'[1]POLY commited funds to date'!AC15</f>
        <v>371000000</v>
      </c>
      <c r="CW15" s="275">
        <f>'[1]POLY DISB 2019'!AB19</f>
        <v>196630000</v>
      </c>
      <c r="CX15" s="275">
        <f t="shared" si="27"/>
        <v>174370000</v>
      </c>
      <c r="CY15" s="275"/>
      <c r="CZ15" s="275">
        <f>'[1]POLY commited funds to date'!AD15</f>
        <v>20000000</v>
      </c>
      <c r="DA15" s="275">
        <f>'[1]POLY DISB 2019'!AC19</f>
        <v>0</v>
      </c>
      <c r="DB15" s="275">
        <f t="shared" si="28"/>
        <v>20000000</v>
      </c>
      <c r="DC15" s="275"/>
      <c r="DD15" s="275">
        <f>'[1]POLY commited funds to date'!AE15</f>
        <v>380000000</v>
      </c>
      <c r="DE15" s="275">
        <f>'[1]POLY DISB 2019'!AD19</f>
        <v>380000000</v>
      </c>
      <c r="DF15" s="275">
        <f t="shared" si="29"/>
        <v>0</v>
      </c>
      <c r="DG15" s="275"/>
      <c r="DH15" s="275">
        <f>'[1]poly  com. adj for fmis'!AE15</f>
        <v>80000000</v>
      </c>
      <c r="DI15" s="275">
        <f>'[1]POLY DISB 2019'!AE19</f>
        <v>42400000</v>
      </c>
      <c r="DJ15" s="275">
        <f t="shared" si="30"/>
        <v>37600000</v>
      </c>
      <c r="DK15" s="275"/>
      <c r="DL15" s="275">
        <f>'[1]poly  com. adj for fmis'!AF15</f>
        <v>8000000</v>
      </c>
      <c r="DM15" s="275">
        <f>'[1]POLY DISB 2019'!AF19</f>
        <v>4240000</v>
      </c>
      <c r="DN15" s="275">
        <f t="shared" si="31"/>
        <v>3760000</v>
      </c>
      <c r="DO15" s="275"/>
      <c r="DP15" s="275">
        <f>'[1]poly  com. adj for fmis'!AG15</f>
        <v>2000000</v>
      </c>
      <c r="DQ15" s="275">
        <f>'[1]POLY DISB 2019'!AG19</f>
        <v>0</v>
      </c>
      <c r="DR15" s="275">
        <f t="shared" si="32"/>
        <v>2000000</v>
      </c>
      <c r="DS15" s="275"/>
      <c r="DT15" s="275">
        <f>'[1]poly  com. adj for fmis'!AH15</f>
        <v>10000000</v>
      </c>
      <c r="DU15" s="275">
        <f>'[1]POLY DISB 2019'!AH19</f>
        <v>0</v>
      </c>
      <c r="DV15" s="275">
        <f t="shared" si="33"/>
        <v>10000000</v>
      </c>
      <c r="DW15" s="275"/>
      <c r="DX15" s="275">
        <f>'[1]poly  com. adj for fmis'!AI15</f>
        <v>1000000000</v>
      </c>
      <c r="DY15" s="275">
        <f>'[1]POLY DISB 2019'!AI19</f>
        <v>1000000000</v>
      </c>
      <c r="DZ15" s="275">
        <f t="shared" si="34"/>
        <v>0</v>
      </c>
      <c r="EA15" s="275"/>
      <c r="EB15" s="275">
        <f>'[1]POLY commited funds to date'!AK15</f>
        <v>380632000</v>
      </c>
      <c r="EC15" s="275">
        <f>'[1]POLY DISB 2019'!AJ19</f>
        <v>201734960</v>
      </c>
      <c r="ED15" s="275">
        <f t="shared" si="35"/>
        <v>178897040</v>
      </c>
      <c r="EE15" s="275"/>
      <c r="EF15" s="275">
        <f>'[1]POLY commited funds to date'!AL15</f>
        <v>8000000</v>
      </c>
      <c r="EG15" s="275">
        <f>'[1]POLY DISB 2019'!AK19</f>
        <v>4240000</v>
      </c>
      <c r="EH15" s="275">
        <f t="shared" si="36"/>
        <v>3760000</v>
      </c>
      <c r="EI15" s="275"/>
      <c r="EJ15" s="275">
        <f>'[1]POLY commited funds to date'!AM15</f>
        <v>10000000</v>
      </c>
      <c r="EK15" s="275">
        <f>'[1]POLY DISB 2019'!AL19</f>
        <v>0</v>
      </c>
      <c r="EL15" s="275">
        <f t="shared" si="37"/>
        <v>10000000</v>
      </c>
      <c r="EM15" s="275"/>
      <c r="EN15" s="275">
        <f>'[1]POLY commited funds to date'!AN15</f>
        <v>10000000</v>
      </c>
      <c r="EO15" s="275">
        <f>'[1]POLY DISB 2019'!AM19</f>
        <v>0</v>
      </c>
      <c r="EP15" s="275">
        <f t="shared" si="38"/>
        <v>10000000</v>
      </c>
      <c r="EQ15" s="275">
        <f>'[1]POLY commited funds to date'!AO15</f>
        <v>0</v>
      </c>
      <c r="ER15" s="275">
        <f>'[1]POLY DISB 2019'!AN19</f>
        <v>0</v>
      </c>
      <c r="ES15" s="275">
        <f t="shared" si="39"/>
        <v>0</v>
      </c>
      <c r="ET15" s="275"/>
      <c r="EU15" s="275">
        <f>'[1]POLY commited funds to date'!AP15</f>
        <v>205000000</v>
      </c>
      <c r="EV15" s="275">
        <f>'[1]POLY DISB 2019'!AO19</f>
        <v>0</v>
      </c>
      <c r="EW15" s="275">
        <f t="shared" si="40"/>
        <v>205000000</v>
      </c>
      <c r="EX15" s="275"/>
      <c r="EY15" s="275">
        <f>'[1]POLY commited funds to date'!AQ15</f>
        <v>75000000</v>
      </c>
      <c r="EZ15" s="275">
        <f>'[1]POLY DISB 2019'!AP19</f>
        <v>75000000</v>
      </c>
      <c r="FA15" s="275">
        <f t="shared" si="41"/>
        <v>0</v>
      </c>
      <c r="FB15" s="275"/>
      <c r="FC15" s="275">
        <f>'[1]POLY commited funds to date'!AR15</f>
        <v>7000000</v>
      </c>
      <c r="FD15" s="275">
        <f>'[1]POLY DISB 2019'!AQ19</f>
        <v>0</v>
      </c>
      <c r="FE15" s="275">
        <f t="shared" si="42"/>
        <v>7000000</v>
      </c>
      <c r="FF15" s="275"/>
      <c r="FG15" s="275">
        <f>'[1]POLY commited funds to date'!AS15</f>
        <v>6300000</v>
      </c>
      <c r="FH15" s="275">
        <f>'[1]POLY DISB 2019'!AR19</f>
        <v>0</v>
      </c>
      <c r="FI15" s="275">
        <f t="shared" si="43"/>
        <v>6300000</v>
      </c>
      <c r="FJ15" s="275"/>
      <c r="FK15" s="275">
        <f>'[1]POLY commited funds to date'!AT15</f>
        <v>7500000</v>
      </c>
      <c r="FL15" s="275">
        <f>'[1]POLY DISB 2019'!AS19</f>
        <v>0</v>
      </c>
      <c r="FM15" s="275">
        <f t="shared" si="44"/>
        <v>7500000</v>
      </c>
      <c r="FN15" s="275"/>
      <c r="FO15" s="275">
        <f>'[1]POLY commited funds to date'!AU15</f>
        <v>245000000</v>
      </c>
      <c r="FP15" s="275">
        <f>'[1]POLY DISB 2019'!AT19</f>
        <v>0</v>
      </c>
      <c r="FQ15" s="275">
        <f t="shared" si="45"/>
        <v>245000000</v>
      </c>
      <c r="FR15" s="275">
        <f>'[1]POLY commited funds to date'!AV15</f>
        <v>119074602</v>
      </c>
      <c r="FS15" s="275">
        <f>'[1]POLY DISB 2019'!AU19</f>
        <v>0</v>
      </c>
      <c r="FT15" s="275">
        <f t="shared" si="46"/>
        <v>119074602</v>
      </c>
      <c r="FU15" s="275"/>
      <c r="FV15" s="275">
        <f>'[1]POLY commited funds to date'!AW15</f>
        <v>13000000</v>
      </c>
      <c r="FW15" s="275">
        <f>'[1]POLY DISB 2019'!AV19</f>
        <v>0</v>
      </c>
      <c r="FX15" s="275">
        <f t="shared" si="47"/>
        <v>13000000</v>
      </c>
      <c r="FY15" s="275"/>
      <c r="FZ15" s="275">
        <f>'[1]POLY commited funds to date'!AX15</f>
        <v>8628900</v>
      </c>
      <c r="GA15" s="275">
        <f>'[1]POLY DISB 2019'!AW19</f>
        <v>0</v>
      </c>
      <c r="GB15" s="275">
        <f t="shared" si="48"/>
        <v>8628900</v>
      </c>
      <c r="GC15" s="275">
        <f>'[1]POLY commited funds to date'!AY15</f>
        <v>5000000</v>
      </c>
      <c r="GD15" s="275">
        <f>'[1]POLY DISB 2019'!AX19</f>
        <v>0</v>
      </c>
      <c r="GE15" s="275">
        <f t="shared" si="49"/>
        <v>5000000</v>
      </c>
      <c r="GF15" s="275"/>
      <c r="GG15" s="275">
        <f>'[1]POLY commited funds to date'!AZ15</f>
        <v>0</v>
      </c>
      <c r="GH15" s="275">
        <f>'[1]POLY DISB 2019'!AY19</f>
        <v>0</v>
      </c>
      <c r="GI15" s="275">
        <f t="shared" si="50"/>
        <v>0</v>
      </c>
      <c r="GJ15" s="275"/>
      <c r="GK15" s="275">
        <f t="shared" si="51"/>
        <v>4427483804</v>
      </c>
      <c r="GL15" s="275">
        <f t="shared" si="51"/>
        <v>3228593262</v>
      </c>
      <c r="GM15" s="275">
        <f t="shared" si="52"/>
        <v>1198890542</v>
      </c>
      <c r="GN15" s="265"/>
      <c r="GO15" s="277">
        <f t="shared" si="53"/>
        <v>2258980302</v>
      </c>
      <c r="GP15" s="277">
        <f t="shared" si="53"/>
        <v>1418113262</v>
      </c>
      <c r="GQ15" s="277">
        <f t="shared" si="54"/>
        <v>840867040</v>
      </c>
      <c r="GR15" s="277">
        <f t="shared" si="0"/>
        <v>10000000</v>
      </c>
      <c r="GS15" s="277">
        <f t="shared" si="0"/>
        <v>10000000</v>
      </c>
      <c r="GT15" s="277">
        <f t="shared" si="55"/>
        <v>0</v>
      </c>
      <c r="GU15" s="277"/>
      <c r="GV15" s="265"/>
      <c r="GW15" s="279">
        <f t="shared" si="56"/>
        <v>1829000000</v>
      </c>
      <c r="GX15" s="279">
        <f t="shared" si="56"/>
        <v>1717000000</v>
      </c>
      <c r="GY15" s="280">
        <f t="shared" si="57"/>
        <v>112000000</v>
      </c>
      <c r="GZ15" s="280"/>
      <c r="HA15" s="277">
        <f t="shared" si="58"/>
        <v>74928900</v>
      </c>
      <c r="HB15" s="277">
        <f t="shared" si="58"/>
        <v>0</v>
      </c>
      <c r="HC15" s="277">
        <f t="shared" si="59"/>
        <v>74928900</v>
      </c>
      <c r="HE15" s="277">
        <f t="shared" si="60"/>
        <v>36000000</v>
      </c>
      <c r="HF15" s="277">
        <f t="shared" si="60"/>
        <v>8480000</v>
      </c>
      <c r="HG15" s="277">
        <f t="shared" si="61"/>
        <v>27520000</v>
      </c>
      <c r="HI15" s="279">
        <f t="shared" si="62"/>
        <v>194074602</v>
      </c>
      <c r="HJ15" s="279">
        <f t="shared" si="62"/>
        <v>75000000</v>
      </c>
      <c r="HK15" s="279">
        <f t="shared" si="63"/>
        <v>119074602</v>
      </c>
      <c r="HM15" s="279">
        <f t="shared" si="64"/>
        <v>2000000</v>
      </c>
      <c r="HN15" s="279">
        <f t="shared" si="1"/>
        <v>0</v>
      </c>
      <c r="HO15" s="279">
        <f t="shared" si="65"/>
        <v>2000000</v>
      </c>
      <c r="HQ15" s="279">
        <f t="shared" si="66"/>
        <v>22500000</v>
      </c>
      <c r="HR15" s="279">
        <f t="shared" si="2"/>
        <v>0</v>
      </c>
      <c r="HS15" s="279">
        <f t="shared" si="67"/>
        <v>22500000</v>
      </c>
    </row>
    <row r="16" spans="1:228" x14ac:dyDescent="0.25">
      <c r="A16" s="235">
        <v>8</v>
      </c>
      <c r="B16" s="273" t="s">
        <v>207</v>
      </c>
      <c r="C16" s="274" t="s">
        <v>61</v>
      </c>
      <c r="D16" s="275">
        <v>24709302</v>
      </c>
      <c r="E16" s="275">
        <f>'[1]POLY DISB 2019'!C20</f>
        <v>24709302</v>
      </c>
      <c r="F16" s="275">
        <f t="shared" si="3"/>
        <v>0</v>
      </c>
      <c r="G16" s="275"/>
      <c r="H16" s="275">
        <v>10000000</v>
      </c>
      <c r="I16" s="275">
        <f>'[1]POLY DISB 2019'!D20</f>
        <v>10000000</v>
      </c>
      <c r="J16" s="275">
        <f t="shared" si="4"/>
        <v>0</v>
      </c>
      <c r="K16" s="275"/>
      <c r="L16" s="275">
        <v>20000000</v>
      </c>
      <c r="M16" s="275">
        <f>'[1]POLY DISB 2019'!E20</f>
        <v>20000000</v>
      </c>
      <c r="N16" s="275">
        <f t="shared" si="5"/>
        <v>0</v>
      </c>
      <c r="O16" s="275"/>
      <c r="P16" s="275">
        <v>25000000</v>
      </c>
      <c r="Q16" s="275">
        <f>'[1]POLY DISB 2019'!F20</f>
        <v>25000000</v>
      </c>
      <c r="R16" s="275">
        <f t="shared" si="6"/>
        <v>0</v>
      </c>
      <c r="S16" s="275"/>
      <c r="T16" s="275">
        <v>10200000</v>
      </c>
      <c r="U16" s="275">
        <f>'[1]POLY DISB 2019'!G20</f>
        <v>10200000</v>
      </c>
      <c r="V16" s="275">
        <f t="shared" si="7"/>
        <v>0</v>
      </c>
      <c r="W16" s="275"/>
      <c r="X16" s="275">
        <v>10200000</v>
      </c>
      <c r="Y16" s="275">
        <f>'[1]POLY DISB 2019'!H20</f>
        <v>10200000</v>
      </c>
      <c r="Z16" s="275">
        <f t="shared" si="8"/>
        <v>0</v>
      </c>
      <c r="AA16" s="275"/>
      <c r="AB16" s="275">
        <v>0</v>
      </c>
      <c r="AC16" s="275">
        <f>'[1]POLY DISB 2019'!I20</f>
        <v>0</v>
      </c>
      <c r="AD16" s="275">
        <f t="shared" si="9"/>
        <v>0</v>
      </c>
      <c r="AE16" s="275"/>
      <c r="AF16" s="275">
        <f>'[1]POLY commited funds to date'!K16</f>
        <v>20000000</v>
      </c>
      <c r="AG16" s="275">
        <f>'[1]POLY DISB 2019'!J20</f>
        <v>20000000</v>
      </c>
      <c r="AH16" s="275">
        <f t="shared" si="10"/>
        <v>0</v>
      </c>
      <c r="AI16" s="275"/>
      <c r="AJ16" s="275">
        <v>8500000</v>
      </c>
      <c r="AK16" s="275">
        <f>'[1]POLY DISB 2019'!K20</f>
        <v>8500000</v>
      </c>
      <c r="AL16" s="275">
        <f t="shared" si="11"/>
        <v>0</v>
      </c>
      <c r="AM16" s="275"/>
      <c r="AN16" s="275">
        <v>20000000</v>
      </c>
      <c r="AO16" s="275">
        <f>'[1]POLY DISB 2019'!L20</f>
        <v>20000000</v>
      </c>
      <c r="AP16" s="275">
        <f t="shared" si="12"/>
        <v>0</v>
      </c>
      <c r="AQ16" s="275"/>
      <c r="AR16" s="275">
        <v>26000000</v>
      </c>
      <c r="AS16" s="275">
        <f>'[1]POLY DISB 2019'!M20</f>
        <v>26000000</v>
      </c>
      <c r="AT16" s="275">
        <f t="shared" si="13"/>
        <v>0</v>
      </c>
      <c r="AU16" s="275"/>
      <c r="AV16" s="275">
        <v>45000000</v>
      </c>
      <c r="AW16" s="275">
        <f>'[1]POLY DISB 2019'!N20</f>
        <v>45000000</v>
      </c>
      <c r="AX16" s="275">
        <f t="shared" si="14"/>
        <v>0</v>
      </c>
      <c r="AY16" s="275"/>
      <c r="AZ16" s="275">
        <v>38340000</v>
      </c>
      <c r="BA16" s="275">
        <f>'[1]POLY DISB 2019'!P20</f>
        <v>38340000</v>
      </c>
      <c r="BB16" s="275">
        <f t="shared" si="15"/>
        <v>0</v>
      </c>
      <c r="BC16" s="275"/>
      <c r="BD16" s="275">
        <v>0</v>
      </c>
      <c r="BE16" s="275">
        <f>'[1]POLY DISB 2019'!Q20</f>
        <v>0</v>
      </c>
      <c r="BF16" s="275">
        <f t="shared" si="16"/>
        <v>0</v>
      </c>
      <c r="BG16" s="275"/>
      <c r="BH16" s="275">
        <f>'[1]POLY commited funds to date'!S16</f>
        <v>126060000</v>
      </c>
      <c r="BI16" s="275">
        <f>'[1]POLY DISB 2019'!R20</f>
        <v>126060000</v>
      </c>
      <c r="BJ16" s="275">
        <f t="shared" si="17"/>
        <v>0</v>
      </c>
      <c r="BK16" s="275"/>
      <c r="BL16" s="275">
        <f>'[1]poly  com. adj for fmis'!S16</f>
        <v>0</v>
      </c>
      <c r="BM16" s="275">
        <f>'[1]POLY DISB 2019'!S20</f>
        <v>0</v>
      </c>
      <c r="BN16" s="269">
        <f t="shared" si="18"/>
        <v>0</v>
      </c>
      <c r="BO16" s="275"/>
      <c r="BP16" s="276">
        <f>'[1]POLY commited funds to date'!U16</f>
        <v>169900000</v>
      </c>
      <c r="BQ16" s="275">
        <f>'[1]POLY DISB 2019'!T20</f>
        <v>144134998.490794</v>
      </c>
      <c r="BR16" s="275">
        <f t="shared" si="19"/>
        <v>25765001.509205997</v>
      </c>
      <c r="BS16" s="275"/>
      <c r="BT16" s="275">
        <f>'[1]POLY commited funds to date'!V16</f>
        <v>10000000</v>
      </c>
      <c r="BU16" s="275">
        <f>'[1]POLY DISB 2019'!U20</f>
        <v>8500000</v>
      </c>
      <c r="BV16" s="275">
        <f t="shared" si="20"/>
        <v>1500000</v>
      </c>
      <c r="BW16" s="275"/>
      <c r="BX16" s="275">
        <f>'[1]POLY commited funds to date'!W16</f>
        <v>0</v>
      </c>
      <c r="BY16" s="275">
        <f>'[1]POLY DISB 2019'!V20</f>
        <v>0</v>
      </c>
      <c r="BZ16" s="275">
        <f t="shared" si="21"/>
        <v>0</v>
      </c>
      <c r="CA16" s="275"/>
      <c r="CB16" s="275">
        <f>'[1]POLY commited funds to date'!X16</f>
        <v>210000000</v>
      </c>
      <c r="CC16" s="275">
        <f>'[1]POLY DISB 2019'!W20</f>
        <v>178376396.01569599</v>
      </c>
      <c r="CD16" s="275">
        <f t="shared" si="22"/>
        <v>31623603.984304011</v>
      </c>
      <c r="CE16" s="275"/>
      <c r="CF16" s="275">
        <f>'[1]POLY commited funds to date'!Y16</f>
        <v>0</v>
      </c>
      <c r="CG16" s="275">
        <f>'[1]POLY DISB 2019'!X20</f>
        <v>0</v>
      </c>
      <c r="CH16" s="275">
        <f t="shared" si="23"/>
        <v>0</v>
      </c>
      <c r="CI16" s="275"/>
      <c r="CJ16" s="275">
        <f>'[1]POLY commited funds to date'!Z16</f>
        <v>0</v>
      </c>
      <c r="CK16" s="275">
        <f>'[1]POLY DISB 2019'!Y20</f>
        <v>0</v>
      </c>
      <c r="CL16" s="275">
        <f t="shared" si="24"/>
        <v>0</v>
      </c>
      <c r="CM16" s="275"/>
      <c r="CN16" s="275">
        <f>'[1]POLY commited funds to date'!AA16</f>
        <v>243000000</v>
      </c>
      <c r="CO16" s="275">
        <f>'[1]POLY DISB 2019'!Z20</f>
        <v>206406972.53244799</v>
      </c>
      <c r="CP16" s="275">
        <f t="shared" si="25"/>
        <v>36593027.467552006</v>
      </c>
      <c r="CQ16" s="275"/>
      <c r="CR16" s="275">
        <v>10000000</v>
      </c>
      <c r="CS16" s="275">
        <f>'[1]POLY DISB 2019'!AA20</f>
        <v>8500000</v>
      </c>
      <c r="CT16" s="275">
        <f t="shared" si="26"/>
        <v>1500000</v>
      </c>
      <c r="CU16" s="275"/>
      <c r="CV16" s="275">
        <f>'[1]POLY commited funds to date'!AC16</f>
        <v>371000000</v>
      </c>
      <c r="CW16" s="275">
        <f>'[1]POLY DISB 2019'!AB20</f>
        <v>315131632.96106201</v>
      </c>
      <c r="CX16" s="275">
        <f t="shared" si="27"/>
        <v>55868367.038937986</v>
      </c>
      <c r="CY16" s="275"/>
      <c r="CZ16" s="275">
        <f>'[1]POLY commited funds to date'!AD16</f>
        <v>20000000</v>
      </c>
      <c r="DA16" s="275">
        <f>'[1]POLY DISB 2019'!AC20</f>
        <v>17000000</v>
      </c>
      <c r="DB16" s="275">
        <f t="shared" si="28"/>
        <v>3000000</v>
      </c>
      <c r="DC16" s="275"/>
      <c r="DD16" s="275">
        <f>'[1]POLY commited funds to date'!AE16</f>
        <v>200000000</v>
      </c>
      <c r="DE16" s="275">
        <f>'[1]POLY DISB 2019'!AD20</f>
        <v>193934708.09999999</v>
      </c>
      <c r="DF16" s="275">
        <f t="shared" si="29"/>
        <v>6065291.900000006</v>
      </c>
      <c r="DG16" s="275"/>
      <c r="DH16" s="275">
        <f>'[1]poly  com. adj for fmis'!AE16</f>
        <v>80000000</v>
      </c>
      <c r="DI16" s="275">
        <f>'[1]POLY DISB 2019'!AE20</f>
        <v>0</v>
      </c>
      <c r="DJ16" s="275">
        <f t="shared" si="30"/>
        <v>80000000</v>
      </c>
      <c r="DK16" s="275"/>
      <c r="DL16" s="275">
        <f>'[1]poly  com. adj for fmis'!AF16</f>
        <v>8000000</v>
      </c>
      <c r="DM16" s="275">
        <f>'[1]POLY DISB 2019'!AF20</f>
        <v>0</v>
      </c>
      <c r="DN16" s="275">
        <f t="shared" si="31"/>
        <v>8000000</v>
      </c>
      <c r="DO16" s="275"/>
      <c r="DP16" s="275">
        <f>'[1]poly  com. adj for fmis'!AG16</f>
        <v>2000000</v>
      </c>
      <c r="DQ16" s="275">
        <f>'[1]POLY DISB 2019'!AG20</f>
        <v>0</v>
      </c>
      <c r="DR16" s="275">
        <f t="shared" si="32"/>
        <v>2000000</v>
      </c>
      <c r="DS16" s="275"/>
      <c r="DT16" s="275">
        <f>'[1]poly  com. adj for fmis'!AH16</f>
        <v>10000000</v>
      </c>
      <c r="DU16" s="275">
        <f>'[1]POLY DISB 2019'!AH20</f>
        <v>0</v>
      </c>
      <c r="DV16" s="275">
        <f t="shared" si="33"/>
        <v>10000000</v>
      </c>
      <c r="DW16" s="275"/>
      <c r="DX16" s="275">
        <f>'[1]poly  com. adj for fmis'!AI16</f>
        <v>0</v>
      </c>
      <c r="DY16" s="275">
        <f>'[1]POLY DISB 2019'!AI20</f>
        <v>0</v>
      </c>
      <c r="DZ16" s="275">
        <f t="shared" si="34"/>
        <v>0</v>
      </c>
      <c r="EA16" s="275"/>
      <c r="EB16" s="275">
        <f>'[1]POLY commited funds to date'!AK16</f>
        <v>380632000</v>
      </c>
      <c r="EC16" s="275">
        <f>'[1]POLY DISB 2019'!AJ20</f>
        <v>0</v>
      </c>
      <c r="ED16" s="275">
        <f t="shared" si="35"/>
        <v>380632000</v>
      </c>
      <c r="EE16" s="275"/>
      <c r="EF16" s="275">
        <f>'[1]POLY commited funds to date'!AL16</f>
        <v>8000000</v>
      </c>
      <c r="EG16" s="275">
        <f>'[1]POLY DISB 2019'!AK20</f>
        <v>0</v>
      </c>
      <c r="EH16" s="275">
        <f t="shared" si="36"/>
        <v>8000000</v>
      </c>
      <c r="EI16" s="275"/>
      <c r="EJ16" s="275">
        <f>'[1]POLY commited funds to date'!AM16</f>
        <v>10000000</v>
      </c>
      <c r="EK16" s="275">
        <f>'[1]POLY DISB 2019'!AL20</f>
        <v>0</v>
      </c>
      <c r="EL16" s="275">
        <f t="shared" si="37"/>
        <v>10000000</v>
      </c>
      <c r="EM16" s="275"/>
      <c r="EN16" s="275">
        <f>'[1]POLY commited funds to date'!AN16</f>
        <v>10000000</v>
      </c>
      <c r="EO16" s="275">
        <f>'[1]POLY DISB 2019'!AM20</f>
        <v>0</v>
      </c>
      <c r="EP16" s="275">
        <f t="shared" si="38"/>
        <v>10000000</v>
      </c>
      <c r="EQ16" s="281">
        <f>'[1]POLY commited funds to date'!AO16</f>
        <v>150000000</v>
      </c>
      <c r="ER16" s="275">
        <f>'[1]POLY DISB 2019'!AN20</f>
        <v>150000000</v>
      </c>
      <c r="ES16" s="275">
        <f t="shared" si="39"/>
        <v>0</v>
      </c>
      <c r="ET16" s="275"/>
      <c r="EU16" s="275">
        <f>'[1]POLY commited funds to date'!AP16</f>
        <v>205000000</v>
      </c>
      <c r="EV16" s="275">
        <f>'[1]POLY DISB 2019'!AO20</f>
        <v>0</v>
      </c>
      <c r="EW16" s="275">
        <f t="shared" si="40"/>
        <v>205000000</v>
      </c>
      <c r="EX16" s="275"/>
      <c r="EY16" s="275">
        <f>'[1]POLY commited funds to date'!AQ16</f>
        <v>75000000</v>
      </c>
      <c r="EZ16" s="275">
        <f>'[1]POLY DISB 2019'!AP20</f>
        <v>75000000</v>
      </c>
      <c r="FA16" s="275">
        <f t="shared" si="41"/>
        <v>0</v>
      </c>
      <c r="FB16" s="275"/>
      <c r="FC16" s="275">
        <f>'[1]POLY commited funds to date'!AR16</f>
        <v>7000000</v>
      </c>
      <c r="FD16" s="275">
        <f>'[1]POLY DISB 2019'!AQ20</f>
        <v>0</v>
      </c>
      <c r="FE16" s="275">
        <f t="shared" si="42"/>
        <v>7000000</v>
      </c>
      <c r="FF16" s="275"/>
      <c r="FG16" s="275">
        <f>'[1]POLY commited funds to date'!AS16</f>
        <v>6300000</v>
      </c>
      <c r="FH16" s="275">
        <f>'[1]POLY DISB 2019'!AR20</f>
        <v>0</v>
      </c>
      <c r="FI16" s="275">
        <f t="shared" si="43"/>
        <v>6300000</v>
      </c>
      <c r="FJ16" s="275"/>
      <c r="FK16" s="275">
        <f>'[1]POLY commited funds to date'!AT16</f>
        <v>7500000</v>
      </c>
      <c r="FL16" s="275">
        <f>'[1]POLY DISB 2019'!AS20</f>
        <v>0</v>
      </c>
      <c r="FM16" s="275">
        <f t="shared" si="44"/>
        <v>7500000</v>
      </c>
      <c r="FN16" s="275"/>
      <c r="FO16" s="275">
        <f>'[1]POLY commited funds to date'!AU16</f>
        <v>245000000</v>
      </c>
      <c r="FP16" s="275">
        <f>'[1]POLY DISB 2019'!AT20</f>
        <v>0</v>
      </c>
      <c r="FQ16" s="275">
        <f t="shared" si="45"/>
        <v>245000000</v>
      </c>
      <c r="FR16" s="275">
        <f>'[1]POLY commited funds to date'!AV16</f>
        <v>119074602</v>
      </c>
      <c r="FS16" s="275">
        <f>'[1]POLY DISB 2019'!AU20</f>
        <v>0</v>
      </c>
      <c r="FT16" s="275">
        <f t="shared" si="46"/>
        <v>119074602</v>
      </c>
      <c r="FU16" s="275"/>
      <c r="FV16" s="275">
        <f>'[1]POLY commited funds to date'!AW16</f>
        <v>13000000</v>
      </c>
      <c r="FW16" s="275">
        <f>'[1]POLY DISB 2019'!AV20</f>
        <v>0</v>
      </c>
      <c r="FX16" s="275">
        <f t="shared" si="47"/>
        <v>13000000</v>
      </c>
      <c r="FY16" s="275"/>
      <c r="FZ16" s="275">
        <f>'[1]POLY commited funds to date'!AX16</f>
        <v>8628900</v>
      </c>
      <c r="GA16" s="275">
        <f>'[1]POLY DISB 2019'!AW20</f>
        <v>0</v>
      </c>
      <c r="GB16" s="275">
        <f t="shared" si="48"/>
        <v>8628900</v>
      </c>
      <c r="GC16" s="275">
        <f>'[1]POLY commited funds to date'!AY16</f>
        <v>5000000</v>
      </c>
      <c r="GD16" s="275">
        <f>'[1]POLY DISB 2019'!AX20</f>
        <v>0</v>
      </c>
      <c r="GE16" s="275">
        <f t="shared" si="49"/>
        <v>5000000</v>
      </c>
      <c r="GF16" s="275"/>
      <c r="GG16" s="275">
        <f>'[1]POLY commited funds to date'!AZ16</f>
        <v>0</v>
      </c>
      <c r="GH16" s="275">
        <f>'[1]POLY DISB 2019'!AY20</f>
        <v>0</v>
      </c>
      <c r="GI16" s="275">
        <f t="shared" si="50"/>
        <v>0</v>
      </c>
      <c r="GJ16" s="275"/>
      <c r="GK16" s="275">
        <f t="shared" si="51"/>
        <v>2968044804</v>
      </c>
      <c r="GL16" s="275">
        <f t="shared" si="51"/>
        <v>1680994010.0999999</v>
      </c>
      <c r="GM16" s="275">
        <f t="shared" si="52"/>
        <v>1287050793.9000001</v>
      </c>
      <c r="GN16" s="265"/>
      <c r="GO16" s="277">
        <f t="shared" si="53"/>
        <v>2280041302</v>
      </c>
      <c r="GP16" s="277">
        <f t="shared" si="53"/>
        <v>1219559302</v>
      </c>
      <c r="GQ16" s="277">
        <f t="shared" si="54"/>
        <v>1060482000</v>
      </c>
      <c r="GR16" s="277">
        <f t="shared" si="0"/>
        <v>8500000</v>
      </c>
      <c r="GS16" s="277">
        <f t="shared" si="0"/>
        <v>8500000</v>
      </c>
      <c r="GT16" s="277">
        <f t="shared" si="55"/>
        <v>0</v>
      </c>
      <c r="GU16" s="277"/>
      <c r="GV16" s="265"/>
      <c r="GW16" s="279">
        <f t="shared" si="56"/>
        <v>200000000</v>
      </c>
      <c r="GX16" s="279">
        <f t="shared" si="56"/>
        <v>193934708.09999999</v>
      </c>
      <c r="GY16" s="280">
        <f t="shared" si="57"/>
        <v>6065291.900000006</v>
      </c>
      <c r="GZ16" s="280"/>
      <c r="HA16" s="277">
        <f t="shared" si="58"/>
        <v>74928900</v>
      </c>
      <c r="HB16" s="277">
        <f t="shared" si="58"/>
        <v>34000000</v>
      </c>
      <c r="HC16" s="277">
        <f t="shared" si="59"/>
        <v>40928900</v>
      </c>
      <c r="HE16" s="277">
        <f t="shared" si="60"/>
        <v>36000000</v>
      </c>
      <c r="HF16" s="277">
        <f t="shared" si="60"/>
        <v>0</v>
      </c>
      <c r="HG16" s="277">
        <f t="shared" si="61"/>
        <v>36000000</v>
      </c>
      <c r="HI16" s="279">
        <f t="shared" si="62"/>
        <v>344074602</v>
      </c>
      <c r="HJ16" s="279">
        <f t="shared" si="62"/>
        <v>225000000</v>
      </c>
      <c r="HK16" s="279">
        <f t="shared" si="63"/>
        <v>119074602</v>
      </c>
      <c r="HM16" s="279">
        <f t="shared" si="64"/>
        <v>2000000</v>
      </c>
      <c r="HN16" s="279">
        <f t="shared" si="1"/>
        <v>0</v>
      </c>
      <c r="HO16" s="279">
        <f t="shared" si="65"/>
        <v>2000000</v>
      </c>
      <c r="HQ16" s="279">
        <f t="shared" si="66"/>
        <v>22500000</v>
      </c>
      <c r="HR16" s="279">
        <f t="shared" si="2"/>
        <v>0</v>
      </c>
      <c r="HS16" s="279">
        <f t="shared" si="67"/>
        <v>22500000</v>
      </c>
    </row>
    <row r="17" spans="1:227" x14ac:dyDescent="0.25">
      <c r="A17" s="235">
        <v>9</v>
      </c>
      <c r="B17" s="273" t="s">
        <v>208</v>
      </c>
      <c r="C17" s="274" t="s">
        <v>69</v>
      </c>
      <c r="D17" s="275">
        <v>24709302</v>
      </c>
      <c r="E17" s="275">
        <f>'[1]POLY DISB 2019'!C21</f>
        <v>24709302</v>
      </c>
      <c r="F17" s="275">
        <f t="shared" si="3"/>
        <v>0</v>
      </c>
      <c r="G17" s="275"/>
      <c r="H17" s="275">
        <v>10000000</v>
      </c>
      <c r="I17" s="275">
        <f>'[1]POLY DISB 2019'!D21</f>
        <v>10000000</v>
      </c>
      <c r="J17" s="275">
        <f t="shared" si="4"/>
        <v>0</v>
      </c>
      <c r="K17" s="275"/>
      <c r="L17" s="275">
        <v>20000000</v>
      </c>
      <c r="M17" s="275">
        <f>'[1]POLY DISB 2019'!E21</f>
        <v>20000000</v>
      </c>
      <c r="N17" s="275">
        <f t="shared" si="5"/>
        <v>0</v>
      </c>
      <c r="O17" s="275"/>
      <c r="P17" s="275">
        <v>25000000</v>
      </c>
      <c r="Q17" s="275">
        <f>'[1]POLY DISB 2019'!F21</f>
        <v>25000000</v>
      </c>
      <c r="R17" s="275">
        <f t="shared" si="6"/>
        <v>0</v>
      </c>
      <c r="S17" s="275"/>
      <c r="T17" s="275">
        <v>12000000</v>
      </c>
      <c r="U17" s="275">
        <f>'[1]POLY DISB 2019'!G21</f>
        <v>12000000</v>
      </c>
      <c r="V17" s="275">
        <f t="shared" si="7"/>
        <v>0</v>
      </c>
      <c r="W17" s="275"/>
      <c r="X17" s="275">
        <v>12000000</v>
      </c>
      <c r="Y17" s="275">
        <f>'[1]POLY DISB 2019'!H21</f>
        <v>12000000</v>
      </c>
      <c r="Z17" s="275">
        <f t="shared" si="8"/>
        <v>0</v>
      </c>
      <c r="AA17" s="275"/>
      <c r="AB17" s="275">
        <v>0</v>
      </c>
      <c r="AC17" s="275">
        <f>'[1]POLY DISB 2019'!I21</f>
        <v>0</v>
      </c>
      <c r="AD17" s="275">
        <f t="shared" si="9"/>
        <v>0</v>
      </c>
      <c r="AE17" s="275"/>
      <c r="AF17" s="275">
        <f>'[1]POLY commited funds to date'!K17</f>
        <v>20000000</v>
      </c>
      <c r="AG17" s="275">
        <f>'[1]POLY DISB 2019'!J21</f>
        <v>20000000</v>
      </c>
      <c r="AH17" s="275">
        <f t="shared" si="10"/>
        <v>0</v>
      </c>
      <c r="AI17" s="275"/>
      <c r="AJ17" s="275">
        <v>10000000</v>
      </c>
      <c r="AK17" s="275">
        <f>'[1]POLY DISB 2019'!K21</f>
        <v>10000000</v>
      </c>
      <c r="AL17" s="275">
        <f t="shared" si="11"/>
        <v>0</v>
      </c>
      <c r="AM17" s="275"/>
      <c r="AN17" s="275">
        <v>20000000</v>
      </c>
      <c r="AO17" s="275">
        <f>'[1]POLY DISB 2019'!L21</f>
        <v>20000000</v>
      </c>
      <c r="AP17" s="275">
        <f t="shared" si="12"/>
        <v>0</v>
      </c>
      <c r="AQ17" s="275"/>
      <c r="AR17" s="275">
        <v>26000000</v>
      </c>
      <c r="AS17" s="275">
        <f>'[1]POLY DISB 2019'!M21</f>
        <v>26000000</v>
      </c>
      <c r="AT17" s="275">
        <f t="shared" si="13"/>
        <v>0</v>
      </c>
      <c r="AU17" s="275"/>
      <c r="AV17" s="275">
        <v>45000000</v>
      </c>
      <c r="AW17" s="275">
        <f>'[1]POLY DISB 2019'!N21</f>
        <v>45000000</v>
      </c>
      <c r="AX17" s="275">
        <f t="shared" si="14"/>
        <v>0</v>
      </c>
      <c r="AY17" s="275"/>
      <c r="AZ17" s="275">
        <v>38340000</v>
      </c>
      <c r="BA17" s="275">
        <f>'[1]POLY DISB 2019'!P21</f>
        <v>38340000</v>
      </c>
      <c r="BB17" s="275">
        <f t="shared" si="15"/>
        <v>0</v>
      </c>
      <c r="BC17" s="275"/>
      <c r="BD17" s="275">
        <v>0</v>
      </c>
      <c r="BE17" s="275">
        <f>'[1]POLY DISB 2019'!Q21</f>
        <v>0</v>
      </c>
      <c r="BF17" s="275">
        <f t="shared" si="16"/>
        <v>0</v>
      </c>
      <c r="BG17" s="275"/>
      <c r="BH17" s="275">
        <f>'[1]POLY commited funds to date'!S17</f>
        <v>126060000</v>
      </c>
      <c r="BI17" s="275">
        <f>'[1]POLY DISB 2019'!R21</f>
        <v>126060000</v>
      </c>
      <c r="BJ17" s="275">
        <f t="shared" si="17"/>
        <v>0</v>
      </c>
      <c r="BK17" s="275"/>
      <c r="BL17" s="275">
        <f>'[1]poly  com. adj for fmis'!S17</f>
        <v>0</v>
      </c>
      <c r="BM17" s="275">
        <f>'[1]POLY DISB 2019'!S21</f>
        <v>0</v>
      </c>
      <c r="BN17" s="269">
        <f t="shared" si="18"/>
        <v>0</v>
      </c>
      <c r="BO17" s="275"/>
      <c r="BP17" s="276">
        <f>'[1]POLY commited funds to date'!U17</f>
        <v>169900000</v>
      </c>
      <c r="BQ17" s="275">
        <f>'[1]POLY DISB 2019'!T21</f>
        <v>169900000</v>
      </c>
      <c r="BR17" s="275">
        <f t="shared" si="19"/>
        <v>0</v>
      </c>
      <c r="BS17" s="275"/>
      <c r="BT17" s="275">
        <f>'[1]POLY commited funds to date'!V17</f>
        <v>10000000</v>
      </c>
      <c r="BU17" s="275">
        <f>'[1]POLY DISB 2019'!U21</f>
        <v>8500000</v>
      </c>
      <c r="BV17" s="275">
        <f t="shared" si="20"/>
        <v>1500000</v>
      </c>
      <c r="BW17" s="275"/>
      <c r="BX17" s="275">
        <f>'[1]POLY commited funds to date'!W17</f>
        <v>0</v>
      </c>
      <c r="BY17" s="275">
        <f>'[1]POLY DISB 2019'!V21</f>
        <v>0</v>
      </c>
      <c r="BZ17" s="275">
        <f t="shared" si="21"/>
        <v>0</v>
      </c>
      <c r="CA17" s="275"/>
      <c r="CB17" s="275">
        <f>'[1]POLY commited funds to date'!X17</f>
        <v>210000000</v>
      </c>
      <c r="CC17" s="275">
        <f>'[1]POLY DISB 2019'!W21</f>
        <v>210000000</v>
      </c>
      <c r="CD17" s="275">
        <f t="shared" si="22"/>
        <v>0</v>
      </c>
      <c r="CE17" s="275"/>
      <c r="CF17" s="275">
        <f>'[1]POLY commited funds to date'!Y17</f>
        <v>300000000</v>
      </c>
      <c r="CG17" s="275">
        <f>'[1]POLY DISB 2019'!X21</f>
        <v>300000000</v>
      </c>
      <c r="CH17" s="275">
        <f t="shared" si="23"/>
        <v>0</v>
      </c>
      <c r="CI17" s="275"/>
      <c r="CJ17" s="275">
        <f>'[1]POLY commited funds to date'!Z17</f>
        <v>0</v>
      </c>
      <c r="CK17" s="275">
        <f>'[1]POLY DISB 2019'!Y21</f>
        <v>0</v>
      </c>
      <c r="CL17" s="275">
        <f t="shared" si="24"/>
        <v>0</v>
      </c>
      <c r="CM17" s="275"/>
      <c r="CN17" s="275">
        <f>'[1]POLY commited funds to date'!AA17</f>
        <v>243000000</v>
      </c>
      <c r="CO17" s="275">
        <f>'[1]POLY DISB 2019'!Z21</f>
        <v>243000000</v>
      </c>
      <c r="CP17" s="275">
        <f t="shared" si="25"/>
        <v>0</v>
      </c>
      <c r="CQ17" s="275"/>
      <c r="CR17" s="275">
        <v>10000000</v>
      </c>
      <c r="CS17" s="275">
        <f>'[1]POLY DISB 2019'!AA21</f>
        <v>8500000</v>
      </c>
      <c r="CT17" s="275">
        <f t="shared" si="26"/>
        <v>1500000</v>
      </c>
      <c r="CU17" s="275"/>
      <c r="CV17" s="275">
        <f>'[1]POLY commited funds to date'!AC17</f>
        <v>371000000</v>
      </c>
      <c r="CW17" s="275">
        <f>'[1]POLY DISB 2019'!AB21</f>
        <v>371000000</v>
      </c>
      <c r="CX17" s="275">
        <f t="shared" si="27"/>
        <v>0</v>
      </c>
      <c r="CY17" s="275"/>
      <c r="CZ17" s="275">
        <f>'[1]POLY commited funds to date'!AD17</f>
        <v>20000000</v>
      </c>
      <c r="DA17" s="275">
        <f>'[1]POLY DISB 2019'!AC21</f>
        <v>17000000</v>
      </c>
      <c r="DB17" s="275">
        <f t="shared" si="28"/>
        <v>3000000</v>
      </c>
      <c r="DC17" s="275"/>
      <c r="DD17" s="275">
        <f>'[1]POLY commited funds to date'!AE17</f>
        <v>100000000</v>
      </c>
      <c r="DE17" s="275">
        <f>'[1]POLY DISB 2019'!AD21</f>
        <v>100000000</v>
      </c>
      <c r="DF17" s="275">
        <f t="shared" si="29"/>
        <v>0</v>
      </c>
      <c r="DG17" s="275"/>
      <c r="DH17" s="275">
        <f>'[1]poly  com. adj for fmis'!AE17</f>
        <v>80000000</v>
      </c>
      <c r="DI17" s="275">
        <f>'[1]POLY DISB 2019'!AE21</f>
        <v>80000000</v>
      </c>
      <c r="DJ17" s="275">
        <f t="shared" si="30"/>
        <v>0</v>
      </c>
      <c r="DK17" s="275"/>
      <c r="DL17" s="275">
        <f>'[1]poly  com. adj for fmis'!AF17</f>
        <v>8000000</v>
      </c>
      <c r="DM17" s="275">
        <f>'[1]POLY DISB 2019'!AF21</f>
        <v>8000000</v>
      </c>
      <c r="DN17" s="275">
        <f t="shared" si="31"/>
        <v>0</v>
      </c>
      <c r="DO17" s="275"/>
      <c r="DP17" s="275">
        <f>'[1]poly  com. adj for fmis'!AG17</f>
        <v>2000000</v>
      </c>
      <c r="DQ17" s="275">
        <f>'[1]POLY DISB 2019'!AG21</f>
        <v>1700000</v>
      </c>
      <c r="DR17" s="275">
        <f t="shared" si="32"/>
        <v>300000</v>
      </c>
      <c r="DS17" s="275"/>
      <c r="DT17" s="275">
        <f>'[1]poly  com. adj for fmis'!AH17</f>
        <v>10000000</v>
      </c>
      <c r="DU17" s="275">
        <f>'[1]POLY DISB 2019'!AH21</f>
        <v>8500000</v>
      </c>
      <c r="DV17" s="275">
        <f t="shared" si="33"/>
        <v>1500000</v>
      </c>
      <c r="DW17" s="275"/>
      <c r="DX17" s="275">
        <f>'[1]poly  com. adj for fmis'!AI17</f>
        <v>0</v>
      </c>
      <c r="DY17" s="275">
        <f>'[1]POLY DISB 2019'!AI21</f>
        <v>0</v>
      </c>
      <c r="DZ17" s="275">
        <f t="shared" si="34"/>
        <v>0</v>
      </c>
      <c r="EA17" s="275"/>
      <c r="EB17" s="275">
        <f>'[1]POLY commited funds to date'!AK17</f>
        <v>380632000</v>
      </c>
      <c r="EC17" s="275">
        <f>'[1]POLY DISB 2019'!AJ21</f>
        <v>380632000</v>
      </c>
      <c r="ED17" s="275">
        <f t="shared" si="35"/>
        <v>0</v>
      </c>
      <c r="EE17" s="275"/>
      <c r="EF17" s="275">
        <f>'[1]POLY commited funds to date'!AL17</f>
        <v>8000000</v>
      </c>
      <c r="EG17" s="275">
        <f>'[1]POLY DISB 2019'!AK21</f>
        <v>8000000</v>
      </c>
      <c r="EH17" s="275">
        <f t="shared" si="36"/>
        <v>0</v>
      </c>
      <c r="EI17" s="275"/>
      <c r="EJ17" s="275">
        <f>'[1]POLY commited funds to date'!AM17</f>
        <v>10000000</v>
      </c>
      <c r="EK17" s="275">
        <f>'[1]POLY DISB 2019'!AL21</f>
        <v>8500000</v>
      </c>
      <c r="EL17" s="275">
        <f t="shared" si="37"/>
        <v>1500000</v>
      </c>
      <c r="EM17" s="275"/>
      <c r="EN17" s="275">
        <f>'[1]POLY commited funds to date'!AN17</f>
        <v>10000000</v>
      </c>
      <c r="EO17" s="275">
        <f>'[1]POLY DISB 2019'!AM21</f>
        <v>0</v>
      </c>
      <c r="EP17" s="275">
        <f t="shared" si="38"/>
        <v>10000000</v>
      </c>
      <c r="EQ17" s="275">
        <f>'[1]POLY commited funds to date'!AO17</f>
        <v>0</v>
      </c>
      <c r="ER17" s="275">
        <f>'[1]POLY DISB 2019'!AN21</f>
        <v>0</v>
      </c>
      <c r="ES17" s="275">
        <f t="shared" si="39"/>
        <v>0</v>
      </c>
      <c r="ET17" s="275"/>
      <c r="EU17" s="275">
        <f>'[1]POLY commited funds to date'!AP17</f>
        <v>205000000</v>
      </c>
      <c r="EV17" s="275">
        <f>'[1]POLY DISB 2019'!AO21</f>
        <v>0</v>
      </c>
      <c r="EW17" s="275">
        <f t="shared" si="40"/>
        <v>205000000</v>
      </c>
      <c r="EX17" s="275"/>
      <c r="EY17" s="275">
        <f>'[1]POLY commited funds to date'!AQ17</f>
        <v>75000000</v>
      </c>
      <c r="EZ17" s="275">
        <f>'[1]POLY DISB 2019'!AP21</f>
        <v>75000000</v>
      </c>
      <c r="FA17" s="275">
        <f t="shared" si="41"/>
        <v>0</v>
      </c>
      <c r="FB17" s="275"/>
      <c r="FC17" s="275">
        <f>'[1]POLY commited funds to date'!AR17</f>
        <v>7000000</v>
      </c>
      <c r="FD17" s="275">
        <f>'[1]POLY DISB 2019'!AQ21</f>
        <v>0</v>
      </c>
      <c r="FE17" s="275">
        <f t="shared" si="42"/>
        <v>7000000</v>
      </c>
      <c r="FF17" s="275"/>
      <c r="FG17" s="275">
        <f>'[1]POLY commited funds to date'!AS17</f>
        <v>6300000</v>
      </c>
      <c r="FH17" s="275">
        <f>'[1]POLY DISB 2019'!AR21</f>
        <v>0</v>
      </c>
      <c r="FI17" s="275">
        <f t="shared" si="43"/>
        <v>6300000</v>
      </c>
      <c r="FJ17" s="275"/>
      <c r="FK17" s="275">
        <f>'[1]POLY commited funds to date'!AT17</f>
        <v>7500000</v>
      </c>
      <c r="FL17" s="275">
        <f>'[1]POLY DISB 2019'!AS21</f>
        <v>0</v>
      </c>
      <c r="FM17" s="275">
        <f t="shared" si="44"/>
        <v>7500000</v>
      </c>
      <c r="FN17" s="275"/>
      <c r="FO17" s="275">
        <f>'[1]POLY commited funds to date'!AU17</f>
        <v>245000000</v>
      </c>
      <c r="FP17" s="275">
        <f>'[1]POLY DISB 2019'!AT21</f>
        <v>0</v>
      </c>
      <c r="FQ17" s="275">
        <f t="shared" si="45"/>
        <v>245000000</v>
      </c>
      <c r="FR17" s="275">
        <f>'[1]POLY commited funds to date'!AV17</f>
        <v>119074602</v>
      </c>
      <c r="FS17" s="275">
        <f>'[1]POLY DISB 2019'!AU21</f>
        <v>0</v>
      </c>
      <c r="FT17" s="275">
        <f t="shared" si="46"/>
        <v>119074602</v>
      </c>
      <c r="FU17" s="275"/>
      <c r="FV17" s="275">
        <f>'[1]POLY commited funds to date'!AW17</f>
        <v>13000000</v>
      </c>
      <c r="FW17" s="275">
        <f>'[1]POLY DISB 2019'!AV21</f>
        <v>0</v>
      </c>
      <c r="FX17" s="275">
        <f t="shared" si="47"/>
        <v>13000000</v>
      </c>
      <c r="FY17" s="275"/>
      <c r="FZ17" s="275">
        <f>'[1]POLY commited funds to date'!AX17</f>
        <v>8628900</v>
      </c>
      <c r="GA17" s="275">
        <f>'[1]POLY DISB 2019'!AW21</f>
        <v>0</v>
      </c>
      <c r="GB17" s="275">
        <f t="shared" si="48"/>
        <v>8628900</v>
      </c>
      <c r="GC17" s="275">
        <f>'[1]POLY commited funds to date'!AY17</f>
        <v>5000000</v>
      </c>
      <c r="GD17" s="275">
        <f>'[1]POLY DISB 2019'!AX21</f>
        <v>0</v>
      </c>
      <c r="GE17" s="275">
        <f t="shared" si="49"/>
        <v>5000000</v>
      </c>
      <c r="GF17" s="275"/>
      <c r="GG17" s="275">
        <f>'[1]POLY commited funds to date'!AZ17</f>
        <v>0</v>
      </c>
      <c r="GH17" s="275">
        <f>'[1]POLY DISB 2019'!AY21</f>
        <v>0</v>
      </c>
      <c r="GI17" s="275">
        <f t="shared" si="50"/>
        <v>0</v>
      </c>
      <c r="GJ17" s="275"/>
      <c r="GK17" s="275">
        <f t="shared" si="51"/>
        <v>3023144804</v>
      </c>
      <c r="GL17" s="275">
        <f t="shared" si="51"/>
        <v>2387341302</v>
      </c>
      <c r="GM17" s="275">
        <f t="shared" si="52"/>
        <v>635803502</v>
      </c>
      <c r="GN17" s="265"/>
      <c r="GO17" s="277">
        <f t="shared" si="53"/>
        <v>2283641302</v>
      </c>
      <c r="GP17" s="277">
        <f t="shared" si="53"/>
        <v>1833641302</v>
      </c>
      <c r="GQ17" s="277">
        <f t="shared" si="54"/>
        <v>450000000</v>
      </c>
      <c r="GR17" s="277">
        <f t="shared" si="0"/>
        <v>10000000</v>
      </c>
      <c r="GS17" s="277">
        <f t="shared" si="0"/>
        <v>10000000</v>
      </c>
      <c r="GT17" s="277">
        <f t="shared" si="55"/>
        <v>0</v>
      </c>
      <c r="GU17" s="277"/>
      <c r="GV17" s="265"/>
      <c r="GW17" s="279">
        <f t="shared" si="56"/>
        <v>400000000</v>
      </c>
      <c r="GX17" s="279">
        <f t="shared" si="56"/>
        <v>400000000</v>
      </c>
      <c r="GY17" s="280">
        <f t="shared" si="57"/>
        <v>0</v>
      </c>
      <c r="GZ17" s="280"/>
      <c r="HA17" s="277">
        <f t="shared" si="58"/>
        <v>74928900</v>
      </c>
      <c r="HB17" s="277">
        <f t="shared" si="58"/>
        <v>51000000</v>
      </c>
      <c r="HC17" s="277">
        <f t="shared" si="59"/>
        <v>23928900</v>
      </c>
      <c r="HE17" s="277">
        <f t="shared" si="60"/>
        <v>36000000</v>
      </c>
      <c r="HF17" s="277">
        <f t="shared" si="60"/>
        <v>16000000</v>
      </c>
      <c r="HG17" s="277">
        <f t="shared" si="61"/>
        <v>20000000</v>
      </c>
      <c r="HI17" s="279">
        <f t="shared" si="62"/>
        <v>194074602</v>
      </c>
      <c r="HJ17" s="279">
        <f t="shared" si="62"/>
        <v>75000000</v>
      </c>
      <c r="HK17" s="279">
        <f t="shared" si="63"/>
        <v>119074602</v>
      </c>
      <c r="HM17" s="279">
        <f t="shared" si="64"/>
        <v>2000000</v>
      </c>
      <c r="HN17" s="279">
        <f t="shared" si="1"/>
        <v>1700000</v>
      </c>
      <c r="HO17" s="279">
        <f t="shared" si="65"/>
        <v>300000</v>
      </c>
      <c r="HQ17" s="279">
        <f t="shared" si="66"/>
        <v>22500000</v>
      </c>
      <c r="HR17" s="279">
        <f t="shared" si="2"/>
        <v>0</v>
      </c>
      <c r="HS17" s="279">
        <f t="shared" si="67"/>
        <v>22500000</v>
      </c>
    </row>
    <row r="18" spans="1:227" x14ac:dyDescent="0.25">
      <c r="A18" s="235">
        <v>10</v>
      </c>
      <c r="B18" s="273" t="s">
        <v>209</v>
      </c>
      <c r="C18" s="274" t="s">
        <v>61</v>
      </c>
      <c r="D18" s="275">
        <v>24709302</v>
      </c>
      <c r="E18" s="275">
        <f>'[1]POLY DISB 2019'!C22</f>
        <v>24709302</v>
      </c>
      <c r="F18" s="275">
        <f t="shared" si="3"/>
        <v>0</v>
      </c>
      <c r="G18" s="275"/>
      <c r="H18" s="275">
        <v>10000000</v>
      </c>
      <c r="I18" s="275">
        <f>'[1]POLY DISB 2019'!D22</f>
        <v>10000000</v>
      </c>
      <c r="J18" s="275">
        <f t="shared" si="4"/>
        <v>0</v>
      </c>
      <c r="K18" s="275"/>
      <c r="L18" s="275">
        <v>20000000</v>
      </c>
      <c r="M18" s="275">
        <f>'[1]POLY DISB 2019'!E22</f>
        <v>20000000</v>
      </c>
      <c r="N18" s="275">
        <f t="shared" si="5"/>
        <v>0</v>
      </c>
      <c r="O18" s="275"/>
      <c r="P18" s="275">
        <v>25000000</v>
      </c>
      <c r="Q18" s="275">
        <f>'[1]POLY DISB 2019'!F22</f>
        <v>25000000</v>
      </c>
      <c r="R18" s="275">
        <f t="shared" si="6"/>
        <v>0</v>
      </c>
      <c r="S18" s="275"/>
      <c r="T18" s="275">
        <v>12000000</v>
      </c>
      <c r="U18" s="275">
        <f>'[1]POLY DISB 2019'!G22</f>
        <v>12000000</v>
      </c>
      <c r="V18" s="275">
        <f t="shared" si="7"/>
        <v>0</v>
      </c>
      <c r="W18" s="275"/>
      <c r="X18" s="275">
        <v>12000000</v>
      </c>
      <c r="Y18" s="275">
        <f>'[1]POLY DISB 2019'!H22</f>
        <v>12000000</v>
      </c>
      <c r="Z18" s="275">
        <f t="shared" si="8"/>
        <v>0</v>
      </c>
      <c r="AA18" s="275"/>
      <c r="AB18" s="275">
        <v>0</v>
      </c>
      <c r="AC18" s="275">
        <f>'[1]POLY DISB 2019'!I22</f>
        <v>0</v>
      </c>
      <c r="AD18" s="275">
        <f t="shared" si="9"/>
        <v>0</v>
      </c>
      <c r="AE18" s="275"/>
      <c r="AF18" s="275">
        <f>'[1]POLY commited funds to date'!K18</f>
        <v>20000000</v>
      </c>
      <c r="AG18" s="275">
        <f>'[1]POLY DISB 2019'!J22</f>
        <v>20000000</v>
      </c>
      <c r="AH18" s="275">
        <f t="shared" si="10"/>
        <v>0</v>
      </c>
      <c r="AI18" s="275"/>
      <c r="AJ18" s="275">
        <v>8500000</v>
      </c>
      <c r="AK18" s="275">
        <f>'[1]POLY DISB 2019'!K22</f>
        <v>8500000</v>
      </c>
      <c r="AL18" s="275">
        <f t="shared" si="11"/>
        <v>0</v>
      </c>
      <c r="AM18" s="275"/>
      <c r="AN18" s="275">
        <v>20000000</v>
      </c>
      <c r="AO18" s="275">
        <f>'[1]POLY DISB 2019'!L22</f>
        <v>20000000</v>
      </c>
      <c r="AP18" s="275">
        <f t="shared" si="12"/>
        <v>0</v>
      </c>
      <c r="AQ18" s="275"/>
      <c r="AR18" s="275">
        <v>26000000</v>
      </c>
      <c r="AS18" s="275">
        <f>'[1]POLY DISB 2019'!M22</f>
        <v>26000000</v>
      </c>
      <c r="AT18" s="275">
        <f t="shared" si="13"/>
        <v>0</v>
      </c>
      <c r="AU18" s="275"/>
      <c r="AV18" s="275">
        <v>45000000</v>
      </c>
      <c r="AW18" s="275">
        <f>'[1]POLY DISB 2019'!N22</f>
        <v>45000000</v>
      </c>
      <c r="AX18" s="275">
        <f t="shared" si="14"/>
        <v>0</v>
      </c>
      <c r="AY18" s="275"/>
      <c r="AZ18" s="275">
        <v>38340000</v>
      </c>
      <c r="BA18" s="275">
        <f>'[1]POLY DISB 2019'!P22</f>
        <v>38340000</v>
      </c>
      <c r="BB18" s="275">
        <f t="shared" si="15"/>
        <v>0</v>
      </c>
      <c r="BC18" s="275"/>
      <c r="BD18" s="275">
        <v>0</v>
      </c>
      <c r="BE18" s="275">
        <f>'[1]POLY DISB 2019'!Q22</f>
        <v>0</v>
      </c>
      <c r="BF18" s="275">
        <f t="shared" si="16"/>
        <v>0</v>
      </c>
      <c r="BG18" s="275"/>
      <c r="BH18" s="275">
        <f>'[1]POLY commited funds to date'!S18</f>
        <v>126060000</v>
      </c>
      <c r="BI18" s="275">
        <f>'[1]POLY DISB 2019'!R22</f>
        <v>126060000</v>
      </c>
      <c r="BJ18" s="275">
        <f t="shared" si="17"/>
        <v>0</v>
      </c>
      <c r="BK18" s="275"/>
      <c r="BL18" s="275">
        <f>'[1]poly  com. adj for fmis'!S18</f>
        <v>0</v>
      </c>
      <c r="BM18" s="275">
        <f>'[1]POLY DISB 2019'!S22</f>
        <v>0</v>
      </c>
      <c r="BN18" s="269">
        <f t="shared" si="18"/>
        <v>0</v>
      </c>
      <c r="BO18" s="275"/>
      <c r="BP18" s="276">
        <f>'[1]POLY commited funds to date'!U18</f>
        <v>169900000</v>
      </c>
      <c r="BQ18" s="275">
        <f>'[1]POLY DISB 2019'!T22</f>
        <v>169900000</v>
      </c>
      <c r="BR18" s="275">
        <f t="shared" si="19"/>
        <v>0</v>
      </c>
      <c r="BS18" s="275"/>
      <c r="BT18" s="275">
        <f>'[1]POLY commited funds to date'!V18</f>
        <v>10000000</v>
      </c>
      <c r="BU18" s="275">
        <f>'[1]POLY DISB 2019'!U22</f>
        <v>0</v>
      </c>
      <c r="BV18" s="275">
        <f t="shared" si="20"/>
        <v>10000000</v>
      </c>
      <c r="BW18" s="275"/>
      <c r="BX18" s="275">
        <f>'[1]POLY commited funds to date'!W18</f>
        <v>10000000</v>
      </c>
      <c r="BY18" s="275">
        <f>'[1]POLY DISB 2019'!V22</f>
        <v>10000000</v>
      </c>
      <c r="BZ18" s="275">
        <f t="shared" si="21"/>
        <v>0</v>
      </c>
      <c r="CA18" s="275"/>
      <c r="CB18" s="275">
        <f>'[1]POLY commited funds to date'!X18</f>
        <v>210000000</v>
      </c>
      <c r="CC18" s="275">
        <f>'[1]POLY DISB 2019'!W22</f>
        <v>210000000</v>
      </c>
      <c r="CD18" s="275">
        <f t="shared" si="22"/>
        <v>0</v>
      </c>
      <c r="CE18" s="275"/>
      <c r="CF18" s="275">
        <f>'[1]POLY commited funds to date'!Y18</f>
        <v>0</v>
      </c>
      <c r="CG18" s="275">
        <f>'[1]POLY DISB 2019'!X22</f>
        <v>0</v>
      </c>
      <c r="CH18" s="275">
        <f t="shared" si="23"/>
        <v>0</v>
      </c>
      <c r="CI18" s="275"/>
      <c r="CJ18" s="275">
        <f>'[1]POLY commited funds to date'!Z18</f>
        <v>0</v>
      </c>
      <c r="CK18" s="275">
        <f>'[1]POLY DISB 2019'!Y22</f>
        <v>0</v>
      </c>
      <c r="CL18" s="275">
        <f t="shared" si="24"/>
        <v>0</v>
      </c>
      <c r="CM18" s="275"/>
      <c r="CN18" s="275">
        <f>'[1]POLY commited funds to date'!AA18</f>
        <v>243000000</v>
      </c>
      <c r="CO18" s="275">
        <f>'[1]POLY DISB 2019'!Z22</f>
        <v>243000000</v>
      </c>
      <c r="CP18" s="275">
        <f t="shared" si="25"/>
        <v>0</v>
      </c>
      <c r="CQ18" s="275"/>
      <c r="CR18" s="275">
        <v>10000000</v>
      </c>
      <c r="CS18" s="275">
        <f>'[1]POLY DISB 2019'!AA22</f>
        <v>0</v>
      </c>
      <c r="CT18" s="275">
        <f t="shared" si="26"/>
        <v>10000000</v>
      </c>
      <c r="CU18" s="275"/>
      <c r="CV18" s="275">
        <f>'[1]POLY commited funds to date'!AC18</f>
        <v>371000000</v>
      </c>
      <c r="CW18" s="275">
        <f>'[1]POLY DISB 2019'!AB22</f>
        <v>371000000</v>
      </c>
      <c r="CX18" s="275">
        <f t="shared" si="27"/>
        <v>0</v>
      </c>
      <c r="CY18" s="275"/>
      <c r="CZ18" s="275">
        <f>'[1]POLY commited funds to date'!AD18</f>
        <v>20000000</v>
      </c>
      <c r="DA18" s="275">
        <f>'[1]POLY DISB 2019'!AC22</f>
        <v>0</v>
      </c>
      <c r="DB18" s="275">
        <f t="shared" si="28"/>
        <v>20000000</v>
      </c>
      <c r="DC18" s="275"/>
      <c r="DD18" s="275">
        <f>'[1]POLY commited funds to date'!AE18</f>
        <v>550000000</v>
      </c>
      <c r="DE18" s="275">
        <f>'[1]POLY DISB 2019'!AD22</f>
        <v>550000000</v>
      </c>
      <c r="DF18" s="275">
        <f t="shared" si="29"/>
        <v>0</v>
      </c>
      <c r="DG18" s="275"/>
      <c r="DH18" s="275">
        <f>'[1]poly  com. adj for fmis'!AE18</f>
        <v>80000000</v>
      </c>
      <c r="DI18" s="275">
        <f>'[1]POLY DISB 2019'!AE22</f>
        <v>52800000</v>
      </c>
      <c r="DJ18" s="275">
        <f t="shared" si="30"/>
        <v>27200000</v>
      </c>
      <c r="DK18" s="275"/>
      <c r="DL18" s="275">
        <f>'[1]poly  com. adj for fmis'!AF18</f>
        <v>8000000</v>
      </c>
      <c r="DM18" s="275">
        <f>'[1]POLY DISB 2019'!AF22</f>
        <v>0</v>
      </c>
      <c r="DN18" s="275">
        <f t="shared" si="31"/>
        <v>8000000</v>
      </c>
      <c r="DO18" s="275"/>
      <c r="DP18" s="275">
        <f>'[1]poly  com. adj for fmis'!AG18</f>
        <v>2000000</v>
      </c>
      <c r="DQ18" s="275">
        <f>'[1]POLY DISB 2019'!AG22</f>
        <v>1700000</v>
      </c>
      <c r="DR18" s="275">
        <f t="shared" si="32"/>
        <v>300000</v>
      </c>
      <c r="DS18" s="275"/>
      <c r="DT18" s="275">
        <f>'[1]poly  com. adj for fmis'!AH18</f>
        <v>10000000</v>
      </c>
      <c r="DU18" s="275">
        <f>'[1]POLY DISB 2019'!AH22</f>
        <v>0</v>
      </c>
      <c r="DV18" s="275">
        <f t="shared" si="33"/>
        <v>10000000</v>
      </c>
      <c r="DW18" s="275"/>
      <c r="DX18" s="275">
        <f>'[1]poly  com. adj for fmis'!AI18</f>
        <v>300000000</v>
      </c>
      <c r="DY18" s="275">
        <f>'[1]POLY DISB 2019'!AI22</f>
        <v>300000000</v>
      </c>
      <c r="DZ18" s="275">
        <f t="shared" si="34"/>
        <v>0</v>
      </c>
      <c r="EA18" s="275"/>
      <c r="EB18" s="275">
        <f>'[1]POLY commited funds to date'!AK18</f>
        <v>380632000</v>
      </c>
      <c r="EC18" s="275">
        <f>'[1]POLY DISB 2019'!AJ22</f>
        <v>251217120</v>
      </c>
      <c r="ED18" s="275">
        <f t="shared" si="35"/>
        <v>129414880</v>
      </c>
      <c r="EE18" s="275"/>
      <c r="EF18" s="275">
        <f>'[1]POLY commited funds to date'!AL18</f>
        <v>8000000</v>
      </c>
      <c r="EG18" s="275">
        <f>'[1]POLY DISB 2019'!AK22</f>
        <v>0</v>
      </c>
      <c r="EH18" s="275">
        <f t="shared" si="36"/>
        <v>8000000</v>
      </c>
      <c r="EI18" s="275"/>
      <c r="EJ18" s="275">
        <f>'[1]POLY commited funds to date'!AM18</f>
        <v>10000000</v>
      </c>
      <c r="EK18" s="275">
        <f>'[1]POLY DISB 2019'!AL22</f>
        <v>0</v>
      </c>
      <c r="EL18" s="275">
        <f t="shared" si="37"/>
        <v>10000000</v>
      </c>
      <c r="EM18" s="275"/>
      <c r="EN18" s="275">
        <f>'[1]POLY commited funds to date'!AN18</f>
        <v>10000000</v>
      </c>
      <c r="EO18" s="275">
        <f>'[1]POLY DISB 2019'!AM22</f>
        <v>0</v>
      </c>
      <c r="EP18" s="275">
        <f t="shared" si="38"/>
        <v>10000000</v>
      </c>
      <c r="EQ18" s="275">
        <f>'[1]POLY commited funds to date'!AO18</f>
        <v>0</v>
      </c>
      <c r="ER18" s="275">
        <f>'[1]POLY DISB 2019'!AN22</f>
        <v>0</v>
      </c>
      <c r="ES18" s="275">
        <f t="shared" si="39"/>
        <v>0</v>
      </c>
      <c r="ET18" s="275"/>
      <c r="EU18" s="275">
        <f>'[1]POLY commited funds to date'!AP18</f>
        <v>205000000</v>
      </c>
      <c r="EV18" s="275">
        <f>'[1]POLY DISB 2019'!AO22</f>
        <v>0</v>
      </c>
      <c r="EW18" s="275">
        <f t="shared" si="40"/>
        <v>205000000</v>
      </c>
      <c r="EX18" s="275"/>
      <c r="EY18" s="275">
        <f>'[1]POLY commited funds to date'!AQ18</f>
        <v>75000000</v>
      </c>
      <c r="EZ18" s="275">
        <f>'[1]POLY DISB 2019'!AP22</f>
        <v>54750000</v>
      </c>
      <c r="FA18" s="275">
        <f t="shared" si="41"/>
        <v>20250000</v>
      </c>
      <c r="FB18" s="275"/>
      <c r="FC18" s="275">
        <f>'[1]POLY commited funds to date'!AR18</f>
        <v>7000000</v>
      </c>
      <c r="FD18" s="275">
        <f>'[1]POLY DISB 2019'!AQ22</f>
        <v>0</v>
      </c>
      <c r="FE18" s="275">
        <f t="shared" si="42"/>
        <v>7000000</v>
      </c>
      <c r="FF18" s="275"/>
      <c r="FG18" s="275">
        <f>'[1]POLY commited funds to date'!AS18</f>
        <v>6300000</v>
      </c>
      <c r="FH18" s="275">
        <f>'[1]POLY DISB 2019'!AR22</f>
        <v>0</v>
      </c>
      <c r="FI18" s="275">
        <f t="shared" si="43"/>
        <v>6300000</v>
      </c>
      <c r="FJ18" s="275"/>
      <c r="FK18" s="275">
        <f>'[1]POLY commited funds to date'!AT18</f>
        <v>7500000</v>
      </c>
      <c r="FL18" s="275">
        <f>'[1]POLY DISB 2019'!AS22</f>
        <v>0</v>
      </c>
      <c r="FM18" s="275">
        <f t="shared" si="44"/>
        <v>7500000</v>
      </c>
      <c r="FN18" s="275"/>
      <c r="FO18" s="275">
        <f>'[1]POLY commited funds to date'!AU18</f>
        <v>245000000</v>
      </c>
      <c r="FP18" s="275">
        <f>'[1]POLY DISB 2019'!AT22</f>
        <v>0</v>
      </c>
      <c r="FQ18" s="275">
        <f t="shared" si="45"/>
        <v>245000000</v>
      </c>
      <c r="FR18" s="275">
        <f>'[1]POLY commited funds to date'!AV18</f>
        <v>119074602</v>
      </c>
      <c r="FS18" s="275">
        <f>'[1]POLY DISB 2019'!AU22</f>
        <v>0</v>
      </c>
      <c r="FT18" s="275">
        <f t="shared" si="46"/>
        <v>119074602</v>
      </c>
      <c r="FU18" s="275"/>
      <c r="FV18" s="275">
        <f>'[1]POLY commited funds to date'!AW18</f>
        <v>13000000</v>
      </c>
      <c r="FW18" s="275">
        <f>'[1]POLY DISB 2019'!AV22</f>
        <v>0</v>
      </c>
      <c r="FX18" s="275">
        <f t="shared" si="47"/>
        <v>13000000</v>
      </c>
      <c r="FY18" s="275"/>
      <c r="FZ18" s="275">
        <f>'[1]POLY commited funds to date'!AX18</f>
        <v>8628900</v>
      </c>
      <c r="GA18" s="275">
        <f>'[1]POLY DISB 2019'!AW22</f>
        <v>0</v>
      </c>
      <c r="GB18" s="275">
        <f t="shared" si="48"/>
        <v>8628900</v>
      </c>
      <c r="GC18" s="275">
        <f>'[1]POLY commited funds to date'!AY18</f>
        <v>5000000</v>
      </c>
      <c r="GD18" s="275">
        <f>'[1]POLY DISB 2019'!AX22</f>
        <v>0</v>
      </c>
      <c r="GE18" s="275">
        <f t="shared" si="49"/>
        <v>5000000</v>
      </c>
      <c r="GF18" s="275"/>
      <c r="GG18" s="275">
        <f>'[1]POLY commited funds to date'!AZ18</f>
        <v>0</v>
      </c>
      <c r="GH18" s="275">
        <f>'[1]POLY DISB 2019'!AY22</f>
        <v>0</v>
      </c>
      <c r="GI18" s="275">
        <f t="shared" si="50"/>
        <v>0</v>
      </c>
      <c r="GJ18" s="275"/>
      <c r="GK18" s="275">
        <f t="shared" si="51"/>
        <v>3481644804</v>
      </c>
      <c r="GL18" s="275">
        <f t="shared" si="51"/>
        <v>2601976422</v>
      </c>
      <c r="GM18" s="275">
        <f t="shared" si="52"/>
        <v>879668382</v>
      </c>
      <c r="GN18" s="265"/>
      <c r="GO18" s="277">
        <f t="shared" si="53"/>
        <v>2283641302</v>
      </c>
      <c r="GP18" s="277">
        <f t="shared" si="53"/>
        <v>1677026422</v>
      </c>
      <c r="GQ18" s="277">
        <f t="shared" si="54"/>
        <v>606614880</v>
      </c>
      <c r="GR18" s="277">
        <f t="shared" si="0"/>
        <v>8500000</v>
      </c>
      <c r="GS18" s="277">
        <f t="shared" si="0"/>
        <v>8500000</v>
      </c>
      <c r="GT18" s="277">
        <f t="shared" si="55"/>
        <v>0</v>
      </c>
      <c r="GU18" s="277"/>
      <c r="GV18" s="265"/>
      <c r="GW18" s="279">
        <f t="shared" si="56"/>
        <v>860000000</v>
      </c>
      <c r="GX18" s="279">
        <f t="shared" si="56"/>
        <v>860000000</v>
      </c>
      <c r="GY18" s="280">
        <f t="shared" si="57"/>
        <v>0</v>
      </c>
      <c r="GZ18" s="280"/>
      <c r="HA18" s="277">
        <f t="shared" si="58"/>
        <v>74928900</v>
      </c>
      <c r="HB18" s="277">
        <f t="shared" si="58"/>
        <v>0</v>
      </c>
      <c r="HC18" s="277">
        <f t="shared" si="59"/>
        <v>74928900</v>
      </c>
      <c r="HE18" s="277">
        <f t="shared" si="60"/>
        <v>36000000</v>
      </c>
      <c r="HF18" s="277">
        <f t="shared" si="60"/>
        <v>0</v>
      </c>
      <c r="HG18" s="277">
        <f t="shared" si="61"/>
        <v>36000000</v>
      </c>
      <c r="HI18" s="279">
        <f t="shared" si="62"/>
        <v>194074602</v>
      </c>
      <c r="HJ18" s="279">
        <f t="shared" si="62"/>
        <v>54750000</v>
      </c>
      <c r="HK18" s="279">
        <f t="shared" si="63"/>
        <v>139324602</v>
      </c>
      <c r="HM18" s="279">
        <f t="shared" si="64"/>
        <v>2000000</v>
      </c>
      <c r="HN18" s="279">
        <f t="shared" si="1"/>
        <v>1700000</v>
      </c>
      <c r="HO18" s="279">
        <f t="shared" si="65"/>
        <v>300000</v>
      </c>
      <c r="HQ18" s="279">
        <f t="shared" si="66"/>
        <v>22500000</v>
      </c>
      <c r="HR18" s="279">
        <f t="shared" si="2"/>
        <v>0</v>
      </c>
      <c r="HS18" s="279">
        <f t="shared" si="67"/>
        <v>22500000</v>
      </c>
    </row>
    <row r="19" spans="1:227" x14ac:dyDescent="0.25">
      <c r="A19" s="235">
        <v>11</v>
      </c>
      <c r="B19" s="273" t="s">
        <v>210</v>
      </c>
      <c r="C19" s="274" t="s">
        <v>61</v>
      </c>
      <c r="D19" s="275">
        <v>24706514.399999999</v>
      </c>
      <c r="E19" s="275">
        <f>'[1]POLY DISB 2019'!C23</f>
        <v>24706514.399999999</v>
      </c>
      <c r="F19" s="275">
        <f t="shared" si="3"/>
        <v>0</v>
      </c>
      <c r="G19" s="275"/>
      <c r="H19" s="275">
        <v>10000000</v>
      </c>
      <c r="I19" s="275">
        <f>'[1]POLY DISB 2019'!D23</f>
        <v>10000000</v>
      </c>
      <c r="J19" s="275">
        <f t="shared" si="4"/>
        <v>0</v>
      </c>
      <c r="K19" s="275"/>
      <c r="L19" s="275">
        <v>20000000</v>
      </c>
      <c r="M19" s="275">
        <f>'[1]POLY DISB 2019'!E23</f>
        <v>20000000</v>
      </c>
      <c r="N19" s="275">
        <f t="shared" si="5"/>
        <v>0</v>
      </c>
      <c r="O19" s="275"/>
      <c r="P19" s="275">
        <v>25000000</v>
      </c>
      <c r="Q19" s="275">
        <f>'[1]POLY DISB 2019'!F23</f>
        <v>25000000</v>
      </c>
      <c r="R19" s="275">
        <f t="shared" si="6"/>
        <v>0</v>
      </c>
      <c r="S19" s="275"/>
      <c r="T19" s="275">
        <v>12000000</v>
      </c>
      <c r="U19" s="275">
        <f>'[1]POLY DISB 2019'!G23</f>
        <v>12000000</v>
      </c>
      <c r="V19" s="275">
        <f t="shared" si="7"/>
        <v>0</v>
      </c>
      <c r="W19" s="275"/>
      <c r="X19" s="275">
        <v>12000000</v>
      </c>
      <c r="Y19" s="275">
        <f>'[1]POLY DISB 2019'!H23</f>
        <v>12000000</v>
      </c>
      <c r="Z19" s="275">
        <f t="shared" si="8"/>
        <v>0</v>
      </c>
      <c r="AA19" s="275"/>
      <c r="AB19" s="275">
        <v>0</v>
      </c>
      <c r="AC19" s="275">
        <f>'[1]POLY DISB 2019'!I23</f>
        <v>0</v>
      </c>
      <c r="AD19" s="275">
        <f t="shared" si="9"/>
        <v>0</v>
      </c>
      <c r="AE19" s="275"/>
      <c r="AF19" s="275">
        <f>'[1]POLY commited funds to date'!K19</f>
        <v>20000000</v>
      </c>
      <c r="AG19" s="275">
        <f>'[1]POLY DISB 2019'!J23</f>
        <v>20000000</v>
      </c>
      <c r="AH19" s="275">
        <f t="shared" si="10"/>
        <v>0</v>
      </c>
      <c r="AI19" s="275"/>
      <c r="AJ19" s="275">
        <v>8500000</v>
      </c>
      <c r="AK19" s="275">
        <f>'[1]POLY DISB 2019'!K23</f>
        <v>8500000</v>
      </c>
      <c r="AL19" s="275">
        <f t="shared" si="11"/>
        <v>0</v>
      </c>
      <c r="AM19" s="275"/>
      <c r="AN19" s="275">
        <v>20000000</v>
      </c>
      <c r="AO19" s="275">
        <f>'[1]POLY DISB 2019'!L23</f>
        <v>20000000</v>
      </c>
      <c r="AP19" s="275">
        <f t="shared" si="12"/>
        <v>0</v>
      </c>
      <c r="AQ19" s="275"/>
      <c r="AR19" s="275">
        <v>26000000</v>
      </c>
      <c r="AS19" s="275">
        <f>'[1]POLY DISB 2019'!M23</f>
        <v>26000000</v>
      </c>
      <c r="AT19" s="275">
        <f t="shared" si="13"/>
        <v>0</v>
      </c>
      <c r="AU19" s="275"/>
      <c r="AV19" s="275">
        <v>45000000</v>
      </c>
      <c r="AW19" s="275">
        <f>'[1]POLY DISB 2019'!N23</f>
        <v>45000000</v>
      </c>
      <c r="AX19" s="275">
        <f t="shared" si="14"/>
        <v>0</v>
      </c>
      <c r="AY19" s="275"/>
      <c r="AZ19" s="275">
        <v>32589000</v>
      </c>
      <c r="BA19" s="275">
        <f>'[1]POLY DISB 2019'!P23</f>
        <v>32589000</v>
      </c>
      <c r="BB19" s="275">
        <f t="shared" si="15"/>
        <v>0</v>
      </c>
      <c r="BC19" s="275"/>
      <c r="BD19" s="275">
        <v>0</v>
      </c>
      <c r="BE19" s="275">
        <f>'[1]POLY DISB 2019'!Q23</f>
        <v>0</v>
      </c>
      <c r="BF19" s="275">
        <f t="shared" si="16"/>
        <v>0</v>
      </c>
      <c r="BG19" s="275"/>
      <c r="BH19" s="275">
        <v>107151000</v>
      </c>
      <c r="BI19" s="275">
        <f>'[1]POLY DISB 2019'!R23</f>
        <v>107151000</v>
      </c>
      <c r="BJ19" s="275">
        <f t="shared" si="17"/>
        <v>0</v>
      </c>
      <c r="BK19" s="275"/>
      <c r="BL19" s="269">
        <f>'[1]poly  com. adj for fmis'!S19</f>
        <v>50000000</v>
      </c>
      <c r="BM19" s="269">
        <f>'[1]POLY DISB 2019'!S23</f>
        <v>50000000</v>
      </c>
      <c r="BN19" s="269">
        <f t="shared" si="18"/>
        <v>0</v>
      </c>
      <c r="BO19" s="269"/>
      <c r="BP19" s="276">
        <f>'[1]POLY commited funds to date'!U19</f>
        <v>169900000</v>
      </c>
      <c r="BQ19" s="275">
        <f>'[1]POLY DISB 2019'!T23</f>
        <v>169900000</v>
      </c>
      <c r="BR19" s="275">
        <f t="shared" si="19"/>
        <v>0</v>
      </c>
      <c r="BS19" s="275"/>
      <c r="BT19" s="275">
        <f>'[1]POLY commited funds to date'!V19</f>
        <v>10000000</v>
      </c>
      <c r="BU19" s="275">
        <f>'[1]POLY DISB 2019'!U23</f>
        <v>10000000</v>
      </c>
      <c r="BV19" s="275">
        <f t="shared" si="20"/>
        <v>0</v>
      </c>
      <c r="BW19" s="275"/>
      <c r="BX19" s="275">
        <f>'[1]POLY commited funds to date'!W19</f>
        <v>0</v>
      </c>
      <c r="BY19" s="275">
        <f>'[1]POLY DISB 2019'!V23</f>
        <v>0</v>
      </c>
      <c r="BZ19" s="275">
        <f t="shared" si="21"/>
        <v>0</v>
      </c>
      <c r="CA19" s="275"/>
      <c r="CB19" s="275">
        <f>'[1]POLY commited funds to date'!X19</f>
        <v>210000000</v>
      </c>
      <c r="CC19" s="275">
        <f>'[1]POLY DISB 2019'!W23</f>
        <v>210000000</v>
      </c>
      <c r="CD19" s="275">
        <f t="shared" si="22"/>
        <v>0</v>
      </c>
      <c r="CE19" s="275"/>
      <c r="CF19" s="275">
        <f>'[1]POLY commited funds to date'!Y19</f>
        <v>0</v>
      </c>
      <c r="CG19" s="275">
        <f>'[1]POLY DISB 2019'!X23</f>
        <v>0</v>
      </c>
      <c r="CH19" s="275">
        <f t="shared" si="23"/>
        <v>0</v>
      </c>
      <c r="CI19" s="275"/>
      <c r="CJ19" s="275">
        <f>'[1]POLY commited funds to date'!Z19</f>
        <v>50000000</v>
      </c>
      <c r="CK19" s="275">
        <f>'[1]POLY DISB 2019'!Y23</f>
        <v>50000000</v>
      </c>
      <c r="CL19" s="275">
        <f t="shared" si="24"/>
        <v>0</v>
      </c>
      <c r="CM19" s="275"/>
      <c r="CN19" s="275">
        <f>'[1]POLY commited funds to date'!AA19</f>
        <v>243000000</v>
      </c>
      <c r="CO19" s="275">
        <f>'[1]POLY DISB 2019'!Z23</f>
        <v>206550000</v>
      </c>
      <c r="CP19" s="275">
        <f t="shared" si="25"/>
        <v>36450000</v>
      </c>
      <c r="CQ19" s="275"/>
      <c r="CR19" s="275">
        <v>10000000</v>
      </c>
      <c r="CS19" s="275">
        <f>'[1]POLY DISB 2019'!AA23</f>
        <v>8500000</v>
      </c>
      <c r="CT19" s="275">
        <f t="shared" si="26"/>
        <v>1500000</v>
      </c>
      <c r="CU19" s="275"/>
      <c r="CV19" s="275">
        <f>'[1]POLY commited funds to date'!AC19</f>
        <v>371000000</v>
      </c>
      <c r="CW19" s="275">
        <f>'[1]POLY DISB 2019'!AB23</f>
        <v>315350000</v>
      </c>
      <c r="CX19" s="275">
        <f t="shared" si="27"/>
        <v>55650000</v>
      </c>
      <c r="CY19" s="275"/>
      <c r="CZ19" s="275">
        <f>'[1]POLY commited funds to date'!AD19</f>
        <v>20000000</v>
      </c>
      <c r="DA19" s="275">
        <f>'[1]POLY DISB 2019'!AC23</f>
        <v>0</v>
      </c>
      <c r="DB19" s="275">
        <f t="shared" si="28"/>
        <v>20000000</v>
      </c>
      <c r="DC19" s="275"/>
      <c r="DD19" s="275">
        <f>'[1]POLY commited funds to date'!AE19</f>
        <v>100000000</v>
      </c>
      <c r="DE19" s="275">
        <f>'[1]POLY DISB 2019'!AD23</f>
        <v>85000000</v>
      </c>
      <c r="DF19" s="275">
        <f t="shared" si="29"/>
        <v>15000000</v>
      </c>
      <c r="DG19" s="275"/>
      <c r="DH19" s="275">
        <f>'[1]poly  com. adj for fmis'!AE19</f>
        <v>80000000</v>
      </c>
      <c r="DI19" s="275">
        <f>'[1]POLY DISB 2019'!AE23</f>
        <v>68000000</v>
      </c>
      <c r="DJ19" s="275">
        <f t="shared" si="30"/>
        <v>12000000</v>
      </c>
      <c r="DK19" s="275"/>
      <c r="DL19" s="275">
        <f>'[1]poly  com. adj for fmis'!AF19</f>
        <v>8000000</v>
      </c>
      <c r="DM19" s="275">
        <f>'[1]POLY DISB 2019'!AF23</f>
        <v>7360000</v>
      </c>
      <c r="DN19" s="275">
        <f t="shared" si="31"/>
        <v>640000</v>
      </c>
      <c r="DO19" s="275"/>
      <c r="DP19" s="275">
        <f>'[1]poly  com. adj for fmis'!AG19</f>
        <v>2000000</v>
      </c>
      <c r="DQ19" s="275">
        <f>'[1]POLY DISB 2019'!AG23</f>
        <v>0</v>
      </c>
      <c r="DR19" s="275">
        <f t="shared" si="32"/>
        <v>2000000</v>
      </c>
      <c r="DS19" s="275"/>
      <c r="DT19" s="275">
        <f>'[1]poly  com. adj for fmis'!AH19</f>
        <v>10000000</v>
      </c>
      <c r="DU19" s="275">
        <f>'[1]POLY DISB 2019'!AH23</f>
        <v>0</v>
      </c>
      <c r="DV19" s="275">
        <f t="shared" si="33"/>
        <v>10000000</v>
      </c>
      <c r="DW19" s="275"/>
      <c r="DX19" s="275">
        <f>'[1]poly  com. adj for fmis'!AI19</f>
        <v>3600000000</v>
      </c>
      <c r="DY19" s="275">
        <f>'[1]POLY DISB 2019'!AI23</f>
        <v>3517500000</v>
      </c>
      <c r="DZ19" s="275">
        <f t="shared" si="34"/>
        <v>82500000</v>
      </c>
      <c r="EA19" s="275"/>
      <c r="EB19" s="275">
        <f>'[1]POLY commited funds to date'!AK19</f>
        <v>380632000</v>
      </c>
      <c r="EC19" s="275">
        <f>'[1]POLY DISB 2019'!AJ23</f>
        <v>323537200</v>
      </c>
      <c r="ED19" s="275">
        <f t="shared" si="35"/>
        <v>57094800</v>
      </c>
      <c r="EE19" s="275"/>
      <c r="EF19" s="275">
        <f>'[1]POLY commited funds to date'!AL19</f>
        <v>8000000</v>
      </c>
      <c r="EG19" s="275">
        <f>'[1]POLY DISB 2019'!AK23</f>
        <v>7360000</v>
      </c>
      <c r="EH19" s="275">
        <f t="shared" si="36"/>
        <v>640000</v>
      </c>
      <c r="EI19" s="275"/>
      <c r="EJ19" s="275">
        <f>'[1]POLY commited funds to date'!AM19</f>
        <v>10000000</v>
      </c>
      <c r="EK19" s="275">
        <f>'[1]POLY DISB 2019'!AL23</f>
        <v>0</v>
      </c>
      <c r="EL19" s="275">
        <f t="shared" si="37"/>
        <v>10000000</v>
      </c>
      <c r="EM19" s="275"/>
      <c r="EN19" s="275">
        <f>'[1]POLY commited funds to date'!AN19</f>
        <v>10000000</v>
      </c>
      <c r="EO19" s="275">
        <f>'[1]POLY DISB 2019'!AM23</f>
        <v>0</v>
      </c>
      <c r="EP19" s="275">
        <f t="shared" si="38"/>
        <v>10000000</v>
      </c>
      <c r="EQ19" s="275">
        <f>'[1]POLY commited funds to date'!AO19</f>
        <v>0</v>
      </c>
      <c r="ER19" s="275">
        <f>'[1]POLY DISB 2019'!AN23</f>
        <v>0</v>
      </c>
      <c r="ES19" s="275">
        <f t="shared" si="39"/>
        <v>0</v>
      </c>
      <c r="ET19" s="275"/>
      <c r="EU19" s="275">
        <f>'[1]POLY commited funds to date'!AP19</f>
        <v>205000000</v>
      </c>
      <c r="EV19" s="275">
        <f>'[1]POLY DISB 2019'!AO23</f>
        <v>0</v>
      </c>
      <c r="EW19" s="275">
        <f t="shared" si="40"/>
        <v>205000000</v>
      </c>
      <c r="EX19" s="275"/>
      <c r="EY19" s="275">
        <f>'[1]POLY commited funds to date'!AQ19</f>
        <v>75000000</v>
      </c>
      <c r="EZ19" s="275">
        <f>'[1]POLY DISB 2019'!AP23</f>
        <v>75000000</v>
      </c>
      <c r="FA19" s="275">
        <f t="shared" si="41"/>
        <v>0</v>
      </c>
      <c r="FB19" s="275"/>
      <c r="FC19" s="275">
        <f>'[1]POLY commited funds to date'!AR19</f>
        <v>7000000</v>
      </c>
      <c r="FD19" s="275">
        <f>'[1]POLY DISB 2019'!AQ23</f>
        <v>0</v>
      </c>
      <c r="FE19" s="275">
        <f t="shared" si="42"/>
        <v>7000000</v>
      </c>
      <c r="FF19" s="275"/>
      <c r="FG19" s="275">
        <f>'[1]POLY commited funds to date'!AS19</f>
        <v>6300000</v>
      </c>
      <c r="FH19" s="275">
        <f>'[1]POLY DISB 2019'!AR23</f>
        <v>0</v>
      </c>
      <c r="FI19" s="275">
        <f t="shared" si="43"/>
        <v>6300000</v>
      </c>
      <c r="FJ19" s="275"/>
      <c r="FK19" s="275">
        <f>'[1]POLY commited funds to date'!AT19</f>
        <v>7500000</v>
      </c>
      <c r="FL19" s="275">
        <f>'[1]POLY DISB 2019'!AS23</f>
        <v>0</v>
      </c>
      <c r="FM19" s="275">
        <f t="shared" si="44"/>
        <v>7500000</v>
      </c>
      <c r="FN19" s="275"/>
      <c r="FO19" s="275">
        <f>'[1]POLY commited funds to date'!AU19</f>
        <v>245000000</v>
      </c>
      <c r="FP19" s="275">
        <f>'[1]POLY DISB 2019'!AT23</f>
        <v>0</v>
      </c>
      <c r="FQ19" s="275">
        <f t="shared" si="45"/>
        <v>245000000</v>
      </c>
      <c r="FR19" s="275">
        <f>'[1]POLY commited funds to date'!AV19</f>
        <v>119074602</v>
      </c>
      <c r="FS19" s="275">
        <f>'[1]POLY DISB 2019'!AU23</f>
        <v>0</v>
      </c>
      <c r="FT19" s="275">
        <f t="shared" si="46"/>
        <v>119074602</v>
      </c>
      <c r="FU19" s="275"/>
      <c r="FV19" s="275">
        <f>'[1]POLY commited funds to date'!AW19</f>
        <v>13000000</v>
      </c>
      <c r="FW19" s="275">
        <f>'[1]POLY DISB 2019'!AV23</f>
        <v>0</v>
      </c>
      <c r="FX19" s="275">
        <f t="shared" si="47"/>
        <v>13000000</v>
      </c>
      <c r="FY19" s="275"/>
      <c r="FZ19" s="275">
        <f>'[1]POLY commited funds to date'!AX19</f>
        <v>8628900</v>
      </c>
      <c r="GA19" s="275">
        <f>'[1]POLY DISB 2019'!AW23</f>
        <v>0</v>
      </c>
      <c r="GB19" s="275">
        <f t="shared" si="48"/>
        <v>8628900</v>
      </c>
      <c r="GC19" s="275">
        <f>'[1]POLY commited funds to date'!AY19</f>
        <v>5000000</v>
      </c>
      <c r="GD19" s="275">
        <f>'[1]POLY DISB 2019'!AX23</f>
        <v>0</v>
      </c>
      <c r="GE19" s="275">
        <f t="shared" si="49"/>
        <v>5000000</v>
      </c>
      <c r="GF19" s="275"/>
      <c r="GG19" s="275">
        <f>'[1]POLY commited funds to date'!AZ19</f>
        <v>0</v>
      </c>
      <c r="GH19" s="275">
        <f>'[1]POLY DISB 2019'!AY23</f>
        <v>0</v>
      </c>
      <c r="GI19" s="275">
        <f t="shared" si="50"/>
        <v>0</v>
      </c>
      <c r="GJ19" s="275"/>
      <c r="GK19" s="275">
        <f t="shared" si="51"/>
        <v>6396982016.3999996</v>
      </c>
      <c r="GL19" s="275">
        <f t="shared" si="51"/>
        <v>5467003714.3999996</v>
      </c>
      <c r="GM19" s="275">
        <f t="shared" si="52"/>
        <v>929978302</v>
      </c>
      <c r="GN19" s="265"/>
      <c r="GO19" s="277">
        <f t="shared" si="53"/>
        <v>2258978514.4000001</v>
      </c>
      <c r="GP19" s="277">
        <f t="shared" si="53"/>
        <v>1647783714.4000001</v>
      </c>
      <c r="GQ19" s="277">
        <f t="shared" si="54"/>
        <v>611194800</v>
      </c>
      <c r="GR19" s="277">
        <f t="shared" si="0"/>
        <v>8500000</v>
      </c>
      <c r="GS19" s="277">
        <f t="shared" si="0"/>
        <v>8500000</v>
      </c>
      <c r="GT19" s="277">
        <f t="shared" si="55"/>
        <v>0</v>
      </c>
      <c r="GU19" s="277"/>
      <c r="GV19" s="265"/>
      <c r="GW19" s="279">
        <f t="shared" si="56"/>
        <v>3800000000</v>
      </c>
      <c r="GX19" s="279">
        <f t="shared" si="56"/>
        <v>3702500000</v>
      </c>
      <c r="GY19" s="280">
        <f t="shared" si="57"/>
        <v>97500000</v>
      </c>
      <c r="GZ19" s="280"/>
      <c r="HA19" s="277">
        <f t="shared" si="58"/>
        <v>74928900</v>
      </c>
      <c r="HB19" s="277">
        <f t="shared" si="58"/>
        <v>18500000</v>
      </c>
      <c r="HC19" s="277">
        <f t="shared" si="59"/>
        <v>56428900</v>
      </c>
      <c r="HE19" s="277">
        <f t="shared" si="60"/>
        <v>36000000</v>
      </c>
      <c r="HF19" s="277">
        <f t="shared" si="60"/>
        <v>14720000</v>
      </c>
      <c r="HG19" s="277">
        <f t="shared" si="61"/>
        <v>21280000</v>
      </c>
      <c r="HI19" s="279">
        <f t="shared" si="62"/>
        <v>194074602</v>
      </c>
      <c r="HJ19" s="279">
        <f t="shared" si="62"/>
        <v>75000000</v>
      </c>
      <c r="HK19" s="279">
        <f t="shared" si="63"/>
        <v>119074602</v>
      </c>
      <c r="HM19" s="279">
        <f t="shared" si="64"/>
        <v>2000000</v>
      </c>
      <c r="HN19" s="279">
        <f t="shared" si="1"/>
        <v>0</v>
      </c>
      <c r="HO19" s="279">
        <f t="shared" si="65"/>
        <v>2000000</v>
      </c>
      <c r="HQ19" s="279">
        <f t="shared" si="66"/>
        <v>22500000</v>
      </c>
      <c r="HR19" s="279">
        <f t="shared" si="2"/>
        <v>0</v>
      </c>
      <c r="HS19" s="279">
        <f t="shared" si="67"/>
        <v>22500000</v>
      </c>
    </row>
    <row r="20" spans="1:227" x14ac:dyDescent="0.25">
      <c r="A20" s="235">
        <v>12</v>
      </c>
      <c r="B20" s="273" t="s">
        <v>211</v>
      </c>
      <c r="C20" s="274" t="s">
        <v>61</v>
      </c>
      <c r="D20" s="275">
        <v>24709302</v>
      </c>
      <c r="E20" s="275">
        <f>'[1]POLY DISB 2019'!C24</f>
        <v>24709302</v>
      </c>
      <c r="F20" s="275">
        <f t="shared" si="3"/>
        <v>0</v>
      </c>
      <c r="G20" s="275"/>
      <c r="H20" s="275">
        <v>10000000</v>
      </c>
      <c r="I20" s="275">
        <f>'[1]POLY DISB 2019'!D24</f>
        <v>10000000</v>
      </c>
      <c r="J20" s="275">
        <f t="shared" si="4"/>
        <v>0</v>
      </c>
      <c r="K20" s="275"/>
      <c r="L20" s="275">
        <v>20000000</v>
      </c>
      <c r="M20" s="275">
        <f>'[1]POLY DISB 2019'!E24</f>
        <v>20000000</v>
      </c>
      <c r="N20" s="275">
        <f t="shared" si="5"/>
        <v>0</v>
      </c>
      <c r="O20" s="275"/>
      <c r="P20" s="275">
        <v>25000000</v>
      </c>
      <c r="Q20" s="275">
        <f>'[1]POLY DISB 2019'!F24</f>
        <v>25000000</v>
      </c>
      <c r="R20" s="275">
        <f t="shared" si="6"/>
        <v>0</v>
      </c>
      <c r="S20" s="275"/>
      <c r="T20" s="275">
        <v>12000000</v>
      </c>
      <c r="U20" s="275">
        <f>'[1]POLY DISB 2019'!G24</f>
        <v>12000000</v>
      </c>
      <c r="V20" s="275">
        <f t="shared" si="7"/>
        <v>0</v>
      </c>
      <c r="W20" s="275"/>
      <c r="X20" s="275">
        <v>12000000</v>
      </c>
      <c r="Y20" s="275">
        <f>'[1]POLY DISB 2019'!H24</f>
        <v>12000000</v>
      </c>
      <c r="Z20" s="275">
        <f t="shared" si="8"/>
        <v>0</v>
      </c>
      <c r="AA20" s="275"/>
      <c r="AB20" s="275">
        <v>0</v>
      </c>
      <c r="AC20" s="275">
        <f>'[1]POLY DISB 2019'!I24</f>
        <v>0</v>
      </c>
      <c r="AD20" s="275">
        <f t="shared" si="9"/>
        <v>0</v>
      </c>
      <c r="AE20" s="275"/>
      <c r="AF20" s="275">
        <f>'[1]POLY commited funds to date'!K20</f>
        <v>20000000</v>
      </c>
      <c r="AG20" s="275">
        <f>'[1]POLY DISB 2019'!J24</f>
        <v>20000000</v>
      </c>
      <c r="AH20" s="275">
        <f t="shared" si="10"/>
        <v>0</v>
      </c>
      <c r="AI20" s="275"/>
      <c r="AJ20" s="275">
        <v>10000000</v>
      </c>
      <c r="AK20" s="275">
        <f>'[1]POLY DISB 2019'!K24</f>
        <v>10000000</v>
      </c>
      <c r="AL20" s="275">
        <f t="shared" si="11"/>
        <v>0</v>
      </c>
      <c r="AM20" s="275"/>
      <c r="AN20" s="275">
        <v>20000000</v>
      </c>
      <c r="AO20" s="275">
        <f>'[1]POLY DISB 2019'!L24</f>
        <v>20000000</v>
      </c>
      <c r="AP20" s="275">
        <f t="shared" si="12"/>
        <v>0</v>
      </c>
      <c r="AQ20" s="275"/>
      <c r="AR20" s="275">
        <v>26000000</v>
      </c>
      <c r="AS20" s="275">
        <f>'[1]POLY DISB 2019'!M24</f>
        <v>26000000</v>
      </c>
      <c r="AT20" s="275">
        <f t="shared" si="13"/>
        <v>0</v>
      </c>
      <c r="AU20" s="275"/>
      <c r="AV20" s="275">
        <v>45000000</v>
      </c>
      <c r="AW20" s="275">
        <f>'[1]POLY DISB 2019'!N24</f>
        <v>45000000</v>
      </c>
      <c r="AX20" s="275">
        <f t="shared" si="14"/>
        <v>0</v>
      </c>
      <c r="AY20" s="275"/>
      <c r="AZ20" s="275">
        <v>38340000</v>
      </c>
      <c r="BA20" s="275">
        <f>'[1]POLY DISB 2019'!P24</f>
        <v>38340000</v>
      </c>
      <c r="BB20" s="275">
        <f t="shared" si="15"/>
        <v>0</v>
      </c>
      <c r="BC20" s="275"/>
      <c r="BD20" s="269">
        <v>25000000</v>
      </c>
      <c r="BE20" s="269">
        <f>'[1]POLY DISB 2019'!Q24</f>
        <v>25000000</v>
      </c>
      <c r="BF20" s="275">
        <f t="shared" si="16"/>
        <v>0</v>
      </c>
      <c r="BG20" s="269"/>
      <c r="BH20" s="275">
        <f>'[1]POLY commited funds to date'!S20</f>
        <v>126060000</v>
      </c>
      <c r="BI20" s="275">
        <f>'[1]POLY DISB 2019'!R24</f>
        <v>126060000</v>
      </c>
      <c r="BJ20" s="275">
        <f t="shared" si="17"/>
        <v>0</v>
      </c>
      <c r="BK20" s="275"/>
      <c r="BL20" s="275">
        <f>'[1]poly  com. adj for fmis'!S20</f>
        <v>310000000</v>
      </c>
      <c r="BM20" s="275">
        <f>'[1]POLY DISB 2019'!S24</f>
        <v>310000000</v>
      </c>
      <c r="BN20" s="269">
        <f t="shared" si="18"/>
        <v>0</v>
      </c>
      <c r="BO20" s="275"/>
      <c r="BP20" s="276">
        <f>'[1]POLY commited funds to date'!U20</f>
        <v>169900000</v>
      </c>
      <c r="BQ20" s="275">
        <f>'[1]POLY DISB 2019'!T24</f>
        <v>169900000</v>
      </c>
      <c r="BR20" s="275">
        <f t="shared" si="19"/>
        <v>0</v>
      </c>
      <c r="BS20" s="275"/>
      <c r="BT20" s="275">
        <f>'[1]POLY commited funds to date'!V20</f>
        <v>10000000</v>
      </c>
      <c r="BU20" s="275">
        <f>'[1]POLY DISB 2019'!U24</f>
        <v>10000000</v>
      </c>
      <c r="BV20" s="275">
        <f t="shared" si="20"/>
        <v>0</v>
      </c>
      <c r="BW20" s="275"/>
      <c r="BX20" s="275">
        <f>'[1]POLY commited funds to date'!W20</f>
        <v>0</v>
      </c>
      <c r="BY20" s="275">
        <f>'[1]POLY DISB 2019'!V24</f>
        <v>0</v>
      </c>
      <c r="BZ20" s="275">
        <f t="shared" si="21"/>
        <v>0</v>
      </c>
      <c r="CA20" s="275"/>
      <c r="CB20" s="275">
        <f>'[1]POLY commited funds to date'!X20</f>
        <v>210000000</v>
      </c>
      <c r="CC20" s="275">
        <f>'[1]POLY DISB 2019'!W24</f>
        <v>210000000</v>
      </c>
      <c r="CD20" s="275">
        <f t="shared" si="22"/>
        <v>0</v>
      </c>
      <c r="CE20" s="275"/>
      <c r="CF20" s="275">
        <f>'[1]POLY commited funds to date'!Y20</f>
        <v>375000000</v>
      </c>
      <c r="CG20" s="275">
        <f>'[1]POLY DISB 2019'!X24</f>
        <v>375000000</v>
      </c>
      <c r="CH20" s="275">
        <f t="shared" si="23"/>
        <v>0</v>
      </c>
      <c r="CI20" s="275"/>
      <c r="CJ20" s="275">
        <f>'[1]POLY commited funds to date'!Z20</f>
        <v>0</v>
      </c>
      <c r="CK20" s="275">
        <f>'[1]POLY DISB 2019'!Y24</f>
        <v>0</v>
      </c>
      <c r="CL20" s="275">
        <f t="shared" si="24"/>
        <v>0</v>
      </c>
      <c r="CM20" s="275"/>
      <c r="CN20" s="275">
        <f>'[1]POLY commited funds to date'!AA20</f>
        <v>243000000</v>
      </c>
      <c r="CO20" s="275">
        <f>'[1]POLY DISB 2019'!Z24</f>
        <v>243000000</v>
      </c>
      <c r="CP20" s="275">
        <f t="shared" si="25"/>
        <v>0</v>
      </c>
      <c r="CQ20" s="275"/>
      <c r="CR20" s="275">
        <v>10000000</v>
      </c>
      <c r="CS20" s="275">
        <f>'[1]POLY DISB 2019'!AA24</f>
        <v>10000000</v>
      </c>
      <c r="CT20" s="275">
        <f t="shared" si="26"/>
        <v>0</v>
      </c>
      <c r="CU20" s="275"/>
      <c r="CV20" s="275">
        <f>'[1]POLY commited funds to date'!AC20</f>
        <v>371000000</v>
      </c>
      <c r="CW20" s="275">
        <f>'[1]POLY DISB 2019'!AB24</f>
        <v>371000000</v>
      </c>
      <c r="CX20" s="275">
        <f t="shared" si="27"/>
        <v>0</v>
      </c>
      <c r="CY20" s="275"/>
      <c r="CZ20" s="275">
        <f>'[1]POLY commited funds to date'!AD20</f>
        <v>20000000</v>
      </c>
      <c r="DA20" s="275">
        <f>'[1]POLY DISB 2019'!AC24</f>
        <v>20000000</v>
      </c>
      <c r="DB20" s="275">
        <f t="shared" si="28"/>
        <v>0</v>
      </c>
      <c r="DC20" s="275"/>
      <c r="DD20" s="275">
        <f>'[1]POLY commited funds to date'!AE20</f>
        <v>200000000</v>
      </c>
      <c r="DE20" s="275">
        <f>'[1]POLY DISB 2019'!AD24</f>
        <v>200000000</v>
      </c>
      <c r="DF20" s="275">
        <f t="shared" si="29"/>
        <v>0</v>
      </c>
      <c r="DG20" s="275"/>
      <c r="DH20" s="275">
        <f>'[1]poly  com. adj for fmis'!AE20</f>
        <v>80000000</v>
      </c>
      <c r="DI20" s="275">
        <f>'[1]POLY DISB 2019'!AE24</f>
        <v>68000000</v>
      </c>
      <c r="DJ20" s="275">
        <f t="shared" si="30"/>
        <v>12000000</v>
      </c>
      <c r="DK20" s="275"/>
      <c r="DL20" s="275">
        <f>'[1]poly  com. adj for fmis'!AF20</f>
        <v>8000000</v>
      </c>
      <c r="DM20" s="275">
        <f>'[1]POLY DISB 2019'!AF24</f>
        <v>6800000</v>
      </c>
      <c r="DN20" s="275">
        <f t="shared" si="31"/>
        <v>1200000</v>
      </c>
      <c r="DO20" s="275"/>
      <c r="DP20" s="275">
        <f>'[1]poly  com. adj for fmis'!AG20</f>
        <v>2000000</v>
      </c>
      <c r="DQ20" s="275">
        <f>'[1]POLY DISB 2019'!AG24</f>
        <v>0</v>
      </c>
      <c r="DR20" s="275">
        <f t="shared" si="32"/>
        <v>2000000</v>
      </c>
      <c r="DS20" s="275"/>
      <c r="DT20" s="275">
        <f>'[1]poly  com. adj for fmis'!AH20</f>
        <v>10000000</v>
      </c>
      <c r="DU20" s="275">
        <f>'[1]POLY DISB 2019'!AH24</f>
        <v>10000000</v>
      </c>
      <c r="DV20" s="275">
        <f t="shared" si="33"/>
        <v>0</v>
      </c>
      <c r="DW20" s="275"/>
      <c r="DX20" s="275">
        <f>'[1]poly  com. adj for fmis'!AI20</f>
        <v>2550000000</v>
      </c>
      <c r="DY20" s="275">
        <f>'[1]POLY DISB 2019'!AI24</f>
        <v>2550000000</v>
      </c>
      <c r="DZ20" s="275">
        <f t="shared" si="34"/>
        <v>0</v>
      </c>
      <c r="EA20" s="275"/>
      <c r="EB20" s="275">
        <f>'[1]POLY commited funds to date'!AK20</f>
        <v>380632000</v>
      </c>
      <c r="EC20" s="275">
        <f>'[1]POLY DISB 2019'!AJ24</f>
        <v>323537200</v>
      </c>
      <c r="ED20" s="275">
        <f t="shared" si="35"/>
        <v>57094800</v>
      </c>
      <c r="EE20" s="275"/>
      <c r="EF20" s="275">
        <f>'[1]POLY commited funds to date'!AL20</f>
        <v>8000000</v>
      </c>
      <c r="EG20" s="275">
        <f>'[1]POLY DISB 2019'!AK24</f>
        <v>6800000</v>
      </c>
      <c r="EH20" s="275">
        <f t="shared" si="36"/>
        <v>1200000</v>
      </c>
      <c r="EI20" s="275"/>
      <c r="EJ20" s="275">
        <f>'[1]POLY commited funds to date'!AM20</f>
        <v>10000000</v>
      </c>
      <c r="EK20" s="275">
        <f>'[1]POLY DISB 2019'!AL24</f>
        <v>10000000</v>
      </c>
      <c r="EL20" s="275">
        <f t="shared" si="37"/>
        <v>0</v>
      </c>
      <c r="EM20" s="275"/>
      <c r="EN20" s="275">
        <f>'[1]POLY commited funds to date'!AN20</f>
        <v>10000000</v>
      </c>
      <c r="EO20" s="275">
        <f>'[1]POLY DISB 2019'!AM24</f>
        <v>0</v>
      </c>
      <c r="EP20" s="275">
        <f t="shared" si="38"/>
        <v>10000000</v>
      </c>
      <c r="EQ20" s="275">
        <f>'[1]POLY commited funds to date'!AO20</f>
        <v>0</v>
      </c>
      <c r="ER20" s="275">
        <f>'[1]POLY DISB 2019'!AN24</f>
        <v>0</v>
      </c>
      <c r="ES20" s="275">
        <f t="shared" si="39"/>
        <v>0</v>
      </c>
      <c r="ET20" s="275"/>
      <c r="EU20" s="275">
        <f>'[1]POLY commited funds to date'!AP20</f>
        <v>205000000</v>
      </c>
      <c r="EV20" s="275">
        <f>'[1]POLY DISB 2019'!AO24</f>
        <v>0</v>
      </c>
      <c r="EW20" s="275">
        <f t="shared" si="40"/>
        <v>205000000</v>
      </c>
      <c r="EX20" s="275"/>
      <c r="EY20" s="275">
        <f>'[1]POLY commited funds to date'!AQ20</f>
        <v>75000000</v>
      </c>
      <c r="EZ20" s="275">
        <f>'[1]POLY DISB 2019'!AP24</f>
        <v>63750000</v>
      </c>
      <c r="FA20" s="275">
        <f t="shared" si="41"/>
        <v>11250000</v>
      </c>
      <c r="FB20" s="275"/>
      <c r="FC20" s="275">
        <f>'[1]POLY commited funds to date'!AR20</f>
        <v>7000000</v>
      </c>
      <c r="FD20" s="275">
        <f>'[1]POLY DISB 2019'!AQ24</f>
        <v>0</v>
      </c>
      <c r="FE20" s="275">
        <f t="shared" si="42"/>
        <v>7000000</v>
      </c>
      <c r="FF20" s="275"/>
      <c r="FG20" s="275">
        <f>'[1]POLY commited funds to date'!AS20</f>
        <v>6300000</v>
      </c>
      <c r="FH20" s="275">
        <f>'[1]POLY DISB 2019'!AR24</f>
        <v>0</v>
      </c>
      <c r="FI20" s="275">
        <f t="shared" si="43"/>
        <v>6300000</v>
      </c>
      <c r="FJ20" s="275"/>
      <c r="FK20" s="275">
        <f>'[1]POLY commited funds to date'!AT20</f>
        <v>7500000</v>
      </c>
      <c r="FL20" s="275">
        <f>'[1]POLY DISB 2019'!AS24</f>
        <v>0</v>
      </c>
      <c r="FM20" s="275">
        <f t="shared" si="44"/>
        <v>7500000</v>
      </c>
      <c r="FN20" s="275"/>
      <c r="FO20" s="275">
        <f>'[1]POLY commited funds to date'!AU20</f>
        <v>245000000</v>
      </c>
      <c r="FP20" s="275">
        <f>'[1]POLY DISB 2019'!AT24</f>
        <v>0</v>
      </c>
      <c r="FQ20" s="275">
        <f t="shared" si="45"/>
        <v>245000000</v>
      </c>
      <c r="FR20" s="275">
        <f>'[1]POLY commited funds to date'!AV20</f>
        <v>119074602</v>
      </c>
      <c r="FS20" s="275">
        <f>'[1]POLY DISB 2019'!AU24</f>
        <v>0</v>
      </c>
      <c r="FT20" s="275">
        <f t="shared" si="46"/>
        <v>119074602</v>
      </c>
      <c r="FU20" s="275"/>
      <c r="FV20" s="275">
        <f>'[1]POLY commited funds to date'!AW20</f>
        <v>13000000</v>
      </c>
      <c r="FW20" s="275">
        <f>'[1]POLY DISB 2019'!AV24</f>
        <v>0</v>
      </c>
      <c r="FX20" s="275">
        <f t="shared" si="47"/>
        <v>13000000</v>
      </c>
      <c r="FY20" s="275"/>
      <c r="FZ20" s="275">
        <f>'[1]POLY commited funds to date'!AX20</f>
        <v>8628900</v>
      </c>
      <c r="GA20" s="275">
        <f>'[1]POLY DISB 2019'!AW24</f>
        <v>0</v>
      </c>
      <c r="GB20" s="275">
        <f t="shared" si="48"/>
        <v>8628900</v>
      </c>
      <c r="GC20" s="275">
        <f>'[1]POLY commited funds to date'!AY20</f>
        <v>5000000</v>
      </c>
      <c r="GD20" s="275">
        <f>'[1]POLY DISB 2019'!AX24</f>
        <v>0</v>
      </c>
      <c r="GE20" s="275">
        <f t="shared" si="49"/>
        <v>5000000</v>
      </c>
      <c r="GF20" s="275"/>
      <c r="GG20" s="275">
        <f>'[1]POLY commited funds to date'!AZ20</f>
        <v>0</v>
      </c>
      <c r="GH20" s="275">
        <f>'[1]POLY DISB 2019'!AY24</f>
        <v>0</v>
      </c>
      <c r="GI20" s="275">
        <f t="shared" si="50"/>
        <v>0</v>
      </c>
      <c r="GJ20" s="275"/>
      <c r="GK20" s="275">
        <f t="shared" si="51"/>
        <v>6083144804</v>
      </c>
      <c r="GL20" s="275">
        <f t="shared" si="51"/>
        <v>5371896502</v>
      </c>
      <c r="GM20" s="275">
        <f t="shared" si="52"/>
        <v>711248302</v>
      </c>
      <c r="GN20" s="265"/>
      <c r="GO20" s="277">
        <f t="shared" si="53"/>
        <v>2283641302</v>
      </c>
      <c r="GP20" s="277">
        <f t="shared" si="53"/>
        <v>1764546502</v>
      </c>
      <c r="GQ20" s="277">
        <f t="shared" si="54"/>
        <v>519094800</v>
      </c>
      <c r="GR20" s="277">
        <f t="shared" si="0"/>
        <v>10000000</v>
      </c>
      <c r="GS20" s="277">
        <f t="shared" si="0"/>
        <v>10000000</v>
      </c>
      <c r="GT20" s="277">
        <f t="shared" si="55"/>
        <v>0</v>
      </c>
      <c r="GU20" s="277"/>
      <c r="GV20" s="265"/>
      <c r="GW20" s="279">
        <f t="shared" si="56"/>
        <v>3460000000</v>
      </c>
      <c r="GX20" s="279">
        <f t="shared" si="56"/>
        <v>3460000000</v>
      </c>
      <c r="GY20" s="280">
        <f t="shared" si="57"/>
        <v>0</v>
      </c>
      <c r="GZ20" s="280"/>
      <c r="HA20" s="277">
        <f t="shared" si="58"/>
        <v>74928900</v>
      </c>
      <c r="HB20" s="277">
        <f t="shared" si="58"/>
        <v>60000000</v>
      </c>
      <c r="HC20" s="277">
        <f t="shared" si="59"/>
        <v>14928900</v>
      </c>
      <c r="HE20" s="277">
        <f t="shared" si="60"/>
        <v>36000000</v>
      </c>
      <c r="HF20" s="277">
        <f t="shared" si="60"/>
        <v>13600000</v>
      </c>
      <c r="HG20" s="277">
        <f t="shared" si="61"/>
        <v>22400000</v>
      </c>
      <c r="HI20" s="279">
        <f t="shared" si="62"/>
        <v>194074602</v>
      </c>
      <c r="HJ20" s="279">
        <f t="shared" si="62"/>
        <v>63750000</v>
      </c>
      <c r="HK20" s="279">
        <f t="shared" si="63"/>
        <v>130324602</v>
      </c>
      <c r="HM20" s="279">
        <f t="shared" si="64"/>
        <v>2000000</v>
      </c>
      <c r="HN20" s="279">
        <f t="shared" si="1"/>
        <v>0</v>
      </c>
      <c r="HO20" s="279">
        <f t="shared" si="65"/>
        <v>2000000</v>
      </c>
      <c r="HQ20" s="279">
        <f t="shared" si="66"/>
        <v>22500000</v>
      </c>
      <c r="HR20" s="279">
        <f t="shared" si="2"/>
        <v>0</v>
      </c>
      <c r="HS20" s="279">
        <f t="shared" si="67"/>
        <v>22500000</v>
      </c>
    </row>
    <row r="21" spans="1:227" x14ac:dyDescent="0.25">
      <c r="A21" s="235">
        <v>13</v>
      </c>
      <c r="B21" s="273" t="s">
        <v>212</v>
      </c>
      <c r="C21" s="274" t="s">
        <v>69</v>
      </c>
      <c r="D21" s="275">
        <v>24709302</v>
      </c>
      <c r="E21" s="275">
        <f>'[1]POLY DISB 2019'!C25</f>
        <v>24709302</v>
      </c>
      <c r="F21" s="275">
        <f t="shared" si="3"/>
        <v>0</v>
      </c>
      <c r="G21" s="275"/>
      <c r="H21" s="275">
        <v>10000000</v>
      </c>
      <c r="I21" s="275">
        <f>'[1]POLY DISB 2019'!D25</f>
        <v>10000000</v>
      </c>
      <c r="J21" s="275">
        <f t="shared" si="4"/>
        <v>0</v>
      </c>
      <c r="K21" s="275"/>
      <c r="L21" s="275">
        <v>20000000</v>
      </c>
      <c r="M21" s="275">
        <f>'[1]POLY DISB 2019'!E25</f>
        <v>20000000</v>
      </c>
      <c r="N21" s="275">
        <f t="shared" si="5"/>
        <v>0</v>
      </c>
      <c r="O21" s="275"/>
      <c r="P21" s="275">
        <v>25000000</v>
      </c>
      <c r="Q21" s="275">
        <f>'[1]POLY DISB 2019'!F25</f>
        <v>25000000</v>
      </c>
      <c r="R21" s="275">
        <f t="shared" si="6"/>
        <v>0</v>
      </c>
      <c r="S21" s="275"/>
      <c r="T21" s="275">
        <v>12000000</v>
      </c>
      <c r="U21" s="275">
        <f>'[1]POLY DISB 2019'!G25</f>
        <v>12000000</v>
      </c>
      <c r="V21" s="275">
        <f t="shared" si="7"/>
        <v>0</v>
      </c>
      <c r="W21" s="275"/>
      <c r="X21" s="275">
        <v>12000000</v>
      </c>
      <c r="Y21" s="275">
        <f>'[1]POLY DISB 2019'!H25</f>
        <v>12000000</v>
      </c>
      <c r="Z21" s="275">
        <f t="shared" si="8"/>
        <v>0</v>
      </c>
      <c r="AA21" s="275"/>
      <c r="AB21" s="275">
        <v>55000000</v>
      </c>
      <c r="AC21" s="275">
        <f>'[1]POLY DISB 2019'!I25</f>
        <v>55000000</v>
      </c>
      <c r="AD21" s="275">
        <f t="shared" si="9"/>
        <v>0</v>
      </c>
      <c r="AE21" s="275"/>
      <c r="AF21" s="275">
        <f>'[1]POLY commited funds to date'!K21</f>
        <v>20000000</v>
      </c>
      <c r="AG21" s="275">
        <f>'[1]POLY DISB 2019'!J25</f>
        <v>20000000</v>
      </c>
      <c r="AH21" s="275">
        <f t="shared" si="10"/>
        <v>0</v>
      </c>
      <c r="AI21" s="275"/>
      <c r="AJ21" s="275">
        <v>10000000</v>
      </c>
      <c r="AK21" s="275">
        <f>'[1]POLY DISB 2019'!K25</f>
        <v>10000000</v>
      </c>
      <c r="AL21" s="275">
        <f t="shared" si="11"/>
        <v>0</v>
      </c>
      <c r="AM21" s="275"/>
      <c r="AN21" s="275">
        <v>20000000</v>
      </c>
      <c r="AO21" s="275">
        <f>'[1]POLY DISB 2019'!L25</f>
        <v>20000000</v>
      </c>
      <c r="AP21" s="275">
        <f t="shared" si="12"/>
        <v>0</v>
      </c>
      <c r="AQ21" s="275"/>
      <c r="AR21" s="275">
        <v>26000000</v>
      </c>
      <c r="AS21" s="275">
        <f>'[1]POLY DISB 2019'!M25</f>
        <v>26000000</v>
      </c>
      <c r="AT21" s="275">
        <f t="shared" si="13"/>
        <v>0</v>
      </c>
      <c r="AU21" s="275"/>
      <c r="AV21" s="275">
        <v>45000000</v>
      </c>
      <c r="AW21" s="275">
        <f>'[1]POLY DISB 2019'!N25</f>
        <v>45000000</v>
      </c>
      <c r="AX21" s="275">
        <f t="shared" si="14"/>
        <v>0</v>
      </c>
      <c r="AY21" s="275"/>
      <c r="AZ21" s="275">
        <v>38340000</v>
      </c>
      <c r="BA21" s="275">
        <f>'[1]POLY DISB 2019'!P25</f>
        <v>38340000</v>
      </c>
      <c r="BB21" s="275">
        <f t="shared" si="15"/>
        <v>0</v>
      </c>
      <c r="BC21" s="275"/>
      <c r="BD21" s="275">
        <v>0</v>
      </c>
      <c r="BE21" s="275">
        <f>'[1]POLY DISB 2019'!Q25</f>
        <v>0</v>
      </c>
      <c r="BF21" s="275">
        <f t="shared" si="16"/>
        <v>0</v>
      </c>
      <c r="BG21" s="275"/>
      <c r="BH21" s="275">
        <f>'[1]POLY commited funds to date'!S21</f>
        <v>126060000</v>
      </c>
      <c r="BI21" s="275">
        <f>'[1]POLY DISB 2019'!R25</f>
        <v>126060000</v>
      </c>
      <c r="BJ21" s="275">
        <f t="shared" si="17"/>
        <v>0</v>
      </c>
      <c r="BK21" s="275"/>
      <c r="BL21" s="275">
        <f>'[1]poly  com. adj for fmis'!S21</f>
        <v>150000000</v>
      </c>
      <c r="BM21" s="275">
        <f>'[1]POLY DISB 2019'!S25</f>
        <v>150000000</v>
      </c>
      <c r="BN21" s="269">
        <f t="shared" si="18"/>
        <v>0</v>
      </c>
      <c r="BO21" s="275"/>
      <c r="BP21" s="276">
        <f>'[1]POLY commited funds to date'!U21</f>
        <v>169900000</v>
      </c>
      <c r="BQ21" s="275">
        <f>'[1]POLY DISB 2019'!T25</f>
        <v>169900000</v>
      </c>
      <c r="BR21" s="275">
        <f t="shared" si="19"/>
        <v>0</v>
      </c>
      <c r="BS21" s="275"/>
      <c r="BT21" s="275">
        <f>'[1]POLY commited funds to date'!V21</f>
        <v>10000000</v>
      </c>
      <c r="BU21" s="275">
        <f>'[1]POLY DISB 2019'!U25</f>
        <v>8500000</v>
      </c>
      <c r="BV21" s="275">
        <f t="shared" si="20"/>
        <v>1500000</v>
      </c>
      <c r="BW21" s="275"/>
      <c r="BX21" s="275">
        <f>'[1]POLY commited funds to date'!W21</f>
        <v>0</v>
      </c>
      <c r="BY21" s="275">
        <f>'[1]POLY DISB 2019'!V25</f>
        <v>0</v>
      </c>
      <c r="BZ21" s="275">
        <f t="shared" si="21"/>
        <v>0</v>
      </c>
      <c r="CA21" s="275"/>
      <c r="CB21" s="275">
        <f>'[1]POLY commited funds to date'!X21</f>
        <v>210000000</v>
      </c>
      <c r="CC21" s="275">
        <f>'[1]POLY DISB 2019'!W25</f>
        <v>210000000</v>
      </c>
      <c r="CD21" s="275">
        <f t="shared" si="22"/>
        <v>0</v>
      </c>
      <c r="CE21" s="275"/>
      <c r="CF21" s="275">
        <f>'[1]POLY commited funds to date'!Y21</f>
        <v>192000000</v>
      </c>
      <c r="CG21" s="275">
        <f>'[1]POLY DISB 2019'!X25</f>
        <v>42000000</v>
      </c>
      <c r="CH21" s="275">
        <f t="shared" si="23"/>
        <v>150000000</v>
      </c>
      <c r="CI21" s="275"/>
      <c r="CJ21" s="275">
        <f>'[1]POLY commited funds to date'!Z21</f>
        <v>250000000</v>
      </c>
      <c r="CK21" s="275">
        <f>'[1]POLY DISB 2019'!Y25</f>
        <v>250000000</v>
      </c>
      <c r="CL21" s="275">
        <f t="shared" si="24"/>
        <v>0</v>
      </c>
      <c r="CM21" s="275"/>
      <c r="CN21" s="275">
        <f>'[1]POLY commited funds to date'!AA21</f>
        <v>243000000</v>
      </c>
      <c r="CO21" s="275">
        <f>'[1]POLY DISB 2019'!Z25</f>
        <v>206550000</v>
      </c>
      <c r="CP21" s="275">
        <f t="shared" si="25"/>
        <v>36450000</v>
      </c>
      <c r="CQ21" s="275"/>
      <c r="CR21" s="275">
        <v>10000000</v>
      </c>
      <c r="CS21" s="275">
        <f>'[1]POLY DISB 2019'!AA25</f>
        <v>8500000</v>
      </c>
      <c r="CT21" s="275">
        <f t="shared" si="26"/>
        <v>1500000</v>
      </c>
      <c r="CU21" s="275"/>
      <c r="CV21" s="275">
        <f>'[1]POLY commited funds to date'!AC21</f>
        <v>371000000</v>
      </c>
      <c r="CW21" s="275">
        <f>'[1]POLY DISB 2019'!AB25</f>
        <v>315350000</v>
      </c>
      <c r="CX21" s="275">
        <f t="shared" si="27"/>
        <v>55650000</v>
      </c>
      <c r="CY21" s="275"/>
      <c r="CZ21" s="275">
        <f>'[1]POLY commited funds to date'!AD21</f>
        <v>20000000</v>
      </c>
      <c r="DA21" s="275">
        <f>'[1]POLY DISB 2019'!AC25</f>
        <v>0</v>
      </c>
      <c r="DB21" s="275">
        <f t="shared" si="28"/>
        <v>20000000</v>
      </c>
      <c r="DC21" s="275"/>
      <c r="DD21" s="275">
        <f>'[1]POLY commited funds to date'!AE21</f>
        <v>300000000</v>
      </c>
      <c r="DE21" s="275">
        <f>'[1]POLY DISB 2019'!AD25</f>
        <v>300000000</v>
      </c>
      <c r="DF21" s="275">
        <f t="shared" si="29"/>
        <v>0</v>
      </c>
      <c r="DG21" s="275"/>
      <c r="DH21" s="275">
        <f>'[1]poly  com. adj for fmis'!AE21</f>
        <v>80000000</v>
      </c>
      <c r="DI21" s="275">
        <f>'[1]POLY DISB 2019'!AE25</f>
        <v>68000000</v>
      </c>
      <c r="DJ21" s="275">
        <f t="shared" si="30"/>
        <v>12000000</v>
      </c>
      <c r="DK21" s="275"/>
      <c r="DL21" s="275">
        <f>'[1]poly  com. adj for fmis'!AF21</f>
        <v>8000000</v>
      </c>
      <c r="DM21" s="275">
        <f>'[1]POLY DISB 2019'!AF25</f>
        <v>0</v>
      </c>
      <c r="DN21" s="275">
        <f t="shared" si="31"/>
        <v>8000000</v>
      </c>
      <c r="DO21" s="275"/>
      <c r="DP21" s="275">
        <f>'[1]poly  com. adj for fmis'!AG21</f>
        <v>2000000</v>
      </c>
      <c r="DQ21" s="275">
        <f>'[1]POLY DISB 2019'!AG25</f>
        <v>0</v>
      </c>
      <c r="DR21" s="275">
        <f t="shared" si="32"/>
        <v>2000000</v>
      </c>
      <c r="DS21" s="275"/>
      <c r="DT21" s="275">
        <f>'[1]poly  com. adj for fmis'!AH21</f>
        <v>10000000</v>
      </c>
      <c r="DU21" s="275">
        <f>'[1]POLY DISB 2019'!AH25</f>
        <v>0</v>
      </c>
      <c r="DV21" s="275">
        <f t="shared" si="33"/>
        <v>10000000</v>
      </c>
      <c r="DW21" s="275"/>
      <c r="DX21" s="275">
        <f>'[1]poly  com. adj for fmis'!AI21</f>
        <v>1000000000</v>
      </c>
      <c r="DY21" s="275">
        <f>'[1]POLY DISB 2019'!AI25</f>
        <v>1000000000</v>
      </c>
      <c r="DZ21" s="275">
        <f t="shared" si="34"/>
        <v>0</v>
      </c>
      <c r="EA21" s="275"/>
      <c r="EB21" s="275">
        <f>'[1]POLY commited funds to date'!AK21</f>
        <v>380632000</v>
      </c>
      <c r="EC21" s="275">
        <f>'[1]POLY DISB 2019'!AJ25</f>
        <v>323537200</v>
      </c>
      <c r="ED21" s="275">
        <f t="shared" si="35"/>
        <v>57094800</v>
      </c>
      <c r="EE21" s="275"/>
      <c r="EF21" s="275">
        <f>'[1]POLY commited funds to date'!AL21</f>
        <v>8000000</v>
      </c>
      <c r="EG21" s="275">
        <f>'[1]POLY DISB 2019'!AK25</f>
        <v>0</v>
      </c>
      <c r="EH21" s="275">
        <f t="shared" si="36"/>
        <v>8000000</v>
      </c>
      <c r="EI21" s="275"/>
      <c r="EJ21" s="275">
        <f>'[1]POLY commited funds to date'!AM21</f>
        <v>10000000</v>
      </c>
      <c r="EK21" s="275">
        <f>'[1]POLY DISB 2019'!AL25</f>
        <v>0</v>
      </c>
      <c r="EL21" s="275">
        <f t="shared" si="37"/>
        <v>10000000</v>
      </c>
      <c r="EM21" s="275"/>
      <c r="EN21" s="275">
        <f>'[1]POLY commited funds to date'!AN21</f>
        <v>10000000</v>
      </c>
      <c r="EO21" s="275">
        <f>'[1]POLY DISB 2019'!AM25</f>
        <v>0</v>
      </c>
      <c r="EP21" s="275">
        <f t="shared" si="38"/>
        <v>10000000</v>
      </c>
      <c r="EQ21" s="275">
        <f>'[1]POLY commited funds to date'!AO21</f>
        <v>0</v>
      </c>
      <c r="ER21" s="275">
        <f>'[1]POLY DISB 2019'!AN25</f>
        <v>0</v>
      </c>
      <c r="ES21" s="275">
        <f t="shared" si="39"/>
        <v>0</v>
      </c>
      <c r="ET21" s="275"/>
      <c r="EU21" s="275">
        <f>'[1]POLY commited funds to date'!AP21</f>
        <v>205000000</v>
      </c>
      <c r="EV21" s="275">
        <f>'[1]POLY DISB 2019'!AO25</f>
        <v>0</v>
      </c>
      <c r="EW21" s="275">
        <f t="shared" si="40"/>
        <v>205000000</v>
      </c>
      <c r="EX21" s="275"/>
      <c r="EY21" s="275">
        <f>'[1]POLY commited funds to date'!AQ21</f>
        <v>75000000</v>
      </c>
      <c r="EZ21" s="275">
        <f>'[1]POLY DISB 2019'!AP25</f>
        <v>51000000</v>
      </c>
      <c r="FA21" s="275">
        <f t="shared" si="41"/>
        <v>24000000</v>
      </c>
      <c r="FB21" s="275"/>
      <c r="FC21" s="275">
        <f>'[1]POLY commited funds to date'!AR21</f>
        <v>7000000</v>
      </c>
      <c r="FD21" s="275">
        <f>'[1]POLY DISB 2019'!AQ25</f>
        <v>0</v>
      </c>
      <c r="FE21" s="275">
        <f t="shared" si="42"/>
        <v>7000000</v>
      </c>
      <c r="FF21" s="275"/>
      <c r="FG21" s="275">
        <f>'[1]POLY commited funds to date'!AS21</f>
        <v>6300000</v>
      </c>
      <c r="FH21" s="275">
        <f>'[1]POLY DISB 2019'!AR25</f>
        <v>0</v>
      </c>
      <c r="FI21" s="275">
        <f t="shared" si="43"/>
        <v>6300000</v>
      </c>
      <c r="FJ21" s="275"/>
      <c r="FK21" s="275">
        <f>'[1]POLY commited funds to date'!AT21</f>
        <v>7500000</v>
      </c>
      <c r="FL21" s="275">
        <f>'[1]POLY DISB 2019'!AS25</f>
        <v>0</v>
      </c>
      <c r="FM21" s="275">
        <f t="shared" si="44"/>
        <v>7500000</v>
      </c>
      <c r="FN21" s="275"/>
      <c r="FO21" s="275">
        <f>'[1]POLY commited funds to date'!AU21</f>
        <v>245000000</v>
      </c>
      <c r="FP21" s="275">
        <f>'[1]POLY DISB 2019'!AT25</f>
        <v>0</v>
      </c>
      <c r="FQ21" s="275">
        <f t="shared" si="45"/>
        <v>245000000</v>
      </c>
      <c r="FR21" s="275">
        <f>'[1]POLY commited funds to date'!AV21</f>
        <v>119074602</v>
      </c>
      <c r="FS21" s="275">
        <f>'[1]POLY DISB 2019'!AU25</f>
        <v>0</v>
      </c>
      <c r="FT21" s="275">
        <f t="shared" si="46"/>
        <v>119074602</v>
      </c>
      <c r="FU21" s="275"/>
      <c r="FV21" s="275">
        <f>'[1]POLY commited funds to date'!AW21</f>
        <v>13000000</v>
      </c>
      <c r="FW21" s="275">
        <f>'[1]POLY DISB 2019'!AV25</f>
        <v>0</v>
      </c>
      <c r="FX21" s="275">
        <f t="shared" si="47"/>
        <v>13000000</v>
      </c>
      <c r="FY21" s="275"/>
      <c r="FZ21" s="275">
        <f>'[1]POLY commited funds to date'!AX21</f>
        <v>8628900</v>
      </c>
      <c r="GA21" s="275">
        <f>'[1]POLY DISB 2019'!AW25</f>
        <v>0</v>
      </c>
      <c r="GB21" s="275">
        <f t="shared" si="48"/>
        <v>8628900</v>
      </c>
      <c r="GC21" s="275">
        <f>'[1]POLY commited funds to date'!AY21</f>
        <v>5000000</v>
      </c>
      <c r="GD21" s="275">
        <f>'[1]POLY DISB 2019'!AX25</f>
        <v>0</v>
      </c>
      <c r="GE21" s="275">
        <f t="shared" si="49"/>
        <v>5000000</v>
      </c>
      <c r="GF21" s="275"/>
      <c r="GG21" s="275">
        <f>'[1]POLY commited funds to date'!AZ21</f>
        <v>0</v>
      </c>
      <c r="GH21" s="275">
        <f>'[1]POLY DISB 2019'!AY25</f>
        <v>0</v>
      </c>
      <c r="GI21" s="275">
        <f t="shared" si="50"/>
        <v>0</v>
      </c>
      <c r="GJ21" s="275"/>
      <c r="GK21" s="275">
        <f t="shared" si="51"/>
        <v>4570144804</v>
      </c>
      <c r="GL21" s="275">
        <f t="shared" si="51"/>
        <v>3547446502</v>
      </c>
      <c r="GM21" s="275">
        <f t="shared" si="52"/>
        <v>1022698302</v>
      </c>
      <c r="GN21" s="265"/>
      <c r="GO21" s="277">
        <f t="shared" si="53"/>
        <v>2283641302</v>
      </c>
      <c r="GP21" s="277">
        <f t="shared" si="53"/>
        <v>1672446502</v>
      </c>
      <c r="GQ21" s="277">
        <f t="shared" si="54"/>
        <v>611194800</v>
      </c>
      <c r="GR21" s="277">
        <f t="shared" si="0"/>
        <v>10000000</v>
      </c>
      <c r="GS21" s="277">
        <f t="shared" si="0"/>
        <v>10000000</v>
      </c>
      <c r="GT21" s="277">
        <f t="shared" si="55"/>
        <v>0</v>
      </c>
      <c r="GU21" s="277"/>
      <c r="GV21" s="265"/>
      <c r="GW21" s="279">
        <f t="shared" si="56"/>
        <v>1947000000</v>
      </c>
      <c r="GX21" s="279">
        <f t="shared" si="56"/>
        <v>1797000000</v>
      </c>
      <c r="GY21" s="280">
        <f t="shared" si="57"/>
        <v>150000000</v>
      </c>
      <c r="GZ21" s="280"/>
      <c r="HA21" s="277">
        <f t="shared" si="58"/>
        <v>74928900</v>
      </c>
      <c r="HB21" s="277">
        <f t="shared" si="58"/>
        <v>17000000</v>
      </c>
      <c r="HC21" s="277">
        <f t="shared" si="59"/>
        <v>57928900</v>
      </c>
      <c r="HE21" s="277">
        <f t="shared" si="60"/>
        <v>36000000</v>
      </c>
      <c r="HF21" s="277">
        <f t="shared" si="60"/>
        <v>0</v>
      </c>
      <c r="HG21" s="277">
        <f t="shared" si="61"/>
        <v>36000000</v>
      </c>
      <c r="HI21" s="279">
        <f t="shared" si="62"/>
        <v>194074602</v>
      </c>
      <c r="HJ21" s="279">
        <f t="shared" si="62"/>
        <v>51000000</v>
      </c>
      <c r="HK21" s="279">
        <f t="shared" si="63"/>
        <v>143074602</v>
      </c>
      <c r="HM21" s="279">
        <f t="shared" si="64"/>
        <v>2000000</v>
      </c>
      <c r="HN21" s="279">
        <f t="shared" si="1"/>
        <v>0</v>
      </c>
      <c r="HO21" s="279">
        <f t="shared" si="65"/>
        <v>2000000</v>
      </c>
      <c r="HQ21" s="279">
        <f t="shared" si="66"/>
        <v>22500000</v>
      </c>
      <c r="HR21" s="279">
        <f t="shared" si="2"/>
        <v>0</v>
      </c>
      <c r="HS21" s="279">
        <f t="shared" si="67"/>
        <v>22500000</v>
      </c>
    </row>
    <row r="22" spans="1:227" x14ac:dyDescent="0.25">
      <c r="A22" s="235">
        <v>14</v>
      </c>
      <c r="B22" s="273" t="s">
        <v>213</v>
      </c>
      <c r="C22" s="274" t="s">
        <v>69</v>
      </c>
      <c r="D22" s="275">
        <v>24709302</v>
      </c>
      <c r="E22" s="275">
        <f>'[1]POLY DISB 2019'!C26</f>
        <v>24709302</v>
      </c>
      <c r="F22" s="275">
        <f t="shared" si="3"/>
        <v>0</v>
      </c>
      <c r="G22" s="275"/>
      <c r="H22" s="275">
        <v>10000000</v>
      </c>
      <c r="I22" s="275">
        <f>'[1]POLY DISB 2019'!D26</f>
        <v>10000000</v>
      </c>
      <c r="J22" s="275">
        <f t="shared" si="4"/>
        <v>0</v>
      </c>
      <c r="K22" s="275"/>
      <c r="L22" s="275">
        <v>20000000</v>
      </c>
      <c r="M22" s="275">
        <f>'[1]POLY DISB 2019'!E26</f>
        <v>20000000</v>
      </c>
      <c r="N22" s="275">
        <f t="shared" si="5"/>
        <v>0</v>
      </c>
      <c r="O22" s="275"/>
      <c r="P22" s="275">
        <v>25000000</v>
      </c>
      <c r="Q22" s="275">
        <f>'[1]POLY DISB 2019'!F26</f>
        <v>25000000</v>
      </c>
      <c r="R22" s="275">
        <f t="shared" si="6"/>
        <v>0</v>
      </c>
      <c r="S22" s="275"/>
      <c r="T22" s="275">
        <v>12000000</v>
      </c>
      <c r="U22" s="275">
        <f>'[1]POLY DISB 2019'!G26</f>
        <v>12000000</v>
      </c>
      <c r="V22" s="275">
        <f t="shared" si="7"/>
        <v>0</v>
      </c>
      <c r="W22" s="275"/>
      <c r="X22" s="275">
        <v>12000000</v>
      </c>
      <c r="Y22" s="275">
        <f>'[1]POLY DISB 2019'!H26</f>
        <v>12000000</v>
      </c>
      <c r="Z22" s="275">
        <f t="shared" si="8"/>
        <v>0</v>
      </c>
      <c r="AA22" s="275"/>
      <c r="AB22" s="275">
        <v>0</v>
      </c>
      <c r="AC22" s="275">
        <f>'[1]POLY DISB 2019'!I26</f>
        <v>0</v>
      </c>
      <c r="AD22" s="275">
        <f t="shared" si="9"/>
        <v>0</v>
      </c>
      <c r="AE22" s="275"/>
      <c r="AF22" s="275">
        <f>'[1]POLY commited funds to date'!K22</f>
        <v>20000000</v>
      </c>
      <c r="AG22" s="275">
        <f>'[1]POLY DISB 2019'!J26</f>
        <v>20000000</v>
      </c>
      <c r="AH22" s="275">
        <f t="shared" si="10"/>
        <v>0</v>
      </c>
      <c r="AI22" s="275"/>
      <c r="AJ22" s="275">
        <v>10000000</v>
      </c>
      <c r="AK22" s="275">
        <f>'[1]POLY DISB 2019'!K26</f>
        <v>10000000</v>
      </c>
      <c r="AL22" s="275">
        <f t="shared" si="11"/>
        <v>0</v>
      </c>
      <c r="AM22" s="275"/>
      <c r="AN22" s="275">
        <v>20000000</v>
      </c>
      <c r="AO22" s="275">
        <f>'[1]POLY DISB 2019'!L26</f>
        <v>20000000</v>
      </c>
      <c r="AP22" s="275">
        <f t="shared" si="12"/>
        <v>0</v>
      </c>
      <c r="AQ22" s="275"/>
      <c r="AR22" s="275">
        <v>26000000</v>
      </c>
      <c r="AS22" s="275">
        <f>'[1]POLY DISB 2019'!M26</f>
        <v>26000000</v>
      </c>
      <c r="AT22" s="275">
        <f t="shared" si="13"/>
        <v>0</v>
      </c>
      <c r="AU22" s="275"/>
      <c r="AV22" s="275">
        <v>45000000</v>
      </c>
      <c r="AW22" s="275">
        <f>'[1]POLY DISB 2019'!N26</f>
        <v>45000000</v>
      </c>
      <c r="AX22" s="275">
        <f t="shared" si="14"/>
        <v>0</v>
      </c>
      <c r="AY22" s="275"/>
      <c r="AZ22" s="275">
        <v>38340000</v>
      </c>
      <c r="BA22" s="275">
        <f>'[1]POLY DISB 2019'!P26</f>
        <v>38340000</v>
      </c>
      <c r="BB22" s="275">
        <f t="shared" si="15"/>
        <v>0</v>
      </c>
      <c r="BC22" s="275"/>
      <c r="BD22" s="269">
        <v>25000000</v>
      </c>
      <c r="BE22" s="269">
        <f>'[1]POLY DISB 2019'!Q26</f>
        <v>25000000</v>
      </c>
      <c r="BF22" s="275">
        <f t="shared" si="16"/>
        <v>0</v>
      </c>
      <c r="BG22" s="269"/>
      <c r="BH22" s="275">
        <f>'[1]POLY commited funds to date'!S22</f>
        <v>126060000</v>
      </c>
      <c r="BI22" s="275">
        <f>'[1]POLY DISB 2019'!R26</f>
        <v>126060000</v>
      </c>
      <c r="BJ22" s="275">
        <f t="shared" si="17"/>
        <v>0</v>
      </c>
      <c r="BK22" s="275"/>
      <c r="BL22" s="275">
        <f>'[1]poly  com. adj for fmis'!S22</f>
        <v>148000000</v>
      </c>
      <c r="BM22" s="275">
        <f>'[1]POLY DISB 2019'!S26</f>
        <v>148000000</v>
      </c>
      <c r="BN22" s="269">
        <f t="shared" si="18"/>
        <v>0</v>
      </c>
      <c r="BO22" s="275"/>
      <c r="BP22" s="276">
        <f>'[1]POLY commited funds to date'!U22</f>
        <v>169900000</v>
      </c>
      <c r="BQ22" s="275">
        <f>'[1]POLY DISB 2019'!T26</f>
        <v>88348000</v>
      </c>
      <c r="BR22" s="275">
        <f t="shared" si="19"/>
        <v>81552000</v>
      </c>
      <c r="BS22" s="275"/>
      <c r="BT22" s="275">
        <f>'[1]POLY commited funds to date'!V22</f>
        <v>10000000</v>
      </c>
      <c r="BU22" s="275">
        <f>'[1]POLY DISB 2019'!U26</f>
        <v>0</v>
      </c>
      <c r="BV22" s="275">
        <f t="shared" si="20"/>
        <v>10000000</v>
      </c>
      <c r="BW22" s="275"/>
      <c r="BX22" s="275">
        <f>'[1]POLY commited funds to date'!W22</f>
        <v>0</v>
      </c>
      <c r="BY22" s="275">
        <f>'[1]POLY DISB 2019'!V26</f>
        <v>0</v>
      </c>
      <c r="BZ22" s="275">
        <v>0</v>
      </c>
      <c r="CA22" s="275"/>
      <c r="CB22" s="275">
        <f>'[1]POLY commited funds to date'!X22</f>
        <v>210000000</v>
      </c>
      <c r="CC22" s="275">
        <f>'[1]POLY DISB 2019'!W26</f>
        <v>109200000</v>
      </c>
      <c r="CD22" s="275">
        <f t="shared" si="22"/>
        <v>100800000</v>
      </c>
      <c r="CE22" s="275"/>
      <c r="CF22" s="275">
        <f>'[1]POLY commited funds to date'!Y22</f>
        <v>0</v>
      </c>
      <c r="CG22" s="275">
        <f>'[1]POLY DISB 2019'!X26</f>
        <v>0</v>
      </c>
      <c r="CH22" s="275">
        <f t="shared" si="23"/>
        <v>0</v>
      </c>
      <c r="CI22" s="275"/>
      <c r="CJ22" s="275">
        <f>'[1]POLY commited funds to date'!Z22</f>
        <v>0</v>
      </c>
      <c r="CK22" s="275">
        <f>'[1]POLY DISB 2019'!Y26</f>
        <v>0</v>
      </c>
      <c r="CL22" s="275">
        <f t="shared" si="24"/>
        <v>0</v>
      </c>
      <c r="CM22" s="275"/>
      <c r="CN22" s="275">
        <f>'[1]POLY commited funds to date'!AA22</f>
        <v>243000000</v>
      </c>
      <c r="CO22" s="275">
        <f>'[1]POLY DISB 2019'!Z26</f>
        <v>126360000</v>
      </c>
      <c r="CP22" s="275">
        <f t="shared" si="25"/>
        <v>116640000</v>
      </c>
      <c r="CQ22" s="275"/>
      <c r="CR22" s="275">
        <v>10000000</v>
      </c>
      <c r="CS22" s="275">
        <f>'[1]POLY DISB 2019'!AA26</f>
        <v>0</v>
      </c>
      <c r="CT22" s="275">
        <f t="shared" si="26"/>
        <v>10000000</v>
      </c>
      <c r="CU22" s="275"/>
      <c r="CV22" s="275">
        <f>'[1]POLY commited funds to date'!AC22</f>
        <v>371000000</v>
      </c>
      <c r="CW22" s="275">
        <f>'[1]POLY DISB 2019'!AB26</f>
        <v>192920000</v>
      </c>
      <c r="CX22" s="275">
        <f t="shared" si="27"/>
        <v>178080000</v>
      </c>
      <c r="CY22" s="275"/>
      <c r="CZ22" s="275">
        <f>'[1]POLY commited funds to date'!AD22</f>
        <v>20000000</v>
      </c>
      <c r="DA22" s="275">
        <f>'[1]POLY DISB 2019'!AC26</f>
        <v>0</v>
      </c>
      <c r="DB22" s="275">
        <f t="shared" si="28"/>
        <v>20000000</v>
      </c>
      <c r="DC22" s="275"/>
      <c r="DD22" s="275">
        <f>'[1]POLY commited funds to date'!AE22</f>
        <v>0</v>
      </c>
      <c r="DE22" s="275">
        <f>'[1]POLY DISB 2019'!AD26</f>
        <v>0</v>
      </c>
      <c r="DF22" s="275">
        <f t="shared" si="29"/>
        <v>0</v>
      </c>
      <c r="DG22" s="275"/>
      <c r="DH22" s="275">
        <f>'[1]poly  com. adj for fmis'!AE22</f>
        <v>80000000</v>
      </c>
      <c r="DI22" s="275">
        <f>'[1]POLY DISB 2019'!AE26</f>
        <v>0</v>
      </c>
      <c r="DJ22" s="275">
        <f t="shared" si="30"/>
        <v>80000000</v>
      </c>
      <c r="DK22" s="275"/>
      <c r="DL22" s="275">
        <f>'[1]poly  com. adj for fmis'!AF22</f>
        <v>8000000</v>
      </c>
      <c r="DM22" s="275">
        <f>'[1]POLY DISB 2019'!AF26</f>
        <v>0</v>
      </c>
      <c r="DN22" s="275">
        <f t="shared" si="31"/>
        <v>8000000</v>
      </c>
      <c r="DO22" s="275"/>
      <c r="DP22" s="275">
        <f>'[1]poly  com. adj for fmis'!AG22</f>
        <v>2000000</v>
      </c>
      <c r="DQ22" s="275">
        <f>'[1]POLY DISB 2019'!AG26</f>
        <v>1700000</v>
      </c>
      <c r="DR22" s="275">
        <f t="shared" si="32"/>
        <v>300000</v>
      </c>
      <c r="DS22" s="275"/>
      <c r="DT22" s="275">
        <f>'[1]poly  com. adj for fmis'!AH22</f>
        <v>10000000</v>
      </c>
      <c r="DU22" s="275">
        <f>'[1]POLY DISB 2019'!AH26</f>
        <v>0</v>
      </c>
      <c r="DV22" s="275">
        <f t="shared" si="33"/>
        <v>10000000</v>
      </c>
      <c r="DW22" s="275"/>
      <c r="DX22" s="275">
        <f>'[1]poly  com. adj for fmis'!AI22</f>
        <v>0</v>
      </c>
      <c r="DY22" s="275">
        <f>'[1]POLY DISB 2019'!AI26</f>
        <v>0</v>
      </c>
      <c r="DZ22" s="275">
        <f t="shared" si="34"/>
        <v>0</v>
      </c>
      <c r="EA22" s="275"/>
      <c r="EB22" s="275">
        <f>'[1]POLY commited funds to date'!AK22</f>
        <v>380632000</v>
      </c>
      <c r="EC22" s="275">
        <f>'[1]POLY DISB 2019'!AJ26</f>
        <v>0</v>
      </c>
      <c r="ED22" s="275">
        <f t="shared" si="35"/>
        <v>380632000</v>
      </c>
      <c r="EE22" s="275"/>
      <c r="EF22" s="275">
        <f>'[1]POLY commited funds to date'!AL22</f>
        <v>8000000</v>
      </c>
      <c r="EG22" s="275">
        <f>'[1]POLY DISB 2019'!AK26</f>
        <v>0</v>
      </c>
      <c r="EH22" s="275">
        <f t="shared" si="36"/>
        <v>8000000</v>
      </c>
      <c r="EI22" s="275"/>
      <c r="EJ22" s="275">
        <f>'[1]POLY commited funds to date'!AM22</f>
        <v>10000000</v>
      </c>
      <c r="EK22" s="275">
        <f>'[1]POLY DISB 2019'!AL26</f>
        <v>0</v>
      </c>
      <c r="EL22" s="275">
        <f t="shared" si="37"/>
        <v>10000000</v>
      </c>
      <c r="EM22" s="275"/>
      <c r="EN22" s="275">
        <f>'[1]POLY commited funds to date'!AN22</f>
        <v>10000000</v>
      </c>
      <c r="EO22" s="275">
        <f>'[1]POLY DISB 2019'!AM26</f>
        <v>0</v>
      </c>
      <c r="EP22" s="275">
        <f t="shared" si="38"/>
        <v>10000000</v>
      </c>
      <c r="EQ22" s="281">
        <f>'[1]POLY commited funds to date'!AO22</f>
        <v>150000000</v>
      </c>
      <c r="ER22" s="275">
        <f>'[1]POLY DISB 2019'!AN26</f>
        <v>127500000</v>
      </c>
      <c r="ES22" s="275">
        <f t="shared" si="39"/>
        <v>22500000</v>
      </c>
      <c r="ET22" s="275"/>
      <c r="EU22" s="275">
        <f>'[1]POLY commited funds to date'!AP22</f>
        <v>205000000</v>
      </c>
      <c r="EV22" s="275">
        <f>'[1]POLY DISB 2019'!AO26</f>
        <v>0</v>
      </c>
      <c r="EW22" s="275">
        <f t="shared" si="40"/>
        <v>205000000</v>
      </c>
      <c r="EX22" s="275"/>
      <c r="EY22" s="275">
        <f>'[1]POLY commited funds to date'!AQ22</f>
        <v>75000000</v>
      </c>
      <c r="EZ22" s="275">
        <f>'[1]POLY DISB 2019'!AP26</f>
        <v>50250000</v>
      </c>
      <c r="FA22" s="275">
        <f t="shared" si="41"/>
        <v>24750000</v>
      </c>
      <c r="FB22" s="275"/>
      <c r="FC22" s="275">
        <f>'[1]POLY commited funds to date'!AR22</f>
        <v>7000000</v>
      </c>
      <c r="FD22" s="275">
        <f>'[1]POLY DISB 2019'!AQ26</f>
        <v>0</v>
      </c>
      <c r="FE22" s="275">
        <f t="shared" si="42"/>
        <v>7000000</v>
      </c>
      <c r="FF22" s="275"/>
      <c r="FG22" s="275">
        <f>'[1]POLY commited funds to date'!AS22</f>
        <v>6300000</v>
      </c>
      <c r="FH22" s="275">
        <f>'[1]POLY DISB 2019'!AR26</f>
        <v>0</v>
      </c>
      <c r="FI22" s="275">
        <f t="shared" si="43"/>
        <v>6300000</v>
      </c>
      <c r="FJ22" s="275"/>
      <c r="FK22" s="275">
        <f>'[1]POLY commited funds to date'!AT22</f>
        <v>7500000</v>
      </c>
      <c r="FL22" s="275">
        <f>'[1]POLY DISB 2019'!AS26</f>
        <v>0</v>
      </c>
      <c r="FM22" s="275">
        <f t="shared" si="44"/>
        <v>7500000</v>
      </c>
      <c r="FN22" s="275"/>
      <c r="FO22" s="275">
        <f>'[1]POLY commited funds to date'!AU22</f>
        <v>245000000</v>
      </c>
      <c r="FP22" s="275">
        <f>'[1]POLY DISB 2019'!AT26</f>
        <v>0</v>
      </c>
      <c r="FQ22" s="275">
        <f t="shared" si="45"/>
        <v>245000000</v>
      </c>
      <c r="FR22" s="275">
        <f>'[1]POLY commited funds to date'!AV22</f>
        <v>119074602</v>
      </c>
      <c r="FS22" s="275">
        <f>'[1]POLY DISB 2019'!AU26</f>
        <v>0</v>
      </c>
      <c r="FT22" s="275">
        <f t="shared" si="46"/>
        <v>119074602</v>
      </c>
      <c r="FU22" s="275"/>
      <c r="FV22" s="275">
        <f>'[1]POLY commited funds to date'!AW22</f>
        <v>13000000</v>
      </c>
      <c r="FW22" s="275">
        <f>'[1]POLY DISB 2019'!AV26</f>
        <v>0</v>
      </c>
      <c r="FX22" s="275">
        <f t="shared" si="47"/>
        <v>13000000</v>
      </c>
      <c r="FY22" s="275"/>
      <c r="FZ22" s="275">
        <f>'[1]POLY commited funds to date'!AX22</f>
        <v>8628900</v>
      </c>
      <c r="GA22" s="275">
        <f>'[1]POLY DISB 2019'!AW26</f>
        <v>0</v>
      </c>
      <c r="GB22" s="275">
        <f t="shared" si="48"/>
        <v>8628900</v>
      </c>
      <c r="GC22" s="275">
        <f>'[1]POLY commited funds to date'!AY22</f>
        <v>5000000</v>
      </c>
      <c r="GD22" s="275">
        <f>'[1]POLY DISB 2019'!AX26</f>
        <v>0</v>
      </c>
      <c r="GE22" s="275">
        <f t="shared" si="49"/>
        <v>5000000</v>
      </c>
      <c r="GF22" s="275"/>
      <c r="GG22" s="275">
        <f>'[1]POLY commited funds to date'!AZ22</f>
        <v>0</v>
      </c>
      <c r="GH22" s="275">
        <f>'[1]POLY DISB 2019'!AY26</f>
        <v>0</v>
      </c>
      <c r="GI22" s="275">
        <f t="shared" si="50"/>
        <v>0</v>
      </c>
      <c r="GJ22" s="275"/>
      <c r="GK22" s="275">
        <f t="shared" si="51"/>
        <v>2946144804</v>
      </c>
      <c r="GL22" s="275">
        <f t="shared" si="51"/>
        <v>1258387302</v>
      </c>
      <c r="GM22" s="275">
        <f t="shared" si="52"/>
        <v>1687757502</v>
      </c>
      <c r="GN22" s="265"/>
      <c r="GO22" s="277">
        <f t="shared" si="53"/>
        <v>2283641302</v>
      </c>
      <c r="GP22" s="277">
        <f t="shared" si="53"/>
        <v>895937302</v>
      </c>
      <c r="GQ22" s="277">
        <f t="shared" si="54"/>
        <v>1387704000</v>
      </c>
      <c r="GR22" s="277">
        <f t="shared" si="0"/>
        <v>10000000</v>
      </c>
      <c r="GS22" s="277">
        <f t="shared" si="0"/>
        <v>10000000</v>
      </c>
      <c r="GT22" s="277">
        <f t="shared" si="55"/>
        <v>0</v>
      </c>
      <c r="GU22" s="277"/>
      <c r="GV22" s="265"/>
      <c r="GW22" s="279">
        <f t="shared" si="56"/>
        <v>173000000</v>
      </c>
      <c r="GX22" s="279">
        <f t="shared" si="56"/>
        <v>173000000</v>
      </c>
      <c r="GY22" s="280">
        <f t="shared" si="57"/>
        <v>0</v>
      </c>
      <c r="GZ22" s="280"/>
      <c r="HA22" s="277">
        <f t="shared" si="58"/>
        <v>74928900</v>
      </c>
      <c r="HB22" s="277">
        <f t="shared" si="58"/>
        <v>0</v>
      </c>
      <c r="HC22" s="277">
        <f t="shared" si="59"/>
        <v>74928900</v>
      </c>
      <c r="HE22" s="277">
        <f t="shared" si="60"/>
        <v>36000000</v>
      </c>
      <c r="HF22" s="277">
        <f t="shared" si="60"/>
        <v>0</v>
      </c>
      <c r="HG22" s="277">
        <f t="shared" si="61"/>
        <v>36000000</v>
      </c>
      <c r="HI22" s="279">
        <f t="shared" si="62"/>
        <v>344074602</v>
      </c>
      <c r="HJ22" s="279">
        <f t="shared" si="62"/>
        <v>177750000</v>
      </c>
      <c r="HK22" s="279">
        <f t="shared" si="63"/>
        <v>166324602</v>
      </c>
      <c r="HM22" s="279">
        <f t="shared" si="64"/>
        <v>2000000</v>
      </c>
      <c r="HN22" s="279">
        <f t="shared" si="1"/>
        <v>1700000</v>
      </c>
      <c r="HO22" s="279">
        <f t="shared" si="65"/>
        <v>300000</v>
      </c>
      <c r="HQ22" s="279">
        <f t="shared" si="66"/>
        <v>22500000</v>
      </c>
      <c r="HR22" s="279">
        <f t="shared" si="2"/>
        <v>0</v>
      </c>
      <c r="HS22" s="279">
        <f t="shared" si="67"/>
        <v>22500000</v>
      </c>
    </row>
    <row r="23" spans="1:227" x14ac:dyDescent="0.25">
      <c r="A23" s="235">
        <v>15</v>
      </c>
      <c r="B23" s="273" t="s">
        <v>214</v>
      </c>
      <c r="C23" s="274" t="s">
        <v>63</v>
      </c>
      <c r="D23" s="275">
        <v>24709302</v>
      </c>
      <c r="E23" s="275">
        <f>'[1]POLY DISB 2019'!C27</f>
        <v>24709302</v>
      </c>
      <c r="F23" s="275">
        <f t="shared" si="3"/>
        <v>0</v>
      </c>
      <c r="G23" s="275"/>
      <c r="H23" s="275">
        <v>10000000</v>
      </c>
      <c r="I23" s="275">
        <f>'[1]POLY DISB 2019'!D27</f>
        <v>10000000</v>
      </c>
      <c r="J23" s="275">
        <f t="shared" si="4"/>
        <v>0</v>
      </c>
      <c r="K23" s="275"/>
      <c r="L23" s="275">
        <v>20000000</v>
      </c>
      <c r="M23" s="275">
        <f>'[1]POLY DISB 2019'!E27</f>
        <v>20000000</v>
      </c>
      <c r="N23" s="275">
        <f t="shared" si="5"/>
        <v>0</v>
      </c>
      <c r="O23" s="275"/>
      <c r="P23" s="275">
        <v>25000000</v>
      </c>
      <c r="Q23" s="275">
        <f>'[1]POLY DISB 2019'!F27</f>
        <v>25000000</v>
      </c>
      <c r="R23" s="275">
        <f t="shared" si="6"/>
        <v>0</v>
      </c>
      <c r="S23" s="275"/>
      <c r="T23" s="275">
        <v>12000000</v>
      </c>
      <c r="U23" s="275">
        <f>'[1]POLY DISB 2019'!G27</f>
        <v>12000000</v>
      </c>
      <c r="V23" s="275">
        <f t="shared" si="7"/>
        <v>0</v>
      </c>
      <c r="W23" s="275"/>
      <c r="X23" s="275">
        <v>12000000</v>
      </c>
      <c r="Y23" s="275">
        <f>'[1]POLY DISB 2019'!H27</f>
        <v>12000000</v>
      </c>
      <c r="Z23" s="275">
        <f t="shared" si="8"/>
        <v>0</v>
      </c>
      <c r="AA23" s="275"/>
      <c r="AB23" s="275">
        <v>0</v>
      </c>
      <c r="AC23" s="275">
        <f>'[1]POLY DISB 2019'!I27</f>
        <v>0</v>
      </c>
      <c r="AD23" s="275">
        <f t="shared" si="9"/>
        <v>0</v>
      </c>
      <c r="AE23" s="275"/>
      <c r="AF23" s="275">
        <f>'[1]POLY commited funds to date'!K23</f>
        <v>20000000</v>
      </c>
      <c r="AG23" s="275">
        <f>'[1]POLY DISB 2019'!J27</f>
        <v>20000000</v>
      </c>
      <c r="AH23" s="275">
        <f t="shared" si="10"/>
        <v>0</v>
      </c>
      <c r="AI23" s="275"/>
      <c r="AJ23" s="275">
        <v>10000000</v>
      </c>
      <c r="AK23" s="275">
        <f>'[1]POLY DISB 2019'!K27</f>
        <v>10000000</v>
      </c>
      <c r="AL23" s="275">
        <f t="shared" si="11"/>
        <v>0</v>
      </c>
      <c r="AM23" s="275"/>
      <c r="AN23" s="275">
        <v>20000000</v>
      </c>
      <c r="AO23" s="275">
        <f>'[1]POLY DISB 2019'!L27</f>
        <v>20000000</v>
      </c>
      <c r="AP23" s="275">
        <f t="shared" si="12"/>
        <v>0</v>
      </c>
      <c r="AQ23" s="275"/>
      <c r="AR23" s="275">
        <v>26000000</v>
      </c>
      <c r="AS23" s="275">
        <f>'[1]POLY DISB 2019'!M27</f>
        <v>26000000</v>
      </c>
      <c r="AT23" s="275">
        <f t="shared" si="13"/>
        <v>0</v>
      </c>
      <c r="AU23" s="275"/>
      <c r="AV23" s="275">
        <v>45000000</v>
      </c>
      <c r="AW23" s="275">
        <f>'[1]POLY DISB 2019'!N27</f>
        <v>45000000</v>
      </c>
      <c r="AX23" s="275">
        <f t="shared" si="14"/>
        <v>0</v>
      </c>
      <c r="AY23" s="275"/>
      <c r="AZ23" s="275">
        <v>38340000</v>
      </c>
      <c r="BA23" s="275">
        <f>'[1]POLY DISB 2019'!P27</f>
        <v>38340000</v>
      </c>
      <c r="BB23" s="275">
        <f t="shared" si="15"/>
        <v>0</v>
      </c>
      <c r="BC23" s="275"/>
      <c r="BD23" s="275">
        <v>10000000</v>
      </c>
      <c r="BE23" s="275">
        <f>'[1]POLY DISB 2019'!Q27</f>
        <v>10000000</v>
      </c>
      <c r="BF23" s="275">
        <f t="shared" si="16"/>
        <v>0</v>
      </c>
      <c r="BG23" s="275"/>
      <c r="BH23" s="275">
        <f>'[1]POLY commited funds to date'!S23</f>
        <v>126060000</v>
      </c>
      <c r="BI23" s="275">
        <f>'[1]POLY DISB 2019'!R27</f>
        <v>126060000</v>
      </c>
      <c r="BJ23" s="275">
        <f t="shared" si="17"/>
        <v>0</v>
      </c>
      <c r="BK23" s="275"/>
      <c r="BL23" s="275">
        <f>'[1]poly  com. adj for fmis'!S23</f>
        <v>100000000</v>
      </c>
      <c r="BM23" s="275">
        <f>'[1]POLY DISB 2019'!S27</f>
        <v>100000000</v>
      </c>
      <c r="BN23" s="269">
        <f t="shared" si="18"/>
        <v>0</v>
      </c>
      <c r="BO23" s="275"/>
      <c r="BP23" s="276">
        <f>'[1]POLY commited funds to date'!U23</f>
        <v>169900000</v>
      </c>
      <c r="BQ23" s="275">
        <f>'[1]POLY DISB 2019'!T27</f>
        <v>169900000</v>
      </c>
      <c r="BR23" s="275">
        <f t="shared" si="19"/>
        <v>0</v>
      </c>
      <c r="BS23" s="275"/>
      <c r="BT23" s="275">
        <f>'[1]POLY commited funds to date'!V23</f>
        <v>10000000</v>
      </c>
      <c r="BU23" s="275">
        <f>'[1]POLY DISB 2019'!U27</f>
        <v>0</v>
      </c>
      <c r="BV23" s="275">
        <f t="shared" si="20"/>
        <v>10000000</v>
      </c>
      <c r="BW23" s="275"/>
      <c r="BX23" s="275">
        <f>'[1]POLY commited funds to date'!W23</f>
        <v>0</v>
      </c>
      <c r="BY23" s="275">
        <f>'[1]POLY DISB 2019'!V27</f>
        <v>0</v>
      </c>
      <c r="BZ23" s="275">
        <f t="shared" si="21"/>
        <v>0</v>
      </c>
      <c r="CA23" s="275"/>
      <c r="CB23" s="275">
        <f>'[1]POLY commited funds to date'!X23</f>
        <v>210000000</v>
      </c>
      <c r="CC23" s="275">
        <f>'[1]POLY DISB 2019'!W27</f>
        <v>210000000</v>
      </c>
      <c r="CD23" s="275">
        <f t="shared" si="22"/>
        <v>0</v>
      </c>
      <c r="CE23" s="275"/>
      <c r="CF23" s="275">
        <f>'[1]POLY commited funds to date'!Y23</f>
        <v>0</v>
      </c>
      <c r="CG23" s="275">
        <f>'[1]POLY DISB 2019'!X27</f>
        <v>0</v>
      </c>
      <c r="CH23" s="275">
        <f t="shared" si="23"/>
        <v>0</v>
      </c>
      <c r="CI23" s="275"/>
      <c r="CJ23" s="275">
        <f>'[1]POLY commited funds to date'!Z23</f>
        <v>0</v>
      </c>
      <c r="CK23" s="275">
        <f>'[1]POLY DISB 2019'!Y27</f>
        <v>0</v>
      </c>
      <c r="CL23" s="275">
        <f t="shared" si="24"/>
        <v>0</v>
      </c>
      <c r="CM23" s="275"/>
      <c r="CN23" s="275">
        <f>'[1]POLY commited funds to date'!AA23</f>
        <v>243000000</v>
      </c>
      <c r="CO23" s="275">
        <f>'[1]POLY DISB 2019'!Z27</f>
        <v>206550000</v>
      </c>
      <c r="CP23" s="275">
        <f t="shared" si="25"/>
        <v>36450000</v>
      </c>
      <c r="CQ23" s="275"/>
      <c r="CR23" s="275">
        <v>10000000</v>
      </c>
      <c r="CS23" s="275">
        <f>'[1]POLY DISB 2019'!AA27</f>
        <v>0</v>
      </c>
      <c r="CT23" s="275">
        <f t="shared" si="26"/>
        <v>10000000</v>
      </c>
      <c r="CU23" s="275"/>
      <c r="CV23" s="275">
        <f>'[1]POLY commited funds to date'!AC23</f>
        <v>371000000</v>
      </c>
      <c r="CW23" s="275">
        <f>'[1]POLY DISB 2019'!AB27</f>
        <v>315350000</v>
      </c>
      <c r="CX23" s="275">
        <f t="shared" si="27"/>
        <v>55650000</v>
      </c>
      <c r="CY23" s="275"/>
      <c r="CZ23" s="275">
        <f>'[1]POLY commited funds to date'!AD23</f>
        <v>20000000</v>
      </c>
      <c r="DA23" s="275">
        <f>'[1]POLY DISB 2019'!AC27</f>
        <v>0</v>
      </c>
      <c r="DB23" s="275">
        <f t="shared" si="28"/>
        <v>20000000</v>
      </c>
      <c r="DC23" s="275"/>
      <c r="DD23" s="275">
        <f>'[1]POLY commited funds to date'!AE23</f>
        <v>211000000</v>
      </c>
      <c r="DE23" s="275">
        <f>'[1]POLY DISB 2019'!AD27</f>
        <v>211000000</v>
      </c>
      <c r="DF23" s="275">
        <f t="shared" si="29"/>
        <v>0</v>
      </c>
      <c r="DG23" s="275"/>
      <c r="DH23" s="275">
        <f>'[1]poly  com. adj for fmis'!AE23</f>
        <v>80000000</v>
      </c>
      <c r="DI23" s="275">
        <f>'[1]POLY DISB 2019'!AE27</f>
        <v>68000000</v>
      </c>
      <c r="DJ23" s="275">
        <f t="shared" si="30"/>
        <v>12000000</v>
      </c>
      <c r="DK23" s="275"/>
      <c r="DL23" s="275">
        <f>'[1]poly  com. adj for fmis'!AF23</f>
        <v>8000000</v>
      </c>
      <c r="DM23" s="275">
        <f>'[1]POLY DISB 2019'!AF27</f>
        <v>0</v>
      </c>
      <c r="DN23" s="275">
        <f t="shared" si="31"/>
        <v>8000000</v>
      </c>
      <c r="DO23" s="275"/>
      <c r="DP23" s="275">
        <f>'[1]poly  com. adj for fmis'!AG23</f>
        <v>2000000</v>
      </c>
      <c r="DQ23" s="275">
        <f>'[1]POLY DISB 2019'!AG27</f>
        <v>0</v>
      </c>
      <c r="DR23" s="275">
        <f t="shared" si="32"/>
        <v>2000000</v>
      </c>
      <c r="DS23" s="275"/>
      <c r="DT23" s="275">
        <f>'[1]poly  com. adj for fmis'!AH23</f>
        <v>10000000</v>
      </c>
      <c r="DU23" s="275">
        <f>'[1]POLY DISB 2019'!AH27</f>
        <v>0</v>
      </c>
      <c r="DV23" s="275">
        <f t="shared" si="33"/>
        <v>10000000</v>
      </c>
      <c r="DW23" s="275"/>
      <c r="DX23" s="275">
        <f>'[1]poly  com. adj for fmis'!AI23</f>
        <v>0</v>
      </c>
      <c r="DY23" s="275">
        <f>'[1]POLY DISB 2019'!AI27</f>
        <v>0</v>
      </c>
      <c r="DZ23" s="275">
        <f t="shared" si="34"/>
        <v>0</v>
      </c>
      <c r="EA23" s="275"/>
      <c r="EB23" s="275">
        <f>'[1]POLY commited funds to date'!AK23</f>
        <v>380632000</v>
      </c>
      <c r="EC23" s="275">
        <f>'[1]POLY DISB 2019'!AJ27</f>
        <v>0</v>
      </c>
      <c r="ED23" s="275">
        <f t="shared" si="35"/>
        <v>380632000</v>
      </c>
      <c r="EE23" s="275"/>
      <c r="EF23" s="275">
        <f>'[1]POLY commited funds to date'!AL23</f>
        <v>8000000</v>
      </c>
      <c r="EG23" s="275">
        <f>'[1]POLY DISB 2019'!AK27</f>
        <v>0</v>
      </c>
      <c r="EH23" s="275">
        <f t="shared" si="36"/>
        <v>8000000</v>
      </c>
      <c r="EI23" s="275"/>
      <c r="EJ23" s="275">
        <f>'[1]POLY commited funds to date'!AM23</f>
        <v>10000000</v>
      </c>
      <c r="EK23" s="275">
        <f>'[1]POLY DISB 2019'!AL27</f>
        <v>0</v>
      </c>
      <c r="EL23" s="275">
        <f t="shared" si="37"/>
        <v>10000000</v>
      </c>
      <c r="EM23" s="275"/>
      <c r="EN23" s="275">
        <f>'[1]POLY commited funds to date'!AN23</f>
        <v>10000000</v>
      </c>
      <c r="EO23" s="275">
        <f>'[1]POLY DISB 2019'!AM27</f>
        <v>0</v>
      </c>
      <c r="EP23" s="275">
        <f t="shared" si="38"/>
        <v>10000000</v>
      </c>
      <c r="EQ23" s="275">
        <f>'[1]POLY commited funds to date'!AO23</f>
        <v>0</v>
      </c>
      <c r="ER23" s="275">
        <f>'[1]POLY DISB 2019'!AN27</f>
        <v>0</v>
      </c>
      <c r="ES23" s="275">
        <f t="shared" si="39"/>
        <v>0</v>
      </c>
      <c r="ET23" s="275"/>
      <c r="EU23" s="275">
        <f>'[1]POLY commited funds to date'!AP23</f>
        <v>205000000</v>
      </c>
      <c r="EV23" s="275">
        <f>'[1]POLY DISB 2019'!AO27</f>
        <v>0</v>
      </c>
      <c r="EW23" s="275">
        <f t="shared" si="40"/>
        <v>205000000</v>
      </c>
      <c r="EX23" s="275"/>
      <c r="EY23" s="275">
        <f>'[1]POLY commited funds to date'!AQ23</f>
        <v>75000000</v>
      </c>
      <c r="EZ23" s="275">
        <f>'[1]POLY DISB 2019'!AP27</f>
        <v>51750000</v>
      </c>
      <c r="FA23" s="275">
        <f t="shared" si="41"/>
        <v>23250000</v>
      </c>
      <c r="FB23" s="275"/>
      <c r="FC23" s="275">
        <f>'[1]POLY commited funds to date'!AR23</f>
        <v>7000000</v>
      </c>
      <c r="FD23" s="275">
        <f>'[1]POLY DISB 2019'!AQ27</f>
        <v>0</v>
      </c>
      <c r="FE23" s="275">
        <f t="shared" si="42"/>
        <v>7000000</v>
      </c>
      <c r="FF23" s="275"/>
      <c r="FG23" s="275">
        <f>'[1]POLY commited funds to date'!AS23</f>
        <v>6300000</v>
      </c>
      <c r="FH23" s="275">
        <f>'[1]POLY DISB 2019'!AR27</f>
        <v>0</v>
      </c>
      <c r="FI23" s="275">
        <f t="shared" si="43"/>
        <v>6300000</v>
      </c>
      <c r="FJ23" s="275"/>
      <c r="FK23" s="275">
        <f>'[1]POLY commited funds to date'!AT23</f>
        <v>7500000</v>
      </c>
      <c r="FL23" s="275">
        <f>'[1]POLY DISB 2019'!AS27</f>
        <v>0</v>
      </c>
      <c r="FM23" s="275">
        <f t="shared" si="44"/>
        <v>7500000</v>
      </c>
      <c r="FN23" s="275"/>
      <c r="FO23" s="275">
        <f>'[1]POLY commited funds to date'!AU23</f>
        <v>245000000</v>
      </c>
      <c r="FP23" s="275">
        <f>'[1]POLY DISB 2019'!AT27</f>
        <v>0</v>
      </c>
      <c r="FQ23" s="275">
        <f t="shared" si="45"/>
        <v>245000000</v>
      </c>
      <c r="FR23" s="275">
        <f>'[1]POLY commited funds to date'!AV23</f>
        <v>119074602</v>
      </c>
      <c r="FS23" s="275">
        <f>'[1]POLY DISB 2019'!AU27</f>
        <v>0</v>
      </c>
      <c r="FT23" s="275">
        <f t="shared" si="46"/>
        <v>119074602</v>
      </c>
      <c r="FU23" s="275"/>
      <c r="FV23" s="275">
        <f>'[1]POLY commited funds to date'!AW23</f>
        <v>13000000</v>
      </c>
      <c r="FW23" s="275">
        <f>'[1]POLY DISB 2019'!AV27</f>
        <v>0</v>
      </c>
      <c r="FX23" s="275">
        <f t="shared" si="47"/>
        <v>13000000</v>
      </c>
      <c r="FY23" s="275"/>
      <c r="FZ23" s="275">
        <f>'[1]POLY commited funds to date'!AX23</f>
        <v>8628900</v>
      </c>
      <c r="GA23" s="275">
        <f>'[1]POLY DISB 2019'!AW27</f>
        <v>0</v>
      </c>
      <c r="GB23" s="275">
        <f t="shared" si="48"/>
        <v>8628900</v>
      </c>
      <c r="GC23" s="275">
        <f>'[1]POLY commited funds to date'!AY23</f>
        <v>5000000</v>
      </c>
      <c r="GD23" s="275">
        <f>'[1]POLY DISB 2019'!AX27</f>
        <v>0</v>
      </c>
      <c r="GE23" s="275">
        <f t="shared" si="49"/>
        <v>5000000</v>
      </c>
      <c r="GF23" s="275"/>
      <c r="GG23" s="275">
        <f>'[1]POLY commited funds to date'!AZ23</f>
        <v>0</v>
      </c>
      <c r="GH23" s="275">
        <f>'[1]POLY DISB 2019'!AY27</f>
        <v>0</v>
      </c>
      <c r="GI23" s="275">
        <f t="shared" si="50"/>
        <v>0</v>
      </c>
      <c r="GJ23" s="275"/>
      <c r="GK23" s="275">
        <f t="shared" si="51"/>
        <v>2944144804</v>
      </c>
      <c r="GL23" s="275">
        <f t="shared" si="51"/>
        <v>1731659302</v>
      </c>
      <c r="GM23" s="275">
        <f t="shared" si="52"/>
        <v>1212485502</v>
      </c>
      <c r="GN23" s="265"/>
      <c r="GO23" s="277">
        <f t="shared" si="53"/>
        <v>2283641302</v>
      </c>
      <c r="GP23" s="277">
        <f t="shared" si="53"/>
        <v>1348909302</v>
      </c>
      <c r="GQ23" s="277">
        <f t="shared" si="54"/>
        <v>934732000</v>
      </c>
      <c r="GR23" s="277">
        <f t="shared" si="0"/>
        <v>10000000</v>
      </c>
      <c r="GS23" s="277">
        <f t="shared" si="0"/>
        <v>10000000</v>
      </c>
      <c r="GT23" s="277">
        <f t="shared" si="55"/>
        <v>0</v>
      </c>
      <c r="GU23" s="277"/>
      <c r="GV23" s="265"/>
      <c r="GW23" s="279">
        <f t="shared" si="56"/>
        <v>321000000</v>
      </c>
      <c r="GX23" s="279">
        <f t="shared" si="56"/>
        <v>321000000</v>
      </c>
      <c r="GY23" s="280">
        <f t="shared" si="57"/>
        <v>0</v>
      </c>
      <c r="GZ23" s="280"/>
      <c r="HA23" s="277">
        <f t="shared" si="58"/>
        <v>74928900</v>
      </c>
      <c r="HB23" s="277">
        <f t="shared" si="58"/>
        <v>0</v>
      </c>
      <c r="HC23" s="277">
        <f t="shared" si="59"/>
        <v>74928900</v>
      </c>
      <c r="HE23" s="277">
        <f t="shared" si="60"/>
        <v>36000000</v>
      </c>
      <c r="HF23" s="277">
        <f t="shared" si="60"/>
        <v>0</v>
      </c>
      <c r="HG23" s="277">
        <f t="shared" si="61"/>
        <v>36000000</v>
      </c>
      <c r="HI23" s="279">
        <f t="shared" si="62"/>
        <v>194074602</v>
      </c>
      <c r="HJ23" s="279">
        <f t="shared" si="62"/>
        <v>51750000</v>
      </c>
      <c r="HK23" s="279">
        <f t="shared" si="63"/>
        <v>142324602</v>
      </c>
      <c r="HM23" s="279">
        <f t="shared" si="64"/>
        <v>2000000</v>
      </c>
      <c r="HN23" s="279">
        <f t="shared" si="1"/>
        <v>0</v>
      </c>
      <c r="HO23" s="279">
        <f t="shared" si="65"/>
        <v>2000000</v>
      </c>
      <c r="HQ23" s="279">
        <f t="shared" si="66"/>
        <v>22500000</v>
      </c>
      <c r="HR23" s="279">
        <f t="shared" si="2"/>
        <v>0</v>
      </c>
      <c r="HS23" s="279">
        <f t="shared" si="67"/>
        <v>22500000</v>
      </c>
    </row>
    <row r="24" spans="1:227" x14ac:dyDescent="0.25">
      <c r="A24" s="235">
        <v>16</v>
      </c>
      <c r="B24" s="273" t="s">
        <v>215</v>
      </c>
      <c r="C24" s="274" t="s">
        <v>63</v>
      </c>
      <c r="D24" s="275">
        <v>24709302</v>
      </c>
      <c r="E24" s="275">
        <f>'[1]POLY DISB 2019'!C28</f>
        <v>24709302</v>
      </c>
      <c r="F24" s="275">
        <f t="shared" si="3"/>
        <v>0</v>
      </c>
      <c r="G24" s="275"/>
      <c r="H24" s="275">
        <v>10000000</v>
      </c>
      <c r="I24" s="275">
        <f>'[1]POLY DISB 2019'!D28</f>
        <v>10000000</v>
      </c>
      <c r="J24" s="275">
        <f t="shared" si="4"/>
        <v>0</v>
      </c>
      <c r="K24" s="275"/>
      <c r="L24" s="275">
        <v>15000000</v>
      </c>
      <c r="M24" s="275">
        <f>'[1]POLY DISB 2019'!E28</f>
        <v>15000000</v>
      </c>
      <c r="N24" s="275">
        <f t="shared" si="5"/>
        <v>0</v>
      </c>
      <c r="O24" s="275"/>
      <c r="P24" s="275">
        <v>25000000</v>
      </c>
      <c r="Q24" s="275">
        <f>'[1]POLY DISB 2019'!F28</f>
        <v>25000000</v>
      </c>
      <c r="R24" s="275">
        <f t="shared" si="6"/>
        <v>0</v>
      </c>
      <c r="S24" s="275"/>
      <c r="T24" s="275">
        <v>12000000</v>
      </c>
      <c r="U24" s="275">
        <f>'[1]POLY DISB 2019'!G28</f>
        <v>12000000</v>
      </c>
      <c r="V24" s="275">
        <f t="shared" si="7"/>
        <v>0</v>
      </c>
      <c r="W24" s="275"/>
      <c r="X24" s="275">
        <v>12000000</v>
      </c>
      <c r="Y24" s="275">
        <f>'[1]POLY DISB 2019'!H28</f>
        <v>12000000</v>
      </c>
      <c r="Z24" s="275">
        <f t="shared" si="8"/>
        <v>0</v>
      </c>
      <c r="AA24" s="275"/>
      <c r="AB24" s="275">
        <v>0</v>
      </c>
      <c r="AC24" s="275">
        <f>'[1]POLY DISB 2019'!I28</f>
        <v>0</v>
      </c>
      <c r="AD24" s="275">
        <f t="shared" si="9"/>
        <v>0</v>
      </c>
      <c r="AE24" s="275"/>
      <c r="AF24" s="275">
        <f>'[1]POLY commited funds to date'!K24</f>
        <v>20000000</v>
      </c>
      <c r="AG24" s="275">
        <f>'[1]POLY DISB 2019'!J28</f>
        <v>20000000</v>
      </c>
      <c r="AH24" s="275">
        <f t="shared" si="10"/>
        <v>0</v>
      </c>
      <c r="AI24" s="275"/>
      <c r="AJ24" s="275">
        <v>10000000</v>
      </c>
      <c r="AK24" s="275">
        <f>'[1]POLY DISB 2019'!K28</f>
        <v>10000000</v>
      </c>
      <c r="AL24" s="275">
        <f t="shared" si="11"/>
        <v>0</v>
      </c>
      <c r="AM24" s="275"/>
      <c r="AN24" s="275">
        <v>20000000</v>
      </c>
      <c r="AO24" s="275">
        <f>'[1]POLY DISB 2019'!L28</f>
        <v>20000000</v>
      </c>
      <c r="AP24" s="275">
        <f t="shared" si="12"/>
        <v>0</v>
      </c>
      <c r="AQ24" s="275"/>
      <c r="AR24" s="275">
        <v>26000000</v>
      </c>
      <c r="AS24" s="275">
        <f>'[1]POLY DISB 2019'!M28</f>
        <v>26000000</v>
      </c>
      <c r="AT24" s="275">
        <f t="shared" si="13"/>
        <v>0</v>
      </c>
      <c r="AU24" s="275"/>
      <c r="AV24" s="275">
        <v>45000000</v>
      </c>
      <c r="AW24" s="275">
        <f>'[1]POLY DISB 2019'!N28</f>
        <v>45000000</v>
      </c>
      <c r="AX24" s="275">
        <f t="shared" si="14"/>
        <v>0</v>
      </c>
      <c r="AY24" s="275"/>
      <c r="AZ24" s="275">
        <v>38340000</v>
      </c>
      <c r="BA24" s="275">
        <f>'[1]POLY DISB 2019'!P28</f>
        <v>38340000</v>
      </c>
      <c r="BB24" s="275">
        <f t="shared" si="15"/>
        <v>0</v>
      </c>
      <c r="BC24" s="275"/>
      <c r="BD24" s="275">
        <v>0</v>
      </c>
      <c r="BE24" s="275">
        <f>'[1]POLY DISB 2019'!Q28</f>
        <v>0</v>
      </c>
      <c r="BF24" s="275">
        <f t="shared" si="16"/>
        <v>0</v>
      </c>
      <c r="BG24" s="275"/>
      <c r="BH24" s="275">
        <f>'[1]POLY commited funds to date'!S24</f>
        <v>126060000</v>
      </c>
      <c r="BI24" s="275">
        <f>'[1]POLY DISB 2019'!R28</f>
        <v>126060000</v>
      </c>
      <c r="BJ24" s="275">
        <f t="shared" si="17"/>
        <v>0</v>
      </c>
      <c r="BK24" s="275"/>
      <c r="BL24" s="275">
        <f>'[1]poly  com. adj for fmis'!S24</f>
        <v>0</v>
      </c>
      <c r="BM24" s="275">
        <f>'[1]POLY DISB 2019'!S28</f>
        <v>0</v>
      </c>
      <c r="BN24" s="269">
        <f t="shared" si="18"/>
        <v>0</v>
      </c>
      <c r="BO24" s="275"/>
      <c r="BP24" s="276">
        <f>'[1]POLY commited funds to date'!U24</f>
        <v>169900000</v>
      </c>
      <c r="BQ24" s="275">
        <f>'[1]POLY DISB 2019'!T28</f>
        <v>169900000</v>
      </c>
      <c r="BR24" s="275">
        <f t="shared" si="19"/>
        <v>0</v>
      </c>
      <c r="BS24" s="275"/>
      <c r="BT24" s="275">
        <f>'[1]POLY commited funds to date'!V24</f>
        <v>10000000</v>
      </c>
      <c r="BU24" s="275">
        <f>'[1]POLY DISB 2019'!U28</f>
        <v>8500000</v>
      </c>
      <c r="BV24" s="275">
        <f t="shared" si="20"/>
        <v>1500000</v>
      </c>
      <c r="BW24" s="275"/>
      <c r="BX24" s="275">
        <f>'[1]POLY commited funds to date'!W24</f>
        <v>0</v>
      </c>
      <c r="BY24" s="275">
        <f>'[1]POLY DISB 2019'!V28</f>
        <v>0</v>
      </c>
      <c r="BZ24" s="275">
        <f t="shared" si="21"/>
        <v>0</v>
      </c>
      <c r="CA24" s="275"/>
      <c r="CB24" s="275">
        <f>'[1]POLY commited funds to date'!X24</f>
        <v>210000000</v>
      </c>
      <c r="CC24" s="275">
        <f>'[1]POLY DISB 2019'!W28</f>
        <v>210000000</v>
      </c>
      <c r="CD24" s="275">
        <f t="shared" si="22"/>
        <v>0</v>
      </c>
      <c r="CE24" s="275"/>
      <c r="CF24" s="275">
        <f>'[1]POLY commited funds to date'!Y24</f>
        <v>0</v>
      </c>
      <c r="CG24" s="275">
        <f>'[1]POLY DISB 2019'!X28</f>
        <v>0</v>
      </c>
      <c r="CH24" s="275">
        <f t="shared" si="23"/>
        <v>0</v>
      </c>
      <c r="CI24" s="275"/>
      <c r="CJ24" s="275">
        <f>'[1]POLY commited funds to date'!Z24</f>
        <v>0</v>
      </c>
      <c r="CK24" s="275">
        <f>'[1]POLY DISB 2019'!Y28</f>
        <v>0</v>
      </c>
      <c r="CL24" s="275">
        <f t="shared" si="24"/>
        <v>0</v>
      </c>
      <c r="CM24" s="275"/>
      <c r="CN24" s="275">
        <f>'[1]POLY commited funds to date'!AA24</f>
        <v>243000000</v>
      </c>
      <c r="CO24" s="275">
        <f>'[1]POLY DISB 2019'!Z28</f>
        <v>157950000</v>
      </c>
      <c r="CP24" s="275">
        <f t="shared" si="25"/>
        <v>85050000</v>
      </c>
      <c r="CQ24" s="275"/>
      <c r="CR24" s="275">
        <v>10000000</v>
      </c>
      <c r="CS24" s="275">
        <f>'[1]POLY DISB 2019'!AA28</f>
        <v>8500000</v>
      </c>
      <c r="CT24" s="275">
        <f t="shared" si="26"/>
        <v>1500000</v>
      </c>
      <c r="CU24" s="275"/>
      <c r="CV24" s="275">
        <f>'[1]POLY commited funds to date'!AC24</f>
        <v>371000000</v>
      </c>
      <c r="CW24" s="275">
        <f>'[1]POLY DISB 2019'!AB28</f>
        <v>241150000</v>
      </c>
      <c r="CX24" s="275">
        <f t="shared" si="27"/>
        <v>129850000</v>
      </c>
      <c r="CY24" s="275"/>
      <c r="CZ24" s="275">
        <f>'[1]POLY commited funds to date'!AD24</f>
        <v>20000000</v>
      </c>
      <c r="DA24" s="275">
        <f>'[1]POLY DISB 2019'!AC28</f>
        <v>17000000</v>
      </c>
      <c r="DB24" s="275">
        <f t="shared" si="28"/>
        <v>3000000</v>
      </c>
      <c r="DC24" s="275"/>
      <c r="DD24" s="275">
        <f>'[1]POLY commited funds to date'!AE24</f>
        <v>150000000</v>
      </c>
      <c r="DE24" s="275">
        <f>'[1]POLY DISB 2019'!AD28</f>
        <v>150000000</v>
      </c>
      <c r="DF24" s="275">
        <f t="shared" si="29"/>
        <v>0</v>
      </c>
      <c r="DG24" s="275"/>
      <c r="DH24" s="275">
        <f>'[1]poly  com. adj for fmis'!AE24</f>
        <v>80000000</v>
      </c>
      <c r="DI24" s="275">
        <f>'[1]POLY DISB 2019'!AE28</f>
        <v>52000000</v>
      </c>
      <c r="DJ24" s="275">
        <f t="shared" si="30"/>
        <v>28000000</v>
      </c>
      <c r="DK24" s="275"/>
      <c r="DL24" s="275">
        <f>'[1]poly  com. adj for fmis'!AF24</f>
        <v>8000000</v>
      </c>
      <c r="DM24" s="275">
        <f>'[1]POLY DISB 2019'!AF28</f>
        <v>4080000</v>
      </c>
      <c r="DN24" s="275">
        <f t="shared" si="31"/>
        <v>3920000</v>
      </c>
      <c r="DO24" s="275"/>
      <c r="DP24" s="275">
        <f>'[1]poly  com. adj for fmis'!AG24</f>
        <v>2000000</v>
      </c>
      <c r="DQ24" s="275">
        <f>'[1]POLY DISB 2019'!AG28</f>
        <v>1700000</v>
      </c>
      <c r="DR24" s="275">
        <f t="shared" si="32"/>
        <v>300000</v>
      </c>
      <c r="DS24" s="275"/>
      <c r="DT24" s="275">
        <f>'[1]poly  com. adj for fmis'!AH24</f>
        <v>10000000</v>
      </c>
      <c r="DU24" s="275">
        <f>'[1]POLY DISB 2019'!AH28</f>
        <v>0</v>
      </c>
      <c r="DV24" s="275">
        <f t="shared" si="33"/>
        <v>10000000</v>
      </c>
      <c r="DW24" s="275"/>
      <c r="DX24" s="275">
        <f>'[1]poly  com. adj for fmis'!AI24</f>
        <v>200000000</v>
      </c>
      <c r="DY24" s="275">
        <f>'[1]POLY DISB 2019'!AI28</f>
        <v>200000000</v>
      </c>
      <c r="DZ24" s="275">
        <f t="shared" si="34"/>
        <v>0</v>
      </c>
      <c r="EA24" s="275"/>
      <c r="EB24" s="275">
        <f>'[1]POLY commited funds to date'!AK24</f>
        <v>380632000</v>
      </c>
      <c r="EC24" s="275">
        <f>'[1]POLY DISB 2019'!AJ28</f>
        <v>247410800</v>
      </c>
      <c r="ED24" s="275">
        <f t="shared" si="35"/>
        <v>133221200</v>
      </c>
      <c r="EE24" s="275"/>
      <c r="EF24" s="275">
        <f>'[1]POLY commited funds to date'!AL24</f>
        <v>8000000</v>
      </c>
      <c r="EG24" s="275">
        <f>'[1]POLY DISB 2019'!AK28</f>
        <v>4080000</v>
      </c>
      <c r="EH24" s="275">
        <f t="shared" si="36"/>
        <v>3920000</v>
      </c>
      <c r="EI24" s="275"/>
      <c r="EJ24" s="275">
        <f>'[1]POLY commited funds to date'!AM24</f>
        <v>10000000</v>
      </c>
      <c r="EK24" s="275">
        <f>'[1]POLY DISB 2019'!AL28</f>
        <v>0</v>
      </c>
      <c r="EL24" s="275">
        <f t="shared" si="37"/>
        <v>10000000</v>
      </c>
      <c r="EM24" s="275"/>
      <c r="EN24" s="275">
        <f>'[1]POLY commited funds to date'!AN24</f>
        <v>10000000</v>
      </c>
      <c r="EO24" s="275">
        <f>'[1]POLY DISB 2019'!AM28</f>
        <v>0</v>
      </c>
      <c r="EP24" s="275">
        <f t="shared" si="38"/>
        <v>10000000</v>
      </c>
      <c r="EQ24" s="275">
        <f>'[1]POLY commited funds to date'!AO24</f>
        <v>0</v>
      </c>
      <c r="ER24" s="275">
        <f>'[1]POLY DISB 2019'!AN28</f>
        <v>0</v>
      </c>
      <c r="ES24" s="275">
        <f t="shared" si="39"/>
        <v>0</v>
      </c>
      <c r="ET24" s="275"/>
      <c r="EU24" s="275">
        <f>'[1]POLY commited funds to date'!AP24</f>
        <v>205000000</v>
      </c>
      <c r="EV24" s="275">
        <f>'[1]POLY DISB 2019'!AO28</f>
        <v>0</v>
      </c>
      <c r="EW24" s="275">
        <f t="shared" si="40"/>
        <v>205000000</v>
      </c>
      <c r="EX24" s="275"/>
      <c r="EY24" s="275">
        <f>'[1]POLY commited funds to date'!AQ24</f>
        <v>75000000</v>
      </c>
      <c r="EZ24" s="275">
        <f>'[1]POLY DISB 2019'!AP28</f>
        <v>48750000</v>
      </c>
      <c r="FA24" s="275">
        <f t="shared" si="41"/>
        <v>26250000</v>
      </c>
      <c r="FB24" s="275"/>
      <c r="FC24" s="275">
        <f>'[1]POLY commited funds to date'!AR24</f>
        <v>7000000</v>
      </c>
      <c r="FD24" s="275">
        <f>'[1]POLY DISB 2019'!AQ28</f>
        <v>0</v>
      </c>
      <c r="FE24" s="275">
        <f t="shared" si="42"/>
        <v>7000000</v>
      </c>
      <c r="FF24" s="275"/>
      <c r="FG24" s="275">
        <f>'[1]POLY commited funds to date'!AS24</f>
        <v>6300000</v>
      </c>
      <c r="FH24" s="275">
        <f>'[1]POLY DISB 2019'!AR28</f>
        <v>0</v>
      </c>
      <c r="FI24" s="275">
        <f t="shared" si="43"/>
        <v>6300000</v>
      </c>
      <c r="FJ24" s="275"/>
      <c r="FK24" s="275">
        <f>'[1]POLY commited funds to date'!AT24</f>
        <v>7500000</v>
      </c>
      <c r="FL24" s="275">
        <f>'[1]POLY DISB 2019'!AS28</f>
        <v>0</v>
      </c>
      <c r="FM24" s="275">
        <f t="shared" si="44"/>
        <v>7500000</v>
      </c>
      <c r="FN24" s="275"/>
      <c r="FO24" s="275">
        <f>'[1]POLY commited funds to date'!AU24</f>
        <v>245000000</v>
      </c>
      <c r="FP24" s="275">
        <f>'[1]POLY DISB 2019'!AT28</f>
        <v>0</v>
      </c>
      <c r="FQ24" s="275">
        <f t="shared" si="45"/>
        <v>245000000</v>
      </c>
      <c r="FR24" s="275">
        <f>'[1]POLY commited funds to date'!AV24</f>
        <v>119074602</v>
      </c>
      <c r="FS24" s="275">
        <f>'[1]POLY DISB 2019'!AU28</f>
        <v>0</v>
      </c>
      <c r="FT24" s="275">
        <f t="shared" si="46"/>
        <v>119074602</v>
      </c>
      <c r="FU24" s="275"/>
      <c r="FV24" s="275">
        <f>'[1]POLY commited funds to date'!AW24</f>
        <v>13000000</v>
      </c>
      <c r="FW24" s="275">
        <f>'[1]POLY DISB 2019'!AV28</f>
        <v>0</v>
      </c>
      <c r="FX24" s="275">
        <f t="shared" si="47"/>
        <v>13000000</v>
      </c>
      <c r="FY24" s="275"/>
      <c r="FZ24" s="275">
        <f>'[1]POLY commited funds to date'!AX24</f>
        <v>8628900</v>
      </c>
      <c r="GA24" s="275">
        <f>'[1]POLY DISB 2019'!AW28</f>
        <v>0</v>
      </c>
      <c r="GB24" s="275">
        <f t="shared" si="48"/>
        <v>8628900</v>
      </c>
      <c r="GC24" s="275">
        <f>'[1]POLY commited funds to date'!AY24</f>
        <v>5000000</v>
      </c>
      <c r="GD24" s="275">
        <f>'[1]POLY DISB 2019'!AX28</f>
        <v>0</v>
      </c>
      <c r="GE24" s="275">
        <f t="shared" si="49"/>
        <v>5000000</v>
      </c>
      <c r="GF24" s="275"/>
      <c r="GG24" s="275">
        <f>'[1]POLY commited funds to date'!AZ24</f>
        <v>0</v>
      </c>
      <c r="GH24" s="275">
        <f>'[1]POLY DISB 2019'!AY28</f>
        <v>0</v>
      </c>
      <c r="GI24" s="275">
        <f t="shared" si="50"/>
        <v>0</v>
      </c>
      <c r="GJ24" s="275"/>
      <c r="GK24" s="275">
        <f t="shared" si="51"/>
        <v>2968144804</v>
      </c>
      <c r="GL24" s="275">
        <f t="shared" si="51"/>
        <v>1905130102</v>
      </c>
      <c r="GM24" s="275">
        <f t="shared" si="52"/>
        <v>1063014702</v>
      </c>
      <c r="GN24" s="265"/>
      <c r="GO24" s="277">
        <f t="shared" si="53"/>
        <v>2278641302</v>
      </c>
      <c r="GP24" s="277">
        <f t="shared" si="53"/>
        <v>1452520102</v>
      </c>
      <c r="GQ24" s="277">
        <f t="shared" si="54"/>
        <v>826121200</v>
      </c>
      <c r="GR24" s="277">
        <f t="shared" si="0"/>
        <v>10000000</v>
      </c>
      <c r="GS24" s="277">
        <f t="shared" si="0"/>
        <v>10000000</v>
      </c>
      <c r="GT24" s="277">
        <f t="shared" si="55"/>
        <v>0</v>
      </c>
      <c r="GU24" s="277"/>
      <c r="GV24" s="265"/>
      <c r="GW24" s="279">
        <f t="shared" si="56"/>
        <v>350000000</v>
      </c>
      <c r="GX24" s="279">
        <f t="shared" si="56"/>
        <v>350000000</v>
      </c>
      <c r="GY24" s="280">
        <f t="shared" si="57"/>
        <v>0</v>
      </c>
      <c r="GZ24" s="280"/>
      <c r="HA24" s="277">
        <f t="shared" si="58"/>
        <v>74928900</v>
      </c>
      <c r="HB24" s="277">
        <f t="shared" si="58"/>
        <v>34000000</v>
      </c>
      <c r="HC24" s="277">
        <f t="shared" si="59"/>
        <v>40928900</v>
      </c>
      <c r="HE24" s="277">
        <f t="shared" si="60"/>
        <v>36000000</v>
      </c>
      <c r="HF24" s="277">
        <f t="shared" si="60"/>
        <v>8160000</v>
      </c>
      <c r="HG24" s="277">
        <f t="shared" si="61"/>
        <v>27840000</v>
      </c>
      <c r="HI24" s="279">
        <f t="shared" si="62"/>
        <v>194074602</v>
      </c>
      <c r="HJ24" s="279">
        <f t="shared" si="62"/>
        <v>48750000</v>
      </c>
      <c r="HK24" s="279">
        <f t="shared" si="63"/>
        <v>145324602</v>
      </c>
      <c r="HM24" s="279">
        <f t="shared" si="64"/>
        <v>2000000</v>
      </c>
      <c r="HN24" s="279">
        <f t="shared" si="1"/>
        <v>1700000</v>
      </c>
      <c r="HO24" s="279">
        <f t="shared" si="65"/>
        <v>300000</v>
      </c>
      <c r="HQ24" s="279">
        <f t="shared" si="66"/>
        <v>22500000</v>
      </c>
      <c r="HR24" s="279">
        <f t="shared" si="2"/>
        <v>0</v>
      </c>
      <c r="HS24" s="279">
        <f t="shared" si="67"/>
        <v>22500000</v>
      </c>
    </row>
    <row r="25" spans="1:227" x14ac:dyDescent="0.25">
      <c r="A25" s="235">
        <v>17</v>
      </c>
      <c r="B25" s="273" t="s">
        <v>216</v>
      </c>
      <c r="C25" s="274" t="s">
        <v>69</v>
      </c>
      <c r="D25" s="275">
        <v>24709302</v>
      </c>
      <c r="E25" s="275">
        <f>'[1]POLY DISB 2019'!C29</f>
        <v>24709302</v>
      </c>
      <c r="F25" s="275">
        <f t="shared" si="3"/>
        <v>0</v>
      </c>
      <c r="G25" s="275"/>
      <c r="H25" s="275">
        <v>10000000</v>
      </c>
      <c r="I25" s="275">
        <f>'[1]POLY DISB 2019'!D29</f>
        <v>10000000</v>
      </c>
      <c r="J25" s="275">
        <f t="shared" si="4"/>
        <v>0</v>
      </c>
      <c r="K25" s="275"/>
      <c r="L25" s="275">
        <v>20000000</v>
      </c>
      <c r="M25" s="275">
        <f>'[1]POLY DISB 2019'!E29</f>
        <v>20000000</v>
      </c>
      <c r="N25" s="275">
        <f t="shared" si="5"/>
        <v>0</v>
      </c>
      <c r="O25" s="275"/>
      <c r="P25" s="275">
        <v>25000000</v>
      </c>
      <c r="Q25" s="275">
        <f>'[1]POLY DISB 2019'!F29</f>
        <v>25000000</v>
      </c>
      <c r="R25" s="275">
        <f t="shared" si="6"/>
        <v>0</v>
      </c>
      <c r="S25" s="275"/>
      <c r="T25" s="275">
        <v>12000000</v>
      </c>
      <c r="U25" s="275">
        <f>'[1]POLY DISB 2019'!G29</f>
        <v>12000000</v>
      </c>
      <c r="V25" s="275">
        <f t="shared" si="7"/>
        <v>0</v>
      </c>
      <c r="W25" s="275"/>
      <c r="X25" s="275">
        <v>12000000</v>
      </c>
      <c r="Y25" s="275">
        <f>'[1]POLY DISB 2019'!H29</f>
        <v>12000000</v>
      </c>
      <c r="Z25" s="275">
        <f t="shared" si="8"/>
        <v>0</v>
      </c>
      <c r="AA25" s="275"/>
      <c r="AB25" s="275">
        <v>0</v>
      </c>
      <c r="AC25" s="275">
        <f>'[1]POLY DISB 2019'!I29</f>
        <v>0</v>
      </c>
      <c r="AD25" s="275">
        <f t="shared" si="9"/>
        <v>0</v>
      </c>
      <c r="AE25" s="275"/>
      <c r="AF25" s="275">
        <f>'[1]POLY commited funds to date'!K25</f>
        <v>20000000</v>
      </c>
      <c r="AG25" s="275">
        <f>'[1]POLY DISB 2019'!J29</f>
        <v>20000000</v>
      </c>
      <c r="AH25" s="275">
        <f t="shared" si="10"/>
        <v>0</v>
      </c>
      <c r="AI25" s="275"/>
      <c r="AJ25" s="275">
        <v>10000000</v>
      </c>
      <c r="AK25" s="275">
        <f>'[1]POLY DISB 2019'!K29</f>
        <v>10000000</v>
      </c>
      <c r="AL25" s="275">
        <f t="shared" si="11"/>
        <v>0</v>
      </c>
      <c r="AM25" s="275"/>
      <c r="AN25" s="275">
        <v>20000000</v>
      </c>
      <c r="AO25" s="275">
        <f>'[1]POLY DISB 2019'!L29</f>
        <v>20000000</v>
      </c>
      <c r="AP25" s="275">
        <f t="shared" si="12"/>
        <v>0</v>
      </c>
      <c r="AQ25" s="275"/>
      <c r="AR25" s="275">
        <v>26000000</v>
      </c>
      <c r="AS25" s="275">
        <f>'[1]POLY DISB 2019'!M29</f>
        <v>26000000</v>
      </c>
      <c r="AT25" s="275">
        <f t="shared" si="13"/>
        <v>0</v>
      </c>
      <c r="AU25" s="275"/>
      <c r="AV25" s="275">
        <v>45000000</v>
      </c>
      <c r="AW25" s="275">
        <f>'[1]POLY DISB 2019'!N29</f>
        <v>45000000</v>
      </c>
      <c r="AX25" s="275">
        <f t="shared" si="14"/>
        <v>0</v>
      </c>
      <c r="AY25" s="275"/>
      <c r="AZ25" s="275">
        <v>38340000</v>
      </c>
      <c r="BA25" s="275">
        <f>'[1]POLY DISB 2019'!P29</f>
        <v>38340000</v>
      </c>
      <c r="BB25" s="275">
        <f t="shared" si="15"/>
        <v>0</v>
      </c>
      <c r="BC25" s="275"/>
      <c r="BD25" s="275">
        <v>0</v>
      </c>
      <c r="BE25" s="275">
        <f>'[1]POLY DISB 2019'!Q29</f>
        <v>0</v>
      </c>
      <c r="BF25" s="275">
        <f t="shared" si="16"/>
        <v>0</v>
      </c>
      <c r="BG25" s="275"/>
      <c r="BH25" s="275">
        <f>'[1]POLY commited funds to date'!S25</f>
        <v>126060000</v>
      </c>
      <c r="BI25" s="275">
        <f>'[1]POLY DISB 2019'!R29</f>
        <v>126060000</v>
      </c>
      <c r="BJ25" s="275">
        <f t="shared" si="17"/>
        <v>0</v>
      </c>
      <c r="BK25" s="275"/>
      <c r="BL25" s="275">
        <f>'[1]poly  com. adj for fmis'!S25</f>
        <v>70000000</v>
      </c>
      <c r="BM25" s="275">
        <f>'[1]POLY DISB 2019'!S29</f>
        <v>70000000</v>
      </c>
      <c r="BN25" s="269">
        <f t="shared" si="18"/>
        <v>0</v>
      </c>
      <c r="BO25" s="275"/>
      <c r="BP25" s="276">
        <f>'[1]POLY commited funds to date'!U25</f>
        <v>169900000</v>
      </c>
      <c r="BQ25" s="275">
        <f>'[1]POLY DISB 2019'!T29</f>
        <v>169900000</v>
      </c>
      <c r="BR25" s="275">
        <f t="shared" si="19"/>
        <v>0</v>
      </c>
      <c r="BS25" s="275"/>
      <c r="BT25" s="275">
        <f>'[1]POLY commited funds to date'!V25</f>
        <v>10000000</v>
      </c>
      <c r="BU25" s="275">
        <f>'[1]POLY DISB 2019'!U29</f>
        <v>0</v>
      </c>
      <c r="BV25" s="275">
        <f t="shared" si="20"/>
        <v>10000000</v>
      </c>
      <c r="BW25" s="275"/>
      <c r="BX25" s="275">
        <f>'[1]POLY commited funds to date'!W25</f>
        <v>0</v>
      </c>
      <c r="BY25" s="275">
        <f>'[1]POLY DISB 2019'!V29</f>
        <v>0</v>
      </c>
      <c r="BZ25" s="275">
        <f t="shared" si="21"/>
        <v>0</v>
      </c>
      <c r="CA25" s="275"/>
      <c r="CB25" s="275">
        <f>'[1]POLY commited funds to date'!X25</f>
        <v>210000000</v>
      </c>
      <c r="CC25" s="275">
        <f>'[1]POLY DISB 2019'!W29</f>
        <v>210000000</v>
      </c>
      <c r="CD25" s="275">
        <f t="shared" si="22"/>
        <v>0</v>
      </c>
      <c r="CE25" s="275"/>
      <c r="CF25" s="275">
        <f>'[1]POLY commited funds to date'!Y25</f>
        <v>42000000</v>
      </c>
      <c r="CG25" s="275">
        <f>'[1]POLY DISB 2019'!X29</f>
        <v>42000000</v>
      </c>
      <c r="CH25" s="275">
        <f t="shared" si="23"/>
        <v>0</v>
      </c>
      <c r="CI25" s="275"/>
      <c r="CJ25" s="275">
        <f>'[1]POLY commited funds to date'!Z25</f>
        <v>0</v>
      </c>
      <c r="CK25" s="275">
        <f>'[1]POLY DISB 2019'!Y29</f>
        <v>0</v>
      </c>
      <c r="CL25" s="275">
        <f t="shared" si="24"/>
        <v>0</v>
      </c>
      <c r="CM25" s="275"/>
      <c r="CN25" s="275">
        <f>'[1]POLY commited funds to date'!AA25</f>
        <v>243000000</v>
      </c>
      <c r="CO25" s="275">
        <f>'[1]POLY DISB 2019'!Z29</f>
        <v>243000000</v>
      </c>
      <c r="CP25" s="275">
        <f t="shared" si="25"/>
        <v>0</v>
      </c>
      <c r="CQ25" s="275"/>
      <c r="CR25" s="275">
        <v>10000000</v>
      </c>
      <c r="CS25" s="275">
        <f>'[1]POLY DISB 2019'!AA29</f>
        <v>0</v>
      </c>
      <c r="CT25" s="275">
        <f t="shared" si="26"/>
        <v>10000000</v>
      </c>
      <c r="CU25" s="275"/>
      <c r="CV25" s="275">
        <f>'[1]POLY commited funds to date'!AC25</f>
        <v>371000000</v>
      </c>
      <c r="CW25" s="275">
        <f>'[1]POLY DISB 2019'!AB29</f>
        <v>371000000</v>
      </c>
      <c r="CX25" s="275">
        <f t="shared" si="27"/>
        <v>0</v>
      </c>
      <c r="CY25" s="275"/>
      <c r="CZ25" s="275">
        <f>'[1]POLY commited funds to date'!AD25</f>
        <v>20000000</v>
      </c>
      <c r="DA25" s="275">
        <f>'[1]POLY DISB 2019'!AC29</f>
        <v>0</v>
      </c>
      <c r="DB25" s="275">
        <f t="shared" si="28"/>
        <v>20000000</v>
      </c>
      <c r="DC25" s="275"/>
      <c r="DD25" s="275">
        <f>'[1]POLY commited funds to date'!AE25</f>
        <v>130000000</v>
      </c>
      <c r="DE25" s="275">
        <f>'[1]POLY DISB 2019'!AD29</f>
        <v>130000000</v>
      </c>
      <c r="DF25" s="275">
        <f t="shared" si="29"/>
        <v>0</v>
      </c>
      <c r="DG25" s="275"/>
      <c r="DH25" s="275">
        <f>'[1]poly  com. adj for fmis'!AE25</f>
        <v>80000000</v>
      </c>
      <c r="DI25" s="275">
        <f>'[1]POLY DISB 2019'!AE29</f>
        <v>49600000</v>
      </c>
      <c r="DJ25" s="275">
        <f t="shared" si="30"/>
        <v>30400000</v>
      </c>
      <c r="DK25" s="275"/>
      <c r="DL25" s="275">
        <f>'[1]poly  com. adj for fmis'!AF25</f>
        <v>8000000</v>
      </c>
      <c r="DM25" s="275">
        <f>'[1]POLY DISB 2019'!AF29</f>
        <v>0</v>
      </c>
      <c r="DN25" s="275">
        <f t="shared" si="31"/>
        <v>8000000</v>
      </c>
      <c r="DO25" s="275"/>
      <c r="DP25" s="275">
        <f>'[1]poly  com. adj for fmis'!AG25</f>
        <v>2000000</v>
      </c>
      <c r="DQ25" s="275">
        <f>'[1]POLY DISB 2019'!AG29</f>
        <v>0</v>
      </c>
      <c r="DR25" s="275">
        <f t="shared" si="32"/>
        <v>2000000</v>
      </c>
      <c r="DS25" s="275"/>
      <c r="DT25" s="275">
        <f>'[1]poly  com. adj for fmis'!AH25</f>
        <v>10000000</v>
      </c>
      <c r="DU25" s="275">
        <f>'[1]POLY DISB 2019'!AH29</f>
        <v>0</v>
      </c>
      <c r="DV25" s="275">
        <f t="shared" si="33"/>
        <v>10000000</v>
      </c>
      <c r="DW25" s="275"/>
      <c r="DX25" s="275">
        <f>'[1]poly  com. adj for fmis'!AI25</f>
        <v>2200000000</v>
      </c>
      <c r="DY25" s="275">
        <f>'[1]POLY DISB 2019'!AI29</f>
        <v>2200000000</v>
      </c>
      <c r="DZ25" s="275">
        <f t="shared" si="34"/>
        <v>0</v>
      </c>
      <c r="EA25" s="275"/>
      <c r="EB25" s="275">
        <f>'[1]POLY commited funds to date'!AK25</f>
        <v>380632000</v>
      </c>
      <c r="EC25" s="275">
        <f>'[1]POLY DISB 2019'!AJ29</f>
        <v>235991840</v>
      </c>
      <c r="ED25" s="275">
        <f t="shared" si="35"/>
        <v>144640160</v>
      </c>
      <c r="EE25" s="275"/>
      <c r="EF25" s="275">
        <f>'[1]POLY commited funds to date'!AL25</f>
        <v>8000000</v>
      </c>
      <c r="EG25" s="275">
        <f>'[1]POLY DISB 2019'!AK29</f>
        <v>0</v>
      </c>
      <c r="EH25" s="275">
        <f t="shared" si="36"/>
        <v>8000000</v>
      </c>
      <c r="EI25" s="275"/>
      <c r="EJ25" s="275">
        <f>'[1]POLY commited funds to date'!AM25</f>
        <v>10000000</v>
      </c>
      <c r="EK25" s="275">
        <f>'[1]POLY DISB 2019'!AL29</f>
        <v>0</v>
      </c>
      <c r="EL25" s="275">
        <f t="shared" si="37"/>
        <v>10000000</v>
      </c>
      <c r="EM25" s="275"/>
      <c r="EN25" s="275">
        <f>'[1]POLY commited funds to date'!AN25</f>
        <v>10000000</v>
      </c>
      <c r="EO25" s="275">
        <f>'[1]POLY DISB 2019'!AM29</f>
        <v>0</v>
      </c>
      <c r="EP25" s="275">
        <f t="shared" si="38"/>
        <v>10000000</v>
      </c>
      <c r="EQ25" s="275">
        <f>'[1]POLY commited funds to date'!AO25</f>
        <v>150000000</v>
      </c>
      <c r="ER25" s="275">
        <f>'[1]POLY DISB 2019'!AN29</f>
        <v>127500000</v>
      </c>
      <c r="ES25" s="275">
        <f t="shared" si="39"/>
        <v>22500000</v>
      </c>
      <c r="ET25" s="275"/>
      <c r="EU25" s="275">
        <f>'[1]POLY commited funds to date'!AP25</f>
        <v>205000000</v>
      </c>
      <c r="EV25" s="275">
        <f>'[1]POLY DISB 2019'!AO29</f>
        <v>0</v>
      </c>
      <c r="EW25" s="275">
        <f t="shared" si="40"/>
        <v>205000000</v>
      </c>
      <c r="EX25" s="275"/>
      <c r="EY25" s="275">
        <f>'[1]POLY commited funds to date'!AQ25</f>
        <v>75000000</v>
      </c>
      <c r="EZ25" s="275">
        <f>'[1]POLY DISB 2019'!AP29</f>
        <v>53250000</v>
      </c>
      <c r="FA25" s="275">
        <f t="shared" si="41"/>
        <v>21750000</v>
      </c>
      <c r="FB25" s="275"/>
      <c r="FC25" s="275">
        <f>'[1]POLY commited funds to date'!AR25</f>
        <v>7000000</v>
      </c>
      <c r="FD25" s="275">
        <f>'[1]POLY DISB 2019'!AQ29</f>
        <v>0</v>
      </c>
      <c r="FE25" s="275">
        <f t="shared" si="42"/>
        <v>7000000</v>
      </c>
      <c r="FF25" s="275"/>
      <c r="FG25" s="275">
        <f>'[1]POLY commited funds to date'!AS25</f>
        <v>6300000</v>
      </c>
      <c r="FH25" s="275">
        <f>'[1]POLY DISB 2019'!AR29</f>
        <v>0</v>
      </c>
      <c r="FI25" s="275">
        <f t="shared" si="43"/>
        <v>6300000</v>
      </c>
      <c r="FJ25" s="275"/>
      <c r="FK25" s="275">
        <f>'[1]POLY commited funds to date'!AT25</f>
        <v>7500000</v>
      </c>
      <c r="FL25" s="275">
        <f>'[1]POLY DISB 2019'!AS29</f>
        <v>0</v>
      </c>
      <c r="FM25" s="275">
        <f t="shared" si="44"/>
        <v>7500000</v>
      </c>
      <c r="FN25" s="275"/>
      <c r="FO25" s="275">
        <f>'[1]POLY commited funds to date'!AU25</f>
        <v>245000000</v>
      </c>
      <c r="FP25" s="275">
        <f>'[1]POLY DISB 2019'!AT29</f>
        <v>0</v>
      </c>
      <c r="FQ25" s="275">
        <f t="shared" si="45"/>
        <v>245000000</v>
      </c>
      <c r="FR25" s="275">
        <f>'[1]POLY commited funds to date'!AV25</f>
        <v>119074602</v>
      </c>
      <c r="FS25" s="275">
        <f>'[1]POLY DISB 2019'!AU29</f>
        <v>0</v>
      </c>
      <c r="FT25" s="275">
        <f t="shared" si="46"/>
        <v>119074602</v>
      </c>
      <c r="FU25" s="275"/>
      <c r="FV25" s="275">
        <f>'[1]POLY commited funds to date'!AW25</f>
        <v>13000000</v>
      </c>
      <c r="FW25" s="275">
        <f>'[1]POLY DISB 2019'!AV29</f>
        <v>0</v>
      </c>
      <c r="FX25" s="275">
        <f t="shared" si="47"/>
        <v>13000000</v>
      </c>
      <c r="FY25" s="275"/>
      <c r="FZ25" s="275">
        <f>'[1]POLY commited funds to date'!AX25</f>
        <v>8628900</v>
      </c>
      <c r="GA25" s="275">
        <f>'[1]POLY DISB 2019'!AW29</f>
        <v>0</v>
      </c>
      <c r="GB25" s="275">
        <f t="shared" si="48"/>
        <v>8628900</v>
      </c>
      <c r="GC25" s="275">
        <f>'[1]POLY commited funds to date'!AY25</f>
        <v>5000000</v>
      </c>
      <c r="GD25" s="275">
        <f>'[1]POLY DISB 2019'!AX29</f>
        <v>0</v>
      </c>
      <c r="GE25" s="275">
        <f t="shared" si="49"/>
        <v>5000000</v>
      </c>
      <c r="GF25" s="275"/>
      <c r="GG25" s="275">
        <f>'[1]POLY commited funds to date'!AZ25</f>
        <v>0</v>
      </c>
      <c r="GH25" s="275">
        <f>'[1]POLY DISB 2019'!AY29</f>
        <v>0</v>
      </c>
      <c r="GI25" s="275">
        <f t="shared" si="50"/>
        <v>0</v>
      </c>
      <c r="GJ25" s="275"/>
      <c r="GK25" s="275">
        <f t="shared" si="51"/>
        <v>5215144804</v>
      </c>
      <c r="GL25" s="275">
        <f t="shared" si="51"/>
        <v>4291351142</v>
      </c>
      <c r="GM25" s="275">
        <f t="shared" si="52"/>
        <v>923793662</v>
      </c>
      <c r="GN25" s="265"/>
      <c r="GO25" s="277">
        <f t="shared" si="53"/>
        <v>2283641302</v>
      </c>
      <c r="GP25" s="277">
        <f t="shared" si="53"/>
        <v>1658601142</v>
      </c>
      <c r="GQ25" s="277">
        <f t="shared" si="54"/>
        <v>625040160</v>
      </c>
      <c r="GR25" s="277">
        <f t="shared" si="0"/>
        <v>10000000</v>
      </c>
      <c r="GS25" s="277">
        <f t="shared" si="0"/>
        <v>10000000</v>
      </c>
      <c r="GT25" s="277">
        <f t="shared" si="55"/>
        <v>0</v>
      </c>
      <c r="GU25" s="277"/>
      <c r="GV25" s="265"/>
      <c r="GW25" s="279">
        <f t="shared" si="56"/>
        <v>2442000000</v>
      </c>
      <c r="GX25" s="279">
        <f t="shared" si="56"/>
        <v>2442000000</v>
      </c>
      <c r="GY25" s="280">
        <f t="shared" si="57"/>
        <v>0</v>
      </c>
      <c r="GZ25" s="280"/>
      <c r="HA25" s="277">
        <f t="shared" si="58"/>
        <v>74928900</v>
      </c>
      <c r="HB25" s="277">
        <f t="shared" si="58"/>
        <v>0</v>
      </c>
      <c r="HC25" s="277">
        <f t="shared" si="59"/>
        <v>74928900</v>
      </c>
      <c r="HE25" s="277">
        <f t="shared" si="60"/>
        <v>36000000</v>
      </c>
      <c r="HF25" s="277">
        <f t="shared" si="60"/>
        <v>0</v>
      </c>
      <c r="HG25" s="277">
        <f t="shared" si="61"/>
        <v>36000000</v>
      </c>
      <c r="HI25" s="279">
        <f t="shared" si="62"/>
        <v>344074602</v>
      </c>
      <c r="HJ25" s="279">
        <f t="shared" si="62"/>
        <v>180750000</v>
      </c>
      <c r="HK25" s="279">
        <f t="shared" si="63"/>
        <v>163324602</v>
      </c>
      <c r="HM25" s="279">
        <f t="shared" si="64"/>
        <v>2000000</v>
      </c>
      <c r="HN25" s="279">
        <f t="shared" si="1"/>
        <v>0</v>
      </c>
      <c r="HO25" s="279">
        <f t="shared" si="65"/>
        <v>2000000</v>
      </c>
      <c r="HQ25" s="279">
        <f t="shared" si="66"/>
        <v>22500000</v>
      </c>
      <c r="HR25" s="279">
        <f t="shared" si="2"/>
        <v>0</v>
      </c>
      <c r="HS25" s="279">
        <f t="shared" si="67"/>
        <v>22500000</v>
      </c>
    </row>
    <row r="26" spans="1:227" x14ac:dyDescent="0.25">
      <c r="A26" s="235">
        <v>18</v>
      </c>
      <c r="B26" s="273" t="s">
        <v>217</v>
      </c>
      <c r="C26" s="274" t="s">
        <v>69</v>
      </c>
      <c r="D26" s="275">
        <v>24709302</v>
      </c>
      <c r="E26" s="275">
        <f>'[1]POLY DISB 2019'!C30</f>
        <v>24709302</v>
      </c>
      <c r="F26" s="275">
        <f t="shared" si="3"/>
        <v>0</v>
      </c>
      <c r="G26" s="275"/>
      <c r="H26" s="275">
        <v>10000000</v>
      </c>
      <c r="I26" s="275">
        <f>'[1]POLY DISB 2019'!D30</f>
        <v>10000000</v>
      </c>
      <c r="J26" s="275">
        <f t="shared" si="4"/>
        <v>0</v>
      </c>
      <c r="K26" s="275"/>
      <c r="L26" s="275">
        <v>20000000</v>
      </c>
      <c r="M26" s="275">
        <f>'[1]POLY DISB 2019'!E30</f>
        <v>20000000</v>
      </c>
      <c r="N26" s="275">
        <f t="shared" si="5"/>
        <v>0</v>
      </c>
      <c r="O26" s="275"/>
      <c r="P26" s="275">
        <v>25000000</v>
      </c>
      <c r="Q26" s="275">
        <f>'[1]POLY DISB 2019'!F30</f>
        <v>25000000</v>
      </c>
      <c r="R26" s="275">
        <f t="shared" si="6"/>
        <v>0</v>
      </c>
      <c r="S26" s="275"/>
      <c r="T26" s="275">
        <f>12000000-12000000</f>
        <v>0</v>
      </c>
      <c r="U26" s="275">
        <f>'[1]POLY DISB 2019'!G30</f>
        <v>0</v>
      </c>
      <c r="V26" s="275">
        <f t="shared" si="7"/>
        <v>0</v>
      </c>
      <c r="W26" s="275"/>
      <c r="X26" s="275">
        <f>12000000-12000000</f>
        <v>0</v>
      </c>
      <c r="Y26" s="275">
        <f>'[1]POLY DISB 2019'!H30</f>
        <v>0</v>
      </c>
      <c r="Z26" s="275">
        <f t="shared" si="8"/>
        <v>0</v>
      </c>
      <c r="AA26" s="275"/>
      <c r="AB26" s="275">
        <v>0</v>
      </c>
      <c r="AC26" s="275">
        <f>'[1]POLY DISB 2019'!I30</f>
        <v>0</v>
      </c>
      <c r="AD26" s="275">
        <f t="shared" si="9"/>
        <v>0</v>
      </c>
      <c r="AE26" s="275"/>
      <c r="AF26" s="275">
        <f>20000000-20000000</f>
        <v>0</v>
      </c>
      <c r="AG26" s="275">
        <f>'[1]POLY DISB 2019'!J30</f>
        <v>0</v>
      </c>
      <c r="AH26" s="275">
        <f t="shared" si="10"/>
        <v>0</v>
      </c>
      <c r="AI26" s="275"/>
      <c r="AJ26" s="275">
        <v>10000000</v>
      </c>
      <c r="AK26" s="275">
        <f>'[1]POLY DISB 2019'!K30</f>
        <v>10000000</v>
      </c>
      <c r="AL26" s="275">
        <f t="shared" si="11"/>
        <v>0</v>
      </c>
      <c r="AM26" s="275"/>
      <c r="AN26" s="275">
        <v>20000000</v>
      </c>
      <c r="AO26" s="275">
        <f>'[1]POLY DISB 2019'!L30</f>
        <v>20000000</v>
      </c>
      <c r="AP26" s="275">
        <f t="shared" si="12"/>
        <v>0</v>
      </c>
      <c r="AQ26" s="275"/>
      <c r="AR26" s="275">
        <v>26000000</v>
      </c>
      <c r="AS26" s="275">
        <f>'[1]POLY DISB 2019'!M30</f>
        <v>26000000</v>
      </c>
      <c r="AT26" s="275">
        <f t="shared" si="13"/>
        <v>0</v>
      </c>
      <c r="AU26" s="275"/>
      <c r="AV26" s="275">
        <v>45000000</v>
      </c>
      <c r="AW26" s="275">
        <f>'[1]POLY DISB 2019'!N30</f>
        <v>45000000</v>
      </c>
      <c r="AX26" s="275">
        <f t="shared" si="14"/>
        <v>0</v>
      </c>
      <c r="AY26" s="275"/>
      <c r="AZ26" s="275">
        <v>38340000</v>
      </c>
      <c r="BA26" s="275">
        <f>'[1]POLY DISB 2019'!P30</f>
        <v>38340000</v>
      </c>
      <c r="BB26" s="275">
        <f t="shared" si="15"/>
        <v>0</v>
      </c>
      <c r="BC26" s="275"/>
      <c r="BD26" s="275">
        <v>0</v>
      </c>
      <c r="BE26" s="275">
        <f>'[1]POLY DISB 2019'!Q30</f>
        <v>0</v>
      </c>
      <c r="BF26" s="275">
        <f t="shared" si="16"/>
        <v>0</v>
      </c>
      <c r="BG26" s="275"/>
      <c r="BH26" s="275">
        <f>'[1]POLY commited funds to date'!S26</f>
        <v>126060000</v>
      </c>
      <c r="BI26" s="275">
        <f>'[1]POLY DISB 2019'!R30</f>
        <v>126060000</v>
      </c>
      <c r="BJ26" s="275">
        <f t="shared" si="17"/>
        <v>0</v>
      </c>
      <c r="BK26" s="275"/>
      <c r="BL26" s="275">
        <v>21250000</v>
      </c>
      <c r="BM26" s="275">
        <f>'[1]POLY DISB 2019'!S30</f>
        <v>21250000</v>
      </c>
      <c r="BN26" s="269">
        <f t="shared" si="18"/>
        <v>0</v>
      </c>
      <c r="BO26" s="275"/>
      <c r="BP26" s="276">
        <f>'[1]POLY commited funds to date'!U26</f>
        <v>169900000</v>
      </c>
      <c r="BQ26" s="275">
        <f>'[1]POLY DISB 2019'!T30</f>
        <v>169900000</v>
      </c>
      <c r="BR26" s="275">
        <f t="shared" si="19"/>
        <v>0</v>
      </c>
      <c r="BS26" s="275"/>
      <c r="BT26" s="275">
        <f>'[1]POLY commited funds to date'!V26</f>
        <v>10000000</v>
      </c>
      <c r="BU26" s="275">
        <f>'[1]POLY DISB 2019'!U30</f>
        <v>0</v>
      </c>
      <c r="BV26" s="275">
        <f t="shared" si="20"/>
        <v>10000000</v>
      </c>
      <c r="BW26" s="275"/>
      <c r="BX26" s="275">
        <f>'[1]POLY commited funds to date'!W26</f>
        <v>500000000</v>
      </c>
      <c r="BY26" s="275">
        <f>'[1]POLY DISB 2019'!V30</f>
        <v>500000000</v>
      </c>
      <c r="BZ26" s="275">
        <f t="shared" si="21"/>
        <v>0</v>
      </c>
      <c r="CA26" s="275"/>
      <c r="CB26" s="275">
        <f>'[1]POLY commited funds to date'!X26</f>
        <v>210000000</v>
      </c>
      <c r="CC26" s="275">
        <f>'[1]POLY DISB 2019'!W30</f>
        <v>210000000</v>
      </c>
      <c r="CD26" s="275">
        <f t="shared" si="22"/>
        <v>0</v>
      </c>
      <c r="CE26" s="275"/>
      <c r="CF26" s="275">
        <f>'[1]POLY commited funds to date'!Y26</f>
        <v>0</v>
      </c>
      <c r="CG26" s="275">
        <f>'[1]POLY DISB 2019'!X30</f>
        <v>0</v>
      </c>
      <c r="CH26" s="275">
        <f t="shared" si="23"/>
        <v>0</v>
      </c>
      <c r="CI26" s="275"/>
      <c r="CJ26" s="275">
        <f>'[1]POLY commited funds to date'!Z26</f>
        <v>100000000</v>
      </c>
      <c r="CK26" s="275">
        <f>'[1]POLY DISB 2019'!Y30</f>
        <v>100000000</v>
      </c>
      <c r="CL26" s="275">
        <f t="shared" si="24"/>
        <v>0</v>
      </c>
      <c r="CM26" s="275"/>
      <c r="CN26" s="275">
        <f>'[1]POLY commited funds to date'!AA26</f>
        <v>243000000</v>
      </c>
      <c r="CO26" s="275">
        <f>'[1]POLY DISB 2019'!Z30</f>
        <v>206550000</v>
      </c>
      <c r="CP26" s="275">
        <f t="shared" si="25"/>
        <v>36450000</v>
      </c>
      <c r="CQ26" s="275"/>
      <c r="CR26" s="275">
        <v>10000000</v>
      </c>
      <c r="CS26" s="275">
        <f>'[1]POLY DISB 2019'!AA30</f>
        <v>0</v>
      </c>
      <c r="CT26" s="275">
        <f t="shared" si="26"/>
        <v>10000000</v>
      </c>
      <c r="CU26" s="275"/>
      <c r="CV26" s="275">
        <f>'[1]POLY commited funds to date'!AC26</f>
        <v>371000000</v>
      </c>
      <c r="CW26" s="275">
        <f>'[1]POLY DISB 2019'!AB30</f>
        <v>315350000</v>
      </c>
      <c r="CX26" s="275">
        <f t="shared" si="27"/>
        <v>55650000</v>
      </c>
      <c r="CY26" s="275"/>
      <c r="CZ26" s="275">
        <f>'[1]POLY commited funds to date'!AD26</f>
        <v>20000000</v>
      </c>
      <c r="DA26" s="275">
        <f>'[1]POLY DISB 2019'!AC30</f>
        <v>0</v>
      </c>
      <c r="DB26" s="275">
        <f t="shared" si="28"/>
        <v>20000000</v>
      </c>
      <c r="DC26" s="275"/>
      <c r="DD26" s="275">
        <f>'[1]POLY commited funds to date'!AE26</f>
        <v>200000000</v>
      </c>
      <c r="DE26" s="275">
        <f>'[1]POLY DISB 2019'!AD30</f>
        <v>200000000</v>
      </c>
      <c r="DF26" s="275">
        <f t="shared" si="29"/>
        <v>0</v>
      </c>
      <c r="DG26" s="275"/>
      <c r="DH26" s="275">
        <f>'[1]poly  com. adj for fmis'!AE26</f>
        <v>80000000</v>
      </c>
      <c r="DI26" s="275">
        <f>'[1]POLY DISB 2019'!AE30</f>
        <v>0</v>
      </c>
      <c r="DJ26" s="275">
        <f t="shared" si="30"/>
        <v>80000000</v>
      </c>
      <c r="DK26" s="275"/>
      <c r="DL26" s="275">
        <f>'[1]poly  com. adj for fmis'!AF26</f>
        <v>8000000</v>
      </c>
      <c r="DM26" s="275">
        <f>'[1]POLY DISB 2019'!AF30</f>
        <v>0</v>
      </c>
      <c r="DN26" s="275">
        <f t="shared" si="31"/>
        <v>8000000</v>
      </c>
      <c r="DO26" s="275"/>
      <c r="DP26" s="275">
        <f>'[1]poly  com. adj for fmis'!AG26</f>
        <v>2000000</v>
      </c>
      <c r="DQ26" s="275">
        <f>'[1]POLY DISB 2019'!AG30</f>
        <v>0</v>
      </c>
      <c r="DR26" s="275">
        <f t="shared" si="32"/>
        <v>2000000</v>
      </c>
      <c r="DS26" s="275"/>
      <c r="DT26" s="275">
        <f>'[1]poly  com. adj for fmis'!AH26</f>
        <v>10000000</v>
      </c>
      <c r="DU26" s="275">
        <f>'[1]POLY DISB 2019'!AH30</f>
        <v>0</v>
      </c>
      <c r="DV26" s="275">
        <f t="shared" si="33"/>
        <v>10000000</v>
      </c>
      <c r="DW26" s="275"/>
      <c r="DX26" s="275">
        <f>'[1]poly  com. adj for fmis'!AI26</f>
        <v>1000000000</v>
      </c>
      <c r="DY26" s="275">
        <f>'[1]POLY DISB 2019'!AI30</f>
        <v>1000000000</v>
      </c>
      <c r="DZ26" s="275">
        <f t="shared" si="34"/>
        <v>0</v>
      </c>
      <c r="EA26" s="275"/>
      <c r="EB26" s="275">
        <f>'[1]POLY commited funds to date'!AK26</f>
        <v>380632000</v>
      </c>
      <c r="EC26" s="275">
        <f>'[1]POLY DISB 2019'!AJ30</f>
        <v>0</v>
      </c>
      <c r="ED26" s="275">
        <f t="shared" si="35"/>
        <v>380632000</v>
      </c>
      <c r="EE26" s="275"/>
      <c r="EF26" s="275">
        <f>'[1]POLY commited funds to date'!AL26</f>
        <v>8000000</v>
      </c>
      <c r="EG26" s="275">
        <f>'[1]POLY DISB 2019'!AK30</f>
        <v>0</v>
      </c>
      <c r="EH26" s="275">
        <f t="shared" si="36"/>
        <v>8000000</v>
      </c>
      <c r="EI26" s="275"/>
      <c r="EJ26" s="275">
        <f>'[1]POLY commited funds to date'!AM26</f>
        <v>10000000</v>
      </c>
      <c r="EK26" s="275">
        <f>'[1]POLY DISB 2019'!AL30</f>
        <v>0</v>
      </c>
      <c r="EL26" s="275">
        <f t="shared" si="37"/>
        <v>10000000</v>
      </c>
      <c r="EM26" s="275"/>
      <c r="EN26" s="275">
        <f>'[1]POLY commited funds to date'!AN26</f>
        <v>10000000</v>
      </c>
      <c r="EO26" s="275">
        <f>'[1]POLY DISB 2019'!AM30</f>
        <v>0</v>
      </c>
      <c r="EP26" s="275">
        <f t="shared" si="38"/>
        <v>10000000</v>
      </c>
      <c r="EQ26" s="275">
        <f>'[1]POLY commited funds to date'!AO26</f>
        <v>0</v>
      </c>
      <c r="ER26" s="275">
        <f>'[1]POLY DISB 2019'!AN30</f>
        <v>0</v>
      </c>
      <c r="ES26" s="275">
        <f t="shared" si="39"/>
        <v>0</v>
      </c>
      <c r="ET26" s="275"/>
      <c r="EU26" s="275">
        <f>'[1]POLY commited funds to date'!AP26</f>
        <v>205000000</v>
      </c>
      <c r="EV26" s="275">
        <f>'[1]POLY DISB 2019'!AO30</f>
        <v>0</v>
      </c>
      <c r="EW26" s="275">
        <f t="shared" si="40"/>
        <v>205000000</v>
      </c>
      <c r="EX26" s="275"/>
      <c r="EY26" s="275">
        <f>'[1]POLY commited funds to date'!AQ26</f>
        <v>75000000</v>
      </c>
      <c r="EZ26" s="275">
        <f>'[1]POLY DISB 2019'!AP30</f>
        <v>51750000</v>
      </c>
      <c r="FA26" s="275">
        <f t="shared" si="41"/>
        <v>23250000</v>
      </c>
      <c r="FB26" s="275"/>
      <c r="FC26" s="275">
        <f>'[1]POLY commited funds to date'!AR26</f>
        <v>7000000</v>
      </c>
      <c r="FD26" s="275">
        <f>'[1]POLY DISB 2019'!AQ30</f>
        <v>0</v>
      </c>
      <c r="FE26" s="275">
        <f t="shared" si="42"/>
        <v>7000000</v>
      </c>
      <c r="FF26" s="275"/>
      <c r="FG26" s="275">
        <f>'[1]POLY commited funds to date'!AS26</f>
        <v>6300000</v>
      </c>
      <c r="FH26" s="275">
        <f>'[1]POLY DISB 2019'!AR30</f>
        <v>0</v>
      </c>
      <c r="FI26" s="275">
        <f t="shared" si="43"/>
        <v>6300000</v>
      </c>
      <c r="FJ26" s="275"/>
      <c r="FK26" s="275">
        <f>'[1]POLY commited funds to date'!AT26</f>
        <v>7500000</v>
      </c>
      <c r="FL26" s="275">
        <f>'[1]POLY DISB 2019'!AS30</f>
        <v>0</v>
      </c>
      <c r="FM26" s="275">
        <f t="shared" si="44"/>
        <v>7500000</v>
      </c>
      <c r="FN26" s="275"/>
      <c r="FO26" s="275">
        <f>'[1]POLY commited funds to date'!AU26</f>
        <v>245000000</v>
      </c>
      <c r="FP26" s="275">
        <f>'[1]POLY DISB 2019'!AT30</f>
        <v>0</v>
      </c>
      <c r="FQ26" s="275">
        <f t="shared" si="45"/>
        <v>245000000</v>
      </c>
      <c r="FR26" s="275">
        <f>'[1]POLY commited funds to date'!AV26</f>
        <v>119074602</v>
      </c>
      <c r="FS26" s="275">
        <f>'[1]POLY DISB 2019'!AU30</f>
        <v>0</v>
      </c>
      <c r="FT26" s="275">
        <f t="shared" si="46"/>
        <v>119074602</v>
      </c>
      <c r="FU26" s="275"/>
      <c r="FV26" s="275">
        <f>'[1]POLY commited funds to date'!AW26</f>
        <v>13000000</v>
      </c>
      <c r="FW26" s="275">
        <f>'[1]POLY DISB 2019'!AV30</f>
        <v>0</v>
      </c>
      <c r="FX26" s="275">
        <f t="shared" si="47"/>
        <v>13000000</v>
      </c>
      <c r="FY26" s="275"/>
      <c r="FZ26" s="275">
        <f>'[1]POLY commited funds to date'!AX26</f>
        <v>8628900</v>
      </c>
      <c r="GA26" s="275">
        <f>'[1]POLY DISB 2019'!AW30</f>
        <v>0</v>
      </c>
      <c r="GB26" s="275">
        <f t="shared" si="48"/>
        <v>8628900</v>
      </c>
      <c r="GC26" s="275">
        <f>'[1]POLY commited funds to date'!AY26</f>
        <v>5000000</v>
      </c>
      <c r="GD26" s="275">
        <f>'[1]POLY DISB 2019'!AX30</f>
        <v>0</v>
      </c>
      <c r="GE26" s="275">
        <f t="shared" si="49"/>
        <v>5000000</v>
      </c>
      <c r="GF26" s="275"/>
      <c r="GG26" s="275">
        <f>'[1]POLY commited funds to date'!AZ26</f>
        <v>0</v>
      </c>
      <c r="GH26" s="275">
        <f>'[1]POLY DISB 2019'!AY30</f>
        <v>0</v>
      </c>
      <c r="GI26" s="275">
        <f t="shared" si="50"/>
        <v>0</v>
      </c>
      <c r="GJ26" s="275"/>
      <c r="GK26" s="275">
        <f t="shared" si="51"/>
        <v>4400394804</v>
      </c>
      <c r="GL26" s="275">
        <f t="shared" si="51"/>
        <v>3119909302</v>
      </c>
      <c r="GM26" s="275">
        <f t="shared" si="52"/>
        <v>1280485502</v>
      </c>
      <c r="GN26" s="265"/>
      <c r="GO26" s="277">
        <f t="shared" si="53"/>
        <v>2239641302</v>
      </c>
      <c r="GP26" s="277">
        <f t="shared" si="53"/>
        <v>1236909302</v>
      </c>
      <c r="GQ26" s="277">
        <f t="shared" si="54"/>
        <v>1002732000</v>
      </c>
      <c r="GR26" s="277">
        <f t="shared" si="0"/>
        <v>10000000</v>
      </c>
      <c r="GS26" s="277">
        <f t="shared" si="0"/>
        <v>10000000</v>
      </c>
      <c r="GT26" s="277">
        <f t="shared" si="55"/>
        <v>0</v>
      </c>
      <c r="GU26" s="277"/>
      <c r="GV26" s="265"/>
      <c r="GW26" s="279">
        <f t="shared" ref="GW26:GX75" si="68">BD26+BL26+BX26+CF26+CJ26+DD26+DX26+AB26</f>
        <v>1821250000</v>
      </c>
      <c r="GX26" s="279">
        <f t="shared" si="68"/>
        <v>1821250000</v>
      </c>
      <c r="GY26" s="280">
        <f t="shared" si="57"/>
        <v>0</v>
      </c>
      <c r="GZ26" s="280"/>
      <c r="HA26" s="277">
        <f t="shared" si="58"/>
        <v>74928900</v>
      </c>
      <c r="HB26" s="277">
        <f t="shared" si="58"/>
        <v>0</v>
      </c>
      <c r="HC26" s="277">
        <f t="shared" si="59"/>
        <v>74928900</v>
      </c>
      <c r="HE26" s="277">
        <f t="shared" si="60"/>
        <v>36000000</v>
      </c>
      <c r="HF26" s="277">
        <f t="shared" si="60"/>
        <v>0</v>
      </c>
      <c r="HG26" s="277">
        <f t="shared" si="61"/>
        <v>36000000</v>
      </c>
      <c r="HI26" s="279">
        <f t="shared" si="62"/>
        <v>194074602</v>
      </c>
      <c r="HJ26" s="279">
        <f t="shared" si="62"/>
        <v>51750000</v>
      </c>
      <c r="HK26" s="279">
        <f t="shared" si="63"/>
        <v>142324602</v>
      </c>
      <c r="HM26" s="279">
        <f t="shared" si="64"/>
        <v>2000000</v>
      </c>
      <c r="HN26" s="279">
        <f t="shared" si="1"/>
        <v>0</v>
      </c>
      <c r="HO26" s="279">
        <f t="shared" si="65"/>
        <v>2000000</v>
      </c>
      <c r="HQ26" s="279">
        <f t="shared" si="66"/>
        <v>22500000</v>
      </c>
      <c r="HR26" s="279">
        <f t="shared" si="2"/>
        <v>0</v>
      </c>
      <c r="HS26" s="279">
        <f t="shared" si="67"/>
        <v>22500000</v>
      </c>
    </row>
    <row r="27" spans="1:227" x14ac:dyDescent="0.25">
      <c r="A27" s="235">
        <v>19</v>
      </c>
      <c r="B27" s="273" t="s">
        <v>218</v>
      </c>
      <c r="C27" s="274" t="s">
        <v>76</v>
      </c>
      <c r="D27" s="275">
        <v>24709302</v>
      </c>
      <c r="E27" s="275">
        <f>'[1]POLY DISB 2019'!C31</f>
        <v>24709302</v>
      </c>
      <c r="F27" s="275">
        <f t="shared" si="3"/>
        <v>0</v>
      </c>
      <c r="G27" s="275"/>
      <c r="H27" s="275">
        <v>10000000</v>
      </c>
      <c r="I27" s="275">
        <f>'[1]POLY DISB 2019'!D31</f>
        <v>10000000</v>
      </c>
      <c r="J27" s="275">
        <f t="shared" si="4"/>
        <v>0</v>
      </c>
      <c r="K27" s="275"/>
      <c r="L27" s="275">
        <v>20000000</v>
      </c>
      <c r="M27" s="275">
        <f>'[1]POLY DISB 2019'!E31</f>
        <v>20000000</v>
      </c>
      <c r="N27" s="275">
        <f t="shared" si="5"/>
        <v>0</v>
      </c>
      <c r="O27" s="275"/>
      <c r="P27" s="275">
        <v>25000000</v>
      </c>
      <c r="Q27" s="275">
        <f>'[1]POLY DISB 2019'!F31</f>
        <v>25000000</v>
      </c>
      <c r="R27" s="275">
        <f t="shared" si="6"/>
        <v>0</v>
      </c>
      <c r="S27" s="275"/>
      <c r="T27" s="275">
        <v>12000000</v>
      </c>
      <c r="U27" s="275">
        <f>'[1]POLY DISB 2019'!G31</f>
        <v>12000000</v>
      </c>
      <c r="V27" s="275">
        <f t="shared" si="7"/>
        <v>0</v>
      </c>
      <c r="W27" s="275"/>
      <c r="X27" s="275">
        <v>12000000</v>
      </c>
      <c r="Y27" s="275">
        <f>'[1]POLY DISB 2019'!H31</f>
        <v>12000000</v>
      </c>
      <c r="Z27" s="275">
        <f t="shared" si="8"/>
        <v>0</v>
      </c>
      <c r="AA27" s="275"/>
      <c r="AB27" s="275">
        <v>0</v>
      </c>
      <c r="AC27" s="275">
        <f>'[1]POLY DISB 2019'!I31</f>
        <v>0</v>
      </c>
      <c r="AD27" s="275">
        <f t="shared" si="9"/>
        <v>0</v>
      </c>
      <c r="AE27" s="275"/>
      <c r="AF27" s="275">
        <f>'[1]POLY commited funds to date'!K27</f>
        <v>20000000</v>
      </c>
      <c r="AG27" s="275">
        <f>'[1]POLY DISB 2019'!J31</f>
        <v>20000000</v>
      </c>
      <c r="AH27" s="275">
        <f t="shared" si="10"/>
        <v>0</v>
      </c>
      <c r="AI27" s="275"/>
      <c r="AJ27" s="275">
        <v>10000000</v>
      </c>
      <c r="AK27" s="275">
        <f>'[1]POLY DISB 2019'!K31</f>
        <v>10000000</v>
      </c>
      <c r="AL27" s="275">
        <f t="shared" si="11"/>
        <v>0</v>
      </c>
      <c r="AM27" s="275"/>
      <c r="AN27" s="275">
        <v>20000000</v>
      </c>
      <c r="AO27" s="275">
        <f>'[1]POLY DISB 2019'!L31</f>
        <v>20000000</v>
      </c>
      <c r="AP27" s="275">
        <f t="shared" si="12"/>
        <v>0</v>
      </c>
      <c r="AQ27" s="275"/>
      <c r="AR27" s="275">
        <v>26000000</v>
      </c>
      <c r="AS27" s="275">
        <f>'[1]POLY DISB 2019'!M31</f>
        <v>26000000</v>
      </c>
      <c r="AT27" s="275">
        <f t="shared" si="13"/>
        <v>0</v>
      </c>
      <c r="AU27" s="275"/>
      <c r="AV27" s="275">
        <v>45000000</v>
      </c>
      <c r="AW27" s="275">
        <f>'[1]POLY DISB 2019'!N31</f>
        <v>45000000</v>
      </c>
      <c r="AX27" s="275">
        <f t="shared" si="14"/>
        <v>0</v>
      </c>
      <c r="AY27" s="275"/>
      <c r="AZ27" s="275">
        <v>38340000</v>
      </c>
      <c r="BA27" s="275">
        <f>'[1]POLY DISB 2019'!P31</f>
        <v>38340000</v>
      </c>
      <c r="BB27" s="275">
        <f t="shared" si="15"/>
        <v>0</v>
      </c>
      <c r="BC27" s="275"/>
      <c r="BD27" s="275">
        <v>0</v>
      </c>
      <c r="BE27" s="275">
        <f>'[1]POLY DISB 2019'!Q31</f>
        <v>0</v>
      </c>
      <c r="BF27" s="275">
        <f t="shared" si="16"/>
        <v>0</v>
      </c>
      <c r="BG27" s="275"/>
      <c r="BH27" s="275">
        <f>'[1]POLY commited funds to date'!S27</f>
        <v>126060000</v>
      </c>
      <c r="BI27" s="275">
        <f>'[1]POLY DISB 2019'!R31</f>
        <v>126060000</v>
      </c>
      <c r="BJ27" s="275">
        <f t="shared" si="17"/>
        <v>0</v>
      </c>
      <c r="BK27" s="275"/>
      <c r="BL27" s="275">
        <f>'[1]poly  com. adj for fmis'!S27</f>
        <v>450000000</v>
      </c>
      <c r="BM27" s="275">
        <f>'[1]POLY DISB 2019'!S31</f>
        <v>450000000</v>
      </c>
      <c r="BN27" s="269">
        <f t="shared" si="18"/>
        <v>0</v>
      </c>
      <c r="BO27" s="275"/>
      <c r="BP27" s="276">
        <f>'[1]POLY commited funds to date'!U27</f>
        <v>169900000</v>
      </c>
      <c r="BQ27" s="275">
        <f>'[1]POLY DISB 2019'!T31</f>
        <v>168993173.06148702</v>
      </c>
      <c r="BR27" s="275">
        <f t="shared" si="19"/>
        <v>906826.93851298094</v>
      </c>
      <c r="BS27" s="275"/>
      <c r="BT27" s="275">
        <f>'[1]POLY commited funds to date'!V27</f>
        <v>10000000</v>
      </c>
      <c r="BU27" s="275">
        <f>'[1]POLY DISB 2019'!U31</f>
        <v>10000000</v>
      </c>
      <c r="BV27" s="275">
        <f t="shared" si="20"/>
        <v>0</v>
      </c>
      <c r="BW27" s="275"/>
      <c r="BX27" s="275">
        <f>'[1]POLY commited funds to date'!W27</f>
        <v>0</v>
      </c>
      <c r="BY27" s="275">
        <f>'[1]POLY DISB 2019'!V31</f>
        <v>0</v>
      </c>
      <c r="BZ27" s="275">
        <f t="shared" si="21"/>
        <v>0</v>
      </c>
      <c r="CA27" s="275"/>
      <c r="CB27" s="275">
        <f>'[1]POLY commited funds to date'!X27</f>
        <v>210000000</v>
      </c>
      <c r="CC27" s="275">
        <f>'[1]POLY DISB 2019'!W31</f>
        <v>178398860.17017201</v>
      </c>
      <c r="CD27" s="275">
        <f t="shared" si="22"/>
        <v>31601139.829827994</v>
      </c>
      <c r="CE27" s="275"/>
      <c r="CF27" s="275">
        <f>'[1]POLY commited funds to date'!Y27</f>
        <v>67000000</v>
      </c>
      <c r="CG27" s="275">
        <f>'[1]POLY DISB 2019'!X31</f>
        <v>60700000</v>
      </c>
      <c r="CH27" s="275">
        <f t="shared" si="23"/>
        <v>6300000</v>
      </c>
      <c r="CI27" s="275"/>
      <c r="CJ27" s="275">
        <f>'[1]POLY commited funds to date'!Z27</f>
        <v>110000000</v>
      </c>
      <c r="CK27" s="275">
        <f>'[1]POLY DISB 2019'!Y31</f>
        <v>110000000</v>
      </c>
      <c r="CL27" s="275">
        <f t="shared" si="24"/>
        <v>0</v>
      </c>
      <c r="CM27" s="275"/>
      <c r="CN27" s="275">
        <f>'[1]POLY commited funds to date'!AA27</f>
        <v>243000000</v>
      </c>
      <c r="CO27" s="275">
        <f>'[1]POLY DISB 2019'!Z31</f>
        <v>206432966.76834199</v>
      </c>
      <c r="CP27" s="275">
        <f t="shared" si="25"/>
        <v>36567033.231658012</v>
      </c>
      <c r="CQ27" s="275"/>
      <c r="CR27" s="275">
        <v>10000000</v>
      </c>
      <c r="CS27" s="275">
        <f>'[1]POLY DISB 2019'!AA31</f>
        <v>10000000</v>
      </c>
      <c r="CT27" s="275">
        <f t="shared" si="26"/>
        <v>0</v>
      </c>
      <c r="CU27" s="275"/>
      <c r="CV27" s="275">
        <f>'[1]POLY commited funds to date'!AC27</f>
        <v>371000000</v>
      </c>
      <c r="CW27" s="275">
        <f>'[1]POLY DISB 2019'!AB31</f>
        <v>215180000</v>
      </c>
      <c r="CX27" s="275">
        <f t="shared" si="27"/>
        <v>155820000</v>
      </c>
      <c r="CY27" s="275"/>
      <c r="CZ27" s="275">
        <f>'[1]POLY commited funds to date'!AD27</f>
        <v>20000000</v>
      </c>
      <c r="DA27" s="275">
        <f>'[1]POLY DISB 2019'!AC31</f>
        <v>20000000</v>
      </c>
      <c r="DB27" s="275">
        <f t="shared" si="28"/>
        <v>0</v>
      </c>
      <c r="DC27" s="275"/>
      <c r="DD27" s="275">
        <f>'[1]POLY commited funds to date'!AE27</f>
        <v>0</v>
      </c>
      <c r="DE27" s="275">
        <f>'[1]POLY DISB 2019'!AD31</f>
        <v>0</v>
      </c>
      <c r="DF27" s="275">
        <f t="shared" si="29"/>
        <v>0</v>
      </c>
      <c r="DG27" s="275"/>
      <c r="DH27" s="275">
        <f>'[1]poly  com. adj for fmis'!AE27</f>
        <v>80000000</v>
      </c>
      <c r="DI27" s="275">
        <f>'[1]POLY DISB 2019'!AE31</f>
        <v>46400000</v>
      </c>
      <c r="DJ27" s="275">
        <f t="shared" si="30"/>
        <v>33600000</v>
      </c>
      <c r="DK27" s="275"/>
      <c r="DL27" s="275">
        <f>'[1]poly  com. adj for fmis'!AF27</f>
        <v>8000000</v>
      </c>
      <c r="DM27" s="275">
        <f>'[1]POLY DISB 2019'!AF31</f>
        <v>6800000</v>
      </c>
      <c r="DN27" s="275">
        <f t="shared" si="31"/>
        <v>1200000</v>
      </c>
      <c r="DO27" s="275"/>
      <c r="DP27" s="275">
        <f>'[1]poly  com. adj for fmis'!AG27</f>
        <v>2000000</v>
      </c>
      <c r="DQ27" s="275">
        <f>'[1]POLY DISB 2019'!AG31</f>
        <v>0</v>
      </c>
      <c r="DR27" s="275">
        <f t="shared" si="32"/>
        <v>2000000</v>
      </c>
      <c r="DS27" s="275"/>
      <c r="DT27" s="275">
        <f>'[1]poly  com. adj for fmis'!AH27</f>
        <v>10000000</v>
      </c>
      <c r="DU27" s="275">
        <f>'[1]POLY DISB 2019'!AH31</f>
        <v>10000000</v>
      </c>
      <c r="DV27" s="275">
        <f t="shared" si="33"/>
        <v>0</v>
      </c>
      <c r="DW27" s="275"/>
      <c r="DX27" s="275">
        <f>'[1]poly  com. adj for fmis'!AI27</f>
        <v>0</v>
      </c>
      <c r="DY27" s="275">
        <f>'[1]POLY DISB 2019'!AI31</f>
        <v>0</v>
      </c>
      <c r="DZ27" s="275">
        <f t="shared" si="34"/>
        <v>0</v>
      </c>
      <c r="EA27" s="275"/>
      <c r="EB27" s="275">
        <f>'[1]POLY commited funds to date'!AK27</f>
        <v>380632000</v>
      </c>
      <c r="EC27" s="275">
        <f>'[1]POLY DISB 2019'!AJ31</f>
        <v>220766560</v>
      </c>
      <c r="ED27" s="275">
        <f t="shared" si="35"/>
        <v>159865440</v>
      </c>
      <c r="EE27" s="275"/>
      <c r="EF27" s="275">
        <f>'[1]POLY commited funds to date'!AL27</f>
        <v>8000000</v>
      </c>
      <c r="EG27" s="275">
        <f>'[1]POLY DISB 2019'!AK31</f>
        <v>6800000</v>
      </c>
      <c r="EH27" s="275">
        <f t="shared" si="36"/>
        <v>1200000</v>
      </c>
      <c r="EI27" s="275"/>
      <c r="EJ27" s="275">
        <f>'[1]POLY commited funds to date'!AM27</f>
        <v>10000000</v>
      </c>
      <c r="EK27" s="275">
        <f>'[1]POLY DISB 2019'!AL31</f>
        <v>0</v>
      </c>
      <c r="EL27" s="275">
        <f t="shared" si="37"/>
        <v>10000000</v>
      </c>
      <c r="EM27" s="275"/>
      <c r="EN27" s="275">
        <f>'[1]POLY commited funds to date'!AN27</f>
        <v>10000000</v>
      </c>
      <c r="EO27" s="275">
        <f>'[1]POLY DISB 2019'!AM31</f>
        <v>0</v>
      </c>
      <c r="EP27" s="275">
        <f t="shared" si="38"/>
        <v>10000000</v>
      </c>
      <c r="EQ27" s="281">
        <f>'[1]POLY commited funds to date'!AO27</f>
        <v>150000000</v>
      </c>
      <c r="ER27" s="275">
        <f>'[1]POLY DISB 2019'!AN31</f>
        <v>150000000</v>
      </c>
      <c r="ES27" s="275">
        <f t="shared" si="39"/>
        <v>0</v>
      </c>
      <c r="ET27" s="275"/>
      <c r="EU27" s="275">
        <f>'[1]POLY commited funds to date'!AP27</f>
        <v>205000000</v>
      </c>
      <c r="EV27" s="275">
        <f>'[1]POLY DISB 2019'!AO31</f>
        <v>0</v>
      </c>
      <c r="EW27" s="275">
        <f t="shared" si="40"/>
        <v>205000000</v>
      </c>
      <c r="EX27" s="275"/>
      <c r="EY27" s="275">
        <f>'[1]POLY commited funds to date'!AQ27</f>
        <v>75000000</v>
      </c>
      <c r="EZ27" s="275">
        <f>'[1]POLY DISB 2019'!AP31</f>
        <v>75000000</v>
      </c>
      <c r="FA27" s="275">
        <f t="shared" si="41"/>
        <v>0</v>
      </c>
      <c r="FB27" s="275"/>
      <c r="FC27" s="275">
        <f>'[1]POLY commited funds to date'!AR27</f>
        <v>7000000</v>
      </c>
      <c r="FD27" s="275">
        <f>'[1]POLY DISB 2019'!AQ31</f>
        <v>0</v>
      </c>
      <c r="FE27" s="275">
        <f t="shared" si="42"/>
        <v>7000000</v>
      </c>
      <c r="FF27" s="275"/>
      <c r="FG27" s="275">
        <f>'[1]POLY commited funds to date'!AS27</f>
        <v>6300000</v>
      </c>
      <c r="FH27" s="275">
        <f>'[1]POLY DISB 2019'!AR31</f>
        <v>0</v>
      </c>
      <c r="FI27" s="275">
        <f t="shared" si="43"/>
        <v>6300000</v>
      </c>
      <c r="FJ27" s="275"/>
      <c r="FK27" s="275">
        <f>'[1]POLY commited funds to date'!AT27</f>
        <v>7500000</v>
      </c>
      <c r="FL27" s="275">
        <f>'[1]POLY DISB 2019'!AS31</f>
        <v>0</v>
      </c>
      <c r="FM27" s="275">
        <f t="shared" si="44"/>
        <v>7500000</v>
      </c>
      <c r="FN27" s="275"/>
      <c r="FO27" s="275">
        <f>'[1]POLY commited funds to date'!AU27</f>
        <v>245000000</v>
      </c>
      <c r="FP27" s="275">
        <f>'[1]POLY DISB 2019'!AT31</f>
        <v>0</v>
      </c>
      <c r="FQ27" s="275">
        <f t="shared" si="45"/>
        <v>245000000</v>
      </c>
      <c r="FR27" s="275">
        <f>'[1]POLY commited funds to date'!AV27</f>
        <v>119074602</v>
      </c>
      <c r="FS27" s="275">
        <f>'[1]POLY DISB 2019'!AU31</f>
        <v>0</v>
      </c>
      <c r="FT27" s="275">
        <f t="shared" si="46"/>
        <v>119074602</v>
      </c>
      <c r="FU27" s="275"/>
      <c r="FV27" s="275">
        <f>'[1]POLY commited funds to date'!AW27</f>
        <v>13000000</v>
      </c>
      <c r="FW27" s="275">
        <f>'[1]POLY DISB 2019'!AV31</f>
        <v>0</v>
      </c>
      <c r="FX27" s="275">
        <f t="shared" si="47"/>
        <v>13000000</v>
      </c>
      <c r="FY27" s="275"/>
      <c r="FZ27" s="275">
        <f>'[1]POLY commited funds to date'!AX27</f>
        <v>8628900</v>
      </c>
      <c r="GA27" s="275">
        <f>'[1]POLY DISB 2019'!AW31</f>
        <v>0</v>
      </c>
      <c r="GB27" s="275">
        <f t="shared" si="48"/>
        <v>8628900</v>
      </c>
      <c r="GC27" s="275">
        <f>'[1]POLY commited funds to date'!AY27</f>
        <v>5000000</v>
      </c>
      <c r="GD27" s="275">
        <f>'[1]POLY DISB 2019'!AX31</f>
        <v>0</v>
      </c>
      <c r="GE27" s="275">
        <f t="shared" si="49"/>
        <v>5000000</v>
      </c>
      <c r="GF27" s="275"/>
      <c r="GG27" s="275">
        <f>'[1]POLY commited funds to date'!AZ27</f>
        <v>0</v>
      </c>
      <c r="GH27" s="275">
        <f>'[1]POLY DISB 2019'!AY31</f>
        <v>0</v>
      </c>
      <c r="GI27" s="275">
        <f t="shared" si="50"/>
        <v>0</v>
      </c>
      <c r="GJ27" s="275"/>
      <c r="GK27" s="275">
        <f t="shared" si="51"/>
        <v>3400144804</v>
      </c>
      <c r="GL27" s="275">
        <f t="shared" si="51"/>
        <v>2334580862.000001</v>
      </c>
      <c r="GM27" s="275">
        <f t="shared" si="52"/>
        <v>1065563941.999999</v>
      </c>
      <c r="GN27" s="265"/>
      <c r="GO27" s="277">
        <f t="shared" si="53"/>
        <v>2283641302</v>
      </c>
      <c r="GP27" s="277">
        <f t="shared" si="53"/>
        <v>1415280862.000001</v>
      </c>
      <c r="GQ27" s="277">
        <f t="shared" si="54"/>
        <v>868360439.99999905</v>
      </c>
      <c r="GR27" s="277">
        <f t="shared" si="0"/>
        <v>10000000</v>
      </c>
      <c r="GS27" s="277">
        <f t="shared" si="0"/>
        <v>10000000</v>
      </c>
      <c r="GT27" s="277">
        <f t="shared" si="55"/>
        <v>0</v>
      </c>
      <c r="GU27" s="277"/>
      <c r="GV27" s="265"/>
      <c r="GW27" s="279">
        <f t="shared" si="68"/>
        <v>627000000</v>
      </c>
      <c r="GX27" s="279">
        <f t="shared" si="68"/>
        <v>620700000</v>
      </c>
      <c r="GY27" s="280">
        <f t="shared" si="57"/>
        <v>6300000</v>
      </c>
      <c r="GZ27" s="280"/>
      <c r="HA27" s="277">
        <f t="shared" si="58"/>
        <v>74928900</v>
      </c>
      <c r="HB27" s="277">
        <f t="shared" si="58"/>
        <v>50000000</v>
      </c>
      <c r="HC27" s="277">
        <f t="shared" si="59"/>
        <v>24928900</v>
      </c>
      <c r="HE27" s="277">
        <f t="shared" si="60"/>
        <v>36000000</v>
      </c>
      <c r="HF27" s="277">
        <f t="shared" si="60"/>
        <v>13600000</v>
      </c>
      <c r="HG27" s="277">
        <f t="shared" si="61"/>
        <v>22400000</v>
      </c>
      <c r="HI27" s="279">
        <f t="shared" si="62"/>
        <v>344074602</v>
      </c>
      <c r="HJ27" s="279">
        <f t="shared" si="62"/>
        <v>225000000</v>
      </c>
      <c r="HK27" s="279">
        <f t="shared" si="63"/>
        <v>119074602</v>
      </c>
      <c r="HM27" s="279">
        <f t="shared" si="64"/>
        <v>2000000</v>
      </c>
      <c r="HN27" s="279">
        <f t="shared" si="1"/>
        <v>0</v>
      </c>
      <c r="HO27" s="279">
        <f t="shared" si="65"/>
        <v>2000000</v>
      </c>
      <c r="HQ27" s="279">
        <f t="shared" si="66"/>
        <v>22500000</v>
      </c>
      <c r="HR27" s="279">
        <f t="shared" si="2"/>
        <v>0</v>
      </c>
      <c r="HS27" s="279">
        <f t="shared" si="67"/>
        <v>22500000</v>
      </c>
    </row>
    <row r="28" spans="1:227" x14ac:dyDescent="0.25">
      <c r="A28" s="235">
        <v>20</v>
      </c>
      <c r="B28" s="273" t="s">
        <v>219</v>
      </c>
      <c r="C28" s="274" t="s">
        <v>76</v>
      </c>
      <c r="D28" s="275">
        <v>24709302</v>
      </c>
      <c r="E28" s="275">
        <f>'[1]POLY DISB 2019'!C32</f>
        <v>24709302</v>
      </c>
      <c r="F28" s="275">
        <f t="shared" si="3"/>
        <v>0</v>
      </c>
      <c r="G28" s="275"/>
      <c r="H28" s="275">
        <v>10000000</v>
      </c>
      <c r="I28" s="275">
        <f>'[1]POLY DISB 2019'!D32</f>
        <v>10000000</v>
      </c>
      <c r="J28" s="275">
        <f t="shared" si="4"/>
        <v>0</v>
      </c>
      <c r="K28" s="275"/>
      <c r="L28" s="275">
        <v>20000000</v>
      </c>
      <c r="M28" s="275">
        <f>'[1]POLY DISB 2019'!E32</f>
        <v>20000000</v>
      </c>
      <c r="N28" s="275">
        <f t="shared" si="5"/>
        <v>0</v>
      </c>
      <c r="O28" s="275"/>
      <c r="P28" s="275">
        <v>25000000</v>
      </c>
      <c r="Q28" s="275">
        <f>'[1]POLY DISB 2019'!F32</f>
        <v>25000000</v>
      </c>
      <c r="R28" s="275">
        <f t="shared" si="6"/>
        <v>0</v>
      </c>
      <c r="S28" s="275"/>
      <c r="T28" s="275">
        <v>12000000</v>
      </c>
      <c r="U28" s="275">
        <f>'[1]POLY DISB 2019'!G32</f>
        <v>12000000</v>
      </c>
      <c r="V28" s="275">
        <f t="shared" si="7"/>
        <v>0</v>
      </c>
      <c r="W28" s="275"/>
      <c r="X28" s="275">
        <v>12000000</v>
      </c>
      <c r="Y28" s="275">
        <f>'[1]POLY DISB 2019'!H32</f>
        <v>12000000</v>
      </c>
      <c r="Z28" s="275">
        <f t="shared" si="8"/>
        <v>0</v>
      </c>
      <c r="AA28" s="275"/>
      <c r="AB28" s="275">
        <v>0</v>
      </c>
      <c r="AC28" s="275">
        <f>'[1]POLY DISB 2019'!I32</f>
        <v>0</v>
      </c>
      <c r="AD28" s="275">
        <f t="shared" si="9"/>
        <v>0</v>
      </c>
      <c r="AE28" s="275"/>
      <c r="AF28" s="275">
        <f>'[1]POLY commited funds to date'!K28</f>
        <v>20000000</v>
      </c>
      <c r="AG28" s="275">
        <f>'[1]POLY DISB 2019'!J32</f>
        <v>20000000</v>
      </c>
      <c r="AH28" s="275">
        <f t="shared" si="10"/>
        <v>0</v>
      </c>
      <c r="AI28" s="275"/>
      <c r="AJ28" s="275">
        <v>10000000</v>
      </c>
      <c r="AK28" s="275">
        <f>'[1]POLY DISB 2019'!K32</f>
        <v>10000000</v>
      </c>
      <c r="AL28" s="275">
        <f t="shared" si="11"/>
        <v>0</v>
      </c>
      <c r="AM28" s="275"/>
      <c r="AN28" s="275">
        <v>20000000</v>
      </c>
      <c r="AO28" s="275">
        <f>'[1]POLY DISB 2019'!L32</f>
        <v>20000000</v>
      </c>
      <c r="AP28" s="275">
        <f t="shared" si="12"/>
        <v>0</v>
      </c>
      <c r="AQ28" s="275"/>
      <c r="AR28" s="275">
        <v>26000000</v>
      </c>
      <c r="AS28" s="275">
        <f>'[1]POLY DISB 2019'!M32</f>
        <v>26000000</v>
      </c>
      <c r="AT28" s="275">
        <f t="shared" si="13"/>
        <v>0</v>
      </c>
      <c r="AU28" s="275"/>
      <c r="AV28" s="275">
        <v>45000000</v>
      </c>
      <c r="AW28" s="275">
        <f>'[1]POLY DISB 2019'!N32</f>
        <v>45000000</v>
      </c>
      <c r="AX28" s="275">
        <f t="shared" si="14"/>
        <v>0</v>
      </c>
      <c r="AY28" s="275"/>
      <c r="AZ28" s="275">
        <v>38340000</v>
      </c>
      <c r="BA28" s="275">
        <f>'[1]POLY DISB 2019'!P32</f>
        <v>38340000</v>
      </c>
      <c r="BB28" s="275">
        <f t="shared" si="15"/>
        <v>0</v>
      </c>
      <c r="BC28" s="275"/>
      <c r="BD28" s="275">
        <v>0</v>
      </c>
      <c r="BE28" s="275">
        <f>'[1]POLY DISB 2019'!Q32</f>
        <v>0</v>
      </c>
      <c r="BF28" s="275">
        <f t="shared" si="16"/>
        <v>0</v>
      </c>
      <c r="BG28" s="275"/>
      <c r="BH28" s="275">
        <f>'[1]POLY commited funds to date'!S28</f>
        <v>126060000</v>
      </c>
      <c r="BI28" s="275">
        <f>'[1]POLY DISB 2019'!R32</f>
        <v>126060000</v>
      </c>
      <c r="BJ28" s="275">
        <f t="shared" si="17"/>
        <v>0</v>
      </c>
      <c r="BK28" s="275"/>
      <c r="BL28" s="275">
        <f>'[1]poly  com. adj for fmis'!S28</f>
        <v>0</v>
      </c>
      <c r="BM28" s="275">
        <f>'[1]POLY DISB 2019'!S32</f>
        <v>0</v>
      </c>
      <c r="BN28" s="269">
        <f t="shared" si="18"/>
        <v>0</v>
      </c>
      <c r="BO28" s="275"/>
      <c r="BP28" s="276">
        <f>'[1]POLY commited funds to date'!U28</f>
        <v>169900000</v>
      </c>
      <c r="BQ28" s="275">
        <f>'[1]POLY DISB 2019'!T32</f>
        <v>169900000</v>
      </c>
      <c r="BR28" s="275">
        <f t="shared" si="19"/>
        <v>0</v>
      </c>
      <c r="BS28" s="275"/>
      <c r="BT28" s="275">
        <f>'[1]POLY commited funds to date'!V28</f>
        <v>10000000</v>
      </c>
      <c r="BU28" s="275">
        <f>'[1]POLY DISB 2019'!U32</f>
        <v>0</v>
      </c>
      <c r="BV28" s="275">
        <f t="shared" si="20"/>
        <v>10000000</v>
      </c>
      <c r="BW28" s="275"/>
      <c r="BX28" s="275">
        <f>'[1]POLY commited funds to date'!W28</f>
        <v>320000000</v>
      </c>
      <c r="BY28" s="275">
        <f>'[1]POLY DISB 2019'!V32</f>
        <v>320000000</v>
      </c>
      <c r="BZ28" s="275">
        <f t="shared" si="21"/>
        <v>0</v>
      </c>
      <c r="CA28" s="275"/>
      <c r="CB28" s="275">
        <f>'[1]POLY commited funds to date'!X28</f>
        <v>210000000</v>
      </c>
      <c r="CC28" s="275">
        <f>'[1]POLY DISB 2019'!W32</f>
        <v>210000000</v>
      </c>
      <c r="CD28" s="275">
        <f t="shared" si="22"/>
        <v>0</v>
      </c>
      <c r="CE28" s="275"/>
      <c r="CF28" s="275">
        <f>'[1]POLY commited funds to date'!Y28</f>
        <v>50000000</v>
      </c>
      <c r="CG28" s="275">
        <f>'[1]POLY DISB 2019'!X32</f>
        <v>50000000</v>
      </c>
      <c r="CH28" s="275">
        <f t="shared" si="23"/>
        <v>0</v>
      </c>
      <c r="CI28" s="275"/>
      <c r="CJ28" s="275">
        <f>'[1]POLY commited funds to date'!Z28</f>
        <v>0</v>
      </c>
      <c r="CK28" s="275">
        <f>'[1]POLY DISB 2019'!Y32</f>
        <v>0</v>
      </c>
      <c r="CL28" s="275">
        <f t="shared" si="24"/>
        <v>0</v>
      </c>
      <c r="CM28" s="275"/>
      <c r="CN28" s="275">
        <f>'[1]POLY commited funds to date'!AA28</f>
        <v>243000000</v>
      </c>
      <c r="CO28" s="275">
        <f>'[1]POLY DISB 2019'!Z32</f>
        <v>243000000</v>
      </c>
      <c r="CP28" s="275">
        <f t="shared" si="25"/>
        <v>0</v>
      </c>
      <c r="CQ28" s="275"/>
      <c r="CR28" s="275">
        <v>10000000</v>
      </c>
      <c r="CS28" s="275">
        <f>'[1]POLY DISB 2019'!AA32</f>
        <v>0</v>
      </c>
      <c r="CT28" s="275">
        <f t="shared" si="26"/>
        <v>10000000</v>
      </c>
      <c r="CU28" s="275"/>
      <c r="CV28" s="275">
        <f>'[1]POLY commited funds to date'!AC28</f>
        <v>371000000</v>
      </c>
      <c r="CW28" s="275">
        <f>'[1]POLY DISB 2019'!AB32</f>
        <v>371000000</v>
      </c>
      <c r="CX28" s="275">
        <f t="shared" si="27"/>
        <v>0</v>
      </c>
      <c r="CY28" s="275"/>
      <c r="CZ28" s="275">
        <f>'[1]POLY commited funds to date'!AD28</f>
        <v>20000000</v>
      </c>
      <c r="DA28" s="275">
        <f>'[1]POLY DISB 2019'!AC32</f>
        <v>0</v>
      </c>
      <c r="DB28" s="275">
        <f t="shared" si="28"/>
        <v>20000000</v>
      </c>
      <c r="DC28" s="275"/>
      <c r="DD28" s="275">
        <f>'[1]POLY commited funds to date'!AE28</f>
        <v>80000000</v>
      </c>
      <c r="DE28" s="275">
        <f>'[1]POLY DISB 2019'!AD32</f>
        <v>80000000</v>
      </c>
      <c r="DF28" s="275">
        <f t="shared" si="29"/>
        <v>0</v>
      </c>
      <c r="DG28" s="275"/>
      <c r="DH28" s="275">
        <f>'[1]poly  com. adj for fmis'!AE28</f>
        <v>80000000</v>
      </c>
      <c r="DI28" s="275">
        <f>'[1]POLY DISB 2019'!AE32</f>
        <v>55200000</v>
      </c>
      <c r="DJ28" s="275">
        <f t="shared" si="30"/>
        <v>24800000</v>
      </c>
      <c r="DK28" s="275"/>
      <c r="DL28" s="275">
        <f>'[1]poly  com. adj for fmis'!AF28</f>
        <v>8000000</v>
      </c>
      <c r="DM28" s="275">
        <f>'[1]POLY DISB 2019'!AF32</f>
        <v>4000000</v>
      </c>
      <c r="DN28" s="275">
        <f t="shared" si="31"/>
        <v>4000000</v>
      </c>
      <c r="DO28" s="275"/>
      <c r="DP28" s="275">
        <f>'[1]poly  com. adj for fmis'!AG28</f>
        <v>2000000</v>
      </c>
      <c r="DQ28" s="275">
        <f>'[1]POLY DISB 2019'!AG32</f>
        <v>0</v>
      </c>
      <c r="DR28" s="275">
        <f t="shared" si="32"/>
        <v>2000000</v>
      </c>
      <c r="DS28" s="275"/>
      <c r="DT28" s="275">
        <f>'[1]poly  com. adj for fmis'!AH28</f>
        <v>10000000</v>
      </c>
      <c r="DU28" s="275">
        <f>'[1]POLY DISB 2019'!AH32</f>
        <v>0</v>
      </c>
      <c r="DV28" s="275">
        <f t="shared" si="33"/>
        <v>10000000</v>
      </c>
      <c r="DW28" s="275"/>
      <c r="DX28" s="275">
        <f>'[1]poly  com. adj for fmis'!AI28</f>
        <v>1000000000</v>
      </c>
      <c r="DY28" s="275">
        <f>'[1]POLY DISB 2019'!AI32</f>
        <v>1000000000</v>
      </c>
      <c r="DZ28" s="275">
        <f t="shared" si="34"/>
        <v>0</v>
      </c>
      <c r="EA28" s="275"/>
      <c r="EB28" s="275">
        <f>'[1]POLY commited funds to date'!AK28</f>
        <v>380632000</v>
      </c>
      <c r="EC28" s="275">
        <f>'[1]POLY DISB 2019'!AJ32</f>
        <v>262636080</v>
      </c>
      <c r="ED28" s="275">
        <f t="shared" si="35"/>
        <v>117995920</v>
      </c>
      <c r="EE28" s="275"/>
      <c r="EF28" s="275">
        <f>'[1]POLY commited funds to date'!AL28</f>
        <v>8000000</v>
      </c>
      <c r="EG28" s="275">
        <f>'[1]POLY DISB 2019'!AK32</f>
        <v>4000000</v>
      </c>
      <c r="EH28" s="275">
        <f t="shared" si="36"/>
        <v>4000000</v>
      </c>
      <c r="EI28" s="275"/>
      <c r="EJ28" s="275">
        <f>'[1]POLY commited funds to date'!AM28</f>
        <v>10000000</v>
      </c>
      <c r="EK28" s="275">
        <f>'[1]POLY DISB 2019'!AL32</f>
        <v>0</v>
      </c>
      <c r="EL28" s="275">
        <f t="shared" si="37"/>
        <v>10000000</v>
      </c>
      <c r="EM28" s="275"/>
      <c r="EN28" s="275">
        <f>'[1]POLY commited funds to date'!AN28</f>
        <v>10000000</v>
      </c>
      <c r="EO28" s="275">
        <f>'[1]POLY DISB 2019'!AM32</f>
        <v>0</v>
      </c>
      <c r="EP28" s="275">
        <f t="shared" si="38"/>
        <v>10000000</v>
      </c>
      <c r="EQ28" s="275">
        <f>'[1]POLY commited funds to date'!AO28</f>
        <v>0</v>
      </c>
      <c r="ER28" s="275">
        <f>'[1]POLY DISB 2019'!AN32</f>
        <v>0</v>
      </c>
      <c r="ES28" s="275">
        <f t="shared" si="39"/>
        <v>0</v>
      </c>
      <c r="ET28" s="275"/>
      <c r="EU28" s="275">
        <f>'[1]POLY commited funds to date'!AP28</f>
        <v>205000000</v>
      </c>
      <c r="EV28" s="275">
        <f>'[1]POLY DISB 2019'!AO32</f>
        <v>0</v>
      </c>
      <c r="EW28" s="275">
        <f t="shared" si="40"/>
        <v>205000000</v>
      </c>
      <c r="EX28" s="275"/>
      <c r="EY28" s="275">
        <f>'[1]POLY commited funds to date'!AQ28</f>
        <v>75000000</v>
      </c>
      <c r="EZ28" s="275">
        <f>'[1]POLY DISB 2019'!AP32</f>
        <v>57000000</v>
      </c>
      <c r="FA28" s="275">
        <f t="shared" si="41"/>
        <v>18000000</v>
      </c>
      <c r="FB28" s="275"/>
      <c r="FC28" s="275">
        <f>'[1]POLY commited funds to date'!AR28</f>
        <v>7000000</v>
      </c>
      <c r="FD28" s="275">
        <f>'[1]POLY DISB 2019'!AQ32</f>
        <v>0</v>
      </c>
      <c r="FE28" s="275">
        <f t="shared" si="42"/>
        <v>7000000</v>
      </c>
      <c r="FF28" s="275"/>
      <c r="FG28" s="275">
        <f>'[1]POLY commited funds to date'!AS28</f>
        <v>6300000</v>
      </c>
      <c r="FH28" s="275">
        <f>'[1]POLY DISB 2019'!AR32</f>
        <v>0</v>
      </c>
      <c r="FI28" s="275">
        <f t="shared" si="43"/>
        <v>6300000</v>
      </c>
      <c r="FJ28" s="275"/>
      <c r="FK28" s="275">
        <f>'[1]POLY commited funds to date'!AT28</f>
        <v>7500000</v>
      </c>
      <c r="FL28" s="275">
        <f>'[1]POLY DISB 2019'!AS32</f>
        <v>0</v>
      </c>
      <c r="FM28" s="275">
        <f t="shared" si="44"/>
        <v>7500000</v>
      </c>
      <c r="FN28" s="275"/>
      <c r="FO28" s="275">
        <f>'[1]POLY commited funds to date'!AU28</f>
        <v>245000000</v>
      </c>
      <c r="FP28" s="275">
        <f>'[1]POLY DISB 2019'!AT32</f>
        <v>0</v>
      </c>
      <c r="FQ28" s="275">
        <f t="shared" si="45"/>
        <v>245000000</v>
      </c>
      <c r="FR28" s="275">
        <f>'[1]POLY commited funds to date'!AV28</f>
        <v>119074602</v>
      </c>
      <c r="FS28" s="275">
        <f>'[1]POLY DISB 2019'!AU32</f>
        <v>0</v>
      </c>
      <c r="FT28" s="275">
        <f t="shared" si="46"/>
        <v>119074602</v>
      </c>
      <c r="FU28" s="275"/>
      <c r="FV28" s="275">
        <f>'[1]POLY commited funds to date'!AW28</f>
        <v>13000000</v>
      </c>
      <c r="FW28" s="275">
        <f>'[1]POLY DISB 2019'!AV32</f>
        <v>0</v>
      </c>
      <c r="FX28" s="275">
        <f t="shared" si="47"/>
        <v>13000000</v>
      </c>
      <c r="FY28" s="275"/>
      <c r="FZ28" s="275">
        <f>'[1]POLY commited funds to date'!AX28</f>
        <v>8628900</v>
      </c>
      <c r="GA28" s="275">
        <f>'[1]POLY DISB 2019'!AW32</f>
        <v>0</v>
      </c>
      <c r="GB28" s="275">
        <f t="shared" si="48"/>
        <v>8628900</v>
      </c>
      <c r="GC28" s="275">
        <f>'[1]POLY commited funds to date'!AY28</f>
        <v>5000000</v>
      </c>
      <c r="GD28" s="275">
        <f>'[1]POLY DISB 2019'!AX32</f>
        <v>0</v>
      </c>
      <c r="GE28" s="275">
        <f t="shared" si="49"/>
        <v>5000000</v>
      </c>
      <c r="GF28" s="275"/>
      <c r="GG28" s="275">
        <f>'[1]POLY commited funds to date'!AZ28</f>
        <v>0</v>
      </c>
      <c r="GH28" s="275">
        <f>'[1]POLY DISB 2019'!AY32</f>
        <v>0</v>
      </c>
      <c r="GI28" s="275">
        <f t="shared" si="50"/>
        <v>0</v>
      </c>
      <c r="GJ28" s="275"/>
      <c r="GK28" s="275">
        <f t="shared" si="51"/>
        <v>4073144804</v>
      </c>
      <c r="GL28" s="275">
        <f t="shared" si="51"/>
        <v>3215845382</v>
      </c>
      <c r="GM28" s="275">
        <f t="shared" si="52"/>
        <v>857299422</v>
      </c>
      <c r="GN28" s="265"/>
      <c r="GO28" s="277">
        <f t="shared" si="53"/>
        <v>2283641302</v>
      </c>
      <c r="GP28" s="277">
        <f t="shared" si="53"/>
        <v>1690845382</v>
      </c>
      <c r="GQ28" s="277">
        <f t="shared" si="54"/>
        <v>592795920</v>
      </c>
      <c r="GR28" s="277">
        <f t="shared" si="0"/>
        <v>10000000</v>
      </c>
      <c r="GS28" s="277">
        <f t="shared" si="0"/>
        <v>10000000</v>
      </c>
      <c r="GT28" s="277">
        <f t="shared" si="55"/>
        <v>0</v>
      </c>
      <c r="GU28" s="277"/>
      <c r="GV28" s="265"/>
      <c r="GW28" s="279">
        <f t="shared" si="68"/>
        <v>1450000000</v>
      </c>
      <c r="GX28" s="279">
        <f t="shared" si="68"/>
        <v>1450000000</v>
      </c>
      <c r="GY28" s="280">
        <f t="shared" si="57"/>
        <v>0</v>
      </c>
      <c r="GZ28" s="280"/>
      <c r="HA28" s="277">
        <f t="shared" si="58"/>
        <v>74928900</v>
      </c>
      <c r="HB28" s="277">
        <f t="shared" si="58"/>
        <v>0</v>
      </c>
      <c r="HC28" s="277">
        <f t="shared" si="59"/>
        <v>74928900</v>
      </c>
      <c r="HE28" s="277">
        <f t="shared" si="60"/>
        <v>36000000</v>
      </c>
      <c r="HF28" s="277">
        <f t="shared" si="60"/>
        <v>8000000</v>
      </c>
      <c r="HG28" s="277">
        <f t="shared" si="61"/>
        <v>28000000</v>
      </c>
      <c r="HI28" s="279">
        <f t="shared" si="62"/>
        <v>194074602</v>
      </c>
      <c r="HJ28" s="279">
        <f t="shared" si="62"/>
        <v>57000000</v>
      </c>
      <c r="HK28" s="279">
        <f t="shared" si="63"/>
        <v>137074602</v>
      </c>
      <c r="HM28" s="279">
        <f t="shared" si="64"/>
        <v>2000000</v>
      </c>
      <c r="HN28" s="279">
        <f t="shared" si="1"/>
        <v>0</v>
      </c>
      <c r="HO28" s="279">
        <f t="shared" si="65"/>
        <v>2000000</v>
      </c>
      <c r="HQ28" s="279">
        <f t="shared" si="66"/>
        <v>22500000</v>
      </c>
      <c r="HR28" s="279">
        <f t="shared" si="2"/>
        <v>0</v>
      </c>
      <c r="HS28" s="279">
        <f t="shared" si="67"/>
        <v>22500000</v>
      </c>
    </row>
    <row r="29" spans="1:227" x14ac:dyDescent="0.25">
      <c r="A29" s="235">
        <v>21</v>
      </c>
      <c r="B29" s="273" t="s">
        <v>220</v>
      </c>
      <c r="C29" s="274" t="s">
        <v>74</v>
      </c>
      <c r="D29" s="275">
        <v>24709302</v>
      </c>
      <c r="E29" s="275">
        <f>'[1]POLY DISB 2019'!C33</f>
        <v>24709302</v>
      </c>
      <c r="F29" s="275">
        <f t="shared" si="3"/>
        <v>0</v>
      </c>
      <c r="G29" s="275"/>
      <c r="H29" s="275">
        <v>10000000</v>
      </c>
      <c r="I29" s="275">
        <f>'[1]POLY DISB 2019'!D33</f>
        <v>10000000</v>
      </c>
      <c r="J29" s="275">
        <f t="shared" si="4"/>
        <v>0</v>
      </c>
      <c r="K29" s="275"/>
      <c r="L29" s="275">
        <v>20000000</v>
      </c>
      <c r="M29" s="275">
        <f>'[1]POLY DISB 2019'!E33</f>
        <v>20000000</v>
      </c>
      <c r="N29" s="275">
        <f t="shared" si="5"/>
        <v>0</v>
      </c>
      <c r="O29" s="275"/>
      <c r="P29" s="275">
        <v>25000000</v>
      </c>
      <c r="Q29" s="275">
        <f>'[1]POLY DISB 2019'!F33</f>
        <v>25107366.329999998</v>
      </c>
      <c r="R29" s="275">
        <f t="shared" si="6"/>
        <v>-107366.32999999821</v>
      </c>
      <c r="S29" s="275"/>
      <c r="T29" s="275">
        <v>12000000</v>
      </c>
      <c r="U29" s="275">
        <f>'[1]POLY DISB 2019'!G33</f>
        <v>12000000</v>
      </c>
      <c r="V29" s="275">
        <f t="shared" si="7"/>
        <v>0</v>
      </c>
      <c r="W29" s="275"/>
      <c r="X29" s="275">
        <v>12000000</v>
      </c>
      <c r="Y29" s="275">
        <f>'[1]POLY DISB 2019'!H33</f>
        <v>12000000</v>
      </c>
      <c r="Z29" s="275">
        <f t="shared" si="8"/>
        <v>0</v>
      </c>
      <c r="AA29" s="275"/>
      <c r="AB29" s="275">
        <v>0</v>
      </c>
      <c r="AC29" s="275">
        <f>'[1]POLY DISB 2019'!I33</f>
        <v>0</v>
      </c>
      <c r="AD29" s="275">
        <f t="shared" si="9"/>
        <v>0</v>
      </c>
      <c r="AE29" s="275"/>
      <c r="AF29" s="275">
        <f>'[1]POLY commited funds to date'!K29</f>
        <v>20000000</v>
      </c>
      <c r="AG29" s="275">
        <f>'[1]POLY DISB 2019'!J33</f>
        <v>20000000</v>
      </c>
      <c r="AH29" s="275">
        <f t="shared" si="10"/>
        <v>0</v>
      </c>
      <c r="AI29" s="275"/>
      <c r="AJ29" s="275">
        <v>10000000</v>
      </c>
      <c r="AK29" s="275">
        <f>'[1]POLY DISB 2019'!K33</f>
        <v>10000000</v>
      </c>
      <c r="AL29" s="275">
        <f t="shared" si="11"/>
        <v>0</v>
      </c>
      <c r="AM29" s="275"/>
      <c r="AN29" s="275">
        <v>20000000</v>
      </c>
      <c r="AO29" s="275">
        <f>'[1]POLY DISB 2019'!L33</f>
        <v>20000000</v>
      </c>
      <c r="AP29" s="275">
        <f t="shared" si="12"/>
        <v>0</v>
      </c>
      <c r="AQ29" s="275"/>
      <c r="AR29" s="275">
        <v>26000000</v>
      </c>
      <c r="AS29" s="275">
        <f>'[1]POLY DISB 2019'!M33</f>
        <v>26000000</v>
      </c>
      <c r="AT29" s="275">
        <f t="shared" si="13"/>
        <v>0</v>
      </c>
      <c r="AU29" s="275"/>
      <c r="AV29" s="275">
        <v>45000000</v>
      </c>
      <c r="AW29" s="275">
        <f>'[1]POLY DISB 2019'!N33</f>
        <v>45000000</v>
      </c>
      <c r="AX29" s="275">
        <f t="shared" si="14"/>
        <v>0</v>
      </c>
      <c r="AY29" s="275"/>
      <c r="AZ29" s="275">
        <v>38340000</v>
      </c>
      <c r="BA29" s="275">
        <f>'[1]POLY DISB 2019'!P33</f>
        <v>38340000</v>
      </c>
      <c r="BB29" s="275">
        <f t="shared" si="15"/>
        <v>0</v>
      </c>
      <c r="BC29" s="275"/>
      <c r="BD29" s="275">
        <v>0</v>
      </c>
      <c r="BE29" s="275">
        <f>'[1]POLY DISB 2019'!Q33</f>
        <v>0</v>
      </c>
      <c r="BF29" s="275">
        <f t="shared" si="16"/>
        <v>0</v>
      </c>
      <c r="BG29" s="275"/>
      <c r="BH29" s="275">
        <f>'[1]POLY commited funds to date'!S29</f>
        <v>126060000</v>
      </c>
      <c r="BI29" s="275">
        <f>'[1]POLY DISB 2019'!R33</f>
        <v>126060000</v>
      </c>
      <c r="BJ29" s="275">
        <f t="shared" si="17"/>
        <v>0</v>
      </c>
      <c r="BK29" s="275"/>
      <c r="BL29" s="275">
        <f>'[1]poly  com. adj for fmis'!S29</f>
        <v>0</v>
      </c>
      <c r="BM29" s="275">
        <f>'[1]POLY DISB 2019'!S33</f>
        <v>0</v>
      </c>
      <c r="BN29" s="269">
        <f t="shared" si="18"/>
        <v>0</v>
      </c>
      <c r="BO29" s="275"/>
      <c r="BP29" s="276">
        <f>'[1]POLY commited funds to date'!U29</f>
        <v>169900000</v>
      </c>
      <c r="BQ29" s="275">
        <f>'[1]POLY DISB 2019'!T33</f>
        <v>169900000</v>
      </c>
      <c r="BR29" s="275">
        <f t="shared" si="19"/>
        <v>0</v>
      </c>
      <c r="BS29" s="275"/>
      <c r="BT29" s="275">
        <f>'[1]POLY commited funds to date'!V29</f>
        <v>10000000</v>
      </c>
      <c r="BU29" s="275">
        <f>'[1]POLY DISB 2019'!U33</f>
        <v>0</v>
      </c>
      <c r="BV29" s="275">
        <f t="shared" si="20"/>
        <v>10000000</v>
      </c>
      <c r="BW29" s="275"/>
      <c r="BX29" s="275">
        <f>'[1]POLY commited funds to date'!W29</f>
        <v>250000000</v>
      </c>
      <c r="BY29" s="275">
        <f>'[1]POLY DISB 2019'!V33</f>
        <v>250000000</v>
      </c>
      <c r="BZ29" s="275">
        <f t="shared" si="21"/>
        <v>0</v>
      </c>
      <c r="CA29" s="275"/>
      <c r="CB29" s="275">
        <f>'[1]POLY commited funds to date'!X29</f>
        <v>210000000</v>
      </c>
      <c r="CC29" s="275">
        <f>'[1]POLY DISB 2019'!W33</f>
        <v>210000000</v>
      </c>
      <c r="CD29" s="275">
        <f t="shared" si="22"/>
        <v>0</v>
      </c>
      <c r="CE29" s="275"/>
      <c r="CF29" s="275">
        <f>'[1]POLY commited funds to date'!Y29</f>
        <v>0</v>
      </c>
      <c r="CG29" s="275">
        <f>'[1]POLY DISB 2019'!X33</f>
        <v>0</v>
      </c>
      <c r="CH29" s="275">
        <f t="shared" si="23"/>
        <v>0</v>
      </c>
      <c r="CI29" s="275"/>
      <c r="CJ29" s="275">
        <f>'[1]POLY commited funds to date'!Z29</f>
        <v>0</v>
      </c>
      <c r="CK29" s="275">
        <f>'[1]POLY DISB 2019'!Y33</f>
        <v>0</v>
      </c>
      <c r="CL29" s="275">
        <f t="shared" si="24"/>
        <v>0</v>
      </c>
      <c r="CM29" s="275"/>
      <c r="CN29" s="275">
        <f>'[1]POLY commited funds to date'!AA29</f>
        <v>243000000</v>
      </c>
      <c r="CO29" s="275">
        <f>'[1]POLY DISB 2019'!Z33</f>
        <v>243000000</v>
      </c>
      <c r="CP29" s="275">
        <f t="shared" si="25"/>
        <v>0</v>
      </c>
      <c r="CQ29" s="275"/>
      <c r="CR29" s="275">
        <v>10000000</v>
      </c>
      <c r="CS29" s="275">
        <f>'[1]POLY DISB 2019'!AA33</f>
        <v>10000000</v>
      </c>
      <c r="CT29" s="275">
        <f t="shared" si="26"/>
        <v>0</v>
      </c>
      <c r="CU29" s="275"/>
      <c r="CV29" s="275">
        <f>'[1]POLY commited funds to date'!AC29</f>
        <v>371000000</v>
      </c>
      <c r="CW29" s="275">
        <f>'[1]POLY DISB 2019'!AB33</f>
        <v>315350000</v>
      </c>
      <c r="CX29" s="275">
        <f t="shared" si="27"/>
        <v>55650000</v>
      </c>
      <c r="CY29" s="275"/>
      <c r="CZ29" s="275">
        <f>'[1]POLY commited funds to date'!AD29</f>
        <v>20000000</v>
      </c>
      <c r="DA29" s="275">
        <f>'[1]POLY DISB 2019'!AC33</f>
        <v>20000000</v>
      </c>
      <c r="DB29" s="275">
        <f t="shared" si="28"/>
        <v>0</v>
      </c>
      <c r="DC29" s="275"/>
      <c r="DD29" s="275">
        <f>'[1]POLY commited funds to date'!AE29</f>
        <v>300000000</v>
      </c>
      <c r="DE29" s="275">
        <f>'[1]POLY DISB 2019'!AD33</f>
        <v>300000000</v>
      </c>
      <c r="DF29" s="275">
        <f t="shared" si="29"/>
        <v>0</v>
      </c>
      <c r="DG29" s="275"/>
      <c r="DH29" s="275">
        <f>'[1]poly  com. adj for fmis'!AE29</f>
        <v>80000000</v>
      </c>
      <c r="DI29" s="275">
        <f>'[1]POLY DISB 2019'!AE33</f>
        <v>68000000</v>
      </c>
      <c r="DJ29" s="275">
        <f t="shared" si="30"/>
        <v>12000000</v>
      </c>
      <c r="DK29" s="275"/>
      <c r="DL29" s="275">
        <f>'[1]poly  com. adj for fmis'!AF29</f>
        <v>8000000</v>
      </c>
      <c r="DM29" s="275">
        <f>'[1]POLY DISB 2019'!AF33</f>
        <v>6800000</v>
      </c>
      <c r="DN29" s="275">
        <f t="shared" si="31"/>
        <v>1200000</v>
      </c>
      <c r="DO29" s="275"/>
      <c r="DP29" s="275">
        <f>'[1]poly  com. adj for fmis'!AG29</f>
        <v>2000000</v>
      </c>
      <c r="DQ29" s="275">
        <f>'[1]POLY DISB 2019'!AG33</f>
        <v>1700000</v>
      </c>
      <c r="DR29" s="275">
        <f t="shared" si="32"/>
        <v>300000</v>
      </c>
      <c r="DS29" s="275"/>
      <c r="DT29" s="275">
        <f>'[1]poly  com. adj for fmis'!AH29</f>
        <v>10000000</v>
      </c>
      <c r="DU29" s="275">
        <f>'[1]POLY DISB 2019'!AH33</f>
        <v>10000000</v>
      </c>
      <c r="DV29" s="275">
        <f t="shared" si="33"/>
        <v>0</v>
      </c>
      <c r="DW29" s="275"/>
      <c r="DX29" s="275">
        <f>'[1]poly  com. adj for fmis'!AI29</f>
        <v>2500000000</v>
      </c>
      <c r="DY29" s="275">
        <f>'[1]POLY DISB 2019'!AI33</f>
        <v>2417500000</v>
      </c>
      <c r="DZ29" s="275">
        <f>DX29-DY29</f>
        <v>82500000</v>
      </c>
      <c r="EA29" s="275"/>
      <c r="EB29" s="275">
        <f>'[1]POLY commited funds to date'!AK29</f>
        <v>380632000</v>
      </c>
      <c r="EC29" s="275">
        <f>'[1]POLY DISB 2019'!AJ33</f>
        <v>0</v>
      </c>
      <c r="ED29" s="275">
        <f t="shared" si="35"/>
        <v>380632000</v>
      </c>
      <c r="EE29" s="275"/>
      <c r="EF29" s="275">
        <f>'[1]POLY commited funds to date'!AL29</f>
        <v>8000000</v>
      </c>
      <c r="EG29" s="275">
        <f>'[1]POLY DISB 2019'!AK33</f>
        <v>6800000</v>
      </c>
      <c r="EH29" s="275">
        <f t="shared" si="36"/>
        <v>1200000</v>
      </c>
      <c r="EI29" s="275"/>
      <c r="EJ29" s="275">
        <f>'[1]POLY commited funds to date'!AM29</f>
        <v>10000000</v>
      </c>
      <c r="EK29" s="275">
        <f>'[1]POLY DISB 2019'!AL33</f>
        <v>8500000</v>
      </c>
      <c r="EL29" s="275">
        <f t="shared" si="37"/>
        <v>1500000</v>
      </c>
      <c r="EM29" s="275"/>
      <c r="EN29" s="275">
        <f>'[1]POLY commited funds to date'!AN29</f>
        <v>10000000</v>
      </c>
      <c r="EO29" s="275">
        <f>'[1]POLY DISB 2019'!AM33</f>
        <v>0</v>
      </c>
      <c r="EP29" s="275">
        <f t="shared" si="38"/>
        <v>10000000</v>
      </c>
      <c r="EQ29" s="275">
        <f>'[1]POLY commited funds to date'!AO29</f>
        <v>0</v>
      </c>
      <c r="ER29" s="275">
        <f>'[1]POLY DISB 2019'!AN33</f>
        <v>0</v>
      </c>
      <c r="ES29" s="275">
        <f t="shared" si="39"/>
        <v>0</v>
      </c>
      <c r="ET29" s="275"/>
      <c r="EU29" s="275">
        <f>'[1]POLY commited funds to date'!AP29</f>
        <v>205000000</v>
      </c>
      <c r="EV29" s="275">
        <f>'[1]POLY DISB 2019'!AO33</f>
        <v>0</v>
      </c>
      <c r="EW29" s="275">
        <f t="shared" si="40"/>
        <v>205000000</v>
      </c>
      <c r="EX29" s="275"/>
      <c r="EY29" s="275">
        <f>'[1]POLY commited funds to date'!AQ29</f>
        <v>75000000</v>
      </c>
      <c r="EZ29" s="275">
        <f>'[1]POLY DISB 2019'!AP33</f>
        <v>75000000</v>
      </c>
      <c r="FA29" s="275">
        <f t="shared" si="41"/>
        <v>0</v>
      </c>
      <c r="FB29" s="275"/>
      <c r="FC29" s="275">
        <f>'[1]POLY commited funds to date'!AR29</f>
        <v>7000000</v>
      </c>
      <c r="FD29" s="275">
        <f>'[1]POLY DISB 2019'!AQ33</f>
        <v>0</v>
      </c>
      <c r="FE29" s="275">
        <f t="shared" si="42"/>
        <v>7000000</v>
      </c>
      <c r="FF29" s="275"/>
      <c r="FG29" s="275">
        <f>'[1]POLY commited funds to date'!AS29</f>
        <v>6300000</v>
      </c>
      <c r="FH29" s="275">
        <f>'[1]POLY DISB 2019'!AR33</f>
        <v>0</v>
      </c>
      <c r="FI29" s="275">
        <f t="shared" si="43"/>
        <v>6300000</v>
      </c>
      <c r="FJ29" s="275"/>
      <c r="FK29" s="275">
        <f>'[1]POLY commited funds to date'!AT29</f>
        <v>7500000</v>
      </c>
      <c r="FL29" s="275">
        <f>'[1]POLY DISB 2019'!AS33</f>
        <v>0</v>
      </c>
      <c r="FM29" s="275">
        <f t="shared" si="44"/>
        <v>7500000</v>
      </c>
      <c r="FN29" s="275"/>
      <c r="FO29" s="275">
        <f>'[1]POLY commited funds to date'!AU29</f>
        <v>245000000</v>
      </c>
      <c r="FP29" s="275">
        <f>'[1]POLY DISB 2019'!AT33</f>
        <v>0</v>
      </c>
      <c r="FQ29" s="275">
        <f t="shared" si="45"/>
        <v>245000000</v>
      </c>
      <c r="FR29" s="275">
        <f>'[1]POLY commited funds to date'!AV29</f>
        <v>119074602</v>
      </c>
      <c r="FS29" s="275">
        <f>'[1]POLY DISB 2019'!AU33</f>
        <v>0</v>
      </c>
      <c r="FT29" s="275">
        <f t="shared" si="46"/>
        <v>119074602</v>
      </c>
      <c r="FU29" s="275"/>
      <c r="FV29" s="275">
        <f>'[1]POLY commited funds to date'!AW29</f>
        <v>13000000</v>
      </c>
      <c r="FW29" s="275">
        <f>'[1]POLY DISB 2019'!AV33</f>
        <v>0</v>
      </c>
      <c r="FX29" s="275">
        <f t="shared" si="47"/>
        <v>13000000</v>
      </c>
      <c r="FY29" s="275"/>
      <c r="FZ29" s="275">
        <f>'[1]POLY commited funds to date'!AX29</f>
        <v>8628900</v>
      </c>
      <c r="GA29" s="275">
        <f>'[1]POLY DISB 2019'!AW33</f>
        <v>0</v>
      </c>
      <c r="GB29" s="275">
        <f t="shared" si="48"/>
        <v>8628900</v>
      </c>
      <c r="GC29" s="275">
        <f>'[1]POLY commited funds to date'!AY29</f>
        <v>5000000</v>
      </c>
      <c r="GD29" s="275">
        <f>'[1]POLY DISB 2019'!AX33</f>
        <v>0</v>
      </c>
      <c r="GE29" s="275">
        <f t="shared" si="49"/>
        <v>5000000</v>
      </c>
      <c r="GF29" s="275"/>
      <c r="GG29" s="275">
        <f>'[1]POLY commited funds to date'!AZ29</f>
        <v>60087813.5</v>
      </c>
      <c r="GH29" s="275">
        <f>'[1]POLY DISB 2019'!AY33</f>
        <v>40258835.049999997</v>
      </c>
      <c r="GI29" s="275">
        <f t="shared" si="50"/>
        <v>19828978.450000003</v>
      </c>
      <c r="GJ29" s="275"/>
      <c r="GK29" s="275">
        <f t="shared" si="51"/>
        <v>5673144804</v>
      </c>
      <c r="GL29" s="275">
        <f t="shared" si="51"/>
        <v>4501766668.3299999</v>
      </c>
      <c r="GM29" s="275">
        <f t="shared" si="52"/>
        <v>1171378135.6700001</v>
      </c>
      <c r="GN29" s="265"/>
      <c r="GO29" s="277">
        <f t="shared" si="53"/>
        <v>2283641302</v>
      </c>
      <c r="GP29" s="277">
        <f t="shared" si="53"/>
        <v>1385466668.3299999</v>
      </c>
      <c r="GQ29" s="277">
        <f t="shared" si="54"/>
        <v>898174633.67000008</v>
      </c>
      <c r="GR29" s="277">
        <f t="shared" si="0"/>
        <v>10000000</v>
      </c>
      <c r="GS29" s="277">
        <f t="shared" si="0"/>
        <v>10000000</v>
      </c>
      <c r="GT29" s="277">
        <f t="shared" si="55"/>
        <v>0</v>
      </c>
      <c r="GU29" s="277"/>
      <c r="GV29" s="265"/>
      <c r="GW29" s="279">
        <f t="shared" si="68"/>
        <v>3050000000</v>
      </c>
      <c r="GX29" s="279">
        <f t="shared" si="68"/>
        <v>2967500000</v>
      </c>
      <c r="GY29" s="280">
        <f t="shared" si="57"/>
        <v>82500000</v>
      </c>
      <c r="GZ29" s="280"/>
      <c r="HA29" s="277">
        <f t="shared" si="58"/>
        <v>74928900</v>
      </c>
      <c r="HB29" s="277">
        <f t="shared" si="58"/>
        <v>48500000</v>
      </c>
      <c r="HC29" s="277">
        <f t="shared" si="59"/>
        <v>26428900</v>
      </c>
      <c r="HE29" s="277">
        <f t="shared" si="60"/>
        <v>36000000</v>
      </c>
      <c r="HF29" s="277">
        <f t="shared" si="60"/>
        <v>13600000</v>
      </c>
      <c r="HG29" s="277">
        <f t="shared" si="61"/>
        <v>22400000</v>
      </c>
      <c r="HI29" s="279">
        <f t="shared" si="62"/>
        <v>194074602</v>
      </c>
      <c r="HJ29" s="279">
        <f t="shared" si="62"/>
        <v>75000000</v>
      </c>
      <c r="HK29" s="279">
        <f t="shared" si="63"/>
        <v>119074602</v>
      </c>
      <c r="HM29" s="279">
        <f t="shared" si="64"/>
        <v>2000000</v>
      </c>
      <c r="HN29" s="279">
        <f t="shared" si="1"/>
        <v>1700000</v>
      </c>
      <c r="HO29" s="279">
        <f t="shared" si="65"/>
        <v>300000</v>
      </c>
      <c r="HQ29" s="279">
        <f t="shared" si="66"/>
        <v>22500000</v>
      </c>
      <c r="HR29" s="279">
        <f t="shared" si="2"/>
        <v>0</v>
      </c>
      <c r="HS29" s="279">
        <f t="shared" si="67"/>
        <v>22500000</v>
      </c>
    </row>
    <row r="30" spans="1:227" x14ac:dyDescent="0.25">
      <c r="A30" s="235">
        <v>22</v>
      </c>
      <c r="B30" s="273" t="s">
        <v>221</v>
      </c>
      <c r="C30" s="274" t="s">
        <v>65</v>
      </c>
      <c r="D30" s="275">
        <v>24709302</v>
      </c>
      <c r="E30" s="275">
        <f>'[1]POLY DISB 2019'!C34</f>
        <v>24709302</v>
      </c>
      <c r="F30" s="275">
        <f t="shared" si="3"/>
        <v>0</v>
      </c>
      <c r="G30" s="275"/>
      <c r="H30" s="275">
        <v>10000000</v>
      </c>
      <c r="I30" s="275">
        <f>'[1]POLY DISB 2019'!D34</f>
        <v>10000000</v>
      </c>
      <c r="J30" s="275">
        <f t="shared" si="4"/>
        <v>0</v>
      </c>
      <c r="K30" s="275"/>
      <c r="L30" s="275">
        <v>20000000</v>
      </c>
      <c r="M30" s="275">
        <f>'[1]POLY DISB 2019'!E34</f>
        <v>20000000</v>
      </c>
      <c r="N30" s="275">
        <f t="shared" si="5"/>
        <v>0</v>
      </c>
      <c r="O30" s="275"/>
      <c r="P30" s="275">
        <v>25000000</v>
      </c>
      <c r="Q30" s="275">
        <f>'[1]POLY DISB 2019'!F34</f>
        <v>25000000</v>
      </c>
      <c r="R30" s="275">
        <f t="shared" si="6"/>
        <v>0</v>
      </c>
      <c r="S30" s="275"/>
      <c r="T30" s="275">
        <v>12000000</v>
      </c>
      <c r="U30" s="275">
        <f>'[1]POLY DISB 2019'!G34</f>
        <v>12000000</v>
      </c>
      <c r="V30" s="275">
        <f t="shared" si="7"/>
        <v>0</v>
      </c>
      <c r="W30" s="275"/>
      <c r="X30" s="275">
        <v>12000000</v>
      </c>
      <c r="Y30" s="275">
        <f>'[1]POLY DISB 2019'!H34</f>
        <v>12000000</v>
      </c>
      <c r="Z30" s="275">
        <f t="shared" si="8"/>
        <v>0</v>
      </c>
      <c r="AA30" s="275"/>
      <c r="AB30" s="275">
        <v>0</v>
      </c>
      <c r="AC30" s="275">
        <f>'[1]POLY DISB 2019'!I34</f>
        <v>0</v>
      </c>
      <c r="AD30" s="275">
        <f t="shared" si="9"/>
        <v>0</v>
      </c>
      <c r="AE30" s="275"/>
      <c r="AF30" s="275">
        <f>'[1]POLY commited funds to date'!K30</f>
        <v>20000000</v>
      </c>
      <c r="AG30" s="275">
        <f>'[1]POLY DISB 2019'!J34</f>
        <v>20000000</v>
      </c>
      <c r="AH30" s="275">
        <f t="shared" si="10"/>
        <v>0</v>
      </c>
      <c r="AI30" s="275"/>
      <c r="AJ30" s="275">
        <v>8500000</v>
      </c>
      <c r="AK30" s="275">
        <f>'[1]POLY DISB 2019'!K34</f>
        <v>8500000</v>
      </c>
      <c r="AL30" s="275">
        <f t="shared" si="11"/>
        <v>0</v>
      </c>
      <c r="AM30" s="275"/>
      <c r="AN30" s="275">
        <v>20000000</v>
      </c>
      <c r="AO30" s="275">
        <f>'[1]POLY DISB 2019'!L34</f>
        <v>20000000</v>
      </c>
      <c r="AP30" s="275">
        <f t="shared" si="12"/>
        <v>0</v>
      </c>
      <c r="AQ30" s="275"/>
      <c r="AR30" s="275">
        <v>26000000</v>
      </c>
      <c r="AS30" s="275">
        <f>'[1]POLY DISB 2019'!M34</f>
        <v>26000000</v>
      </c>
      <c r="AT30" s="275">
        <f t="shared" si="13"/>
        <v>0</v>
      </c>
      <c r="AU30" s="275"/>
      <c r="AV30" s="275">
        <v>45000000</v>
      </c>
      <c r="AW30" s="275">
        <f>'[1]POLY DISB 2019'!N34</f>
        <v>45000000</v>
      </c>
      <c r="AX30" s="275">
        <f t="shared" si="14"/>
        <v>0</v>
      </c>
      <c r="AY30" s="275"/>
      <c r="AZ30" s="275">
        <v>38340000</v>
      </c>
      <c r="BA30" s="275">
        <f>'[1]POLY DISB 2019'!P34</f>
        <v>38340000</v>
      </c>
      <c r="BB30" s="275">
        <f t="shared" si="15"/>
        <v>0</v>
      </c>
      <c r="BC30" s="275"/>
      <c r="BD30" s="275">
        <v>0</v>
      </c>
      <c r="BE30" s="275">
        <f>'[1]POLY DISB 2019'!Q34</f>
        <v>0</v>
      </c>
      <c r="BF30" s="275">
        <f t="shared" si="16"/>
        <v>0</v>
      </c>
      <c r="BG30" s="275"/>
      <c r="BH30" s="275">
        <v>124560000</v>
      </c>
      <c r="BI30" s="275">
        <f>'[1]POLY DISB 2019'!R34</f>
        <v>124560000</v>
      </c>
      <c r="BJ30" s="275">
        <f t="shared" si="17"/>
        <v>0</v>
      </c>
      <c r="BK30" s="275"/>
      <c r="BL30" s="275">
        <f>'[1]poly  com. adj for fmis'!S30</f>
        <v>0</v>
      </c>
      <c r="BM30" s="275">
        <f>'[1]POLY DISB 2019'!S34</f>
        <v>0</v>
      </c>
      <c r="BN30" s="269">
        <f t="shared" si="18"/>
        <v>0</v>
      </c>
      <c r="BO30" s="275"/>
      <c r="BP30" s="276">
        <f>'[1]POLY commited funds to date'!U30</f>
        <v>169900000</v>
      </c>
      <c r="BQ30" s="275">
        <f>'[1]POLY DISB 2019'!T34</f>
        <v>169900000</v>
      </c>
      <c r="BR30" s="275">
        <f t="shared" si="19"/>
        <v>0</v>
      </c>
      <c r="BS30" s="275"/>
      <c r="BT30" s="275">
        <f>'[1]POLY commited funds to date'!V30</f>
        <v>10000000</v>
      </c>
      <c r="BU30" s="275">
        <f>'[1]POLY DISB 2019'!U34</f>
        <v>8500000</v>
      </c>
      <c r="BV30" s="275">
        <f t="shared" si="20"/>
        <v>1500000</v>
      </c>
      <c r="BW30" s="275"/>
      <c r="BX30" s="275">
        <f>'[1]POLY commited funds to date'!W30</f>
        <v>0</v>
      </c>
      <c r="BY30" s="275">
        <f>'[1]POLY DISB 2019'!V34</f>
        <v>0</v>
      </c>
      <c r="BZ30" s="275">
        <f t="shared" si="21"/>
        <v>0</v>
      </c>
      <c r="CA30" s="275"/>
      <c r="CB30" s="275">
        <f>'[1]POLY commited funds to date'!X30</f>
        <v>210000000</v>
      </c>
      <c r="CC30" s="275">
        <f>'[1]POLY DISB 2019'!W34</f>
        <v>210000000</v>
      </c>
      <c r="CD30" s="275">
        <f t="shared" si="22"/>
        <v>0</v>
      </c>
      <c r="CE30" s="275"/>
      <c r="CF30" s="275">
        <f>'[1]POLY commited funds to date'!Y30</f>
        <v>0</v>
      </c>
      <c r="CG30" s="275">
        <f>'[1]POLY DISB 2019'!X34</f>
        <v>0</v>
      </c>
      <c r="CH30" s="275">
        <f t="shared" si="23"/>
        <v>0</v>
      </c>
      <c r="CI30" s="275"/>
      <c r="CJ30" s="275">
        <f>'[1]POLY commited funds to date'!Z30</f>
        <v>0</v>
      </c>
      <c r="CK30" s="275">
        <f>'[1]POLY DISB 2019'!Y34</f>
        <v>0</v>
      </c>
      <c r="CL30" s="275">
        <f t="shared" si="24"/>
        <v>0</v>
      </c>
      <c r="CM30" s="275"/>
      <c r="CN30" s="275">
        <f>'[1]POLY commited funds to date'!AA30</f>
        <v>243000000</v>
      </c>
      <c r="CO30" s="275">
        <f>'[1]POLY DISB 2019'!Z34</f>
        <v>243000000</v>
      </c>
      <c r="CP30" s="275">
        <f t="shared" si="25"/>
        <v>0</v>
      </c>
      <c r="CQ30" s="275"/>
      <c r="CR30" s="275">
        <v>10000000</v>
      </c>
      <c r="CS30" s="275">
        <f>'[1]POLY DISB 2019'!AA34</f>
        <v>8500000</v>
      </c>
      <c r="CT30" s="275">
        <f t="shared" si="26"/>
        <v>1500000</v>
      </c>
      <c r="CU30" s="275"/>
      <c r="CV30" s="275">
        <f>'[1]POLY commited funds to date'!AC30</f>
        <v>371000000</v>
      </c>
      <c r="CW30" s="275">
        <f>'[1]POLY DISB 2019'!AB34</f>
        <v>371000000</v>
      </c>
      <c r="CX30" s="275">
        <f t="shared" si="27"/>
        <v>0</v>
      </c>
      <c r="CY30" s="275"/>
      <c r="CZ30" s="275">
        <f>'[1]POLY commited funds to date'!AD30</f>
        <v>20000000</v>
      </c>
      <c r="DA30" s="275">
        <f>'[1]POLY DISB 2019'!AC34</f>
        <v>17000000</v>
      </c>
      <c r="DB30" s="275">
        <f t="shared" si="28"/>
        <v>3000000</v>
      </c>
      <c r="DC30" s="275"/>
      <c r="DD30" s="275">
        <f>'[1]POLY commited funds to date'!AE30</f>
        <v>200000000</v>
      </c>
      <c r="DE30" s="275">
        <f>'[1]POLY DISB 2019'!AD34</f>
        <v>200000000</v>
      </c>
      <c r="DF30" s="275">
        <f t="shared" si="29"/>
        <v>0</v>
      </c>
      <c r="DG30" s="275"/>
      <c r="DH30" s="275">
        <f>'[1]poly  com. adj for fmis'!AE30</f>
        <v>80000000</v>
      </c>
      <c r="DI30" s="275">
        <f>'[1]POLY DISB 2019'!AE34</f>
        <v>68000000</v>
      </c>
      <c r="DJ30" s="275">
        <f t="shared" si="30"/>
        <v>12000000</v>
      </c>
      <c r="DK30" s="275"/>
      <c r="DL30" s="275">
        <f>'[1]poly  com. adj for fmis'!AF30</f>
        <v>8000000</v>
      </c>
      <c r="DM30" s="275">
        <f>'[1]POLY DISB 2019'!AF34</f>
        <v>0</v>
      </c>
      <c r="DN30" s="275">
        <f t="shared" si="31"/>
        <v>8000000</v>
      </c>
      <c r="DO30" s="275"/>
      <c r="DP30" s="275">
        <f>'[1]poly  com. adj for fmis'!AG30</f>
        <v>2000000</v>
      </c>
      <c r="DQ30" s="275">
        <f>'[1]POLY DISB 2019'!AG34</f>
        <v>0</v>
      </c>
      <c r="DR30" s="275">
        <f t="shared" si="32"/>
        <v>2000000</v>
      </c>
      <c r="DS30" s="275"/>
      <c r="DT30" s="275">
        <f>'[1]poly  com. adj for fmis'!AH30</f>
        <v>10000000</v>
      </c>
      <c r="DU30" s="275">
        <f>'[1]POLY DISB 2019'!AH34</f>
        <v>0</v>
      </c>
      <c r="DV30" s="275">
        <f t="shared" si="33"/>
        <v>10000000</v>
      </c>
      <c r="DW30" s="275"/>
      <c r="DX30" s="275">
        <f>'[1]poly  com. adj for fmis'!AI30</f>
        <v>100000000</v>
      </c>
      <c r="DY30" s="275">
        <f>'[1]POLY DISB 2019'!AI34</f>
        <v>100000000</v>
      </c>
      <c r="DZ30" s="275">
        <f t="shared" si="34"/>
        <v>0</v>
      </c>
      <c r="EA30" s="275"/>
      <c r="EB30" s="275">
        <f>'[1]POLY commited funds to date'!AK30</f>
        <v>380632000</v>
      </c>
      <c r="EC30" s="275">
        <f>'[1]POLY DISB 2019'!AJ34</f>
        <v>323537200</v>
      </c>
      <c r="ED30" s="275">
        <f t="shared" si="35"/>
        <v>57094800</v>
      </c>
      <c r="EE30" s="275"/>
      <c r="EF30" s="275">
        <f>'[1]POLY commited funds to date'!AL30</f>
        <v>8000000</v>
      </c>
      <c r="EG30" s="275">
        <f>'[1]POLY DISB 2019'!AK34</f>
        <v>0</v>
      </c>
      <c r="EH30" s="275">
        <f t="shared" si="36"/>
        <v>8000000</v>
      </c>
      <c r="EI30" s="275"/>
      <c r="EJ30" s="275">
        <f>'[1]POLY commited funds to date'!AM30</f>
        <v>10000000</v>
      </c>
      <c r="EK30" s="275">
        <f>'[1]POLY DISB 2019'!AL34</f>
        <v>0</v>
      </c>
      <c r="EL30" s="275">
        <f t="shared" si="37"/>
        <v>10000000</v>
      </c>
      <c r="EM30" s="275"/>
      <c r="EN30" s="275">
        <f>'[1]POLY commited funds to date'!AN30</f>
        <v>10000000</v>
      </c>
      <c r="EO30" s="275">
        <f>'[1]POLY DISB 2019'!AM34</f>
        <v>0</v>
      </c>
      <c r="EP30" s="275">
        <f t="shared" si="38"/>
        <v>10000000</v>
      </c>
      <c r="EQ30" s="281">
        <f>'[1]POLY commited funds to date'!AO30</f>
        <v>150000000</v>
      </c>
      <c r="ER30" s="275">
        <f>'[1]POLY DISB 2019'!AN34</f>
        <v>150000000</v>
      </c>
      <c r="ES30" s="275">
        <f t="shared" si="39"/>
        <v>0</v>
      </c>
      <c r="ET30" s="275"/>
      <c r="EU30" s="275">
        <f>'[1]POLY commited funds to date'!AP30</f>
        <v>205000000</v>
      </c>
      <c r="EV30" s="275">
        <f>'[1]POLY DISB 2019'!AO34</f>
        <v>0</v>
      </c>
      <c r="EW30" s="275">
        <f t="shared" si="40"/>
        <v>205000000</v>
      </c>
      <c r="EX30" s="275"/>
      <c r="EY30" s="275">
        <f>'[1]POLY commited funds to date'!AQ30</f>
        <v>75000000</v>
      </c>
      <c r="EZ30" s="275">
        <f>'[1]POLY DISB 2019'!AP34</f>
        <v>51000000</v>
      </c>
      <c r="FA30" s="275">
        <f t="shared" si="41"/>
        <v>24000000</v>
      </c>
      <c r="FB30" s="275"/>
      <c r="FC30" s="275">
        <f>'[1]POLY commited funds to date'!AR30</f>
        <v>7000000</v>
      </c>
      <c r="FD30" s="275">
        <f>'[1]POLY DISB 2019'!AQ34</f>
        <v>0</v>
      </c>
      <c r="FE30" s="275">
        <f t="shared" si="42"/>
        <v>7000000</v>
      </c>
      <c r="FF30" s="275"/>
      <c r="FG30" s="275">
        <f>'[1]POLY commited funds to date'!AS30</f>
        <v>6300000</v>
      </c>
      <c r="FH30" s="275">
        <f>'[1]POLY DISB 2019'!AR34</f>
        <v>0</v>
      </c>
      <c r="FI30" s="275">
        <f t="shared" si="43"/>
        <v>6300000</v>
      </c>
      <c r="FJ30" s="275"/>
      <c r="FK30" s="275">
        <f>'[1]POLY commited funds to date'!AT30</f>
        <v>7500000</v>
      </c>
      <c r="FL30" s="275">
        <f>'[1]POLY DISB 2019'!AS34</f>
        <v>0</v>
      </c>
      <c r="FM30" s="275">
        <f t="shared" si="44"/>
        <v>7500000</v>
      </c>
      <c r="FN30" s="275"/>
      <c r="FO30" s="275">
        <f>'[1]POLY commited funds to date'!AU30</f>
        <v>245000000</v>
      </c>
      <c r="FP30" s="275">
        <f>'[1]POLY DISB 2019'!AT34</f>
        <v>0</v>
      </c>
      <c r="FQ30" s="275">
        <f t="shared" si="45"/>
        <v>245000000</v>
      </c>
      <c r="FR30" s="275">
        <f>'[1]POLY commited funds to date'!AV30</f>
        <v>119074602</v>
      </c>
      <c r="FS30" s="275">
        <f>'[1]POLY DISB 2019'!AU34</f>
        <v>0</v>
      </c>
      <c r="FT30" s="275">
        <f t="shared" si="46"/>
        <v>119074602</v>
      </c>
      <c r="FU30" s="275"/>
      <c r="FV30" s="275">
        <f>'[1]POLY commited funds to date'!AW30</f>
        <v>13000000</v>
      </c>
      <c r="FW30" s="275">
        <f>'[1]POLY DISB 2019'!AV34</f>
        <v>0</v>
      </c>
      <c r="FX30" s="275">
        <f t="shared" si="47"/>
        <v>13000000</v>
      </c>
      <c r="FY30" s="275"/>
      <c r="FZ30" s="275">
        <f>'[1]POLY commited funds to date'!AX30</f>
        <v>8628900</v>
      </c>
      <c r="GA30" s="275">
        <f>'[1]POLY DISB 2019'!AW34</f>
        <v>0</v>
      </c>
      <c r="GB30" s="275">
        <f t="shared" si="48"/>
        <v>8628900</v>
      </c>
      <c r="GC30" s="275">
        <f>'[1]POLY commited funds to date'!AY30</f>
        <v>5000000</v>
      </c>
      <c r="GD30" s="275">
        <f>'[1]POLY DISB 2019'!AX34</f>
        <v>0</v>
      </c>
      <c r="GE30" s="275">
        <f t="shared" si="49"/>
        <v>5000000</v>
      </c>
      <c r="GF30" s="275"/>
      <c r="GG30" s="275">
        <f>'[1]POLY commited funds to date'!AZ30</f>
        <v>0</v>
      </c>
      <c r="GH30" s="275">
        <f>'[1]POLY DISB 2019'!AY34</f>
        <v>0</v>
      </c>
      <c r="GI30" s="275">
        <f t="shared" si="50"/>
        <v>0</v>
      </c>
      <c r="GJ30" s="275"/>
      <c r="GK30" s="275">
        <f t="shared" si="51"/>
        <v>3070144804</v>
      </c>
      <c r="GL30" s="275">
        <f t="shared" si="51"/>
        <v>2306546502</v>
      </c>
      <c r="GM30" s="275">
        <f t="shared" si="52"/>
        <v>763598302</v>
      </c>
      <c r="GN30" s="265"/>
      <c r="GO30" s="277">
        <f t="shared" si="53"/>
        <v>2282141302</v>
      </c>
      <c r="GP30" s="277">
        <f t="shared" si="53"/>
        <v>1763046502</v>
      </c>
      <c r="GQ30" s="277">
        <f t="shared" si="54"/>
        <v>519094800</v>
      </c>
      <c r="GR30" s="277">
        <f t="shared" si="0"/>
        <v>8500000</v>
      </c>
      <c r="GS30" s="277">
        <f t="shared" si="0"/>
        <v>8500000</v>
      </c>
      <c r="GT30" s="277">
        <f t="shared" si="55"/>
        <v>0</v>
      </c>
      <c r="GU30" s="277"/>
      <c r="GV30" s="265"/>
      <c r="GW30" s="279">
        <f t="shared" si="68"/>
        <v>300000000</v>
      </c>
      <c r="GX30" s="279">
        <f t="shared" si="68"/>
        <v>300000000</v>
      </c>
      <c r="GY30" s="280">
        <f t="shared" si="57"/>
        <v>0</v>
      </c>
      <c r="GZ30" s="280"/>
      <c r="HA30" s="277">
        <f t="shared" si="58"/>
        <v>74928900</v>
      </c>
      <c r="HB30" s="277">
        <f t="shared" si="58"/>
        <v>34000000</v>
      </c>
      <c r="HC30" s="277">
        <f t="shared" si="59"/>
        <v>40928900</v>
      </c>
      <c r="HE30" s="277">
        <f t="shared" si="60"/>
        <v>36000000</v>
      </c>
      <c r="HF30" s="277">
        <f t="shared" si="60"/>
        <v>0</v>
      </c>
      <c r="HG30" s="277">
        <f t="shared" si="61"/>
        <v>36000000</v>
      </c>
      <c r="HI30" s="279">
        <f t="shared" si="62"/>
        <v>344074602</v>
      </c>
      <c r="HJ30" s="279">
        <f t="shared" si="62"/>
        <v>201000000</v>
      </c>
      <c r="HK30" s="279">
        <f t="shared" si="63"/>
        <v>143074602</v>
      </c>
      <c r="HM30" s="279">
        <f t="shared" si="64"/>
        <v>2000000</v>
      </c>
      <c r="HN30" s="279">
        <f t="shared" si="1"/>
        <v>0</v>
      </c>
      <c r="HO30" s="279">
        <f t="shared" si="65"/>
        <v>2000000</v>
      </c>
      <c r="HQ30" s="279">
        <f t="shared" si="66"/>
        <v>22500000</v>
      </c>
      <c r="HR30" s="279">
        <f t="shared" si="2"/>
        <v>0</v>
      </c>
      <c r="HS30" s="279">
        <f t="shared" si="67"/>
        <v>22500000</v>
      </c>
    </row>
    <row r="31" spans="1:227" x14ac:dyDescent="0.25">
      <c r="A31" s="235">
        <v>23</v>
      </c>
      <c r="B31" s="273" t="s">
        <v>222</v>
      </c>
      <c r="C31" s="274" t="s">
        <v>74</v>
      </c>
      <c r="D31" s="275">
        <v>24709302</v>
      </c>
      <c r="E31" s="275">
        <f>'[1]POLY DISB 2019'!C35</f>
        <v>24709302</v>
      </c>
      <c r="F31" s="275">
        <f t="shared" si="3"/>
        <v>0</v>
      </c>
      <c r="G31" s="275"/>
      <c r="H31" s="275">
        <v>10000000</v>
      </c>
      <c r="I31" s="275">
        <f>'[1]POLY DISB 2019'!D35</f>
        <v>10000000</v>
      </c>
      <c r="J31" s="275">
        <f t="shared" si="4"/>
        <v>0</v>
      </c>
      <c r="K31" s="275"/>
      <c r="L31" s="275">
        <v>20000000</v>
      </c>
      <c r="M31" s="275">
        <f>'[1]POLY DISB 2019'!E35</f>
        <v>20000000</v>
      </c>
      <c r="N31" s="275">
        <f t="shared" si="5"/>
        <v>0</v>
      </c>
      <c r="O31" s="275"/>
      <c r="P31" s="275">
        <v>24257892.66</v>
      </c>
      <c r="Q31" s="275">
        <f>'[1]POLY DISB 2019'!F35</f>
        <v>24257892.66</v>
      </c>
      <c r="R31" s="275">
        <f t="shared" si="6"/>
        <v>0</v>
      </c>
      <c r="S31" s="275"/>
      <c r="T31" s="275">
        <v>12000000</v>
      </c>
      <c r="U31" s="275">
        <f>'[1]POLY DISB 2019'!G35</f>
        <v>12000000</v>
      </c>
      <c r="V31" s="275">
        <f t="shared" si="7"/>
        <v>0</v>
      </c>
      <c r="W31" s="275"/>
      <c r="X31" s="275">
        <v>12000000</v>
      </c>
      <c r="Y31" s="275">
        <f>'[1]POLY DISB 2019'!H35</f>
        <v>12000000</v>
      </c>
      <c r="Z31" s="275">
        <f t="shared" si="8"/>
        <v>0</v>
      </c>
      <c r="AA31" s="275"/>
      <c r="AB31" s="275">
        <v>0</v>
      </c>
      <c r="AC31" s="275">
        <f>'[1]POLY DISB 2019'!I35</f>
        <v>0</v>
      </c>
      <c r="AD31" s="275">
        <f t="shared" si="9"/>
        <v>0</v>
      </c>
      <c r="AE31" s="275"/>
      <c r="AF31" s="275">
        <f>'[1]POLY commited funds to date'!K31</f>
        <v>20000000</v>
      </c>
      <c r="AG31" s="275">
        <f>'[1]POLY DISB 2019'!J35</f>
        <v>20000000</v>
      </c>
      <c r="AH31" s="275">
        <f t="shared" si="10"/>
        <v>0</v>
      </c>
      <c r="AI31" s="275"/>
      <c r="AJ31" s="275">
        <v>10000000</v>
      </c>
      <c r="AK31" s="275">
        <f>'[1]POLY DISB 2019'!K35</f>
        <v>10000000</v>
      </c>
      <c r="AL31" s="275">
        <f t="shared" si="11"/>
        <v>0</v>
      </c>
      <c r="AM31" s="275"/>
      <c r="AN31" s="275">
        <v>20000000</v>
      </c>
      <c r="AO31" s="275">
        <f>'[1]POLY DISB 2019'!L35</f>
        <v>20000000</v>
      </c>
      <c r="AP31" s="275">
        <f t="shared" si="12"/>
        <v>0</v>
      </c>
      <c r="AQ31" s="275"/>
      <c r="AR31" s="275">
        <v>26000000</v>
      </c>
      <c r="AS31" s="275">
        <f>'[1]POLY DISB 2019'!M35</f>
        <v>27950000</v>
      </c>
      <c r="AT31" s="275">
        <f t="shared" si="13"/>
        <v>-1950000</v>
      </c>
      <c r="AU31" s="275"/>
      <c r="AV31" s="275">
        <v>42150000</v>
      </c>
      <c r="AW31" s="275">
        <f>'[1]POLY DISB 2019'!N35</f>
        <v>42150000</v>
      </c>
      <c r="AX31" s="275">
        <f t="shared" si="14"/>
        <v>0</v>
      </c>
      <c r="AY31" s="275"/>
      <c r="AZ31" s="275">
        <v>38340000</v>
      </c>
      <c r="BA31" s="275">
        <f>'[1]POLY DISB 2019'!P35</f>
        <v>38340000</v>
      </c>
      <c r="BB31" s="275">
        <f t="shared" si="15"/>
        <v>0</v>
      </c>
      <c r="BC31" s="275"/>
      <c r="BD31" s="275">
        <v>0</v>
      </c>
      <c r="BE31" s="275">
        <f>'[1]POLY DISB 2019'!Q35</f>
        <v>0</v>
      </c>
      <c r="BF31" s="275">
        <f t="shared" si="16"/>
        <v>0</v>
      </c>
      <c r="BG31" s="275"/>
      <c r="BH31" s="275">
        <f>'[1]POLY commited funds to date'!S31</f>
        <v>126060000</v>
      </c>
      <c r="BI31" s="275">
        <f>'[1]POLY DISB 2019'!R35</f>
        <v>126060000</v>
      </c>
      <c r="BJ31" s="275">
        <f t="shared" si="17"/>
        <v>0</v>
      </c>
      <c r="BK31" s="275"/>
      <c r="BL31" s="275">
        <f>'[1]poly  com. adj for fmis'!$S$31</f>
        <v>1100000000</v>
      </c>
      <c r="BM31" s="275">
        <f>'[1]POLY DISB 2019'!S35</f>
        <v>1100000000</v>
      </c>
      <c r="BN31" s="269">
        <f t="shared" si="18"/>
        <v>0</v>
      </c>
      <c r="BO31" s="275"/>
      <c r="BP31" s="276">
        <f>'[1]POLY commited funds to date'!U31</f>
        <v>169900000</v>
      </c>
      <c r="BQ31" s="275">
        <f>'[1]POLY DISB 2019'!T35</f>
        <v>169900000</v>
      </c>
      <c r="BR31" s="275">
        <f t="shared" si="19"/>
        <v>0</v>
      </c>
      <c r="BS31" s="275"/>
      <c r="BT31" s="275">
        <f>'[1]POLY commited funds to date'!V31</f>
        <v>10000000</v>
      </c>
      <c r="BU31" s="275">
        <f>'[1]POLY DISB 2019'!U35</f>
        <v>10000000</v>
      </c>
      <c r="BV31" s="275">
        <f t="shared" si="20"/>
        <v>0</v>
      </c>
      <c r="BW31" s="275"/>
      <c r="BX31" s="275">
        <f>'[1]POLY commited funds to date'!W31</f>
        <v>150000000</v>
      </c>
      <c r="BY31" s="275">
        <f>'[1]POLY DISB 2019'!V35</f>
        <v>150000000</v>
      </c>
      <c r="BZ31" s="275">
        <f t="shared" si="21"/>
        <v>0</v>
      </c>
      <c r="CA31" s="275"/>
      <c r="CB31" s="275">
        <f>'[1]POLY commited funds to date'!X31</f>
        <v>210000000</v>
      </c>
      <c r="CC31" s="275">
        <f>'[1]POLY DISB 2019'!W35</f>
        <v>210000000</v>
      </c>
      <c r="CD31" s="275">
        <f t="shared" si="22"/>
        <v>0</v>
      </c>
      <c r="CE31" s="275"/>
      <c r="CF31" s="275">
        <f>'[1]POLY commited funds to date'!Y31</f>
        <v>750000000</v>
      </c>
      <c r="CG31" s="275">
        <f>'[1]POLY DISB 2019'!X35</f>
        <v>750000000</v>
      </c>
      <c r="CH31" s="275">
        <f t="shared" si="23"/>
        <v>0</v>
      </c>
      <c r="CI31" s="275"/>
      <c r="CJ31" s="275">
        <f>'[1]POLY commited funds to date'!Z31</f>
        <v>0</v>
      </c>
      <c r="CK31" s="275">
        <f>'[1]POLY DISB 2019'!Y35</f>
        <v>0</v>
      </c>
      <c r="CL31" s="275">
        <f t="shared" si="24"/>
        <v>0</v>
      </c>
      <c r="CM31" s="275"/>
      <c r="CN31" s="275">
        <f>'[1]POLY commited funds to date'!AA31</f>
        <v>243000000</v>
      </c>
      <c r="CO31" s="275">
        <f>'[1]POLY DISB 2019'!Z35</f>
        <v>243000000</v>
      </c>
      <c r="CP31" s="275">
        <f t="shared" si="25"/>
        <v>0</v>
      </c>
      <c r="CQ31" s="275"/>
      <c r="CR31" s="275">
        <v>10000000</v>
      </c>
      <c r="CS31" s="275">
        <f>'[1]POLY DISB 2019'!AA35</f>
        <v>10000000</v>
      </c>
      <c r="CT31" s="275">
        <f t="shared" si="26"/>
        <v>0</v>
      </c>
      <c r="CU31" s="275"/>
      <c r="CV31" s="275">
        <f>'[1]POLY commited funds to date'!AC31</f>
        <v>371000000</v>
      </c>
      <c r="CW31" s="275">
        <f>'[1]POLY DISB 2019'!AB35</f>
        <v>371000000</v>
      </c>
      <c r="CX31" s="275">
        <f t="shared" si="27"/>
        <v>0</v>
      </c>
      <c r="CY31" s="275"/>
      <c r="CZ31" s="275">
        <f>'[1]POLY commited funds to date'!AD31</f>
        <v>20000000</v>
      </c>
      <c r="DA31" s="275">
        <f>'[1]POLY DISB 2019'!AC35</f>
        <v>20000000</v>
      </c>
      <c r="DB31" s="275">
        <f t="shared" si="28"/>
        <v>0</v>
      </c>
      <c r="DC31" s="275"/>
      <c r="DD31" s="275">
        <f>'[1]POLY commited funds to date'!AE31</f>
        <v>60000000</v>
      </c>
      <c r="DE31" s="275">
        <f>'[1]POLY DISB 2019'!AD35</f>
        <v>60000000</v>
      </c>
      <c r="DF31" s="275">
        <f t="shared" si="29"/>
        <v>0</v>
      </c>
      <c r="DG31" s="275"/>
      <c r="DH31" s="275">
        <f>'[1]poly  com. adj for fmis'!AE31</f>
        <v>80000000</v>
      </c>
      <c r="DI31" s="275">
        <f>'[1]POLY DISB 2019'!AE35</f>
        <v>68000000</v>
      </c>
      <c r="DJ31" s="275">
        <f t="shared" si="30"/>
        <v>12000000</v>
      </c>
      <c r="DK31" s="275"/>
      <c r="DL31" s="275">
        <f>'[1]poly  com. adj for fmis'!AF31</f>
        <v>8000000</v>
      </c>
      <c r="DM31" s="275">
        <f>'[1]POLY DISB 2019'!AF35</f>
        <v>6800000</v>
      </c>
      <c r="DN31" s="275">
        <f t="shared" si="31"/>
        <v>1200000</v>
      </c>
      <c r="DO31" s="275"/>
      <c r="DP31" s="275">
        <f>'[1]poly  com. adj for fmis'!AG31</f>
        <v>2000000</v>
      </c>
      <c r="DQ31" s="275">
        <f>'[1]POLY DISB 2019'!AG35</f>
        <v>0</v>
      </c>
      <c r="DR31" s="275">
        <f t="shared" si="32"/>
        <v>2000000</v>
      </c>
      <c r="DS31" s="275"/>
      <c r="DT31" s="275">
        <f>'[1]poly  com. adj for fmis'!AH31</f>
        <v>10000000</v>
      </c>
      <c r="DU31" s="275">
        <f>'[1]POLY DISB 2019'!AH35</f>
        <v>10000000</v>
      </c>
      <c r="DV31" s="275">
        <f t="shared" si="33"/>
        <v>0</v>
      </c>
      <c r="DW31" s="275"/>
      <c r="DX31" s="275">
        <f>'[1]poly  com. adj for fmis'!AI31</f>
        <v>4000000000</v>
      </c>
      <c r="DY31" s="275">
        <f>'[1]POLY DISB 2019'!AI35</f>
        <v>3367500000</v>
      </c>
      <c r="DZ31" s="275">
        <f t="shared" si="34"/>
        <v>632500000</v>
      </c>
      <c r="EA31" s="275"/>
      <c r="EB31" s="275">
        <f>'[1]POLY commited funds to date'!AK31</f>
        <v>380632000</v>
      </c>
      <c r="EC31" s="275">
        <f>'[1]POLY DISB 2019'!AJ35</f>
        <v>323537200</v>
      </c>
      <c r="ED31" s="275">
        <f t="shared" si="35"/>
        <v>57094800</v>
      </c>
      <c r="EE31" s="275"/>
      <c r="EF31" s="275">
        <f>'[1]POLY commited funds to date'!AL31</f>
        <v>8000000</v>
      </c>
      <c r="EG31" s="275">
        <f>'[1]POLY DISB 2019'!AK35</f>
        <v>6800000</v>
      </c>
      <c r="EH31" s="275">
        <f t="shared" si="36"/>
        <v>1200000</v>
      </c>
      <c r="EI31" s="275"/>
      <c r="EJ31" s="275">
        <f>'[1]POLY commited funds to date'!AM31</f>
        <v>10000000</v>
      </c>
      <c r="EK31" s="275">
        <f>'[1]POLY DISB 2019'!AL35</f>
        <v>10000000</v>
      </c>
      <c r="EL31" s="275">
        <f t="shared" si="37"/>
        <v>0</v>
      </c>
      <c r="EM31" s="275"/>
      <c r="EN31" s="275">
        <f>'[1]POLY commited funds to date'!AN31</f>
        <v>10000000</v>
      </c>
      <c r="EO31" s="275">
        <f>'[1]POLY DISB 2019'!AM35</f>
        <v>0</v>
      </c>
      <c r="EP31" s="275">
        <f t="shared" si="38"/>
        <v>10000000</v>
      </c>
      <c r="EQ31" s="275">
        <f>'[1]POLY commited funds to date'!AO31</f>
        <v>0</v>
      </c>
      <c r="ER31" s="275">
        <f>'[1]POLY DISB 2019'!AN35</f>
        <v>0</v>
      </c>
      <c r="ES31" s="275">
        <f t="shared" si="39"/>
        <v>0</v>
      </c>
      <c r="ET31" s="275"/>
      <c r="EU31" s="275">
        <f>'[1]POLY commited funds to date'!AP31</f>
        <v>205000000</v>
      </c>
      <c r="EV31" s="275">
        <f>'[1]POLY DISB 2019'!AO35</f>
        <v>0</v>
      </c>
      <c r="EW31" s="275">
        <f t="shared" si="40"/>
        <v>205000000</v>
      </c>
      <c r="EX31" s="275"/>
      <c r="EY31" s="275">
        <f>'[1]POLY commited funds to date'!AQ31</f>
        <v>75000000</v>
      </c>
      <c r="EZ31" s="275">
        <f>'[1]POLY DISB 2019'!AP35</f>
        <v>45000000</v>
      </c>
      <c r="FA31" s="275">
        <f t="shared" si="41"/>
        <v>30000000</v>
      </c>
      <c r="FB31" s="275"/>
      <c r="FC31" s="275">
        <f>'[1]POLY commited funds to date'!AR31</f>
        <v>7000000</v>
      </c>
      <c r="FD31" s="275">
        <f>'[1]POLY DISB 2019'!AQ35</f>
        <v>0</v>
      </c>
      <c r="FE31" s="275">
        <f t="shared" si="42"/>
        <v>7000000</v>
      </c>
      <c r="FF31" s="275"/>
      <c r="FG31" s="275">
        <f>'[1]POLY commited funds to date'!AS31</f>
        <v>6300000</v>
      </c>
      <c r="FH31" s="275">
        <f>'[1]POLY DISB 2019'!AR35</f>
        <v>0</v>
      </c>
      <c r="FI31" s="275">
        <f t="shared" si="43"/>
        <v>6300000</v>
      </c>
      <c r="FJ31" s="275"/>
      <c r="FK31" s="275">
        <f>'[1]POLY commited funds to date'!AT31</f>
        <v>7500000</v>
      </c>
      <c r="FL31" s="275">
        <f>'[1]POLY DISB 2019'!AS35</f>
        <v>0</v>
      </c>
      <c r="FM31" s="275">
        <f t="shared" si="44"/>
        <v>7500000</v>
      </c>
      <c r="FN31" s="275"/>
      <c r="FO31" s="275">
        <f>'[1]POLY commited funds to date'!AU31</f>
        <v>245000000</v>
      </c>
      <c r="FP31" s="275">
        <f>'[1]POLY DISB 2019'!AT35</f>
        <v>0</v>
      </c>
      <c r="FQ31" s="275">
        <f t="shared" si="45"/>
        <v>245000000</v>
      </c>
      <c r="FR31" s="275">
        <f>'[1]POLY commited funds to date'!AV31</f>
        <v>119074602</v>
      </c>
      <c r="FS31" s="275">
        <f>'[1]POLY DISB 2019'!AU35</f>
        <v>0</v>
      </c>
      <c r="FT31" s="275">
        <f t="shared" si="46"/>
        <v>119074602</v>
      </c>
      <c r="FU31" s="275"/>
      <c r="FV31" s="275">
        <f>'[1]POLY commited funds to date'!AW31</f>
        <v>13000000</v>
      </c>
      <c r="FW31" s="275">
        <f>'[1]POLY DISB 2019'!AV35</f>
        <v>0</v>
      </c>
      <c r="FX31" s="275">
        <f t="shared" si="47"/>
        <v>13000000</v>
      </c>
      <c r="FY31" s="275"/>
      <c r="FZ31" s="275">
        <f>'[1]POLY commited funds to date'!AX31</f>
        <v>8628900</v>
      </c>
      <c r="GA31" s="275">
        <f>'[1]POLY DISB 2019'!AW35</f>
        <v>0</v>
      </c>
      <c r="GB31" s="275">
        <f t="shared" si="48"/>
        <v>8628900</v>
      </c>
      <c r="GC31" s="275">
        <f>'[1]POLY commited funds to date'!AY31</f>
        <v>5000000</v>
      </c>
      <c r="GD31" s="275">
        <f>'[1]POLY DISB 2019'!AX35</f>
        <v>0</v>
      </c>
      <c r="GE31" s="275">
        <f t="shared" si="49"/>
        <v>5000000</v>
      </c>
      <c r="GF31" s="275"/>
      <c r="GG31" s="275">
        <f>'[1]POLY commited funds to date'!AZ31</f>
        <v>0</v>
      </c>
      <c r="GH31" s="275">
        <f>'[1]POLY DISB 2019'!AY35</f>
        <v>0</v>
      </c>
      <c r="GI31" s="275">
        <f t="shared" si="50"/>
        <v>0</v>
      </c>
      <c r="GJ31" s="275"/>
      <c r="GK31" s="275">
        <f t="shared" si="51"/>
        <v>8679552696.6599998</v>
      </c>
      <c r="GL31" s="275">
        <f t="shared" si="51"/>
        <v>7319004394.6599998</v>
      </c>
      <c r="GM31" s="275">
        <f t="shared" si="52"/>
        <v>1360548302</v>
      </c>
      <c r="GN31" s="265"/>
      <c r="GO31" s="277">
        <f t="shared" si="53"/>
        <v>2280049194.6599998</v>
      </c>
      <c r="GP31" s="277">
        <f t="shared" si="53"/>
        <v>1762904394.6599998</v>
      </c>
      <c r="GQ31" s="277">
        <f t="shared" si="54"/>
        <v>517144800</v>
      </c>
      <c r="GR31" s="277">
        <f t="shared" si="0"/>
        <v>10000000</v>
      </c>
      <c r="GS31" s="277">
        <f t="shared" si="0"/>
        <v>10000000</v>
      </c>
      <c r="GT31" s="277">
        <f t="shared" si="55"/>
        <v>0</v>
      </c>
      <c r="GU31" s="277"/>
      <c r="GV31" s="265"/>
      <c r="GW31" s="279">
        <f t="shared" si="68"/>
        <v>6060000000</v>
      </c>
      <c r="GX31" s="279">
        <f t="shared" si="68"/>
        <v>5427500000</v>
      </c>
      <c r="GY31" s="280">
        <f t="shared" si="57"/>
        <v>632500000</v>
      </c>
      <c r="GZ31" s="280"/>
      <c r="HA31" s="277">
        <f t="shared" si="58"/>
        <v>74928900</v>
      </c>
      <c r="HB31" s="277">
        <f t="shared" si="58"/>
        <v>60000000</v>
      </c>
      <c r="HC31" s="277">
        <f t="shared" si="59"/>
        <v>14928900</v>
      </c>
      <c r="HE31" s="277">
        <f t="shared" si="60"/>
        <v>36000000</v>
      </c>
      <c r="HF31" s="277">
        <f t="shared" si="60"/>
        <v>13600000</v>
      </c>
      <c r="HG31" s="277">
        <f t="shared" si="61"/>
        <v>22400000</v>
      </c>
      <c r="HI31" s="279">
        <f t="shared" si="62"/>
        <v>194074602</v>
      </c>
      <c r="HJ31" s="279">
        <f t="shared" si="62"/>
        <v>45000000</v>
      </c>
      <c r="HK31" s="279">
        <f t="shared" si="63"/>
        <v>149074602</v>
      </c>
      <c r="HM31" s="279">
        <f t="shared" si="64"/>
        <v>2000000</v>
      </c>
      <c r="HN31" s="279">
        <f t="shared" si="1"/>
        <v>0</v>
      </c>
      <c r="HO31" s="279">
        <f t="shared" si="65"/>
        <v>2000000</v>
      </c>
      <c r="HQ31" s="279">
        <f t="shared" si="66"/>
        <v>22500000</v>
      </c>
      <c r="HR31" s="279">
        <f t="shared" si="2"/>
        <v>0</v>
      </c>
      <c r="HS31" s="279">
        <f t="shared" si="67"/>
        <v>22500000</v>
      </c>
    </row>
    <row r="32" spans="1:227" x14ac:dyDescent="0.25">
      <c r="A32" s="235">
        <v>24</v>
      </c>
      <c r="B32" s="273" t="s">
        <v>223</v>
      </c>
      <c r="C32" s="274" t="s">
        <v>61</v>
      </c>
      <c r="D32" s="275">
        <v>24706514.399999999</v>
      </c>
      <c r="E32" s="275">
        <f>'[1]POLY DISB 2019'!C36</f>
        <v>24706514.399999999</v>
      </c>
      <c r="F32" s="275">
        <f t="shared" si="3"/>
        <v>0</v>
      </c>
      <c r="G32" s="275"/>
      <c r="H32" s="275">
        <v>10000000</v>
      </c>
      <c r="I32" s="275">
        <f>'[1]POLY DISB 2019'!D36</f>
        <v>10000000</v>
      </c>
      <c r="J32" s="275">
        <f t="shared" si="4"/>
        <v>0</v>
      </c>
      <c r="K32" s="275"/>
      <c r="L32" s="275">
        <v>20000000</v>
      </c>
      <c r="M32" s="275">
        <f>'[1]POLY DISB 2019'!E36</f>
        <v>20000000</v>
      </c>
      <c r="N32" s="275">
        <f t="shared" si="5"/>
        <v>0</v>
      </c>
      <c r="O32" s="275"/>
      <c r="P32" s="275">
        <v>25000000</v>
      </c>
      <c r="Q32" s="275">
        <f>'[1]POLY DISB 2019'!F36</f>
        <v>25000000</v>
      </c>
      <c r="R32" s="275">
        <f t="shared" si="6"/>
        <v>0</v>
      </c>
      <c r="S32" s="275"/>
      <c r="T32" s="275">
        <v>12000000</v>
      </c>
      <c r="U32" s="275">
        <f>'[1]POLY DISB 2019'!G36</f>
        <v>12000000</v>
      </c>
      <c r="V32" s="275">
        <f t="shared" si="7"/>
        <v>0</v>
      </c>
      <c r="W32" s="275"/>
      <c r="X32" s="275">
        <v>12000000</v>
      </c>
      <c r="Y32" s="275">
        <f>'[1]POLY DISB 2019'!H36</f>
        <v>12000000</v>
      </c>
      <c r="Z32" s="275">
        <f t="shared" si="8"/>
        <v>0</v>
      </c>
      <c r="AA32" s="275"/>
      <c r="AB32" s="275">
        <v>0</v>
      </c>
      <c r="AC32" s="275">
        <f>'[1]POLY DISB 2019'!I36</f>
        <v>0</v>
      </c>
      <c r="AD32" s="275">
        <f t="shared" si="9"/>
        <v>0</v>
      </c>
      <c r="AE32" s="275"/>
      <c r="AF32" s="275">
        <f>'[1]POLY commited funds to date'!K32</f>
        <v>20000000</v>
      </c>
      <c r="AG32" s="275">
        <f>'[1]POLY DISB 2019'!J36</f>
        <v>20149002.510000002</v>
      </c>
      <c r="AH32" s="275">
        <f t="shared" si="10"/>
        <v>-149002.51000000164</v>
      </c>
      <c r="AI32" s="275"/>
      <c r="AJ32" s="275">
        <v>8500000</v>
      </c>
      <c r="AK32" s="275">
        <f>'[1]POLY DISB 2019'!K36</f>
        <v>8500000</v>
      </c>
      <c r="AL32" s="275">
        <f t="shared" si="11"/>
        <v>0</v>
      </c>
      <c r="AM32" s="275"/>
      <c r="AN32" s="275">
        <v>20000000</v>
      </c>
      <c r="AO32" s="275">
        <f>'[1]POLY DISB 2019'!L36</f>
        <v>20000000</v>
      </c>
      <c r="AP32" s="275">
        <f t="shared" si="12"/>
        <v>0</v>
      </c>
      <c r="AQ32" s="275"/>
      <c r="AR32" s="275">
        <v>26000000</v>
      </c>
      <c r="AS32" s="275">
        <f>'[1]POLY DISB 2019'!M36</f>
        <v>26000000</v>
      </c>
      <c r="AT32" s="275">
        <f t="shared" si="13"/>
        <v>0</v>
      </c>
      <c r="AU32" s="275"/>
      <c r="AV32" s="275">
        <v>45000000</v>
      </c>
      <c r="AW32" s="275">
        <f>'[1]POLY DISB 2019'!N36</f>
        <v>45000000</v>
      </c>
      <c r="AX32" s="275">
        <f t="shared" si="14"/>
        <v>0</v>
      </c>
      <c r="AY32" s="275"/>
      <c r="AZ32" s="275">
        <v>38340000</v>
      </c>
      <c r="BA32" s="275">
        <f>'[1]POLY DISB 2019'!P36</f>
        <v>38340000</v>
      </c>
      <c r="BB32" s="275">
        <f t="shared" si="15"/>
        <v>0</v>
      </c>
      <c r="BC32" s="275"/>
      <c r="BD32" s="275">
        <v>0</v>
      </c>
      <c r="BE32" s="275">
        <f>'[1]POLY DISB 2019'!Q36</f>
        <v>0</v>
      </c>
      <c r="BF32" s="275">
        <f t="shared" si="16"/>
        <v>0</v>
      </c>
      <c r="BG32" s="275"/>
      <c r="BH32" s="275">
        <f>'[1]POLY commited funds to date'!S32</f>
        <v>126060000</v>
      </c>
      <c r="BI32" s="275">
        <f>'[1]POLY DISB 2019'!R36</f>
        <v>126060000</v>
      </c>
      <c r="BJ32" s="275">
        <f t="shared" si="17"/>
        <v>0</v>
      </c>
      <c r="BK32" s="275"/>
      <c r="BL32" s="275">
        <v>275000000</v>
      </c>
      <c r="BM32" s="275">
        <f>'[1]POLY DISB 2019'!S36</f>
        <v>275000000</v>
      </c>
      <c r="BN32" s="269">
        <f t="shared" si="18"/>
        <v>0</v>
      </c>
      <c r="BO32" s="275"/>
      <c r="BP32" s="276">
        <f>'[1]POLY commited funds to date'!U32</f>
        <v>169900000</v>
      </c>
      <c r="BQ32" s="275">
        <f>'[1]POLY DISB 2019'!T36</f>
        <v>144415000</v>
      </c>
      <c r="BR32" s="275">
        <f t="shared" si="19"/>
        <v>25485000</v>
      </c>
      <c r="BS32" s="275"/>
      <c r="BT32" s="275">
        <f>'[1]POLY commited funds to date'!V32</f>
        <v>10000000</v>
      </c>
      <c r="BU32" s="275">
        <f>'[1]POLY DISB 2019'!U36</f>
        <v>8500000</v>
      </c>
      <c r="BV32" s="275">
        <f t="shared" si="20"/>
        <v>1500000</v>
      </c>
      <c r="BW32" s="275"/>
      <c r="BX32" s="275">
        <f>'[1]POLY commited funds to date'!W32</f>
        <v>0</v>
      </c>
      <c r="BY32" s="275">
        <f>'[1]POLY DISB 2019'!V36</f>
        <v>0</v>
      </c>
      <c r="BZ32" s="275">
        <f t="shared" si="21"/>
        <v>0</v>
      </c>
      <c r="CA32" s="275"/>
      <c r="CB32" s="275">
        <f>'[1]POLY commited funds to date'!X32</f>
        <v>210000000</v>
      </c>
      <c r="CC32" s="275">
        <f>'[1]POLY DISB 2019'!W36</f>
        <v>178500000</v>
      </c>
      <c r="CD32" s="275">
        <f t="shared" si="22"/>
        <v>31500000</v>
      </c>
      <c r="CE32" s="275"/>
      <c r="CF32" s="275">
        <f>'[1]POLY commited funds to date'!Y32</f>
        <v>350000000</v>
      </c>
      <c r="CG32" s="275">
        <f>'[1]POLY DISB 2019'!X36</f>
        <v>350000000</v>
      </c>
      <c r="CH32" s="275">
        <f t="shared" si="23"/>
        <v>0</v>
      </c>
      <c r="CI32" s="275"/>
      <c r="CJ32" s="275">
        <f>'[1]POLY commited funds to date'!Z32</f>
        <v>100000000</v>
      </c>
      <c r="CK32" s="275">
        <f>'[1]POLY DISB 2019'!Y36</f>
        <v>100000000</v>
      </c>
      <c r="CL32" s="275">
        <f t="shared" si="24"/>
        <v>0</v>
      </c>
      <c r="CM32" s="275"/>
      <c r="CN32" s="275">
        <f>'[1]POLY commited funds to date'!AA32</f>
        <v>243000000</v>
      </c>
      <c r="CO32" s="275">
        <f>'[1]POLY DISB 2019'!Z36</f>
        <v>206550000</v>
      </c>
      <c r="CP32" s="275">
        <f t="shared" si="25"/>
        <v>36450000</v>
      </c>
      <c r="CQ32" s="275"/>
      <c r="CR32" s="275">
        <v>10000000</v>
      </c>
      <c r="CS32" s="275">
        <f>'[1]POLY DISB 2019'!AA36</f>
        <v>8500000</v>
      </c>
      <c r="CT32" s="275">
        <f t="shared" si="26"/>
        <v>1500000</v>
      </c>
      <c r="CU32" s="275"/>
      <c r="CV32" s="275">
        <f>'[1]POLY commited funds to date'!AC32</f>
        <v>371000000</v>
      </c>
      <c r="CW32" s="275">
        <f>'[1]POLY DISB 2019'!AB36</f>
        <v>422501000</v>
      </c>
      <c r="CX32" s="275">
        <f t="shared" si="27"/>
        <v>-51501000</v>
      </c>
      <c r="CY32" s="275"/>
      <c r="CZ32" s="275">
        <f>'[1]POLY commited funds to date'!AD32</f>
        <v>20000000</v>
      </c>
      <c r="DA32" s="275">
        <f>'[1]POLY DISB 2019'!AC36</f>
        <v>17000000</v>
      </c>
      <c r="DB32" s="275">
        <f t="shared" si="28"/>
        <v>3000000</v>
      </c>
      <c r="DC32" s="275"/>
      <c r="DD32" s="275">
        <f>'[1]POLY commited funds to date'!AE32</f>
        <v>150000000</v>
      </c>
      <c r="DE32" s="275">
        <f>'[1]POLY DISB 2019'!AD36</f>
        <v>150000000</v>
      </c>
      <c r="DF32" s="275">
        <f t="shared" si="29"/>
        <v>0</v>
      </c>
      <c r="DG32" s="275"/>
      <c r="DH32" s="275">
        <f>'[1]poly  com. adj for fmis'!AE32</f>
        <v>80000000</v>
      </c>
      <c r="DI32" s="275">
        <f>'[1]POLY DISB 2019'!AE36</f>
        <v>54400000</v>
      </c>
      <c r="DJ32" s="275">
        <f t="shared" si="30"/>
        <v>25600000</v>
      </c>
      <c r="DK32" s="275"/>
      <c r="DL32" s="275">
        <f>'[1]poly  com. adj for fmis'!AF32</f>
        <v>8000000</v>
      </c>
      <c r="DM32" s="275">
        <f>'[1]POLY DISB 2019'!AF36</f>
        <v>6800000</v>
      </c>
      <c r="DN32" s="275">
        <f t="shared" si="31"/>
        <v>1200000</v>
      </c>
      <c r="DO32" s="275"/>
      <c r="DP32" s="275">
        <f>'[1]poly  com. adj for fmis'!AG32</f>
        <v>2000000</v>
      </c>
      <c r="DQ32" s="275">
        <f>'[1]POLY DISB 2019'!AG36</f>
        <v>1700000</v>
      </c>
      <c r="DR32" s="275">
        <f t="shared" si="32"/>
        <v>300000</v>
      </c>
      <c r="DS32" s="275"/>
      <c r="DT32" s="275">
        <f>'[1]poly  com. adj for fmis'!AH32</f>
        <v>10000000</v>
      </c>
      <c r="DU32" s="275">
        <f>'[1]POLY DISB 2019'!AH36</f>
        <v>8500000</v>
      </c>
      <c r="DV32" s="275">
        <f t="shared" si="33"/>
        <v>1500000</v>
      </c>
      <c r="DW32" s="275"/>
      <c r="DX32" s="275">
        <f>'[1]poly  com. adj for fmis'!AI32</f>
        <v>4150000000</v>
      </c>
      <c r="DY32" s="275">
        <f>'[1]POLY DISB 2019'!AI36</f>
        <v>3500500000</v>
      </c>
      <c r="DZ32" s="275">
        <f t="shared" si="34"/>
        <v>649500000</v>
      </c>
      <c r="EA32" s="275"/>
      <c r="EB32" s="275">
        <f>'[1]POLY commited funds to date'!AK32</f>
        <v>380632000</v>
      </c>
      <c r="EC32" s="275">
        <f>'[1]POLY DISB 2019'!AJ36</f>
        <v>258829760</v>
      </c>
      <c r="ED32" s="275">
        <f t="shared" si="35"/>
        <v>121802240</v>
      </c>
      <c r="EE32" s="275"/>
      <c r="EF32" s="275">
        <f>'[1]POLY commited funds to date'!AL32</f>
        <v>8000000</v>
      </c>
      <c r="EG32" s="275">
        <f>'[1]POLY DISB 2019'!AK36</f>
        <v>6800000</v>
      </c>
      <c r="EH32" s="275">
        <f t="shared" si="36"/>
        <v>1200000</v>
      </c>
      <c r="EI32" s="275"/>
      <c r="EJ32" s="275">
        <f>'[1]POLY commited funds to date'!AM32</f>
        <v>10000000</v>
      </c>
      <c r="EK32" s="275">
        <f>'[1]POLY DISB 2019'!AL36</f>
        <v>0</v>
      </c>
      <c r="EL32" s="275">
        <f t="shared" si="37"/>
        <v>10000000</v>
      </c>
      <c r="EM32" s="275"/>
      <c r="EN32" s="275">
        <f>'[1]POLY commited funds to date'!AN32</f>
        <v>10000000</v>
      </c>
      <c r="EO32" s="275">
        <f>'[1]POLY DISB 2019'!AM36</f>
        <v>0</v>
      </c>
      <c r="EP32" s="275">
        <f t="shared" si="38"/>
        <v>10000000</v>
      </c>
      <c r="EQ32" s="275">
        <f>'[1]POLY commited funds to date'!AO32</f>
        <v>0</v>
      </c>
      <c r="ER32" s="275">
        <f>'[1]POLY DISB 2019'!AN36</f>
        <v>0</v>
      </c>
      <c r="ES32" s="275">
        <f t="shared" si="39"/>
        <v>0</v>
      </c>
      <c r="ET32" s="275"/>
      <c r="EU32" s="275">
        <f>'[1]POLY commited funds to date'!AP32</f>
        <v>205000000</v>
      </c>
      <c r="EV32" s="275">
        <f>'[1]POLY DISB 2019'!AO36</f>
        <v>0</v>
      </c>
      <c r="EW32" s="275">
        <f t="shared" si="40"/>
        <v>205000000</v>
      </c>
      <c r="EX32" s="275"/>
      <c r="EY32" s="275">
        <f>'[1]POLY commited funds to date'!AQ32</f>
        <v>75000000</v>
      </c>
      <c r="EZ32" s="275">
        <f>'[1]POLY DISB 2019'!AP36</f>
        <v>50250000</v>
      </c>
      <c r="FA32" s="275">
        <f t="shared" si="41"/>
        <v>24750000</v>
      </c>
      <c r="FB32" s="275"/>
      <c r="FC32" s="275">
        <f>'[1]POLY commited funds to date'!AR32</f>
        <v>7000000</v>
      </c>
      <c r="FD32" s="275">
        <f>'[1]POLY DISB 2019'!AQ36</f>
        <v>0</v>
      </c>
      <c r="FE32" s="275">
        <f t="shared" si="42"/>
        <v>7000000</v>
      </c>
      <c r="FF32" s="275"/>
      <c r="FG32" s="275">
        <f>'[1]POLY commited funds to date'!AS32</f>
        <v>6300000</v>
      </c>
      <c r="FH32" s="275">
        <f>'[1]POLY DISB 2019'!AR36</f>
        <v>0</v>
      </c>
      <c r="FI32" s="275">
        <f t="shared" si="43"/>
        <v>6300000</v>
      </c>
      <c r="FJ32" s="275"/>
      <c r="FK32" s="275">
        <f>'[1]POLY commited funds to date'!AT32</f>
        <v>7500000</v>
      </c>
      <c r="FL32" s="275">
        <f>'[1]POLY DISB 2019'!AS36</f>
        <v>0</v>
      </c>
      <c r="FM32" s="275">
        <f t="shared" si="44"/>
        <v>7500000</v>
      </c>
      <c r="FN32" s="275"/>
      <c r="FO32" s="275">
        <f>'[1]POLY commited funds to date'!AU32</f>
        <v>245000000</v>
      </c>
      <c r="FP32" s="275">
        <f>'[1]POLY DISB 2019'!AT36</f>
        <v>0</v>
      </c>
      <c r="FQ32" s="275">
        <f t="shared" si="45"/>
        <v>245000000</v>
      </c>
      <c r="FR32" s="275">
        <f>'[1]POLY commited funds to date'!AV32</f>
        <v>119074602</v>
      </c>
      <c r="FS32" s="275">
        <f>'[1]POLY DISB 2019'!AU36</f>
        <v>0</v>
      </c>
      <c r="FT32" s="275">
        <f t="shared" si="46"/>
        <v>119074602</v>
      </c>
      <c r="FU32" s="275"/>
      <c r="FV32" s="275">
        <f>'[1]POLY commited funds to date'!AW32</f>
        <v>13000000</v>
      </c>
      <c r="FW32" s="275">
        <f>'[1]POLY DISB 2019'!AV36</f>
        <v>0</v>
      </c>
      <c r="FX32" s="275">
        <f t="shared" si="47"/>
        <v>13000000</v>
      </c>
      <c r="FY32" s="275"/>
      <c r="FZ32" s="275">
        <f>'[1]POLY commited funds to date'!AX32</f>
        <v>8628900</v>
      </c>
      <c r="GA32" s="275">
        <f>'[1]POLY DISB 2019'!AW36</f>
        <v>0</v>
      </c>
      <c r="GB32" s="275">
        <f t="shared" si="48"/>
        <v>8628900</v>
      </c>
      <c r="GC32" s="275">
        <f>'[1]POLY commited funds to date'!AY32</f>
        <v>5000000</v>
      </c>
      <c r="GD32" s="275">
        <f>'[1]POLY DISB 2019'!AX36</f>
        <v>0</v>
      </c>
      <c r="GE32" s="275">
        <f t="shared" si="49"/>
        <v>5000000</v>
      </c>
      <c r="GF32" s="275"/>
      <c r="GG32" s="275">
        <f>'[1]POLY commited funds to date'!AZ32</f>
        <v>0</v>
      </c>
      <c r="GH32" s="275">
        <f>'[1]POLY DISB 2019'!AY36</f>
        <v>0</v>
      </c>
      <c r="GI32" s="275">
        <f t="shared" si="50"/>
        <v>0</v>
      </c>
      <c r="GJ32" s="275"/>
      <c r="GK32" s="275">
        <f t="shared" si="51"/>
        <v>7646642016.3999996</v>
      </c>
      <c r="GL32" s="275">
        <f t="shared" si="51"/>
        <v>6136501276.9099998</v>
      </c>
      <c r="GM32" s="275">
        <f t="shared" si="52"/>
        <v>1510140739.4899998</v>
      </c>
      <c r="GN32" s="265"/>
      <c r="GO32" s="277">
        <f t="shared" si="53"/>
        <v>2283638514.4000001</v>
      </c>
      <c r="GP32" s="277">
        <f t="shared" si="53"/>
        <v>1644451276.9100001</v>
      </c>
      <c r="GQ32" s="277">
        <f t="shared" si="54"/>
        <v>639187237.49000001</v>
      </c>
      <c r="GR32" s="277">
        <f t="shared" si="0"/>
        <v>8500000</v>
      </c>
      <c r="GS32" s="277">
        <f t="shared" si="0"/>
        <v>8500000</v>
      </c>
      <c r="GT32" s="277">
        <f t="shared" si="55"/>
        <v>0</v>
      </c>
      <c r="GU32" s="277"/>
      <c r="GV32" s="265"/>
      <c r="GW32" s="279">
        <f t="shared" si="68"/>
        <v>5025000000</v>
      </c>
      <c r="GX32" s="279">
        <f t="shared" si="68"/>
        <v>4375500000</v>
      </c>
      <c r="GY32" s="280">
        <f t="shared" si="57"/>
        <v>649500000</v>
      </c>
      <c r="GZ32" s="280"/>
      <c r="HA32" s="277">
        <f t="shared" si="58"/>
        <v>74928900</v>
      </c>
      <c r="HB32" s="277">
        <f t="shared" si="58"/>
        <v>42500000</v>
      </c>
      <c r="HC32" s="277">
        <f t="shared" si="59"/>
        <v>32428900</v>
      </c>
      <c r="HE32" s="277">
        <f t="shared" si="60"/>
        <v>36000000</v>
      </c>
      <c r="HF32" s="277">
        <f t="shared" si="60"/>
        <v>13600000</v>
      </c>
      <c r="HG32" s="277">
        <f t="shared" si="61"/>
        <v>22400000</v>
      </c>
      <c r="HI32" s="279">
        <f t="shared" si="62"/>
        <v>194074602</v>
      </c>
      <c r="HJ32" s="279">
        <f t="shared" si="62"/>
        <v>50250000</v>
      </c>
      <c r="HK32" s="279">
        <f t="shared" si="63"/>
        <v>143824602</v>
      </c>
      <c r="HM32" s="279">
        <f t="shared" si="64"/>
        <v>2000000</v>
      </c>
      <c r="HN32" s="279">
        <f t="shared" si="1"/>
        <v>1700000</v>
      </c>
      <c r="HO32" s="279">
        <f t="shared" si="65"/>
        <v>300000</v>
      </c>
      <c r="HQ32" s="279">
        <f t="shared" si="66"/>
        <v>22500000</v>
      </c>
      <c r="HR32" s="279">
        <f t="shared" si="2"/>
        <v>0</v>
      </c>
      <c r="HS32" s="279">
        <f t="shared" si="67"/>
        <v>22500000</v>
      </c>
    </row>
    <row r="33" spans="1:227" x14ac:dyDescent="0.25">
      <c r="A33" s="235">
        <v>25</v>
      </c>
      <c r="B33" s="273" t="s">
        <v>224</v>
      </c>
      <c r="C33" s="274" t="s">
        <v>74</v>
      </c>
      <c r="D33" s="275">
        <v>24709302</v>
      </c>
      <c r="E33" s="275">
        <f>'[1]POLY DISB 2019'!C37</f>
        <v>24709302</v>
      </c>
      <c r="F33" s="275">
        <f t="shared" si="3"/>
        <v>0</v>
      </c>
      <c r="G33" s="275"/>
      <c r="H33" s="275">
        <v>10000000</v>
      </c>
      <c r="I33" s="275">
        <f>'[1]POLY DISB 2019'!D37</f>
        <v>10000000</v>
      </c>
      <c r="J33" s="275">
        <f t="shared" si="4"/>
        <v>0</v>
      </c>
      <c r="K33" s="275"/>
      <c r="L33" s="275">
        <v>20000000</v>
      </c>
      <c r="M33" s="275">
        <f>'[1]POLY DISB 2019'!E37</f>
        <v>20000000</v>
      </c>
      <c r="N33" s="275">
        <f t="shared" si="5"/>
        <v>0</v>
      </c>
      <c r="O33" s="275"/>
      <c r="P33" s="275">
        <v>25000000</v>
      </c>
      <c r="Q33" s="275">
        <f>'[1]POLY DISB 2019'!F37</f>
        <v>25000000</v>
      </c>
      <c r="R33" s="275">
        <f t="shared" si="6"/>
        <v>0</v>
      </c>
      <c r="S33" s="275"/>
      <c r="T33" s="275">
        <v>12000000</v>
      </c>
      <c r="U33" s="275">
        <f>'[1]POLY DISB 2019'!G37</f>
        <v>11999999.449999999</v>
      </c>
      <c r="V33" s="275">
        <f t="shared" si="7"/>
        <v>0.55000000074505806</v>
      </c>
      <c r="W33" s="275"/>
      <c r="X33" s="275">
        <v>12000000</v>
      </c>
      <c r="Y33" s="275">
        <f>'[1]POLY DISB 2019'!H37</f>
        <v>12000000</v>
      </c>
      <c r="Z33" s="275">
        <f t="shared" si="8"/>
        <v>0</v>
      </c>
      <c r="AA33" s="275"/>
      <c r="AB33" s="275">
        <v>0</v>
      </c>
      <c r="AC33" s="275">
        <f>'[1]POLY DISB 2019'!I37</f>
        <v>0</v>
      </c>
      <c r="AD33" s="275">
        <f t="shared" si="9"/>
        <v>0</v>
      </c>
      <c r="AE33" s="275"/>
      <c r="AF33" s="275">
        <f>'[1]POLY commited funds to date'!K33</f>
        <v>20000000</v>
      </c>
      <c r="AG33" s="275">
        <f>'[1]POLY DISB 2019'!J37</f>
        <v>20000000</v>
      </c>
      <c r="AH33" s="275">
        <f t="shared" si="10"/>
        <v>0</v>
      </c>
      <c r="AI33" s="275"/>
      <c r="AJ33" s="275">
        <v>10000000</v>
      </c>
      <c r="AK33" s="275">
        <f>'[1]POLY DISB 2019'!K37</f>
        <v>10000000</v>
      </c>
      <c r="AL33" s="275">
        <f t="shared" si="11"/>
        <v>0</v>
      </c>
      <c r="AM33" s="275"/>
      <c r="AN33" s="275">
        <v>20000000</v>
      </c>
      <c r="AO33" s="275">
        <f>'[1]POLY DISB 2019'!L37</f>
        <v>20000000</v>
      </c>
      <c r="AP33" s="275">
        <f t="shared" si="12"/>
        <v>0</v>
      </c>
      <c r="AQ33" s="275"/>
      <c r="AR33" s="275">
        <v>26000000</v>
      </c>
      <c r="AS33" s="275">
        <f>'[1]POLY DISB 2019'!M37</f>
        <v>26000000</v>
      </c>
      <c r="AT33" s="275">
        <f t="shared" si="13"/>
        <v>0</v>
      </c>
      <c r="AU33" s="275"/>
      <c r="AV33" s="275">
        <v>45000000</v>
      </c>
      <c r="AW33" s="275">
        <f>'[1]POLY DISB 2019'!N37</f>
        <v>45000000</v>
      </c>
      <c r="AX33" s="275">
        <f t="shared" si="14"/>
        <v>0</v>
      </c>
      <c r="AY33" s="275"/>
      <c r="AZ33" s="275">
        <v>38340000</v>
      </c>
      <c r="BA33" s="275">
        <f>'[1]POLY DISB 2019'!P37</f>
        <v>38340000</v>
      </c>
      <c r="BB33" s="275">
        <f t="shared" si="15"/>
        <v>0</v>
      </c>
      <c r="BC33" s="275"/>
      <c r="BD33" s="275">
        <v>0</v>
      </c>
      <c r="BE33" s="275">
        <f>'[1]POLY DISB 2019'!Q37</f>
        <v>0</v>
      </c>
      <c r="BF33" s="275">
        <f t="shared" si="16"/>
        <v>0</v>
      </c>
      <c r="BG33" s="275"/>
      <c r="BH33" s="275">
        <f>'[1]POLY commited funds to date'!S33</f>
        <v>126060000</v>
      </c>
      <c r="BI33" s="275">
        <f>'[1]POLY DISB 2019'!R37</f>
        <v>126060000</v>
      </c>
      <c r="BJ33" s="275">
        <f t="shared" si="17"/>
        <v>0</v>
      </c>
      <c r="BK33" s="275"/>
      <c r="BL33" s="275">
        <f>'[1]poly  com. adj for fmis'!S33</f>
        <v>400000000</v>
      </c>
      <c r="BM33" s="275">
        <f>'[1]POLY DISB 2019'!S37</f>
        <v>400000000</v>
      </c>
      <c r="BN33" s="269">
        <f t="shared" si="18"/>
        <v>0</v>
      </c>
      <c r="BO33" s="275"/>
      <c r="BP33" s="276">
        <f>'[1]POLY commited funds to date'!U33</f>
        <v>169900000</v>
      </c>
      <c r="BQ33" s="275">
        <f>'[1]POLY DISB 2019'!T37</f>
        <v>169900000</v>
      </c>
      <c r="BR33" s="275">
        <f t="shared" si="19"/>
        <v>0</v>
      </c>
      <c r="BS33" s="275"/>
      <c r="BT33" s="275">
        <f>'[1]POLY commited funds to date'!V33</f>
        <v>10000000</v>
      </c>
      <c r="BU33" s="275">
        <f>'[1]POLY DISB 2019'!U37</f>
        <v>10000000</v>
      </c>
      <c r="BV33" s="275">
        <f t="shared" si="20"/>
        <v>0</v>
      </c>
      <c r="BW33" s="275"/>
      <c r="BX33" s="275">
        <f>'[1]POLY commited funds to date'!W33</f>
        <v>100000000</v>
      </c>
      <c r="BY33" s="275">
        <f>'[1]POLY DISB 2019'!V37</f>
        <v>100000000</v>
      </c>
      <c r="BZ33" s="275">
        <f t="shared" si="21"/>
        <v>0</v>
      </c>
      <c r="CA33" s="275"/>
      <c r="CB33" s="275">
        <f>'[1]POLY commited funds to date'!X33</f>
        <v>210000000</v>
      </c>
      <c r="CC33" s="275">
        <f>'[1]POLY DISB 2019'!W37</f>
        <v>210000000</v>
      </c>
      <c r="CD33" s="275">
        <f t="shared" si="22"/>
        <v>0</v>
      </c>
      <c r="CE33" s="275"/>
      <c r="CF33" s="275">
        <f>'[1]POLY commited funds to date'!Y33</f>
        <v>750000000</v>
      </c>
      <c r="CG33" s="275">
        <f>'[1]POLY DISB 2019'!X37</f>
        <v>750000000</v>
      </c>
      <c r="CH33" s="275">
        <f t="shared" si="23"/>
        <v>0</v>
      </c>
      <c r="CI33" s="275"/>
      <c r="CJ33" s="275">
        <f>'[1]POLY commited funds to date'!Z33</f>
        <v>150000000</v>
      </c>
      <c r="CK33" s="275">
        <f>'[1]POLY DISB 2019'!Y37</f>
        <v>150000000</v>
      </c>
      <c r="CL33" s="275">
        <f t="shared" si="24"/>
        <v>0</v>
      </c>
      <c r="CM33" s="275"/>
      <c r="CN33" s="275">
        <f>'[1]POLY commited funds to date'!AA33</f>
        <v>243000000</v>
      </c>
      <c r="CO33" s="275">
        <f>'[1]POLY DISB 2019'!Z37</f>
        <v>243000000</v>
      </c>
      <c r="CP33" s="275">
        <f t="shared" si="25"/>
        <v>0</v>
      </c>
      <c r="CQ33" s="275"/>
      <c r="CR33" s="275">
        <v>10000000</v>
      </c>
      <c r="CS33" s="275">
        <f>'[1]POLY DISB 2019'!AA37</f>
        <v>10000000</v>
      </c>
      <c r="CT33" s="275">
        <f t="shared" si="26"/>
        <v>0</v>
      </c>
      <c r="CU33" s="275"/>
      <c r="CV33" s="275">
        <f>'[1]POLY commited funds to date'!AC33</f>
        <v>371000000</v>
      </c>
      <c r="CW33" s="275">
        <f>'[1]POLY DISB 2019'!AB37</f>
        <v>371000000</v>
      </c>
      <c r="CX33" s="275">
        <f t="shared" si="27"/>
        <v>0</v>
      </c>
      <c r="CY33" s="275"/>
      <c r="CZ33" s="275">
        <f>'[1]POLY commited funds to date'!AD33</f>
        <v>20000000</v>
      </c>
      <c r="DA33" s="275">
        <f>'[1]POLY DISB 2019'!AC37</f>
        <v>20000000</v>
      </c>
      <c r="DB33" s="275">
        <f t="shared" si="28"/>
        <v>0</v>
      </c>
      <c r="DC33" s="275"/>
      <c r="DD33" s="275">
        <f>'[1]POLY commited funds to date'!AE33</f>
        <v>105000000</v>
      </c>
      <c r="DE33" s="275">
        <f>'[1]POLY DISB 2019'!AD37</f>
        <v>105000000</v>
      </c>
      <c r="DF33" s="275">
        <f t="shared" si="29"/>
        <v>0</v>
      </c>
      <c r="DG33" s="275"/>
      <c r="DH33" s="275">
        <f>'[1]poly  com. adj for fmis'!AE33</f>
        <v>80000000</v>
      </c>
      <c r="DI33" s="275">
        <f>'[1]POLY DISB 2019'!AE37</f>
        <v>80000000</v>
      </c>
      <c r="DJ33" s="275">
        <f t="shared" si="30"/>
        <v>0</v>
      </c>
      <c r="DK33" s="275"/>
      <c r="DL33" s="275">
        <f>'[1]poly  com. adj for fmis'!AF33</f>
        <v>8000000</v>
      </c>
      <c r="DM33" s="275">
        <f>'[1]POLY DISB 2019'!AF37</f>
        <v>4000000</v>
      </c>
      <c r="DN33" s="275">
        <f t="shared" si="31"/>
        <v>4000000</v>
      </c>
      <c r="DO33" s="275"/>
      <c r="DP33" s="275">
        <f>'[1]poly  com. adj for fmis'!AG33</f>
        <v>2000000</v>
      </c>
      <c r="DQ33" s="275">
        <f>'[1]POLY DISB 2019'!AG37</f>
        <v>1700000</v>
      </c>
      <c r="DR33" s="275">
        <f t="shared" si="32"/>
        <v>300000</v>
      </c>
      <c r="DS33" s="275"/>
      <c r="DT33" s="275">
        <f>'[1]poly  com. adj for fmis'!AH33</f>
        <v>10000000</v>
      </c>
      <c r="DU33" s="275">
        <f>'[1]POLY DISB 2019'!AH37</f>
        <v>8500000</v>
      </c>
      <c r="DV33" s="275">
        <f t="shared" si="33"/>
        <v>1500000</v>
      </c>
      <c r="DW33" s="275"/>
      <c r="DX33" s="275">
        <f>'[1]poly  com. adj for fmis'!AI33</f>
        <v>1400000000</v>
      </c>
      <c r="DY33" s="275">
        <f>'[1]POLY DISB 2019'!AI37</f>
        <v>1280000000</v>
      </c>
      <c r="DZ33" s="275">
        <f t="shared" si="34"/>
        <v>120000000</v>
      </c>
      <c r="EA33" s="275"/>
      <c r="EB33" s="275">
        <f>'[1]POLY commited funds to date'!AK33</f>
        <v>380632000</v>
      </c>
      <c r="EC33" s="275">
        <f>'[1]POLY DISB 2019'!AJ37</f>
        <v>235991840</v>
      </c>
      <c r="ED33" s="275">
        <f t="shared" si="35"/>
        <v>144640160</v>
      </c>
      <c r="EE33" s="275"/>
      <c r="EF33" s="275">
        <f>'[1]POLY commited funds to date'!AL33</f>
        <v>8000000</v>
      </c>
      <c r="EG33" s="275">
        <f>'[1]POLY DISB 2019'!AK37</f>
        <v>4000000</v>
      </c>
      <c r="EH33" s="275">
        <f t="shared" si="36"/>
        <v>4000000</v>
      </c>
      <c r="EI33" s="275"/>
      <c r="EJ33" s="275">
        <f>'[1]POLY commited funds to date'!AM33</f>
        <v>10000000</v>
      </c>
      <c r="EK33" s="275">
        <f>'[1]POLY DISB 2019'!AL37</f>
        <v>0</v>
      </c>
      <c r="EL33" s="275">
        <f t="shared" si="37"/>
        <v>10000000</v>
      </c>
      <c r="EM33" s="275"/>
      <c r="EN33" s="275">
        <f>'[1]POLY commited funds to date'!AN33</f>
        <v>10000000</v>
      </c>
      <c r="EO33" s="275">
        <f>'[1]POLY DISB 2019'!AM37</f>
        <v>0</v>
      </c>
      <c r="EP33" s="275">
        <f t="shared" si="38"/>
        <v>10000000</v>
      </c>
      <c r="EQ33" s="275">
        <f>'[1]POLY commited funds to date'!AO33</f>
        <v>0</v>
      </c>
      <c r="ER33" s="275">
        <f>'[1]POLY DISB 2019'!AN37</f>
        <v>0</v>
      </c>
      <c r="ES33" s="275">
        <f t="shared" si="39"/>
        <v>0</v>
      </c>
      <c r="ET33" s="275"/>
      <c r="EU33" s="275">
        <f>'[1]POLY commited funds to date'!AP33</f>
        <v>205000000</v>
      </c>
      <c r="EV33" s="275">
        <f>'[1]POLY DISB 2019'!AO37</f>
        <v>0</v>
      </c>
      <c r="EW33" s="275">
        <f t="shared" si="40"/>
        <v>205000000</v>
      </c>
      <c r="EX33" s="275"/>
      <c r="EY33" s="275">
        <f>'[1]POLY commited funds to date'!AQ33</f>
        <v>75000000</v>
      </c>
      <c r="EZ33" s="275">
        <f>'[1]POLY DISB 2019'!AP37</f>
        <v>84750000</v>
      </c>
      <c r="FA33" s="275">
        <f t="shared" si="41"/>
        <v>-9750000</v>
      </c>
      <c r="FB33" s="275"/>
      <c r="FC33" s="275">
        <f>'[1]POLY commited funds to date'!AR33</f>
        <v>7000000</v>
      </c>
      <c r="FD33" s="275">
        <f>'[1]POLY DISB 2019'!AQ37</f>
        <v>0</v>
      </c>
      <c r="FE33" s="275">
        <f t="shared" si="42"/>
        <v>7000000</v>
      </c>
      <c r="FF33" s="275"/>
      <c r="FG33" s="275">
        <f>'[1]POLY commited funds to date'!AS33</f>
        <v>6300000</v>
      </c>
      <c r="FH33" s="275">
        <f>'[1]POLY DISB 2019'!AR37</f>
        <v>0</v>
      </c>
      <c r="FI33" s="275">
        <f t="shared" si="43"/>
        <v>6300000</v>
      </c>
      <c r="FJ33" s="275"/>
      <c r="FK33" s="275">
        <f>'[1]POLY commited funds to date'!AT33</f>
        <v>7500000</v>
      </c>
      <c r="FL33" s="275">
        <f>'[1]POLY DISB 2019'!AS37</f>
        <v>0</v>
      </c>
      <c r="FM33" s="275">
        <f t="shared" si="44"/>
        <v>7500000</v>
      </c>
      <c r="FN33" s="275"/>
      <c r="FO33" s="275">
        <f>'[1]POLY commited funds to date'!AU33</f>
        <v>245000000</v>
      </c>
      <c r="FP33" s="275">
        <f>'[1]POLY DISB 2019'!AT37</f>
        <v>0</v>
      </c>
      <c r="FQ33" s="275">
        <f t="shared" si="45"/>
        <v>245000000</v>
      </c>
      <c r="FR33" s="275">
        <f>'[1]POLY commited funds to date'!AV33</f>
        <v>119074602</v>
      </c>
      <c r="FS33" s="275">
        <f>'[1]POLY DISB 2019'!AU37</f>
        <v>0</v>
      </c>
      <c r="FT33" s="275">
        <f t="shared" si="46"/>
        <v>119074602</v>
      </c>
      <c r="FU33" s="275"/>
      <c r="FV33" s="275">
        <f>'[1]POLY commited funds to date'!AW33</f>
        <v>13000000</v>
      </c>
      <c r="FW33" s="275">
        <f>'[1]POLY DISB 2019'!AV37</f>
        <v>0</v>
      </c>
      <c r="FX33" s="275">
        <f t="shared" si="47"/>
        <v>13000000</v>
      </c>
      <c r="FY33" s="275"/>
      <c r="FZ33" s="275">
        <f>'[1]POLY commited funds to date'!AX33</f>
        <v>8628900</v>
      </c>
      <c r="GA33" s="275">
        <f>'[1]POLY DISB 2019'!AW37</f>
        <v>0</v>
      </c>
      <c r="GB33" s="275">
        <f t="shared" si="48"/>
        <v>8628900</v>
      </c>
      <c r="GC33" s="275">
        <f>'[1]POLY commited funds to date'!AY33</f>
        <v>5000000</v>
      </c>
      <c r="GD33" s="275">
        <f>'[1]POLY DISB 2019'!AX37</f>
        <v>0</v>
      </c>
      <c r="GE33" s="275">
        <f t="shared" si="49"/>
        <v>5000000</v>
      </c>
      <c r="GF33" s="275"/>
      <c r="GG33" s="275">
        <f>'[1]POLY commited funds to date'!AZ33</f>
        <v>0</v>
      </c>
      <c r="GH33" s="275">
        <f>'[1]POLY DISB 2019'!AY37</f>
        <v>0</v>
      </c>
      <c r="GI33" s="275">
        <f t="shared" si="50"/>
        <v>0</v>
      </c>
      <c r="GJ33" s="275"/>
      <c r="GK33" s="275">
        <f t="shared" si="51"/>
        <v>5528144804</v>
      </c>
      <c r="GL33" s="275">
        <f t="shared" si="51"/>
        <v>4626951141.4499998</v>
      </c>
      <c r="GM33" s="275">
        <f t="shared" si="52"/>
        <v>901193662.55000019</v>
      </c>
      <c r="GN33" s="265"/>
      <c r="GO33" s="277">
        <f t="shared" si="53"/>
        <v>2283641302</v>
      </c>
      <c r="GP33" s="277">
        <f t="shared" si="53"/>
        <v>1689001141.45</v>
      </c>
      <c r="GQ33" s="277">
        <f t="shared" si="54"/>
        <v>594640160.54999995</v>
      </c>
      <c r="GR33" s="277">
        <f t="shared" si="0"/>
        <v>10000000</v>
      </c>
      <c r="GS33" s="277">
        <f t="shared" si="0"/>
        <v>10000000</v>
      </c>
      <c r="GT33" s="277">
        <f t="shared" si="55"/>
        <v>0</v>
      </c>
      <c r="GU33" s="277"/>
      <c r="GV33" s="265"/>
      <c r="GW33" s="279">
        <f t="shared" si="68"/>
        <v>2905000000</v>
      </c>
      <c r="GX33" s="279">
        <f t="shared" si="68"/>
        <v>2785000000</v>
      </c>
      <c r="GY33" s="280">
        <f t="shared" si="57"/>
        <v>120000000</v>
      </c>
      <c r="GZ33" s="280"/>
      <c r="HA33" s="277">
        <f t="shared" si="58"/>
        <v>74928900</v>
      </c>
      <c r="HB33" s="277">
        <f t="shared" si="58"/>
        <v>48500000</v>
      </c>
      <c r="HC33" s="277">
        <f t="shared" si="59"/>
        <v>26428900</v>
      </c>
      <c r="HE33" s="277">
        <f t="shared" si="60"/>
        <v>36000000</v>
      </c>
      <c r="HF33" s="277">
        <f t="shared" si="60"/>
        <v>8000000</v>
      </c>
      <c r="HG33" s="277">
        <f t="shared" si="61"/>
        <v>28000000</v>
      </c>
      <c r="HI33" s="279">
        <f t="shared" si="62"/>
        <v>194074602</v>
      </c>
      <c r="HJ33" s="279">
        <f t="shared" si="62"/>
        <v>84750000</v>
      </c>
      <c r="HK33" s="279">
        <f t="shared" si="63"/>
        <v>109324602</v>
      </c>
      <c r="HM33" s="279">
        <f t="shared" si="64"/>
        <v>2000000</v>
      </c>
      <c r="HN33" s="279">
        <f t="shared" si="1"/>
        <v>1700000</v>
      </c>
      <c r="HO33" s="279">
        <f t="shared" si="65"/>
        <v>300000</v>
      </c>
      <c r="HQ33" s="279">
        <f t="shared" si="66"/>
        <v>22500000</v>
      </c>
      <c r="HR33" s="279">
        <f t="shared" si="2"/>
        <v>0</v>
      </c>
      <c r="HS33" s="279">
        <f t="shared" si="67"/>
        <v>22500000</v>
      </c>
    </row>
    <row r="34" spans="1:227" x14ac:dyDescent="0.25">
      <c r="A34" s="235">
        <v>26</v>
      </c>
      <c r="B34" s="273" t="s">
        <v>225</v>
      </c>
      <c r="C34" s="274" t="s">
        <v>76</v>
      </c>
      <c r="D34" s="275">
        <v>24709302</v>
      </c>
      <c r="E34" s="275">
        <f>'[1]POLY DISB 2019'!C38</f>
        <v>24709302</v>
      </c>
      <c r="F34" s="275">
        <f t="shared" si="3"/>
        <v>0</v>
      </c>
      <c r="G34" s="275"/>
      <c r="H34" s="275">
        <v>10000000</v>
      </c>
      <c r="I34" s="275">
        <f>'[1]POLY DISB 2019'!D38</f>
        <v>10000000</v>
      </c>
      <c r="J34" s="275">
        <f t="shared" si="4"/>
        <v>0</v>
      </c>
      <c r="K34" s="275"/>
      <c r="L34" s="275">
        <v>20000000</v>
      </c>
      <c r="M34" s="275">
        <f>'[1]POLY DISB 2019'!E38</f>
        <v>20000000</v>
      </c>
      <c r="N34" s="275">
        <f t="shared" si="5"/>
        <v>0</v>
      </c>
      <c r="O34" s="275"/>
      <c r="P34" s="275">
        <v>25000000</v>
      </c>
      <c r="Q34" s="275">
        <f>'[1]POLY DISB 2019'!F38</f>
        <v>25000000</v>
      </c>
      <c r="R34" s="275">
        <f t="shared" si="6"/>
        <v>0</v>
      </c>
      <c r="S34" s="275"/>
      <c r="T34" s="275">
        <v>12000000</v>
      </c>
      <c r="U34" s="275">
        <f>'[1]POLY DISB 2019'!G38</f>
        <v>12000000</v>
      </c>
      <c r="V34" s="275">
        <f t="shared" si="7"/>
        <v>0</v>
      </c>
      <c r="W34" s="275"/>
      <c r="X34" s="275">
        <v>12000000</v>
      </c>
      <c r="Y34" s="275">
        <f>'[1]POLY DISB 2019'!H38</f>
        <v>12000000</v>
      </c>
      <c r="Z34" s="275">
        <f t="shared" si="8"/>
        <v>0</v>
      </c>
      <c r="AA34" s="275"/>
      <c r="AB34" s="275">
        <v>0</v>
      </c>
      <c r="AC34" s="275">
        <f>'[1]POLY DISB 2019'!I38</f>
        <v>0</v>
      </c>
      <c r="AD34" s="275">
        <f t="shared" si="9"/>
        <v>0</v>
      </c>
      <c r="AE34" s="275"/>
      <c r="AF34" s="275">
        <f>'[1]POLY commited funds to date'!K34</f>
        <v>20000000</v>
      </c>
      <c r="AG34" s="275">
        <f>'[1]POLY DISB 2019'!J38</f>
        <v>20000000</v>
      </c>
      <c r="AH34" s="275">
        <f t="shared" si="10"/>
        <v>0</v>
      </c>
      <c r="AI34" s="275"/>
      <c r="AJ34" s="275">
        <v>10000000</v>
      </c>
      <c r="AK34" s="275">
        <f>'[1]POLY DISB 2019'!K38</f>
        <v>10000000</v>
      </c>
      <c r="AL34" s="275">
        <f t="shared" si="11"/>
        <v>0</v>
      </c>
      <c r="AM34" s="275"/>
      <c r="AN34" s="275">
        <v>20000000</v>
      </c>
      <c r="AO34" s="275">
        <f>'[1]POLY DISB 2019'!L38</f>
        <v>20000000</v>
      </c>
      <c r="AP34" s="275">
        <f t="shared" si="12"/>
        <v>0</v>
      </c>
      <c r="AQ34" s="275"/>
      <c r="AR34" s="275">
        <v>26000000</v>
      </c>
      <c r="AS34" s="275">
        <f>'[1]POLY DISB 2019'!M38</f>
        <v>26000000</v>
      </c>
      <c r="AT34" s="275">
        <f t="shared" si="13"/>
        <v>0</v>
      </c>
      <c r="AU34" s="275"/>
      <c r="AV34" s="275">
        <v>45000000</v>
      </c>
      <c r="AW34" s="275">
        <f>'[1]POLY DISB 2019'!N38</f>
        <v>45000000</v>
      </c>
      <c r="AX34" s="275">
        <f t="shared" si="14"/>
        <v>0</v>
      </c>
      <c r="AY34" s="275"/>
      <c r="AZ34" s="275">
        <v>38340000</v>
      </c>
      <c r="BA34" s="275">
        <f>'[1]POLY DISB 2019'!P38</f>
        <v>38340000</v>
      </c>
      <c r="BB34" s="275">
        <f t="shared" si="15"/>
        <v>0</v>
      </c>
      <c r="BC34" s="275"/>
      <c r="BD34" s="275">
        <v>0</v>
      </c>
      <c r="BE34" s="275">
        <f>'[1]POLY DISB 2019'!Q38</f>
        <v>0</v>
      </c>
      <c r="BF34" s="275">
        <f t="shared" si="16"/>
        <v>0</v>
      </c>
      <c r="BG34" s="275"/>
      <c r="BH34" s="275">
        <f>'[1]POLY commited funds to date'!S34</f>
        <v>126060000</v>
      </c>
      <c r="BI34" s="275">
        <f>'[1]POLY DISB 2019'!R38</f>
        <v>126060000</v>
      </c>
      <c r="BJ34" s="275">
        <f t="shared" si="17"/>
        <v>0</v>
      </c>
      <c r="BK34" s="275"/>
      <c r="BL34" s="275">
        <f>'[1]poly  com. adj for fmis'!S34</f>
        <v>0</v>
      </c>
      <c r="BM34" s="275">
        <f>'[1]POLY DISB 2019'!S38</f>
        <v>0</v>
      </c>
      <c r="BN34" s="269">
        <f t="shared" si="18"/>
        <v>0</v>
      </c>
      <c r="BO34" s="275"/>
      <c r="BP34" s="276">
        <f>'[1]POLY commited funds to date'!U34</f>
        <v>169900000</v>
      </c>
      <c r="BQ34" s="275">
        <f>'[1]POLY DISB 2019'!T38</f>
        <v>169900000</v>
      </c>
      <c r="BR34" s="275">
        <f t="shared" si="19"/>
        <v>0</v>
      </c>
      <c r="BS34" s="275"/>
      <c r="BT34" s="275">
        <f>'[1]POLY commited funds to date'!V34</f>
        <v>10000000</v>
      </c>
      <c r="BU34" s="275">
        <f>'[1]POLY DISB 2019'!U38</f>
        <v>8500000</v>
      </c>
      <c r="BV34" s="275">
        <f t="shared" si="20"/>
        <v>1500000</v>
      </c>
      <c r="BW34" s="275"/>
      <c r="BX34" s="275">
        <f>'[1]POLY commited funds to date'!W34</f>
        <v>0</v>
      </c>
      <c r="BY34" s="275">
        <f>'[1]POLY DISB 2019'!V38</f>
        <v>0</v>
      </c>
      <c r="BZ34" s="275">
        <f t="shared" si="21"/>
        <v>0</v>
      </c>
      <c r="CA34" s="275"/>
      <c r="CB34" s="275">
        <f>'[1]POLY commited funds to date'!X34</f>
        <v>210000000</v>
      </c>
      <c r="CC34" s="275">
        <f>'[1]POLY DISB 2019'!W38</f>
        <v>210000000</v>
      </c>
      <c r="CD34" s="275">
        <f t="shared" si="22"/>
        <v>0</v>
      </c>
      <c r="CE34" s="275"/>
      <c r="CF34" s="275">
        <f>'[1]POLY commited funds to date'!Y34</f>
        <v>0</v>
      </c>
      <c r="CG34" s="275">
        <f>'[1]POLY DISB 2019'!X38</f>
        <v>0</v>
      </c>
      <c r="CH34" s="275">
        <f t="shared" si="23"/>
        <v>0</v>
      </c>
      <c r="CI34" s="275"/>
      <c r="CJ34" s="275">
        <f>'[1]POLY commited funds to date'!Z34</f>
        <v>0</v>
      </c>
      <c r="CK34" s="275">
        <f>'[1]POLY DISB 2019'!Y38</f>
        <v>0</v>
      </c>
      <c r="CL34" s="275">
        <f t="shared" si="24"/>
        <v>0</v>
      </c>
      <c r="CM34" s="275"/>
      <c r="CN34" s="275">
        <f>'[1]POLY commited funds to date'!AA34</f>
        <v>243000000</v>
      </c>
      <c r="CO34" s="275">
        <f>'[1]POLY DISB 2019'!Z38</f>
        <v>243000000</v>
      </c>
      <c r="CP34" s="275">
        <f t="shared" si="25"/>
        <v>0</v>
      </c>
      <c r="CQ34" s="275"/>
      <c r="CR34" s="275">
        <v>10000000</v>
      </c>
      <c r="CS34" s="275">
        <f>'[1]POLY DISB 2019'!AA38</f>
        <v>8500000</v>
      </c>
      <c r="CT34" s="275">
        <f t="shared" si="26"/>
        <v>1500000</v>
      </c>
      <c r="CU34" s="275"/>
      <c r="CV34" s="275">
        <f>'[1]POLY commited funds to date'!AC34</f>
        <v>371000000</v>
      </c>
      <c r="CW34" s="275">
        <f>'[1]POLY DISB 2019'!AB38</f>
        <v>204050000</v>
      </c>
      <c r="CX34" s="275">
        <f t="shared" si="27"/>
        <v>166950000</v>
      </c>
      <c r="CY34" s="275"/>
      <c r="CZ34" s="275">
        <f>'[1]POLY commited funds to date'!AD34</f>
        <v>20000000</v>
      </c>
      <c r="DA34" s="275">
        <f>'[1]POLY DISB 2019'!AC38</f>
        <v>0</v>
      </c>
      <c r="DB34" s="275">
        <f t="shared" si="28"/>
        <v>20000000</v>
      </c>
      <c r="DC34" s="275"/>
      <c r="DD34" s="275">
        <f>'[1]POLY commited funds to date'!AE34</f>
        <v>0</v>
      </c>
      <c r="DE34" s="275">
        <f>'[1]POLY DISB 2019'!AD38</f>
        <v>0</v>
      </c>
      <c r="DF34" s="275">
        <f t="shared" si="29"/>
        <v>0</v>
      </c>
      <c r="DG34" s="275"/>
      <c r="DH34" s="275">
        <f>'[1]poly  com. adj for fmis'!AE34</f>
        <v>80000000</v>
      </c>
      <c r="DI34" s="275">
        <f>'[1]POLY DISB 2019'!AE38</f>
        <v>44000000</v>
      </c>
      <c r="DJ34" s="275">
        <f t="shared" si="30"/>
        <v>36000000</v>
      </c>
      <c r="DK34" s="275"/>
      <c r="DL34" s="275">
        <f>'[1]poly  com. adj for fmis'!AF34</f>
        <v>8000000</v>
      </c>
      <c r="DM34" s="275">
        <f>'[1]POLY DISB 2019'!AF38</f>
        <v>4000000</v>
      </c>
      <c r="DN34" s="275">
        <f t="shared" si="31"/>
        <v>4000000</v>
      </c>
      <c r="DO34" s="275"/>
      <c r="DP34" s="275">
        <f>'[1]poly  com. adj for fmis'!AG34</f>
        <v>2000000</v>
      </c>
      <c r="DQ34" s="275">
        <f>'[1]POLY DISB 2019'!AG38</f>
        <v>0</v>
      </c>
      <c r="DR34" s="275">
        <f t="shared" si="32"/>
        <v>2000000</v>
      </c>
      <c r="DS34" s="275"/>
      <c r="DT34" s="275">
        <f>'[1]poly  com. adj for fmis'!AH34</f>
        <v>10000000</v>
      </c>
      <c r="DU34" s="275">
        <f>'[1]POLY DISB 2019'!AH38</f>
        <v>0</v>
      </c>
      <c r="DV34" s="275">
        <f t="shared" si="33"/>
        <v>10000000</v>
      </c>
      <c r="DW34" s="275"/>
      <c r="DX34" s="275">
        <f>'[1]poly  com. adj for fmis'!AI34</f>
        <v>0</v>
      </c>
      <c r="DY34" s="275">
        <f>'[1]POLY DISB 2019'!AI38</f>
        <v>0</v>
      </c>
      <c r="DZ34" s="275">
        <f t="shared" si="34"/>
        <v>0</v>
      </c>
      <c r="EA34" s="275"/>
      <c r="EB34" s="275">
        <f>'[1]POLY commited funds to date'!AK34</f>
        <v>380632000</v>
      </c>
      <c r="EC34" s="275">
        <f>'[1]POLY DISB 2019'!AJ38</f>
        <v>209347600</v>
      </c>
      <c r="ED34" s="275">
        <f t="shared" si="35"/>
        <v>171284400</v>
      </c>
      <c r="EE34" s="275"/>
      <c r="EF34" s="275">
        <f>'[1]POLY commited funds to date'!AL34</f>
        <v>8000000</v>
      </c>
      <c r="EG34" s="275">
        <f>'[1]POLY DISB 2019'!AK38</f>
        <v>4000000</v>
      </c>
      <c r="EH34" s="275">
        <f t="shared" si="36"/>
        <v>4000000</v>
      </c>
      <c r="EI34" s="275"/>
      <c r="EJ34" s="275">
        <f>'[1]POLY commited funds to date'!AM34</f>
        <v>10000000</v>
      </c>
      <c r="EK34" s="275">
        <f>'[1]POLY DISB 2019'!AL38</f>
        <v>0</v>
      </c>
      <c r="EL34" s="275">
        <f t="shared" si="37"/>
        <v>10000000</v>
      </c>
      <c r="EM34" s="275"/>
      <c r="EN34" s="275">
        <f>'[1]POLY commited funds to date'!AN34</f>
        <v>10000000</v>
      </c>
      <c r="EO34" s="275">
        <f>'[1]POLY DISB 2019'!AM38</f>
        <v>0</v>
      </c>
      <c r="EP34" s="275">
        <f t="shared" si="38"/>
        <v>10000000</v>
      </c>
      <c r="EQ34" s="275">
        <f>'[1]POLY commited funds to date'!AO34</f>
        <v>0</v>
      </c>
      <c r="ER34" s="275">
        <f>'[1]POLY DISB 2019'!AN38</f>
        <v>0</v>
      </c>
      <c r="ES34" s="275">
        <f t="shared" si="39"/>
        <v>0</v>
      </c>
      <c r="ET34" s="275"/>
      <c r="EU34" s="275">
        <f>'[1]POLY commited funds to date'!AP34</f>
        <v>205000000</v>
      </c>
      <c r="EV34" s="275">
        <f>'[1]POLY DISB 2019'!AO38</f>
        <v>0</v>
      </c>
      <c r="EW34" s="275">
        <f t="shared" si="40"/>
        <v>205000000</v>
      </c>
      <c r="EX34" s="275"/>
      <c r="EY34" s="275">
        <f>'[1]POLY commited funds to date'!AQ34</f>
        <v>75000000</v>
      </c>
      <c r="EZ34" s="275">
        <f>'[1]POLY DISB 2019'!AP38</f>
        <v>63750000</v>
      </c>
      <c r="FA34" s="275">
        <f t="shared" si="41"/>
        <v>11250000</v>
      </c>
      <c r="FB34" s="275"/>
      <c r="FC34" s="275">
        <f>'[1]POLY commited funds to date'!AR34</f>
        <v>7000000</v>
      </c>
      <c r="FD34" s="275">
        <f>'[1]POLY DISB 2019'!AQ38</f>
        <v>0</v>
      </c>
      <c r="FE34" s="275">
        <f t="shared" si="42"/>
        <v>7000000</v>
      </c>
      <c r="FF34" s="275"/>
      <c r="FG34" s="275">
        <f>'[1]POLY commited funds to date'!AS34</f>
        <v>6300000</v>
      </c>
      <c r="FH34" s="275">
        <f>'[1]POLY DISB 2019'!AR38</f>
        <v>0</v>
      </c>
      <c r="FI34" s="275">
        <f t="shared" si="43"/>
        <v>6300000</v>
      </c>
      <c r="FJ34" s="275"/>
      <c r="FK34" s="275">
        <f>'[1]POLY commited funds to date'!AT34</f>
        <v>7500000</v>
      </c>
      <c r="FL34" s="275">
        <f>'[1]POLY DISB 2019'!AS38</f>
        <v>0</v>
      </c>
      <c r="FM34" s="275">
        <f t="shared" si="44"/>
        <v>7500000</v>
      </c>
      <c r="FN34" s="275"/>
      <c r="FO34" s="275">
        <f>'[1]POLY commited funds to date'!AU34</f>
        <v>245000000</v>
      </c>
      <c r="FP34" s="275">
        <f>'[1]POLY DISB 2019'!AT38</f>
        <v>0</v>
      </c>
      <c r="FQ34" s="275">
        <f t="shared" si="45"/>
        <v>245000000</v>
      </c>
      <c r="FR34" s="275">
        <f>'[1]POLY commited funds to date'!AV34</f>
        <v>119074602</v>
      </c>
      <c r="FS34" s="275">
        <f>'[1]POLY DISB 2019'!AU38</f>
        <v>0</v>
      </c>
      <c r="FT34" s="275">
        <f t="shared" si="46"/>
        <v>119074602</v>
      </c>
      <c r="FU34" s="275"/>
      <c r="FV34" s="275">
        <f>'[1]POLY commited funds to date'!AW34</f>
        <v>13000000</v>
      </c>
      <c r="FW34" s="275">
        <f>'[1]POLY DISB 2019'!AV38</f>
        <v>0</v>
      </c>
      <c r="FX34" s="275">
        <f t="shared" si="47"/>
        <v>13000000</v>
      </c>
      <c r="FY34" s="275"/>
      <c r="FZ34" s="275">
        <f>'[1]POLY commited funds to date'!AX34</f>
        <v>8628900</v>
      </c>
      <c r="GA34" s="275">
        <f>'[1]POLY DISB 2019'!AW38</f>
        <v>0</v>
      </c>
      <c r="GB34" s="275">
        <f t="shared" si="48"/>
        <v>8628900</v>
      </c>
      <c r="GC34" s="275">
        <f>'[1]POLY commited funds to date'!AY34</f>
        <v>5000000</v>
      </c>
      <c r="GD34" s="275">
        <f>'[1]POLY DISB 2019'!AX38</f>
        <v>0</v>
      </c>
      <c r="GE34" s="275">
        <f t="shared" si="49"/>
        <v>5000000</v>
      </c>
      <c r="GF34" s="275"/>
      <c r="GG34" s="275">
        <f>'[1]POLY commited funds to date'!AZ34</f>
        <v>0</v>
      </c>
      <c r="GH34" s="275">
        <f>'[1]POLY DISB 2019'!AY38</f>
        <v>0</v>
      </c>
      <c r="GI34" s="275">
        <f t="shared" si="50"/>
        <v>0</v>
      </c>
      <c r="GJ34" s="275"/>
      <c r="GK34" s="275">
        <f t="shared" si="51"/>
        <v>2623144804</v>
      </c>
      <c r="GL34" s="275">
        <f t="shared" si="51"/>
        <v>1558156902</v>
      </c>
      <c r="GM34" s="275">
        <f t="shared" si="52"/>
        <v>1064987902</v>
      </c>
      <c r="GN34" s="265"/>
      <c r="GO34" s="277">
        <f t="shared" si="53"/>
        <v>2283641302</v>
      </c>
      <c r="GP34" s="277">
        <f t="shared" si="53"/>
        <v>1459406902</v>
      </c>
      <c r="GQ34" s="277">
        <f t="shared" si="54"/>
        <v>824234400</v>
      </c>
      <c r="GR34" s="277">
        <f t="shared" si="0"/>
        <v>10000000</v>
      </c>
      <c r="GS34" s="277">
        <f t="shared" si="0"/>
        <v>10000000</v>
      </c>
      <c r="GT34" s="277">
        <f t="shared" si="55"/>
        <v>0</v>
      </c>
      <c r="GU34" s="277"/>
      <c r="GV34" s="265"/>
      <c r="GW34" s="279">
        <f t="shared" si="68"/>
        <v>0</v>
      </c>
      <c r="GX34" s="279">
        <f t="shared" si="68"/>
        <v>0</v>
      </c>
      <c r="GY34" s="280">
        <f t="shared" si="57"/>
        <v>0</v>
      </c>
      <c r="GZ34" s="280"/>
      <c r="HA34" s="277">
        <f t="shared" si="58"/>
        <v>74928900</v>
      </c>
      <c r="HB34" s="277">
        <f t="shared" si="58"/>
        <v>17000000</v>
      </c>
      <c r="HC34" s="277">
        <f t="shared" si="59"/>
        <v>57928900</v>
      </c>
      <c r="HE34" s="277">
        <f t="shared" si="60"/>
        <v>36000000</v>
      </c>
      <c r="HF34" s="277">
        <f t="shared" si="60"/>
        <v>8000000</v>
      </c>
      <c r="HG34" s="277">
        <f t="shared" si="61"/>
        <v>28000000</v>
      </c>
      <c r="HI34" s="279">
        <f t="shared" si="62"/>
        <v>194074602</v>
      </c>
      <c r="HJ34" s="279">
        <f t="shared" si="62"/>
        <v>63750000</v>
      </c>
      <c r="HK34" s="279">
        <f t="shared" si="63"/>
        <v>130324602</v>
      </c>
      <c r="HM34" s="279">
        <f t="shared" si="64"/>
        <v>2000000</v>
      </c>
      <c r="HN34" s="279">
        <f t="shared" si="1"/>
        <v>0</v>
      </c>
      <c r="HO34" s="279">
        <f t="shared" si="65"/>
        <v>2000000</v>
      </c>
      <c r="HQ34" s="279">
        <f t="shared" si="66"/>
        <v>22500000</v>
      </c>
      <c r="HR34" s="279">
        <f t="shared" si="2"/>
        <v>0</v>
      </c>
      <c r="HS34" s="279">
        <f t="shared" si="67"/>
        <v>22500000</v>
      </c>
    </row>
    <row r="35" spans="1:227" x14ac:dyDescent="0.25">
      <c r="A35" s="235">
        <v>27</v>
      </c>
      <c r="B35" s="273" t="s">
        <v>226</v>
      </c>
      <c r="C35" s="274" t="s">
        <v>63</v>
      </c>
      <c r="D35" s="275">
        <v>24709302</v>
      </c>
      <c r="E35" s="275">
        <f>'[1]POLY DISB 2019'!C39</f>
        <v>24714302</v>
      </c>
      <c r="F35" s="275">
        <f t="shared" si="3"/>
        <v>-5000</v>
      </c>
      <c r="G35" s="275"/>
      <c r="H35" s="275">
        <v>10000000</v>
      </c>
      <c r="I35" s="275">
        <f>'[1]POLY DISB 2019'!D39</f>
        <v>10000000</v>
      </c>
      <c r="J35" s="275">
        <f t="shared" si="4"/>
        <v>0</v>
      </c>
      <c r="K35" s="275"/>
      <c r="L35" s="275">
        <v>20000000</v>
      </c>
      <c r="M35" s="275">
        <f>'[1]POLY DISB 2019'!E39</f>
        <v>20000000</v>
      </c>
      <c r="N35" s="275">
        <f t="shared" si="5"/>
        <v>0</v>
      </c>
      <c r="O35" s="275"/>
      <c r="P35" s="275">
        <v>25000000</v>
      </c>
      <c r="Q35" s="275">
        <f>'[1]POLY DISB 2019'!F39</f>
        <v>25000000</v>
      </c>
      <c r="R35" s="275">
        <f t="shared" si="6"/>
        <v>0</v>
      </c>
      <c r="S35" s="275"/>
      <c r="T35" s="275">
        <v>12000000</v>
      </c>
      <c r="U35" s="275">
        <f>'[1]POLY DISB 2019'!G39</f>
        <v>12000000</v>
      </c>
      <c r="V35" s="275">
        <f t="shared" si="7"/>
        <v>0</v>
      </c>
      <c r="W35" s="275"/>
      <c r="X35" s="275">
        <v>12000000</v>
      </c>
      <c r="Y35" s="275">
        <f>'[1]POLY DISB 2019'!H39</f>
        <v>12000000</v>
      </c>
      <c r="Z35" s="275">
        <f t="shared" si="8"/>
        <v>0</v>
      </c>
      <c r="AA35" s="275"/>
      <c r="AB35" s="275">
        <v>0</v>
      </c>
      <c r="AC35" s="275">
        <f>'[1]POLY DISB 2019'!I39</f>
        <v>0</v>
      </c>
      <c r="AD35" s="275">
        <f t="shared" si="9"/>
        <v>0</v>
      </c>
      <c r="AE35" s="275"/>
      <c r="AF35" s="275">
        <f>'[1]POLY commited funds to date'!K35</f>
        <v>20000000</v>
      </c>
      <c r="AG35" s="275">
        <f>'[1]POLY DISB 2019'!J39</f>
        <v>20000000</v>
      </c>
      <c r="AH35" s="275">
        <f t="shared" si="10"/>
        <v>0</v>
      </c>
      <c r="AI35" s="275"/>
      <c r="AJ35" s="275">
        <v>10000000</v>
      </c>
      <c r="AK35" s="275">
        <f>'[1]POLY DISB 2019'!K39</f>
        <v>10000000</v>
      </c>
      <c r="AL35" s="275">
        <f t="shared" si="11"/>
        <v>0</v>
      </c>
      <c r="AM35" s="275"/>
      <c r="AN35" s="275">
        <v>20000000</v>
      </c>
      <c r="AO35" s="275">
        <f>'[1]POLY DISB 2019'!L39</f>
        <v>20000000</v>
      </c>
      <c r="AP35" s="275">
        <f t="shared" si="12"/>
        <v>0</v>
      </c>
      <c r="AQ35" s="275"/>
      <c r="AR35" s="275">
        <v>26000000</v>
      </c>
      <c r="AS35" s="275">
        <f>'[1]POLY DISB 2019'!M39</f>
        <v>26000000</v>
      </c>
      <c r="AT35" s="275">
        <f t="shared" si="13"/>
        <v>0</v>
      </c>
      <c r="AU35" s="275"/>
      <c r="AV35" s="275">
        <v>45000000</v>
      </c>
      <c r="AW35" s="275">
        <f>'[1]POLY DISB 2019'!N39</f>
        <v>45000000</v>
      </c>
      <c r="AX35" s="275">
        <f t="shared" si="14"/>
        <v>0</v>
      </c>
      <c r="AY35" s="275"/>
      <c r="AZ35" s="275">
        <v>38340000</v>
      </c>
      <c r="BA35" s="275">
        <f>'[1]POLY DISB 2019'!P39</f>
        <v>38340000</v>
      </c>
      <c r="BB35" s="275">
        <f t="shared" si="15"/>
        <v>0</v>
      </c>
      <c r="BC35" s="275"/>
      <c r="BD35" s="275">
        <f>'[1]POLY commited funds to date'!$R$35</f>
        <v>10695699.43</v>
      </c>
      <c r="BE35" s="275">
        <f>'[1]POLY DISB 2019'!Q39</f>
        <v>10695699.43</v>
      </c>
      <c r="BF35" s="275">
        <f t="shared" si="16"/>
        <v>0</v>
      </c>
      <c r="BG35" s="275"/>
      <c r="BH35" s="275">
        <f>'[1]POLY commited funds to date'!S35</f>
        <v>126060000</v>
      </c>
      <c r="BI35" s="275">
        <f>'[1]POLY DISB 2019'!R39</f>
        <v>126060000</v>
      </c>
      <c r="BJ35" s="275">
        <f t="shared" si="17"/>
        <v>0</v>
      </c>
      <c r="BK35" s="275"/>
      <c r="BL35" s="275">
        <f>'[1]poly  com. adj for fmis'!S35</f>
        <v>180000000</v>
      </c>
      <c r="BM35" s="275">
        <f>'[1]POLY DISB 2019'!S39</f>
        <v>180000000</v>
      </c>
      <c r="BN35" s="269">
        <f t="shared" si="18"/>
        <v>0</v>
      </c>
      <c r="BO35" s="275"/>
      <c r="BP35" s="276">
        <f>'[1]POLY commited funds to date'!U35</f>
        <v>169900000</v>
      </c>
      <c r="BQ35" s="275">
        <f>'[1]POLY DISB 2019'!T39</f>
        <v>169900000</v>
      </c>
      <c r="BR35" s="275">
        <f t="shared" si="19"/>
        <v>0</v>
      </c>
      <c r="BS35" s="275"/>
      <c r="BT35" s="275">
        <f>'[1]POLY commited funds to date'!V35</f>
        <v>10000000</v>
      </c>
      <c r="BU35" s="275">
        <f>'[1]POLY DISB 2019'!U39</f>
        <v>10000000</v>
      </c>
      <c r="BV35" s="275">
        <f t="shared" si="20"/>
        <v>0</v>
      </c>
      <c r="BW35" s="275"/>
      <c r="BX35" s="275">
        <f>'[1]POLY commited funds to date'!W35</f>
        <v>500000000</v>
      </c>
      <c r="BY35" s="275">
        <f>'[1]POLY DISB 2019'!V39</f>
        <v>500000000</v>
      </c>
      <c r="BZ35" s="275">
        <f t="shared" si="21"/>
        <v>0</v>
      </c>
      <c r="CA35" s="275"/>
      <c r="CB35" s="275">
        <f>'[1]POLY commited funds to date'!X35</f>
        <v>210000000</v>
      </c>
      <c r="CC35" s="275">
        <f>'[1]POLY DISB 2019'!W39</f>
        <v>210000000</v>
      </c>
      <c r="CD35" s="275">
        <f t="shared" si="22"/>
        <v>0</v>
      </c>
      <c r="CE35" s="275"/>
      <c r="CF35" s="275">
        <f>'[1]POLY commited funds to date'!Y35</f>
        <v>200000000</v>
      </c>
      <c r="CG35" s="275">
        <f>'[1]POLY DISB 2019'!X39</f>
        <v>200000000</v>
      </c>
      <c r="CH35" s="275">
        <f t="shared" si="23"/>
        <v>0</v>
      </c>
      <c r="CI35" s="275"/>
      <c r="CJ35" s="275">
        <f>'[1]POLY commited funds to date'!Z35</f>
        <v>0</v>
      </c>
      <c r="CK35" s="275">
        <f>'[1]POLY DISB 2019'!Y39</f>
        <v>0</v>
      </c>
      <c r="CL35" s="275">
        <f t="shared" si="24"/>
        <v>0</v>
      </c>
      <c r="CM35" s="275"/>
      <c r="CN35" s="275">
        <f>'[1]POLY commited funds to date'!AA35</f>
        <v>243000000</v>
      </c>
      <c r="CO35" s="275">
        <f>'[1]POLY DISB 2019'!Z39</f>
        <v>243000000</v>
      </c>
      <c r="CP35" s="275">
        <f t="shared" si="25"/>
        <v>0</v>
      </c>
      <c r="CQ35" s="275"/>
      <c r="CR35" s="275">
        <v>10000000</v>
      </c>
      <c r="CS35" s="275">
        <f>'[1]POLY DISB 2019'!AA39</f>
        <v>10000000</v>
      </c>
      <c r="CT35" s="275">
        <f t="shared" si="26"/>
        <v>0</v>
      </c>
      <c r="CU35" s="275"/>
      <c r="CV35" s="275">
        <f>'[1]POLY commited funds to date'!AC35</f>
        <v>371000000</v>
      </c>
      <c r="CW35" s="275">
        <f>'[1]POLY DISB 2019'!AB39</f>
        <v>371000000</v>
      </c>
      <c r="CX35" s="275">
        <f t="shared" si="27"/>
        <v>0</v>
      </c>
      <c r="CY35" s="275"/>
      <c r="CZ35" s="275">
        <f>'[1]POLY commited funds to date'!AD35</f>
        <v>20000000</v>
      </c>
      <c r="DA35" s="275">
        <f>'[1]POLY DISB 2019'!AC39</f>
        <v>20000000</v>
      </c>
      <c r="DB35" s="275">
        <f t="shared" si="28"/>
        <v>0</v>
      </c>
      <c r="DC35" s="275"/>
      <c r="DD35" s="275">
        <f>'[1]POLY commited funds to date'!AE35</f>
        <v>150000000</v>
      </c>
      <c r="DE35" s="275">
        <f>'[1]POLY DISB 2019'!AD39</f>
        <v>150000000</v>
      </c>
      <c r="DF35" s="275">
        <f t="shared" si="29"/>
        <v>0</v>
      </c>
      <c r="DG35" s="275"/>
      <c r="DH35" s="275">
        <f>'[1]poly  com. adj for fmis'!AE35</f>
        <v>80000000</v>
      </c>
      <c r="DI35" s="275">
        <f>'[1]POLY DISB 2019'!AE39</f>
        <v>52000000</v>
      </c>
      <c r="DJ35" s="275">
        <f t="shared" si="30"/>
        <v>28000000</v>
      </c>
      <c r="DK35" s="275"/>
      <c r="DL35" s="275">
        <f>'[1]poly  com. adj for fmis'!AF35</f>
        <v>8000000</v>
      </c>
      <c r="DM35" s="275">
        <f>'[1]POLY DISB 2019'!AF39</f>
        <v>6800000</v>
      </c>
      <c r="DN35" s="275">
        <f t="shared" si="31"/>
        <v>1200000</v>
      </c>
      <c r="DO35" s="275"/>
      <c r="DP35" s="275">
        <f>'[1]poly  com. adj for fmis'!AG35</f>
        <v>2000000</v>
      </c>
      <c r="DQ35" s="275">
        <f>'[1]POLY DISB 2019'!AG39</f>
        <v>0</v>
      </c>
      <c r="DR35" s="275">
        <f t="shared" si="32"/>
        <v>2000000</v>
      </c>
      <c r="DS35" s="275"/>
      <c r="DT35" s="275">
        <f>'[1]poly  com. adj for fmis'!AH35</f>
        <v>10000000</v>
      </c>
      <c r="DU35" s="275">
        <f>'[1]POLY DISB 2019'!AH39</f>
        <v>10000000</v>
      </c>
      <c r="DV35" s="275">
        <f t="shared" si="33"/>
        <v>0</v>
      </c>
      <c r="DW35" s="275"/>
      <c r="DX35" s="275">
        <f>'[1]poly  com. adj for fmis'!AI35</f>
        <v>200000000</v>
      </c>
      <c r="DY35" s="275">
        <f>'[1]POLY DISB 2019'!AI39</f>
        <v>200000000</v>
      </c>
      <c r="DZ35" s="275">
        <f t="shared" si="34"/>
        <v>0</v>
      </c>
      <c r="EA35" s="275"/>
      <c r="EB35" s="275">
        <f>'[1]POLY commited funds to date'!AK35</f>
        <v>380632000</v>
      </c>
      <c r="EC35" s="275">
        <f>'[1]POLY DISB 2019'!AJ39</f>
        <v>247410800</v>
      </c>
      <c r="ED35" s="275">
        <f t="shared" si="35"/>
        <v>133221200</v>
      </c>
      <c r="EE35" s="275"/>
      <c r="EF35" s="275">
        <f>'[1]POLY commited funds to date'!AL35</f>
        <v>8000000</v>
      </c>
      <c r="EG35" s="275">
        <f>'[1]POLY DISB 2019'!AK39</f>
        <v>6800000</v>
      </c>
      <c r="EH35" s="275">
        <f t="shared" si="36"/>
        <v>1200000</v>
      </c>
      <c r="EI35" s="275"/>
      <c r="EJ35" s="275">
        <f>'[1]POLY commited funds to date'!AM35</f>
        <v>10000000</v>
      </c>
      <c r="EK35" s="275">
        <f>'[1]POLY DISB 2019'!AL39</f>
        <v>10000000</v>
      </c>
      <c r="EL35" s="275">
        <f t="shared" si="37"/>
        <v>0</v>
      </c>
      <c r="EM35" s="275"/>
      <c r="EN35" s="275">
        <f>'[1]POLY commited funds to date'!AN35</f>
        <v>10000000</v>
      </c>
      <c r="EO35" s="275">
        <f>'[1]POLY DISB 2019'!AM39</f>
        <v>0</v>
      </c>
      <c r="EP35" s="275">
        <f t="shared" si="38"/>
        <v>10000000</v>
      </c>
      <c r="EQ35" s="281">
        <f>'[1]POLY commited funds to date'!AO35</f>
        <v>150000000</v>
      </c>
      <c r="ER35" s="275">
        <f>'[1]POLY DISB 2019'!AN39</f>
        <v>94500000</v>
      </c>
      <c r="ES35" s="275">
        <f t="shared" si="39"/>
        <v>55500000</v>
      </c>
      <c r="ET35" s="275"/>
      <c r="EU35" s="275">
        <f>'[1]POLY commited funds to date'!AP35</f>
        <v>205000000</v>
      </c>
      <c r="EV35" s="275">
        <f>'[1]POLY DISB 2019'!AO39</f>
        <v>0</v>
      </c>
      <c r="EW35" s="275">
        <f t="shared" si="40"/>
        <v>205000000</v>
      </c>
      <c r="EX35" s="275"/>
      <c r="EY35" s="275">
        <f>'[1]POLY commited funds to date'!AQ35</f>
        <v>75000000</v>
      </c>
      <c r="EZ35" s="275">
        <f>'[1]POLY DISB 2019'!AP39</f>
        <v>56250000</v>
      </c>
      <c r="FA35" s="275">
        <f t="shared" si="41"/>
        <v>18750000</v>
      </c>
      <c r="FB35" s="275"/>
      <c r="FC35" s="275">
        <f>'[1]POLY commited funds to date'!AR35</f>
        <v>7000000</v>
      </c>
      <c r="FD35" s="275">
        <f>'[1]POLY DISB 2019'!AQ39</f>
        <v>0</v>
      </c>
      <c r="FE35" s="275">
        <f t="shared" si="42"/>
        <v>7000000</v>
      </c>
      <c r="FF35" s="275"/>
      <c r="FG35" s="275">
        <f>'[1]POLY commited funds to date'!AS35</f>
        <v>6300000</v>
      </c>
      <c r="FH35" s="275">
        <f>'[1]POLY DISB 2019'!AR39</f>
        <v>0</v>
      </c>
      <c r="FI35" s="275">
        <f t="shared" si="43"/>
        <v>6300000</v>
      </c>
      <c r="FJ35" s="275"/>
      <c r="FK35" s="275">
        <f>'[1]POLY commited funds to date'!AT35</f>
        <v>7500000</v>
      </c>
      <c r="FL35" s="275">
        <f>'[1]POLY DISB 2019'!AS39</f>
        <v>0</v>
      </c>
      <c r="FM35" s="275">
        <f t="shared" si="44"/>
        <v>7500000</v>
      </c>
      <c r="FN35" s="275"/>
      <c r="FO35" s="275">
        <f>'[1]POLY commited funds to date'!AU35</f>
        <v>245000000</v>
      </c>
      <c r="FP35" s="275">
        <f>'[1]POLY DISB 2019'!AT39</f>
        <v>0</v>
      </c>
      <c r="FQ35" s="275">
        <f t="shared" si="45"/>
        <v>245000000</v>
      </c>
      <c r="FR35" s="275">
        <f>'[1]POLY commited funds to date'!AV35</f>
        <v>119074602</v>
      </c>
      <c r="FS35" s="275">
        <f>'[1]POLY DISB 2019'!AU39</f>
        <v>0</v>
      </c>
      <c r="FT35" s="275">
        <f t="shared" si="46"/>
        <v>119074602</v>
      </c>
      <c r="FU35" s="275"/>
      <c r="FV35" s="275">
        <f>'[1]POLY commited funds to date'!AW35</f>
        <v>13000000</v>
      </c>
      <c r="FW35" s="275">
        <f>'[1]POLY DISB 2019'!AV39</f>
        <v>0</v>
      </c>
      <c r="FX35" s="275">
        <f t="shared" si="47"/>
        <v>13000000</v>
      </c>
      <c r="FY35" s="275"/>
      <c r="FZ35" s="275">
        <f>'[1]POLY commited funds to date'!AX35</f>
        <v>8628900</v>
      </c>
      <c r="GA35" s="275">
        <f>'[1]POLY DISB 2019'!AW39</f>
        <v>0</v>
      </c>
      <c r="GB35" s="275">
        <f t="shared" si="48"/>
        <v>8628900</v>
      </c>
      <c r="GC35" s="275">
        <f>'[1]POLY commited funds to date'!AY35</f>
        <v>5000000</v>
      </c>
      <c r="GD35" s="275">
        <f>'[1]POLY DISB 2019'!AX39</f>
        <v>0</v>
      </c>
      <c r="GE35" s="275">
        <f t="shared" si="49"/>
        <v>5000000</v>
      </c>
      <c r="GF35" s="275"/>
      <c r="GG35" s="275">
        <f>'[1]POLY commited funds to date'!AZ35</f>
        <v>0</v>
      </c>
      <c r="GH35" s="275">
        <f>'[1]POLY DISB 2019'!AY39</f>
        <v>0</v>
      </c>
      <c r="GI35" s="275">
        <f t="shared" si="50"/>
        <v>0</v>
      </c>
      <c r="GJ35" s="275"/>
      <c r="GK35" s="275">
        <f t="shared" si="51"/>
        <v>4013840503.4300003</v>
      </c>
      <c r="GL35" s="275">
        <f t="shared" si="51"/>
        <v>3147470801.4300003</v>
      </c>
      <c r="GM35" s="275">
        <f t="shared" si="52"/>
        <v>866369702</v>
      </c>
      <c r="GN35" s="265"/>
      <c r="GO35" s="277">
        <f t="shared" si="53"/>
        <v>2283641302</v>
      </c>
      <c r="GP35" s="277">
        <f t="shared" si="53"/>
        <v>1672425102</v>
      </c>
      <c r="GQ35" s="277">
        <f t="shared" si="54"/>
        <v>611216200</v>
      </c>
      <c r="GR35" s="277">
        <f t="shared" si="0"/>
        <v>10000000</v>
      </c>
      <c r="GS35" s="277">
        <f t="shared" si="0"/>
        <v>10000000</v>
      </c>
      <c r="GT35" s="277">
        <f t="shared" si="55"/>
        <v>0</v>
      </c>
      <c r="GU35" s="277"/>
      <c r="GV35" s="265"/>
      <c r="GW35" s="279">
        <f t="shared" si="68"/>
        <v>1240695699.4300001</v>
      </c>
      <c r="GX35" s="279">
        <f t="shared" si="68"/>
        <v>1240695699.4300001</v>
      </c>
      <c r="GY35" s="280">
        <f t="shared" si="57"/>
        <v>0</v>
      </c>
      <c r="GZ35" s="280"/>
      <c r="HA35" s="277">
        <f t="shared" si="58"/>
        <v>74928900</v>
      </c>
      <c r="HB35" s="277">
        <f t="shared" si="58"/>
        <v>60000000</v>
      </c>
      <c r="HC35" s="277">
        <f t="shared" si="59"/>
        <v>14928900</v>
      </c>
      <c r="HE35" s="277">
        <f t="shared" si="60"/>
        <v>36000000</v>
      </c>
      <c r="HF35" s="277">
        <f t="shared" si="60"/>
        <v>13600000</v>
      </c>
      <c r="HG35" s="277">
        <f t="shared" si="61"/>
        <v>22400000</v>
      </c>
      <c r="HI35" s="279">
        <f t="shared" si="62"/>
        <v>344074602</v>
      </c>
      <c r="HJ35" s="279">
        <f t="shared" si="62"/>
        <v>150750000</v>
      </c>
      <c r="HK35" s="279">
        <f t="shared" si="63"/>
        <v>193324602</v>
      </c>
      <c r="HM35" s="279">
        <f t="shared" si="64"/>
        <v>2000000</v>
      </c>
      <c r="HN35" s="279">
        <f t="shared" si="1"/>
        <v>0</v>
      </c>
      <c r="HO35" s="279">
        <f t="shared" si="65"/>
        <v>2000000</v>
      </c>
      <c r="HQ35" s="279">
        <f t="shared" si="66"/>
        <v>22500000</v>
      </c>
      <c r="HR35" s="279">
        <f t="shared" si="2"/>
        <v>0</v>
      </c>
      <c r="HS35" s="279">
        <f t="shared" si="67"/>
        <v>22500000</v>
      </c>
    </row>
    <row r="36" spans="1:227" x14ac:dyDescent="0.25">
      <c r="A36" s="235">
        <v>28</v>
      </c>
      <c r="B36" s="273" t="s">
        <v>227</v>
      </c>
      <c r="C36" s="274" t="s">
        <v>63</v>
      </c>
      <c r="D36" s="275">
        <v>24709302</v>
      </c>
      <c r="E36" s="275">
        <f>'[1]POLY DISB 2019'!C40</f>
        <v>24709302</v>
      </c>
      <c r="F36" s="275">
        <f t="shared" si="3"/>
        <v>0</v>
      </c>
      <c r="G36" s="275"/>
      <c r="H36" s="275">
        <v>10000000</v>
      </c>
      <c r="I36" s="275">
        <f>'[1]POLY DISB 2019'!D40</f>
        <v>10000000</v>
      </c>
      <c r="J36" s="275">
        <f t="shared" si="4"/>
        <v>0</v>
      </c>
      <c r="K36" s="275"/>
      <c r="L36" s="275">
        <v>20000000</v>
      </c>
      <c r="M36" s="275">
        <f>'[1]POLY DISB 2019'!E40</f>
        <v>20000000</v>
      </c>
      <c r="N36" s="275">
        <f t="shared" si="5"/>
        <v>0</v>
      </c>
      <c r="O36" s="275"/>
      <c r="P36" s="275">
        <v>25000000</v>
      </c>
      <c r="Q36" s="275">
        <f>'[1]POLY DISB 2019'!F40</f>
        <v>25000000</v>
      </c>
      <c r="R36" s="275">
        <f t="shared" si="6"/>
        <v>0</v>
      </c>
      <c r="S36" s="275"/>
      <c r="T36" s="275">
        <v>12000000</v>
      </c>
      <c r="U36" s="275">
        <f>'[1]POLY DISB 2019'!G40</f>
        <v>12000000</v>
      </c>
      <c r="V36" s="275">
        <f t="shared" si="7"/>
        <v>0</v>
      </c>
      <c r="W36" s="275"/>
      <c r="X36" s="275">
        <v>12000000</v>
      </c>
      <c r="Y36" s="275">
        <f>'[1]POLY DISB 2019'!H40</f>
        <v>12000000</v>
      </c>
      <c r="Z36" s="275">
        <f t="shared" si="8"/>
        <v>0</v>
      </c>
      <c r="AA36" s="275"/>
      <c r="AB36" s="275">
        <v>0</v>
      </c>
      <c r="AC36" s="275">
        <f>'[1]POLY DISB 2019'!I40</f>
        <v>0</v>
      </c>
      <c r="AD36" s="275">
        <f t="shared" si="9"/>
        <v>0</v>
      </c>
      <c r="AE36" s="275"/>
      <c r="AF36" s="275">
        <f>'[1]POLY commited funds to date'!K36</f>
        <v>20000000</v>
      </c>
      <c r="AG36" s="275">
        <f>'[1]POLY DISB 2019'!J40</f>
        <v>20000000</v>
      </c>
      <c r="AH36" s="275">
        <f t="shared" si="10"/>
        <v>0</v>
      </c>
      <c r="AI36" s="275"/>
      <c r="AJ36" s="275">
        <v>10000000</v>
      </c>
      <c r="AK36" s="275">
        <f>'[1]POLY DISB 2019'!K40</f>
        <v>10000000</v>
      </c>
      <c r="AL36" s="275">
        <f t="shared" si="11"/>
        <v>0</v>
      </c>
      <c r="AM36" s="275"/>
      <c r="AN36" s="275">
        <v>20000000</v>
      </c>
      <c r="AO36" s="275">
        <f>'[1]POLY DISB 2019'!L40</f>
        <v>20000000</v>
      </c>
      <c r="AP36" s="275">
        <f t="shared" si="12"/>
        <v>0</v>
      </c>
      <c r="AQ36" s="275"/>
      <c r="AR36" s="275">
        <v>26000000</v>
      </c>
      <c r="AS36" s="275">
        <f>'[1]POLY DISB 2019'!M40</f>
        <v>26000000</v>
      </c>
      <c r="AT36" s="275">
        <f t="shared" si="13"/>
        <v>0</v>
      </c>
      <c r="AU36" s="275"/>
      <c r="AV36" s="275">
        <v>45000000</v>
      </c>
      <c r="AW36" s="275">
        <f>'[1]POLY DISB 2019'!N40</f>
        <v>45000000</v>
      </c>
      <c r="AX36" s="275">
        <f t="shared" si="14"/>
        <v>0</v>
      </c>
      <c r="AY36" s="275"/>
      <c r="AZ36" s="275">
        <v>38340000</v>
      </c>
      <c r="BA36" s="275">
        <f>'[1]POLY DISB 2019'!P40</f>
        <v>38340000</v>
      </c>
      <c r="BB36" s="275">
        <f t="shared" si="15"/>
        <v>0</v>
      </c>
      <c r="BC36" s="275"/>
      <c r="BD36" s="275">
        <v>0</v>
      </c>
      <c r="BE36" s="275">
        <f>'[1]POLY DISB 2019'!Q40</f>
        <v>0</v>
      </c>
      <c r="BF36" s="275">
        <f t="shared" si="16"/>
        <v>0</v>
      </c>
      <c r="BG36" s="275"/>
      <c r="BH36" s="275">
        <f>'[1]POLY commited funds to date'!S36</f>
        <v>126060000</v>
      </c>
      <c r="BI36" s="275">
        <f>'[1]POLY DISB 2019'!R40</f>
        <v>126060000</v>
      </c>
      <c r="BJ36" s="275">
        <f t="shared" si="17"/>
        <v>0</v>
      </c>
      <c r="BK36" s="275"/>
      <c r="BL36" s="275">
        <f>'[1]poly  com. adj for fmis'!S36</f>
        <v>520000000</v>
      </c>
      <c r="BM36" s="275">
        <f>'[1]POLY DISB 2019'!S40</f>
        <v>520000000</v>
      </c>
      <c r="BN36" s="269">
        <f t="shared" si="18"/>
        <v>0</v>
      </c>
      <c r="BO36" s="275"/>
      <c r="BP36" s="276">
        <f>'[1]POLY commited funds to date'!U36</f>
        <v>169900000</v>
      </c>
      <c r="BQ36" s="275">
        <f>'[1]POLY DISB 2019'!T40</f>
        <v>169900000</v>
      </c>
      <c r="BR36" s="275">
        <f t="shared" si="19"/>
        <v>0</v>
      </c>
      <c r="BS36" s="275"/>
      <c r="BT36" s="275">
        <f>'[1]POLY commited funds to date'!V36</f>
        <v>10000000</v>
      </c>
      <c r="BU36" s="275">
        <f>'[1]POLY DISB 2019'!U40</f>
        <v>10000000</v>
      </c>
      <c r="BV36" s="275">
        <f t="shared" si="20"/>
        <v>0</v>
      </c>
      <c r="BW36" s="275"/>
      <c r="BX36" s="275">
        <f>'[1]POLY commited funds to date'!W36</f>
        <v>250000000</v>
      </c>
      <c r="BY36" s="275">
        <f>'[1]POLY DISB 2019'!V40</f>
        <v>250000000</v>
      </c>
      <c r="BZ36" s="275">
        <f t="shared" si="21"/>
        <v>0</v>
      </c>
      <c r="CA36" s="275"/>
      <c r="CB36" s="275">
        <f>'[1]POLY commited funds to date'!X36</f>
        <v>210000000</v>
      </c>
      <c r="CC36" s="275">
        <f>'[1]POLY DISB 2019'!W40</f>
        <v>210000000</v>
      </c>
      <c r="CD36" s="275">
        <f t="shared" si="22"/>
        <v>0</v>
      </c>
      <c r="CE36" s="275"/>
      <c r="CF36" s="275">
        <f>'[1]POLY commited funds to date'!Y36</f>
        <v>30000000</v>
      </c>
      <c r="CG36" s="275">
        <f>'[1]POLY DISB 2019'!X40</f>
        <v>30000000</v>
      </c>
      <c r="CH36" s="275">
        <f t="shared" si="23"/>
        <v>0</v>
      </c>
      <c r="CI36" s="275"/>
      <c r="CJ36" s="275">
        <f>'[1]POLY commited funds to date'!Z36</f>
        <v>240000000</v>
      </c>
      <c r="CK36" s="275">
        <f>'[1]POLY DISB 2019'!Y40</f>
        <v>240000000</v>
      </c>
      <c r="CL36" s="275">
        <f t="shared" si="24"/>
        <v>0</v>
      </c>
      <c r="CM36" s="275"/>
      <c r="CN36" s="275">
        <f>'[1]POLY commited funds to date'!AA36</f>
        <v>243000000</v>
      </c>
      <c r="CO36" s="275">
        <f>'[1]POLY DISB 2019'!Z40</f>
        <v>243000000</v>
      </c>
      <c r="CP36" s="275">
        <f t="shared" si="25"/>
        <v>0</v>
      </c>
      <c r="CQ36" s="275"/>
      <c r="CR36" s="275">
        <v>10000000</v>
      </c>
      <c r="CS36" s="275">
        <f>'[1]POLY DISB 2019'!AA40</f>
        <v>10000000</v>
      </c>
      <c r="CT36" s="275">
        <f t="shared" si="26"/>
        <v>0</v>
      </c>
      <c r="CU36" s="275"/>
      <c r="CV36" s="275">
        <f>'[1]POLY commited funds to date'!AC36</f>
        <v>371000000</v>
      </c>
      <c r="CW36" s="275">
        <f>'[1]POLY DISB 2019'!AB40</f>
        <v>371000000</v>
      </c>
      <c r="CX36" s="275">
        <f t="shared" si="27"/>
        <v>0</v>
      </c>
      <c r="CY36" s="275"/>
      <c r="CZ36" s="275">
        <f>'[1]POLY commited funds to date'!AD36</f>
        <v>20000000</v>
      </c>
      <c r="DA36" s="275">
        <f>'[1]POLY DISB 2019'!AC40</f>
        <v>20000000</v>
      </c>
      <c r="DB36" s="275">
        <f t="shared" si="28"/>
        <v>0</v>
      </c>
      <c r="DC36" s="275"/>
      <c r="DD36" s="275">
        <f>'[1]POLY commited funds to date'!AE36</f>
        <v>55000000</v>
      </c>
      <c r="DE36" s="275">
        <f>'[1]POLY DISB 2019'!AD40</f>
        <v>55000000</v>
      </c>
      <c r="DF36" s="275">
        <f t="shared" si="29"/>
        <v>0</v>
      </c>
      <c r="DG36" s="275"/>
      <c r="DH36" s="275">
        <f>'[1]poly  com. adj for fmis'!AE36</f>
        <v>80000000</v>
      </c>
      <c r="DI36" s="275">
        <f>'[1]POLY DISB 2019'!AE40</f>
        <v>56957225.090000004</v>
      </c>
      <c r="DJ36" s="275">
        <f t="shared" si="30"/>
        <v>23042774.909999996</v>
      </c>
      <c r="DK36" s="275"/>
      <c r="DL36" s="275">
        <f>'[1]poly  com. adj for fmis'!AF36</f>
        <v>8000000</v>
      </c>
      <c r="DM36" s="275">
        <f>'[1]POLY DISB 2019'!AF40</f>
        <v>8000000</v>
      </c>
      <c r="DN36" s="275">
        <f t="shared" si="31"/>
        <v>0</v>
      </c>
      <c r="DO36" s="275"/>
      <c r="DP36" s="275">
        <f>'[1]poly  com. adj for fmis'!AG36</f>
        <v>2000000</v>
      </c>
      <c r="DQ36" s="275">
        <f>'[1]POLY DISB 2019'!AG40</f>
        <v>1700000</v>
      </c>
      <c r="DR36" s="275">
        <f t="shared" si="32"/>
        <v>300000</v>
      </c>
      <c r="DS36" s="275"/>
      <c r="DT36" s="275">
        <f>'[1]poly  com. adj for fmis'!AH36</f>
        <v>10000000</v>
      </c>
      <c r="DU36" s="275">
        <f>'[1]POLY DISB 2019'!AH40</f>
        <v>0</v>
      </c>
      <c r="DV36" s="275">
        <f t="shared" si="33"/>
        <v>10000000</v>
      </c>
      <c r="DW36" s="275"/>
      <c r="DX36" s="275">
        <f>'[1]poly  com. adj for fmis'!AI36</f>
        <v>1510000000</v>
      </c>
      <c r="DY36" s="275">
        <f>'[1]POLY DISB 2019'!AI40</f>
        <v>1465000000</v>
      </c>
      <c r="DZ36" s="275">
        <f t="shared" si="34"/>
        <v>45000000</v>
      </c>
      <c r="EA36" s="275"/>
      <c r="EB36" s="275">
        <f>'[1]POLY commited funds to date'!AK36</f>
        <v>380632000</v>
      </c>
      <c r="EC36" s="275">
        <f>'[1]POLY DISB 2019'!AJ40</f>
        <v>270996781.27999997</v>
      </c>
      <c r="ED36" s="275">
        <f t="shared" si="35"/>
        <v>109635218.72000003</v>
      </c>
      <c r="EE36" s="275"/>
      <c r="EF36" s="275">
        <f>'[1]POLY commited funds to date'!AL36</f>
        <v>8000000</v>
      </c>
      <c r="EG36" s="275">
        <f>'[1]POLY DISB 2019'!AK40</f>
        <v>8000000</v>
      </c>
      <c r="EH36" s="275">
        <f t="shared" si="36"/>
        <v>0</v>
      </c>
      <c r="EI36" s="275"/>
      <c r="EJ36" s="275">
        <f>'[1]POLY commited funds to date'!AM36</f>
        <v>10000000</v>
      </c>
      <c r="EK36" s="275">
        <f>'[1]POLY DISB 2019'!AL40</f>
        <v>0</v>
      </c>
      <c r="EL36" s="275">
        <f t="shared" si="37"/>
        <v>10000000</v>
      </c>
      <c r="EM36" s="275"/>
      <c r="EN36" s="275">
        <f>'[1]POLY commited funds to date'!AN36</f>
        <v>10000000</v>
      </c>
      <c r="EO36" s="275">
        <f>'[1]POLY DISB 2019'!AM40</f>
        <v>0</v>
      </c>
      <c r="EP36" s="275">
        <f t="shared" si="38"/>
        <v>10000000</v>
      </c>
      <c r="EQ36" s="281">
        <f>'[1]POLY commited funds to date'!AO36</f>
        <v>150000000</v>
      </c>
      <c r="ER36" s="275">
        <f>'[1]POLY DISB 2019'!AN40</f>
        <v>99000000</v>
      </c>
      <c r="ES36" s="275">
        <f t="shared" si="39"/>
        <v>51000000</v>
      </c>
      <c r="ET36" s="275"/>
      <c r="EU36" s="275">
        <f>'[1]POLY commited funds to date'!AP36</f>
        <v>205000000</v>
      </c>
      <c r="EV36" s="275">
        <f>'[1]POLY DISB 2019'!AO40</f>
        <v>0</v>
      </c>
      <c r="EW36" s="275">
        <f t="shared" si="40"/>
        <v>205000000</v>
      </c>
      <c r="EX36" s="275"/>
      <c r="EY36" s="275">
        <f>'[1]POLY commited funds to date'!AQ36</f>
        <v>75000000</v>
      </c>
      <c r="EZ36" s="275">
        <f>'[1]POLY DISB 2019'!AP40</f>
        <v>51000000</v>
      </c>
      <c r="FA36" s="275">
        <f t="shared" si="41"/>
        <v>24000000</v>
      </c>
      <c r="FB36" s="275"/>
      <c r="FC36" s="275">
        <f>'[1]POLY commited funds to date'!AR36</f>
        <v>7000000</v>
      </c>
      <c r="FD36" s="275">
        <f>'[1]POLY DISB 2019'!AQ40</f>
        <v>0</v>
      </c>
      <c r="FE36" s="275">
        <f t="shared" si="42"/>
        <v>7000000</v>
      </c>
      <c r="FF36" s="275"/>
      <c r="FG36" s="275">
        <f>'[1]POLY commited funds to date'!AS36</f>
        <v>6300000</v>
      </c>
      <c r="FH36" s="275">
        <f>'[1]POLY DISB 2019'!AR40</f>
        <v>0</v>
      </c>
      <c r="FI36" s="275">
        <f t="shared" si="43"/>
        <v>6300000</v>
      </c>
      <c r="FJ36" s="275"/>
      <c r="FK36" s="275">
        <f>'[1]POLY commited funds to date'!AT36</f>
        <v>7500000</v>
      </c>
      <c r="FL36" s="275">
        <f>'[1]POLY DISB 2019'!AS40</f>
        <v>0</v>
      </c>
      <c r="FM36" s="275">
        <f t="shared" si="44"/>
        <v>7500000</v>
      </c>
      <c r="FN36" s="275"/>
      <c r="FO36" s="275">
        <f>'[1]POLY commited funds to date'!AU36</f>
        <v>245000000</v>
      </c>
      <c r="FP36" s="275">
        <f>'[1]POLY DISB 2019'!AT40</f>
        <v>0</v>
      </c>
      <c r="FQ36" s="275">
        <f t="shared" si="45"/>
        <v>245000000</v>
      </c>
      <c r="FR36" s="275">
        <f>'[1]POLY commited funds to date'!AV36</f>
        <v>119074602</v>
      </c>
      <c r="FS36" s="275">
        <f>'[1]POLY DISB 2019'!AU40</f>
        <v>0</v>
      </c>
      <c r="FT36" s="275">
        <f t="shared" si="46"/>
        <v>119074602</v>
      </c>
      <c r="FU36" s="275"/>
      <c r="FV36" s="275">
        <f>'[1]POLY commited funds to date'!AW36</f>
        <v>13000000</v>
      </c>
      <c r="FW36" s="275">
        <f>'[1]POLY DISB 2019'!AV40</f>
        <v>0</v>
      </c>
      <c r="FX36" s="275">
        <f t="shared" si="47"/>
        <v>13000000</v>
      </c>
      <c r="FY36" s="275"/>
      <c r="FZ36" s="275">
        <f>'[1]POLY commited funds to date'!AX36</f>
        <v>8628900</v>
      </c>
      <c r="GA36" s="275">
        <f>'[1]POLY DISB 2019'!AW40</f>
        <v>0</v>
      </c>
      <c r="GB36" s="275">
        <f t="shared" si="48"/>
        <v>8628900</v>
      </c>
      <c r="GC36" s="275">
        <f>'[1]POLY commited funds to date'!AY36</f>
        <v>5000000</v>
      </c>
      <c r="GD36" s="275">
        <f>'[1]POLY DISB 2019'!AX40</f>
        <v>0</v>
      </c>
      <c r="GE36" s="275">
        <f t="shared" si="49"/>
        <v>5000000</v>
      </c>
      <c r="GF36" s="275"/>
      <c r="GG36" s="275">
        <f>'[1]POLY commited funds to date'!AZ36</f>
        <v>0</v>
      </c>
      <c r="GH36" s="275">
        <f>'[1]POLY DISB 2019'!AY40</f>
        <v>0</v>
      </c>
      <c r="GI36" s="275">
        <f t="shared" si="50"/>
        <v>0</v>
      </c>
      <c r="GJ36" s="275"/>
      <c r="GK36" s="275">
        <f t="shared" si="51"/>
        <v>5378144804</v>
      </c>
      <c r="GL36" s="275">
        <f t="shared" si="51"/>
        <v>4478663308.3699999</v>
      </c>
      <c r="GM36" s="275">
        <f t="shared" si="52"/>
        <v>899481495.63000011</v>
      </c>
      <c r="GN36" s="265"/>
      <c r="GO36" s="277">
        <f t="shared" si="53"/>
        <v>2283641302</v>
      </c>
      <c r="GP36" s="277">
        <f t="shared" si="53"/>
        <v>1700963308.3699999</v>
      </c>
      <c r="GQ36" s="277">
        <f t="shared" si="54"/>
        <v>582677993.63000011</v>
      </c>
      <c r="GR36" s="277">
        <f t="shared" si="0"/>
        <v>10000000</v>
      </c>
      <c r="GS36" s="277">
        <f t="shared" si="0"/>
        <v>10000000</v>
      </c>
      <c r="GT36" s="277">
        <f t="shared" si="55"/>
        <v>0</v>
      </c>
      <c r="GU36" s="277"/>
      <c r="GV36" s="265"/>
      <c r="GW36" s="279">
        <f t="shared" si="68"/>
        <v>2605000000</v>
      </c>
      <c r="GX36" s="279">
        <f t="shared" si="68"/>
        <v>2560000000</v>
      </c>
      <c r="GY36" s="280">
        <f t="shared" si="57"/>
        <v>45000000</v>
      </c>
      <c r="GZ36" s="280"/>
      <c r="HA36" s="277">
        <f t="shared" si="58"/>
        <v>74928900</v>
      </c>
      <c r="HB36" s="277">
        <f t="shared" si="58"/>
        <v>40000000</v>
      </c>
      <c r="HC36" s="277">
        <f t="shared" si="59"/>
        <v>34928900</v>
      </c>
      <c r="HE36" s="277">
        <f t="shared" si="60"/>
        <v>36000000</v>
      </c>
      <c r="HF36" s="277">
        <f t="shared" si="60"/>
        <v>16000000</v>
      </c>
      <c r="HG36" s="277">
        <f t="shared" si="61"/>
        <v>20000000</v>
      </c>
      <c r="HI36" s="279">
        <f t="shared" si="62"/>
        <v>344074602</v>
      </c>
      <c r="HJ36" s="279">
        <f t="shared" si="62"/>
        <v>150000000</v>
      </c>
      <c r="HK36" s="279">
        <f t="shared" si="63"/>
        <v>194074602</v>
      </c>
      <c r="HM36" s="279">
        <f t="shared" si="64"/>
        <v>2000000</v>
      </c>
      <c r="HN36" s="279">
        <f t="shared" si="1"/>
        <v>1700000</v>
      </c>
      <c r="HO36" s="279">
        <f t="shared" si="65"/>
        <v>300000</v>
      </c>
      <c r="HQ36" s="279">
        <f t="shared" si="66"/>
        <v>22500000</v>
      </c>
      <c r="HR36" s="279">
        <f t="shared" si="2"/>
        <v>0</v>
      </c>
      <c r="HS36" s="279">
        <f t="shared" si="67"/>
        <v>22500000</v>
      </c>
    </row>
    <row r="37" spans="1:227" x14ac:dyDescent="0.25">
      <c r="A37" s="235">
        <v>29</v>
      </c>
      <c r="B37" s="273" t="s">
        <v>228</v>
      </c>
      <c r="C37" s="274" t="s">
        <v>63</v>
      </c>
      <c r="D37" s="275">
        <v>24709302</v>
      </c>
      <c r="E37" s="275">
        <f>'[1]POLY DISB 2019'!C41</f>
        <v>24714302</v>
      </c>
      <c r="F37" s="275">
        <f t="shared" si="3"/>
        <v>-5000</v>
      </c>
      <c r="G37" s="275"/>
      <c r="H37" s="275">
        <v>10000000</v>
      </c>
      <c r="I37" s="275">
        <f>'[1]POLY DISB 2019'!D41</f>
        <v>10000000</v>
      </c>
      <c r="J37" s="275">
        <f t="shared" si="4"/>
        <v>0</v>
      </c>
      <c r="K37" s="275"/>
      <c r="L37" s="275">
        <v>20000000</v>
      </c>
      <c r="M37" s="275">
        <f>'[1]POLY DISB 2019'!E41</f>
        <v>20000000</v>
      </c>
      <c r="N37" s="275">
        <f t="shared" si="5"/>
        <v>0</v>
      </c>
      <c r="O37" s="275"/>
      <c r="P37" s="275">
        <v>25000000</v>
      </c>
      <c r="Q37" s="275">
        <f>'[1]POLY DISB 2019'!F41</f>
        <v>25000000</v>
      </c>
      <c r="R37" s="275">
        <f t="shared" si="6"/>
        <v>0</v>
      </c>
      <c r="S37" s="275"/>
      <c r="T37" s="275">
        <v>12000000</v>
      </c>
      <c r="U37" s="275">
        <f>'[1]POLY DISB 2019'!G41</f>
        <v>12000000</v>
      </c>
      <c r="V37" s="275">
        <f t="shared" si="7"/>
        <v>0</v>
      </c>
      <c r="W37" s="275"/>
      <c r="X37" s="275">
        <v>12000000</v>
      </c>
      <c r="Y37" s="275">
        <f>'[1]POLY DISB 2019'!H41</f>
        <v>12000000</v>
      </c>
      <c r="Z37" s="275">
        <f t="shared" si="8"/>
        <v>0</v>
      </c>
      <c r="AA37" s="275"/>
      <c r="AB37" s="275">
        <v>0</v>
      </c>
      <c r="AC37" s="275">
        <f>'[1]POLY DISB 2019'!I41</f>
        <v>0</v>
      </c>
      <c r="AD37" s="275">
        <f t="shared" si="9"/>
        <v>0</v>
      </c>
      <c r="AE37" s="275"/>
      <c r="AF37" s="275">
        <f>'[1]POLY commited funds to date'!K37</f>
        <v>20000000</v>
      </c>
      <c r="AG37" s="275">
        <f>'[1]POLY DISB 2019'!J41</f>
        <v>20000000</v>
      </c>
      <c r="AH37" s="275">
        <f t="shared" si="10"/>
        <v>0</v>
      </c>
      <c r="AI37" s="275"/>
      <c r="AJ37" s="275">
        <v>10000000</v>
      </c>
      <c r="AK37" s="275">
        <f>'[1]POLY DISB 2019'!K41</f>
        <v>10000000</v>
      </c>
      <c r="AL37" s="275">
        <f t="shared" si="11"/>
        <v>0</v>
      </c>
      <c r="AM37" s="275"/>
      <c r="AN37" s="275">
        <v>20000000</v>
      </c>
      <c r="AO37" s="275">
        <f>'[1]POLY DISB 2019'!L41</f>
        <v>20000000</v>
      </c>
      <c r="AP37" s="275">
        <f t="shared" si="12"/>
        <v>0</v>
      </c>
      <c r="AQ37" s="275"/>
      <c r="AR37" s="275">
        <v>26000000</v>
      </c>
      <c r="AS37" s="275">
        <f>'[1]POLY DISB 2019'!M41</f>
        <v>26000000</v>
      </c>
      <c r="AT37" s="275">
        <f t="shared" si="13"/>
        <v>0</v>
      </c>
      <c r="AU37" s="275"/>
      <c r="AV37" s="275">
        <v>45000000</v>
      </c>
      <c r="AW37" s="275">
        <f>'[1]POLY DISB 2019'!N41</f>
        <v>45000000</v>
      </c>
      <c r="AX37" s="275">
        <f t="shared" si="14"/>
        <v>0</v>
      </c>
      <c r="AY37" s="275"/>
      <c r="AZ37" s="275">
        <v>38300000</v>
      </c>
      <c r="BA37" s="275">
        <f>'[1]POLY DISB 2019'!P41</f>
        <v>38300000</v>
      </c>
      <c r="BB37" s="275">
        <f t="shared" si="15"/>
        <v>0</v>
      </c>
      <c r="BC37" s="275"/>
      <c r="BD37" s="275">
        <v>29500000</v>
      </c>
      <c r="BE37" s="275">
        <f>'[1]POLY DISB 2019'!Q41</f>
        <v>29500000</v>
      </c>
      <c r="BF37" s="275">
        <f t="shared" si="16"/>
        <v>0</v>
      </c>
      <c r="BG37" s="275"/>
      <c r="BH37" s="275">
        <f>'[1]POLY commited funds to date'!S37</f>
        <v>126060000</v>
      </c>
      <c r="BI37" s="275">
        <f>'[1]POLY DISB 2019'!R41</f>
        <v>126060000</v>
      </c>
      <c r="BJ37" s="275">
        <f t="shared" si="17"/>
        <v>0</v>
      </c>
      <c r="BK37" s="275"/>
      <c r="BL37" s="275">
        <f>'[1]poly  com. adj for fmis'!S37</f>
        <v>10000000</v>
      </c>
      <c r="BM37" s="275">
        <f>'[1]POLY DISB 2019'!S41</f>
        <v>10000000</v>
      </c>
      <c r="BN37" s="269">
        <f t="shared" si="18"/>
        <v>0</v>
      </c>
      <c r="BO37" s="275"/>
      <c r="BP37" s="276">
        <f>'[1]POLY commited funds to date'!U37</f>
        <v>169900000</v>
      </c>
      <c r="BQ37" s="275">
        <f>'[1]POLY DISB 2019'!T41</f>
        <v>169900000</v>
      </c>
      <c r="BR37" s="275">
        <f t="shared" si="19"/>
        <v>0</v>
      </c>
      <c r="BS37" s="275"/>
      <c r="BT37" s="275">
        <f>'[1]POLY commited funds to date'!V37</f>
        <v>10000000</v>
      </c>
      <c r="BU37" s="275">
        <f>'[1]POLY DISB 2019'!U41</f>
        <v>0</v>
      </c>
      <c r="BV37" s="275">
        <f t="shared" si="20"/>
        <v>10000000</v>
      </c>
      <c r="BW37" s="275"/>
      <c r="BX37" s="275">
        <f>'[1]POLY commited funds to date'!W37</f>
        <v>0</v>
      </c>
      <c r="BY37" s="275">
        <f>'[1]POLY DISB 2019'!Y41</f>
        <v>0</v>
      </c>
      <c r="BZ37" s="275">
        <f t="shared" si="21"/>
        <v>0</v>
      </c>
      <c r="CA37" s="275"/>
      <c r="CB37" s="275">
        <f>'[1]POLY commited funds to date'!X37</f>
        <v>210000000</v>
      </c>
      <c r="CC37" s="275">
        <f>'[1]POLY DISB 2019'!W41</f>
        <v>210000000</v>
      </c>
      <c r="CD37" s="275">
        <f t="shared" si="22"/>
        <v>0</v>
      </c>
      <c r="CE37" s="275"/>
      <c r="CF37" s="275">
        <f>'[1]POLY commited funds to date'!Y37</f>
        <v>0</v>
      </c>
      <c r="CG37" s="275">
        <f>'[1]POLY DISB 2019'!X41</f>
        <v>0</v>
      </c>
      <c r="CH37" s="275">
        <f t="shared" si="23"/>
        <v>0</v>
      </c>
      <c r="CI37" s="275"/>
      <c r="CJ37" s="275">
        <f>'[1]POLY commited funds to date'!Z37</f>
        <v>0</v>
      </c>
      <c r="CK37" s="275">
        <f>'[1]POLY DISB 2019'!Y41</f>
        <v>0</v>
      </c>
      <c r="CL37" s="275">
        <f t="shared" si="24"/>
        <v>0</v>
      </c>
      <c r="CM37" s="275"/>
      <c r="CN37" s="275">
        <f>'[1]POLY commited funds to date'!AA37</f>
        <v>243000000</v>
      </c>
      <c r="CO37" s="275">
        <f>'[1]POLY DISB 2019'!Z41</f>
        <v>243000000</v>
      </c>
      <c r="CP37" s="275">
        <f t="shared" si="25"/>
        <v>0</v>
      </c>
      <c r="CQ37" s="275"/>
      <c r="CR37" s="275">
        <v>10000000</v>
      </c>
      <c r="CS37" s="275">
        <f>'[1]POLY DISB 2019'!AA41</f>
        <v>10000000</v>
      </c>
      <c r="CT37" s="275">
        <f t="shared" si="26"/>
        <v>0</v>
      </c>
      <c r="CU37" s="275"/>
      <c r="CV37" s="275">
        <f>'[1]POLY commited funds to date'!AC37</f>
        <v>371000000</v>
      </c>
      <c r="CW37" s="275">
        <f>'[1]POLY DISB 2019'!AB41</f>
        <v>336150000</v>
      </c>
      <c r="CX37" s="275">
        <f t="shared" si="27"/>
        <v>34850000</v>
      </c>
      <c r="CY37" s="275"/>
      <c r="CZ37" s="275">
        <f>'[1]POLY commited funds to date'!AD37</f>
        <v>20000000</v>
      </c>
      <c r="DA37" s="275">
        <f>'[1]POLY DISB 2019'!AC41</f>
        <v>20000000</v>
      </c>
      <c r="DB37" s="275">
        <f t="shared" si="28"/>
        <v>0</v>
      </c>
      <c r="DC37" s="275"/>
      <c r="DD37" s="275">
        <f>'[1]POLY commited funds to date'!AE37</f>
        <v>102000000</v>
      </c>
      <c r="DE37" s="275">
        <f>'[1]POLY DISB 2019'!AD41</f>
        <v>102000000</v>
      </c>
      <c r="DF37" s="275">
        <f t="shared" si="29"/>
        <v>0</v>
      </c>
      <c r="DG37" s="275"/>
      <c r="DH37" s="275">
        <f>'[1]poly  com. adj for fmis'!AE37</f>
        <v>80000000</v>
      </c>
      <c r="DI37" s="275">
        <f>'[1]POLY DISB 2019'!AE41</f>
        <v>47200000</v>
      </c>
      <c r="DJ37" s="275">
        <f t="shared" si="30"/>
        <v>32800000</v>
      </c>
      <c r="DK37" s="275"/>
      <c r="DL37" s="275">
        <f>'[1]poly  com. adj for fmis'!AF37</f>
        <v>8000000</v>
      </c>
      <c r="DM37" s="275">
        <f>'[1]POLY DISB 2019'!AF41</f>
        <v>0</v>
      </c>
      <c r="DN37" s="275">
        <f t="shared" si="31"/>
        <v>8000000</v>
      </c>
      <c r="DO37" s="275"/>
      <c r="DP37" s="275">
        <f>'[1]poly  com. adj for fmis'!AG37</f>
        <v>2000000</v>
      </c>
      <c r="DQ37" s="275">
        <f>'[1]POLY DISB 2019'!AG41</f>
        <v>0</v>
      </c>
      <c r="DR37" s="275">
        <f t="shared" si="32"/>
        <v>2000000</v>
      </c>
      <c r="DS37" s="275"/>
      <c r="DT37" s="275">
        <f>'[1]poly  com. adj for fmis'!AH37</f>
        <v>10000000</v>
      </c>
      <c r="DU37" s="275">
        <f>'[1]POLY DISB 2019'!AH41</f>
        <v>10000000</v>
      </c>
      <c r="DV37" s="275">
        <f t="shared" si="33"/>
        <v>0</v>
      </c>
      <c r="DW37" s="275"/>
      <c r="DX37" s="275">
        <f>'[1]poly  com. adj for fmis'!AI37</f>
        <v>50000000</v>
      </c>
      <c r="DY37" s="275">
        <f>'[1]POLY DISB 2019'!AI41</f>
        <v>48500000</v>
      </c>
      <c r="DZ37" s="275">
        <f t="shared" si="34"/>
        <v>1500000</v>
      </c>
      <c r="EA37" s="275"/>
      <c r="EB37" s="275">
        <f>'[1]POLY commited funds to date'!AK37</f>
        <v>380632000</v>
      </c>
      <c r="EC37" s="275">
        <f>'[1]POLY DISB 2019'!AJ41</f>
        <v>0</v>
      </c>
      <c r="ED37" s="275">
        <f t="shared" si="35"/>
        <v>380632000</v>
      </c>
      <c r="EE37" s="275"/>
      <c r="EF37" s="275">
        <f>'[1]POLY commited funds to date'!AL37</f>
        <v>8000000</v>
      </c>
      <c r="EG37" s="275">
        <f>'[1]POLY DISB 2019'!AK41</f>
        <v>0</v>
      </c>
      <c r="EH37" s="275">
        <f t="shared" si="36"/>
        <v>8000000</v>
      </c>
      <c r="EI37" s="275"/>
      <c r="EJ37" s="275">
        <f>'[1]POLY commited funds to date'!AM37</f>
        <v>10000000</v>
      </c>
      <c r="EK37" s="275">
        <f>'[1]POLY DISB 2019'!AL41</f>
        <v>0</v>
      </c>
      <c r="EL37" s="275">
        <f t="shared" si="37"/>
        <v>10000000</v>
      </c>
      <c r="EM37" s="275"/>
      <c r="EN37" s="275">
        <f>'[1]POLY commited funds to date'!AN37</f>
        <v>10000000</v>
      </c>
      <c r="EO37" s="275">
        <f>'[1]POLY DISB 2019'!AM41</f>
        <v>0</v>
      </c>
      <c r="EP37" s="275">
        <f t="shared" si="38"/>
        <v>10000000</v>
      </c>
      <c r="EQ37" s="281">
        <f>'[1]POLY commited funds to date'!AO37</f>
        <v>150000000</v>
      </c>
      <c r="ER37" s="275">
        <f>'[1]POLY DISB 2019'!AN41</f>
        <v>127500000</v>
      </c>
      <c r="ES37" s="275">
        <f t="shared" si="39"/>
        <v>22500000</v>
      </c>
      <c r="ET37" s="275"/>
      <c r="EU37" s="275">
        <f>'[1]POLY commited funds to date'!AP37</f>
        <v>205000000</v>
      </c>
      <c r="EV37" s="275">
        <f>'[1]POLY DISB 2019'!AO41</f>
        <v>0</v>
      </c>
      <c r="EW37" s="275">
        <f t="shared" si="40"/>
        <v>205000000</v>
      </c>
      <c r="EX37" s="275"/>
      <c r="EY37" s="275">
        <f>'[1]POLY commited funds to date'!AQ37</f>
        <v>75000000</v>
      </c>
      <c r="EZ37" s="275">
        <f>'[1]POLY DISB 2019'!AP41</f>
        <v>39750000</v>
      </c>
      <c r="FA37" s="275">
        <f t="shared" si="41"/>
        <v>35250000</v>
      </c>
      <c r="FB37" s="275"/>
      <c r="FC37" s="275">
        <f>'[1]POLY commited funds to date'!AR37</f>
        <v>7000000</v>
      </c>
      <c r="FD37" s="275">
        <f>'[1]POLY DISB 2019'!AQ41</f>
        <v>0</v>
      </c>
      <c r="FE37" s="275">
        <f t="shared" si="42"/>
        <v>7000000</v>
      </c>
      <c r="FF37" s="275"/>
      <c r="FG37" s="275">
        <f>'[1]POLY commited funds to date'!AS37</f>
        <v>6300000</v>
      </c>
      <c r="FH37" s="275">
        <f>'[1]POLY DISB 2019'!AR41</f>
        <v>0</v>
      </c>
      <c r="FI37" s="275">
        <f t="shared" si="43"/>
        <v>6300000</v>
      </c>
      <c r="FJ37" s="275"/>
      <c r="FK37" s="275">
        <f>'[1]POLY commited funds to date'!AT37</f>
        <v>7500000</v>
      </c>
      <c r="FL37" s="275">
        <f>'[1]POLY DISB 2019'!AS41</f>
        <v>0</v>
      </c>
      <c r="FM37" s="275">
        <f t="shared" si="44"/>
        <v>7500000</v>
      </c>
      <c r="FN37" s="275"/>
      <c r="FO37" s="275">
        <f>'[1]POLY commited funds to date'!AU37</f>
        <v>245000000</v>
      </c>
      <c r="FP37" s="275">
        <f>'[1]POLY DISB 2019'!AT41</f>
        <v>0</v>
      </c>
      <c r="FQ37" s="275">
        <f t="shared" si="45"/>
        <v>245000000</v>
      </c>
      <c r="FR37" s="275">
        <f>'[1]POLY commited funds to date'!AV37</f>
        <v>119074602</v>
      </c>
      <c r="FS37" s="275">
        <f>'[1]POLY DISB 2019'!AU41</f>
        <v>0</v>
      </c>
      <c r="FT37" s="275">
        <f t="shared" si="46"/>
        <v>119074602</v>
      </c>
      <c r="FU37" s="275"/>
      <c r="FV37" s="275">
        <f>'[1]POLY commited funds to date'!AW37</f>
        <v>13000000</v>
      </c>
      <c r="FW37" s="275">
        <f>'[1]POLY DISB 2019'!AV41</f>
        <v>0</v>
      </c>
      <c r="FX37" s="275">
        <f t="shared" si="47"/>
        <v>13000000</v>
      </c>
      <c r="FY37" s="275"/>
      <c r="FZ37" s="275">
        <f>'[1]POLY commited funds to date'!AX37</f>
        <v>8628900</v>
      </c>
      <c r="GA37" s="275">
        <f>'[1]POLY DISB 2019'!AW41</f>
        <v>0</v>
      </c>
      <c r="GB37" s="275">
        <f t="shared" si="48"/>
        <v>8628900</v>
      </c>
      <c r="GC37" s="275">
        <f>'[1]POLY commited funds to date'!AY37</f>
        <v>5000000</v>
      </c>
      <c r="GD37" s="275">
        <f>'[1]POLY DISB 2019'!AX41</f>
        <v>0</v>
      </c>
      <c r="GE37" s="275">
        <f t="shared" si="49"/>
        <v>5000000</v>
      </c>
      <c r="GF37" s="275"/>
      <c r="GG37" s="275">
        <f>'[1]POLY commited funds to date'!AZ37</f>
        <v>0</v>
      </c>
      <c r="GH37" s="275">
        <f>'[1]POLY DISB 2019'!AY41</f>
        <v>0</v>
      </c>
      <c r="GI37" s="275">
        <f t="shared" si="50"/>
        <v>0</v>
      </c>
      <c r="GJ37" s="275"/>
      <c r="GK37" s="275">
        <f t="shared" si="51"/>
        <v>2964604804</v>
      </c>
      <c r="GL37" s="275">
        <f t="shared" si="51"/>
        <v>1792574302</v>
      </c>
      <c r="GM37" s="275">
        <f t="shared" si="52"/>
        <v>1172030502</v>
      </c>
      <c r="GN37" s="265"/>
      <c r="GO37" s="277">
        <f t="shared" si="53"/>
        <v>2283601302</v>
      </c>
      <c r="GP37" s="277">
        <f t="shared" si="53"/>
        <v>1385324302</v>
      </c>
      <c r="GQ37" s="277">
        <f t="shared" si="54"/>
        <v>898277000</v>
      </c>
      <c r="GR37" s="277">
        <f t="shared" si="0"/>
        <v>10000000</v>
      </c>
      <c r="GS37" s="277">
        <f t="shared" si="0"/>
        <v>10000000</v>
      </c>
      <c r="GT37" s="277">
        <f t="shared" si="55"/>
        <v>0</v>
      </c>
      <c r="GU37" s="277"/>
      <c r="GV37" s="265"/>
      <c r="GW37" s="279">
        <f t="shared" si="68"/>
        <v>191500000</v>
      </c>
      <c r="GX37" s="279">
        <f t="shared" si="68"/>
        <v>190000000</v>
      </c>
      <c r="GY37" s="280">
        <f t="shared" si="57"/>
        <v>1500000</v>
      </c>
      <c r="GZ37" s="280"/>
      <c r="HA37" s="277">
        <f t="shared" si="58"/>
        <v>74928900</v>
      </c>
      <c r="HB37" s="277">
        <f t="shared" si="58"/>
        <v>40000000</v>
      </c>
      <c r="HC37" s="277">
        <f t="shared" si="59"/>
        <v>34928900</v>
      </c>
      <c r="HE37" s="277">
        <f t="shared" si="60"/>
        <v>36000000</v>
      </c>
      <c r="HF37" s="277">
        <f t="shared" si="60"/>
        <v>0</v>
      </c>
      <c r="HG37" s="277">
        <f t="shared" si="61"/>
        <v>36000000</v>
      </c>
      <c r="HI37" s="279">
        <f t="shared" si="62"/>
        <v>344074602</v>
      </c>
      <c r="HJ37" s="279">
        <f t="shared" si="62"/>
        <v>167250000</v>
      </c>
      <c r="HK37" s="279">
        <f t="shared" si="63"/>
        <v>176824602</v>
      </c>
      <c r="HM37" s="279">
        <f t="shared" si="64"/>
        <v>2000000</v>
      </c>
      <c r="HN37" s="279">
        <f t="shared" si="1"/>
        <v>0</v>
      </c>
      <c r="HO37" s="279">
        <f t="shared" si="65"/>
        <v>2000000</v>
      </c>
      <c r="HQ37" s="279">
        <f t="shared" si="66"/>
        <v>22500000</v>
      </c>
      <c r="HR37" s="279">
        <f t="shared" si="2"/>
        <v>0</v>
      </c>
      <c r="HS37" s="279">
        <f t="shared" si="67"/>
        <v>22500000</v>
      </c>
    </row>
    <row r="38" spans="1:227" x14ac:dyDescent="0.25">
      <c r="A38" s="235">
        <v>30</v>
      </c>
      <c r="B38" s="273" t="s">
        <v>229</v>
      </c>
      <c r="C38" s="274" t="s">
        <v>63</v>
      </c>
      <c r="D38" s="275">
        <v>24709302</v>
      </c>
      <c r="E38" s="275">
        <f>'[1]POLY DISB 2019'!C42</f>
        <v>24709302</v>
      </c>
      <c r="F38" s="275">
        <f t="shared" si="3"/>
        <v>0</v>
      </c>
      <c r="G38" s="275"/>
      <c r="H38" s="275">
        <v>10000000</v>
      </c>
      <c r="I38" s="275">
        <f>'[1]POLY DISB 2019'!D42</f>
        <v>10000000</v>
      </c>
      <c r="J38" s="275">
        <f t="shared" si="4"/>
        <v>0</v>
      </c>
      <c r="K38" s="275"/>
      <c r="L38" s="275">
        <v>20000000</v>
      </c>
      <c r="M38" s="275">
        <f>'[1]POLY DISB 2019'!E42</f>
        <v>20000000</v>
      </c>
      <c r="N38" s="275">
        <f t="shared" si="5"/>
        <v>0</v>
      </c>
      <c r="O38" s="275"/>
      <c r="P38" s="275">
        <v>25000000</v>
      </c>
      <c r="Q38" s="275">
        <f>'[1]POLY DISB 2019'!F42</f>
        <v>25000000</v>
      </c>
      <c r="R38" s="275">
        <f t="shared" si="6"/>
        <v>0</v>
      </c>
      <c r="S38" s="275"/>
      <c r="T38" s="275">
        <v>12000000</v>
      </c>
      <c r="U38" s="275">
        <f>'[1]POLY DISB 2019'!G42</f>
        <v>12000000</v>
      </c>
      <c r="V38" s="275">
        <f t="shared" si="7"/>
        <v>0</v>
      </c>
      <c r="W38" s="275"/>
      <c r="X38" s="275">
        <v>12000000</v>
      </c>
      <c r="Y38" s="275">
        <f>'[1]POLY DISB 2019'!H42</f>
        <v>12000000</v>
      </c>
      <c r="Z38" s="275">
        <f t="shared" si="8"/>
        <v>0</v>
      </c>
      <c r="AA38" s="275"/>
      <c r="AB38" s="275">
        <v>0</v>
      </c>
      <c r="AC38" s="275">
        <f>'[1]POLY DISB 2019'!I42</f>
        <v>0</v>
      </c>
      <c r="AD38" s="275">
        <f t="shared" si="9"/>
        <v>0</v>
      </c>
      <c r="AE38" s="275"/>
      <c r="AF38" s="275">
        <f>'[1]POLY commited funds to date'!K38</f>
        <v>20000000</v>
      </c>
      <c r="AG38" s="275">
        <f>'[1]POLY DISB 2019'!J42</f>
        <v>20000000</v>
      </c>
      <c r="AH38" s="275">
        <f t="shared" si="10"/>
        <v>0</v>
      </c>
      <c r="AI38" s="275"/>
      <c r="AJ38" s="275">
        <v>10000000</v>
      </c>
      <c r="AK38" s="275">
        <f>'[1]POLY DISB 2019'!K42</f>
        <v>10000000</v>
      </c>
      <c r="AL38" s="275">
        <f t="shared" si="11"/>
        <v>0</v>
      </c>
      <c r="AM38" s="275"/>
      <c r="AN38" s="275">
        <v>20000000</v>
      </c>
      <c r="AO38" s="275">
        <f>'[1]POLY DISB 2019'!L42</f>
        <v>20000000</v>
      </c>
      <c r="AP38" s="275">
        <f t="shared" si="12"/>
        <v>0</v>
      </c>
      <c r="AQ38" s="275"/>
      <c r="AR38" s="275">
        <v>26000000</v>
      </c>
      <c r="AS38" s="275">
        <f>'[1]POLY DISB 2019'!M42</f>
        <v>26000000</v>
      </c>
      <c r="AT38" s="275">
        <f t="shared" si="13"/>
        <v>0</v>
      </c>
      <c r="AU38" s="275"/>
      <c r="AV38" s="275">
        <v>45000000</v>
      </c>
      <c r="AW38" s="275">
        <f>'[1]POLY DISB 2019'!N42</f>
        <v>45000000</v>
      </c>
      <c r="AX38" s="275">
        <f t="shared" si="14"/>
        <v>0</v>
      </c>
      <c r="AY38" s="275"/>
      <c r="AZ38" s="275">
        <v>38340000</v>
      </c>
      <c r="BA38" s="275">
        <f>'[1]POLY DISB 2019'!P42</f>
        <v>38340000</v>
      </c>
      <c r="BB38" s="275">
        <f t="shared" si="15"/>
        <v>0</v>
      </c>
      <c r="BC38" s="275"/>
      <c r="BD38" s="275">
        <v>0</v>
      </c>
      <c r="BE38" s="275">
        <f>'[1]POLY DISB 2019'!Q42</f>
        <v>0</v>
      </c>
      <c r="BF38" s="275">
        <f t="shared" si="16"/>
        <v>0</v>
      </c>
      <c r="BG38" s="275"/>
      <c r="BH38" s="275">
        <f>'[1]POLY commited funds to date'!S38</f>
        <v>126060000</v>
      </c>
      <c r="BI38" s="275">
        <f>'[1]POLY DISB 2019'!R42</f>
        <v>126060000</v>
      </c>
      <c r="BJ38" s="275">
        <f t="shared" si="17"/>
        <v>0</v>
      </c>
      <c r="BK38" s="275"/>
      <c r="BL38" s="275">
        <v>50000000</v>
      </c>
      <c r="BM38" s="275">
        <f>'[1]POLY DISB 2019'!S42</f>
        <v>50000000</v>
      </c>
      <c r="BN38" s="269">
        <f t="shared" si="18"/>
        <v>0</v>
      </c>
      <c r="BO38" s="275"/>
      <c r="BP38" s="276">
        <f>'[1]POLY commited funds to date'!U38</f>
        <v>169900000</v>
      </c>
      <c r="BQ38" s="275">
        <f>'[1]POLY DISB 2019'!T42</f>
        <v>169900000</v>
      </c>
      <c r="BR38" s="275">
        <f t="shared" si="19"/>
        <v>0</v>
      </c>
      <c r="BS38" s="275"/>
      <c r="BT38" s="275">
        <f>'[1]POLY commited funds to date'!V38</f>
        <v>10000000</v>
      </c>
      <c r="BU38" s="275">
        <f>'[1]POLY DISB 2019'!U42</f>
        <v>0</v>
      </c>
      <c r="BV38" s="275">
        <f t="shared" si="20"/>
        <v>10000000</v>
      </c>
      <c r="BW38" s="275"/>
      <c r="BX38" s="275">
        <f>'[1]POLY commited funds to date'!W38</f>
        <v>0</v>
      </c>
      <c r="BY38" s="275">
        <f>'[1]POLY DISB 2019'!V42</f>
        <v>0</v>
      </c>
      <c r="BZ38" s="275">
        <f t="shared" si="21"/>
        <v>0</v>
      </c>
      <c r="CA38" s="275"/>
      <c r="CB38" s="275">
        <f>'[1]POLY commited funds to date'!X38</f>
        <v>210000000</v>
      </c>
      <c r="CC38" s="275">
        <f>'[1]POLY DISB 2019'!W42</f>
        <v>210000000</v>
      </c>
      <c r="CD38" s="275">
        <f t="shared" si="22"/>
        <v>0</v>
      </c>
      <c r="CE38" s="275"/>
      <c r="CF38" s="275">
        <f>'[1]POLY commited funds to date'!Y38</f>
        <v>200000000</v>
      </c>
      <c r="CG38" s="275">
        <f>'[1]POLY DISB 2019'!X42</f>
        <v>200000000</v>
      </c>
      <c r="CH38" s="275">
        <f t="shared" si="23"/>
        <v>0</v>
      </c>
      <c r="CI38" s="275"/>
      <c r="CJ38" s="275">
        <f>'[1]POLY commited funds to date'!Z38</f>
        <v>30000000</v>
      </c>
      <c r="CK38" s="275">
        <f>'[1]POLY DISB 2019'!Y42</f>
        <v>30000000</v>
      </c>
      <c r="CL38" s="275">
        <f t="shared" si="24"/>
        <v>0</v>
      </c>
      <c r="CM38" s="275"/>
      <c r="CN38" s="275">
        <f>'[1]POLY commited funds to date'!AA38</f>
        <v>243000000</v>
      </c>
      <c r="CO38" s="275">
        <f>'[1]POLY DISB 2019'!Z42</f>
        <v>243000000</v>
      </c>
      <c r="CP38" s="275">
        <f t="shared" si="25"/>
        <v>0</v>
      </c>
      <c r="CQ38" s="275"/>
      <c r="CR38" s="275">
        <v>10000000</v>
      </c>
      <c r="CS38" s="275">
        <f>'[1]POLY DISB 2019'!AA42</f>
        <v>10000000</v>
      </c>
      <c r="CT38" s="275">
        <f t="shared" si="26"/>
        <v>0</v>
      </c>
      <c r="CU38" s="275"/>
      <c r="CV38" s="275">
        <f>'[1]POLY commited funds to date'!AC38</f>
        <v>371000000</v>
      </c>
      <c r="CW38" s="275">
        <f>'[1]POLY DISB 2019'!AB42</f>
        <v>315350000</v>
      </c>
      <c r="CX38" s="275">
        <f t="shared" si="27"/>
        <v>55650000</v>
      </c>
      <c r="CY38" s="275"/>
      <c r="CZ38" s="275">
        <f>'[1]POLY commited funds to date'!AD38</f>
        <v>20000000</v>
      </c>
      <c r="DA38" s="275">
        <f>'[1]POLY DISB 2019'!AC42</f>
        <v>0</v>
      </c>
      <c r="DB38" s="275">
        <f t="shared" si="28"/>
        <v>20000000</v>
      </c>
      <c r="DC38" s="275"/>
      <c r="DD38" s="275">
        <f>'[1]POLY commited funds to date'!AE38</f>
        <v>100000000</v>
      </c>
      <c r="DE38" s="275">
        <f>'[1]POLY DISB 2019'!AD42</f>
        <v>100000000</v>
      </c>
      <c r="DF38" s="275">
        <f t="shared" si="29"/>
        <v>0</v>
      </c>
      <c r="DG38" s="275"/>
      <c r="DH38" s="275">
        <f>'[1]poly  com. adj for fmis'!AE38</f>
        <v>80000000</v>
      </c>
      <c r="DI38" s="275">
        <f>'[1]POLY DISB 2019'!AE42</f>
        <v>68000000</v>
      </c>
      <c r="DJ38" s="275">
        <f t="shared" si="30"/>
        <v>12000000</v>
      </c>
      <c r="DK38" s="275"/>
      <c r="DL38" s="275">
        <f>'[1]poly  com. adj for fmis'!AF38</f>
        <v>8000000</v>
      </c>
      <c r="DM38" s="275">
        <f>'[1]POLY DISB 2019'!AF42</f>
        <v>8000000</v>
      </c>
      <c r="DN38" s="275">
        <f t="shared" si="31"/>
        <v>0</v>
      </c>
      <c r="DO38" s="275"/>
      <c r="DP38" s="275">
        <f>'[1]poly  com. adj for fmis'!AG38</f>
        <v>2000000</v>
      </c>
      <c r="DQ38" s="275">
        <f>'[1]POLY DISB 2019'!AG42</f>
        <v>0</v>
      </c>
      <c r="DR38" s="275">
        <f t="shared" si="32"/>
        <v>2000000</v>
      </c>
      <c r="DS38" s="275"/>
      <c r="DT38" s="275">
        <f>'[1]poly  com. adj for fmis'!AH38</f>
        <v>10000000</v>
      </c>
      <c r="DU38" s="275">
        <f>'[1]POLY DISB 2019'!AH42</f>
        <v>0</v>
      </c>
      <c r="DV38" s="275">
        <f t="shared" si="33"/>
        <v>10000000</v>
      </c>
      <c r="DW38" s="275"/>
      <c r="DX38" s="275">
        <f>'[1]poly  com. adj for fmis'!AI38</f>
        <v>500000000</v>
      </c>
      <c r="DY38" s="275">
        <f>'[1]POLY DISB 2019'!AI42</f>
        <v>500000000</v>
      </c>
      <c r="DZ38" s="275">
        <f t="shared" si="34"/>
        <v>0</v>
      </c>
      <c r="EA38" s="275"/>
      <c r="EB38" s="275">
        <f>'[1]POLY commited funds to date'!AK38</f>
        <v>380632000</v>
      </c>
      <c r="EC38" s="275">
        <f>'[1]POLY DISB 2019'!AJ42</f>
        <v>323537200</v>
      </c>
      <c r="ED38" s="275">
        <f t="shared" si="35"/>
        <v>57094800</v>
      </c>
      <c r="EE38" s="275"/>
      <c r="EF38" s="275">
        <f>'[1]POLY commited funds to date'!AL38</f>
        <v>8000000</v>
      </c>
      <c r="EG38" s="275">
        <f>'[1]POLY DISB 2019'!AK42</f>
        <v>8000000</v>
      </c>
      <c r="EH38" s="275">
        <f t="shared" si="36"/>
        <v>0</v>
      </c>
      <c r="EI38" s="275"/>
      <c r="EJ38" s="275">
        <f>'[1]POLY commited funds to date'!AM38</f>
        <v>10000000</v>
      </c>
      <c r="EK38" s="275">
        <f>'[1]POLY DISB 2019'!AL42</f>
        <v>0</v>
      </c>
      <c r="EL38" s="275">
        <f t="shared" si="37"/>
        <v>10000000</v>
      </c>
      <c r="EM38" s="275"/>
      <c r="EN38" s="275">
        <f>'[1]POLY commited funds to date'!AN38</f>
        <v>10000000</v>
      </c>
      <c r="EO38" s="275">
        <f>'[1]POLY DISB 2019'!AM42</f>
        <v>0</v>
      </c>
      <c r="EP38" s="275">
        <f t="shared" si="38"/>
        <v>10000000</v>
      </c>
      <c r="EQ38" s="275">
        <f>'[1]POLY commited funds to date'!AO38</f>
        <v>0</v>
      </c>
      <c r="ER38" s="275">
        <f>'[1]POLY DISB 2019'!AN42</f>
        <v>0</v>
      </c>
      <c r="ES38" s="275">
        <f t="shared" si="39"/>
        <v>0</v>
      </c>
      <c r="ET38" s="275"/>
      <c r="EU38" s="275">
        <f>'[1]POLY commited funds to date'!AP38</f>
        <v>205000000</v>
      </c>
      <c r="EV38" s="275">
        <f>'[1]POLY DISB 2019'!AO42</f>
        <v>0</v>
      </c>
      <c r="EW38" s="275">
        <f t="shared" si="40"/>
        <v>205000000</v>
      </c>
      <c r="EX38" s="275"/>
      <c r="EY38" s="275">
        <f>'[1]POLY commited funds to date'!AQ38</f>
        <v>75000000</v>
      </c>
      <c r="EZ38" s="275">
        <f>'[1]POLY DISB 2019'!AP42</f>
        <v>75000000</v>
      </c>
      <c r="FA38" s="275">
        <f t="shared" si="41"/>
        <v>0</v>
      </c>
      <c r="FB38" s="275"/>
      <c r="FC38" s="275">
        <f>'[1]POLY commited funds to date'!AR38</f>
        <v>7000000</v>
      </c>
      <c r="FD38" s="275">
        <f>'[1]POLY DISB 2019'!AQ42</f>
        <v>0</v>
      </c>
      <c r="FE38" s="275">
        <f t="shared" si="42"/>
        <v>7000000</v>
      </c>
      <c r="FF38" s="275"/>
      <c r="FG38" s="275">
        <f>'[1]POLY commited funds to date'!AS38</f>
        <v>6300000</v>
      </c>
      <c r="FH38" s="275">
        <f>'[1]POLY DISB 2019'!AR42</f>
        <v>0</v>
      </c>
      <c r="FI38" s="275">
        <f t="shared" si="43"/>
        <v>6300000</v>
      </c>
      <c r="FJ38" s="275"/>
      <c r="FK38" s="275">
        <f>'[1]POLY commited funds to date'!AT38</f>
        <v>7500000</v>
      </c>
      <c r="FL38" s="275">
        <f>'[1]POLY DISB 2019'!AS42</f>
        <v>0</v>
      </c>
      <c r="FM38" s="275">
        <f t="shared" si="44"/>
        <v>7500000</v>
      </c>
      <c r="FN38" s="275"/>
      <c r="FO38" s="275">
        <f>'[1]POLY commited funds to date'!AU38</f>
        <v>245000000</v>
      </c>
      <c r="FP38" s="275">
        <f>'[1]POLY DISB 2019'!AT42</f>
        <v>0</v>
      </c>
      <c r="FQ38" s="275">
        <f t="shared" si="45"/>
        <v>245000000</v>
      </c>
      <c r="FR38" s="275">
        <f>'[1]POLY commited funds to date'!AV38</f>
        <v>119074602</v>
      </c>
      <c r="FS38" s="275">
        <f>'[1]POLY DISB 2019'!AU42</f>
        <v>0</v>
      </c>
      <c r="FT38" s="275">
        <f t="shared" si="46"/>
        <v>119074602</v>
      </c>
      <c r="FU38" s="275"/>
      <c r="FV38" s="275">
        <f>'[1]POLY commited funds to date'!AW38</f>
        <v>13000000</v>
      </c>
      <c r="FW38" s="275">
        <f>'[1]POLY DISB 2019'!AV42</f>
        <v>0</v>
      </c>
      <c r="FX38" s="275">
        <f t="shared" si="47"/>
        <v>13000000</v>
      </c>
      <c r="FY38" s="275"/>
      <c r="FZ38" s="275">
        <f>'[1]POLY commited funds to date'!AX38</f>
        <v>8628900</v>
      </c>
      <c r="GA38" s="275">
        <f>'[1]POLY DISB 2019'!AW42</f>
        <v>0</v>
      </c>
      <c r="GB38" s="275">
        <f t="shared" si="48"/>
        <v>8628900</v>
      </c>
      <c r="GC38" s="275">
        <f>'[1]POLY commited funds to date'!AY38</f>
        <v>5000000</v>
      </c>
      <c r="GD38" s="275">
        <f>'[1]POLY DISB 2019'!AX42</f>
        <v>0</v>
      </c>
      <c r="GE38" s="275">
        <f t="shared" si="49"/>
        <v>5000000</v>
      </c>
      <c r="GF38" s="275"/>
      <c r="GG38" s="275">
        <f>'[1]POLY commited funds to date'!AZ38</f>
        <v>0</v>
      </c>
      <c r="GH38" s="275">
        <f>'[1]POLY DISB 2019'!AY42</f>
        <v>0</v>
      </c>
      <c r="GI38" s="275">
        <f t="shared" si="50"/>
        <v>0</v>
      </c>
      <c r="GJ38" s="275"/>
      <c r="GK38" s="275">
        <f t="shared" si="51"/>
        <v>3503144804</v>
      </c>
      <c r="GL38" s="275">
        <f t="shared" si="51"/>
        <v>2699896502</v>
      </c>
      <c r="GM38" s="275">
        <f t="shared" si="52"/>
        <v>803248302</v>
      </c>
      <c r="GN38" s="265"/>
      <c r="GO38" s="277">
        <f t="shared" si="53"/>
        <v>2283641302</v>
      </c>
      <c r="GP38" s="277">
        <f t="shared" si="53"/>
        <v>1708896502</v>
      </c>
      <c r="GQ38" s="277">
        <f t="shared" si="54"/>
        <v>574744800</v>
      </c>
      <c r="GR38" s="277">
        <f t="shared" si="0"/>
        <v>10000000</v>
      </c>
      <c r="GS38" s="277">
        <f t="shared" si="0"/>
        <v>10000000</v>
      </c>
      <c r="GT38" s="277">
        <f t="shared" si="55"/>
        <v>0</v>
      </c>
      <c r="GU38" s="277"/>
      <c r="GV38" s="265"/>
      <c r="GW38" s="279">
        <f t="shared" si="68"/>
        <v>880000000</v>
      </c>
      <c r="GX38" s="279">
        <f t="shared" si="68"/>
        <v>880000000</v>
      </c>
      <c r="GY38" s="280">
        <f t="shared" si="57"/>
        <v>0</v>
      </c>
      <c r="GZ38" s="280"/>
      <c r="HA38" s="277">
        <f t="shared" si="58"/>
        <v>74928900</v>
      </c>
      <c r="HB38" s="277">
        <f t="shared" si="58"/>
        <v>10000000</v>
      </c>
      <c r="HC38" s="277">
        <f t="shared" si="59"/>
        <v>64928900</v>
      </c>
      <c r="HE38" s="277">
        <f t="shared" si="60"/>
        <v>36000000</v>
      </c>
      <c r="HF38" s="277">
        <f t="shared" si="60"/>
        <v>16000000</v>
      </c>
      <c r="HG38" s="277">
        <f t="shared" si="61"/>
        <v>20000000</v>
      </c>
      <c r="HI38" s="279">
        <f t="shared" si="62"/>
        <v>194074602</v>
      </c>
      <c r="HJ38" s="279">
        <f t="shared" si="62"/>
        <v>75000000</v>
      </c>
      <c r="HK38" s="279">
        <f t="shared" si="63"/>
        <v>119074602</v>
      </c>
      <c r="HM38" s="279">
        <f t="shared" si="64"/>
        <v>2000000</v>
      </c>
      <c r="HN38" s="279">
        <f t="shared" si="1"/>
        <v>0</v>
      </c>
      <c r="HO38" s="279">
        <f t="shared" si="65"/>
        <v>2000000</v>
      </c>
      <c r="HQ38" s="279">
        <f t="shared" si="66"/>
        <v>22500000</v>
      </c>
      <c r="HR38" s="279">
        <f t="shared" si="2"/>
        <v>0</v>
      </c>
      <c r="HS38" s="279">
        <f t="shared" si="67"/>
        <v>22500000</v>
      </c>
    </row>
    <row r="39" spans="1:227" x14ac:dyDescent="0.25">
      <c r="A39" s="235">
        <v>31</v>
      </c>
      <c r="B39" s="273" t="s">
        <v>230</v>
      </c>
      <c r="C39" s="274" t="s">
        <v>61</v>
      </c>
      <c r="D39" s="275">
        <v>24709302</v>
      </c>
      <c r="E39" s="275">
        <f>'[1]POLY DISB 2019'!C43</f>
        <v>24709302</v>
      </c>
      <c r="F39" s="275">
        <f t="shared" si="3"/>
        <v>0</v>
      </c>
      <c r="G39" s="275"/>
      <c r="H39" s="275">
        <v>10000000</v>
      </c>
      <c r="I39" s="275">
        <f>'[1]POLY DISB 2019'!D43</f>
        <v>10000000</v>
      </c>
      <c r="J39" s="275">
        <f t="shared" si="4"/>
        <v>0</v>
      </c>
      <c r="K39" s="275"/>
      <c r="L39" s="275">
        <v>20000000</v>
      </c>
      <c r="M39" s="275">
        <f>'[1]POLY DISB 2019'!E43</f>
        <v>20000000</v>
      </c>
      <c r="N39" s="275">
        <f t="shared" si="5"/>
        <v>0</v>
      </c>
      <c r="O39" s="275"/>
      <c r="P39" s="275">
        <v>25000000</v>
      </c>
      <c r="Q39" s="275">
        <f>'[1]POLY DISB 2019'!F43</f>
        <v>25000000</v>
      </c>
      <c r="R39" s="275">
        <f t="shared" si="6"/>
        <v>0</v>
      </c>
      <c r="S39" s="275"/>
      <c r="T39" s="275">
        <v>12000000</v>
      </c>
      <c r="U39" s="275">
        <f>'[1]POLY DISB 2019'!G43</f>
        <v>12000000</v>
      </c>
      <c r="V39" s="275">
        <f t="shared" si="7"/>
        <v>0</v>
      </c>
      <c r="W39" s="275"/>
      <c r="X39" s="275">
        <v>12000000</v>
      </c>
      <c r="Y39" s="275">
        <f>'[1]POLY DISB 2019'!H43</f>
        <v>12000000</v>
      </c>
      <c r="Z39" s="275">
        <f t="shared" si="8"/>
        <v>0</v>
      </c>
      <c r="AA39" s="275"/>
      <c r="AB39" s="275">
        <v>0</v>
      </c>
      <c r="AC39" s="275">
        <f>'[1]POLY DISB 2019'!I43</f>
        <v>0</v>
      </c>
      <c r="AD39" s="275">
        <f t="shared" si="9"/>
        <v>0</v>
      </c>
      <c r="AE39" s="275"/>
      <c r="AF39" s="275">
        <f>'[1]POLY commited funds to date'!K39</f>
        <v>20000000</v>
      </c>
      <c r="AG39" s="275">
        <f>'[1]POLY DISB 2019'!J43</f>
        <v>20000000</v>
      </c>
      <c r="AH39" s="275">
        <f t="shared" si="10"/>
        <v>0</v>
      </c>
      <c r="AI39" s="275"/>
      <c r="AJ39" s="275">
        <v>10000000</v>
      </c>
      <c r="AK39" s="275">
        <f>'[1]POLY DISB 2019'!K43</f>
        <v>10000000</v>
      </c>
      <c r="AL39" s="275">
        <f t="shared" si="11"/>
        <v>0</v>
      </c>
      <c r="AM39" s="275"/>
      <c r="AN39" s="275">
        <v>20000000</v>
      </c>
      <c r="AO39" s="275">
        <f>'[1]POLY DISB 2019'!L43</f>
        <v>20000000</v>
      </c>
      <c r="AP39" s="275">
        <f t="shared" si="12"/>
        <v>0</v>
      </c>
      <c r="AQ39" s="275"/>
      <c r="AR39" s="275">
        <v>26000000</v>
      </c>
      <c r="AS39" s="275">
        <f>'[1]POLY DISB 2019'!M43</f>
        <v>26000000</v>
      </c>
      <c r="AT39" s="275">
        <f t="shared" si="13"/>
        <v>0</v>
      </c>
      <c r="AU39" s="275"/>
      <c r="AV39" s="275">
        <v>45000000</v>
      </c>
      <c r="AW39" s="275">
        <f>'[1]POLY DISB 2019'!N43</f>
        <v>45000000</v>
      </c>
      <c r="AX39" s="275">
        <f t="shared" si="14"/>
        <v>0</v>
      </c>
      <c r="AY39" s="275"/>
      <c r="AZ39" s="275">
        <v>38340000</v>
      </c>
      <c r="BA39" s="275">
        <f>'[1]POLY DISB 2019'!P43</f>
        <v>38340000</v>
      </c>
      <c r="BB39" s="275">
        <f t="shared" si="15"/>
        <v>0</v>
      </c>
      <c r="BC39" s="275"/>
      <c r="BD39" s="275">
        <v>0</v>
      </c>
      <c r="BE39" s="275">
        <f>'[1]POLY DISB 2019'!Q43</f>
        <v>0</v>
      </c>
      <c r="BF39" s="275">
        <f t="shared" si="16"/>
        <v>0</v>
      </c>
      <c r="BG39" s="275"/>
      <c r="BH39" s="275">
        <v>107151000</v>
      </c>
      <c r="BI39" s="275">
        <f>'[1]POLY DISB 2019'!R43</f>
        <v>107151000</v>
      </c>
      <c r="BJ39" s="275">
        <f t="shared" si="17"/>
        <v>0</v>
      </c>
      <c r="BK39" s="275"/>
      <c r="BL39" s="269">
        <v>244500000</v>
      </c>
      <c r="BM39" s="269">
        <f>'[1]POLY DISB 2019'!S43</f>
        <v>267000000</v>
      </c>
      <c r="BN39" s="269">
        <f t="shared" si="18"/>
        <v>-22500000</v>
      </c>
      <c r="BO39" s="269"/>
      <c r="BP39" s="276">
        <f>'[1]POLY commited funds to date'!U39</f>
        <v>169900000</v>
      </c>
      <c r="BQ39" s="275">
        <f>'[1]POLY DISB 2019'!T43</f>
        <v>169900000</v>
      </c>
      <c r="BR39" s="275">
        <f t="shared" si="19"/>
        <v>0</v>
      </c>
      <c r="BS39" s="275"/>
      <c r="BT39" s="275">
        <f>'[1]POLY commited funds to date'!V39</f>
        <v>10000000</v>
      </c>
      <c r="BU39" s="275">
        <f>'[1]POLY DISB 2019'!U43</f>
        <v>10000000</v>
      </c>
      <c r="BV39" s="275">
        <f t="shared" si="20"/>
        <v>0</v>
      </c>
      <c r="BW39" s="275"/>
      <c r="BX39" s="275">
        <f>'[1]POLY commited funds to date'!W39</f>
        <v>0</v>
      </c>
      <c r="BY39" s="275">
        <f>'[1]POLY DISB 2019'!V43</f>
        <v>0</v>
      </c>
      <c r="BZ39" s="275">
        <f t="shared" si="21"/>
        <v>0</v>
      </c>
      <c r="CA39" s="275"/>
      <c r="CB39" s="275">
        <f>'[1]POLY commited funds to date'!X39</f>
        <v>210000000</v>
      </c>
      <c r="CC39" s="275">
        <f>'[1]POLY DISB 2019'!W43</f>
        <v>210000000</v>
      </c>
      <c r="CD39" s="275">
        <f t="shared" si="22"/>
        <v>0</v>
      </c>
      <c r="CE39" s="275"/>
      <c r="CF39" s="275">
        <f>'[1]POLY commited funds to date'!Y39</f>
        <v>0</v>
      </c>
      <c r="CG39" s="275">
        <f>'[1]POLY DISB 2019'!X43</f>
        <v>0</v>
      </c>
      <c r="CH39" s="275">
        <f t="shared" si="23"/>
        <v>0</v>
      </c>
      <c r="CI39" s="275"/>
      <c r="CJ39" s="275">
        <f>'[1]POLY commited funds to date'!Z39</f>
        <v>300000000</v>
      </c>
      <c r="CK39" s="275">
        <f>'[1]POLY DISB 2019'!Y43</f>
        <v>255000000</v>
      </c>
      <c r="CL39" s="275">
        <f t="shared" si="24"/>
        <v>45000000</v>
      </c>
      <c r="CM39" s="275"/>
      <c r="CN39" s="275">
        <f>'[1]POLY commited funds to date'!AA39</f>
        <v>243000000</v>
      </c>
      <c r="CO39" s="275">
        <f>'[1]POLY DISB 2019'!Z43</f>
        <v>243000000</v>
      </c>
      <c r="CP39" s="275">
        <f t="shared" si="25"/>
        <v>0</v>
      </c>
      <c r="CQ39" s="275"/>
      <c r="CR39" s="275">
        <v>10000000</v>
      </c>
      <c r="CS39" s="275">
        <f>'[1]POLY DISB 2019'!AA43</f>
        <v>10000000</v>
      </c>
      <c r="CT39" s="275">
        <f t="shared" si="26"/>
        <v>0</v>
      </c>
      <c r="CU39" s="275"/>
      <c r="CV39" s="275">
        <f>'[1]POLY commited funds to date'!AC39</f>
        <v>371000000</v>
      </c>
      <c r="CW39" s="275">
        <f>'[1]POLY DISB 2019'!AB43</f>
        <v>315350000</v>
      </c>
      <c r="CX39" s="275">
        <f t="shared" si="27"/>
        <v>55650000</v>
      </c>
      <c r="CY39" s="275"/>
      <c r="CZ39" s="275">
        <f>'[1]POLY commited funds to date'!AD39</f>
        <v>20000000</v>
      </c>
      <c r="DA39" s="275">
        <f>'[1]POLY DISB 2019'!AC43</f>
        <v>20000000</v>
      </c>
      <c r="DB39" s="275">
        <f t="shared" si="28"/>
        <v>0</v>
      </c>
      <c r="DC39" s="275"/>
      <c r="DD39" s="275">
        <f>'[1]POLY commited funds to date'!AE39</f>
        <v>100000000</v>
      </c>
      <c r="DE39" s="275">
        <f>'[1]POLY DISB 2019'!AD43</f>
        <v>100000000</v>
      </c>
      <c r="DF39" s="275">
        <f t="shared" si="29"/>
        <v>0</v>
      </c>
      <c r="DG39" s="275"/>
      <c r="DH39" s="275">
        <f>'[1]poly  com. adj for fmis'!AE39</f>
        <v>80000000</v>
      </c>
      <c r="DI39" s="275">
        <f>'[1]POLY DISB 2019'!AE43</f>
        <v>68000000</v>
      </c>
      <c r="DJ39" s="275">
        <f t="shared" si="30"/>
        <v>12000000</v>
      </c>
      <c r="DK39" s="275"/>
      <c r="DL39" s="275">
        <f>'[1]poly  com. adj for fmis'!AF39</f>
        <v>8000000</v>
      </c>
      <c r="DM39" s="275">
        <f>'[1]POLY DISB 2019'!AF43</f>
        <v>0</v>
      </c>
      <c r="DN39" s="275">
        <f t="shared" si="31"/>
        <v>8000000</v>
      </c>
      <c r="DO39" s="275"/>
      <c r="DP39" s="275">
        <f>'[1]poly  com. adj for fmis'!AG39</f>
        <v>2000000</v>
      </c>
      <c r="DQ39" s="275">
        <f>'[1]POLY DISB 2019'!AG43</f>
        <v>0</v>
      </c>
      <c r="DR39" s="275">
        <f t="shared" si="32"/>
        <v>2000000</v>
      </c>
      <c r="DS39" s="275"/>
      <c r="DT39" s="275">
        <f>'[1]poly  com. adj for fmis'!AH39</f>
        <v>10000000</v>
      </c>
      <c r="DU39" s="275">
        <f>'[1]POLY DISB 2019'!AH43</f>
        <v>10000000</v>
      </c>
      <c r="DV39" s="275">
        <f t="shared" si="33"/>
        <v>0</v>
      </c>
      <c r="DW39" s="275"/>
      <c r="DX39" s="275">
        <f>'[1]poly  com. adj for fmis'!AI39</f>
        <v>1400000000</v>
      </c>
      <c r="DY39" s="275">
        <f>'[1]POLY DISB 2019'!AI43</f>
        <v>1400000000</v>
      </c>
      <c r="DZ39" s="275">
        <f t="shared" si="34"/>
        <v>0</v>
      </c>
      <c r="EA39" s="275"/>
      <c r="EB39" s="275">
        <f>'[1]POLY commited funds to date'!AK39</f>
        <v>380632000</v>
      </c>
      <c r="EC39" s="275">
        <f>'[1]POLY DISB 2019'!AJ43</f>
        <v>0</v>
      </c>
      <c r="ED39" s="275">
        <f t="shared" si="35"/>
        <v>380632000</v>
      </c>
      <c r="EE39" s="275"/>
      <c r="EF39" s="275">
        <f>'[1]POLY commited funds to date'!AL39</f>
        <v>8000000</v>
      </c>
      <c r="EG39" s="275">
        <f>'[1]POLY DISB 2019'!AK43</f>
        <v>0</v>
      </c>
      <c r="EH39" s="275">
        <f t="shared" si="36"/>
        <v>8000000</v>
      </c>
      <c r="EI39" s="275"/>
      <c r="EJ39" s="275">
        <f>'[1]POLY commited funds to date'!AM39</f>
        <v>10000000</v>
      </c>
      <c r="EK39" s="275">
        <f>'[1]POLY DISB 2019'!AL43</f>
        <v>0</v>
      </c>
      <c r="EL39" s="275">
        <f t="shared" si="37"/>
        <v>10000000</v>
      </c>
      <c r="EM39" s="275"/>
      <c r="EN39" s="275">
        <f>'[1]POLY commited funds to date'!AN39</f>
        <v>10000000</v>
      </c>
      <c r="EO39" s="275">
        <f>'[1]POLY DISB 2019'!AM43</f>
        <v>0</v>
      </c>
      <c r="EP39" s="275">
        <f t="shared" si="38"/>
        <v>10000000</v>
      </c>
      <c r="EQ39" s="275">
        <f>'[1]POLY commited funds to date'!AO39</f>
        <v>0</v>
      </c>
      <c r="ER39" s="275">
        <f>'[1]POLY DISB 2019'!AN43</f>
        <v>0</v>
      </c>
      <c r="ES39" s="275">
        <f t="shared" si="39"/>
        <v>0</v>
      </c>
      <c r="ET39" s="275"/>
      <c r="EU39" s="275">
        <f>'[1]POLY commited funds to date'!AP39</f>
        <v>205000000</v>
      </c>
      <c r="EV39" s="275">
        <f>'[1]POLY DISB 2019'!AO43</f>
        <v>0</v>
      </c>
      <c r="EW39" s="275">
        <f t="shared" si="40"/>
        <v>205000000</v>
      </c>
      <c r="EX39" s="275"/>
      <c r="EY39" s="275">
        <f>'[1]POLY commited funds to date'!AQ39</f>
        <v>75000000</v>
      </c>
      <c r="EZ39" s="275">
        <f>'[1]POLY DISB 2019'!AP43</f>
        <v>51000000</v>
      </c>
      <c r="FA39" s="275">
        <f t="shared" si="41"/>
        <v>24000000</v>
      </c>
      <c r="FB39" s="275"/>
      <c r="FC39" s="275">
        <f>'[1]POLY commited funds to date'!AR39</f>
        <v>7000000</v>
      </c>
      <c r="FD39" s="275">
        <f>'[1]POLY DISB 2019'!AQ43</f>
        <v>0</v>
      </c>
      <c r="FE39" s="275">
        <f t="shared" si="42"/>
        <v>7000000</v>
      </c>
      <c r="FF39" s="275"/>
      <c r="FG39" s="275">
        <f>'[1]POLY commited funds to date'!AS39</f>
        <v>6300000</v>
      </c>
      <c r="FH39" s="275">
        <f>'[1]POLY DISB 2019'!AR43</f>
        <v>0</v>
      </c>
      <c r="FI39" s="275">
        <f t="shared" si="43"/>
        <v>6300000</v>
      </c>
      <c r="FJ39" s="275"/>
      <c r="FK39" s="275">
        <f>'[1]POLY commited funds to date'!AT39</f>
        <v>7500000</v>
      </c>
      <c r="FL39" s="275">
        <f>'[1]POLY DISB 2019'!AS43</f>
        <v>0</v>
      </c>
      <c r="FM39" s="275">
        <f t="shared" si="44"/>
        <v>7500000</v>
      </c>
      <c r="FN39" s="275"/>
      <c r="FO39" s="275">
        <f>'[1]POLY commited funds to date'!AU39</f>
        <v>245000000</v>
      </c>
      <c r="FP39" s="275">
        <f>'[1]POLY DISB 2019'!AT43</f>
        <v>0</v>
      </c>
      <c r="FQ39" s="275">
        <f t="shared" si="45"/>
        <v>245000000</v>
      </c>
      <c r="FR39" s="275">
        <f>'[1]POLY commited funds to date'!AV39</f>
        <v>119074602</v>
      </c>
      <c r="FS39" s="275">
        <f>'[1]POLY DISB 2019'!AU43</f>
        <v>0</v>
      </c>
      <c r="FT39" s="275">
        <f t="shared" si="46"/>
        <v>119074602</v>
      </c>
      <c r="FU39" s="275"/>
      <c r="FV39" s="275">
        <f>'[1]POLY commited funds to date'!AW39</f>
        <v>13000000</v>
      </c>
      <c r="FW39" s="275">
        <f>'[1]POLY DISB 2019'!AV43</f>
        <v>0</v>
      </c>
      <c r="FX39" s="275">
        <f t="shared" si="47"/>
        <v>13000000</v>
      </c>
      <c r="FY39" s="275"/>
      <c r="FZ39" s="275">
        <f>'[1]POLY commited funds to date'!AX39</f>
        <v>8628900</v>
      </c>
      <c r="GA39" s="275">
        <f>'[1]POLY DISB 2019'!AW43</f>
        <v>0</v>
      </c>
      <c r="GB39" s="275">
        <f t="shared" si="48"/>
        <v>8628900</v>
      </c>
      <c r="GC39" s="275">
        <f>'[1]POLY commited funds to date'!AY39</f>
        <v>5000000</v>
      </c>
      <c r="GD39" s="275">
        <f>'[1]POLY DISB 2019'!AX43</f>
        <v>0</v>
      </c>
      <c r="GE39" s="275">
        <f t="shared" si="49"/>
        <v>5000000</v>
      </c>
      <c r="GF39" s="275"/>
      <c r="GG39" s="275">
        <f>'[1]POLY commited funds to date'!AZ39</f>
        <v>0</v>
      </c>
      <c r="GH39" s="275">
        <f>'[1]POLY DISB 2019'!AY43</f>
        <v>0</v>
      </c>
      <c r="GI39" s="275">
        <f t="shared" si="50"/>
        <v>0</v>
      </c>
      <c r="GJ39" s="275"/>
      <c r="GK39" s="275">
        <f t="shared" si="51"/>
        <v>4648735804</v>
      </c>
      <c r="GL39" s="275">
        <f t="shared" si="51"/>
        <v>3499450302</v>
      </c>
      <c r="GM39" s="275">
        <f t="shared" si="52"/>
        <v>1149285502</v>
      </c>
      <c r="GN39" s="265"/>
      <c r="GO39" s="277">
        <f t="shared" si="53"/>
        <v>2264732302</v>
      </c>
      <c r="GP39" s="277">
        <f t="shared" si="53"/>
        <v>1366450302</v>
      </c>
      <c r="GQ39" s="277">
        <f t="shared" si="54"/>
        <v>898282000</v>
      </c>
      <c r="GR39" s="277">
        <f t="shared" si="0"/>
        <v>10000000</v>
      </c>
      <c r="GS39" s="277">
        <f t="shared" si="0"/>
        <v>10000000</v>
      </c>
      <c r="GT39" s="277">
        <f t="shared" si="55"/>
        <v>0</v>
      </c>
      <c r="GU39" s="277"/>
      <c r="GV39" s="265"/>
      <c r="GW39" s="279">
        <f t="shared" si="68"/>
        <v>2044500000</v>
      </c>
      <c r="GX39" s="279">
        <f t="shared" si="68"/>
        <v>2022000000</v>
      </c>
      <c r="GY39" s="280">
        <f t="shared" si="57"/>
        <v>22500000</v>
      </c>
      <c r="GZ39" s="280"/>
      <c r="HA39" s="277">
        <f t="shared" si="58"/>
        <v>74928900</v>
      </c>
      <c r="HB39" s="277">
        <f t="shared" si="58"/>
        <v>50000000</v>
      </c>
      <c r="HC39" s="277">
        <f t="shared" si="59"/>
        <v>24928900</v>
      </c>
      <c r="HE39" s="277">
        <f t="shared" si="60"/>
        <v>36000000</v>
      </c>
      <c r="HF39" s="277">
        <f t="shared" si="60"/>
        <v>0</v>
      </c>
      <c r="HG39" s="277">
        <f t="shared" si="61"/>
        <v>36000000</v>
      </c>
      <c r="HI39" s="279">
        <f t="shared" si="62"/>
        <v>194074602</v>
      </c>
      <c r="HJ39" s="279">
        <f t="shared" si="62"/>
        <v>51000000</v>
      </c>
      <c r="HK39" s="279">
        <f t="shared" si="63"/>
        <v>143074602</v>
      </c>
      <c r="HM39" s="279">
        <f t="shared" si="64"/>
        <v>2000000</v>
      </c>
      <c r="HN39" s="279">
        <f t="shared" si="1"/>
        <v>0</v>
      </c>
      <c r="HO39" s="279">
        <f t="shared" si="65"/>
        <v>2000000</v>
      </c>
      <c r="HQ39" s="279">
        <f t="shared" si="66"/>
        <v>22500000</v>
      </c>
      <c r="HR39" s="279">
        <f t="shared" si="2"/>
        <v>0</v>
      </c>
      <c r="HS39" s="279">
        <f t="shared" si="67"/>
        <v>22500000</v>
      </c>
    </row>
    <row r="40" spans="1:227" x14ac:dyDescent="0.25">
      <c r="A40" s="235">
        <v>32</v>
      </c>
      <c r="B40" s="273" t="s">
        <v>231</v>
      </c>
      <c r="C40" s="274" t="s">
        <v>61</v>
      </c>
      <c r="D40" s="275">
        <v>24709302</v>
      </c>
      <c r="E40" s="275">
        <f>'[1]POLY DISB 2019'!C44</f>
        <v>24709302</v>
      </c>
      <c r="F40" s="275">
        <f t="shared" si="3"/>
        <v>0</v>
      </c>
      <c r="G40" s="275"/>
      <c r="H40" s="275">
        <v>10000000</v>
      </c>
      <c r="I40" s="275">
        <f>'[1]POLY DISB 2019'!D44</f>
        <v>10000000</v>
      </c>
      <c r="J40" s="275">
        <f t="shared" si="4"/>
        <v>0</v>
      </c>
      <c r="K40" s="275"/>
      <c r="L40" s="275">
        <v>20000000</v>
      </c>
      <c r="M40" s="275">
        <f>'[1]POLY DISB 2019'!E44</f>
        <v>20000000</v>
      </c>
      <c r="N40" s="275">
        <f t="shared" si="5"/>
        <v>0</v>
      </c>
      <c r="O40" s="275"/>
      <c r="P40" s="275">
        <v>25000000</v>
      </c>
      <c r="Q40" s="275">
        <f>'[1]POLY DISB 2019'!F44</f>
        <v>25000000</v>
      </c>
      <c r="R40" s="275">
        <f t="shared" si="6"/>
        <v>0</v>
      </c>
      <c r="S40" s="275"/>
      <c r="T40" s="275">
        <v>12000000</v>
      </c>
      <c r="U40" s="275">
        <f>'[1]POLY DISB 2019'!G44</f>
        <v>12000000</v>
      </c>
      <c r="V40" s="275">
        <f t="shared" si="7"/>
        <v>0</v>
      </c>
      <c r="W40" s="275"/>
      <c r="X40" s="275">
        <v>12000000</v>
      </c>
      <c r="Y40" s="275">
        <f>'[1]POLY DISB 2019'!H44</f>
        <v>12000000</v>
      </c>
      <c r="Z40" s="275">
        <f t="shared" si="8"/>
        <v>0</v>
      </c>
      <c r="AA40" s="275"/>
      <c r="AB40" s="275">
        <v>0</v>
      </c>
      <c r="AC40" s="275">
        <f>'[1]POLY DISB 2019'!I44</f>
        <v>0</v>
      </c>
      <c r="AD40" s="275">
        <f t="shared" si="9"/>
        <v>0</v>
      </c>
      <c r="AE40" s="275"/>
      <c r="AF40" s="275">
        <f>'[1]POLY commited funds to date'!K40</f>
        <v>20000000</v>
      </c>
      <c r="AG40" s="275">
        <f>'[1]POLY DISB 2019'!J44</f>
        <v>20000000</v>
      </c>
      <c r="AH40" s="275">
        <f t="shared" si="10"/>
        <v>0</v>
      </c>
      <c r="AI40" s="275"/>
      <c r="AJ40" s="275">
        <v>10000000</v>
      </c>
      <c r="AK40" s="275">
        <f>'[1]POLY DISB 2019'!K44</f>
        <v>10000000</v>
      </c>
      <c r="AL40" s="275">
        <f t="shared" si="11"/>
        <v>0</v>
      </c>
      <c r="AM40" s="275"/>
      <c r="AN40" s="275">
        <v>20000000</v>
      </c>
      <c r="AO40" s="275">
        <f>'[1]POLY DISB 2019'!L44</f>
        <v>20000000</v>
      </c>
      <c r="AP40" s="275">
        <f t="shared" si="12"/>
        <v>0</v>
      </c>
      <c r="AQ40" s="275"/>
      <c r="AR40" s="275">
        <v>26000000</v>
      </c>
      <c r="AS40" s="275">
        <f>'[1]POLY DISB 2019'!M44</f>
        <v>26000000</v>
      </c>
      <c r="AT40" s="275">
        <f t="shared" si="13"/>
        <v>0</v>
      </c>
      <c r="AU40" s="275"/>
      <c r="AV40" s="275">
        <v>45000000</v>
      </c>
      <c r="AW40" s="275">
        <f>'[1]POLY DISB 2019'!N44</f>
        <v>45000000</v>
      </c>
      <c r="AX40" s="275">
        <f t="shared" si="14"/>
        <v>0</v>
      </c>
      <c r="AY40" s="275"/>
      <c r="AZ40" s="275">
        <v>38340000</v>
      </c>
      <c r="BA40" s="275">
        <f>'[1]POLY DISB 2019'!P44</f>
        <v>38340000</v>
      </c>
      <c r="BB40" s="275">
        <f t="shared" si="15"/>
        <v>0</v>
      </c>
      <c r="BC40" s="275"/>
      <c r="BD40" s="275">
        <v>0</v>
      </c>
      <c r="BE40" s="275">
        <f>'[1]POLY DISB 2019'!Q44</f>
        <v>0</v>
      </c>
      <c r="BF40" s="275">
        <f t="shared" si="16"/>
        <v>0</v>
      </c>
      <c r="BG40" s="275"/>
      <c r="BH40" s="275">
        <f>'[1]POLY commited funds to date'!S40</f>
        <v>126060000</v>
      </c>
      <c r="BI40" s="275">
        <f>'[1]POLY DISB 2019'!R44</f>
        <v>126060000</v>
      </c>
      <c r="BJ40" s="275">
        <f t="shared" si="17"/>
        <v>0</v>
      </c>
      <c r="BK40" s="275"/>
      <c r="BL40" s="275">
        <f>'[1]poly  com. adj for fmis'!S40</f>
        <v>175000000</v>
      </c>
      <c r="BM40" s="275">
        <f>'[1]POLY DISB 2019'!S44</f>
        <v>175000000</v>
      </c>
      <c r="BN40" s="269">
        <f t="shared" si="18"/>
        <v>0</v>
      </c>
      <c r="BO40" s="275"/>
      <c r="BP40" s="276">
        <f>'[1]POLY commited funds to date'!U40</f>
        <v>169900000</v>
      </c>
      <c r="BQ40" s="275">
        <f>'[1]POLY DISB 2019'!T44</f>
        <v>169900000</v>
      </c>
      <c r="BR40" s="275">
        <f t="shared" si="19"/>
        <v>0</v>
      </c>
      <c r="BS40" s="275"/>
      <c r="BT40" s="275">
        <f>'[1]POLY commited funds to date'!V40</f>
        <v>10000000</v>
      </c>
      <c r="BU40" s="275">
        <f>'[1]POLY DISB 2019'!U44</f>
        <v>0</v>
      </c>
      <c r="BV40" s="275">
        <f t="shared" si="20"/>
        <v>10000000</v>
      </c>
      <c r="BW40" s="275"/>
      <c r="BX40" s="275">
        <f>'[1]POLY commited funds to date'!W40</f>
        <v>0</v>
      </c>
      <c r="BY40" s="275">
        <f>'[1]POLY DISB 2019'!V44</f>
        <v>0</v>
      </c>
      <c r="BZ40" s="275">
        <f t="shared" si="21"/>
        <v>0</v>
      </c>
      <c r="CA40" s="275"/>
      <c r="CB40" s="275">
        <f>'[1]POLY commited funds to date'!X40</f>
        <v>210000000</v>
      </c>
      <c r="CC40" s="275">
        <f>'[1]POLY DISB 2019'!W44</f>
        <v>210000000</v>
      </c>
      <c r="CD40" s="275">
        <f t="shared" si="22"/>
        <v>0</v>
      </c>
      <c r="CE40" s="275"/>
      <c r="CF40" s="275">
        <f>'[1]POLY commited funds to date'!Y40</f>
        <v>0</v>
      </c>
      <c r="CG40" s="275">
        <f>'[1]POLY DISB 2019'!X44</f>
        <v>0</v>
      </c>
      <c r="CH40" s="275">
        <f t="shared" si="23"/>
        <v>0</v>
      </c>
      <c r="CI40" s="275"/>
      <c r="CJ40" s="275">
        <f>'[1]POLY commited funds to date'!Z40</f>
        <v>0</v>
      </c>
      <c r="CK40" s="275">
        <f>'[1]POLY DISB 2019'!Y44</f>
        <v>0</v>
      </c>
      <c r="CL40" s="275">
        <f t="shared" si="24"/>
        <v>0</v>
      </c>
      <c r="CM40" s="275"/>
      <c r="CN40" s="275">
        <f>'[1]POLY commited funds to date'!AA40</f>
        <v>243000000</v>
      </c>
      <c r="CO40" s="275">
        <f>'[1]POLY DISB 2019'!Z44</f>
        <v>243000000</v>
      </c>
      <c r="CP40" s="275">
        <f t="shared" si="25"/>
        <v>0</v>
      </c>
      <c r="CQ40" s="275"/>
      <c r="CR40" s="275">
        <v>10000000</v>
      </c>
      <c r="CS40" s="275">
        <f>'[1]POLY DISB 2019'!AA44</f>
        <v>0</v>
      </c>
      <c r="CT40" s="275">
        <f t="shared" si="26"/>
        <v>10000000</v>
      </c>
      <c r="CU40" s="275"/>
      <c r="CV40" s="275">
        <f>'[1]POLY commited funds to date'!AC40</f>
        <v>371000000</v>
      </c>
      <c r="CW40" s="275">
        <f>'[1]POLY DISB 2019'!AB44</f>
        <v>315350000</v>
      </c>
      <c r="CX40" s="275">
        <f t="shared" si="27"/>
        <v>55650000</v>
      </c>
      <c r="CY40" s="275"/>
      <c r="CZ40" s="275">
        <f>'[1]POLY commited funds to date'!AD40</f>
        <v>20000000</v>
      </c>
      <c r="DA40" s="275">
        <f>'[1]POLY DISB 2019'!AC44</f>
        <v>0</v>
      </c>
      <c r="DB40" s="275">
        <f t="shared" si="28"/>
        <v>20000000</v>
      </c>
      <c r="DC40" s="275"/>
      <c r="DD40" s="275">
        <f>'[1]POLY commited funds to date'!AE40</f>
        <v>200000000</v>
      </c>
      <c r="DE40" s="275">
        <f>'[1]POLY DISB 2019'!AD44</f>
        <v>200000000</v>
      </c>
      <c r="DF40" s="275">
        <f t="shared" si="29"/>
        <v>0</v>
      </c>
      <c r="DG40" s="275"/>
      <c r="DH40" s="275">
        <f>'[1]poly  com. adj for fmis'!AE40</f>
        <v>80000000</v>
      </c>
      <c r="DI40" s="275">
        <f>'[1]POLY DISB 2019'!AE44</f>
        <v>68000000</v>
      </c>
      <c r="DJ40" s="275">
        <f t="shared" si="30"/>
        <v>12000000</v>
      </c>
      <c r="DK40" s="275"/>
      <c r="DL40" s="275">
        <f>'[1]poly  com. adj for fmis'!AF40</f>
        <v>8000000</v>
      </c>
      <c r="DM40" s="275">
        <f>'[1]POLY DISB 2019'!AF44</f>
        <v>4400000</v>
      </c>
      <c r="DN40" s="275">
        <f t="shared" si="31"/>
        <v>3600000</v>
      </c>
      <c r="DO40" s="275"/>
      <c r="DP40" s="275">
        <f>'[1]poly  com. adj for fmis'!AG40</f>
        <v>2000000</v>
      </c>
      <c r="DQ40" s="275">
        <f>'[1]POLY DISB 2019'!AG44</f>
        <v>2000000</v>
      </c>
      <c r="DR40" s="275">
        <f t="shared" si="32"/>
        <v>0</v>
      </c>
      <c r="DS40" s="275"/>
      <c r="DT40" s="275">
        <f>'[1]poly  com. adj for fmis'!AH40</f>
        <v>10000000</v>
      </c>
      <c r="DU40" s="275">
        <f>'[1]POLY DISB 2019'!AH44</f>
        <v>0</v>
      </c>
      <c r="DV40" s="275">
        <f t="shared" si="33"/>
        <v>10000000</v>
      </c>
      <c r="DW40" s="275"/>
      <c r="DX40" s="275">
        <f>'[1]poly  com. adj for fmis'!AI40</f>
        <v>550000000</v>
      </c>
      <c r="DY40" s="275">
        <f>'[1]POLY DISB 2019'!AI44</f>
        <v>542500000</v>
      </c>
      <c r="DZ40" s="275">
        <f t="shared" si="34"/>
        <v>7500000</v>
      </c>
      <c r="EA40" s="275"/>
      <c r="EB40" s="275">
        <f>'[1]POLY commited funds to date'!AK40</f>
        <v>380632000</v>
      </c>
      <c r="EC40" s="275">
        <f>'[1]POLY DISB 2019'!AJ44</f>
        <v>323537200</v>
      </c>
      <c r="ED40" s="275">
        <f t="shared" si="35"/>
        <v>57094800</v>
      </c>
      <c r="EE40" s="275"/>
      <c r="EF40" s="275">
        <f>'[1]POLY commited funds to date'!AL40</f>
        <v>8000000</v>
      </c>
      <c r="EG40" s="275">
        <f>'[1]POLY DISB 2019'!AK44</f>
        <v>4400000</v>
      </c>
      <c r="EH40" s="275">
        <f t="shared" si="36"/>
        <v>3600000</v>
      </c>
      <c r="EI40" s="275"/>
      <c r="EJ40" s="275">
        <f>'[1]POLY commited funds to date'!AM40</f>
        <v>10000000</v>
      </c>
      <c r="EK40" s="275">
        <f>'[1]POLY DISB 2019'!AL44</f>
        <v>0</v>
      </c>
      <c r="EL40" s="275">
        <f t="shared" si="37"/>
        <v>10000000</v>
      </c>
      <c r="EM40" s="275"/>
      <c r="EN40" s="275">
        <f>'[1]POLY commited funds to date'!AN40</f>
        <v>10000000</v>
      </c>
      <c r="EO40" s="275">
        <f>'[1]POLY DISB 2019'!AM44</f>
        <v>0</v>
      </c>
      <c r="EP40" s="275">
        <f t="shared" si="38"/>
        <v>10000000</v>
      </c>
      <c r="EQ40" s="281">
        <f>'[1]POLY commited funds to date'!AO40</f>
        <v>150000000</v>
      </c>
      <c r="ER40" s="275">
        <f>'[1]POLY DISB 2019'!AN44</f>
        <v>127500000</v>
      </c>
      <c r="ES40" s="275">
        <f t="shared" si="39"/>
        <v>22500000</v>
      </c>
      <c r="ET40" s="275"/>
      <c r="EU40" s="275">
        <f>'[1]POLY commited funds to date'!AP40</f>
        <v>205000000</v>
      </c>
      <c r="EV40" s="275">
        <f>'[1]POLY DISB 2019'!AO44</f>
        <v>0</v>
      </c>
      <c r="EW40" s="275">
        <f t="shared" si="40"/>
        <v>205000000</v>
      </c>
      <c r="EX40" s="275"/>
      <c r="EY40" s="275">
        <f>'[1]POLY commited funds to date'!AQ40</f>
        <v>150000000</v>
      </c>
      <c r="EZ40" s="275">
        <f>'[1]POLY DISB 2019'!AP44</f>
        <v>75750000</v>
      </c>
      <c r="FA40" s="275">
        <f t="shared" si="41"/>
        <v>74250000</v>
      </c>
      <c r="FB40" s="275"/>
      <c r="FC40" s="275">
        <f>'[1]POLY commited funds to date'!AR40</f>
        <v>7000000</v>
      </c>
      <c r="FD40" s="275">
        <f>'[1]POLY DISB 2019'!AQ44</f>
        <v>0</v>
      </c>
      <c r="FE40" s="275">
        <f t="shared" si="42"/>
        <v>7000000</v>
      </c>
      <c r="FF40" s="275"/>
      <c r="FG40" s="275">
        <f>'[1]POLY commited funds to date'!AS40</f>
        <v>6300000</v>
      </c>
      <c r="FH40" s="275">
        <f>'[1]POLY DISB 2019'!AR44</f>
        <v>0</v>
      </c>
      <c r="FI40" s="275">
        <f t="shared" si="43"/>
        <v>6300000</v>
      </c>
      <c r="FJ40" s="275"/>
      <c r="FK40" s="275">
        <f>'[1]POLY commited funds to date'!AT40</f>
        <v>7500000</v>
      </c>
      <c r="FL40" s="275">
        <f>'[1]POLY DISB 2019'!AS44</f>
        <v>0</v>
      </c>
      <c r="FM40" s="275">
        <f t="shared" si="44"/>
        <v>7500000</v>
      </c>
      <c r="FN40" s="275"/>
      <c r="FO40" s="275">
        <f>'[1]POLY commited funds to date'!AU40</f>
        <v>245000000</v>
      </c>
      <c r="FP40" s="275">
        <f>'[1]POLY DISB 2019'!AT44</f>
        <v>0</v>
      </c>
      <c r="FQ40" s="275">
        <f t="shared" si="45"/>
        <v>245000000</v>
      </c>
      <c r="FR40" s="275">
        <f>'[1]POLY commited funds to date'!AV40</f>
        <v>119074602</v>
      </c>
      <c r="FS40" s="275">
        <f>'[1]POLY DISB 2019'!AU44</f>
        <v>0</v>
      </c>
      <c r="FT40" s="275">
        <f t="shared" si="46"/>
        <v>119074602</v>
      </c>
      <c r="FU40" s="275"/>
      <c r="FV40" s="275">
        <f>'[1]POLY commited funds to date'!AW40</f>
        <v>13000000</v>
      </c>
      <c r="FW40" s="275">
        <f>'[1]POLY DISB 2019'!AV44</f>
        <v>0</v>
      </c>
      <c r="FX40" s="275">
        <f t="shared" si="47"/>
        <v>13000000</v>
      </c>
      <c r="FY40" s="275"/>
      <c r="FZ40" s="275">
        <f>'[1]POLY commited funds to date'!AX40</f>
        <v>8628900</v>
      </c>
      <c r="GA40" s="275">
        <f>'[1]POLY DISB 2019'!AW44</f>
        <v>0</v>
      </c>
      <c r="GB40" s="275">
        <f t="shared" si="48"/>
        <v>8628900</v>
      </c>
      <c r="GC40" s="275">
        <f>'[1]POLY commited funds to date'!AY40</f>
        <v>5000000</v>
      </c>
      <c r="GD40" s="275">
        <f>'[1]POLY DISB 2019'!AX44</f>
        <v>0</v>
      </c>
      <c r="GE40" s="275">
        <f t="shared" si="49"/>
        <v>5000000</v>
      </c>
      <c r="GF40" s="275"/>
      <c r="GG40" s="275">
        <f>'[1]POLY commited funds to date'!AZ40</f>
        <v>0</v>
      </c>
      <c r="GH40" s="275">
        <f>'[1]POLY DISB 2019'!AY44</f>
        <v>0</v>
      </c>
      <c r="GI40" s="275">
        <f t="shared" si="50"/>
        <v>0</v>
      </c>
      <c r="GJ40" s="275"/>
      <c r="GK40" s="275">
        <f t="shared" si="51"/>
        <v>3773144804</v>
      </c>
      <c r="GL40" s="275">
        <f t="shared" si="51"/>
        <v>2850446502</v>
      </c>
      <c r="GM40" s="275">
        <f t="shared" si="52"/>
        <v>922698302</v>
      </c>
      <c r="GN40" s="265"/>
      <c r="GO40" s="277">
        <f t="shared" si="53"/>
        <v>2283641302</v>
      </c>
      <c r="GP40" s="277">
        <f t="shared" si="53"/>
        <v>1708896502</v>
      </c>
      <c r="GQ40" s="277">
        <f t="shared" si="54"/>
        <v>574744800</v>
      </c>
      <c r="GR40" s="277">
        <f t="shared" si="0"/>
        <v>10000000</v>
      </c>
      <c r="GS40" s="277">
        <f t="shared" si="0"/>
        <v>10000000</v>
      </c>
      <c r="GT40" s="277">
        <f t="shared" si="55"/>
        <v>0</v>
      </c>
      <c r="GU40" s="277"/>
      <c r="GV40" s="265"/>
      <c r="GW40" s="279">
        <f t="shared" si="68"/>
        <v>925000000</v>
      </c>
      <c r="GX40" s="279">
        <f t="shared" si="68"/>
        <v>917500000</v>
      </c>
      <c r="GY40" s="280">
        <f t="shared" si="57"/>
        <v>7500000</v>
      </c>
      <c r="GZ40" s="280"/>
      <c r="HA40" s="277">
        <f t="shared" si="58"/>
        <v>74928900</v>
      </c>
      <c r="HB40" s="277">
        <f t="shared" si="58"/>
        <v>0</v>
      </c>
      <c r="HC40" s="277">
        <f t="shared" si="59"/>
        <v>74928900</v>
      </c>
      <c r="HE40" s="277">
        <f t="shared" si="60"/>
        <v>36000000</v>
      </c>
      <c r="HF40" s="277">
        <f t="shared" si="60"/>
        <v>8800000</v>
      </c>
      <c r="HG40" s="277">
        <f t="shared" si="61"/>
        <v>27200000</v>
      </c>
      <c r="HI40" s="279">
        <f t="shared" si="62"/>
        <v>419074602</v>
      </c>
      <c r="HJ40" s="279">
        <f t="shared" si="62"/>
        <v>203250000</v>
      </c>
      <c r="HK40" s="279">
        <f t="shared" si="63"/>
        <v>215824602</v>
      </c>
      <c r="HM40" s="279">
        <f t="shared" si="64"/>
        <v>2000000</v>
      </c>
      <c r="HN40" s="279">
        <f t="shared" si="1"/>
        <v>2000000</v>
      </c>
      <c r="HO40" s="279">
        <f t="shared" si="65"/>
        <v>0</v>
      </c>
      <c r="HQ40" s="279">
        <f t="shared" si="66"/>
        <v>22500000</v>
      </c>
      <c r="HR40" s="279">
        <f t="shared" si="2"/>
        <v>0</v>
      </c>
      <c r="HS40" s="279">
        <f t="shared" si="67"/>
        <v>22500000</v>
      </c>
    </row>
    <row r="41" spans="1:227" x14ac:dyDescent="0.25">
      <c r="A41" s="235">
        <v>33</v>
      </c>
      <c r="B41" s="273" t="s">
        <v>232</v>
      </c>
      <c r="C41" s="274" t="s">
        <v>61</v>
      </c>
      <c r="D41" s="275">
        <v>24709302</v>
      </c>
      <c r="E41" s="275">
        <f>'[1]POLY DISB 2019'!C45</f>
        <v>24709302</v>
      </c>
      <c r="F41" s="275">
        <f t="shared" si="3"/>
        <v>0</v>
      </c>
      <c r="G41" s="275"/>
      <c r="H41" s="275">
        <v>10000000</v>
      </c>
      <c r="I41" s="275">
        <f>'[1]POLY DISB 2019'!D45</f>
        <v>10000000</v>
      </c>
      <c r="J41" s="275">
        <f t="shared" si="4"/>
        <v>0</v>
      </c>
      <c r="K41" s="275"/>
      <c r="L41" s="275">
        <v>20000000</v>
      </c>
      <c r="M41" s="275">
        <f>'[1]POLY DISB 2019'!E45</f>
        <v>20000000</v>
      </c>
      <c r="N41" s="275">
        <f t="shared" si="5"/>
        <v>0</v>
      </c>
      <c r="O41" s="275"/>
      <c r="P41" s="275">
        <v>25000000</v>
      </c>
      <c r="Q41" s="275">
        <f>'[1]POLY DISB 2019'!F45</f>
        <v>25000000</v>
      </c>
      <c r="R41" s="275">
        <f t="shared" si="6"/>
        <v>0</v>
      </c>
      <c r="S41" s="275"/>
      <c r="T41" s="275">
        <v>12000000</v>
      </c>
      <c r="U41" s="275">
        <f>'[1]POLY DISB 2019'!G45</f>
        <v>12000000</v>
      </c>
      <c r="V41" s="275">
        <f t="shared" si="7"/>
        <v>0</v>
      </c>
      <c r="W41" s="275"/>
      <c r="X41" s="275">
        <v>12000000</v>
      </c>
      <c r="Y41" s="275">
        <f>'[1]POLY DISB 2019'!H45</f>
        <v>12000000</v>
      </c>
      <c r="Z41" s="275">
        <f t="shared" si="8"/>
        <v>0</v>
      </c>
      <c r="AA41" s="275"/>
      <c r="AB41" s="275">
        <v>0</v>
      </c>
      <c r="AC41" s="275">
        <f>'[1]POLY DISB 2019'!I45</f>
        <v>0</v>
      </c>
      <c r="AD41" s="275">
        <f t="shared" si="9"/>
        <v>0</v>
      </c>
      <c r="AE41" s="275"/>
      <c r="AF41" s="275">
        <f>'[1]POLY commited funds to date'!K41</f>
        <v>20000000</v>
      </c>
      <c r="AG41" s="275">
        <f>'[1]POLY DISB 2019'!J45</f>
        <v>20000000</v>
      </c>
      <c r="AH41" s="275">
        <f t="shared" si="10"/>
        <v>0</v>
      </c>
      <c r="AI41" s="275"/>
      <c r="AJ41" s="275">
        <v>10000000</v>
      </c>
      <c r="AK41" s="275">
        <f>'[1]POLY DISB 2019'!K45</f>
        <v>10000000</v>
      </c>
      <c r="AL41" s="275">
        <f t="shared" si="11"/>
        <v>0</v>
      </c>
      <c r="AM41" s="275"/>
      <c r="AN41" s="275">
        <v>20000000</v>
      </c>
      <c r="AO41" s="275">
        <f>'[1]POLY DISB 2019'!L45</f>
        <v>20000000</v>
      </c>
      <c r="AP41" s="275">
        <f t="shared" si="12"/>
        <v>0</v>
      </c>
      <c r="AQ41" s="275"/>
      <c r="AR41" s="275">
        <v>26000000</v>
      </c>
      <c r="AS41" s="275">
        <f>'[1]POLY DISB 2019'!M45</f>
        <v>26000000</v>
      </c>
      <c r="AT41" s="275">
        <f t="shared" si="13"/>
        <v>0</v>
      </c>
      <c r="AU41" s="275"/>
      <c r="AV41" s="275">
        <v>45000000</v>
      </c>
      <c r="AW41" s="275">
        <f>'[1]POLY DISB 2019'!N45</f>
        <v>45000000</v>
      </c>
      <c r="AX41" s="275">
        <f t="shared" si="14"/>
        <v>0</v>
      </c>
      <c r="AY41" s="275"/>
      <c r="AZ41" s="275">
        <v>38340000</v>
      </c>
      <c r="BA41" s="275">
        <f>'[1]POLY DISB 2019'!P45</f>
        <v>38340000</v>
      </c>
      <c r="BB41" s="275">
        <f t="shared" si="15"/>
        <v>0</v>
      </c>
      <c r="BC41" s="275"/>
      <c r="BD41" s="275">
        <v>0</v>
      </c>
      <c r="BE41" s="275">
        <f>'[1]POLY DISB 2019'!Q45</f>
        <v>0</v>
      </c>
      <c r="BF41" s="275">
        <f t="shared" si="16"/>
        <v>0</v>
      </c>
      <c r="BG41" s="275"/>
      <c r="BH41" s="275">
        <f>'[1]POLY commited funds to date'!S41</f>
        <v>126060000</v>
      </c>
      <c r="BI41" s="275">
        <f>'[1]POLY DISB 2019'!R45</f>
        <v>126060000</v>
      </c>
      <c r="BJ41" s="275">
        <f t="shared" si="17"/>
        <v>0</v>
      </c>
      <c r="BK41" s="275"/>
      <c r="BL41" s="275">
        <f>'[1]poly  com. adj for fmis'!S41</f>
        <v>25000000</v>
      </c>
      <c r="BM41" s="275">
        <f>'[1]POLY DISB 2019'!S45</f>
        <v>25000000</v>
      </c>
      <c r="BN41" s="269">
        <f t="shared" si="18"/>
        <v>0</v>
      </c>
      <c r="BO41" s="275"/>
      <c r="BP41" s="276">
        <f>'[1]POLY commited funds to date'!U41</f>
        <v>169900000</v>
      </c>
      <c r="BQ41" s="275">
        <f>'[1]POLY DISB 2019'!T45</f>
        <v>169900000</v>
      </c>
      <c r="BR41" s="275">
        <f t="shared" si="19"/>
        <v>0</v>
      </c>
      <c r="BS41" s="275"/>
      <c r="BT41" s="275">
        <f>'[1]POLY commited funds to date'!V41</f>
        <v>10000000</v>
      </c>
      <c r="BU41" s="275">
        <f>'[1]POLY DISB 2019'!U45</f>
        <v>0</v>
      </c>
      <c r="BV41" s="275">
        <f t="shared" si="20"/>
        <v>10000000</v>
      </c>
      <c r="BW41" s="275"/>
      <c r="BX41" s="275">
        <f>'[1]POLY commited funds to date'!W41</f>
        <v>25000000</v>
      </c>
      <c r="BY41" s="275">
        <f>'[1]POLY DISB 2019'!V45</f>
        <v>19500000</v>
      </c>
      <c r="BZ41" s="275">
        <f t="shared" si="21"/>
        <v>5500000</v>
      </c>
      <c r="CA41" s="275"/>
      <c r="CB41" s="275">
        <f>'[1]POLY commited funds to date'!X41</f>
        <v>210000000</v>
      </c>
      <c r="CC41" s="275">
        <f>'[1]POLY DISB 2019'!W45</f>
        <v>210000000</v>
      </c>
      <c r="CD41" s="275">
        <f t="shared" si="22"/>
        <v>0</v>
      </c>
      <c r="CE41" s="275"/>
      <c r="CF41" s="275">
        <f>'[1]POLY commited funds to date'!Y41</f>
        <v>80000000</v>
      </c>
      <c r="CG41" s="275">
        <f>'[1]POLY DISB 2019'!X45</f>
        <v>80000000</v>
      </c>
      <c r="CH41" s="275">
        <f t="shared" si="23"/>
        <v>0</v>
      </c>
      <c r="CI41" s="275"/>
      <c r="CJ41" s="275">
        <f>'[1]POLY commited funds to date'!Z41</f>
        <v>12000000</v>
      </c>
      <c r="CK41" s="275">
        <f>'[1]POLY DISB 2019'!Y45</f>
        <v>10200000</v>
      </c>
      <c r="CL41" s="275">
        <f t="shared" si="24"/>
        <v>1800000</v>
      </c>
      <c r="CM41" s="275"/>
      <c r="CN41" s="275">
        <f>'[1]POLY commited funds to date'!AA41</f>
        <v>243000000</v>
      </c>
      <c r="CO41" s="275">
        <f>'[1]POLY DISB 2019'!Z45</f>
        <v>243000000</v>
      </c>
      <c r="CP41" s="275">
        <f t="shared" si="25"/>
        <v>0</v>
      </c>
      <c r="CQ41" s="275"/>
      <c r="CR41" s="275">
        <v>10000000</v>
      </c>
      <c r="CS41" s="275">
        <f>'[1]POLY DISB 2019'!AA45</f>
        <v>0</v>
      </c>
      <c r="CT41" s="275">
        <f t="shared" si="26"/>
        <v>10000000</v>
      </c>
      <c r="CU41" s="275"/>
      <c r="CV41" s="275">
        <f>'[1]POLY commited funds to date'!AC41</f>
        <v>371000000</v>
      </c>
      <c r="CW41" s="275">
        <f>'[1]POLY DISB 2019'!AB45</f>
        <v>371000000</v>
      </c>
      <c r="CX41" s="275">
        <f t="shared" si="27"/>
        <v>0</v>
      </c>
      <c r="CY41" s="275"/>
      <c r="CZ41" s="275">
        <f>'[1]POLY commited funds to date'!AD41</f>
        <v>20000000</v>
      </c>
      <c r="DA41" s="275">
        <f>'[1]POLY DISB 2019'!AC45</f>
        <v>0</v>
      </c>
      <c r="DB41" s="275">
        <f t="shared" si="28"/>
        <v>20000000</v>
      </c>
      <c r="DC41" s="275"/>
      <c r="DD41" s="275">
        <f>'[1]POLY commited funds to date'!AE41</f>
        <v>10000000</v>
      </c>
      <c r="DE41" s="275">
        <f>'[1]POLY DISB 2019'!AD45</f>
        <v>10000000</v>
      </c>
      <c r="DF41" s="275">
        <f t="shared" si="29"/>
        <v>0</v>
      </c>
      <c r="DG41" s="275"/>
      <c r="DH41" s="275">
        <f>'[1]poly  com. adj for fmis'!AE41</f>
        <v>80000000</v>
      </c>
      <c r="DI41" s="275">
        <f>'[1]POLY DISB 2019'!AE45</f>
        <v>68000000</v>
      </c>
      <c r="DJ41" s="275">
        <f t="shared" si="30"/>
        <v>12000000</v>
      </c>
      <c r="DK41" s="275"/>
      <c r="DL41" s="275">
        <f>'[1]poly  com. adj for fmis'!AF41</f>
        <v>8000000</v>
      </c>
      <c r="DM41" s="275">
        <f>'[1]POLY DISB 2019'!AF45</f>
        <v>0</v>
      </c>
      <c r="DN41" s="275">
        <f t="shared" si="31"/>
        <v>8000000</v>
      </c>
      <c r="DO41" s="275"/>
      <c r="DP41" s="275">
        <f>'[1]poly  com. adj for fmis'!AG41</f>
        <v>2000000</v>
      </c>
      <c r="DQ41" s="275">
        <f>'[1]POLY DISB 2019'!AG45</f>
        <v>0</v>
      </c>
      <c r="DR41" s="275">
        <f t="shared" si="32"/>
        <v>2000000</v>
      </c>
      <c r="DS41" s="275"/>
      <c r="DT41" s="275">
        <f>'[1]poly  com. adj for fmis'!AH41</f>
        <v>10000000</v>
      </c>
      <c r="DU41" s="275">
        <f>'[1]POLY DISB 2019'!AH45</f>
        <v>0</v>
      </c>
      <c r="DV41" s="275">
        <f t="shared" si="33"/>
        <v>10000000</v>
      </c>
      <c r="DW41" s="275"/>
      <c r="DX41" s="275">
        <f>'[1]poly  com. adj for fmis'!AI41</f>
        <v>4410000000</v>
      </c>
      <c r="DY41" s="275">
        <f>'[1]POLY DISB 2019'!AI45</f>
        <v>3957000000</v>
      </c>
      <c r="DZ41" s="275">
        <f t="shared" si="34"/>
        <v>453000000</v>
      </c>
      <c r="EA41" s="275"/>
      <c r="EB41" s="275">
        <f>'[1]POLY commited funds to date'!AK41</f>
        <v>380632000</v>
      </c>
      <c r="EC41" s="275">
        <f>'[1]POLY DISB 2019'!AJ45</f>
        <v>323537200</v>
      </c>
      <c r="ED41" s="275">
        <f t="shared" si="35"/>
        <v>57094800</v>
      </c>
      <c r="EE41" s="275"/>
      <c r="EF41" s="275">
        <f>'[1]POLY commited funds to date'!AL41</f>
        <v>8000000</v>
      </c>
      <c r="EG41" s="275">
        <f>'[1]POLY DISB 2019'!AK45</f>
        <v>0</v>
      </c>
      <c r="EH41" s="275">
        <f t="shared" si="36"/>
        <v>8000000</v>
      </c>
      <c r="EI41" s="275"/>
      <c r="EJ41" s="275">
        <f>'[1]POLY commited funds to date'!AM41</f>
        <v>10000000</v>
      </c>
      <c r="EK41" s="275">
        <f>'[1]POLY DISB 2019'!AL45</f>
        <v>0</v>
      </c>
      <c r="EL41" s="275">
        <f t="shared" si="37"/>
        <v>10000000</v>
      </c>
      <c r="EM41" s="275"/>
      <c r="EN41" s="275">
        <f>'[1]POLY commited funds to date'!AN41</f>
        <v>10000000</v>
      </c>
      <c r="EO41" s="275">
        <f>'[1]POLY DISB 2019'!AM45</f>
        <v>0</v>
      </c>
      <c r="EP41" s="275">
        <f t="shared" si="38"/>
        <v>10000000</v>
      </c>
      <c r="EQ41" s="281">
        <f>'[1]POLY commited funds to date'!AO41</f>
        <v>150000000</v>
      </c>
      <c r="ER41" s="275">
        <f>'[1]POLY DISB 2019'!AN45</f>
        <v>127500000</v>
      </c>
      <c r="ES41" s="275">
        <f t="shared" si="39"/>
        <v>22500000</v>
      </c>
      <c r="ET41" s="275"/>
      <c r="EU41" s="275">
        <f>'[1]POLY commited funds to date'!AP41</f>
        <v>205000000</v>
      </c>
      <c r="EV41" s="275">
        <f>'[1]POLY DISB 2019'!AO45</f>
        <v>0</v>
      </c>
      <c r="EW41" s="275">
        <f t="shared" si="40"/>
        <v>205000000</v>
      </c>
      <c r="EX41" s="275"/>
      <c r="EY41" s="275">
        <f>'[1]POLY commited funds to date'!AQ41</f>
        <v>75000000</v>
      </c>
      <c r="EZ41" s="275">
        <f>'[1]POLY DISB 2019'!AP45</f>
        <v>50250000</v>
      </c>
      <c r="FA41" s="275">
        <f t="shared" si="41"/>
        <v>24750000</v>
      </c>
      <c r="FB41" s="275"/>
      <c r="FC41" s="275">
        <f>'[1]POLY commited funds to date'!AR41</f>
        <v>7000000</v>
      </c>
      <c r="FD41" s="275">
        <f>'[1]POLY DISB 2019'!AQ45</f>
        <v>0</v>
      </c>
      <c r="FE41" s="275">
        <f t="shared" si="42"/>
        <v>7000000</v>
      </c>
      <c r="FF41" s="275"/>
      <c r="FG41" s="275">
        <f>'[1]POLY commited funds to date'!AS41</f>
        <v>6300000</v>
      </c>
      <c r="FH41" s="275">
        <f>'[1]POLY DISB 2019'!AR45</f>
        <v>0</v>
      </c>
      <c r="FI41" s="275">
        <f t="shared" si="43"/>
        <v>6300000</v>
      </c>
      <c r="FJ41" s="275"/>
      <c r="FK41" s="275">
        <f>'[1]POLY commited funds to date'!AT41</f>
        <v>7500000</v>
      </c>
      <c r="FL41" s="275">
        <f>'[1]POLY DISB 2019'!AS45</f>
        <v>0</v>
      </c>
      <c r="FM41" s="275">
        <f t="shared" si="44"/>
        <v>7500000</v>
      </c>
      <c r="FN41" s="275"/>
      <c r="FO41" s="275">
        <f>'[1]POLY commited funds to date'!AU41</f>
        <v>245000000</v>
      </c>
      <c r="FP41" s="275">
        <f>'[1]POLY DISB 2019'!AT45</f>
        <v>0</v>
      </c>
      <c r="FQ41" s="275">
        <f t="shared" si="45"/>
        <v>245000000</v>
      </c>
      <c r="FR41" s="275">
        <f>'[1]POLY commited funds to date'!AV41</f>
        <v>119074602</v>
      </c>
      <c r="FS41" s="275">
        <f>'[1]POLY DISB 2019'!AU45</f>
        <v>0</v>
      </c>
      <c r="FT41" s="275">
        <f t="shared" si="46"/>
        <v>119074602</v>
      </c>
      <c r="FU41" s="275"/>
      <c r="FV41" s="275">
        <f>'[1]POLY commited funds to date'!AW41</f>
        <v>13000000</v>
      </c>
      <c r="FW41" s="275">
        <f>'[1]POLY DISB 2019'!AV45</f>
        <v>0</v>
      </c>
      <c r="FX41" s="275">
        <f t="shared" si="47"/>
        <v>13000000</v>
      </c>
      <c r="FY41" s="275"/>
      <c r="FZ41" s="275">
        <f>'[1]POLY commited funds to date'!AX41</f>
        <v>8628900</v>
      </c>
      <c r="GA41" s="275">
        <f>'[1]POLY DISB 2019'!AW45</f>
        <v>0</v>
      </c>
      <c r="GB41" s="275">
        <f t="shared" si="48"/>
        <v>8628900</v>
      </c>
      <c r="GC41" s="275">
        <f>'[1]POLY commited funds to date'!AY41</f>
        <v>5000000</v>
      </c>
      <c r="GD41" s="275">
        <f>'[1]POLY DISB 2019'!AX45</f>
        <v>0</v>
      </c>
      <c r="GE41" s="275">
        <f t="shared" si="49"/>
        <v>5000000</v>
      </c>
      <c r="GF41" s="275"/>
      <c r="GG41" s="275">
        <f>'[1]POLY commited funds to date'!AZ41</f>
        <v>0</v>
      </c>
      <c r="GH41" s="275">
        <f>'[1]POLY DISB 2019'!AY45</f>
        <v>0</v>
      </c>
      <c r="GI41" s="275">
        <f t="shared" si="50"/>
        <v>0</v>
      </c>
      <c r="GJ41" s="275"/>
      <c r="GK41" s="275">
        <f t="shared" si="51"/>
        <v>7335144804</v>
      </c>
      <c r="GL41" s="275">
        <f t="shared" si="51"/>
        <v>6053996502</v>
      </c>
      <c r="GM41" s="275">
        <f t="shared" si="52"/>
        <v>1281148302</v>
      </c>
      <c r="GN41" s="265"/>
      <c r="GO41" s="277">
        <f t="shared" si="53"/>
        <v>2283641302</v>
      </c>
      <c r="GP41" s="277">
        <f t="shared" si="53"/>
        <v>1764546502</v>
      </c>
      <c r="GQ41" s="277">
        <f t="shared" si="54"/>
        <v>519094800</v>
      </c>
      <c r="GR41" s="277">
        <f t="shared" ref="GR41:GS69" si="69">AJ41</f>
        <v>10000000</v>
      </c>
      <c r="GS41" s="277">
        <f t="shared" si="69"/>
        <v>10000000</v>
      </c>
      <c r="GT41" s="277">
        <f t="shared" si="55"/>
        <v>0</v>
      </c>
      <c r="GU41" s="277"/>
      <c r="GV41" s="265"/>
      <c r="GW41" s="279">
        <f t="shared" si="68"/>
        <v>4562000000</v>
      </c>
      <c r="GX41" s="279">
        <f t="shared" si="68"/>
        <v>4101700000</v>
      </c>
      <c r="GY41" s="280">
        <f t="shared" si="57"/>
        <v>460300000</v>
      </c>
      <c r="GZ41" s="280"/>
      <c r="HA41" s="277">
        <f t="shared" si="58"/>
        <v>74928900</v>
      </c>
      <c r="HB41" s="277">
        <f t="shared" si="58"/>
        <v>0</v>
      </c>
      <c r="HC41" s="277">
        <f t="shared" si="59"/>
        <v>74928900</v>
      </c>
      <c r="HE41" s="277">
        <f t="shared" si="60"/>
        <v>36000000</v>
      </c>
      <c r="HF41" s="277">
        <f t="shared" si="60"/>
        <v>0</v>
      </c>
      <c r="HG41" s="277">
        <f t="shared" si="61"/>
        <v>36000000</v>
      </c>
      <c r="HI41" s="279">
        <f t="shared" si="62"/>
        <v>344074602</v>
      </c>
      <c r="HJ41" s="279">
        <f t="shared" si="62"/>
        <v>177750000</v>
      </c>
      <c r="HK41" s="279">
        <f t="shared" si="63"/>
        <v>166324602</v>
      </c>
      <c r="HM41" s="279">
        <f t="shared" si="64"/>
        <v>2000000</v>
      </c>
      <c r="HN41" s="279">
        <f t="shared" si="1"/>
        <v>0</v>
      </c>
      <c r="HO41" s="279">
        <f t="shared" si="65"/>
        <v>2000000</v>
      </c>
      <c r="HQ41" s="279">
        <f t="shared" si="66"/>
        <v>22500000</v>
      </c>
      <c r="HR41" s="279">
        <f t="shared" si="2"/>
        <v>0</v>
      </c>
      <c r="HS41" s="279">
        <f t="shared" si="67"/>
        <v>22500000</v>
      </c>
    </row>
    <row r="42" spans="1:227" x14ac:dyDescent="0.25">
      <c r="A42" s="235">
        <v>34</v>
      </c>
      <c r="B42" s="273" t="s">
        <v>233</v>
      </c>
      <c r="C42" s="274" t="s">
        <v>69</v>
      </c>
      <c r="D42" s="275">
        <v>24709302</v>
      </c>
      <c r="E42" s="275">
        <f>'[1]POLY DISB 2019'!C46</f>
        <v>24709302</v>
      </c>
      <c r="F42" s="275">
        <f t="shared" si="3"/>
        <v>0</v>
      </c>
      <c r="G42" s="275"/>
      <c r="H42" s="275">
        <v>10000000</v>
      </c>
      <c r="I42" s="275">
        <f>'[1]POLY DISB 2019'!D46</f>
        <v>10000000</v>
      </c>
      <c r="J42" s="275">
        <f t="shared" si="4"/>
        <v>0</v>
      </c>
      <c r="K42" s="275"/>
      <c r="L42" s="275">
        <v>20000000</v>
      </c>
      <c r="M42" s="275">
        <f>'[1]POLY DISB 2019'!E46</f>
        <v>20000000</v>
      </c>
      <c r="N42" s="275">
        <f t="shared" si="5"/>
        <v>0</v>
      </c>
      <c r="O42" s="275"/>
      <c r="P42" s="275">
        <v>25000000</v>
      </c>
      <c r="Q42" s="275">
        <f>'[1]POLY DISB 2019'!F46</f>
        <v>25000000</v>
      </c>
      <c r="R42" s="275">
        <f t="shared" si="6"/>
        <v>0</v>
      </c>
      <c r="S42" s="275"/>
      <c r="T42" s="275">
        <v>12000000</v>
      </c>
      <c r="U42" s="275">
        <f>'[1]POLY DISB 2019'!G46</f>
        <v>12000000</v>
      </c>
      <c r="V42" s="275">
        <f t="shared" si="7"/>
        <v>0</v>
      </c>
      <c r="W42" s="275"/>
      <c r="X42" s="275">
        <v>12000000</v>
      </c>
      <c r="Y42" s="275">
        <f>'[1]POLY DISB 2019'!H46</f>
        <v>12000000</v>
      </c>
      <c r="Z42" s="275">
        <f t="shared" si="8"/>
        <v>0</v>
      </c>
      <c r="AA42" s="275"/>
      <c r="AB42" s="275">
        <v>0</v>
      </c>
      <c r="AC42" s="275">
        <f>'[1]POLY DISB 2019'!I46</f>
        <v>0</v>
      </c>
      <c r="AD42" s="275">
        <f t="shared" si="9"/>
        <v>0</v>
      </c>
      <c r="AE42" s="275"/>
      <c r="AF42" s="275">
        <f>15200000</f>
        <v>15200000</v>
      </c>
      <c r="AG42" s="275">
        <f>'[1]POLY DISB 2019'!J46</f>
        <v>15200000</v>
      </c>
      <c r="AH42" s="275">
        <f t="shared" si="10"/>
        <v>0</v>
      </c>
      <c r="AI42" s="275"/>
      <c r="AJ42" s="275">
        <v>8500000</v>
      </c>
      <c r="AK42" s="275">
        <f>'[1]POLY DISB 2019'!K46</f>
        <v>8500000</v>
      </c>
      <c r="AL42" s="275">
        <f t="shared" si="11"/>
        <v>0</v>
      </c>
      <c r="AM42" s="275"/>
      <c r="AN42" s="275">
        <v>20000000</v>
      </c>
      <c r="AO42" s="275">
        <f>'[1]POLY DISB 2019'!L46</f>
        <v>20000000</v>
      </c>
      <c r="AP42" s="275">
        <f t="shared" si="12"/>
        <v>0</v>
      </c>
      <c r="AQ42" s="275"/>
      <c r="AR42" s="275">
        <v>26000000</v>
      </c>
      <c r="AS42" s="275">
        <f>'[1]POLY DISB 2019'!M46</f>
        <v>26000000</v>
      </c>
      <c r="AT42" s="275">
        <f t="shared" si="13"/>
        <v>0</v>
      </c>
      <c r="AU42" s="275"/>
      <c r="AV42" s="275">
        <v>45000000</v>
      </c>
      <c r="AW42" s="275">
        <f>'[1]POLY DISB 2019'!N46</f>
        <v>45000000</v>
      </c>
      <c r="AX42" s="275">
        <f t="shared" si="14"/>
        <v>0</v>
      </c>
      <c r="AY42" s="275"/>
      <c r="AZ42" s="275">
        <v>38340000</v>
      </c>
      <c r="BA42" s="275">
        <f>'[1]POLY DISB 2019'!P46</f>
        <v>38340000</v>
      </c>
      <c r="BB42" s="275">
        <f t="shared" si="15"/>
        <v>0</v>
      </c>
      <c r="BC42" s="275"/>
      <c r="BD42" s="275">
        <v>0</v>
      </c>
      <c r="BE42" s="275">
        <f>'[1]POLY DISB 2019'!Q46</f>
        <v>0</v>
      </c>
      <c r="BF42" s="275">
        <f t="shared" si="16"/>
        <v>0</v>
      </c>
      <c r="BG42" s="275"/>
      <c r="BH42" s="275">
        <f>'[1]POLY commited funds to date'!S42</f>
        <v>126060000</v>
      </c>
      <c r="BI42" s="275">
        <f>'[1]POLY DISB 2019'!R46</f>
        <v>126060000</v>
      </c>
      <c r="BJ42" s="275">
        <f t="shared" si="17"/>
        <v>0</v>
      </c>
      <c r="BK42" s="275"/>
      <c r="BL42" s="275">
        <f>'[1]poly  com. adj for fmis'!S42</f>
        <v>0</v>
      </c>
      <c r="BM42" s="275">
        <f>'[1]POLY DISB 2019'!S46</f>
        <v>0</v>
      </c>
      <c r="BN42" s="269">
        <f t="shared" si="18"/>
        <v>0</v>
      </c>
      <c r="BO42" s="275"/>
      <c r="BP42" s="276">
        <f>'[1]POLY commited funds to date'!U42</f>
        <v>169900000</v>
      </c>
      <c r="BQ42" s="275">
        <f>'[1]POLY DISB 2019'!T46</f>
        <v>169900000</v>
      </c>
      <c r="BR42" s="275">
        <f t="shared" si="19"/>
        <v>0</v>
      </c>
      <c r="BS42" s="275"/>
      <c r="BT42" s="275">
        <f>'[1]POLY commited funds to date'!V42</f>
        <v>10000000</v>
      </c>
      <c r="BU42" s="275">
        <f>'[1]POLY DISB 2019'!U46</f>
        <v>10000000</v>
      </c>
      <c r="BV42" s="275">
        <f t="shared" si="20"/>
        <v>0</v>
      </c>
      <c r="BW42" s="275"/>
      <c r="BX42" s="275">
        <f>'[1]POLY commited funds to date'!W42</f>
        <v>0</v>
      </c>
      <c r="BY42" s="275">
        <f>'[1]POLY DISB 2019'!V46</f>
        <v>0</v>
      </c>
      <c r="BZ42" s="275">
        <f t="shared" si="21"/>
        <v>0</v>
      </c>
      <c r="CA42" s="275"/>
      <c r="CB42" s="275">
        <f>'[1]POLY commited funds to date'!X42</f>
        <v>210000000</v>
      </c>
      <c r="CC42" s="275">
        <f>'[1]POLY DISB 2019'!W46</f>
        <v>210000000</v>
      </c>
      <c r="CD42" s="275">
        <f t="shared" si="22"/>
        <v>0</v>
      </c>
      <c r="CE42" s="275"/>
      <c r="CF42" s="275">
        <f>'[1]POLY commited funds to date'!Y42</f>
        <v>200000000</v>
      </c>
      <c r="CG42" s="275">
        <f>'[1]POLY DISB 2019'!X46</f>
        <v>200000000</v>
      </c>
      <c r="CH42" s="275">
        <f t="shared" si="23"/>
        <v>0</v>
      </c>
      <c r="CI42" s="275"/>
      <c r="CJ42" s="275">
        <f>'[1]POLY commited funds to date'!Z42</f>
        <v>300000000</v>
      </c>
      <c r="CK42" s="275">
        <f>'[1]POLY DISB 2019'!Y46</f>
        <v>300000000</v>
      </c>
      <c r="CL42" s="275">
        <f t="shared" si="24"/>
        <v>0</v>
      </c>
      <c r="CM42" s="275"/>
      <c r="CN42" s="275">
        <f>'[1]POLY commited funds to date'!AA42</f>
        <v>243000000</v>
      </c>
      <c r="CO42" s="275">
        <f>'[1]POLY DISB 2019'!Z46</f>
        <v>206550000</v>
      </c>
      <c r="CP42" s="275">
        <f t="shared" si="25"/>
        <v>36450000</v>
      </c>
      <c r="CQ42" s="275"/>
      <c r="CR42" s="275">
        <v>10000000</v>
      </c>
      <c r="CS42" s="275">
        <f>'[1]POLY DISB 2019'!AA46</f>
        <v>10000000</v>
      </c>
      <c r="CT42" s="275">
        <f t="shared" si="26"/>
        <v>0</v>
      </c>
      <c r="CU42" s="275"/>
      <c r="CV42" s="275">
        <f>'[1]POLY commited funds to date'!AC42</f>
        <v>371000000</v>
      </c>
      <c r="CW42" s="275">
        <f>'[1]POLY DISB 2019'!AB46</f>
        <v>315350000</v>
      </c>
      <c r="CX42" s="275">
        <f t="shared" si="27"/>
        <v>55650000</v>
      </c>
      <c r="CY42" s="275"/>
      <c r="CZ42" s="275">
        <f>'[1]POLY commited funds to date'!AD42</f>
        <v>20000000</v>
      </c>
      <c r="DA42" s="275">
        <f>'[1]POLY DISB 2019'!AC46</f>
        <v>20000000</v>
      </c>
      <c r="DB42" s="275">
        <f t="shared" si="28"/>
        <v>0</v>
      </c>
      <c r="DC42" s="275"/>
      <c r="DD42" s="275">
        <f>'[1]POLY commited funds to date'!AE42</f>
        <v>150000000</v>
      </c>
      <c r="DE42" s="275">
        <f>'[1]POLY DISB 2019'!AD46</f>
        <v>150000000</v>
      </c>
      <c r="DF42" s="275">
        <f t="shared" si="29"/>
        <v>0</v>
      </c>
      <c r="DG42" s="275"/>
      <c r="DH42" s="275">
        <f>'[1]poly  com. adj for fmis'!AE42</f>
        <v>80000000</v>
      </c>
      <c r="DI42" s="275">
        <f>'[1]POLY DISB 2019'!AE46</f>
        <v>43200000</v>
      </c>
      <c r="DJ42" s="275">
        <f t="shared" si="30"/>
        <v>36800000</v>
      </c>
      <c r="DK42" s="275"/>
      <c r="DL42" s="275">
        <f>'[1]poly  com. adj for fmis'!AF42</f>
        <v>8000000</v>
      </c>
      <c r="DM42" s="275">
        <f>'[1]POLY DISB 2019'!AF46</f>
        <v>0</v>
      </c>
      <c r="DN42" s="275">
        <f t="shared" si="31"/>
        <v>8000000</v>
      </c>
      <c r="DO42" s="275"/>
      <c r="DP42" s="275">
        <f>'[1]poly  com. adj for fmis'!AG42</f>
        <v>2000000</v>
      </c>
      <c r="DQ42" s="275">
        <f>'[1]POLY DISB 2019'!AG46</f>
        <v>0</v>
      </c>
      <c r="DR42" s="275">
        <f t="shared" si="32"/>
        <v>2000000</v>
      </c>
      <c r="DS42" s="275"/>
      <c r="DT42" s="275">
        <f>'[1]poly  com. adj for fmis'!AH42</f>
        <v>10000000</v>
      </c>
      <c r="DU42" s="275">
        <f>'[1]POLY DISB 2019'!AH46</f>
        <v>10000000</v>
      </c>
      <c r="DV42" s="275">
        <f t="shared" si="33"/>
        <v>0</v>
      </c>
      <c r="DW42" s="275"/>
      <c r="DX42" s="275">
        <f>'[1]poly  com. adj for fmis'!AI42</f>
        <v>250000000</v>
      </c>
      <c r="DY42" s="275">
        <f>'[1]POLY DISB 2019'!AI46</f>
        <v>250000000</v>
      </c>
      <c r="DZ42" s="275">
        <f t="shared" si="34"/>
        <v>0</v>
      </c>
      <c r="EA42" s="275"/>
      <c r="EB42" s="275">
        <f>'[1]POLY commited funds to date'!AK42</f>
        <v>380632000</v>
      </c>
      <c r="EC42" s="275">
        <f>'[1]POLY DISB 2019'!AJ46</f>
        <v>205541280</v>
      </c>
      <c r="ED42" s="275">
        <f t="shared" si="35"/>
        <v>175090720</v>
      </c>
      <c r="EE42" s="275"/>
      <c r="EF42" s="275">
        <f>'[1]POLY commited funds to date'!AL42</f>
        <v>8000000</v>
      </c>
      <c r="EG42" s="275">
        <f>'[1]POLY DISB 2019'!AK46</f>
        <v>0</v>
      </c>
      <c r="EH42" s="275">
        <f t="shared" si="36"/>
        <v>8000000</v>
      </c>
      <c r="EI42" s="275"/>
      <c r="EJ42" s="275">
        <f>'[1]POLY commited funds to date'!AM42</f>
        <v>10000000</v>
      </c>
      <c r="EK42" s="275">
        <f>'[1]POLY DISB 2019'!AL46</f>
        <v>0</v>
      </c>
      <c r="EL42" s="275">
        <f t="shared" si="37"/>
        <v>10000000</v>
      </c>
      <c r="EM42" s="275"/>
      <c r="EN42" s="275">
        <f>'[1]POLY commited funds to date'!AN42</f>
        <v>10000000</v>
      </c>
      <c r="EO42" s="275">
        <f>'[1]POLY DISB 2019'!AM46</f>
        <v>0</v>
      </c>
      <c r="EP42" s="275">
        <f t="shared" si="38"/>
        <v>10000000</v>
      </c>
      <c r="EQ42" s="275">
        <f>'[1]POLY commited funds to date'!AO42</f>
        <v>0</v>
      </c>
      <c r="ER42" s="275">
        <f>'[1]POLY DISB 2019'!AN46</f>
        <v>0</v>
      </c>
      <c r="ES42" s="275">
        <f t="shared" si="39"/>
        <v>0</v>
      </c>
      <c r="ET42" s="275"/>
      <c r="EU42" s="275">
        <f>'[1]POLY commited funds to date'!AP42</f>
        <v>205000000</v>
      </c>
      <c r="EV42" s="275">
        <f>'[1]POLY DISB 2019'!AO46</f>
        <v>0</v>
      </c>
      <c r="EW42" s="275">
        <f t="shared" si="40"/>
        <v>205000000</v>
      </c>
      <c r="EX42" s="275"/>
      <c r="EY42" s="275">
        <f>'[1]POLY commited funds to date'!AQ42</f>
        <v>75000000</v>
      </c>
      <c r="EZ42" s="275">
        <f>'[1]POLY DISB 2019'!AP46</f>
        <v>51000000</v>
      </c>
      <c r="FA42" s="275">
        <f t="shared" si="41"/>
        <v>24000000</v>
      </c>
      <c r="FB42" s="275"/>
      <c r="FC42" s="275">
        <f>'[1]POLY commited funds to date'!AR42</f>
        <v>7000000</v>
      </c>
      <c r="FD42" s="275">
        <f>'[1]POLY DISB 2019'!AQ46</f>
        <v>0</v>
      </c>
      <c r="FE42" s="275">
        <f t="shared" si="42"/>
        <v>7000000</v>
      </c>
      <c r="FF42" s="275"/>
      <c r="FG42" s="275">
        <f>'[1]POLY commited funds to date'!AS42</f>
        <v>6300000</v>
      </c>
      <c r="FH42" s="275">
        <f>'[1]POLY DISB 2019'!AR46</f>
        <v>0</v>
      </c>
      <c r="FI42" s="275">
        <f t="shared" si="43"/>
        <v>6300000</v>
      </c>
      <c r="FJ42" s="275"/>
      <c r="FK42" s="275">
        <f>'[1]POLY commited funds to date'!AT42</f>
        <v>7500000</v>
      </c>
      <c r="FL42" s="275">
        <f>'[1]POLY DISB 2019'!AS46</f>
        <v>0</v>
      </c>
      <c r="FM42" s="275">
        <f t="shared" si="44"/>
        <v>7500000</v>
      </c>
      <c r="FN42" s="275"/>
      <c r="FO42" s="275">
        <f>'[1]POLY commited funds to date'!AU42</f>
        <v>245000000</v>
      </c>
      <c r="FP42" s="275">
        <f>'[1]POLY DISB 2019'!AT46</f>
        <v>0</v>
      </c>
      <c r="FQ42" s="275">
        <f t="shared" si="45"/>
        <v>245000000</v>
      </c>
      <c r="FR42" s="275">
        <f>'[1]POLY commited funds to date'!AV42</f>
        <v>119074602</v>
      </c>
      <c r="FS42" s="275">
        <f>'[1]POLY DISB 2019'!AU46</f>
        <v>0</v>
      </c>
      <c r="FT42" s="275">
        <f t="shared" si="46"/>
        <v>119074602</v>
      </c>
      <c r="FU42" s="275"/>
      <c r="FV42" s="275">
        <f>'[1]POLY commited funds to date'!AW42</f>
        <v>13000000</v>
      </c>
      <c r="FW42" s="275">
        <f>'[1]POLY DISB 2019'!AV46</f>
        <v>0</v>
      </c>
      <c r="FX42" s="275">
        <f t="shared" si="47"/>
        <v>13000000</v>
      </c>
      <c r="FY42" s="275"/>
      <c r="FZ42" s="275">
        <f>'[1]POLY commited funds to date'!AX42</f>
        <v>8628900</v>
      </c>
      <c r="GA42" s="275">
        <f>'[1]POLY DISB 2019'!AW46</f>
        <v>0</v>
      </c>
      <c r="GB42" s="275">
        <f t="shared" si="48"/>
        <v>8628900</v>
      </c>
      <c r="GC42" s="275">
        <f>'[1]POLY commited funds to date'!AY42</f>
        <v>5000000</v>
      </c>
      <c r="GD42" s="275">
        <f>'[1]POLY DISB 2019'!AX46</f>
        <v>0</v>
      </c>
      <c r="GE42" s="275">
        <f t="shared" si="49"/>
        <v>5000000</v>
      </c>
      <c r="GF42" s="275"/>
      <c r="GG42" s="275">
        <f>'[1]POLY commited funds to date'!AZ42</f>
        <v>0</v>
      </c>
      <c r="GH42" s="275">
        <f>'[1]POLY DISB 2019'!AY46</f>
        <v>0</v>
      </c>
      <c r="GI42" s="275">
        <f t="shared" si="50"/>
        <v>0</v>
      </c>
      <c r="GJ42" s="275"/>
      <c r="GK42" s="275">
        <f t="shared" si="51"/>
        <v>3516844804</v>
      </c>
      <c r="GL42" s="275">
        <f t="shared" si="51"/>
        <v>2534350582</v>
      </c>
      <c r="GM42" s="275">
        <f t="shared" si="52"/>
        <v>982494222</v>
      </c>
      <c r="GN42" s="265"/>
      <c r="GO42" s="277">
        <f t="shared" si="53"/>
        <v>2278841302</v>
      </c>
      <c r="GP42" s="277">
        <f t="shared" si="53"/>
        <v>1524850582</v>
      </c>
      <c r="GQ42" s="277">
        <f t="shared" si="54"/>
        <v>753990720</v>
      </c>
      <c r="GR42" s="277">
        <f t="shared" si="69"/>
        <v>8500000</v>
      </c>
      <c r="GS42" s="277">
        <f t="shared" si="69"/>
        <v>8500000</v>
      </c>
      <c r="GT42" s="277">
        <f t="shared" si="55"/>
        <v>0</v>
      </c>
      <c r="GU42" s="277"/>
      <c r="GV42" s="265"/>
      <c r="GW42" s="279">
        <f t="shared" si="68"/>
        <v>900000000</v>
      </c>
      <c r="GX42" s="279">
        <f t="shared" si="68"/>
        <v>900000000</v>
      </c>
      <c r="GY42" s="280">
        <f t="shared" si="57"/>
        <v>0</v>
      </c>
      <c r="GZ42" s="280"/>
      <c r="HA42" s="277">
        <f t="shared" si="58"/>
        <v>74928900</v>
      </c>
      <c r="HB42" s="277">
        <f t="shared" si="58"/>
        <v>50000000</v>
      </c>
      <c r="HC42" s="277">
        <f t="shared" si="59"/>
        <v>24928900</v>
      </c>
      <c r="HE42" s="277">
        <f t="shared" si="60"/>
        <v>36000000</v>
      </c>
      <c r="HF42" s="277">
        <f t="shared" si="60"/>
        <v>0</v>
      </c>
      <c r="HG42" s="277">
        <f t="shared" si="61"/>
        <v>36000000</v>
      </c>
      <c r="HI42" s="279">
        <f t="shared" si="62"/>
        <v>194074602</v>
      </c>
      <c r="HJ42" s="279">
        <f t="shared" si="62"/>
        <v>51000000</v>
      </c>
      <c r="HK42" s="279">
        <f t="shared" si="63"/>
        <v>143074602</v>
      </c>
      <c r="HM42" s="279">
        <f t="shared" si="64"/>
        <v>2000000</v>
      </c>
      <c r="HN42" s="279">
        <f t="shared" si="1"/>
        <v>0</v>
      </c>
      <c r="HO42" s="279">
        <f t="shared" si="65"/>
        <v>2000000</v>
      </c>
      <c r="HQ42" s="279">
        <f t="shared" si="66"/>
        <v>22500000</v>
      </c>
      <c r="HR42" s="279">
        <f t="shared" si="2"/>
        <v>0</v>
      </c>
      <c r="HS42" s="279">
        <f t="shared" si="67"/>
        <v>22500000</v>
      </c>
    </row>
    <row r="43" spans="1:227" x14ac:dyDescent="0.25">
      <c r="A43" s="235">
        <v>35</v>
      </c>
      <c r="B43" s="273" t="s">
        <v>234</v>
      </c>
      <c r="C43" s="274" t="s">
        <v>69</v>
      </c>
      <c r="D43" s="275">
        <v>24709302</v>
      </c>
      <c r="E43" s="275">
        <f>'[1]POLY DISB 2019'!C47</f>
        <v>24709302</v>
      </c>
      <c r="F43" s="275">
        <f t="shared" si="3"/>
        <v>0</v>
      </c>
      <c r="G43" s="275"/>
      <c r="H43" s="275">
        <v>10000000</v>
      </c>
      <c r="I43" s="275">
        <f>'[1]POLY DISB 2019'!D47</f>
        <v>10000000</v>
      </c>
      <c r="J43" s="275">
        <f t="shared" si="4"/>
        <v>0</v>
      </c>
      <c r="K43" s="275"/>
      <c r="L43" s="275">
        <v>20000000</v>
      </c>
      <c r="M43" s="275">
        <f>'[1]POLY DISB 2019'!E47</f>
        <v>20000000</v>
      </c>
      <c r="N43" s="275">
        <f t="shared" si="5"/>
        <v>0</v>
      </c>
      <c r="O43" s="275"/>
      <c r="P43" s="275">
        <v>25000000</v>
      </c>
      <c r="Q43" s="275">
        <f>'[1]POLY DISB 2019'!F47</f>
        <v>25000000</v>
      </c>
      <c r="R43" s="275">
        <f t="shared" si="6"/>
        <v>0</v>
      </c>
      <c r="S43" s="275"/>
      <c r="T43" s="275">
        <v>12000000</v>
      </c>
      <c r="U43" s="275">
        <f>'[1]POLY DISB 2019'!G47</f>
        <v>12000000</v>
      </c>
      <c r="V43" s="275">
        <f t="shared" si="7"/>
        <v>0</v>
      </c>
      <c r="W43" s="275"/>
      <c r="X43" s="275">
        <v>12000000</v>
      </c>
      <c r="Y43" s="275">
        <f>'[1]POLY DISB 2019'!H47</f>
        <v>12000000</v>
      </c>
      <c r="Z43" s="275">
        <f t="shared" si="8"/>
        <v>0</v>
      </c>
      <c r="AA43" s="275"/>
      <c r="AB43" s="275">
        <v>0</v>
      </c>
      <c r="AC43" s="275">
        <f>'[1]POLY DISB 2019'!I47</f>
        <v>0</v>
      </c>
      <c r="AD43" s="275">
        <f t="shared" si="9"/>
        <v>0</v>
      </c>
      <c r="AE43" s="275"/>
      <c r="AF43" s="275">
        <f>'[1]POLY commited funds to date'!K43</f>
        <v>20000000</v>
      </c>
      <c r="AG43" s="275">
        <f>'[1]POLY DISB 2019'!J47</f>
        <v>20000000</v>
      </c>
      <c r="AH43" s="275">
        <f t="shared" si="10"/>
        <v>0</v>
      </c>
      <c r="AI43" s="275"/>
      <c r="AJ43" s="275">
        <v>10000000</v>
      </c>
      <c r="AK43" s="275">
        <f>'[1]POLY DISB 2019'!K47</f>
        <v>10000000</v>
      </c>
      <c r="AL43" s="275">
        <f t="shared" si="11"/>
        <v>0</v>
      </c>
      <c r="AM43" s="275"/>
      <c r="AN43" s="275">
        <v>20000000</v>
      </c>
      <c r="AO43" s="275">
        <f>'[1]POLY DISB 2019'!L47</f>
        <v>20000000</v>
      </c>
      <c r="AP43" s="275">
        <f t="shared" si="12"/>
        <v>0</v>
      </c>
      <c r="AQ43" s="275"/>
      <c r="AR43" s="275">
        <v>26000000</v>
      </c>
      <c r="AS43" s="275">
        <f>'[1]POLY DISB 2019'!M47</f>
        <v>26000000</v>
      </c>
      <c r="AT43" s="275">
        <f t="shared" si="13"/>
        <v>0</v>
      </c>
      <c r="AU43" s="275"/>
      <c r="AV43" s="275">
        <v>45000000</v>
      </c>
      <c r="AW43" s="275">
        <f>'[1]POLY DISB 2019'!N47</f>
        <v>45000000</v>
      </c>
      <c r="AX43" s="275">
        <f t="shared" si="14"/>
        <v>0</v>
      </c>
      <c r="AY43" s="275"/>
      <c r="AZ43" s="275">
        <v>38340000</v>
      </c>
      <c r="BA43" s="275">
        <f>'[1]POLY DISB 2019'!P47</f>
        <v>38340000</v>
      </c>
      <c r="BB43" s="275">
        <f t="shared" si="15"/>
        <v>0</v>
      </c>
      <c r="BC43" s="275"/>
      <c r="BD43" s="275">
        <v>0</v>
      </c>
      <c r="BE43" s="275">
        <f>'[1]POLY DISB 2019'!Q47</f>
        <v>0</v>
      </c>
      <c r="BF43" s="275">
        <f t="shared" si="16"/>
        <v>0</v>
      </c>
      <c r="BG43" s="275"/>
      <c r="BH43" s="275">
        <f>'[1]POLY commited funds to date'!S43</f>
        <v>126060000</v>
      </c>
      <c r="BI43" s="275">
        <f>'[1]POLY DISB 2019'!R47</f>
        <v>126060000</v>
      </c>
      <c r="BJ43" s="275">
        <f t="shared" si="17"/>
        <v>0</v>
      </c>
      <c r="BK43" s="275"/>
      <c r="BL43" s="275">
        <f>'[1]poly  com. adj for fmis'!S43</f>
        <v>0</v>
      </c>
      <c r="BM43" s="275">
        <f>'[1]POLY DISB 2019'!S47</f>
        <v>0</v>
      </c>
      <c r="BN43" s="269">
        <f t="shared" si="18"/>
        <v>0</v>
      </c>
      <c r="BO43" s="275"/>
      <c r="BP43" s="276">
        <f>'[1]POLY commited funds to date'!U43</f>
        <v>169900000</v>
      </c>
      <c r="BQ43" s="275">
        <f>'[1]POLY DISB 2019'!T47</f>
        <v>169900000</v>
      </c>
      <c r="BR43" s="275">
        <f t="shared" si="19"/>
        <v>0</v>
      </c>
      <c r="BS43" s="275"/>
      <c r="BT43" s="275">
        <f>'[1]POLY commited funds to date'!V43</f>
        <v>10000000</v>
      </c>
      <c r="BU43" s="275">
        <f>'[1]POLY DISB 2019'!U47</f>
        <v>10000000</v>
      </c>
      <c r="BV43" s="275">
        <f t="shared" si="20"/>
        <v>0</v>
      </c>
      <c r="BW43" s="275"/>
      <c r="BX43" s="275">
        <f>'[1]POLY commited funds to date'!W43</f>
        <v>0</v>
      </c>
      <c r="BY43" s="275">
        <f>'[1]POLY DISB 2019'!V47</f>
        <v>0</v>
      </c>
      <c r="BZ43" s="275">
        <f t="shared" si="21"/>
        <v>0</v>
      </c>
      <c r="CA43" s="275"/>
      <c r="CB43" s="275">
        <f>'[1]POLY commited funds to date'!X43</f>
        <v>210000000</v>
      </c>
      <c r="CC43" s="275">
        <f>'[1]POLY DISB 2019'!W47</f>
        <v>210000000</v>
      </c>
      <c r="CD43" s="275">
        <f t="shared" si="22"/>
        <v>0</v>
      </c>
      <c r="CE43" s="275"/>
      <c r="CF43" s="275">
        <f>'[1]POLY commited funds to date'!Y43</f>
        <v>0</v>
      </c>
      <c r="CG43" s="275">
        <f>'[1]POLY DISB 2019'!X47</f>
        <v>0</v>
      </c>
      <c r="CH43" s="275">
        <f t="shared" si="23"/>
        <v>0</v>
      </c>
      <c r="CI43" s="275"/>
      <c r="CJ43" s="275">
        <f>'[1]POLY commited funds to date'!Z43</f>
        <v>0</v>
      </c>
      <c r="CK43" s="275">
        <f>'[1]POLY DISB 2019'!Y47</f>
        <v>0</v>
      </c>
      <c r="CL43" s="275">
        <f t="shared" si="24"/>
        <v>0</v>
      </c>
      <c r="CM43" s="275"/>
      <c r="CN43" s="275">
        <f>'[1]POLY commited funds to date'!AA43</f>
        <v>243000000</v>
      </c>
      <c r="CO43" s="275">
        <f>'[1]POLY DISB 2019'!Z47</f>
        <v>138510000</v>
      </c>
      <c r="CP43" s="275">
        <f t="shared" si="25"/>
        <v>104490000</v>
      </c>
      <c r="CQ43" s="275"/>
      <c r="CR43" s="275">
        <v>10000000</v>
      </c>
      <c r="CS43" s="275">
        <f>'[1]POLY DISB 2019'!AA47</f>
        <v>10000000</v>
      </c>
      <c r="CT43" s="275">
        <f t="shared" si="26"/>
        <v>0</v>
      </c>
      <c r="CU43" s="275"/>
      <c r="CV43" s="275">
        <f>'[1]POLY commited funds to date'!AC43</f>
        <v>371000000</v>
      </c>
      <c r="CW43" s="275">
        <f>'[1]POLY DISB 2019'!AB47</f>
        <v>211469999.99999997</v>
      </c>
      <c r="CX43" s="275">
        <f t="shared" si="27"/>
        <v>159530000.00000003</v>
      </c>
      <c r="CY43" s="275"/>
      <c r="CZ43" s="275">
        <f>'[1]POLY commited funds to date'!AD43</f>
        <v>20000000</v>
      </c>
      <c r="DA43" s="275">
        <f>'[1]POLY DISB 2019'!AC47</f>
        <v>17000000</v>
      </c>
      <c r="DB43" s="275">
        <f t="shared" si="28"/>
        <v>3000000</v>
      </c>
      <c r="DC43" s="275"/>
      <c r="DD43" s="275">
        <f>'[1]POLY commited funds to date'!AE43</f>
        <v>0</v>
      </c>
      <c r="DE43" s="275">
        <f>'[1]POLY DISB 2019'!AD47</f>
        <v>0</v>
      </c>
      <c r="DF43" s="275">
        <f t="shared" si="29"/>
        <v>0</v>
      </c>
      <c r="DG43" s="275"/>
      <c r="DH43" s="275">
        <f>'[1]poly  com. adj for fmis'!AE43</f>
        <v>0</v>
      </c>
      <c r="DI43" s="275">
        <f>'[1]POLY DISB 2019'!AE47</f>
        <v>0</v>
      </c>
      <c r="DJ43" s="275">
        <f t="shared" si="30"/>
        <v>0</v>
      </c>
      <c r="DK43" s="275"/>
      <c r="DL43" s="275">
        <f>'[1]poly  com. adj for fmis'!AF43</f>
        <v>0</v>
      </c>
      <c r="DM43" s="275">
        <f>'[1]POLY DISB 2019'!AF47</f>
        <v>0</v>
      </c>
      <c r="DN43" s="275">
        <f t="shared" si="31"/>
        <v>0</v>
      </c>
      <c r="DO43" s="275"/>
      <c r="DP43" s="275">
        <f>'[1]poly  com. adj for fmis'!AG43</f>
        <v>0</v>
      </c>
      <c r="DQ43" s="275">
        <f>'[1]POLY DISB 2019'!AG47</f>
        <v>0</v>
      </c>
      <c r="DR43" s="275">
        <f t="shared" si="32"/>
        <v>0</v>
      </c>
      <c r="DS43" s="275"/>
      <c r="DT43" s="275">
        <f>'[1]poly  com. adj for fmis'!AH43</f>
        <v>0</v>
      </c>
      <c r="DU43" s="275">
        <f>'[1]POLY DISB 2019'!AH47</f>
        <v>0</v>
      </c>
      <c r="DV43" s="275">
        <f t="shared" si="33"/>
        <v>0</v>
      </c>
      <c r="DW43" s="275"/>
      <c r="DX43" s="275">
        <f>'[1]poly  com. adj for fmis'!AI43</f>
        <v>0</v>
      </c>
      <c r="DY43" s="275">
        <f>'[1]POLY DISB 2019'!AI47</f>
        <v>0</v>
      </c>
      <c r="DZ43" s="275">
        <f t="shared" si="34"/>
        <v>0</v>
      </c>
      <c r="EA43" s="275"/>
      <c r="EB43" s="275">
        <f>'[1]POLY commited funds to date'!AK43</f>
        <v>380632000</v>
      </c>
      <c r="EC43" s="275">
        <f>'[1]POLY DISB 2019'!AJ47</f>
        <v>216960239.99999997</v>
      </c>
      <c r="ED43" s="275">
        <f t="shared" si="35"/>
        <v>163671760.00000003</v>
      </c>
      <c r="EE43" s="275"/>
      <c r="EF43" s="275">
        <f>'[1]POLY commited funds to date'!AL43</f>
        <v>8000000</v>
      </c>
      <c r="EG43" s="275">
        <f>'[1]POLY DISB 2019'!AK47</f>
        <v>4800000</v>
      </c>
      <c r="EH43" s="275">
        <f t="shared" si="36"/>
        <v>3200000</v>
      </c>
      <c r="EI43" s="275"/>
      <c r="EJ43" s="275">
        <f>'[1]POLY commited funds to date'!AM43</f>
        <v>10000000</v>
      </c>
      <c r="EK43" s="275">
        <f>'[1]POLY DISB 2019'!AL47</f>
        <v>8500000</v>
      </c>
      <c r="EL43" s="275">
        <f t="shared" si="37"/>
        <v>1500000</v>
      </c>
      <c r="EM43" s="275"/>
      <c r="EN43" s="275">
        <f>'[1]POLY commited funds to date'!AN43</f>
        <v>10000000</v>
      </c>
      <c r="EO43" s="275">
        <f>'[1]POLY DISB 2019'!AM47</f>
        <v>0</v>
      </c>
      <c r="EP43" s="275">
        <f t="shared" si="38"/>
        <v>10000000</v>
      </c>
      <c r="EQ43" s="275">
        <f>'[1]POLY commited funds to date'!AO43</f>
        <v>0</v>
      </c>
      <c r="ER43" s="275">
        <f>'[1]POLY DISB 2019'!AN47</f>
        <v>0</v>
      </c>
      <c r="ES43" s="275">
        <f t="shared" si="39"/>
        <v>0</v>
      </c>
      <c r="ET43" s="275"/>
      <c r="EU43" s="275">
        <f>'[1]POLY commited funds to date'!AP43</f>
        <v>0</v>
      </c>
      <c r="EV43" s="275">
        <f>'[1]POLY DISB 2019'!AO47</f>
        <v>0</v>
      </c>
      <c r="EW43" s="275">
        <f t="shared" si="40"/>
        <v>0</v>
      </c>
      <c r="EX43" s="275"/>
      <c r="EY43" s="275">
        <f>'[1]POLY commited funds to date'!AQ43</f>
        <v>75000000</v>
      </c>
      <c r="EZ43" s="275">
        <f>'[1]POLY DISB 2019'!AP47</f>
        <v>58500000</v>
      </c>
      <c r="FA43" s="275">
        <f t="shared" si="41"/>
        <v>16500000</v>
      </c>
      <c r="FB43" s="275"/>
      <c r="FC43" s="275">
        <f>'[1]POLY commited funds to date'!AR43</f>
        <v>0</v>
      </c>
      <c r="FD43" s="275">
        <f>'[1]POLY DISB 2019'!AQ47</f>
        <v>0</v>
      </c>
      <c r="FE43" s="275">
        <f t="shared" si="42"/>
        <v>0</v>
      </c>
      <c r="FF43" s="275"/>
      <c r="FG43" s="275">
        <f>'[1]POLY commited funds to date'!AS43</f>
        <v>0</v>
      </c>
      <c r="FH43" s="275">
        <f>'[1]POLY DISB 2019'!AR47</f>
        <v>0</v>
      </c>
      <c r="FI43" s="275">
        <f t="shared" si="43"/>
        <v>0</v>
      </c>
      <c r="FJ43" s="275"/>
      <c r="FK43" s="275">
        <f>'[1]POLY commited funds to date'!AT43</f>
        <v>0</v>
      </c>
      <c r="FL43" s="275">
        <f>'[1]POLY DISB 2019'!AS47</f>
        <v>0</v>
      </c>
      <c r="FM43" s="275">
        <f t="shared" si="44"/>
        <v>0</v>
      </c>
      <c r="FN43" s="275"/>
      <c r="FO43" s="275">
        <f>'[1]POLY commited funds to date'!AU43</f>
        <v>245000000</v>
      </c>
      <c r="FP43" s="275">
        <f>'[1]POLY DISB 2019'!AT47</f>
        <v>0</v>
      </c>
      <c r="FQ43" s="275">
        <f t="shared" si="45"/>
        <v>245000000</v>
      </c>
      <c r="FR43" s="275">
        <f>'[1]POLY commited funds to date'!AV43</f>
        <v>119074602</v>
      </c>
      <c r="FS43" s="275">
        <f>'[1]POLY DISB 2019'!AU47</f>
        <v>0</v>
      </c>
      <c r="FT43" s="275">
        <f t="shared" si="46"/>
        <v>119074602</v>
      </c>
      <c r="FU43" s="275"/>
      <c r="FV43" s="275">
        <f>'[1]POLY commited funds to date'!AW43</f>
        <v>13000000</v>
      </c>
      <c r="FW43" s="275">
        <f>'[1]POLY DISB 2019'!AV47</f>
        <v>0</v>
      </c>
      <c r="FX43" s="275">
        <f t="shared" si="47"/>
        <v>13000000</v>
      </c>
      <c r="FY43" s="275"/>
      <c r="FZ43" s="275">
        <f>'[1]POLY commited funds to date'!AX43</f>
        <v>8628900</v>
      </c>
      <c r="GA43" s="275">
        <f>'[1]POLY DISB 2019'!AW47</f>
        <v>0</v>
      </c>
      <c r="GB43" s="275">
        <f t="shared" si="48"/>
        <v>8628900</v>
      </c>
      <c r="GC43" s="275">
        <f>'[1]POLY commited funds to date'!AY43</f>
        <v>5000000</v>
      </c>
      <c r="GD43" s="275">
        <f>'[1]POLY DISB 2019'!AX47</f>
        <v>0</v>
      </c>
      <c r="GE43" s="275">
        <f t="shared" si="49"/>
        <v>5000000</v>
      </c>
      <c r="GF43" s="275"/>
      <c r="GG43" s="275">
        <f>'[1]POLY commited funds to date'!AZ43</f>
        <v>0</v>
      </c>
      <c r="GH43" s="275">
        <f>'[1]POLY DISB 2019'!AY47</f>
        <v>0</v>
      </c>
      <c r="GI43" s="275">
        <f t="shared" si="50"/>
        <v>0</v>
      </c>
      <c r="GJ43" s="275"/>
      <c r="GK43" s="275">
        <f t="shared" si="51"/>
        <v>2297344804</v>
      </c>
      <c r="GL43" s="275">
        <f t="shared" si="51"/>
        <v>1444749542</v>
      </c>
      <c r="GM43" s="275">
        <f t="shared" si="52"/>
        <v>852595262</v>
      </c>
      <c r="GN43" s="265"/>
      <c r="GO43" s="277">
        <f t="shared" si="53"/>
        <v>1998641302</v>
      </c>
      <c r="GP43" s="277">
        <f t="shared" si="53"/>
        <v>1325949542</v>
      </c>
      <c r="GQ43" s="277">
        <f t="shared" si="54"/>
        <v>672691760</v>
      </c>
      <c r="GR43" s="277">
        <f t="shared" si="69"/>
        <v>10000000</v>
      </c>
      <c r="GS43" s="277">
        <f t="shared" si="69"/>
        <v>10000000</v>
      </c>
      <c r="GT43" s="277">
        <f t="shared" si="55"/>
        <v>0</v>
      </c>
      <c r="GU43" s="277"/>
      <c r="GV43" s="265"/>
      <c r="GW43" s="279">
        <f t="shared" si="68"/>
        <v>0</v>
      </c>
      <c r="GX43" s="279">
        <f t="shared" si="68"/>
        <v>0</v>
      </c>
      <c r="GY43" s="280">
        <f t="shared" si="57"/>
        <v>0</v>
      </c>
      <c r="GZ43" s="280"/>
      <c r="HA43" s="277">
        <f t="shared" si="58"/>
        <v>58628900</v>
      </c>
      <c r="HB43" s="277">
        <f t="shared" si="58"/>
        <v>45500000</v>
      </c>
      <c r="HC43" s="277">
        <f t="shared" si="59"/>
        <v>13128900</v>
      </c>
      <c r="HE43" s="277">
        <f t="shared" si="60"/>
        <v>21000000</v>
      </c>
      <c r="HF43" s="277">
        <f t="shared" si="60"/>
        <v>4800000</v>
      </c>
      <c r="HG43" s="277">
        <f t="shared" si="61"/>
        <v>16200000</v>
      </c>
      <c r="HI43" s="279">
        <f t="shared" si="62"/>
        <v>194074602</v>
      </c>
      <c r="HJ43" s="279">
        <f t="shared" si="62"/>
        <v>58500000</v>
      </c>
      <c r="HK43" s="279">
        <f t="shared" si="63"/>
        <v>135574602</v>
      </c>
      <c r="HM43" s="279">
        <f t="shared" si="64"/>
        <v>0</v>
      </c>
      <c r="HN43" s="279">
        <f t="shared" si="1"/>
        <v>0</v>
      </c>
      <c r="HO43" s="279">
        <f t="shared" si="65"/>
        <v>0</v>
      </c>
      <c r="HQ43" s="279">
        <f t="shared" si="66"/>
        <v>15000000</v>
      </c>
      <c r="HR43" s="279">
        <f t="shared" si="2"/>
        <v>0</v>
      </c>
      <c r="HS43" s="279">
        <f t="shared" si="67"/>
        <v>15000000</v>
      </c>
    </row>
    <row r="44" spans="1:227" x14ac:dyDescent="0.25">
      <c r="A44" s="235">
        <v>36</v>
      </c>
      <c r="B44" s="273" t="s">
        <v>235</v>
      </c>
      <c r="C44" s="274" t="s">
        <v>69</v>
      </c>
      <c r="D44" s="275">
        <v>24709302</v>
      </c>
      <c r="E44" s="275">
        <f>'[1]POLY DISB 2019'!C48</f>
        <v>24709302</v>
      </c>
      <c r="F44" s="275">
        <f t="shared" si="3"/>
        <v>0</v>
      </c>
      <c r="G44" s="275"/>
      <c r="H44" s="275">
        <v>10000000</v>
      </c>
      <c r="I44" s="275">
        <f>'[1]POLY DISB 2019'!D48</f>
        <v>10000000</v>
      </c>
      <c r="J44" s="275">
        <f t="shared" si="4"/>
        <v>0</v>
      </c>
      <c r="K44" s="275"/>
      <c r="L44" s="275">
        <v>20000000</v>
      </c>
      <c r="M44" s="275">
        <f>'[1]POLY DISB 2019'!E48</f>
        <v>20000000</v>
      </c>
      <c r="N44" s="275">
        <f t="shared" si="5"/>
        <v>0</v>
      </c>
      <c r="O44" s="275"/>
      <c r="P44" s="275">
        <v>25000000</v>
      </c>
      <c r="Q44" s="275">
        <f>'[1]POLY DISB 2019'!F48</f>
        <v>25000000</v>
      </c>
      <c r="R44" s="275">
        <f t="shared" si="6"/>
        <v>0</v>
      </c>
      <c r="S44" s="275"/>
      <c r="T44" s="275">
        <v>12000000</v>
      </c>
      <c r="U44" s="275">
        <f>'[1]POLY DISB 2019'!G48</f>
        <v>12000000</v>
      </c>
      <c r="V44" s="275">
        <f t="shared" si="7"/>
        <v>0</v>
      </c>
      <c r="W44" s="275"/>
      <c r="X44" s="275">
        <v>12000000</v>
      </c>
      <c r="Y44" s="275">
        <f>'[1]POLY DISB 2019'!H48</f>
        <v>12000000</v>
      </c>
      <c r="Z44" s="275">
        <f t="shared" si="8"/>
        <v>0</v>
      </c>
      <c r="AA44" s="275"/>
      <c r="AB44" s="275">
        <v>0</v>
      </c>
      <c r="AC44" s="275">
        <f>'[1]POLY DISB 2019'!I48</f>
        <v>0</v>
      </c>
      <c r="AD44" s="275">
        <f t="shared" si="9"/>
        <v>0</v>
      </c>
      <c r="AE44" s="275"/>
      <c r="AF44" s="275">
        <f>'[1]POLY commited funds to date'!K44</f>
        <v>20000000</v>
      </c>
      <c r="AG44" s="275">
        <f>'[1]POLY DISB 2019'!J48</f>
        <v>20000000</v>
      </c>
      <c r="AH44" s="275">
        <f t="shared" si="10"/>
        <v>0</v>
      </c>
      <c r="AI44" s="275"/>
      <c r="AJ44" s="275">
        <v>8500000</v>
      </c>
      <c r="AK44" s="275">
        <f>'[1]POLY DISB 2019'!K48</f>
        <v>8500000</v>
      </c>
      <c r="AL44" s="275">
        <f t="shared" si="11"/>
        <v>0</v>
      </c>
      <c r="AM44" s="275"/>
      <c r="AN44" s="275">
        <v>20000000</v>
      </c>
      <c r="AO44" s="275">
        <f>'[1]POLY DISB 2019'!L48</f>
        <v>20000000</v>
      </c>
      <c r="AP44" s="275">
        <f t="shared" si="12"/>
        <v>0</v>
      </c>
      <c r="AQ44" s="275"/>
      <c r="AR44" s="275">
        <v>26000000</v>
      </c>
      <c r="AS44" s="275">
        <f>'[1]POLY DISB 2019'!M48</f>
        <v>26000000</v>
      </c>
      <c r="AT44" s="275">
        <f t="shared" si="13"/>
        <v>0</v>
      </c>
      <c r="AU44" s="275"/>
      <c r="AV44" s="275">
        <v>45000000</v>
      </c>
      <c r="AW44" s="275">
        <f>'[1]POLY DISB 2019'!N48</f>
        <v>45000000</v>
      </c>
      <c r="AX44" s="275">
        <f t="shared" si="14"/>
        <v>0</v>
      </c>
      <c r="AY44" s="275"/>
      <c r="AZ44" s="275">
        <v>38340000</v>
      </c>
      <c r="BA44" s="275">
        <f>'[1]POLY DISB 2019'!P48</f>
        <v>38340000</v>
      </c>
      <c r="BB44" s="275">
        <f t="shared" si="15"/>
        <v>0</v>
      </c>
      <c r="BC44" s="275"/>
      <c r="BD44" s="275">
        <v>0</v>
      </c>
      <c r="BE44" s="275">
        <f>'[1]POLY DISB 2019'!Q48</f>
        <v>0</v>
      </c>
      <c r="BF44" s="275">
        <f t="shared" si="16"/>
        <v>0</v>
      </c>
      <c r="BG44" s="275"/>
      <c r="BH44" s="275">
        <f>'[1]POLY commited funds to date'!S44</f>
        <v>126060000</v>
      </c>
      <c r="BI44" s="275">
        <f>'[1]POLY DISB 2019'!R48</f>
        <v>126060000</v>
      </c>
      <c r="BJ44" s="275">
        <f t="shared" si="17"/>
        <v>0</v>
      </c>
      <c r="BK44" s="275"/>
      <c r="BL44" s="275">
        <f>'[1]poly  com. adj for fmis'!S44</f>
        <v>0</v>
      </c>
      <c r="BM44" s="275">
        <f>'[1]POLY DISB 2019'!S48</f>
        <v>0</v>
      </c>
      <c r="BN44" s="269">
        <f t="shared" si="18"/>
        <v>0</v>
      </c>
      <c r="BO44" s="275"/>
      <c r="BP44" s="276">
        <f>'[1]POLY commited funds to date'!U44</f>
        <v>169900000</v>
      </c>
      <c r="BQ44" s="275">
        <f>'[1]POLY DISB 2019'!T48</f>
        <v>169900000</v>
      </c>
      <c r="BR44" s="275">
        <f t="shared" si="19"/>
        <v>0</v>
      </c>
      <c r="BS44" s="275"/>
      <c r="BT44" s="275">
        <f>'[1]POLY commited funds to date'!V44</f>
        <v>10000000</v>
      </c>
      <c r="BU44" s="275">
        <f>'[1]POLY DISB 2019'!U48</f>
        <v>0</v>
      </c>
      <c r="BV44" s="275">
        <f t="shared" si="20"/>
        <v>10000000</v>
      </c>
      <c r="BW44" s="275"/>
      <c r="BX44" s="275">
        <f>'[1]POLY commited funds to date'!W44</f>
        <v>0</v>
      </c>
      <c r="BY44" s="275">
        <f>'[1]POLY DISB 2019'!V48</f>
        <v>0</v>
      </c>
      <c r="BZ44" s="275">
        <f t="shared" si="21"/>
        <v>0</v>
      </c>
      <c r="CA44" s="275"/>
      <c r="CB44" s="275">
        <f>'[1]POLY commited funds to date'!X44</f>
        <v>210000000</v>
      </c>
      <c r="CC44" s="275">
        <f>'[1]POLY DISB 2019'!W48</f>
        <v>178500000</v>
      </c>
      <c r="CD44" s="275">
        <f t="shared" si="22"/>
        <v>31500000</v>
      </c>
      <c r="CE44" s="275"/>
      <c r="CF44" s="275">
        <f>'[1]POLY commited funds to date'!Y44</f>
        <v>100000000</v>
      </c>
      <c r="CG44" s="275">
        <f>'[1]POLY DISB 2019'!X48</f>
        <v>100000000</v>
      </c>
      <c r="CH44" s="275">
        <f t="shared" si="23"/>
        <v>0</v>
      </c>
      <c r="CI44" s="275"/>
      <c r="CJ44" s="275">
        <f>'[1]POLY commited funds to date'!Z44</f>
        <v>40000000</v>
      </c>
      <c r="CK44" s="275">
        <f>'[1]POLY DISB 2019'!Y48</f>
        <v>34000000</v>
      </c>
      <c r="CL44" s="275">
        <f t="shared" si="24"/>
        <v>6000000</v>
      </c>
      <c r="CM44" s="275"/>
      <c r="CN44" s="275">
        <f>'[1]POLY commited funds to date'!AA44</f>
        <v>243000000</v>
      </c>
      <c r="CO44" s="275">
        <f>'[1]POLY DISB 2019'!Z48</f>
        <v>206550000</v>
      </c>
      <c r="CP44" s="275">
        <f t="shared" si="25"/>
        <v>36450000</v>
      </c>
      <c r="CQ44" s="275"/>
      <c r="CR44" s="275">
        <v>10000000</v>
      </c>
      <c r="CS44" s="275">
        <f>'[1]POLY DISB 2019'!AA48</f>
        <v>8500000</v>
      </c>
      <c r="CT44" s="275">
        <f t="shared" si="26"/>
        <v>1500000</v>
      </c>
      <c r="CU44" s="275"/>
      <c r="CV44" s="275">
        <f>'[1]POLY commited funds to date'!AC44</f>
        <v>371000000</v>
      </c>
      <c r="CW44" s="275">
        <f>'[1]POLY DISB 2019'!AB48</f>
        <v>315350000</v>
      </c>
      <c r="CX44" s="275">
        <f t="shared" si="27"/>
        <v>55650000</v>
      </c>
      <c r="CY44" s="275"/>
      <c r="CZ44" s="275">
        <f>'[1]POLY commited funds to date'!AD44</f>
        <v>20000000</v>
      </c>
      <c r="DA44" s="275">
        <f>'[1]POLY DISB 2019'!AC48</f>
        <v>17000000</v>
      </c>
      <c r="DB44" s="275">
        <f t="shared" si="28"/>
        <v>3000000</v>
      </c>
      <c r="DC44" s="275"/>
      <c r="DD44" s="275">
        <f>'[1]POLY commited funds to date'!AE44</f>
        <v>200000000</v>
      </c>
      <c r="DE44" s="275">
        <f>'[1]POLY DISB 2019'!AD48</f>
        <v>200000000</v>
      </c>
      <c r="DF44" s="275">
        <f t="shared" si="29"/>
        <v>0</v>
      </c>
      <c r="DG44" s="275"/>
      <c r="DH44" s="275">
        <f>'[1]poly  com. adj for fmis'!AE44</f>
        <v>80000000</v>
      </c>
      <c r="DI44" s="275">
        <f>'[1]POLY DISB 2019'!AE48</f>
        <v>0</v>
      </c>
      <c r="DJ44" s="275">
        <f t="shared" si="30"/>
        <v>80000000</v>
      </c>
      <c r="DK44" s="275"/>
      <c r="DL44" s="275">
        <f>'[1]poly  com. adj for fmis'!AF44</f>
        <v>8000000</v>
      </c>
      <c r="DM44" s="275">
        <f>'[1]POLY DISB 2019'!AF48</f>
        <v>0</v>
      </c>
      <c r="DN44" s="275">
        <f t="shared" si="31"/>
        <v>8000000</v>
      </c>
      <c r="DO44" s="275"/>
      <c r="DP44" s="275">
        <f>'[1]poly  com. adj for fmis'!AG44</f>
        <v>2000000</v>
      </c>
      <c r="DQ44" s="275">
        <f>'[1]POLY DISB 2019'!AG48</f>
        <v>0</v>
      </c>
      <c r="DR44" s="275">
        <f t="shared" si="32"/>
        <v>2000000</v>
      </c>
      <c r="DS44" s="275"/>
      <c r="DT44" s="275">
        <f>'[1]poly  com. adj for fmis'!AH44</f>
        <v>10000000</v>
      </c>
      <c r="DU44" s="275">
        <f>'[1]POLY DISB 2019'!AH48</f>
        <v>8500000</v>
      </c>
      <c r="DV44" s="275">
        <f t="shared" si="33"/>
        <v>1500000</v>
      </c>
      <c r="DW44" s="275"/>
      <c r="DX44" s="275">
        <f>'[1]poly  com. adj for fmis'!AI44</f>
        <v>150000000</v>
      </c>
      <c r="DY44" s="275">
        <f>'[1]POLY DISB 2019'!AI48</f>
        <v>97500000</v>
      </c>
      <c r="DZ44" s="275">
        <f t="shared" si="34"/>
        <v>52500000</v>
      </c>
      <c r="EA44" s="275"/>
      <c r="EB44" s="275">
        <f>'[1]POLY commited funds to date'!AK44</f>
        <v>380632000</v>
      </c>
      <c r="EC44" s="275">
        <f>'[1]POLY DISB 2019'!AJ48</f>
        <v>0</v>
      </c>
      <c r="ED44" s="275">
        <f t="shared" si="35"/>
        <v>380632000</v>
      </c>
      <c r="EE44" s="275"/>
      <c r="EF44" s="275">
        <f>'[1]POLY commited funds to date'!AL44</f>
        <v>8000000</v>
      </c>
      <c r="EG44" s="275">
        <f>'[1]POLY DISB 2019'!AK48</f>
        <v>0</v>
      </c>
      <c r="EH44" s="275">
        <f t="shared" si="36"/>
        <v>8000000</v>
      </c>
      <c r="EI44" s="275"/>
      <c r="EJ44" s="275">
        <f>'[1]POLY commited funds to date'!AM44</f>
        <v>10000000</v>
      </c>
      <c r="EK44" s="275">
        <f>'[1]POLY DISB 2019'!AL48</f>
        <v>8500000</v>
      </c>
      <c r="EL44" s="275">
        <f t="shared" si="37"/>
        <v>1500000</v>
      </c>
      <c r="EM44" s="275"/>
      <c r="EN44" s="275">
        <f>'[1]POLY commited funds to date'!AN44</f>
        <v>10000000</v>
      </c>
      <c r="EO44" s="275">
        <f>'[1]POLY DISB 2019'!AM48</f>
        <v>0</v>
      </c>
      <c r="EP44" s="275">
        <f t="shared" si="38"/>
        <v>10000000</v>
      </c>
      <c r="EQ44" s="275">
        <f>'[1]POLY commited funds to date'!AO44</f>
        <v>0</v>
      </c>
      <c r="ER44" s="275">
        <f>'[1]POLY DISB 2019'!AN48</f>
        <v>0</v>
      </c>
      <c r="ES44" s="275">
        <f t="shared" si="39"/>
        <v>0</v>
      </c>
      <c r="ET44" s="275"/>
      <c r="EU44" s="275">
        <f>'[1]POLY commited funds to date'!AP44</f>
        <v>205000000</v>
      </c>
      <c r="EV44" s="275">
        <f>'[1]POLY DISB 2019'!AO48</f>
        <v>0</v>
      </c>
      <c r="EW44" s="275">
        <f t="shared" si="40"/>
        <v>205000000</v>
      </c>
      <c r="EX44" s="275"/>
      <c r="EY44" s="275">
        <f>'[1]POLY commited funds to date'!AQ44</f>
        <v>75000000</v>
      </c>
      <c r="EZ44" s="275">
        <f>'[1]POLY DISB 2019'!AP48</f>
        <v>52500000</v>
      </c>
      <c r="FA44" s="275">
        <f t="shared" si="41"/>
        <v>22500000</v>
      </c>
      <c r="FB44" s="275"/>
      <c r="FC44" s="275">
        <f>'[1]POLY commited funds to date'!AR44</f>
        <v>7000000</v>
      </c>
      <c r="FD44" s="275">
        <f>'[1]POLY DISB 2019'!AQ48</f>
        <v>0</v>
      </c>
      <c r="FE44" s="275">
        <f t="shared" si="42"/>
        <v>7000000</v>
      </c>
      <c r="FF44" s="275"/>
      <c r="FG44" s="275">
        <f>'[1]POLY commited funds to date'!AS44</f>
        <v>6300000</v>
      </c>
      <c r="FH44" s="275">
        <f>'[1]POLY DISB 2019'!AR48</f>
        <v>0</v>
      </c>
      <c r="FI44" s="275">
        <f t="shared" si="43"/>
        <v>6300000</v>
      </c>
      <c r="FJ44" s="275"/>
      <c r="FK44" s="275">
        <f>'[1]POLY commited funds to date'!AT44</f>
        <v>7500000</v>
      </c>
      <c r="FL44" s="275">
        <f>'[1]POLY DISB 2019'!AS48</f>
        <v>0</v>
      </c>
      <c r="FM44" s="275">
        <f t="shared" si="44"/>
        <v>7500000</v>
      </c>
      <c r="FN44" s="275"/>
      <c r="FO44" s="275">
        <f>'[1]POLY commited funds to date'!AU44</f>
        <v>245000000</v>
      </c>
      <c r="FP44" s="275">
        <f>'[1]POLY DISB 2019'!AT48</f>
        <v>0</v>
      </c>
      <c r="FQ44" s="275">
        <f t="shared" si="45"/>
        <v>245000000</v>
      </c>
      <c r="FR44" s="275">
        <f>'[1]POLY commited funds to date'!AV44</f>
        <v>119074602</v>
      </c>
      <c r="FS44" s="275">
        <f>'[1]POLY DISB 2019'!AU48</f>
        <v>0</v>
      </c>
      <c r="FT44" s="275">
        <f t="shared" si="46"/>
        <v>119074602</v>
      </c>
      <c r="FU44" s="275"/>
      <c r="FV44" s="275">
        <f>'[1]POLY commited funds to date'!AW44</f>
        <v>13000000</v>
      </c>
      <c r="FW44" s="275">
        <f>'[1]POLY DISB 2019'!AV48</f>
        <v>0</v>
      </c>
      <c r="FX44" s="275">
        <f t="shared" si="47"/>
        <v>13000000</v>
      </c>
      <c r="FY44" s="275"/>
      <c r="FZ44" s="275">
        <f>'[1]POLY commited funds to date'!AX44</f>
        <v>8628900</v>
      </c>
      <c r="GA44" s="275">
        <f>'[1]POLY DISB 2019'!AW48</f>
        <v>0</v>
      </c>
      <c r="GB44" s="275">
        <f t="shared" si="48"/>
        <v>8628900</v>
      </c>
      <c r="GC44" s="275">
        <f>'[1]POLY commited funds to date'!AY44</f>
        <v>5000000</v>
      </c>
      <c r="GD44" s="275">
        <f>'[1]POLY DISB 2019'!AX48</f>
        <v>0</v>
      </c>
      <c r="GE44" s="275">
        <f t="shared" si="49"/>
        <v>5000000</v>
      </c>
      <c r="GF44" s="275"/>
      <c r="GG44" s="275">
        <f>'[1]POLY commited funds to date'!AZ44</f>
        <v>0</v>
      </c>
      <c r="GH44" s="275">
        <f>'[1]POLY DISB 2019'!AY48</f>
        <v>0</v>
      </c>
      <c r="GI44" s="275">
        <f t="shared" si="50"/>
        <v>0</v>
      </c>
      <c r="GJ44" s="275"/>
      <c r="GK44" s="275">
        <f t="shared" si="51"/>
        <v>3111644804</v>
      </c>
      <c r="GL44" s="275">
        <f t="shared" si="51"/>
        <v>1784409302</v>
      </c>
      <c r="GM44" s="275">
        <f t="shared" si="52"/>
        <v>1327235502</v>
      </c>
      <c r="GN44" s="265"/>
      <c r="GO44" s="277">
        <f t="shared" si="53"/>
        <v>2283641302</v>
      </c>
      <c r="GP44" s="277">
        <f t="shared" si="53"/>
        <v>1249409302</v>
      </c>
      <c r="GQ44" s="277">
        <f t="shared" si="54"/>
        <v>1034232000</v>
      </c>
      <c r="GR44" s="277">
        <f t="shared" si="69"/>
        <v>8500000</v>
      </c>
      <c r="GS44" s="277">
        <f t="shared" si="69"/>
        <v>8500000</v>
      </c>
      <c r="GT44" s="277">
        <f t="shared" si="55"/>
        <v>0</v>
      </c>
      <c r="GU44" s="277"/>
      <c r="GV44" s="265"/>
      <c r="GW44" s="279">
        <f t="shared" si="68"/>
        <v>490000000</v>
      </c>
      <c r="GX44" s="279">
        <f t="shared" si="68"/>
        <v>431500000</v>
      </c>
      <c r="GY44" s="280">
        <f t="shared" si="57"/>
        <v>58500000</v>
      </c>
      <c r="GZ44" s="280"/>
      <c r="HA44" s="277">
        <f t="shared" si="58"/>
        <v>74928900</v>
      </c>
      <c r="HB44" s="277">
        <f t="shared" si="58"/>
        <v>42500000</v>
      </c>
      <c r="HC44" s="277">
        <f t="shared" si="59"/>
        <v>32428900</v>
      </c>
      <c r="HE44" s="277">
        <f t="shared" si="60"/>
        <v>36000000</v>
      </c>
      <c r="HF44" s="277">
        <f t="shared" si="60"/>
        <v>0</v>
      </c>
      <c r="HG44" s="277">
        <f t="shared" si="61"/>
        <v>36000000</v>
      </c>
      <c r="HI44" s="279">
        <f t="shared" si="62"/>
        <v>194074602</v>
      </c>
      <c r="HJ44" s="279">
        <f t="shared" si="62"/>
        <v>52500000</v>
      </c>
      <c r="HK44" s="279">
        <f t="shared" si="63"/>
        <v>141574602</v>
      </c>
      <c r="HM44" s="279">
        <f t="shared" si="64"/>
        <v>2000000</v>
      </c>
      <c r="HN44" s="279">
        <f t="shared" si="1"/>
        <v>0</v>
      </c>
      <c r="HO44" s="279">
        <f t="shared" si="65"/>
        <v>2000000</v>
      </c>
      <c r="HQ44" s="279">
        <f t="shared" si="66"/>
        <v>22500000</v>
      </c>
      <c r="HR44" s="279">
        <f t="shared" si="2"/>
        <v>0</v>
      </c>
      <c r="HS44" s="279">
        <f t="shared" si="67"/>
        <v>22500000</v>
      </c>
    </row>
    <row r="45" spans="1:227" x14ac:dyDescent="0.25">
      <c r="A45" s="235">
        <v>37</v>
      </c>
      <c r="B45" s="273" t="s">
        <v>236</v>
      </c>
      <c r="C45" s="274" t="s">
        <v>69</v>
      </c>
      <c r="D45" s="275">
        <v>24709302</v>
      </c>
      <c r="E45" s="275">
        <f>'[1]POLY DISB 2019'!C49</f>
        <v>24709302</v>
      </c>
      <c r="F45" s="275">
        <f t="shared" si="3"/>
        <v>0</v>
      </c>
      <c r="G45" s="275"/>
      <c r="H45" s="275">
        <v>10000000</v>
      </c>
      <c r="I45" s="275">
        <f>'[1]POLY DISB 2019'!D49</f>
        <v>10000000</v>
      </c>
      <c r="J45" s="275">
        <f t="shared" si="4"/>
        <v>0</v>
      </c>
      <c r="K45" s="275"/>
      <c r="L45" s="275">
        <v>20000000</v>
      </c>
      <c r="M45" s="275">
        <f>'[1]POLY DISB 2019'!E49</f>
        <v>20000000</v>
      </c>
      <c r="N45" s="275">
        <f t="shared" si="5"/>
        <v>0</v>
      </c>
      <c r="O45" s="275"/>
      <c r="P45" s="275">
        <v>25000000</v>
      </c>
      <c r="Q45" s="275">
        <f>'[1]POLY DISB 2019'!F49</f>
        <v>25000000</v>
      </c>
      <c r="R45" s="275">
        <f t="shared" si="6"/>
        <v>0</v>
      </c>
      <c r="S45" s="275"/>
      <c r="T45" s="275">
        <v>12000000</v>
      </c>
      <c r="U45" s="275">
        <f>'[1]POLY DISB 2019'!G49</f>
        <v>12000000</v>
      </c>
      <c r="V45" s="275">
        <f t="shared" si="7"/>
        <v>0</v>
      </c>
      <c r="W45" s="275"/>
      <c r="X45" s="275">
        <v>12000000</v>
      </c>
      <c r="Y45" s="275">
        <f>'[1]POLY DISB 2019'!H49</f>
        <v>12000000</v>
      </c>
      <c r="Z45" s="275">
        <f t="shared" si="8"/>
        <v>0</v>
      </c>
      <c r="AA45" s="275"/>
      <c r="AB45" s="275">
        <v>0</v>
      </c>
      <c r="AC45" s="275">
        <f>'[1]POLY DISB 2019'!I49</f>
        <v>0</v>
      </c>
      <c r="AD45" s="275">
        <f t="shared" si="9"/>
        <v>0</v>
      </c>
      <c r="AE45" s="275"/>
      <c r="AF45" s="275">
        <f>'[1]POLY commited funds to date'!K45</f>
        <v>20000000</v>
      </c>
      <c r="AG45" s="275">
        <f>'[1]POLY DISB 2019'!J49</f>
        <v>20000000</v>
      </c>
      <c r="AH45" s="275">
        <f t="shared" si="10"/>
        <v>0</v>
      </c>
      <c r="AI45" s="275"/>
      <c r="AJ45" s="275">
        <v>10000000</v>
      </c>
      <c r="AK45" s="275">
        <f>'[1]POLY DISB 2019'!K49</f>
        <v>10000000</v>
      </c>
      <c r="AL45" s="275">
        <f t="shared" si="11"/>
        <v>0</v>
      </c>
      <c r="AM45" s="275"/>
      <c r="AN45" s="275">
        <v>20000000</v>
      </c>
      <c r="AO45" s="275">
        <f>'[1]POLY DISB 2019'!L49</f>
        <v>20000000</v>
      </c>
      <c r="AP45" s="275">
        <f t="shared" si="12"/>
        <v>0</v>
      </c>
      <c r="AQ45" s="275"/>
      <c r="AR45" s="275">
        <v>26000000</v>
      </c>
      <c r="AS45" s="275">
        <f>'[1]POLY DISB 2019'!M49</f>
        <v>26000000</v>
      </c>
      <c r="AT45" s="275">
        <f t="shared" si="13"/>
        <v>0</v>
      </c>
      <c r="AU45" s="275"/>
      <c r="AV45" s="275">
        <v>45000000</v>
      </c>
      <c r="AW45" s="275">
        <f>'[1]POLY DISB 2019'!N49</f>
        <v>45000000</v>
      </c>
      <c r="AX45" s="275">
        <f t="shared" si="14"/>
        <v>0</v>
      </c>
      <c r="AY45" s="275"/>
      <c r="AZ45" s="275">
        <v>38340000</v>
      </c>
      <c r="BA45" s="275">
        <f>'[1]POLY DISB 2019'!P49</f>
        <v>38340000</v>
      </c>
      <c r="BB45" s="275">
        <f t="shared" si="15"/>
        <v>0</v>
      </c>
      <c r="BC45" s="275"/>
      <c r="BD45" s="275">
        <v>0</v>
      </c>
      <c r="BE45" s="275">
        <f>'[1]POLY DISB 2019'!Q49</f>
        <v>0</v>
      </c>
      <c r="BF45" s="275">
        <f t="shared" si="16"/>
        <v>0</v>
      </c>
      <c r="BG45" s="275"/>
      <c r="BH45" s="275">
        <f>'[1]POLY commited funds to date'!S45</f>
        <v>126060000</v>
      </c>
      <c r="BI45" s="275">
        <f>'[1]POLY DISB 2019'!R49</f>
        <v>126060000</v>
      </c>
      <c r="BJ45" s="275">
        <f t="shared" si="17"/>
        <v>0</v>
      </c>
      <c r="BK45" s="275"/>
      <c r="BL45" s="275">
        <f>'[1]poly  com. adj for fmis'!S45</f>
        <v>150000000</v>
      </c>
      <c r="BM45" s="275">
        <f>'[1]POLY DISB 2019'!S49</f>
        <v>150000000</v>
      </c>
      <c r="BN45" s="269">
        <f t="shared" si="18"/>
        <v>0</v>
      </c>
      <c r="BO45" s="275"/>
      <c r="BP45" s="276">
        <f>'[1]POLY commited funds to date'!U45</f>
        <v>0</v>
      </c>
      <c r="BQ45" s="275">
        <f>'[1]POLY DISB 2019'!T49</f>
        <v>0</v>
      </c>
      <c r="BR45" s="275">
        <f t="shared" si="19"/>
        <v>0</v>
      </c>
      <c r="BS45" s="275"/>
      <c r="BT45" s="275">
        <f>'[1]POLY commited funds to date'!V45</f>
        <v>0</v>
      </c>
      <c r="BU45" s="275">
        <f>'[1]POLY DISB 2019'!U49</f>
        <v>0</v>
      </c>
      <c r="BV45" s="275">
        <f t="shared" si="20"/>
        <v>0</v>
      </c>
      <c r="BW45" s="275"/>
      <c r="BX45" s="275">
        <f>'[1]POLY commited funds to date'!W45</f>
        <v>0</v>
      </c>
      <c r="BY45" s="275">
        <f>'[1]POLY DISB 2019'!V49</f>
        <v>0</v>
      </c>
      <c r="BZ45" s="275">
        <f t="shared" si="21"/>
        <v>0</v>
      </c>
      <c r="CA45" s="275"/>
      <c r="CB45" s="275">
        <f>'[1]POLY commited funds to date'!X45</f>
        <v>210000000</v>
      </c>
      <c r="CC45" s="275">
        <f>'[1]POLY DISB 2019'!W49</f>
        <v>210000000</v>
      </c>
      <c r="CD45" s="275">
        <f t="shared" si="22"/>
        <v>0</v>
      </c>
      <c r="CE45" s="275"/>
      <c r="CF45" s="275">
        <f>'[1]POLY commited funds to date'!Y45</f>
        <v>0</v>
      </c>
      <c r="CG45" s="275">
        <f>'[1]POLY DISB 2019'!X49</f>
        <v>0</v>
      </c>
      <c r="CH45" s="275">
        <f t="shared" si="23"/>
        <v>0</v>
      </c>
      <c r="CI45" s="275"/>
      <c r="CJ45" s="275">
        <f>'[1]POLY commited funds to date'!Z45</f>
        <v>0</v>
      </c>
      <c r="CK45" s="275">
        <f>'[1]POLY DISB 2019'!Y49</f>
        <v>0</v>
      </c>
      <c r="CL45" s="275">
        <f t="shared" si="24"/>
        <v>0</v>
      </c>
      <c r="CM45" s="275"/>
      <c r="CN45" s="275">
        <f>'[1]POLY commited funds to date'!AA45</f>
        <v>0</v>
      </c>
      <c r="CO45" s="275">
        <f>'[1]POLY DISB 2019'!Z49</f>
        <v>0</v>
      </c>
      <c r="CP45" s="275">
        <f t="shared" si="25"/>
        <v>0</v>
      </c>
      <c r="CQ45" s="275"/>
      <c r="CR45" s="275">
        <v>0</v>
      </c>
      <c r="CS45" s="275">
        <f>'[1]POLY DISB 2019'!AA49</f>
        <v>0</v>
      </c>
      <c r="CT45" s="275">
        <f t="shared" si="26"/>
        <v>0</v>
      </c>
      <c r="CU45" s="275"/>
      <c r="CV45" s="275">
        <f>'[1]POLY commited funds to date'!AC45</f>
        <v>371000000</v>
      </c>
      <c r="CW45" s="275">
        <f>'[1]POLY DISB 2019'!AB49</f>
        <v>315350000</v>
      </c>
      <c r="CX45" s="275">
        <f t="shared" si="27"/>
        <v>55650000</v>
      </c>
      <c r="CY45" s="275"/>
      <c r="CZ45" s="275">
        <f>'[1]POLY commited funds to date'!AD45</f>
        <v>20000000</v>
      </c>
      <c r="DA45" s="275">
        <f>'[1]POLY DISB 2019'!AC49</f>
        <v>20000000</v>
      </c>
      <c r="DB45" s="275">
        <f t="shared" si="28"/>
        <v>0</v>
      </c>
      <c r="DC45" s="275"/>
      <c r="DD45" s="275">
        <f>'[1]POLY commited funds to date'!AE45</f>
        <v>100000000</v>
      </c>
      <c r="DE45" s="275">
        <f>'[1]POLY DISB 2019'!AD49</f>
        <v>100000000</v>
      </c>
      <c r="DF45" s="275">
        <f t="shared" si="29"/>
        <v>0</v>
      </c>
      <c r="DG45" s="275"/>
      <c r="DH45" s="275">
        <f>'[1]poly  com. adj for fmis'!AE45</f>
        <v>0</v>
      </c>
      <c r="DI45" s="275">
        <f>'[1]POLY DISB 2019'!AE49</f>
        <v>0</v>
      </c>
      <c r="DJ45" s="275">
        <f t="shared" si="30"/>
        <v>0</v>
      </c>
      <c r="DK45" s="275"/>
      <c r="DL45" s="275">
        <f>'[1]poly  com. adj for fmis'!AF45</f>
        <v>0</v>
      </c>
      <c r="DM45" s="275">
        <f>'[1]POLY DISB 2019'!AF49</f>
        <v>0</v>
      </c>
      <c r="DN45" s="275">
        <f t="shared" si="31"/>
        <v>0</v>
      </c>
      <c r="DO45" s="275"/>
      <c r="DP45" s="275">
        <f>'[1]poly  com. adj for fmis'!AG45</f>
        <v>0</v>
      </c>
      <c r="DQ45" s="275">
        <f>'[1]POLY DISB 2019'!AG49</f>
        <v>0</v>
      </c>
      <c r="DR45" s="275">
        <f t="shared" si="32"/>
        <v>0</v>
      </c>
      <c r="DS45" s="275"/>
      <c r="DT45" s="275">
        <f>'[1]poly  com. adj for fmis'!AH45</f>
        <v>0</v>
      </c>
      <c r="DU45" s="275">
        <f>'[1]POLY DISB 2019'!AH49</f>
        <v>0</v>
      </c>
      <c r="DV45" s="275">
        <f t="shared" si="33"/>
        <v>0</v>
      </c>
      <c r="DW45" s="275"/>
      <c r="DX45" s="275">
        <f>'[1]poly  com. adj for fmis'!AI45</f>
        <v>75000000</v>
      </c>
      <c r="DY45" s="275">
        <f>'[1]POLY DISB 2019'!AI49</f>
        <v>75000000</v>
      </c>
      <c r="DZ45" s="275">
        <f t="shared" si="34"/>
        <v>0</v>
      </c>
      <c r="EA45" s="275"/>
      <c r="EB45" s="275">
        <f>'[1]POLY commited funds to date'!AK45</f>
        <v>380632000</v>
      </c>
      <c r="EC45" s="275">
        <f>'[1]POLY DISB 2019'!AJ49</f>
        <v>323537200</v>
      </c>
      <c r="ED45" s="275">
        <f t="shared" si="35"/>
        <v>57094800</v>
      </c>
      <c r="EE45" s="275"/>
      <c r="EF45" s="275">
        <f>'[1]POLY commited funds to date'!AL45</f>
        <v>8000000</v>
      </c>
      <c r="EG45" s="275">
        <f>'[1]POLY DISB 2019'!AK49</f>
        <v>8000000</v>
      </c>
      <c r="EH45" s="275">
        <f t="shared" si="36"/>
        <v>0</v>
      </c>
      <c r="EI45" s="275"/>
      <c r="EJ45" s="275">
        <f>'[1]POLY commited funds to date'!AM45</f>
        <v>10000000</v>
      </c>
      <c r="EK45" s="275">
        <f>'[1]POLY DISB 2019'!AL49</f>
        <v>8500000</v>
      </c>
      <c r="EL45" s="275">
        <f t="shared" si="37"/>
        <v>1500000</v>
      </c>
      <c r="EM45" s="275"/>
      <c r="EN45" s="275">
        <f>'[1]POLY commited funds to date'!AN45</f>
        <v>10000000</v>
      </c>
      <c r="EO45" s="275">
        <f>'[1]POLY DISB 2019'!AM49</f>
        <v>0</v>
      </c>
      <c r="EP45" s="275">
        <f t="shared" si="38"/>
        <v>10000000</v>
      </c>
      <c r="EQ45" s="275">
        <f>'[1]POLY commited funds to date'!AO45</f>
        <v>150000000</v>
      </c>
      <c r="ER45" s="275">
        <f>'[1]POLY DISB 2019'!AN49</f>
        <v>90000000</v>
      </c>
      <c r="ES45" s="275">
        <f t="shared" si="39"/>
        <v>60000000</v>
      </c>
      <c r="ET45" s="275"/>
      <c r="EU45" s="275">
        <f>'[1]POLY commited funds to date'!AP45</f>
        <v>0</v>
      </c>
      <c r="EV45" s="275">
        <f>'[1]POLY DISB 2019'!AO49</f>
        <v>0</v>
      </c>
      <c r="EW45" s="275">
        <f t="shared" si="40"/>
        <v>0</v>
      </c>
      <c r="EX45" s="275"/>
      <c r="EY45" s="275">
        <f>'[1]POLY commited funds to date'!AQ45</f>
        <v>75000000</v>
      </c>
      <c r="EZ45" s="275">
        <f>'[1]POLY DISB 2019'!AP49</f>
        <v>51000000</v>
      </c>
      <c r="FA45" s="275">
        <f t="shared" si="41"/>
        <v>24000000</v>
      </c>
      <c r="FB45" s="275"/>
      <c r="FC45" s="275">
        <f>'[1]POLY commited funds to date'!AR45</f>
        <v>0</v>
      </c>
      <c r="FD45" s="275">
        <f>'[1]POLY DISB 2019'!AQ49</f>
        <v>0</v>
      </c>
      <c r="FE45" s="275">
        <f t="shared" si="42"/>
        <v>0</v>
      </c>
      <c r="FF45" s="275"/>
      <c r="FG45" s="275">
        <f>'[1]POLY commited funds to date'!AS45</f>
        <v>0</v>
      </c>
      <c r="FH45" s="275">
        <f>'[1]POLY DISB 2019'!AR49</f>
        <v>0</v>
      </c>
      <c r="FI45" s="275">
        <f t="shared" si="43"/>
        <v>0</v>
      </c>
      <c r="FJ45" s="275"/>
      <c r="FK45" s="275">
        <f>'[1]POLY commited funds to date'!AT45</f>
        <v>0</v>
      </c>
      <c r="FL45" s="275">
        <f>'[1]POLY DISB 2019'!AS49</f>
        <v>0</v>
      </c>
      <c r="FM45" s="275">
        <f t="shared" si="44"/>
        <v>0</v>
      </c>
      <c r="FN45" s="275"/>
      <c r="FO45" s="275">
        <f>'[1]POLY commited funds to date'!AU45</f>
        <v>245000000</v>
      </c>
      <c r="FP45" s="275">
        <f>'[1]POLY DISB 2019'!AT49</f>
        <v>208250000</v>
      </c>
      <c r="FQ45" s="275">
        <f t="shared" si="45"/>
        <v>36750000</v>
      </c>
      <c r="FR45" s="275">
        <f>'[1]POLY commited funds to date'!AV45</f>
        <v>119074602</v>
      </c>
      <c r="FS45" s="275">
        <f>'[1]POLY DISB 2019'!AU49</f>
        <v>0</v>
      </c>
      <c r="FT45" s="275">
        <f t="shared" si="46"/>
        <v>119074602</v>
      </c>
      <c r="FU45" s="275"/>
      <c r="FV45" s="275">
        <f>'[1]POLY commited funds to date'!AW45</f>
        <v>13000000</v>
      </c>
      <c r="FW45" s="275">
        <f>'[1]POLY DISB 2019'!AV49</f>
        <v>0</v>
      </c>
      <c r="FX45" s="275">
        <f t="shared" si="47"/>
        <v>13000000</v>
      </c>
      <c r="FY45" s="275"/>
      <c r="FZ45" s="275">
        <f>'[1]POLY commited funds to date'!AX45</f>
        <v>8628900</v>
      </c>
      <c r="GA45" s="275">
        <f>'[1]POLY DISB 2019'!AW49</f>
        <v>7334565</v>
      </c>
      <c r="GB45" s="275">
        <f t="shared" si="48"/>
        <v>1294335</v>
      </c>
      <c r="GC45" s="275">
        <f>'[1]POLY commited funds to date'!AY45</f>
        <v>5000000</v>
      </c>
      <c r="GD45" s="275">
        <f>'[1]POLY DISB 2019'!AX49</f>
        <v>0</v>
      </c>
      <c r="GE45" s="275">
        <f t="shared" si="49"/>
        <v>5000000</v>
      </c>
      <c r="GF45" s="275"/>
      <c r="GG45" s="275">
        <f>'[1]POLY commited funds to date'!AZ45</f>
        <v>0</v>
      </c>
      <c r="GH45" s="275">
        <f>'[1]POLY DISB 2019'!AY49</f>
        <v>0</v>
      </c>
      <c r="GI45" s="275">
        <f t="shared" si="50"/>
        <v>0</v>
      </c>
      <c r="GJ45" s="275"/>
      <c r="GK45" s="275">
        <f t="shared" si="51"/>
        <v>2339444804</v>
      </c>
      <c r="GL45" s="275">
        <f t="shared" si="51"/>
        <v>1956081067</v>
      </c>
      <c r="GM45" s="275">
        <f t="shared" si="52"/>
        <v>383363737</v>
      </c>
      <c r="GN45" s="265"/>
      <c r="GO45" s="277">
        <f t="shared" si="53"/>
        <v>1585741302</v>
      </c>
      <c r="GP45" s="277">
        <f t="shared" si="53"/>
        <v>1436246502</v>
      </c>
      <c r="GQ45" s="277">
        <f t="shared" si="54"/>
        <v>149494800</v>
      </c>
      <c r="GR45" s="277">
        <f t="shared" si="69"/>
        <v>10000000</v>
      </c>
      <c r="GS45" s="277">
        <f t="shared" si="69"/>
        <v>10000000</v>
      </c>
      <c r="GT45" s="277">
        <f t="shared" si="55"/>
        <v>0</v>
      </c>
      <c r="GU45" s="277"/>
      <c r="GV45" s="265"/>
      <c r="GW45" s="279">
        <f t="shared" si="68"/>
        <v>325000000</v>
      </c>
      <c r="GX45" s="279">
        <f t="shared" si="68"/>
        <v>325000000</v>
      </c>
      <c r="GY45" s="280">
        <f t="shared" si="57"/>
        <v>0</v>
      </c>
      <c r="GZ45" s="280"/>
      <c r="HA45" s="277">
        <f t="shared" si="58"/>
        <v>38628900</v>
      </c>
      <c r="HB45" s="277">
        <f t="shared" si="58"/>
        <v>35834565</v>
      </c>
      <c r="HC45" s="277">
        <f t="shared" si="59"/>
        <v>2794335</v>
      </c>
      <c r="HE45" s="277">
        <f t="shared" si="60"/>
        <v>21000000</v>
      </c>
      <c r="HF45" s="277">
        <f t="shared" si="60"/>
        <v>8000000</v>
      </c>
      <c r="HG45" s="277">
        <f t="shared" si="61"/>
        <v>13000000</v>
      </c>
      <c r="HI45" s="279">
        <f t="shared" si="62"/>
        <v>344074602</v>
      </c>
      <c r="HJ45" s="279">
        <f t="shared" si="62"/>
        <v>141000000</v>
      </c>
      <c r="HK45" s="279">
        <f t="shared" si="63"/>
        <v>203074602</v>
      </c>
      <c r="HM45" s="279">
        <f t="shared" si="64"/>
        <v>0</v>
      </c>
      <c r="HN45" s="279">
        <f t="shared" si="1"/>
        <v>0</v>
      </c>
      <c r="HO45" s="279">
        <f t="shared" si="65"/>
        <v>0</v>
      </c>
      <c r="HQ45" s="279">
        <f t="shared" si="66"/>
        <v>15000000</v>
      </c>
      <c r="HR45" s="279">
        <f t="shared" si="2"/>
        <v>0</v>
      </c>
      <c r="HS45" s="279">
        <f t="shared" si="67"/>
        <v>15000000</v>
      </c>
    </row>
    <row r="46" spans="1:227" x14ac:dyDescent="0.25">
      <c r="A46" s="235">
        <v>38</v>
      </c>
      <c r="B46" s="273" t="s">
        <v>237</v>
      </c>
      <c r="C46" s="274"/>
      <c r="D46" s="275">
        <v>24709302</v>
      </c>
      <c r="E46" s="275">
        <f>'[1]POLY DISB 2019'!C50</f>
        <v>24709302</v>
      </c>
      <c r="F46" s="275">
        <f t="shared" si="3"/>
        <v>0</v>
      </c>
      <c r="G46" s="275"/>
      <c r="H46" s="275">
        <v>10000000</v>
      </c>
      <c r="I46" s="275">
        <f>'[1]POLY DISB 2019'!D50</f>
        <v>10000000</v>
      </c>
      <c r="J46" s="275">
        <f t="shared" si="4"/>
        <v>0</v>
      </c>
      <c r="K46" s="275"/>
      <c r="L46" s="275">
        <v>15000000</v>
      </c>
      <c r="M46" s="275">
        <f>'[1]POLY DISB 2019'!E50</f>
        <v>15000000</v>
      </c>
      <c r="N46" s="275">
        <f t="shared" si="5"/>
        <v>0</v>
      </c>
      <c r="O46" s="275"/>
      <c r="P46" s="275">
        <v>25000000</v>
      </c>
      <c r="Q46" s="275">
        <f>'[1]POLY DISB 2019'!F50</f>
        <v>25000000</v>
      </c>
      <c r="R46" s="275">
        <f t="shared" si="6"/>
        <v>0</v>
      </c>
      <c r="S46" s="275"/>
      <c r="T46" s="275">
        <v>12000000</v>
      </c>
      <c r="U46" s="275">
        <f>'[1]POLY DISB 2019'!G50</f>
        <v>12000000</v>
      </c>
      <c r="V46" s="275">
        <f t="shared" si="7"/>
        <v>0</v>
      </c>
      <c r="W46" s="275"/>
      <c r="X46" s="275">
        <v>12000000</v>
      </c>
      <c r="Y46" s="275">
        <f>'[1]POLY DISB 2019'!H50</f>
        <v>12000000</v>
      </c>
      <c r="Z46" s="275">
        <f t="shared" si="8"/>
        <v>0</v>
      </c>
      <c r="AA46" s="275"/>
      <c r="AB46" s="275">
        <v>0</v>
      </c>
      <c r="AC46" s="275">
        <f>'[1]POLY DISB 2019'!I50</f>
        <v>0</v>
      </c>
      <c r="AD46" s="275">
        <f t="shared" si="9"/>
        <v>0</v>
      </c>
      <c r="AE46" s="275"/>
      <c r="AF46" s="275">
        <f>17000000</f>
        <v>17000000</v>
      </c>
      <c r="AG46" s="275">
        <f>'[1]POLY DISB 2019'!J50</f>
        <v>17000000</v>
      </c>
      <c r="AH46" s="275">
        <f t="shared" si="10"/>
        <v>0</v>
      </c>
      <c r="AI46" s="275"/>
      <c r="AJ46" s="275">
        <v>10000000</v>
      </c>
      <c r="AK46" s="275">
        <f>'[1]POLY DISB 2019'!K50</f>
        <v>10000000</v>
      </c>
      <c r="AL46" s="275">
        <f t="shared" si="11"/>
        <v>0</v>
      </c>
      <c r="AM46" s="275"/>
      <c r="AN46" s="275">
        <v>17000000</v>
      </c>
      <c r="AO46" s="275">
        <f>'[1]POLY DISB 2019'!L50</f>
        <v>17000000</v>
      </c>
      <c r="AP46" s="275">
        <f t="shared" si="12"/>
        <v>0</v>
      </c>
      <c r="AQ46" s="275"/>
      <c r="AR46" s="275">
        <v>26000000</v>
      </c>
      <c r="AS46" s="275">
        <f>'[1]POLY DISB 2019'!M50</f>
        <v>26000000</v>
      </c>
      <c r="AT46" s="275">
        <f t="shared" si="13"/>
        <v>0</v>
      </c>
      <c r="AU46" s="275"/>
      <c r="AV46" s="275">
        <v>45000000</v>
      </c>
      <c r="AW46" s="275">
        <f>'[1]POLY DISB 2019'!N50</f>
        <v>45000000</v>
      </c>
      <c r="AX46" s="275">
        <f t="shared" si="14"/>
        <v>0</v>
      </c>
      <c r="AY46" s="275"/>
      <c r="AZ46" s="275">
        <v>38340000</v>
      </c>
      <c r="BA46" s="275">
        <f>'[1]POLY DISB 2019'!P50</f>
        <v>38340000</v>
      </c>
      <c r="BB46" s="275">
        <f t="shared" si="15"/>
        <v>0</v>
      </c>
      <c r="BC46" s="275"/>
      <c r="BD46" s="275">
        <v>0</v>
      </c>
      <c r="BE46" s="275">
        <f>'[1]POLY DISB 2019'!Q50</f>
        <v>0</v>
      </c>
      <c r="BF46" s="275">
        <f t="shared" si="16"/>
        <v>0</v>
      </c>
      <c r="BG46" s="275"/>
      <c r="BH46" s="275">
        <f>'[1]POLY commited funds to date'!S46</f>
        <v>0</v>
      </c>
      <c r="BI46" s="275">
        <f>'[1]POLY DISB 2019'!R50</f>
        <v>0</v>
      </c>
      <c r="BJ46" s="275">
        <f t="shared" si="17"/>
        <v>0</v>
      </c>
      <c r="BK46" s="275"/>
      <c r="BL46" s="275">
        <f>'[1]poly  com. adj for fmis'!S46</f>
        <v>200000000</v>
      </c>
      <c r="BM46" s="275">
        <f>'[1]POLY DISB 2019'!S50</f>
        <v>200000000</v>
      </c>
      <c r="BN46" s="269">
        <f t="shared" si="18"/>
        <v>0</v>
      </c>
      <c r="BO46" s="275"/>
      <c r="BP46" s="276">
        <f>'[1]POLY commited funds to date'!U46</f>
        <v>169900000</v>
      </c>
      <c r="BQ46" s="275">
        <f>'[1]POLY DISB 2019'!T50</f>
        <v>169900000</v>
      </c>
      <c r="BR46" s="275">
        <f t="shared" si="19"/>
        <v>0</v>
      </c>
      <c r="BS46" s="275"/>
      <c r="BT46" s="275">
        <f>'[1]POLY commited funds to date'!V46</f>
        <v>10000000</v>
      </c>
      <c r="BU46" s="275">
        <f>'[1]POLY DISB 2019'!U50</f>
        <v>8500000</v>
      </c>
      <c r="BV46" s="275">
        <f t="shared" si="20"/>
        <v>1500000</v>
      </c>
      <c r="BW46" s="275"/>
      <c r="BX46" s="275">
        <f>'[1]POLY commited funds to date'!W46</f>
        <v>220000000</v>
      </c>
      <c r="BY46" s="275">
        <f>'[1]POLY DISB 2019'!V50</f>
        <v>220000000</v>
      </c>
      <c r="BZ46" s="275">
        <f t="shared" si="21"/>
        <v>0</v>
      </c>
      <c r="CA46" s="275"/>
      <c r="CB46" s="275">
        <f>'[1]POLY commited funds to date'!X46</f>
        <v>0</v>
      </c>
      <c r="CC46" s="275">
        <f>'[1]POLY DISB 2019'!W50</f>
        <v>0</v>
      </c>
      <c r="CD46" s="275">
        <f t="shared" si="22"/>
        <v>0</v>
      </c>
      <c r="CE46" s="275"/>
      <c r="CF46" s="275">
        <f>'[1]POLY commited funds to date'!Y46</f>
        <v>0</v>
      </c>
      <c r="CG46" s="275">
        <f>'[1]POLY DISB 2019'!X50</f>
        <v>0</v>
      </c>
      <c r="CH46" s="275">
        <f t="shared" si="23"/>
        <v>0</v>
      </c>
      <c r="CI46" s="275"/>
      <c r="CJ46" s="275">
        <f>'[1]POLY commited funds to date'!Z46</f>
        <v>280000000</v>
      </c>
      <c r="CK46" s="275">
        <f>'[1]POLY DISB 2019'!Y50</f>
        <v>280000000</v>
      </c>
      <c r="CL46" s="275">
        <f t="shared" si="24"/>
        <v>0</v>
      </c>
      <c r="CM46" s="275"/>
      <c r="CN46" s="275">
        <f>'[1]POLY commited funds to date'!AA46</f>
        <v>243000000</v>
      </c>
      <c r="CO46" s="275">
        <f>'[1]POLY DISB 2019'!Z50</f>
        <v>243000000</v>
      </c>
      <c r="CP46" s="275">
        <f t="shared" si="25"/>
        <v>0</v>
      </c>
      <c r="CQ46" s="275"/>
      <c r="CR46" s="275">
        <v>10000000</v>
      </c>
      <c r="CS46" s="275">
        <f>'[1]POLY DISB 2019'!AA50</f>
        <v>8500000</v>
      </c>
      <c r="CT46" s="275">
        <f t="shared" si="26"/>
        <v>1500000</v>
      </c>
      <c r="CU46" s="275"/>
      <c r="CV46" s="275">
        <f>'[1]POLY commited funds to date'!AC46</f>
        <v>0</v>
      </c>
      <c r="CW46" s="275">
        <f>'[1]POLY DISB 2019'!AB50</f>
        <v>0</v>
      </c>
      <c r="CX46" s="275">
        <f t="shared" si="27"/>
        <v>0</v>
      </c>
      <c r="CY46" s="275"/>
      <c r="CZ46" s="275">
        <f>'[1]POLY commited funds to date'!AD46</f>
        <v>0</v>
      </c>
      <c r="DA46" s="275">
        <f>'[1]POLY DISB 2019'!AC50</f>
        <v>0</v>
      </c>
      <c r="DB46" s="275">
        <f t="shared" si="28"/>
        <v>0</v>
      </c>
      <c r="DC46" s="275"/>
      <c r="DD46" s="275">
        <f>'[1]POLY commited funds to date'!AE46</f>
        <v>50000000</v>
      </c>
      <c r="DE46" s="275">
        <f>'[1]POLY DISB 2019'!AD50</f>
        <v>50000000</v>
      </c>
      <c r="DF46" s="275">
        <f t="shared" si="29"/>
        <v>0</v>
      </c>
      <c r="DG46" s="275"/>
      <c r="DH46" s="275">
        <f>'[1]poly  com. adj for fmis'!AE46</f>
        <v>80000000</v>
      </c>
      <c r="DI46" s="275">
        <f>'[1]POLY DISB 2019'!AE50</f>
        <v>80000000</v>
      </c>
      <c r="DJ46" s="275">
        <f t="shared" si="30"/>
        <v>0</v>
      </c>
      <c r="DK46" s="275"/>
      <c r="DL46" s="275">
        <f>'[1]poly  com. adj for fmis'!AF46</f>
        <v>8000000</v>
      </c>
      <c r="DM46" s="275">
        <f>'[1]POLY DISB 2019'!AF50</f>
        <v>8000000</v>
      </c>
      <c r="DN46" s="275">
        <f t="shared" si="31"/>
        <v>0</v>
      </c>
      <c r="DO46" s="275"/>
      <c r="DP46" s="275">
        <f>'[1]poly  com. adj for fmis'!AG46</f>
        <v>2000000</v>
      </c>
      <c r="DQ46" s="275">
        <f>'[1]POLY DISB 2019'!AG50</f>
        <v>2000000</v>
      </c>
      <c r="DR46" s="275">
        <f t="shared" si="32"/>
        <v>0</v>
      </c>
      <c r="DS46" s="275"/>
      <c r="DT46" s="275">
        <f>'[1]poly  com. adj for fmis'!AH46</f>
        <v>10000000</v>
      </c>
      <c r="DU46" s="275">
        <f>'[1]POLY DISB 2019'!AH50</f>
        <v>0</v>
      </c>
      <c r="DV46" s="275">
        <f t="shared" si="33"/>
        <v>10000000</v>
      </c>
      <c r="DW46" s="275"/>
      <c r="DX46" s="275">
        <f>'[1]poly  com. adj for fmis'!AI46</f>
        <v>150000000</v>
      </c>
      <c r="DY46" s="275">
        <f>'[1]POLY DISB 2019'!AI50</f>
        <v>150000000</v>
      </c>
      <c r="DZ46" s="275">
        <f t="shared" si="34"/>
        <v>0</v>
      </c>
      <c r="EA46" s="275"/>
      <c r="EB46" s="275">
        <f>'[1]POLY commited funds to date'!AK46</f>
        <v>0</v>
      </c>
      <c r="EC46" s="275">
        <f>'[1]POLY DISB 2019'!AJ50</f>
        <v>0</v>
      </c>
      <c r="ED46" s="275">
        <f t="shared" si="35"/>
        <v>0</v>
      </c>
      <c r="EE46" s="275"/>
      <c r="EF46" s="275">
        <f>'[1]POLY commited funds to date'!AL46</f>
        <v>0</v>
      </c>
      <c r="EG46" s="275">
        <f>'[1]POLY DISB 2019'!AK50</f>
        <v>0</v>
      </c>
      <c r="EH46" s="275">
        <f t="shared" si="36"/>
        <v>0</v>
      </c>
      <c r="EI46" s="275"/>
      <c r="EJ46" s="275">
        <f>'[1]POLY commited funds to date'!AM46</f>
        <v>0</v>
      </c>
      <c r="EK46" s="275">
        <f>'[1]POLY DISB 2019'!AL50</f>
        <v>0</v>
      </c>
      <c r="EL46" s="275">
        <f t="shared" si="37"/>
        <v>0</v>
      </c>
      <c r="EM46" s="275"/>
      <c r="EN46" s="275">
        <f>'[1]POLY commited funds to date'!AN46</f>
        <v>0</v>
      </c>
      <c r="EO46" s="275">
        <f>'[1]POLY DISB 2019'!AM50</f>
        <v>0</v>
      </c>
      <c r="EP46" s="275">
        <f t="shared" si="38"/>
        <v>0</v>
      </c>
      <c r="EQ46" s="275">
        <f>'[1]POLY commited funds to date'!AO46</f>
        <v>0</v>
      </c>
      <c r="ER46" s="275">
        <f>'[1]POLY DISB 2019'!AN50</f>
        <v>0</v>
      </c>
      <c r="ES46" s="275">
        <f t="shared" si="39"/>
        <v>0</v>
      </c>
      <c r="ET46" s="275"/>
      <c r="EU46" s="275">
        <f>'[1]POLY commited funds to date'!AP46</f>
        <v>205000000</v>
      </c>
      <c r="EV46" s="275">
        <f>'[1]POLY DISB 2019'!AO50</f>
        <v>0</v>
      </c>
      <c r="EW46" s="275">
        <f t="shared" si="40"/>
        <v>205000000</v>
      </c>
      <c r="EX46" s="275"/>
      <c r="EY46" s="275">
        <f>'[1]POLY commited funds to date'!AQ46</f>
        <v>75000000</v>
      </c>
      <c r="EZ46" s="275">
        <f>'[1]POLY DISB 2019'!AP50</f>
        <v>51000000</v>
      </c>
      <c r="FA46" s="275">
        <f t="shared" si="41"/>
        <v>24000000</v>
      </c>
      <c r="FB46" s="275"/>
      <c r="FC46" s="275">
        <f>'[1]POLY commited funds to date'!AR46</f>
        <v>7000000</v>
      </c>
      <c r="FD46" s="275">
        <f>'[1]POLY DISB 2019'!AQ50</f>
        <v>0</v>
      </c>
      <c r="FE46" s="275">
        <f t="shared" si="42"/>
        <v>7000000</v>
      </c>
      <c r="FF46" s="275"/>
      <c r="FG46" s="275">
        <f>'[1]POLY commited funds to date'!AS46</f>
        <v>6300000</v>
      </c>
      <c r="FH46" s="275">
        <f>'[1]POLY DISB 2019'!AR50</f>
        <v>0</v>
      </c>
      <c r="FI46" s="275">
        <f t="shared" si="43"/>
        <v>6300000</v>
      </c>
      <c r="FJ46" s="275"/>
      <c r="FK46" s="275">
        <f>'[1]POLY commited funds to date'!AT46</f>
        <v>7500000</v>
      </c>
      <c r="FL46" s="275">
        <f>'[1]POLY DISB 2019'!AS50</f>
        <v>0</v>
      </c>
      <c r="FM46" s="275">
        <f t="shared" si="44"/>
        <v>7500000</v>
      </c>
      <c r="FN46" s="275"/>
      <c r="FO46" s="275">
        <f>'[1]POLY commited funds to date'!AU46</f>
        <v>0</v>
      </c>
      <c r="FP46" s="275">
        <f>'[1]POLY DISB 2019'!AT50</f>
        <v>0</v>
      </c>
      <c r="FQ46" s="275">
        <f t="shared" si="45"/>
        <v>0</v>
      </c>
      <c r="FR46" s="275">
        <f>'[1]POLY commited funds to date'!AV46</f>
        <v>119074602</v>
      </c>
      <c r="FS46" s="275">
        <f>'[1]POLY DISB 2019'!AU50</f>
        <v>0</v>
      </c>
      <c r="FT46" s="275">
        <f t="shared" si="46"/>
        <v>119074602</v>
      </c>
      <c r="FU46" s="275"/>
      <c r="FV46" s="275">
        <f>'[1]POLY commited funds to date'!AW46</f>
        <v>0</v>
      </c>
      <c r="FW46" s="275">
        <f>'[1]POLY DISB 2019'!AV50</f>
        <v>0</v>
      </c>
      <c r="FX46" s="275">
        <f t="shared" si="47"/>
        <v>0</v>
      </c>
      <c r="FY46" s="275"/>
      <c r="FZ46" s="275">
        <f>'[1]POLY commited funds to date'!AX46</f>
        <v>0</v>
      </c>
      <c r="GA46" s="275">
        <f>'[1]POLY DISB 2019'!AW50</f>
        <v>0</v>
      </c>
      <c r="GB46" s="275">
        <f t="shared" si="48"/>
        <v>0</v>
      </c>
      <c r="GC46" s="275">
        <f>'[1]POLY commited funds to date'!AY46</f>
        <v>0</v>
      </c>
      <c r="GD46" s="275">
        <f>'[1]POLY DISB 2019'!AX50</f>
        <v>0</v>
      </c>
      <c r="GE46" s="275">
        <f t="shared" si="49"/>
        <v>0</v>
      </c>
      <c r="GF46" s="275"/>
      <c r="GG46" s="275">
        <f>'[1]POLY commited funds to date'!AZ46</f>
        <v>0</v>
      </c>
      <c r="GH46" s="275">
        <f>'[1]POLY DISB 2019'!AY50</f>
        <v>0</v>
      </c>
      <c r="GI46" s="275">
        <f t="shared" si="50"/>
        <v>0</v>
      </c>
      <c r="GJ46" s="275"/>
      <c r="GK46" s="275">
        <f t="shared" si="51"/>
        <v>2104823904</v>
      </c>
      <c r="GL46" s="275">
        <f t="shared" si="51"/>
        <v>1722949302</v>
      </c>
      <c r="GM46" s="275">
        <f t="shared" si="52"/>
        <v>381874602</v>
      </c>
      <c r="GN46" s="265"/>
      <c r="GO46" s="277">
        <f t="shared" si="53"/>
        <v>939949302</v>
      </c>
      <c r="GP46" s="277">
        <f t="shared" si="53"/>
        <v>734949302</v>
      </c>
      <c r="GQ46" s="277">
        <f t="shared" si="54"/>
        <v>205000000</v>
      </c>
      <c r="GR46" s="277">
        <f t="shared" si="69"/>
        <v>10000000</v>
      </c>
      <c r="GS46" s="277">
        <f t="shared" si="69"/>
        <v>10000000</v>
      </c>
      <c r="GT46" s="277">
        <f t="shared" si="55"/>
        <v>0</v>
      </c>
      <c r="GU46" s="277"/>
      <c r="GV46" s="265"/>
      <c r="GW46" s="279">
        <f t="shared" si="68"/>
        <v>900000000</v>
      </c>
      <c r="GX46" s="279">
        <f t="shared" si="68"/>
        <v>900000000</v>
      </c>
      <c r="GY46" s="280">
        <f t="shared" si="57"/>
        <v>0</v>
      </c>
      <c r="GZ46" s="280"/>
      <c r="HA46" s="277">
        <f t="shared" si="58"/>
        <v>36300000</v>
      </c>
      <c r="HB46" s="277">
        <f t="shared" si="58"/>
        <v>17000000</v>
      </c>
      <c r="HC46" s="277">
        <f t="shared" si="59"/>
        <v>19300000</v>
      </c>
      <c r="HE46" s="277">
        <f t="shared" si="60"/>
        <v>15000000</v>
      </c>
      <c r="HF46" s="277">
        <f t="shared" si="60"/>
        <v>8000000</v>
      </c>
      <c r="HG46" s="277">
        <f t="shared" si="61"/>
        <v>7000000</v>
      </c>
      <c r="HI46" s="279">
        <f t="shared" si="62"/>
        <v>194074602</v>
      </c>
      <c r="HJ46" s="279">
        <f t="shared" si="62"/>
        <v>51000000</v>
      </c>
      <c r="HK46" s="279">
        <f t="shared" si="63"/>
        <v>143074602</v>
      </c>
      <c r="HM46" s="279">
        <f t="shared" si="64"/>
        <v>2000000</v>
      </c>
      <c r="HN46" s="279">
        <f t="shared" si="1"/>
        <v>2000000</v>
      </c>
      <c r="HO46" s="279">
        <f t="shared" si="65"/>
        <v>0</v>
      </c>
      <c r="HQ46" s="279">
        <f t="shared" si="66"/>
        <v>7500000</v>
      </c>
      <c r="HR46" s="279">
        <f t="shared" si="2"/>
        <v>0</v>
      </c>
      <c r="HS46" s="279">
        <f t="shared" si="67"/>
        <v>7500000</v>
      </c>
    </row>
    <row r="47" spans="1:227" x14ac:dyDescent="0.25">
      <c r="A47" s="235">
        <v>39</v>
      </c>
      <c r="B47" s="273" t="s">
        <v>238</v>
      </c>
      <c r="C47" s="274" t="s">
        <v>61</v>
      </c>
      <c r="D47" s="275">
        <v>24709302</v>
      </c>
      <c r="E47" s="275">
        <f>'[1]POLY DISB 2019'!C51</f>
        <v>24709302</v>
      </c>
      <c r="F47" s="275">
        <f t="shared" si="3"/>
        <v>0</v>
      </c>
      <c r="G47" s="275"/>
      <c r="H47" s="275">
        <v>10000000</v>
      </c>
      <c r="I47" s="275">
        <f>'[1]POLY DISB 2019'!D51</f>
        <v>10000000</v>
      </c>
      <c r="J47" s="275">
        <f t="shared" si="4"/>
        <v>0</v>
      </c>
      <c r="K47" s="275"/>
      <c r="L47" s="275">
        <v>20000000</v>
      </c>
      <c r="M47" s="275">
        <f>'[1]POLY DISB 2019'!E51</f>
        <v>20000000</v>
      </c>
      <c r="N47" s="275">
        <f t="shared" si="5"/>
        <v>0</v>
      </c>
      <c r="O47" s="275"/>
      <c r="P47" s="275">
        <v>25000000</v>
      </c>
      <c r="Q47" s="275">
        <f>'[1]POLY DISB 2019'!F51</f>
        <v>25000000</v>
      </c>
      <c r="R47" s="275">
        <f t="shared" si="6"/>
        <v>0</v>
      </c>
      <c r="S47" s="275"/>
      <c r="T47" s="275">
        <v>12000000</v>
      </c>
      <c r="U47" s="275">
        <f>'[1]POLY DISB 2019'!G51</f>
        <v>12000000</v>
      </c>
      <c r="V47" s="275">
        <f t="shared" si="7"/>
        <v>0</v>
      </c>
      <c r="W47" s="275"/>
      <c r="X47" s="275">
        <v>12000000</v>
      </c>
      <c r="Y47" s="275">
        <f>'[1]POLY DISB 2019'!H51</f>
        <v>12000000</v>
      </c>
      <c r="Z47" s="275">
        <f t="shared" si="8"/>
        <v>0</v>
      </c>
      <c r="AA47" s="275"/>
      <c r="AB47" s="275">
        <v>0</v>
      </c>
      <c r="AC47" s="275">
        <f>'[1]POLY DISB 2019'!I51</f>
        <v>0</v>
      </c>
      <c r="AD47" s="275">
        <f t="shared" si="9"/>
        <v>0</v>
      </c>
      <c r="AE47" s="275"/>
      <c r="AF47" s="275">
        <f>'[1]POLY commited funds to date'!K47</f>
        <v>20000000</v>
      </c>
      <c r="AG47" s="275">
        <f>'[1]POLY DISB 2019'!J51</f>
        <v>20000000</v>
      </c>
      <c r="AH47" s="275">
        <f t="shared" si="10"/>
        <v>0</v>
      </c>
      <c r="AI47" s="275"/>
      <c r="AJ47" s="275">
        <v>10000000</v>
      </c>
      <c r="AK47" s="275">
        <f>'[1]POLY DISB 2019'!K51</f>
        <v>10000000</v>
      </c>
      <c r="AL47" s="275">
        <f t="shared" si="11"/>
        <v>0</v>
      </c>
      <c r="AM47" s="275"/>
      <c r="AN47" s="275">
        <v>20000000</v>
      </c>
      <c r="AO47" s="275">
        <f>'[1]POLY DISB 2019'!L51</f>
        <v>20000000</v>
      </c>
      <c r="AP47" s="275">
        <f t="shared" si="12"/>
        <v>0</v>
      </c>
      <c r="AQ47" s="275"/>
      <c r="AR47" s="275">
        <v>26000000</v>
      </c>
      <c r="AS47" s="275">
        <f>'[1]POLY DISB 2019'!M51</f>
        <v>26853802.82</v>
      </c>
      <c r="AT47" s="275">
        <f t="shared" si="13"/>
        <v>-853802.8200000003</v>
      </c>
      <c r="AU47" s="275"/>
      <c r="AV47" s="275">
        <v>45000000</v>
      </c>
      <c r="AW47" s="275">
        <f>'[1]POLY DISB 2019'!N51</f>
        <v>46946197.18</v>
      </c>
      <c r="AX47" s="275">
        <f t="shared" si="14"/>
        <v>-1946197.1799999997</v>
      </c>
      <c r="AY47" s="275"/>
      <c r="AZ47" s="275">
        <v>32589000</v>
      </c>
      <c r="BA47" s="275">
        <f>'[1]POLY DISB 2019'!P51</f>
        <v>32589000</v>
      </c>
      <c r="BB47" s="275">
        <f t="shared" si="15"/>
        <v>0</v>
      </c>
      <c r="BC47" s="275"/>
      <c r="BD47" s="275">
        <v>0</v>
      </c>
      <c r="BE47" s="275">
        <f>'[1]POLY DISB 2019'!Q51</f>
        <v>0</v>
      </c>
      <c r="BF47" s="275">
        <f t="shared" si="16"/>
        <v>0</v>
      </c>
      <c r="BG47" s="275"/>
      <c r="BH47" s="275">
        <v>107151000</v>
      </c>
      <c r="BI47" s="275">
        <f>'[1]POLY DISB 2019'!R51</f>
        <v>107151000</v>
      </c>
      <c r="BJ47" s="275">
        <f t="shared" si="17"/>
        <v>0</v>
      </c>
      <c r="BK47" s="275"/>
      <c r="BL47" s="275">
        <f>'[1]poly  com. adj for fmis'!S47</f>
        <v>0</v>
      </c>
      <c r="BM47" s="275">
        <f>'[1]POLY DISB 2019'!S51</f>
        <v>0</v>
      </c>
      <c r="BN47" s="269">
        <f t="shared" si="18"/>
        <v>0</v>
      </c>
      <c r="BO47" s="275"/>
      <c r="BP47" s="276">
        <f>'[1]POLY commited funds to date'!U47</f>
        <v>169900000</v>
      </c>
      <c r="BQ47" s="275">
        <f>'[1]POLY DISB 2019'!T51</f>
        <v>169900000</v>
      </c>
      <c r="BR47" s="275">
        <f t="shared" si="19"/>
        <v>0</v>
      </c>
      <c r="BS47" s="275"/>
      <c r="BT47" s="275">
        <f>'[1]POLY commited funds to date'!V47</f>
        <v>10000000</v>
      </c>
      <c r="BU47" s="275">
        <f>'[1]POLY DISB 2019'!U51</f>
        <v>0</v>
      </c>
      <c r="BV47" s="275">
        <f t="shared" si="20"/>
        <v>10000000</v>
      </c>
      <c r="BW47" s="275"/>
      <c r="BX47" s="275">
        <f>'[1]POLY commited funds to date'!W47</f>
        <v>0</v>
      </c>
      <c r="BY47" s="275">
        <f>'[1]POLY DISB 2019'!V51</f>
        <v>0</v>
      </c>
      <c r="BZ47" s="275">
        <f t="shared" si="21"/>
        <v>0</v>
      </c>
      <c r="CA47" s="275"/>
      <c r="CB47" s="275">
        <f>'[1]POLY commited funds to date'!X47</f>
        <v>210000000</v>
      </c>
      <c r="CC47" s="275">
        <f>'[1]POLY DISB 2019'!W51</f>
        <v>210000000</v>
      </c>
      <c r="CD47" s="275">
        <f t="shared" si="22"/>
        <v>0</v>
      </c>
      <c r="CE47" s="275"/>
      <c r="CF47" s="275">
        <f>'[1]POLY commited funds to date'!Y47</f>
        <v>542000000</v>
      </c>
      <c r="CG47" s="275">
        <f>'[1]POLY DISB 2019'!X51</f>
        <v>542000000</v>
      </c>
      <c r="CH47" s="275">
        <f t="shared" si="23"/>
        <v>0</v>
      </c>
      <c r="CI47" s="275"/>
      <c r="CJ47" s="275">
        <f>'[1]POLY commited funds to date'!Z47</f>
        <v>0</v>
      </c>
      <c r="CK47" s="275">
        <f>'[1]POLY DISB 2019'!Y51</f>
        <v>0</v>
      </c>
      <c r="CL47" s="275">
        <f t="shared" si="24"/>
        <v>0</v>
      </c>
      <c r="CM47" s="275"/>
      <c r="CN47" s="275">
        <f>'[1]POLY commited funds to date'!AA47</f>
        <v>243000000</v>
      </c>
      <c r="CO47" s="275">
        <f>'[1]POLY DISB 2019'!Z51</f>
        <v>243000000</v>
      </c>
      <c r="CP47" s="275">
        <f t="shared" si="25"/>
        <v>0</v>
      </c>
      <c r="CQ47" s="275"/>
      <c r="CR47" s="275">
        <v>10000000</v>
      </c>
      <c r="CS47" s="275">
        <f>'[1]POLY DISB 2019'!AA51</f>
        <v>0</v>
      </c>
      <c r="CT47" s="275">
        <f t="shared" si="26"/>
        <v>10000000</v>
      </c>
      <c r="CU47" s="275"/>
      <c r="CV47" s="275">
        <f>'[1]POLY commited funds to date'!AC47</f>
        <v>371000000</v>
      </c>
      <c r="CW47" s="275">
        <f>'[1]POLY DISB 2019'!AB51</f>
        <v>371000000</v>
      </c>
      <c r="CX47" s="275">
        <f t="shared" si="27"/>
        <v>0</v>
      </c>
      <c r="CY47" s="275"/>
      <c r="CZ47" s="275">
        <f>'[1]POLY commited funds to date'!AD47</f>
        <v>20000000</v>
      </c>
      <c r="DA47" s="275">
        <f>'[1]POLY DISB 2019'!AC51</f>
        <v>0</v>
      </c>
      <c r="DB47" s="275">
        <f t="shared" si="28"/>
        <v>20000000</v>
      </c>
      <c r="DC47" s="275"/>
      <c r="DD47" s="275">
        <f>'[1]POLY commited funds to date'!AE47</f>
        <v>850000000</v>
      </c>
      <c r="DE47" s="275">
        <f>'[1]POLY DISB 2019'!AD51</f>
        <v>850000000</v>
      </c>
      <c r="DF47" s="275">
        <f t="shared" si="29"/>
        <v>0</v>
      </c>
      <c r="DG47" s="275"/>
      <c r="DH47" s="275">
        <f>'[1]poly  com. adj for fmis'!AE47</f>
        <v>80000000</v>
      </c>
      <c r="DI47" s="275">
        <f>'[1]POLY DISB 2019'!AE51</f>
        <v>68000000</v>
      </c>
      <c r="DJ47" s="275">
        <f t="shared" si="30"/>
        <v>12000000</v>
      </c>
      <c r="DK47" s="275"/>
      <c r="DL47" s="275">
        <f>'[1]poly  com. adj for fmis'!AF47</f>
        <v>8000000</v>
      </c>
      <c r="DM47" s="275">
        <f>'[1]POLY DISB 2019'!AF51</f>
        <v>8000000</v>
      </c>
      <c r="DN47" s="275">
        <f t="shared" si="31"/>
        <v>0</v>
      </c>
      <c r="DO47" s="275"/>
      <c r="DP47" s="275">
        <f>'[1]poly  com. adj for fmis'!AG47</f>
        <v>2000000</v>
      </c>
      <c r="DQ47" s="275">
        <f>'[1]POLY DISB 2019'!AG51</f>
        <v>0</v>
      </c>
      <c r="DR47" s="275">
        <f t="shared" si="32"/>
        <v>2000000</v>
      </c>
      <c r="DS47" s="275"/>
      <c r="DT47" s="275">
        <f>'[1]poly  com. adj for fmis'!AH47</f>
        <v>10000000</v>
      </c>
      <c r="DU47" s="275">
        <f>'[1]POLY DISB 2019'!AH51</f>
        <v>0</v>
      </c>
      <c r="DV47" s="275">
        <f t="shared" si="33"/>
        <v>10000000</v>
      </c>
      <c r="DW47" s="275"/>
      <c r="DX47" s="275">
        <f>'[1]poly  com. adj for fmis'!AI47</f>
        <v>810000000</v>
      </c>
      <c r="DY47" s="275">
        <f>'[1]POLY DISB 2019'!AI51</f>
        <v>810000000</v>
      </c>
      <c r="DZ47" s="275">
        <f>DX47-DY47</f>
        <v>0</v>
      </c>
      <c r="EA47" s="275"/>
      <c r="EB47" s="275">
        <f>'[1]POLY commited funds to date'!AK47</f>
        <v>380632000</v>
      </c>
      <c r="EC47" s="275">
        <f>'[1]POLY DISB 2019'!AJ51</f>
        <v>323537200</v>
      </c>
      <c r="ED47" s="275">
        <f t="shared" si="35"/>
        <v>57094800</v>
      </c>
      <c r="EE47" s="275"/>
      <c r="EF47" s="275">
        <f>'[1]POLY commited funds to date'!AL47</f>
        <v>8000000</v>
      </c>
      <c r="EG47" s="275">
        <f>'[1]POLY DISB 2019'!AK51</f>
        <v>8000000</v>
      </c>
      <c r="EH47" s="275">
        <f t="shared" si="36"/>
        <v>0</v>
      </c>
      <c r="EI47" s="275"/>
      <c r="EJ47" s="275">
        <f>'[1]POLY commited funds to date'!AM47</f>
        <v>10000000</v>
      </c>
      <c r="EK47" s="275">
        <f>'[1]POLY DISB 2019'!AL51</f>
        <v>0</v>
      </c>
      <c r="EL47" s="275">
        <f t="shared" si="37"/>
        <v>10000000</v>
      </c>
      <c r="EM47" s="275"/>
      <c r="EN47" s="275">
        <f>'[1]POLY commited funds to date'!AN47</f>
        <v>10000000</v>
      </c>
      <c r="EO47" s="275">
        <f>'[1]POLY DISB 2019'!AM51</f>
        <v>0</v>
      </c>
      <c r="EP47" s="275">
        <f t="shared" si="38"/>
        <v>10000000</v>
      </c>
      <c r="EQ47" s="275">
        <f>'[1]POLY commited funds to date'!AO47</f>
        <v>0</v>
      </c>
      <c r="ER47" s="275">
        <f>'[1]POLY DISB 2019'!AN51</f>
        <v>0</v>
      </c>
      <c r="ES47" s="275">
        <f t="shared" si="39"/>
        <v>0</v>
      </c>
      <c r="ET47" s="275"/>
      <c r="EU47" s="275">
        <f>'[1]POLY commited funds to date'!AP47</f>
        <v>205000000</v>
      </c>
      <c r="EV47" s="275">
        <f>'[1]POLY DISB 2019'!AO51</f>
        <v>0</v>
      </c>
      <c r="EW47" s="275">
        <f t="shared" si="40"/>
        <v>205000000</v>
      </c>
      <c r="EX47" s="275"/>
      <c r="EY47" s="275">
        <f>'[1]POLY commited funds to date'!AQ47</f>
        <v>75000000</v>
      </c>
      <c r="EZ47" s="275">
        <f>'[1]POLY DISB 2019'!AP51</f>
        <v>0</v>
      </c>
      <c r="FA47" s="275">
        <f t="shared" si="41"/>
        <v>75000000</v>
      </c>
      <c r="FB47" s="275"/>
      <c r="FC47" s="275">
        <f>'[1]POLY commited funds to date'!AR47</f>
        <v>7000000</v>
      </c>
      <c r="FD47" s="275">
        <f>'[1]POLY DISB 2019'!AQ51</f>
        <v>0</v>
      </c>
      <c r="FE47" s="275">
        <f t="shared" si="42"/>
        <v>7000000</v>
      </c>
      <c r="FF47" s="275"/>
      <c r="FG47" s="275">
        <f>'[1]POLY commited funds to date'!AS47</f>
        <v>6300000</v>
      </c>
      <c r="FH47" s="275">
        <f>'[1]POLY DISB 2019'!AR51</f>
        <v>0</v>
      </c>
      <c r="FI47" s="275">
        <f t="shared" si="43"/>
        <v>6300000</v>
      </c>
      <c r="FJ47" s="275"/>
      <c r="FK47" s="275">
        <f>'[1]POLY commited funds to date'!AT47</f>
        <v>7500000</v>
      </c>
      <c r="FL47" s="275">
        <f>'[1]POLY DISB 2019'!AS51</f>
        <v>0</v>
      </c>
      <c r="FM47" s="275">
        <f t="shared" si="44"/>
        <v>7500000</v>
      </c>
      <c r="FN47" s="275"/>
      <c r="FO47" s="275">
        <f>'[1]POLY commited funds to date'!AU47</f>
        <v>245000000</v>
      </c>
      <c r="FP47" s="275">
        <f>'[1]POLY DISB 2019'!AT51</f>
        <v>0</v>
      </c>
      <c r="FQ47" s="275">
        <f t="shared" si="45"/>
        <v>245000000</v>
      </c>
      <c r="FR47" s="275">
        <f>'[1]POLY commited funds to date'!AV47</f>
        <v>119074602</v>
      </c>
      <c r="FS47" s="275">
        <f>'[1]POLY DISB 2019'!AU51</f>
        <v>0</v>
      </c>
      <c r="FT47" s="275">
        <f t="shared" si="46"/>
        <v>119074602</v>
      </c>
      <c r="FU47" s="275"/>
      <c r="FV47" s="275">
        <f>'[1]POLY commited funds to date'!AW47</f>
        <v>13000000</v>
      </c>
      <c r="FW47" s="275">
        <f>'[1]POLY DISB 2019'!AV51</f>
        <v>0</v>
      </c>
      <c r="FX47" s="275">
        <f t="shared" si="47"/>
        <v>13000000</v>
      </c>
      <c r="FY47" s="275"/>
      <c r="FZ47" s="275">
        <f>'[1]POLY commited funds to date'!AX47</f>
        <v>8628900</v>
      </c>
      <c r="GA47" s="275">
        <f>'[1]POLY DISB 2019'!AW51</f>
        <v>0</v>
      </c>
      <c r="GB47" s="275">
        <f t="shared" si="48"/>
        <v>8628900</v>
      </c>
      <c r="GC47" s="275">
        <f>'[1]POLY commited funds to date'!AY47</f>
        <v>5000000</v>
      </c>
      <c r="GD47" s="275">
        <f>'[1]POLY DISB 2019'!AX51</f>
        <v>0</v>
      </c>
      <c r="GE47" s="275">
        <f t="shared" si="49"/>
        <v>5000000</v>
      </c>
      <c r="GF47" s="275"/>
      <c r="GG47" s="275">
        <f>'[1]POLY commited funds to date'!AZ47</f>
        <v>0</v>
      </c>
      <c r="GH47" s="275">
        <f>'[1]POLY DISB 2019'!AY51</f>
        <v>0</v>
      </c>
      <c r="GI47" s="275">
        <f t="shared" si="50"/>
        <v>0</v>
      </c>
      <c r="GJ47" s="275"/>
      <c r="GK47" s="275">
        <f t="shared" si="51"/>
        <v>4800484804</v>
      </c>
      <c r="GL47" s="275">
        <f t="shared" si="51"/>
        <v>3970686502</v>
      </c>
      <c r="GM47" s="275">
        <f t="shared" si="52"/>
        <v>829798302</v>
      </c>
      <c r="GN47" s="265"/>
      <c r="GO47" s="277">
        <f t="shared" si="53"/>
        <v>2258981302</v>
      </c>
      <c r="GP47" s="277">
        <f t="shared" si="53"/>
        <v>1742686502</v>
      </c>
      <c r="GQ47" s="277">
        <f t="shared" si="54"/>
        <v>516294800</v>
      </c>
      <c r="GR47" s="277">
        <f t="shared" si="69"/>
        <v>10000000</v>
      </c>
      <c r="GS47" s="277">
        <f t="shared" si="69"/>
        <v>10000000</v>
      </c>
      <c r="GT47" s="277">
        <f t="shared" si="55"/>
        <v>0</v>
      </c>
      <c r="GU47" s="277"/>
      <c r="GV47" s="265"/>
      <c r="GW47" s="279">
        <f t="shared" si="68"/>
        <v>2202000000</v>
      </c>
      <c r="GX47" s="279">
        <f t="shared" si="68"/>
        <v>2202000000</v>
      </c>
      <c r="GY47" s="280">
        <f t="shared" si="57"/>
        <v>0</v>
      </c>
      <c r="GZ47" s="280"/>
      <c r="HA47" s="277">
        <f t="shared" si="58"/>
        <v>74928900</v>
      </c>
      <c r="HB47" s="277">
        <f t="shared" si="58"/>
        <v>0</v>
      </c>
      <c r="HC47" s="277">
        <f t="shared" si="59"/>
        <v>74928900</v>
      </c>
      <c r="HE47" s="277">
        <f t="shared" si="60"/>
        <v>36000000</v>
      </c>
      <c r="HF47" s="277">
        <f t="shared" si="60"/>
        <v>16000000</v>
      </c>
      <c r="HG47" s="277">
        <f t="shared" si="61"/>
        <v>20000000</v>
      </c>
      <c r="HI47" s="279">
        <f t="shared" si="62"/>
        <v>194074602</v>
      </c>
      <c r="HJ47" s="279">
        <f t="shared" si="62"/>
        <v>0</v>
      </c>
      <c r="HK47" s="279">
        <f t="shared" si="63"/>
        <v>194074602</v>
      </c>
      <c r="HM47" s="279">
        <f t="shared" si="64"/>
        <v>2000000</v>
      </c>
      <c r="HN47" s="279">
        <f t="shared" si="1"/>
        <v>0</v>
      </c>
      <c r="HO47" s="279">
        <f t="shared" si="65"/>
        <v>2000000</v>
      </c>
      <c r="HQ47" s="279">
        <f t="shared" si="66"/>
        <v>22500000</v>
      </c>
      <c r="HR47" s="279">
        <f t="shared" si="2"/>
        <v>0</v>
      </c>
      <c r="HS47" s="279">
        <f t="shared" si="67"/>
        <v>22500000</v>
      </c>
    </row>
    <row r="48" spans="1:227" x14ac:dyDescent="0.25">
      <c r="A48" s="235">
        <v>40</v>
      </c>
      <c r="B48" s="273" t="s">
        <v>239</v>
      </c>
      <c r="C48" s="282" t="s">
        <v>65</v>
      </c>
      <c r="D48" s="275">
        <v>24709302</v>
      </c>
      <c r="E48" s="275">
        <f>'[1]POLY DISB 2019'!C52</f>
        <v>24709302</v>
      </c>
      <c r="F48" s="275">
        <f t="shared" si="3"/>
        <v>0</v>
      </c>
      <c r="G48" s="275"/>
      <c r="H48" s="275">
        <v>10000000</v>
      </c>
      <c r="I48" s="275">
        <f>'[1]POLY DISB 2019'!D52</f>
        <v>10000000</v>
      </c>
      <c r="J48" s="275">
        <f t="shared" si="4"/>
        <v>0</v>
      </c>
      <c r="K48" s="275"/>
      <c r="L48" s="275">
        <v>20000000</v>
      </c>
      <c r="M48" s="275">
        <f>'[1]POLY DISB 2019'!E52</f>
        <v>20000000</v>
      </c>
      <c r="N48" s="275">
        <f t="shared" si="5"/>
        <v>0</v>
      </c>
      <c r="O48" s="275"/>
      <c r="P48" s="275">
        <v>25000000</v>
      </c>
      <c r="Q48" s="275">
        <f>'[1]POLY DISB 2019'!F52</f>
        <v>25000000</v>
      </c>
      <c r="R48" s="275">
        <f t="shared" si="6"/>
        <v>0</v>
      </c>
      <c r="S48" s="275"/>
      <c r="T48" s="275">
        <v>12000000</v>
      </c>
      <c r="U48" s="275">
        <f>'[1]POLY DISB 2019'!G52</f>
        <v>12000000</v>
      </c>
      <c r="V48" s="275">
        <f t="shared" si="7"/>
        <v>0</v>
      </c>
      <c r="W48" s="275"/>
      <c r="X48" s="275">
        <v>12000000</v>
      </c>
      <c r="Y48" s="275">
        <f>'[1]POLY DISB 2019'!H52</f>
        <v>12000000</v>
      </c>
      <c r="Z48" s="275">
        <f t="shared" si="8"/>
        <v>0</v>
      </c>
      <c r="AA48" s="275"/>
      <c r="AB48" s="275">
        <v>0</v>
      </c>
      <c r="AC48" s="275">
        <f>'[1]POLY DISB 2019'!I52</f>
        <v>0</v>
      </c>
      <c r="AD48" s="275">
        <f t="shared" si="9"/>
        <v>0</v>
      </c>
      <c r="AE48" s="275"/>
      <c r="AF48" s="275">
        <f>'[1]POLY commited funds to date'!K48</f>
        <v>20000000</v>
      </c>
      <c r="AG48" s="275">
        <f>'[1]POLY DISB 2019'!J52</f>
        <v>20000000</v>
      </c>
      <c r="AH48" s="275">
        <f t="shared" si="10"/>
        <v>0</v>
      </c>
      <c r="AI48" s="275"/>
      <c r="AJ48" s="275">
        <v>10000000</v>
      </c>
      <c r="AK48" s="275">
        <f>'[1]POLY DISB 2019'!K52</f>
        <v>10000000</v>
      </c>
      <c r="AL48" s="275">
        <f t="shared" si="11"/>
        <v>0</v>
      </c>
      <c r="AM48" s="275"/>
      <c r="AN48" s="275">
        <v>20000000</v>
      </c>
      <c r="AO48" s="275">
        <f>'[1]POLY DISB 2019'!L52</f>
        <v>20000000</v>
      </c>
      <c r="AP48" s="275">
        <f t="shared" si="12"/>
        <v>0</v>
      </c>
      <c r="AQ48" s="275"/>
      <c r="AR48" s="275">
        <v>26000000</v>
      </c>
      <c r="AS48" s="275">
        <f>'[1]POLY DISB 2019'!M52</f>
        <v>26000000</v>
      </c>
      <c r="AT48" s="275">
        <f t="shared" si="13"/>
        <v>0</v>
      </c>
      <c r="AU48" s="275"/>
      <c r="AV48" s="275">
        <v>45000000</v>
      </c>
      <c r="AW48" s="275">
        <f>'[1]POLY DISB 2019'!N52</f>
        <v>45000000</v>
      </c>
      <c r="AX48" s="275">
        <f t="shared" si="14"/>
        <v>0</v>
      </c>
      <c r="AY48" s="275"/>
      <c r="AZ48" s="275">
        <v>38340000</v>
      </c>
      <c r="BA48" s="275">
        <f>'[1]POLY DISB 2019'!P52</f>
        <v>38340000.043974504</v>
      </c>
      <c r="BB48" s="275">
        <f t="shared" si="15"/>
        <v>-4.3974503874778748E-2</v>
      </c>
      <c r="BC48" s="275"/>
      <c r="BD48" s="275">
        <v>500000000</v>
      </c>
      <c r="BE48" s="275">
        <f>'[1]POLY DISB 2019'!Q52</f>
        <v>500000000</v>
      </c>
      <c r="BF48" s="275">
        <f t="shared" si="16"/>
        <v>0</v>
      </c>
      <c r="BG48" s="275"/>
      <c r="BH48" s="275">
        <f>'[1]POLY commited funds to date'!S48</f>
        <v>126060000</v>
      </c>
      <c r="BI48" s="275">
        <f>'[1]POLY DISB 2019'!R52</f>
        <v>126059999.9560256</v>
      </c>
      <c r="BJ48" s="275">
        <f t="shared" si="17"/>
        <v>4.3974399566650391E-2</v>
      </c>
      <c r="BK48" s="275"/>
      <c r="BL48" s="275">
        <f>'[1]poly  com. adj for fmis'!S48</f>
        <v>0</v>
      </c>
      <c r="BM48" s="275">
        <f>'[1]POLY DISB 2019'!S52</f>
        <v>0</v>
      </c>
      <c r="BN48" s="269">
        <f t="shared" si="18"/>
        <v>0</v>
      </c>
      <c r="BO48" s="275"/>
      <c r="BP48" s="276">
        <f>'[1]POLY commited funds to date'!U48</f>
        <v>169900000</v>
      </c>
      <c r="BQ48" s="275">
        <f>'[1]POLY DISB 2019'!T52</f>
        <v>144415000</v>
      </c>
      <c r="BR48" s="275">
        <f t="shared" si="19"/>
        <v>25485000</v>
      </c>
      <c r="BS48" s="275"/>
      <c r="BT48" s="275">
        <f>'[1]POLY commited funds to date'!V48</f>
        <v>10000000</v>
      </c>
      <c r="BU48" s="275">
        <f>'[1]POLY DISB 2019'!U52</f>
        <v>8500000</v>
      </c>
      <c r="BV48" s="275">
        <f t="shared" si="20"/>
        <v>1500000</v>
      </c>
      <c r="BW48" s="275"/>
      <c r="BX48" s="275">
        <f>'[1]POLY commited funds to date'!W48</f>
        <v>500000000</v>
      </c>
      <c r="BY48" s="275">
        <f>'[1]POLY DISB 2019'!V52</f>
        <v>500000000</v>
      </c>
      <c r="BZ48" s="275">
        <f t="shared" si="21"/>
        <v>0</v>
      </c>
      <c r="CA48" s="275"/>
      <c r="CB48" s="275">
        <f>'[1]POLY commited funds to date'!X48</f>
        <v>210000000</v>
      </c>
      <c r="CC48" s="275">
        <f>'[1]POLY DISB 2019'!W52</f>
        <v>178500000</v>
      </c>
      <c r="CD48" s="275">
        <f t="shared" si="22"/>
        <v>31500000</v>
      </c>
      <c r="CE48" s="275"/>
      <c r="CF48" s="275">
        <f>'[1]POLY commited funds to date'!Y48</f>
        <v>0</v>
      </c>
      <c r="CG48" s="275">
        <f>'[1]POLY DISB 2019'!X52</f>
        <v>0</v>
      </c>
      <c r="CH48" s="275">
        <f t="shared" si="23"/>
        <v>0</v>
      </c>
      <c r="CI48" s="275"/>
      <c r="CJ48" s="275">
        <f>'[1]POLY commited funds to date'!Z48</f>
        <v>0</v>
      </c>
      <c r="CK48" s="275">
        <f>'[1]POLY DISB 2019'!Y52</f>
        <v>0</v>
      </c>
      <c r="CL48" s="275">
        <f t="shared" si="24"/>
        <v>0</v>
      </c>
      <c r="CM48" s="275"/>
      <c r="CN48" s="275">
        <f>'[1]POLY commited funds to date'!AA48</f>
        <v>243000000</v>
      </c>
      <c r="CO48" s="275">
        <f>'[1]POLY DISB 2019'!Z52</f>
        <v>206550000</v>
      </c>
      <c r="CP48" s="275">
        <f t="shared" si="25"/>
        <v>36450000</v>
      </c>
      <c r="CQ48" s="275"/>
      <c r="CR48" s="275">
        <v>10000000</v>
      </c>
      <c r="CS48" s="275">
        <f>'[1]POLY DISB 2019'!AA52</f>
        <v>8500000</v>
      </c>
      <c r="CT48" s="275">
        <f t="shared" si="26"/>
        <v>1500000</v>
      </c>
      <c r="CU48" s="275"/>
      <c r="CV48" s="275">
        <f>'[1]POLY commited funds to date'!AC48</f>
        <v>371000000</v>
      </c>
      <c r="CW48" s="275">
        <f>'[1]POLY DISB 2019'!AB52</f>
        <v>315350000</v>
      </c>
      <c r="CX48" s="275">
        <f t="shared" si="27"/>
        <v>55650000</v>
      </c>
      <c r="CY48" s="275"/>
      <c r="CZ48" s="275">
        <f>'[1]POLY commited funds to date'!AD48</f>
        <v>20000000</v>
      </c>
      <c r="DA48" s="275">
        <f>'[1]POLY DISB 2019'!AC52</f>
        <v>17000000</v>
      </c>
      <c r="DB48" s="275">
        <f t="shared" si="28"/>
        <v>3000000</v>
      </c>
      <c r="DC48" s="275"/>
      <c r="DD48" s="275">
        <f>'[1]POLY commited funds to date'!AE48</f>
        <v>50000000</v>
      </c>
      <c r="DE48" s="275">
        <f>'[1]POLY DISB 2019'!AD52</f>
        <v>50000000</v>
      </c>
      <c r="DF48" s="275">
        <f t="shared" si="29"/>
        <v>0</v>
      </c>
      <c r="DG48" s="275"/>
      <c r="DH48" s="275">
        <f>'[1]poly  com. adj for fmis'!AE48</f>
        <v>80000000</v>
      </c>
      <c r="DI48" s="275">
        <f>'[1]POLY DISB 2019'!AE52</f>
        <v>0</v>
      </c>
      <c r="DJ48" s="275">
        <f t="shared" si="30"/>
        <v>80000000</v>
      </c>
      <c r="DK48" s="275"/>
      <c r="DL48" s="275">
        <f>'[1]poly  com. adj for fmis'!AF48</f>
        <v>8000000</v>
      </c>
      <c r="DM48" s="275">
        <f>'[1]POLY DISB 2019'!AF52</f>
        <v>0</v>
      </c>
      <c r="DN48" s="275">
        <f t="shared" si="31"/>
        <v>8000000</v>
      </c>
      <c r="DO48" s="275"/>
      <c r="DP48" s="275">
        <f>'[1]poly  com. adj for fmis'!AG48</f>
        <v>2000000</v>
      </c>
      <c r="DQ48" s="275">
        <f>'[1]POLY DISB 2019'!AG52</f>
        <v>0</v>
      </c>
      <c r="DR48" s="275">
        <f t="shared" si="32"/>
        <v>2000000</v>
      </c>
      <c r="DS48" s="275"/>
      <c r="DT48" s="275">
        <f>'[1]poly  com. adj for fmis'!AH48</f>
        <v>10000000</v>
      </c>
      <c r="DU48" s="275">
        <f>'[1]POLY DISB 2019'!AH52</f>
        <v>8500000</v>
      </c>
      <c r="DV48" s="275">
        <f t="shared" si="33"/>
        <v>1500000</v>
      </c>
      <c r="DW48" s="275"/>
      <c r="DX48" s="275">
        <f>'[1]poly  com. adj for fmis'!AI48</f>
        <v>50000000</v>
      </c>
      <c r="DY48" s="275">
        <f>'[1]POLY DISB 2019'!AI52</f>
        <v>50000000</v>
      </c>
      <c r="DZ48" s="275">
        <f t="shared" si="34"/>
        <v>0</v>
      </c>
      <c r="EA48" s="275"/>
      <c r="EB48" s="275">
        <f>'[1]POLY commited funds to date'!AK48</f>
        <v>380632000</v>
      </c>
      <c r="EC48" s="275">
        <f>'[1]POLY DISB 2019'!AJ52</f>
        <v>0</v>
      </c>
      <c r="ED48" s="275">
        <f t="shared" si="35"/>
        <v>380632000</v>
      </c>
      <c r="EE48" s="275"/>
      <c r="EF48" s="275">
        <f>'[1]POLY commited funds to date'!AL48</f>
        <v>8000000</v>
      </c>
      <c r="EG48" s="275">
        <f>'[1]POLY DISB 2019'!AK52</f>
        <v>0</v>
      </c>
      <c r="EH48" s="275">
        <f t="shared" si="36"/>
        <v>8000000</v>
      </c>
      <c r="EI48" s="275"/>
      <c r="EJ48" s="275">
        <f>'[1]POLY commited funds to date'!AM48</f>
        <v>10000000</v>
      </c>
      <c r="EK48" s="275">
        <f>'[1]POLY DISB 2019'!AL52</f>
        <v>0</v>
      </c>
      <c r="EL48" s="275">
        <f t="shared" si="37"/>
        <v>10000000</v>
      </c>
      <c r="EM48" s="275"/>
      <c r="EN48" s="275">
        <f>'[1]POLY commited funds to date'!AN48</f>
        <v>10000000</v>
      </c>
      <c r="EO48" s="275">
        <f>'[1]POLY DISB 2019'!AM52</f>
        <v>0</v>
      </c>
      <c r="EP48" s="275">
        <f t="shared" si="38"/>
        <v>10000000</v>
      </c>
      <c r="EQ48" s="281">
        <f>'[1]POLY commited funds to date'!AO48</f>
        <v>150000000</v>
      </c>
      <c r="ER48" s="275">
        <f>'[1]POLY DISB 2019'!AN52</f>
        <v>127500000</v>
      </c>
      <c r="ES48" s="275">
        <f t="shared" si="39"/>
        <v>22500000</v>
      </c>
      <c r="ET48" s="275"/>
      <c r="EU48" s="275">
        <f>'[1]POLY commited funds to date'!AP48</f>
        <v>205000000</v>
      </c>
      <c r="EV48" s="275">
        <f>'[1]POLY DISB 2019'!AO52</f>
        <v>0</v>
      </c>
      <c r="EW48" s="275">
        <f t="shared" si="40"/>
        <v>205000000</v>
      </c>
      <c r="EX48" s="275"/>
      <c r="EY48" s="275">
        <f>'[1]POLY commited funds to date'!AQ48</f>
        <v>75000000</v>
      </c>
      <c r="EZ48" s="275">
        <f>'[1]POLY DISB 2019'!AP52</f>
        <v>51000000</v>
      </c>
      <c r="FA48" s="275">
        <f t="shared" si="41"/>
        <v>24000000</v>
      </c>
      <c r="FB48" s="275"/>
      <c r="FC48" s="275">
        <f>'[1]POLY commited funds to date'!AR48</f>
        <v>7000000</v>
      </c>
      <c r="FD48" s="275">
        <f>'[1]POLY DISB 2019'!AQ52</f>
        <v>0</v>
      </c>
      <c r="FE48" s="275">
        <f t="shared" si="42"/>
        <v>7000000</v>
      </c>
      <c r="FF48" s="275"/>
      <c r="FG48" s="275">
        <f>'[1]POLY commited funds to date'!AS48</f>
        <v>6300000</v>
      </c>
      <c r="FH48" s="275">
        <f>'[1]POLY DISB 2019'!AR52</f>
        <v>0</v>
      </c>
      <c r="FI48" s="275">
        <f t="shared" si="43"/>
        <v>6300000</v>
      </c>
      <c r="FJ48" s="275"/>
      <c r="FK48" s="275">
        <f>'[1]POLY commited funds to date'!AT48</f>
        <v>7500000</v>
      </c>
      <c r="FL48" s="275">
        <f>'[1]POLY DISB 2019'!AS52</f>
        <v>0</v>
      </c>
      <c r="FM48" s="275">
        <f t="shared" si="44"/>
        <v>7500000</v>
      </c>
      <c r="FN48" s="275"/>
      <c r="FO48" s="275">
        <f>'[1]POLY commited funds to date'!AU48</f>
        <v>245000000</v>
      </c>
      <c r="FP48" s="275">
        <f>'[1]POLY DISB 2019'!AT52</f>
        <v>0</v>
      </c>
      <c r="FQ48" s="275">
        <f t="shared" si="45"/>
        <v>245000000</v>
      </c>
      <c r="FR48" s="275">
        <f>'[1]POLY commited funds to date'!AV48</f>
        <v>119074602</v>
      </c>
      <c r="FS48" s="275">
        <f>'[1]POLY DISB 2019'!AU52</f>
        <v>0</v>
      </c>
      <c r="FT48" s="275">
        <f t="shared" si="46"/>
        <v>119074602</v>
      </c>
      <c r="FU48" s="275"/>
      <c r="FV48" s="275">
        <f>'[1]POLY commited funds to date'!AW48</f>
        <v>13000000</v>
      </c>
      <c r="FW48" s="275">
        <f>'[1]POLY DISB 2019'!AV52</f>
        <v>0</v>
      </c>
      <c r="FX48" s="275">
        <f t="shared" si="47"/>
        <v>13000000</v>
      </c>
      <c r="FY48" s="275"/>
      <c r="FZ48" s="275">
        <f>'[1]POLY commited funds to date'!AX48</f>
        <v>8628900</v>
      </c>
      <c r="GA48" s="275">
        <f>'[1]POLY DISB 2019'!AW52</f>
        <v>0</v>
      </c>
      <c r="GB48" s="275">
        <f t="shared" si="48"/>
        <v>8628900</v>
      </c>
      <c r="GC48" s="275">
        <f>'[1]POLY commited funds to date'!AY48</f>
        <v>5000000</v>
      </c>
      <c r="GD48" s="275">
        <f>'[1]POLY DISB 2019'!AX52</f>
        <v>0</v>
      </c>
      <c r="GE48" s="275">
        <f t="shared" si="49"/>
        <v>5000000</v>
      </c>
      <c r="GF48" s="275"/>
      <c r="GG48" s="275">
        <f>'[1]POLY commited funds to date'!AZ48</f>
        <v>0</v>
      </c>
      <c r="GH48" s="275">
        <f>'[1]POLY DISB 2019'!AY52</f>
        <v>0</v>
      </c>
      <c r="GI48" s="275">
        <f t="shared" si="50"/>
        <v>0</v>
      </c>
      <c r="GJ48" s="275"/>
      <c r="GK48" s="275">
        <f t="shared" si="51"/>
        <v>3873144804</v>
      </c>
      <c r="GL48" s="275">
        <f t="shared" si="51"/>
        <v>2554924302</v>
      </c>
      <c r="GM48" s="275">
        <f t="shared" si="52"/>
        <v>1318220502</v>
      </c>
      <c r="GN48" s="265"/>
      <c r="GO48" s="277">
        <f t="shared" si="53"/>
        <v>2283641302</v>
      </c>
      <c r="GP48" s="277">
        <f t="shared" si="53"/>
        <v>1223924302</v>
      </c>
      <c r="GQ48" s="277">
        <f t="shared" si="54"/>
        <v>1059717000</v>
      </c>
      <c r="GR48" s="277">
        <f t="shared" si="69"/>
        <v>10000000</v>
      </c>
      <c r="GS48" s="277">
        <f t="shared" si="69"/>
        <v>10000000</v>
      </c>
      <c r="GT48" s="277">
        <f t="shared" si="55"/>
        <v>0</v>
      </c>
      <c r="GU48" s="277"/>
      <c r="GV48" s="265"/>
      <c r="GW48" s="279">
        <f t="shared" si="68"/>
        <v>1100000000</v>
      </c>
      <c r="GX48" s="279">
        <f t="shared" si="68"/>
        <v>1100000000</v>
      </c>
      <c r="GY48" s="280">
        <f t="shared" si="57"/>
        <v>0</v>
      </c>
      <c r="GZ48" s="280"/>
      <c r="HA48" s="277">
        <f t="shared" si="58"/>
        <v>74928900</v>
      </c>
      <c r="HB48" s="277">
        <f t="shared" si="58"/>
        <v>42500000</v>
      </c>
      <c r="HC48" s="277">
        <f t="shared" si="59"/>
        <v>32428900</v>
      </c>
      <c r="HE48" s="277">
        <f t="shared" si="60"/>
        <v>36000000</v>
      </c>
      <c r="HF48" s="277">
        <f t="shared" si="60"/>
        <v>0</v>
      </c>
      <c r="HG48" s="277">
        <f t="shared" si="61"/>
        <v>36000000</v>
      </c>
      <c r="HI48" s="279">
        <f t="shared" si="62"/>
        <v>344074602</v>
      </c>
      <c r="HJ48" s="279">
        <f t="shared" si="62"/>
        <v>178500000</v>
      </c>
      <c r="HK48" s="279">
        <f t="shared" si="63"/>
        <v>165574602</v>
      </c>
      <c r="HM48" s="279">
        <f t="shared" si="64"/>
        <v>2000000</v>
      </c>
      <c r="HN48" s="279">
        <f t="shared" si="1"/>
        <v>0</v>
      </c>
      <c r="HO48" s="279">
        <f t="shared" si="65"/>
        <v>2000000</v>
      </c>
      <c r="HQ48" s="279">
        <f t="shared" si="66"/>
        <v>22500000</v>
      </c>
      <c r="HR48" s="279">
        <f t="shared" si="2"/>
        <v>0</v>
      </c>
      <c r="HS48" s="279">
        <f t="shared" si="67"/>
        <v>22500000</v>
      </c>
    </row>
    <row r="49" spans="1:227" x14ac:dyDescent="0.25">
      <c r="A49" s="235">
        <v>41</v>
      </c>
      <c r="B49" s="107" t="s">
        <v>240</v>
      </c>
      <c r="C49" s="282" t="s">
        <v>63</v>
      </c>
      <c r="D49" s="275">
        <v>0</v>
      </c>
      <c r="E49" s="275">
        <f>'[1]POLY DISB 2019'!C53</f>
        <v>0</v>
      </c>
      <c r="F49" s="275">
        <v>0</v>
      </c>
      <c r="G49" s="275"/>
      <c r="H49" s="275">
        <v>0</v>
      </c>
      <c r="I49" s="275">
        <f>'[1]POLY DISB 2019'!D53</f>
        <v>0</v>
      </c>
      <c r="J49" s="275">
        <v>0</v>
      </c>
      <c r="K49" s="275"/>
      <c r="L49" s="275">
        <v>0</v>
      </c>
      <c r="M49" s="275">
        <f>'[1]POLY DISB 2019'!E53</f>
        <v>0</v>
      </c>
      <c r="N49" s="275">
        <v>0</v>
      </c>
      <c r="O49" s="275"/>
      <c r="P49" s="275">
        <v>0</v>
      </c>
      <c r="Q49" s="275">
        <f>'[1]POLY DISB 2019'!F53</f>
        <v>0</v>
      </c>
      <c r="R49" s="275">
        <f t="shared" si="6"/>
        <v>0</v>
      </c>
      <c r="S49" s="275"/>
      <c r="T49" s="275">
        <v>12000000</v>
      </c>
      <c r="U49" s="275">
        <f>'[1]POLY DISB 2019'!G53</f>
        <v>12000000</v>
      </c>
      <c r="V49" s="275">
        <f t="shared" si="7"/>
        <v>0</v>
      </c>
      <c r="W49" s="275"/>
      <c r="X49" s="275">
        <v>12000000</v>
      </c>
      <c r="Y49" s="275">
        <f>'[1]POLY DISB 2019'!H53</f>
        <v>12000000</v>
      </c>
      <c r="Z49" s="275">
        <f t="shared" si="8"/>
        <v>0</v>
      </c>
      <c r="AA49" s="275"/>
      <c r="AB49" s="275">
        <v>0</v>
      </c>
      <c r="AC49" s="275">
        <f>'[1]POLY DISB 2019'!I53</f>
        <v>0</v>
      </c>
      <c r="AD49" s="275">
        <f t="shared" si="9"/>
        <v>0</v>
      </c>
      <c r="AE49" s="275"/>
      <c r="AF49" s="275">
        <f>'[1]POLY commited funds to date'!K49</f>
        <v>20000000</v>
      </c>
      <c r="AG49" s="275">
        <f>'[1]POLY DISB 2019'!J53</f>
        <v>20000000</v>
      </c>
      <c r="AH49" s="275">
        <f t="shared" si="10"/>
        <v>0</v>
      </c>
      <c r="AI49" s="275"/>
      <c r="AJ49" s="275">
        <v>10000000</v>
      </c>
      <c r="AK49" s="275">
        <f>'[1]POLY DISB 2019'!K53</f>
        <v>10000000</v>
      </c>
      <c r="AL49" s="275">
        <f t="shared" si="11"/>
        <v>0</v>
      </c>
      <c r="AM49" s="275"/>
      <c r="AN49" s="275">
        <v>20000000</v>
      </c>
      <c r="AO49" s="275">
        <f>'[1]POLY DISB 2019'!L53</f>
        <v>20000000</v>
      </c>
      <c r="AP49" s="275">
        <f t="shared" si="12"/>
        <v>0</v>
      </c>
      <c r="AQ49" s="275"/>
      <c r="AR49" s="275">
        <v>26000000</v>
      </c>
      <c r="AS49" s="275">
        <f>'[1]POLY DISB 2019'!M53</f>
        <v>26000000</v>
      </c>
      <c r="AT49" s="275">
        <f t="shared" si="13"/>
        <v>0</v>
      </c>
      <c r="AU49" s="275"/>
      <c r="AV49" s="275">
        <v>45000000</v>
      </c>
      <c r="AW49" s="275">
        <f>'[1]POLY DISB 2019'!N53</f>
        <v>45000000</v>
      </c>
      <c r="AX49" s="275">
        <f t="shared" si="14"/>
        <v>0</v>
      </c>
      <c r="AY49" s="275"/>
      <c r="AZ49" s="275">
        <v>38340000</v>
      </c>
      <c r="BA49" s="275">
        <f>'[1]POLY DISB 2019'!P53</f>
        <v>38340000</v>
      </c>
      <c r="BB49" s="275">
        <f t="shared" si="15"/>
        <v>0</v>
      </c>
      <c r="BC49" s="275"/>
      <c r="BD49" s="275">
        <v>0</v>
      </c>
      <c r="BE49" s="275">
        <f>'[1]POLY DISB 2019'!Q53</f>
        <v>0</v>
      </c>
      <c r="BF49" s="275">
        <f t="shared" si="16"/>
        <v>0</v>
      </c>
      <c r="BG49" s="275"/>
      <c r="BH49" s="275">
        <f>'[1]POLY commited funds to date'!S49</f>
        <v>126060000</v>
      </c>
      <c r="BI49" s="275">
        <f>'[1]POLY DISB 2019'!R53</f>
        <v>126060000</v>
      </c>
      <c r="BJ49" s="275">
        <f t="shared" si="17"/>
        <v>0</v>
      </c>
      <c r="BK49" s="275"/>
      <c r="BL49" s="275">
        <f>'[1]poly  com. adj for fmis'!S49</f>
        <v>500000000</v>
      </c>
      <c r="BM49" s="275">
        <f>'[1]POLY DISB 2019'!S53</f>
        <v>500000000</v>
      </c>
      <c r="BN49" s="269">
        <f t="shared" si="18"/>
        <v>0</v>
      </c>
      <c r="BO49" s="275"/>
      <c r="BP49" s="276">
        <f>'[1]POLY commited funds to date'!U49</f>
        <v>169900000</v>
      </c>
      <c r="BQ49" s="275">
        <f>'[1]POLY DISB 2019'!T53</f>
        <v>169900000</v>
      </c>
      <c r="BR49" s="275">
        <f t="shared" si="19"/>
        <v>0</v>
      </c>
      <c r="BS49" s="275"/>
      <c r="BT49" s="275">
        <f>'[1]POLY commited funds to date'!V49</f>
        <v>10000000</v>
      </c>
      <c r="BU49" s="275">
        <f>'[1]POLY DISB 2019'!U53</f>
        <v>0</v>
      </c>
      <c r="BV49" s="275">
        <f t="shared" si="20"/>
        <v>10000000</v>
      </c>
      <c r="BW49" s="275"/>
      <c r="BX49" s="275">
        <f>'[1]POLY commited funds to date'!W49</f>
        <v>0</v>
      </c>
      <c r="BY49" s="275">
        <f>'[1]POLY DISB 2019'!V53</f>
        <v>0</v>
      </c>
      <c r="BZ49" s="275">
        <f t="shared" si="21"/>
        <v>0</v>
      </c>
      <c r="CA49" s="275"/>
      <c r="CB49" s="275">
        <f>'[1]POLY commited funds to date'!X49</f>
        <v>210000000</v>
      </c>
      <c r="CC49" s="275">
        <f>'[1]POLY DISB 2019'!W53</f>
        <v>210000000</v>
      </c>
      <c r="CD49" s="275">
        <f t="shared" si="22"/>
        <v>0</v>
      </c>
      <c r="CE49" s="275"/>
      <c r="CF49" s="283">
        <v>500000000</v>
      </c>
      <c r="CG49" s="275">
        <f>'[1]POLY DISB 2019'!X53</f>
        <v>250000000</v>
      </c>
      <c r="CH49" s="275">
        <f t="shared" si="23"/>
        <v>250000000</v>
      </c>
      <c r="CI49" s="275"/>
      <c r="CJ49" s="275">
        <f>'[1]POLY commited funds to date'!Z49</f>
        <v>240000000</v>
      </c>
      <c r="CK49" s="275">
        <f>'[1]POLY DISB 2019'!Y53</f>
        <v>240000000</v>
      </c>
      <c r="CL49" s="275">
        <f t="shared" si="24"/>
        <v>0</v>
      </c>
      <c r="CM49" s="275"/>
      <c r="CN49" s="275">
        <f>'[1]POLY commited funds to date'!AA49</f>
        <v>243000000</v>
      </c>
      <c r="CO49" s="275">
        <f>'[1]POLY DISB 2019'!Z53</f>
        <v>243000000</v>
      </c>
      <c r="CP49" s="275">
        <f t="shared" si="25"/>
        <v>0</v>
      </c>
      <c r="CQ49" s="275"/>
      <c r="CR49" s="275">
        <v>10000000</v>
      </c>
      <c r="CS49" s="275">
        <f>'[1]POLY DISB 2019'!AA53</f>
        <v>10000000</v>
      </c>
      <c r="CT49" s="275">
        <f t="shared" si="26"/>
        <v>0</v>
      </c>
      <c r="CU49" s="275"/>
      <c r="CV49" s="275">
        <f>'[1]POLY commited funds to date'!AC49</f>
        <v>371000000</v>
      </c>
      <c r="CW49" s="275">
        <f>'[1]POLY DISB 2019'!AB53</f>
        <v>371000000</v>
      </c>
      <c r="CX49" s="275">
        <f t="shared" si="27"/>
        <v>0</v>
      </c>
      <c r="CY49" s="275"/>
      <c r="CZ49" s="275">
        <f>'[1]POLY commited funds to date'!AD49</f>
        <v>20000000</v>
      </c>
      <c r="DA49" s="275">
        <f>'[1]POLY DISB 2019'!AC53</f>
        <v>17000000</v>
      </c>
      <c r="DB49" s="275">
        <f t="shared" si="28"/>
        <v>3000000</v>
      </c>
      <c r="DC49" s="275"/>
      <c r="DD49" s="275">
        <f>'[1]POLY commited funds to date'!AE49</f>
        <v>130000000</v>
      </c>
      <c r="DE49" s="275">
        <f>'[1]POLY DISB 2019'!AD53</f>
        <v>130000000</v>
      </c>
      <c r="DF49" s="275">
        <f t="shared" si="29"/>
        <v>0</v>
      </c>
      <c r="DG49" s="275"/>
      <c r="DH49" s="275">
        <f>'[1]poly  com. adj for fmis'!AE49</f>
        <v>80000000</v>
      </c>
      <c r="DI49" s="275">
        <f>'[1]POLY DISB 2019'!AE53</f>
        <v>80000000</v>
      </c>
      <c r="DJ49" s="275">
        <f t="shared" si="30"/>
        <v>0</v>
      </c>
      <c r="DK49" s="275"/>
      <c r="DL49" s="275">
        <f>'[1]poly  com. adj for fmis'!AF49</f>
        <v>8000000</v>
      </c>
      <c r="DM49" s="275">
        <f>'[1]POLY DISB 2019'!AF53</f>
        <v>8000000</v>
      </c>
      <c r="DN49" s="275">
        <f t="shared" si="31"/>
        <v>0</v>
      </c>
      <c r="DO49" s="275"/>
      <c r="DP49" s="275">
        <f>'[1]poly  com. adj for fmis'!AG49</f>
        <v>2000000</v>
      </c>
      <c r="DQ49" s="275">
        <f>'[1]POLY DISB 2019'!AG53</f>
        <v>0</v>
      </c>
      <c r="DR49" s="275">
        <f t="shared" si="32"/>
        <v>2000000</v>
      </c>
      <c r="DS49" s="275"/>
      <c r="DT49" s="275">
        <f>'[1]poly  com. adj for fmis'!AH49</f>
        <v>10000000</v>
      </c>
      <c r="DU49" s="275">
        <f>'[1]POLY DISB 2019'!AH53</f>
        <v>8500000</v>
      </c>
      <c r="DV49" s="275">
        <f t="shared" si="33"/>
        <v>1500000</v>
      </c>
      <c r="DW49" s="275"/>
      <c r="DX49" s="275">
        <f>'[1]poly  com. adj for fmis'!AI49</f>
        <v>3500000000</v>
      </c>
      <c r="DY49" s="275">
        <f>'[1]POLY DISB 2019'!AI53</f>
        <v>3362500000</v>
      </c>
      <c r="DZ49" s="275">
        <f t="shared" si="34"/>
        <v>137500000</v>
      </c>
      <c r="EA49" s="275"/>
      <c r="EB49" s="275">
        <f>'[1]POLY commited funds to date'!AK49</f>
        <v>380632000</v>
      </c>
      <c r="EC49" s="275">
        <f>'[1]POLY DISB 2019'!AJ53</f>
        <v>380632000</v>
      </c>
      <c r="ED49" s="275">
        <f t="shared" si="35"/>
        <v>0</v>
      </c>
      <c r="EE49" s="275"/>
      <c r="EF49" s="275">
        <f>'[1]POLY commited funds to date'!AL49</f>
        <v>8000000</v>
      </c>
      <c r="EG49" s="275">
        <f>'[1]POLY DISB 2019'!AK53</f>
        <v>8000000</v>
      </c>
      <c r="EH49" s="275">
        <f t="shared" si="36"/>
        <v>0</v>
      </c>
      <c r="EI49" s="275"/>
      <c r="EJ49" s="275">
        <f>'[1]POLY commited funds to date'!AM49</f>
        <v>10000000</v>
      </c>
      <c r="EK49" s="275">
        <f>'[1]POLY DISB 2019'!AL53</f>
        <v>8500000</v>
      </c>
      <c r="EL49" s="275">
        <f t="shared" si="37"/>
        <v>1500000</v>
      </c>
      <c r="EM49" s="275"/>
      <c r="EN49" s="275">
        <f>'[1]POLY commited funds to date'!AN49</f>
        <v>10000000</v>
      </c>
      <c r="EO49" s="275">
        <f>'[1]POLY DISB 2019'!AM53</f>
        <v>0</v>
      </c>
      <c r="EP49" s="275">
        <f t="shared" si="38"/>
        <v>10000000</v>
      </c>
      <c r="EQ49" s="275">
        <f>'[1]POLY commited funds to date'!AO49</f>
        <v>0</v>
      </c>
      <c r="ER49" s="275">
        <f>'[1]POLY DISB 2019'!AN53</f>
        <v>0</v>
      </c>
      <c r="ES49" s="275">
        <f t="shared" si="39"/>
        <v>0</v>
      </c>
      <c r="ET49" s="275"/>
      <c r="EU49" s="275">
        <f>'[1]POLY commited funds to date'!AP49</f>
        <v>205000000</v>
      </c>
      <c r="EV49" s="275">
        <f>'[1]POLY DISB 2019'!AO53</f>
        <v>0</v>
      </c>
      <c r="EW49" s="275">
        <f t="shared" si="40"/>
        <v>205000000</v>
      </c>
      <c r="EX49" s="275"/>
      <c r="EY49" s="275">
        <f>'[1]POLY commited funds to date'!AQ49</f>
        <v>75000000</v>
      </c>
      <c r="EZ49" s="275">
        <f>'[1]POLY DISB 2019'!AP53</f>
        <v>49500000</v>
      </c>
      <c r="FA49" s="275">
        <f t="shared" si="41"/>
        <v>25500000</v>
      </c>
      <c r="FB49" s="275"/>
      <c r="FC49" s="275">
        <f>'[1]POLY commited funds to date'!AR49</f>
        <v>7000000</v>
      </c>
      <c r="FD49" s="275">
        <f>'[1]POLY DISB 2019'!AQ53</f>
        <v>0</v>
      </c>
      <c r="FE49" s="275">
        <f t="shared" si="42"/>
        <v>7000000</v>
      </c>
      <c r="FF49" s="275"/>
      <c r="FG49" s="275">
        <f>'[1]POLY commited funds to date'!AS49</f>
        <v>6300000</v>
      </c>
      <c r="FH49" s="275">
        <f>'[1]POLY DISB 2019'!AR53</f>
        <v>0</v>
      </c>
      <c r="FI49" s="275">
        <f t="shared" si="43"/>
        <v>6300000</v>
      </c>
      <c r="FJ49" s="275"/>
      <c r="FK49" s="275">
        <f>'[1]POLY commited funds to date'!AT49</f>
        <v>7500000</v>
      </c>
      <c r="FL49" s="275">
        <f>'[1]POLY DISB 2019'!AS53</f>
        <v>0</v>
      </c>
      <c r="FM49" s="275">
        <f t="shared" si="44"/>
        <v>7500000</v>
      </c>
      <c r="FN49" s="275"/>
      <c r="FO49" s="275">
        <f>'[1]POLY commited funds to date'!AU49</f>
        <v>245000000</v>
      </c>
      <c r="FP49" s="275">
        <f>'[1]POLY DISB 2019'!AT53</f>
        <v>0</v>
      </c>
      <c r="FQ49" s="275">
        <f t="shared" si="45"/>
        <v>245000000</v>
      </c>
      <c r="FR49" s="275">
        <f>'[1]POLY commited funds to date'!AV49</f>
        <v>119074602</v>
      </c>
      <c r="FS49" s="275">
        <f>'[1]POLY DISB 2019'!AU53</f>
        <v>0</v>
      </c>
      <c r="FT49" s="275">
        <f t="shared" si="46"/>
        <v>119074602</v>
      </c>
      <c r="FU49" s="275"/>
      <c r="FV49" s="275">
        <f>'[1]POLY commited funds to date'!AW49</f>
        <v>13000000</v>
      </c>
      <c r="FW49" s="275">
        <f>'[1]POLY DISB 2019'!AV53</f>
        <v>0</v>
      </c>
      <c r="FX49" s="275">
        <f t="shared" si="47"/>
        <v>13000000</v>
      </c>
      <c r="FY49" s="275"/>
      <c r="FZ49" s="275">
        <f>'[1]POLY commited funds to date'!AX49</f>
        <v>8628900</v>
      </c>
      <c r="GA49" s="275">
        <f>'[1]POLY DISB 2019'!AW53</f>
        <v>0</v>
      </c>
      <c r="GB49" s="275">
        <f t="shared" si="48"/>
        <v>8628900</v>
      </c>
      <c r="GC49" s="275">
        <f>'[1]POLY commited funds to date'!AY49</f>
        <v>5000000</v>
      </c>
      <c r="GD49" s="275">
        <f>'[1]POLY DISB 2019'!AX53</f>
        <v>0</v>
      </c>
      <c r="GE49" s="275">
        <f t="shared" si="49"/>
        <v>5000000</v>
      </c>
      <c r="GF49" s="275"/>
      <c r="GG49" s="275">
        <f>'[1]POLY commited funds to date'!AZ49</f>
        <v>0</v>
      </c>
      <c r="GH49" s="275">
        <f>'[1]POLY DISB 2019'!AY53</f>
        <v>0</v>
      </c>
      <c r="GI49" s="275">
        <f t="shared" si="50"/>
        <v>0</v>
      </c>
      <c r="GJ49" s="275"/>
      <c r="GK49" s="275">
        <f t="shared" si="51"/>
        <v>7413435502</v>
      </c>
      <c r="GL49" s="275">
        <f t="shared" si="51"/>
        <v>6355932000</v>
      </c>
      <c r="GM49" s="275">
        <f t="shared" si="52"/>
        <v>1057503502</v>
      </c>
      <c r="GN49" s="265"/>
      <c r="GO49" s="277">
        <f t="shared" si="53"/>
        <v>2203932000</v>
      </c>
      <c r="GP49" s="277">
        <f t="shared" si="53"/>
        <v>1753932000</v>
      </c>
      <c r="GQ49" s="277">
        <f t="shared" si="54"/>
        <v>450000000</v>
      </c>
      <c r="GR49" s="277">
        <f t="shared" si="69"/>
        <v>10000000</v>
      </c>
      <c r="GS49" s="277">
        <f t="shared" si="69"/>
        <v>10000000</v>
      </c>
      <c r="GT49" s="277">
        <f t="shared" si="55"/>
        <v>0</v>
      </c>
      <c r="GU49" s="277"/>
      <c r="GV49" s="265"/>
      <c r="GW49" s="279">
        <f t="shared" si="68"/>
        <v>4870000000</v>
      </c>
      <c r="GX49" s="279">
        <f t="shared" si="68"/>
        <v>4482500000</v>
      </c>
      <c r="GY49" s="280">
        <f t="shared" si="57"/>
        <v>387500000</v>
      </c>
      <c r="GZ49" s="280"/>
      <c r="HA49" s="277">
        <f t="shared" si="58"/>
        <v>74928900</v>
      </c>
      <c r="HB49" s="277">
        <f t="shared" si="58"/>
        <v>44000000</v>
      </c>
      <c r="HC49" s="277">
        <f t="shared" si="59"/>
        <v>30928900</v>
      </c>
      <c r="HE49" s="277">
        <f t="shared" si="60"/>
        <v>36000000</v>
      </c>
      <c r="HF49" s="277">
        <f t="shared" si="60"/>
        <v>16000000</v>
      </c>
      <c r="HG49" s="277">
        <f t="shared" si="61"/>
        <v>20000000</v>
      </c>
      <c r="HI49" s="279">
        <f t="shared" si="62"/>
        <v>194074602</v>
      </c>
      <c r="HJ49" s="279">
        <f t="shared" si="62"/>
        <v>49500000</v>
      </c>
      <c r="HK49" s="279">
        <f t="shared" si="63"/>
        <v>144574602</v>
      </c>
      <c r="HM49" s="279">
        <f t="shared" si="64"/>
        <v>2000000</v>
      </c>
      <c r="HN49" s="279">
        <f t="shared" si="1"/>
        <v>0</v>
      </c>
      <c r="HO49" s="279">
        <f t="shared" si="65"/>
        <v>2000000</v>
      </c>
      <c r="HQ49" s="279">
        <f t="shared" si="66"/>
        <v>22500000</v>
      </c>
      <c r="HR49" s="279">
        <f t="shared" si="2"/>
        <v>0</v>
      </c>
      <c r="HS49" s="279">
        <f t="shared" si="67"/>
        <v>22500000</v>
      </c>
    </row>
    <row r="50" spans="1:227" x14ac:dyDescent="0.25">
      <c r="A50" s="235">
        <v>42</v>
      </c>
      <c r="B50" s="273" t="s">
        <v>241</v>
      </c>
      <c r="C50" s="274" t="s">
        <v>61</v>
      </c>
      <c r="D50" s="275">
        <v>0</v>
      </c>
      <c r="E50" s="275">
        <f>'[1]POLY DISB 2019'!C54</f>
        <v>0</v>
      </c>
      <c r="F50" s="275">
        <v>0</v>
      </c>
      <c r="G50" s="275"/>
      <c r="H50" s="275">
        <v>0</v>
      </c>
      <c r="I50" s="275">
        <f>'[1]POLY DISB 2019'!D54</f>
        <v>0</v>
      </c>
      <c r="J50" s="275">
        <v>0</v>
      </c>
      <c r="K50" s="275"/>
      <c r="L50" s="275">
        <v>0</v>
      </c>
      <c r="M50" s="275">
        <f>'[1]POLY DISB 2019'!E54</f>
        <v>0</v>
      </c>
      <c r="N50" s="275">
        <v>0</v>
      </c>
      <c r="O50" s="275"/>
      <c r="P50" s="275">
        <v>0</v>
      </c>
      <c r="Q50" s="275">
        <f>'[1]POLY DISB 2019'!F54</f>
        <v>0</v>
      </c>
      <c r="R50" s="275">
        <f t="shared" si="6"/>
        <v>0</v>
      </c>
      <c r="S50" s="275"/>
      <c r="T50" s="275">
        <v>0</v>
      </c>
      <c r="U50" s="275">
        <f>'[1]POLY DISB 2019'!G54</f>
        <v>0</v>
      </c>
      <c r="V50" s="275">
        <f t="shared" si="7"/>
        <v>0</v>
      </c>
      <c r="W50" s="275"/>
      <c r="X50" s="275">
        <v>12000000</v>
      </c>
      <c r="Y50" s="275">
        <f>'[1]POLY DISB 2019'!H54</f>
        <v>12000000</v>
      </c>
      <c r="Z50" s="275">
        <f t="shared" si="8"/>
        <v>0</v>
      </c>
      <c r="AA50" s="275"/>
      <c r="AB50" s="275">
        <v>0</v>
      </c>
      <c r="AC50" s="275">
        <f>'[1]POLY DISB 2019'!I54</f>
        <v>0</v>
      </c>
      <c r="AD50" s="275">
        <f t="shared" si="9"/>
        <v>0</v>
      </c>
      <c r="AE50" s="275"/>
      <c r="AF50" s="275">
        <f>'[1]POLY commited funds to date'!K50</f>
        <v>20000000</v>
      </c>
      <c r="AG50" s="275">
        <f>'[1]POLY DISB 2019'!J54</f>
        <v>20000000</v>
      </c>
      <c r="AH50" s="275">
        <f t="shared" si="10"/>
        <v>0</v>
      </c>
      <c r="AI50" s="275"/>
      <c r="AJ50" s="275">
        <v>10000000</v>
      </c>
      <c r="AK50" s="275">
        <f>'[1]POLY DISB 2019'!K54</f>
        <v>10000000</v>
      </c>
      <c r="AL50" s="275">
        <f t="shared" si="11"/>
        <v>0</v>
      </c>
      <c r="AM50" s="275"/>
      <c r="AN50" s="275">
        <v>20000000</v>
      </c>
      <c r="AO50" s="275">
        <f>'[1]POLY DISB 2019'!L54</f>
        <v>20000000</v>
      </c>
      <c r="AP50" s="275">
        <f t="shared" si="12"/>
        <v>0</v>
      </c>
      <c r="AQ50" s="275"/>
      <c r="AR50" s="275">
        <v>26000000</v>
      </c>
      <c r="AS50" s="275">
        <f>'[1]POLY DISB 2019'!M54</f>
        <v>26000000</v>
      </c>
      <c r="AT50" s="275">
        <f t="shared" si="13"/>
        <v>0</v>
      </c>
      <c r="AU50" s="275"/>
      <c r="AV50" s="275">
        <v>45000000</v>
      </c>
      <c r="AW50" s="275">
        <f>'[1]POLY DISB 2019'!N54</f>
        <v>45000000</v>
      </c>
      <c r="AX50" s="275">
        <f t="shared" si="14"/>
        <v>0</v>
      </c>
      <c r="AY50" s="275"/>
      <c r="AZ50" s="275">
        <v>38340000</v>
      </c>
      <c r="BA50" s="275">
        <f>'[1]POLY DISB 2019'!P54</f>
        <v>38340000</v>
      </c>
      <c r="BB50" s="275">
        <f t="shared" si="15"/>
        <v>0</v>
      </c>
      <c r="BC50" s="275"/>
      <c r="BD50" s="275">
        <v>0</v>
      </c>
      <c r="BE50" s="275">
        <f>'[1]POLY DISB 2019'!Q54</f>
        <v>0</v>
      </c>
      <c r="BF50" s="275">
        <f t="shared" si="16"/>
        <v>0</v>
      </c>
      <c r="BG50" s="275"/>
      <c r="BH50" s="275">
        <f>'[1]POLY commited funds to date'!S50</f>
        <v>126060000</v>
      </c>
      <c r="BI50" s="275">
        <f>'[1]POLY DISB 2019'!R54</f>
        <v>126060000</v>
      </c>
      <c r="BJ50" s="275">
        <f t="shared" si="17"/>
        <v>0</v>
      </c>
      <c r="BK50" s="275"/>
      <c r="BL50" s="275">
        <f>'[1]poly  com. adj for fmis'!S50</f>
        <v>75000000</v>
      </c>
      <c r="BM50" s="275">
        <f>'[1]POLY DISB 2019'!S54</f>
        <v>75000000</v>
      </c>
      <c r="BN50" s="269">
        <f t="shared" si="18"/>
        <v>0</v>
      </c>
      <c r="BO50" s="275"/>
      <c r="BP50" s="276">
        <f>'[1]POLY commited funds to date'!U50</f>
        <v>169900000</v>
      </c>
      <c r="BQ50" s="275">
        <f>'[1]POLY DISB 2019'!T54</f>
        <v>169900000</v>
      </c>
      <c r="BR50" s="275">
        <f t="shared" si="19"/>
        <v>0</v>
      </c>
      <c r="BS50" s="275"/>
      <c r="BT50" s="275">
        <f>'[1]POLY commited funds to date'!V50</f>
        <v>10000000</v>
      </c>
      <c r="BU50" s="275">
        <f>'[1]POLY DISB 2019'!U54</f>
        <v>8500000</v>
      </c>
      <c r="BV50" s="275">
        <f t="shared" si="20"/>
        <v>1500000</v>
      </c>
      <c r="BW50" s="275"/>
      <c r="BX50" s="275">
        <f>'[1]POLY commited funds to date'!W50</f>
        <v>0</v>
      </c>
      <c r="BY50" s="275">
        <f>'[1]POLY DISB 2019'!V54</f>
        <v>0</v>
      </c>
      <c r="BZ50" s="275">
        <v>0</v>
      </c>
      <c r="CA50" s="275"/>
      <c r="CB50" s="275">
        <f>'[1]POLY commited funds to date'!X50</f>
        <v>210000000</v>
      </c>
      <c r="CC50" s="275">
        <f>'[1]POLY DISB 2019'!W54</f>
        <v>210000000</v>
      </c>
      <c r="CD50" s="275">
        <f t="shared" si="22"/>
        <v>0</v>
      </c>
      <c r="CE50" s="275"/>
      <c r="CF50" s="275">
        <f>'[1]POLY commited funds to date'!Y50</f>
        <v>0</v>
      </c>
      <c r="CG50" s="275">
        <f>'[1]POLY DISB 2019'!X54</f>
        <v>0</v>
      </c>
      <c r="CH50" s="275">
        <f t="shared" si="23"/>
        <v>0</v>
      </c>
      <c r="CI50" s="275"/>
      <c r="CJ50" s="275">
        <f>'[1]POLY commited funds to date'!Z50</f>
        <v>0</v>
      </c>
      <c r="CK50" s="275">
        <f>'[1]POLY DISB 2019'!Y54</f>
        <v>0</v>
      </c>
      <c r="CL50" s="275">
        <f t="shared" si="24"/>
        <v>0</v>
      </c>
      <c r="CM50" s="275"/>
      <c r="CN50" s="275">
        <f>'[1]POLY commited funds to date'!AA50</f>
        <v>243000000</v>
      </c>
      <c r="CO50" s="275">
        <f>'[1]POLY DISB 2019'!Z54</f>
        <v>243000000</v>
      </c>
      <c r="CP50" s="275">
        <f t="shared" si="25"/>
        <v>0</v>
      </c>
      <c r="CQ50" s="275"/>
      <c r="CR50" s="275">
        <v>10000000</v>
      </c>
      <c r="CS50" s="275">
        <f>'[1]POLY DISB 2019'!AA54</f>
        <v>8500000</v>
      </c>
      <c r="CT50" s="275">
        <f t="shared" si="26"/>
        <v>1500000</v>
      </c>
      <c r="CU50" s="275"/>
      <c r="CV50" s="275">
        <f>'[1]POLY commited funds to date'!AC50</f>
        <v>371000000</v>
      </c>
      <c r="CW50" s="275">
        <f>'[1]POLY DISB 2019'!AB54</f>
        <v>315350000</v>
      </c>
      <c r="CX50" s="275">
        <f t="shared" si="27"/>
        <v>55650000</v>
      </c>
      <c r="CY50" s="275"/>
      <c r="CZ50" s="275">
        <f>'[1]POLY commited funds to date'!AD50</f>
        <v>20000000</v>
      </c>
      <c r="DA50" s="275">
        <f>'[1]POLY DISB 2019'!AC54</f>
        <v>17000000</v>
      </c>
      <c r="DB50" s="275">
        <f t="shared" si="28"/>
        <v>3000000</v>
      </c>
      <c r="DC50" s="275"/>
      <c r="DD50" s="275">
        <f>'[1]POLY commited funds to date'!AE50</f>
        <v>490000000</v>
      </c>
      <c r="DE50" s="275">
        <f>'[1]POLY DISB 2019'!AD54</f>
        <v>490000000</v>
      </c>
      <c r="DF50" s="275">
        <f t="shared" si="29"/>
        <v>0</v>
      </c>
      <c r="DG50" s="275"/>
      <c r="DH50" s="275">
        <f>'[1]poly  com. adj for fmis'!AE50</f>
        <v>80000000</v>
      </c>
      <c r="DI50" s="275">
        <f>'[1]POLY DISB 2019'!AE54</f>
        <v>0</v>
      </c>
      <c r="DJ50" s="275">
        <f t="shared" si="30"/>
        <v>80000000</v>
      </c>
      <c r="DK50" s="275"/>
      <c r="DL50" s="275">
        <f>'[1]poly  com. adj for fmis'!AF50</f>
        <v>8000000</v>
      </c>
      <c r="DM50" s="275">
        <f>'[1]POLY DISB 2019'!AF54</f>
        <v>4320000</v>
      </c>
      <c r="DN50" s="275">
        <f t="shared" si="31"/>
        <v>3680000</v>
      </c>
      <c r="DO50" s="275"/>
      <c r="DP50" s="275">
        <f>'[1]poly  com. adj for fmis'!AG50</f>
        <v>2000000</v>
      </c>
      <c r="DQ50" s="275">
        <f>'[1]POLY DISB 2019'!AG54</f>
        <v>1700000</v>
      </c>
      <c r="DR50" s="275">
        <f t="shared" si="32"/>
        <v>300000</v>
      </c>
      <c r="DS50" s="275"/>
      <c r="DT50" s="275">
        <f>'[1]poly  com. adj for fmis'!AH50</f>
        <v>10000000</v>
      </c>
      <c r="DU50" s="275">
        <f>'[1]POLY DISB 2019'!AH54</f>
        <v>8500000</v>
      </c>
      <c r="DV50" s="275">
        <f t="shared" si="33"/>
        <v>1500000</v>
      </c>
      <c r="DW50" s="275"/>
      <c r="DX50" s="275">
        <f>'[1]poly  com. adj for fmis'!AI50</f>
        <v>1250000000</v>
      </c>
      <c r="DY50" s="275">
        <f>'[1]POLY DISB 2019'!AI54</f>
        <v>1175000000</v>
      </c>
      <c r="DZ50" s="275">
        <f t="shared" si="34"/>
        <v>75000000</v>
      </c>
      <c r="EA50" s="275"/>
      <c r="EB50" s="275">
        <f>'[1]POLY commited funds to date'!AK50</f>
        <v>380632000</v>
      </c>
      <c r="EC50" s="275">
        <f>'[1]POLY DISB 2019'!AJ54</f>
        <v>0</v>
      </c>
      <c r="ED50" s="275">
        <f t="shared" si="35"/>
        <v>380632000</v>
      </c>
      <c r="EE50" s="275"/>
      <c r="EF50" s="275">
        <f>'[1]POLY commited funds to date'!AL50</f>
        <v>8000000</v>
      </c>
      <c r="EG50" s="275">
        <f>'[1]POLY DISB 2019'!AK54</f>
        <v>4320000</v>
      </c>
      <c r="EH50" s="275">
        <f t="shared" si="36"/>
        <v>3680000</v>
      </c>
      <c r="EI50" s="275"/>
      <c r="EJ50" s="275">
        <f>'[1]POLY commited funds to date'!AM50</f>
        <v>10000000</v>
      </c>
      <c r="EK50" s="275">
        <f>'[1]POLY DISB 2019'!AL54</f>
        <v>0</v>
      </c>
      <c r="EL50" s="275">
        <f t="shared" si="37"/>
        <v>10000000</v>
      </c>
      <c r="EM50" s="275"/>
      <c r="EN50" s="275">
        <f>'[1]POLY commited funds to date'!AN50</f>
        <v>10000000</v>
      </c>
      <c r="EO50" s="275">
        <f>'[1]POLY DISB 2019'!AM54</f>
        <v>0</v>
      </c>
      <c r="EP50" s="275">
        <f t="shared" si="38"/>
        <v>10000000</v>
      </c>
      <c r="EQ50" s="275">
        <f>'[1]POLY commited funds to date'!AO50</f>
        <v>0</v>
      </c>
      <c r="ER50" s="275">
        <f>'[1]POLY DISB 2019'!AN54</f>
        <v>0</v>
      </c>
      <c r="ES50" s="275">
        <f t="shared" si="39"/>
        <v>0</v>
      </c>
      <c r="ET50" s="275"/>
      <c r="EU50" s="275">
        <f>'[1]POLY commited funds to date'!AP50</f>
        <v>205000000</v>
      </c>
      <c r="EV50" s="275">
        <f>'[1]POLY DISB 2019'!AO54</f>
        <v>0</v>
      </c>
      <c r="EW50" s="275">
        <f t="shared" si="40"/>
        <v>205000000</v>
      </c>
      <c r="EX50" s="275"/>
      <c r="EY50" s="275">
        <f>'[1]POLY commited funds to date'!AQ50</f>
        <v>75000000</v>
      </c>
      <c r="EZ50" s="275">
        <f>'[1]POLY DISB 2019'!AP54</f>
        <v>57000000</v>
      </c>
      <c r="FA50" s="275">
        <f t="shared" si="41"/>
        <v>18000000</v>
      </c>
      <c r="FB50" s="275"/>
      <c r="FC50" s="275">
        <f>'[1]POLY commited funds to date'!AR50</f>
        <v>7000000</v>
      </c>
      <c r="FD50" s="275">
        <f>'[1]POLY DISB 2019'!AQ54</f>
        <v>0</v>
      </c>
      <c r="FE50" s="275">
        <f t="shared" si="42"/>
        <v>7000000</v>
      </c>
      <c r="FF50" s="275"/>
      <c r="FG50" s="275">
        <f>'[1]POLY commited funds to date'!AS50</f>
        <v>6300000</v>
      </c>
      <c r="FH50" s="275">
        <f>'[1]POLY DISB 2019'!AR54</f>
        <v>0</v>
      </c>
      <c r="FI50" s="275">
        <f t="shared" si="43"/>
        <v>6300000</v>
      </c>
      <c r="FJ50" s="275"/>
      <c r="FK50" s="275">
        <f>'[1]POLY commited funds to date'!AT50</f>
        <v>7500000</v>
      </c>
      <c r="FL50" s="275">
        <f>'[1]POLY DISB 2019'!AS54</f>
        <v>0</v>
      </c>
      <c r="FM50" s="275">
        <f t="shared" si="44"/>
        <v>7500000</v>
      </c>
      <c r="FN50" s="275"/>
      <c r="FO50" s="275">
        <f>'[1]POLY commited funds to date'!AU50</f>
        <v>245000000</v>
      </c>
      <c r="FP50" s="275">
        <f>'[1]POLY DISB 2019'!AT54</f>
        <v>0</v>
      </c>
      <c r="FQ50" s="275">
        <f t="shared" si="45"/>
        <v>245000000</v>
      </c>
      <c r="FR50" s="275">
        <f>'[1]POLY commited funds to date'!AV50</f>
        <v>119074602</v>
      </c>
      <c r="FS50" s="275">
        <f>'[1]POLY DISB 2019'!AU54</f>
        <v>0</v>
      </c>
      <c r="FT50" s="275">
        <f t="shared" si="46"/>
        <v>119074602</v>
      </c>
      <c r="FU50" s="275"/>
      <c r="FV50" s="275">
        <f>'[1]POLY commited funds to date'!AW50</f>
        <v>13000000</v>
      </c>
      <c r="FW50" s="275">
        <f>'[1]POLY DISB 2019'!AV54</f>
        <v>0</v>
      </c>
      <c r="FX50" s="275">
        <f t="shared" si="47"/>
        <v>13000000</v>
      </c>
      <c r="FY50" s="275"/>
      <c r="FZ50" s="275">
        <f>'[1]POLY commited funds to date'!AX50</f>
        <v>8628900</v>
      </c>
      <c r="GA50" s="275">
        <f>'[1]POLY DISB 2019'!AW54</f>
        <v>0</v>
      </c>
      <c r="GB50" s="275">
        <f t="shared" si="48"/>
        <v>8628900</v>
      </c>
      <c r="GC50" s="275">
        <f>'[1]POLY commited funds to date'!AY50</f>
        <v>5000000</v>
      </c>
      <c r="GD50" s="275">
        <f>'[1]POLY DISB 2019'!AX54</f>
        <v>0</v>
      </c>
      <c r="GE50" s="275">
        <f t="shared" si="49"/>
        <v>5000000</v>
      </c>
      <c r="GF50" s="275"/>
      <c r="GG50" s="275">
        <f>'[1]POLY commited funds to date'!AZ50</f>
        <v>0</v>
      </c>
      <c r="GH50" s="275">
        <f>'[1]POLY DISB 2019'!AY54</f>
        <v>0</v>
      </c>
      <c r="GI50" s="275">
        <f t="shared" si="50"/>
        <v>0</v>
      </c>
      <c r="GJ50" s="275"/>
      <c r="GK50" s="275">
        <f t="shared" si="51"/>
        <v>4346435502</v>
      </c>
      <c r="GL50" s="275">
        <f t="shared" si="51"/>
        <v>3085490000</v>
      </c>
      <c r="GM50" s="275">
        <f t="shared" si="52"/>
        <v>1260945502</v>
      </c>
      <c r="GN50" s="265"/>
      <c r="GO50" s="277">
        <f t="shared" si="53"/>
        <v>2191932000</v>
      </c>
      <c r="GP50" s="277">
        <f t="shared" si="53"/>
        <v>1225650000</v>
      </c>
      <c r="GQ50" s="277">
        <f t="shared" si="54"/>
        <v>966282000</v>
      </c>
      <c r="GR50" s="277">
        <f t="shared" si="69"/>
        <v>10000000</v>
      </c>
      <c r="GS50" s="277">
        <f t="shared" si="69"/>
        <v>10000000</v>
      </c>
      <c r="GT50" s="277">
        <f t="shared" si="55"/>
        <v>0</v>
      </c>
      <c r="GU50" s="277"/>
      <c r="GV50" s="265"/>
      <c r="GW50" s="279">
        <f t="shared" si="68"/>
        <v>1815000000</v>
      </c>
      <c r="GX50" s="279">
        <f t="shared" si="68"/>
        <v>1740000000</v>
      </c>
      <c r="GY50" s="280">
        <f t="shared" si="57"/>
        <v>75000000</v>
      </c>
      <c r="GZ50" s="280"/>
      <c r="HA50" s="277">
        <f t="shared" si="58"/>
        <v>74928900</v>
      </c>
      <c r="HB50" s="277">
        <f t="shared" si="58"/>
        <v>42500000</v>
      </c>
      <c r="HC50" s="277">
        <f t="shared" si="59"/>
        <v>32428900</v>
      </c>
      <c r="HE50" s="277">
        <f t="shared" si="60"/>
        <v>36000000</v>
      </c>
      <c r="HF50" s="277">
        <f t="shared" si="60"/>
        <v>8640000</v>
      </c>
      <c r="HG50" s="277">
        <f t="shared" si="61"/>
        <v>27360000</v>
      </c>
      <c r="HI50" s="279">
        <f t="shared" si="62"/>
        <v>194074602</v>
      </c>
      <c r="HJ50" s="279">
        <f t="shared" si="62"/>
        <v>57000000</v>
      </c>
      <c r="HK50" s="279">
        <f t="shared" si="63"/>
        <v>137074602</v>
      </c>
      <c r="HM50" s="279">
        <f t="shared" si="64"/>
        <v>2000000</v>
      </c>
      <c r="HN50" s="279">
        <f t="shared" si="1"/>
        <v>1700000</v>
      </c>
      <c r="HO50" s="279">
        <f t="shared" si="65"/>
        <v>300000</v>
      </c>
      <c r="HQ50" s="279">
        <f t="shared" si="66"/>
        <v>22500000</v>
      </c>
      <c r="HR50" s="279">
        <f t="shared" si="2"/>
        <v>0</v>
      </c>
      <c r="HS50" s="279">
        <f t="shared" si="67"/>
        <v>22500000</v>
      </c>
    </row>
    <row r="51" spans="1:227" x14ac:dyDescent="0.25">
      <c r="A51" s="235">
        <v>43</v>
      </c>
      <c r="B51" s="273" t="s">
        <v>242</v>
      </c>
      <c r="C51" s="274" t="s">
        <v>74</v>
      </c>
      <c r="D51" s="275">
        <v>24709302</v>
      </c>
      <c r="E51" s="275">
        <f>'[1]POLY DISB 2019'!C55</f>
        <v>24709302</v>
      </c>
      <c r="F51" s="275">
        <f t="shared" si="3"/>
        <v>0</v>
      </c>
      <c r="G51" s="275"/>
      <c r="H51" s="275">
        <v>10000000</v>
      </c>
      <c r="I51" s="275">
        <f>'[1]POLY DISB 2019'!D55</f>
        <v>10000000</v>
      </c>
      <c r="J51" s="275">
        <f t="shared" si="4"/>
        <v>0</v>
      </c>
      <c r="K51" s="275"/>
      <c r="L51" s="275">
        <v>20000000</v>
      </c>
      <c r="M51" s="275">
        <f>'[1]POLY DISB 2019'!E55</f>
        <v>20000000</v>
      </c>
      <c r="N51" s="275">
        <f t="shared" si="5"/>
        <v>0</v>
      </c>
      <c r="O51" s="275"/>
      <c r="P51" s="275">
        <v>25000000</v>
      </c>
      <c r="Q51" s="275">
        <f>'[1]POLY DISB 2019'!F55</f>
        <v>25000000</v>
      </c>
      <c r="R51" s="275">
        <f t="shared" si="6"/>
        <v>0</v>
      </c>
      <c r="S51" s="275"/>
      <c r="T51" s="275">
        <v>12000000</v>
      </c>
      <c r="U51" s="275">
        <f>'[1]POLY DISB 2019'!G55</f>
        <v>12000000</v>
      </c>
      <c r="V51" s="275">
        <f t="shared" si="7"/>
        <v>0</v>
      </c>
      <c r="W51" s="275"/>
      <c r="X51" s="275">
        <v>12000000</v>
      </c>
      <c r="Y51" s="275">
        <f>'[1]POLY DISB 2019'!H55</f>
        <v>12000000</v>
      </c>
      <c r="Z51" s="275">
        <f t="shared" si="8"/>
        <v>0</v>
      </c>
      <c r="AA51" s="275"/>
      <c r="AB51" s="275">
        <v>0</v>
      </c>
      <c r="AC51" s="275">
        <f>'[1]POLY DISB 2019'!I55</f>
        <v>0</v>
      </c>
      <c r="AD51" s="275">
        <f t="shared" si="9"/>
        <v>0</v>
      </c>
      <c r="AE51" s="275"/>
      <c r="AF51" s="275">
        <f>'[1]POLY commited funds to date'!K51</f>
        <v>20000000</v>
      </c>
      <c r="AG51" s="275">
        <f>'[1]POLY DISB 2019'!J55</f>
        <v>20000000</v>
      </c>
      <c r="AH51" s="275">
        <f t="shared" si="10"/>
        <v>0</v>
      </c>
      <c r="AI51" s="275"/>
      <c r="AJ51" s="275">
        <v>10000000</v>
      </c>
      <c r="AK51" s="275">
        <f>'[1]POLY DISB 2019'!K55</f>
        <v>10000000</v>
      </c>
      <c r="AL51" s="275">
        <f t="shared" si="11"/>
        <v>0</v>
      </c>
      <c r="AM51" s="275"/>
      <c r="AN51" s="275">
        <v>20000000</v>
      </c>
      <c r="AO51" s="275">
        <f>'[1]POLY DISB 2019'!L55</f>
        <v>20000000</v>
      </c>
      <c r="AP51" s="275">
        <f t="shared" si="12"/>
        <v>0</v>
      </c>
      <c r="AQ51" s="275"/>
      <c r="AR51" s="275">
        <v>26000000</v>
      </c>
      <c r="AS51" s="275">
        <f>'[1]POLY DISB 2019'!M55</f>
        <v>26000000</v>
      </c>
      <c r="AT51" s="275">
        <f t="shared" si="13"/>
        <v>0</v>
      </c>
      <c r="AU51" s="275"/>
      <c r="AV51" s="275">
        <v>45000000</v>
      </c>
      <c r="AW51" s="275">
        <f>'[1]POLY DISB 2019'!N55</f>
        <v>45000000</v>
      </c>
      <c r="AX51" s="275">
        <f t="shared" si="14"/>
        <v>0</v>
      </c>
      <c r="AY51" s="275"/>
      <c r="AZ51" s="275">
        <v>38340000</v>
      </c>
      <c r="BA51" s="275">
        <f>'[1]POLY DISB 2019'!P55</f>
        <v>38340000</v>
      </c>
      <c r="BB51" s="275">
        <f t="shared" si="15"/>
        <v>0</v>
      </c>
      <c r="BC51" s="275"/>
      <c r="BD51" s="275">
        <v>0</v>
      </c>
      <c r="BE51" s="275">
        <f>'[1]POLY DISB 2019'!Q55</f>
        <v>0</v>
      </c>
      <c r="BF51" s="275">
        <f t="shared" si="16"/>
        <v>0</v>
      </c>
      <c r="BG51" s="275"/>
      <c r="BH51" s="275">
        <f>'[1]POLY commited funds to date'!S51</f>
        <v>126060000</v>
      </c>
      <c r="BI51" s="275">
        <f>'[1]POLY DISB 2019'!R55</f>
        <v>126060000</v>
      </c>
      <c r="BJ51" s="275">
        <f t="shared" si="17"/>
        <v>0</v>
      </c>
      <c r="BK51" s="275"/>
      <c r="BL51" s="275">
        <f>'[1]poly  com. adj for fmis'!S51</f>
        <v>0</v>
      </c>
      <c r="BM51" s="275">
        <f>'[1]POLY DISB 2019'!S55</f>
        <v>0</v>
      </c>
      <c r="BN51" s="269">
        <f t="shared" si="18"/>
        <v>0</v>
      </c>
      <c r="BO51" s="275"/>
      <c r="BP51" s="276">
        <f>'[1]POLY commited funds to date'!U51</f>
        <v>169900000</v>
      </c>
      <c r="BQ51" s="275">
        <f>'[1]POLY DISB 2019'!T55</f>
        <v>169900000</v>
      </c>
      <c r="BR51" s="275">
        <f t="shared" si="19"/>
        <v>0</v>
      </c>
      <c r="BS51" s="275"/>
      <c r="BT51" s="275">
        <f>'[1]POLY commited funds to date'!V51</f>
        <v>10000000</v>
      </c>
      <c r="BU51" s="275">
        <f>'[1]POLY DISB 2019'!U55</f>
        <v>10000000</v>
      </c>
      <c r="BV51" s="275">
        <f t="shared" si="20"/>
        <v>0</v>
      </c>
      <c r="BW51" s="275"/>
      <c r="BX51" s="275">
        <f>'[1]POLY commited funds to date'!W51</f>
        <v>500000000</v>
      </c>
      <c r="BY51" s="275">
        <f>'[1]POLY DISB 2019'!V55</f>
        <v>500000000</v>
      </c>
      <c r="BZ51" s="275">
        <f t="shared" si="21"/>
        <v>0</v>
      </c>
      <c r="CA51" s="275"/>
      <c r="CB51" s="275">
        <f>'[1]POLY commited funds to date'!X51</f>
        <v>210000000</v>
      </c>
      <c r="CC51" s="275">
        <f>'[1]POLY DISB 2019'!W55</f>
        <v>210000000</v>
      </c>
      <c r="CD51" s="275">
        <f>CB51-CC51</f>
        <v>0</v>
      </c>
      <c r="CE51" s="275"/>
      <c r="CF51" s="275">
        <f>'[1]POLY commited funds to date'!Y51</f>
        <v>250000000</v>
      </c>
      <c r="CG51" s="275">
        <f>'[1]POLY DISB 2019'!X55</f>
        <v>250000000</v>
      </c>
      <c r="CH51" s="275">
        <f t="shared" si="23"/>
        <v>0</v>
      </c>
      <c r="CI51" s="275"/>
      <c r="CJ51" s="275">
        <f>'[1]POLY commited funds to date'!Z51</f>
        <v>300000000</v>
      </c>
      <c r="CK51" s="275">
        <f>'[1]POLY DISB 2019'!Y55</f>
        <v>255000000</v>
      </c>
      <c r="CL51" s="275">
        <f t="shared" si="24"/>
        <v>45000000</v>
      </c>
      <c r="CM51" s="275"/>
      <c r="CN51" s="275">
        <f>'[1]POLY commited funds to date'!AA51</f>
        <v>243000000</v>
      </c>
      <c r="CO51" s="275">
        <f>'[1]POLY DISB 2019'!Z55</f>
        <v>243000000</v>
      </c>
      <c r="CP51" s="275">
        <f t="shared" si="25"/>
        <v>0</v>
      </c>
      <c r="CQ51" s="275"/>
      <c r="CR51" s="275">
        <v>10000000</v>
      </c>
      <c r="CS51" s="275">
        <f>'[1]POLY DISB 2019'!AA55</f>
        <v>8500000</v>
      </c>
      <c r="CT51" s="275">
        <f t="shared" si="26"/>
        <v>1500000</v>
      </c>
      <c r="CU51" s="275"/>
      <c r="CV51" s="275">
        <f>'[1]POLY commited funds to date'!AC51</f>
        <v>371000000</v>
      </c>
      <c r="CW51" s="275">
        <f>'[1]POLY DISB 2019'!AB55</f>
        <v>371000000</v>
      </c>
      <c r="CX51" s="275">
        <f t="shared" si="27"/>
        <v>0</v>
      </c>
      <c r="CY51" s="275"/>
      <c r="CZ51" s="275">
        <f>'[1]POLY commited funds to date'!AD51</f>
        <v>20000000</v>
      </c>
      <c r="DA51" s="275">
        <f>'[1]POLY DISB 2019'!AC55</f>
        <v>0</v>
      </c>
      <c r="DB51" s="275">
        <f t="shared" si="28"/>
        <v>20000000</v>
      </c>
      <c r="DC51" s="275"/>
      <c r="DD51" s="275">
        <f>'[1]POLY commited funds to date'!AE51</f>
        <v>410000000</v>
      </c>
      <c r="DE51" s="275">
        <f>'[1]POLY DISB 2019'!AD55</f>
        <v>410000000</v>
      </c>
      <c r="DF51" s="275">
        <f t="shared" si="29"/>
        <v>0</v>
      </c>
      <c r="DG51" s="275"/>
      <c r="DH51" s="275">
        <f>'[1]poly  com. adj for fmis'!AE51</f>
        <v>80000000</v>
      </c>
      <c r="DI51" s="275">
        <f>'[1]POLY DISB 2019'!AE55</f>
        <v>80000000</v>
      </c>
      <c r="DJ51" s="275">
        <f t="shared" si="30"/>
        <v>0</v>
      </c>
      <c r="DK51" s="275"/>
      <c r="DL51" s="275">
        <f>'[1]poly  com. adj for fmis'!AF51</f>
        <v>8000000</v>
      </c>
      <c r="DM51" s="275">
        <f>'[1]POLY DISB 2019'!AF55</f>
        <v>8000000</v>
      </c>
      <c r="DN51" s="275">
        <f t="shared" si="31"/>
        <v>0</v>
      </c>
      <c r="DO51" s="275"/>
      <c r="DP51" s="275">
        <f>'[1]poly  com. adj for fmis'!AG51</f>
        <v>2000000</v>
      </c>
      <c r="DQ51" s="275">
        <f>'[1]POLY DISB 2019'!AG55</f>
        <v>0</v>
      </c>
      <c r="DR51" s="275">
        <f t="shared" si="32"/>
        <v>2000000</v>
      </c>
      <c r="DS51" s="275"/>
      <c r="DT51" s="275">
        <f>'[1]poly  com. adj for fmis'!AH51</f>
        <v>10000000</v>
      </c>
      <c r="DU51" s="275">
        <f>'[1]POLY DISB 2019'!AH55</f>
        <v>8500000</v>
      </c>
      <c r="DV51" s="275">
        <f t="shared" si="33"/>
        <v>1500000</v>
      </c>
      <c r="DW51" s="275"/>
      <c r="DX51" s="275">
        <f>'[1]poly  com. adj for fmis'!AI51</f>
        <v>4750000000</v>
      </c>
      <c r="DY51" s="275">
        <f>'[1]POLY DISB 2019'!AI55</f>
        <v>4392000000</v>
      </c>
      <c r="DZ51" s="275">
        <f t="shared" si="34"/>
        <v>358000000</v>
      </c>
      <c r="EA51" s="275"/>
      <c r="EB51" s="275">
        <f>'[1]POLY commited funds to date'!AK51</f>
        <v>380632000</v>
      </c>
      <c r="EC51" s="275">
        <f>'[1]POLY DISB 2019'!AJ55</f>
        <v>323537200</v>
      </c>
      <c r="ED51" s="275">
        <f t="shared" si="35"/>
        <v>57094800</v>
      </c>
      <c r="EE51" s="275"/>
      <c r="EF51" s="275">
        <f>'[1]POLY commited funds to date'!AL51</f>
        <v>8000000</v>
      </c>
      <c r="EG51" s="275">
        <f>'[1]POLY DISB 2019'!AK55</f>
        <v>0</v>
      </c>
      <c r="EH51" s="275">
        <f t="shared" si="36"/>
        <v>8000000</v>
      </c>
      <c r="EI51" s="275"/>
      <c r="EJ51" s="275">
        <f>'[1]POLY commited funds to date'!AM51</f>
        <v>10000000</v>
      </c>
      <c r="EK51" s="275">
        <f>'[1]POLY DISB 2019'!AL55</f>
        <v>8500000</v>
      </c>
      <c r="EL51" s="275">
        <f t="shared" si="37"/>
        <v>1500000</v>
      </c>
      <c r="EM51" s="275"/>
      <c r="EN51" s="275">
        <f>'[1]POLY commited funds to date'!AN51</f>
        <v>10000000</v>
      </c>
      <c r="EO51" s="275">
        <f>'[1]POLY DISB 2019'!AM55</f>
        <v>0</v>
      </c>
      <c r="EP51" s="275">
        <f t="shared" si="38"/>
        <v>10000000</v>
      </c>
      <c r="EQ51" s="275">
        <f>'[1]POLY commited funds to date'!AO51</f>
        <v>0</v>
      </c>
      <c r="ER51" s="275">
        <f>'[1]POLY DISB 2019'!AN55</f>
        <v>0</v>
      </c>
      <c r="ES51" s="275">
        <f t="shared" si="39"/>
        <v>0</v>
      </c>
      <c r="ET51" s="275"/>
      <c r="EU51" s="275">
        <f>'[1]POLY commited funds to date'!AP51</f>
        <v>205000000</v>
      </c>
      <c r="EV51" s="275">
        <f>'[1]POLY DISB 2019'!AO55</f>
        <v>0</v>
      </c>
      <c r="EW51" s="275">
        <f t="shared" si="40"/>
        <v>205000000</v>
      </c>
      <c r="EX51" s="275"/>
      <c r="EY51" s="275">
        <f>'[1]POLY commited funds to date'!AQ51</f>
        <v>75000000</v>
      </c>
      <c r="EZ51" s="275">
        <f>'[1]POLY DISB 2019'!AP55</f>
        <v>75000000</v>
      </c>
      <c r="FA51" s="275">
        <f t="shared" si="41"/>
        <v>0</v>
      </c>
      <c r="FB51" s="275"/>
      <c r="FC51" s="275">
        <f>'[1]POLY commited funds to date'!AR51</f>
        <v>7000000</v>
      </c>
      <c r="FD51" s="275">
        <f>'[1]POLY DISB 2019'!AQ55</f>
        <v>0</v>
      </c>
      <c r="FE51" s="275">
        <f t="shared" si="42"/>
        <v>7000000</v>
      </c>
      <c r="FF51" s="275"/>
      <c r="FG51" s="275">
        <f>'[1]POLY commited funds to date'!AS51</f>
        <v>6300000</v>
      </c>
      <c r="FH51" s="275">
        <f>'[1]POLY DISB 2019'!AR55</f>
        <v>5355000</v>
      </c>
      <c r="FI51" s="275">
        <f t="shared" si="43"/>
        <v>945000</v>
      </c>
      <c r="FJ51" s="275"/>
      <c r="FK51" s="275">
        <f>'[1]POLY commited funds to date'!AT51</f>
        <v>7500000</v>
      </c>
      <c r="FL51" s="275">
        <f>'[1]POLY DISB 2019'!AS55</f>
        <v>0</v>
      </c>
      <c r="FM51" s="275">
        <f t="shared" si="44"/>
        <v>7500000</v>
      </c>
      <c r="FN51" s="275"/>
      <c r="FO51" s="275">
        <f>'[1]POLY commited funds to date'!AU51</f>
        <v>245000000</v>
      </c>
      <c r="FP51" s="275">
        <f>'[1]POLY DISB 2019'!AT55</f>
        <v>0</v>
      </c>
      <c r="FQ51" s="275">
        <f t="shared" si="45"/>
        <v>245000000</v>
      </c>
      <c r="FR51" s="275">
        <f>'[1]POLY commited funds to date'!AV51</f>
        <v>119074602</v>
      </c>
      <c r="FS51" s="275">
        <f>'[1]POLY DISB 2019'!AU55</f>
        <v>0</v>
      </c>
      <c r="FT51" s="275">
        <f t="shared" si="46"/>
        <v>119074602</v>
      </c>
      <c r="FU51" s="275"/>
      <c r="FV51" s="275">
        <f>'[1]POLY commited funds to date'!AW51</f>
        <v>13000000</v>
      </c>
      <c r="FW51" s="275">
        <f>'[1]POLY DISB 2019'!AV55</f>
        <v>0</v>
      </c>
      <c r="FX51" s="275">
        <f t="shared" si="47"/>
        <v>13000000</v>
      </c>
      <c r="FY51" s="275"/>
      <c r="FZ51" s="275">
        <f>'[1]POLY commited funds to date'!AX51</f>
        <v>8628900</v>
      </c>
      <c r="GA51" s="275">
        <f>'[1]POLY DISB 2019'!AW55</f>
        <v>0</v>
      </c>
      <c r="GB51" s="275">
        <f t="shared" si="48"/>
        <v>8628900</v>
      </c>
      <c r="GC51" s="275">
        <f>'[1]POLY commited funds to date'!AY51</f>
        <v>5000000</v>
      </c>
      <c r="GD51" s="275">
        <f>'[1]POLY DISB 2019'!AX55</f>
        <v>0</v>
      </c>
      <c r="GE51" s="275">
        <f t="shared" si="49"/>
        <v>5000000</v>
      </c>
      <c r="GF51" s="275"/>
      <c r="GG51" s="275">
        <f>'[1]POLY commited funds to date'!AZ51</f>
        <v>0</v>
      </c>
      <c r="GH51" s="275">
        <f>'[1]POLY DISB 2019'!AY55</f>
        <v>0</v>
      </c>
      <c r="GI51" s="275">
        <f t="shared" si="50"/>
        <v>0</v>
      </c>
      <c r="GJ51" s="275"/>
      <c r="GK51" s="275">
        <f t="shared" si="51"/>
        <v>8833144804</v>
      </c>
      <c r="GL51" s="275">
        <f t="shared" si="51"/>
        <v>7717401502</v>
      </c>
      <c r="GM51" s="275">
        <f t="shared" si="52"/>
        <v>1115743302</v>
      </c>
      <c r="GN51" s="265"/>
      <c r="GO51" s="277">
        <f t="shared" si="53"/>
        <v>2283641302</v>
      </c>
      <c r="GP51" s="277">
        <f t="shared" si="53"/>
        <v>1776546502</v>
      </c>
      <c r="GQ51" s="277">
        <f t="shared" si="54"/>
        <v>507094800</v>
      </c>
      <c r="GR51" s="277">
        <f t="shared" si="69"/>
        <v>10000000</v>
      </c>
      <c r="GS51" s="277">
        <f t="shared" si="69"/>
        <v>10000000</v>
      </c>
      <c r="GT51" s="277">
        <f t="shared" si="55"/>
        <v>0</v>
      </c>
      <c r="GU51" s="277"/>
      <c r="GV51" s="265"/>
      <c r="GW51" s="279">
        <f t="shared" si="68"/>
        <v>6210000000</v>
      </c>
      <c r="GX51" s="279">
        <f t="shared" si="68"/>
        <v>5807000000</v>
      </c>
      <c r="GY51" s="280">
        <f t="shared" si="57"/>
        <v>403000000</v>
      </c>
      <c r="GZ51" s="280"/>
      <c r="HA51" s="277">
        <f t="shared" si="58"/>
        <v>74928900</v>
      </c>
      <c r="HB51" s="277">
        <f t="shared" si="58"/>
        <v>40855000</v>
      </c>
      <c r="HC51" s="277">
        <f t="shared" si="59"/>
        <v>34073900</v>
      </c>
      <c r="HE51" s="277">
        <f t="shared" si="60"/>
        <v>36000000</v>
      </c>
      <c r="HF51" s="277">
        <f t="shared" si="60"/>
        <v>8000000</v>
      </c>
      <c r="HG51" s="277">
        <f t="shared" si="61"/>
        <v>28000000</v>
      </c>
      <c r="HI51" s="279">
        <f t="shared" si="62"/>
        <v>194074602</v>
      </c>
      <c r="HJ51" s="279">
        <f t="shared" si="62"/>
        <v>75000000</v>
      </c>
      <c r="HK51" s="279">
        <f t="shared" si="63"/>
        <v>119074602</v>
      </c>
      <c r="HM51" s="279">
        <f t="shared" si="64"/>
        <v>2000000</v>
      </c>
      <c r="HN51" s="279">
        <f t="shared" si="1"/>
        <v>0</v>
      </c>
      <c r="HO51" s="279">
        <f t="shared" si="65"/>
        <v>2000000</v>
      </c>
      <c r="HQ51" s="279">
        <f t="shared" si="66"/>
        <v>22500000</v>
      </c>
      <c r="HR51" s="279">
        <f t="shared" si="2"/>
        <v>0</v>
      </c>
      <c r="HS51" s="279">
        <f t="shared" si="67"/>
        <v>22500000</v>
      </c>
    </row>
    <row r="52" spans="1:227" x14ac:dyDescent="0.25">
      <c r="A52" s="235">
        <v>44</v>
      </c>
      <c r="B52" s="273" t="s">
        <v>243</v>
      </c>
      <c r="C52" s="274" t="s">
        <v>63</v>
      </c>
      <c r="D52" s="275">
        <v>24709302</v>
      </c>
      <c r="E52" s="275">
        <f>'[1]POLY DISB 2019'!C56</f>
        <v>24709302</v>
      </c>
      <c r="F52" s="275">
        <f t="shared" si="3"/>
        <v>0</v>
      </c>
      <c r="G52" s="275"/>
      <c r="H52" s="275">
        <v>10000000</v>
      </c>
      <c r="I52" s="275">
        <f>'[1]POLY DISB 2019'!D56</f>
        <v>10000000</v>
      </c>
      <c r="J52" s="275">
        <f t="shared" si="4"/>
        <v>0</v>
      </c>
      <c r="K52" s="275"/>
      <c r="L52" s="275">
        <v>20000000</v>
      </c>
      <c r="M52" s="275">
        <f>'[1]POLY DISB 2019'!E56</f>
        <v>20000000</v>
      </c>
      <c r="N52" s="275">
        <f t="shared" si="5"/>
        <v>0</v>
      </c>
      <c r="O52" s="275"/>
      <c r="P52" s="275">
        <v>25000000</v>
      </c>
      <c r="Q52" s="275">
        <f>'[1]POLY DISB 2019'!F56</f>
        <v>25000000</v>
      </c>
      <c r="R52" s="275">
        <f t="shared" si="6"/>
        <v>0</v>
      </c>
      <c r="S52" s="275"/>
      <c r="T52" s="275">
        <v>12000000</v>
      </c>
      <c r="U52" s="275">
        <f>'[1]POLY DISB 2019'!G56</f>
        <v>12000000</v>
      </c>
      <c r="V52" s="275">
        <f t="shared" si="7"/>
        <v>0</v>
      </c>
      <c r="W52" s="275"/>
      <c r="X52" s="275">
        <v>12000000</v>
      </c>
      <c r="Y52" s="275">
        <f>'[1]POLY DISB 2019'!H56</f>
        <v>12000000</v>
      </c>
      <c r="Z52" s="275">
        <f t="shared" si="8"/>
        <v>0</v>
      </c>
      <c r="AA52" s="275"/>
      <c r="AB52" s="275">
        <v>0</v>
      </c>
      <c r="AC52" s="275">
        <f>'[1]POLY DISB 2019'!I56</f>
        <v>0</v>
      </c>
      <c r="AD52" s="275">
        <f t="shared" si="9"/>
        <v>0</v>
      </c>
      <c r="AE52" s="275"/>
      <c r="AF52" s="275">
        <f>'[1]POLY commited funds to date'!K52</f>
        <v>20000000</v>
      </c>
      <c r="AG52" s="275">
        <f>'[1]POLY DISB 2019'!J56</f>
        <v>20000000</v>
      </c>
      <c r="AH52" s="275">
        <f t="shared" si="10"/>
        <v>0</v>
      </c>
      <c r="AI52" s="275"/>
      <c r="AJ52" s="275">
        <v>10000000</v>
      </c>
      <c r="AK52" s="275">
        <f>'[1]POLY DISB 2019'!K56</f>
        <v>10000000</v>
      </c>
      <c r="AL52" s="275">
        <f t="shared" si="11"/>
        <v>0</v>
      </c>
      <c r="AM52" s="275"/>
      <c r="AN52" s="275">
        <v>20000000</v>
      </c>
      <c r="AO52" s="275">
        <f>'[1]POLY DISB 2019'!L56</f>
        <v>20000000</v>
      </c>
      <c r="AP52" s="275">
        <f t="shared" si="12"/>
        <v>0</v>
      </c>
      <c r="AQ52" s="275"/>
      <c r="AR52" s="275">
        <v>26000000</v>
      </c>
      <c r="AS52" s="275">
        <f>'[1]POLY DISB 2019'!M56</f>
        <v>26000000</v>
      </c>
      <c r="AT52" s="275">
        <f t="shared" si="13"/>
        <v>0</v>
      </c>
      <c r="AU52" s="275"/>
      <c r="AV52" s="275">
        <v>45000000</v>
      </c>
      <c r="AW52" s="275">
        <f>'[1]POLY DISB 2019'!N56</f>
        <v>45000000</v>
      </c>
      <c r="AX52" s="275">
        <f t="shared" si="14"/>
        <v>0</v>
      </c>
      <c r="AY52" s="275"/>
      <c r="AZ52" s="275">
        <v>38340000</v>
      </c>
      <c r="BA52" s="275">
        <f>'[1]POLY DISB 2019'!P56</f>
        <v>38340000</v>
      </c>
      <c r="BB52" s="275">
        <f t="shared" si="15"/>
        <v>0</v>
      </c>
      <c r="BC52" s="275"/>
      <c r="BD52" s="275">
        <v>0</v>
      </c>
      <c r="BE52" s="275">
        <f>'[1]POLY DISB 2019'!Q56</f>
        <v>0</v>
      </c>
      <c r="BF52" s="275">
        <f t="shared" si="16"/>
        <v>0</v>
      </c>
      <c r="BG52" s="275"/>
      <c r="BH52" s="275">
        <f>'[1]POLY commited funds to date'!S52</f>
        <v>126060000</v>
      </c>
      <c r="BI52" s="275">
        <f>'[1]POLY DISB 2019'!R56</f>
        <v>126060000</v>
      </c>
      <c r="BJ52" s="275">
        <f t="shared" si="17"/>
        <v>0</v>
      </c>
      <c r="BK52" s="275"/>
      <c r="BL52" s="275">
        <f>'[1]poly  com. adj for fmis'!S52</f>
        <v>20000000</v>
      </c>
      <c r="BM52" s="275">
        <f>'[1]POLY DISB 2019'!S56</f>
        <v>20000000</v>
      </c>
      <c r="BN52" s="269">
        <f t="shared" si="18"/>
        <v>0</v>
      </c>
      <c r="BO52" s="275"/>
      <c r="BP52" s="276">
        <f>'[1]POLY commited funds to date'!U52</f>
        <v>169900000</v>
      </c>
      <c r="BQ52" s="275">
        <f>'[1]POLY DISB 2019'!T56</f>
        <v>169900000</v>
      </c>
      <c r="BR52" s="275">
        <f t="shared" si="19"/>
        <v>0</v>
      </c>
      <c r="BS52" s="275"/>
      <c r="BT52" s="275">
        <f>'[1]POLY commited funds to date'!V52</f>
        <v>10000000</v>
      </c>
      <c r="BU52" s="275">
        <f>'[1]POLY DISB 2019'!U56</f>
        <v>8500000</v>
      </c>
      <c r="BV52" s="275">
        <f t="shared" si="20"/>
        <v>1500000</v>
      </c>
      <c r="BW52" s="275"/>
      <c r="BX52" s="275">
        <f>'[1]POLY commited funds to date'!W52</f>
        <v>0</v>
      </c>
      <c r="BY52" s="275">
        <f>'[1]POLY DISB 2019'!V56</f>
        <v>0</v>
      </c>
      <c r="BZ52" s="275">
        <f t="shared" si="21"/>
        <v>0</v>
      </c>
      <c r="CA52" s="275"/>
      <c r="CB52" s="275">
        <f>'[1]POLY commited funds to date'!X52</f>
        <v>210000000</v>
      </c>
      <c r="CC52" s="275">
        <f>'[1]POLY DISB 2019'!W56</f>
        <v>210000000</v>
      </c>
      <c r="CD52" s="275">
        <f t="shared" si="22"/>
        <v>0</v>
      </c>
      <c r="CE52" s="275"/>
      <c r="CF52" s="275">
        <f>'[1]POLY commited funds to date'!Y52</f>
        <v>42000000</v>
      </c>
      <c r="CG52" s="275">
        <f>'[1]POLY DISB 2019'!X56</f>
        <v>42000000</v>
      </c>
      <c r="CH52" s="275">
        <f t="shared" si="23"/>
        <v>0</v>
      </c>
      <c r="CI52" s="275"/>
      <c r="CJ52" s="275">
        <f>'[1]POLY commited funds to date'!Z52</f>
        <v>50000000</v>
      </c>
      <c r="CK52" s="275">
        <f>'[1]POLY DISB 2019'!Y56</f>
        <v>50000000</v>
      </c>
      <c r="CL52" s="275">
        <f t="shared" si="24"/>
        <v>0</v>
      </c>
      <c r="CM52" s="275"/>
      <c r="CN52" s="275">
        <f>'[1]POLY commited funds to date'!AA52</f>
        <v>243000000</v>
      </c>
      <c r="CO52" s="275">
        <f>'[1]POLY DISB 2019'!Z56</f>
        <v>243000000</v>
      </c>
      <c r="CP52" s="275">
        <f t="shared" si="25"/>
        <v>0</v>
      </c>
      <c r="CQ52" s="275"/>
      <c r="CR52" s="275">
        <v>10000000</v>
      </c>
      <c r="CS52" s="275">
        <f>'[1]POLY DISB 2019'!AA56</f>
        <v>8500000</v>
      </c>
      <c r="CT52" s="275">
        <f t="shared" si="26"/>
        <v>1500000</v>
      </c>
      <c r="CU52" s="275"/>
      <c r="CV52" s="275">
        <f>'[1]POLY commited funds to date'!AC52</f>
        <v>371000000</v>
      </c>
      <c r="CW52" s="275">
        <f>'[1]POLY DISB 2019'!AB56</f>
        <v>371000000</v>
      </c>
      <c r="CX52" s="275">
        <f t="shared" si="27"/>
        <v>0</v>
      </c>
      <c r="CY52" s="275"/>
      <c r="CZ52" s="275">
        <f>'[1]POLY commited funds to date'!AD52</f>
        <v>20000000</v>
      </c>
      <c r="DA52" s="275">
        <f>'[1]POLY DISB 2019'!AC56</f>
        <v>17000000</v>
      </c>
      <c r="DB52" s="275">
        <f t="shared" si="28"/>
        <v>3000000</v>
      </c>
      <c r="DC52" s="275"/>
      <c r="DD52" s="275">
        <f>'[1]POLY commited funds to date'!AE52</f>
        <v>210000000</v>
      </c>
      <c r="DE52" s="275">
        <f>'[1]POLY DISB 2019'!AD56</f>
        <v>210000000</v>
      </c>
      <c r="DF52" s="275">
        <f t="shared" si="29"/>
        <v>0</v>
      </c>
      <c r="DG52" s="275"/>
      <c r="DH52" s="275">
        <f>'[1]poly  com. adj for fmis'!AE52</f>
        <v>80000000</v>
      </c>
      <c r="DI52" s="275">
        <f>'[1]POLY DISB 2019'!AE56</f>
        <v>80000000</v>
      </c>
      <c r="DJ52" s="275">
        <f t="shared" si="30"/>
        <v>0</v>
      </c>
      <c r="DK52" s="275"/>
      <c r="DL52" s="275">
        <f>'[1]poly  com. adj for fmis'!AF52</f>
        <v>8000000</v>
      </c>
      <c r="DM52" s="275">
        <f>'[1]POLY DISB 2019'!AF56</f>
        <v>8000000</v>
      </c>
      <c r="DN52" s="275">
        <f t="shared" si="31"/>
        <v>0</v>
      </c>
      <c r="DO52" s="275"/>
      <c r="DP52" s="275">
        <f>'[1]poly  com. adj for fmis'!AG52</f>
        <v>2000000</v>
      </c>
      <c r="DQ52" s="275">
        <f>'[1]POLY DISB 2019'!AG56</f>
        <v>0</v>
      </c>
      <c r="DR52" s="275">
        <f t="shared" si="32"/>
        <v>2000000</v>
      </c>
      <c r="DS52" s="275"/>
      <c r="DT52" s="275">
        <f>'[1]poly  com. adj for fmis'!AH52</f>
        <v>10000000</v>
      </c>
      <c r="DU52" s="275">
        <f>'[1]POLY DISB 2019'!AH56</f>
        <v>0</v>
      </c>
      <c r="DV52" s="275">
        <f t="shared" si="33"/>
        <v>10000000</v>
      </c>
      <c r="DW52" s="275"/>
      <c r="DX52" s="275">
        <f>'[1]poly  com. adj for fmis'!AI52</f>
        <v>2370000000</v>
      </c>
      <c r="DY52" s="275">
        <f>'[1]POLY DISB 2019'!AI56</f>
        <v>2347500000</v>
      </c>
      <c r="DZ52" s="275">
        <f t="shared" si="34"/>
        <v>22500000</v>
      </c>
      <c r="EA52" s="275"/>
      <c r="EB52" s="275">
        <f>'[1]POLY commited funds to date'!AK52</f>
        <v>380632000</v>
      </c>
      <c r="EC52" s="275">
        <f>'[1]POLY DISB 2019'!AJ56</f>
        <v>380632000</v>
      </c>
      <c r="ED52" s="275">
        <f t="shared" si="35"/>
        <v>0</v>
      </c>
      <c r="EE52" s="275"/>
      <c r="EF52" s="275">
        <f>'[1]POLY commited funds to date'!AL52</f>
        <v>8000000</v>
      </c>
      <c r="EG52" s="275">
        <f>'[1]POLY DISB 2019'!AK56</f>
        <v>8000000</v>
      </c>
      <c r="EH52" s="275">
        <f t="shared" si="36"/>
        <v>0</v>
      </c>
      <c r="EI52" s="275"/>
      <c r="EJ52" s="275">
        <f>'[1]POLY commited funds to date'!AM52</f>
        <v>10000000</v>
      </c>
      <c r="EK52" s="275">
        <f>'[1]POLY DISB 2019'!AL56</f>
        <v>0</v>
      </c>
      <c r="EL52" s="275">
        <f t="shared" si="37"/>
        <v>10000000</v>
      </c>
      <c r="EM52" s="275"/>
      <c r="EN52" s="275">
        <f>'[1]POLY commited funds to date'!AN52</f>
        <v>10000000</v>
      </c>
      <c r="EO52" s="275">
        <f>'[1]POLY DISB 2019'!AM56</f>
        <v>0</v>
      </c>
      <c r="EP52" s="275">
        <f t="shared" si="38"/>
        <v>10000000</v>
      </c>
      <c r="EQ52" s="275">
        <f>'[1]POLY commited funds to date'!AO52</f>
        <v>0</v>
      </c>
      <c r="ER52" s="275">
        <f>'[1]POLY DISB 2019'!AN56</f>
        <v>0</v>
      </c>
      <c r="ES52" s="275">
        <f t="shared" si="39"/>
        <v>0</v>
      </c>
      <c r="ET52" s="275"/>
      <c r="EU52" s="275">
        <f>'[1]POLY commited funds to date'!AP52</f>
        <v>205000000</v>
      </c>
      <c r="EV52" s="275">
        <f>'[1]POLY DISB 2019'!AO56</f>
        <v>0</v>
      </c>
      <c r="EW52" s="275">
        <f t="shared" si="40"/>
        <v>205000000</v>
      </c>
      <c r="EX52" s="275"/>
      <c r="EY52" s="275">
        <f>'[1]POLY commited funds to date'!AQ52</f>
        <v>75000000</v>
      </c>
      <c r="EZ52" s="275">
        <f>'[1]POLY DISB 2019'!AP56</f>
        <v>50250000</v>
      </c>
      <c r="FA52" s="275">
        <f t="shared" si="41"/>
        <v>24750000</v>
      </c>
      <c r="FB52" s="275"/>
      <c r="FC52" s="275">
        <f>'[1]POLY commited funds to date'!AR52</f>
        <v>7000000</v>
      </c>
      <c r="FD52" s="275">
        <f>'[1]POLY DISB 2019'!AQ56</f>
        <v>0</v>
      </c>
      <c r="FE52" s="275">
        <f t="shared" si="42"/>
        <v>7000000</v>
      </c>
      <c r="FF52" s="275"/>
      <c r="FG52" s="275">
        <f>'[1]POLY commited funds to date'!AS52</f>
        <v>6300000</v>
      </c>
      <c r="FH52" s="275">
        <f>'[1]POLY DISB 2019'!AR56</f>
        <v>0</v>
      </c>
      <c r="FI52" s="275">
        <f t="shared" si="43"/>
        <v>6300000</v>
      </c>
      <c r="FJ52" s="275"/>
      <c r="FK52" s="275">
        <f>'[1]POLY commited funds to date'!AT52</f>
        <v>7500000</v>
      </c>
      <c r="FL52" s="275">
        <f>'[1]POLY DISB 2019'!AS56</f>
        <v>0</v>
      </c>
      <c r="FM52" s="275">
        <f t="shared" si="44"/>
        <v>7500000</v>
      </c>
      <c r="FN52" s="275"/>
      <c r="FO52" s="275">
        <f>'[1]POLY commited funds to date'!AU52</f>
        <v>245000000</v>
      </c>
      <c r="FP52" s="275">
        <f>'[1]POLY DISB 2019'!AT56</f>
        <v>0</v>
      </c>
      <c r="FQ52" s="275">
        <f t="shared" si="45"/>
        <v>245000000</v>
      </c>
      <c r="FR52" s="275">
        <f>'[1]POLY commited funds to date'!AV52</f>
        <v>119074602</v>
      </c>
      <c r="FS52" s="275">
        <f>'[1]POLY DISB 2019'!AU56</f>
        <v>0</v>
      </c>
      <c r="FT52" s="275">
        <f t="shared" si="46"/>
        <v>119074602</v>
      </c>
      <c r="FU52" s="275"/>
      <c r="FV52" s="275">
        <f>'[1]POLY commited funds to date'!AW52</f>
        <v>13000000</v>
      </c>
      <c r="FW52" s="275">
        <f>'[1]POLY DISB 2019'!AV56</f>
        <v>0</v>
      </c>
      <c r="FX52" s="275">
        <f t="shared" si="47"/>
        <v>13000000</v>
      </c>
      <c r="FY52" s="275"/>
      <c r="FZ52" s="275">
        <f>'[1]POLY commited funds to date'!AX52</f>
        <v>8628900</v>
      </c>
      <c r="GA52" s="275">
        <f>'[1]POLY DISB 2019'!AW56</f>
        <v>0</v>
      </c>
      <c r="GB52" s="275">
        <f t="shared" si="48"/>
        <v>8628900</v>
      </c>
      <c r="GC52" s="275">
        <f>'[1]POLY commited funds to date'!AY52</f>
        <v>5000000</v>
      </c>
      <c r="GD52" s="275">
        <f>'[1]POLY DISB 2019'!AX56</f>
        <v>0</v>
      </c>
      <c r="GE52" s="275">
        <f t="shared" si="49"/>
        <v>5000000</v>
      </c>
      <c r="GF52" s="275"/>
      <c r="GG52" s="275">
        <f>'[1]POLY commited funds to date'!AZ52</f>
        <v>0</v>
      </c>
      <c r="GH52" s="275">
        <f>'[1]POLY DISB 2019'!AY56</f>
        <v>0</v>
      </c>
      <c r="GI52" s="275">
        <f t="shared" si="50"/>
        <v>0</v>
      </c>
      <c r="GJ52" s="275"/>
      <c r="GK52" s="275">
        <f t="shared" si="51"/>
        <v>5315144804</v>
      </c>
      <c r="GL52" s="275">
        <f t="shared" si="51"/>
        <v>4613391302</v>
      </c>
      <c r="GM52" s="275">
        <f t="shared" si="52"/>
        <v>701753502</v>
      </c>
      <c r="GN52" s="265"/>
      <c r="GO52" s="277">
        <f t="shared" si="53"/>
        <v>2283641302</v>
      </c>
      <c r="GP52" s="277">
        <f t="shared" si="53"/>
        <v>1833641302</v>
      </c>
      <c r="GQ52" s="277">
        <f t="shared" si="54"/>
        <v>450000000</v>
      </c>
      <c r="GR52" s="277">
        <f t="shared" si="69"/>
        <v>10000000</v>
      </c>
      <c r="GS52" s="277">
        <f t="shared" si="69"/>
        <v>10000000</v>
      </c>
      <c r="GT52" s="277">
        <f t="shared" si="55"/>
        <v>0</v>
      </c>
      <c r="GU52" s="277"/>
      <c r="GV52" s="265"/>
      <c r="GW52" s="279">
        <f t="shared" si="68"/>
        <v>2692000000</v>
      </c>
      <c r="GX52" s="279">
        <f t="shared" si="68"/>
        <v>2669500000</v>
      </c>
      <c r="GY52" s="280">
        <f t="shared" si="57"/>
        <v>22500000</v>
      </c>
      <c r="GZ52" s="280"/>
      <c r="HA52" s="277">
        <f t="shared" si="58"/>
        <v>74928900</v>
      </c>
      <c r="HB52" s="277">
        <f t="shared" si="58"/>
        <v>34000000</v>
      </c>
      <c r="HC52" s="277">
        <f t="shared" si="59"/>
        <v>40928900</v>
      </c>
      <c r="HE52" s="277">
        <f t="shared" si="60"/>
        <v>36000000</v>
      </c>
      <c r="HF52" s="277">
        <f t="shared" si="60"/>
        <v>16000000</v>
      </c>
      <c r="HG52" s="277">
        <f t="shared" si="61"/>
        <v>20000000</v>
      </c>
      <c r="HI52" s="279">
        <f t="shared" si="62"/>
        <v>194074602</v>
      </c>
      <c r="HJ52" s="279">
        <f t="shared" si="62"/>
        <v>50250000</v>
      </c>
      <c r="HK52" s="279">
        <f t="shared" si="63"/>
        <v>143824602</v>
      </c>
      <c r="HM52" s="279">
        <f t="shared" si="64"/>
        <v>2000000</v>
      </c>
      <c r="HN52" s="279">
        <f t="shared" si="1"/>
        <v>0</v>
      </c>
      <c r="HO52" s="279">
        <f t="shared" si="65"/>
        <v>2000000</v>
      </c>
      <c r="HQ52" s="279">
        <f t="shared" si="66"/>
        <v>22500000</v>
      </c>
      <c r="HR52" s="279">
        <f t="shared" si="2"/>
        <v>0</v>
      </c>
      <c r="HS52" s="279">
        <f t="shared" si="67"/>
        <v>22500000</v>
      </c>
    </row>
    <row r="53" spans="1:227" x14ac:dyDescent="0.25">
      <c r="A53" s="235">
        <v>45</v>
      </c>
      <c r="B53" s="273" t="s">
        <v>244</v>
      </c>
      <c r="C53" s="274" t="s">
        <v>65</v>
      </c>
      <c r="D53" s="275">
        <v>0</v>
      </c>
      <c r="E53" s="275">
        <f>'[1]POLY DISB 2019'!C57</f>
        <v>0</v>
      </c>
      <c r="F53" s="275">
        <f t="shared" si="3"/>
        <v>0</v>
      </c>
      <c r="G53" s="275"/>
      <c r="H53" s="275">
        <v>0</v>
      </c>
      <c r="I53" s="275">
        <f>'[1]POLY DISB 2019'!D57</f>
        <v>0</v>
      </c>
      <c r="J53" s="275">
        <f t="shared" si="4"/>
        <v>0</v>
      </c>
      <c r="K53" s="275"/>
      <c r="L53" s="275">
        <v>0</v>
      </c>
      <c r="M53" s="275">
        <f>'[1]POLY DISB 2019'!E57</f>
        <v>0</v>
      </c>
      <c r="N53" s="275">
        <f t="shared" si="5"/>
        <v>0</v>
      </c>
      <c r="O53" s="275"/>
      <c r="P53" s="275">
        <v>0</v>
      </c>
      <c r="Q53" s="275">
        <f>'[1]POLY DISB 2019'!F57</f>
        <v>0</v>
      </c>
      <c r="R53" s="275">
        <f t="shared" si="6"/>
        <v>0</v>
      </c>
      <c r="S53" s="275"/>
      <c r="T53" s="275">
        <v>0</v>
      </c>
      <c r="U53" s="275">
        <f>'[1]POLY DISB 2019'!G57</f>
        <v>0</v>
      </c>
      <c r="V53" s="275">
        <f t="shared" si="7"/>
        <v>0</v>
      </c>
      <c r="W53" s="275"/>
      <c r="X53" s="275">
        <v>12000000</v>
      </c>
      <c r="Y53" s="275">
        <f>'[1]POLY DISB 2019'!H57</f>
        <v>12000000</v>
      </c>
      <c r="Z53" s="275">
        <f t="shared" si="8"/>
        <v>0</v>
      </c>
      <c r="AA53" s="275"/>
      <c r="AB53" s="275">
        <v>0</v>
      </c>
      <c r="AC53" s="275">
        <f>'[1]POLY DISB 2019'!I57</f>
        <v>0</v>
      </c>
      <c r="AD53" s="275">
        <f t="shared" si="9"/>
        <v>0</v>
      </c>
      <c r="AE53" s="275"/>
      <c r="AF53" s="275">
        <f>'[1]POLY commited funds to date'!K53</f>
        <v>20000000</v>
      </c>
      <c r="AG53" s="275">
        <f>'[1]POLY DISB 2019'!J57</f>
        <v>20000000</v>
      </c>
      <c r="AH53" s="275">
        <f t="shared" si="10"/>
        <v>0</v>
      </c>
      <c r="AI53" s="275"/>
      <c r="AJ53" s="275">
        <v>10000000</v>
      </c>
      <c r="AK53" s="275">
        <f>'[1]POLY DISB 2019'!K57</f>
        <v>10000000</v>
      </c>
      <c r="AL53" s="275">
        <f t="shared" si="11"/>
        <v>0</v>
      </c>
      <c r="AM53" s="275"/>
      <c r="AN53" s="275">
        <v>20000000</v>
      </c>
      <c r="AO53" s="275">
        <f>'[1]POLY DISB 2019'!L57</f>
        <v>20000000</v>
      </c>
      <c r="AP53" s="275">
        <f t="shared" si="12"/>
        <v>0</v>
      </c>
      <c r="AQ53" s="275"/>
      <c r="AR53" s="275">
        <v>26000000</v>
      </c>
      <c r="AS53" s="275">
        <f>'[1]POLY DISB 2019'!M57</f>
        <v>26000000</v>
      </c>
      <c r="AT53" s="275">
        <f t="shared" si="13"/>
        <v>0</v>
      </c>
      <c r="AU53" s="275"/>
      <c r="AV53" s="275">
        <v>45000000</v>
      </c>
      <c r="AW53" s="275">
        <f>'[1]POLY DISB 2019'!N57</f>
        <v>45000000</v>
      </c>
      <c r="AX53" s="275">
        <f t="shared" si="14"/>
        <v>0</v>
      </c>
      <c r="AY53" s="275"/>
      <c r="AZ53" s="275">
        <v>38340000</v>
      </c>
      <c r="BA53" s="275">
        <f>'[1]POLY DISB 2019'!P57</f>
        <v>38340000</v>
      </c>
      <c r="BB53" s="275">
        <f t="shared" si="15"/>
        <v>0</v>
      </c>
      <c r="BC53" s="275"/>
      <c r="BD53" s="275">
        <v>0</v>
      </c>
      <c r="BE53" s="275">
        <f>'[1]POLY DISB 2019'!Q57</f>
        <v>0</v>
      </c>
      <c r="BF53" s="275">
        <f t="shared" si="16"/>
        <v>0</v>
      </c>
      <c r="BG53" s="275"/>
      <c r="BH53" s="275">
        <f>'[1]POLY commited funds to date'!S53</f>
        <v>126060000</v>
      </c>
      <c r="BI53" s="275">
        <f>'[1]POLY DISB 2019'!R57</f>
        <v>126060000</v>
      </c>
      <c r="BJ53" s="275">
        <f t="shared" si="17"/>
        <v>0</v>
      </c>
      <c r="BK53" s="275"/>
      <c r="BL53" s="275">
        <f>'[1]poly  com. adj for fmis'!S53</f>
        <v>0</v>
      </c>
      <c r="BM53" s="275">
        <f>'[1]POLY DISB 2019'!S57</f>
        <v>0</v>
      </c>
      <c r="BN53" s="269">
        <f t="shared" si="18"/>
        <v>0</v>
      </c>
      <c r="BO53" s="275"/>
      <c r="BP53" s="276">
        <f>'[1]POLY commited funds to date'!U53</f>
        <v>0</v>
      </c>
      <c r="BQ53" s="275">
        <f>'[1]POLY DISB 2019'!T57</f>
        <v>0</v>
      </c>
      <c r="BR53" s="275">
        <f t="shared" si="19"/>
        <v>0</v>
      </c>
      <c r="BS53" s="275"/>
      <c r="BT53" s="275">
        <f>'[1]POLY commited funds to date'!V53</f>
        <v>0</v>
      </c>
      <c r="BU53" s="275">
        <f>'[1]POLY DISB 2019'!U57</f>
        <v>0</v>
      </c>
      <c r="BV53" s="275">
        <f t="shared" si="20"/>
        <v>0</v>
      </c>
      <c r="BW53" s="275"/>
      <c r="BX53" s="275">
        <f>'[1]POLY commited funds to date'!W53</f>
        <v>0</v>
      </c>
      <c r="BY53" s="275">
        <f>'[1]POLY DISB 2019'!V57</f>
        <v>0</v>
      </c>
      <c r="BZ53" s="275">
        <f t="shared" si="21"/>
        <v>0</v>
      </c>
      <c r="CA53" s="275"/>
      <c r="CB53" s="275">
        <f>'[1]POLY commited funds to date'!X53</f>
        <v>0</v>
      </c>
      <c r="CC53" s="275">
        <f>'[1]POLY DISB 2019'!W57</f>
        <v>0</v>
      </c>
      <c r="CD53" s="275">
        <f t="shared" si="22"/>
        <v>0</v>
      </c>
      <c r="CE53" s="275"/>
      <c r="CF53" s="275">
        <f>'[1]POLY commited funds to date'!Y53</f>
        <v>500000000</v>
      </c>
      <c r="CG53" s="275">
        <f>'[1]POLY DISB 2019'!X57</f>
        <v>500000000</v>
      </c>
      <c r="CH53" s="275">
        <f t="shared" si="23"/>
        <v>0</v>
      </c>
      <c r="CI53" s="275"/>
      <c r="CJ53" s="275">
        <f>'[1]POLY commited funds to date'!Z53</f>
        <v>300000000</v>
      </c>
      <c r="CK53" s="275">
        <f>'[1]POLY DISB 2019'!Y57</f>
        <v>300000000</v>
      </c>
      <c r="CL53" s="275">
        <f t="shared" si="24"/>
        <v>0</v>
      </c>
      <c r="CM53" s="275"/>
      <c r="CN53" s="275">
        <f>'[1]POLY commited funds to date'!AA53</f>
        <v>243000000</v>
      </c>
      <c r="CO53" s="275">
        <f>'[1]POLY DISB 2019'!Z57</f>
        <v>243000000</v>
      </c>
      <c r="CP53" s="275">
        <f t="shared" si="25"/>
        <v>0</v>
      </c>
      <c r="CQ53" s="275"/>
      <c r="CR53" s="275">
        <v>10000000</v>
      </c>
      <c r="CS53" s="275">
        <f>'[1]POLY DISB 2019'!AA57</f>
        <v>0</v>
      </c>
      <c r="CT53" s="275">
        <f t="shared" si="26"/>
        <v>10000000</v>
      </c>
      <c r="CU53" s="275"/>
      <c r="CV53" s="275">
        <f>'[1]POLY commited funds to date'!AC53</f>
        <v>0</v>
      </c>
      <c r="CW53" s="275">
        <f>'[1]POLY DISB 2019'!AB57</f>
        <v>0</v>
      </c>
      <c r="CX53" s="275">
        <f t="shared" si="27"/>
        <v>0</v>
      </c>
      <c r="CY53" s="275"/>
      <c r="CZ53" s="275">
        <f>'[1]POLY commited funds to date'!AD53</f>
        <v>0</v>
      </c>
      <c r="DA53" s="275">
        <f>'[1]POLY DISB 2019'!AC57</f>
        <v>0</v>
      </c>
      <c r="DB53" s="275">
        <f t="shared" si="28"/>
        <v>0</v>
      </c>
      <c r="DC53" s="275"/>
      <c r="DD53" s="275">
        <f>'[1]POLY commited funds to date'!AE53</f>
        <v>100000000</v>
      </c>
      <c r="DE53" s="275">
        <f>'[1]POLY DISB 2019'!AD57</f>
        <v>100000000</v>
      </c>
      <c r="DF53" s="275">
        <f t="shared" si="29"/>
        <v>0</v>
      </c>
      <c r="DG53" s="275"/>
      <c r="DH53" s="275">
        <f>'[1]poly  com. adj for fmis'!AE53</f>
        <v>0</v>
      </c>
      <c r="DI53" s="275">
        <f>'[1]POLY DISB 2019'!AE57</f>
        <v>0</v>
      </c>
      <c r="DJ53" s="275">
        <f t="shared" si="30"/>
        <v>0</v>
      </c>
      <c r="DK53" s="275"/>
      <c r="DL53" s="275">
        <f>'[1]poly  com. adj for fmis'!AF53</f>
        <v>0</v>
      </c>
      <c r="DM53" s="275">
        <f>'[1]POLY DISB 2019'!AF57</f>
        <v>0</v>
      </c>
      <c r="DN53" s="275">
        <f t="shared" si="31"/>
        <v>0</v>
      </c>
      <c r="DO53" s="275"/>
      <c r="DP53" s="275">
        <f>'[1]poly  com. adj for fmis'!AG53</f>
        <v>0</v>
      </c>
      <c r="DQ53" s="275">
        <f>'[1]POLY DISB 2019'!AG57</f>
        <v>0</v>
      </c>
      <c r="DR53" s="275">
        <f t="shared" si="32"/>
        <v>0</v>
      </c>
      <c r="DS53" s="275"/>
      <c r="DT53" s="275">
        <f>'[1]poly  com. adj for fmis'!AH53</f>
        <v>0</v>
      </c>
      <c r="DU53" s="275">
        <f>'[1]POLY DISB 2019'!AH57</f>
        <v>0</v>
      </c>
      <c r="DV53" s="275">
        <f t="shared" si="33"/>
        <v>0</v>
      </c>
      <c r="DW53" s="275"/>
      <c r="DX53" s="275">
        <f>'[1]poly  com. adj for fmis'!AI53</f>
        <v>450000000</v>
      </c>
      <c r="DY53" s="275">
        <f>'[1]POLY DISB 2019'!AI57</f>
        <v>412500000</v>
      </c>
      <c r="DZ53" s="275">
        <f t="shared" si="34"/>
        <v>37500000</v>
      </c>
      <c r="EA53" s="275"/>
      <c r="EB53" s="275">
        <f>'[1]POLY commited funds to date'!AK53</f>
        <v>380632000</v>
      </c>
      <c r="EC53" s="275">
        <f>'[1]POLY DISB 2019'!AJ57</f>
        <v>224572880</v>
      </c>
      <c r="ED53" s="275">
        <f t="shared" si="35"/>
        <v>156059120</v>
      </c>
      <c r="EE53" s="275"/>
      <c r="EF53" s="275">
        <f>'[1]POLY commited funds to date'!AL53</f>
        <v>8000000</v>
      </c>
      <c r="EG53" s="275">
        <f>'[1]POLY DISB 2019'!AK57</f>
        <v>0</v>
      </c>
      <c r="EH53" s="275">
        <f t="shared" si="36"/>
        <v>8000000</v>
      </c>
      <c r="EI53" s="275"/>
      <c r="EJ53" s="275">
        <f>'[1]POLY commited funds to date'!AM53</f>
        <v>10000000</v>
      </c>
      <c r="EK53" s="275">
        <f>'[1]POLY DISB 2019'!AL57</f>
        <v>0</v>
      </c>
      <c r="EL53" s="275">
        <f t="shared" si="37"/>
        <v>10000000</v>
      </c>
      <c r="EM53" s="275"/>
      <c r="EN53" s="275">
        <f>'[1]POLY commited funds to date'!AN53</f>
        <v>10000000</v>
      </c>
      <c r="EO53" s="275">
        <f>'[1]POLY DISB 2019'!AM57</f>
        <v>0</v>
      </c>
      <c r="EP53" s="275">
        <f t="shared" si="38"/>
        <v>10000000</v>
      </c>
      <c r="EQ53" s="275">
        <f>'[1]POLY commited funds to date'!AO53</f>
        <v>0</v>
      </c>
      <c r="ER53" s="275">
        <f>'[1]POLY DISB 2019'!AN57</f>
        <v>0</v>
      </c>
      <c r="ES53" s="275">
        <f t="shared" si="39"/>
        <v>0</v>
      </c>
      <c r="ET53" s="275"/>
      <c r="EU53" s="275">
        <f>'[1]POLY commited funds to date'!AP53</f>
        <v>0</v>
      </c>
      <c r="EV53" s="275">
        <f>'[1]POLY DISB 2019'!AO57</f>
        <v>0</v>
      </c>
      <c r="EW53" s="275">
        <f t="shared" si="40"/>
        <v>0</v>
      </c>
      <c r="EX53" s="275"/>
      <c r="EY53" s="275">
        <f>'[1]POLY commited funds to date'!AQ53</f>
        <v>75000000</v>
      </c>
      <c r="EZ53" s="275">
        <f>'[1]POLY DISB 2019'!AP57</f>
        <v>51000000</v>
      </c>
      <c r="FA53" s="275">
        <f t="shared" si="41"/>
        <v>24000000</v>
      </c>
      <c r="FB53" s="275"/>
      <c r="FC53" s="275">
        <f>'[1]POLY commited funds to date'!AR53</f>
        <v>0</v>
      </c>
      <c r="FD53" s="275">
        <f>'[1]POLY DISB 2019'!AQ57</f>
        <v>0</v>
      </c>
      <c r="FE53" s="275">
        <f t="shared" si="42"/>
        <v>0</v>
      </c>
      <c r="FF53" s="275"/>
      <c r="FG53" s="275">
        <f>'[1]POLY commited funds to date'!AS53</f>
        <v>0</v>
      </c>
      <c r="FH53" s="275">
        <f>'[1]POLY DISB 2019'!AR57</f>
        <v>0</v>
      </c>
      <c r="FI53" s="275">
        <f t="shared" si="43"/>
        <v>0</v>
      </c>
      <c r="FJ53" s="275"/>
      <c r="FK53" s="275">
        <f>'[1]POLY commited funds to date'!AT53</f>
        <v>0</v>
      </c>
      <c r="FL53" s="275">
        <f>'[1]POLY DISB 2019'!AS57</f>
        <v>0</v>
      </c>
      <c r="FM53" s="275">
        <f t="shared" si="44"/>
        <v>0</v>
      </c>
      <c r="FN53" s="275"/>
      <c r="FO53" s="275">
        <f>'[1]POLY commited funds to date'!AU53</f>
        <v>0</v>
      </c>
      <c r="FP53" s="275">
        <f>'[1]POLY DISB 2019'!AT57</f>
        <v>0</v>
      </c>
      <c r="FQ53" s="275">
        <f t="shared" si="45"/>
        <v>0</v>
      </c>
      <c r="FR53" s="275">
        <f>'[1]POLY commited funds to date'!AV53</f>
        <v>119074602</v>
      </c>
      <c r="FS53" s="275">
        <f>'[1]POLY DISB 2019'!AU57</f>
        <v>0</v>
      </c>
      <c r="FT53" s="275">
        <f t="shared" si="46"/>
        <v>119074602</v>
      </c>
      <c r="FU53" s="275"/>
      <c r="FV53" s="275">
        <f>'[1]POLY commited funds to date'!AW53</f>
        <v>0</v>
      </c>
      <c r="FW53" s="275">
        <f>'[1]POLY DISB 2019'!AV57</f>
        <v>0</v>
      </c>
      <c r="FX53" s="275">
        <f t="shared" si="47"/>
        <v>0</v>
      </c>
      <c r="FY53" s="275"/>
      <c r="FZ53" s="275">
        <f>'[1]POLY commited funds to date'!AX53</f>
        <v>0</v>
      </c>
      <c r="GA53" s="275">
        <f>'[1]POLY DISB 2019'!AW57</f>
        <v>0</v>
      </c>
      <c r="GB53" s="275">
        <f t="shared" si="48"/>
        <v>0</v>
      </c>
      <c r="GC53" s="275">
        <f>'[1]POLY commited funds to date'!AY53</f>
        <v>0</v>
      </c>
      <c r="GD53" s="275">
        <f>'[1]POLY DISB 2019'!AX57</f>
        <v>0</v>
      </c>
      <c r="GE53" s="275">
        <f t="shared" si="49"/>
        <v>0</v>
      </c>
      <c r="GF53" s="275"/>
      <c r="GG53" s="275">
        <f>'[1]POLY commited funds to date'!AZ53</f>
        <v>0</v>
      </c>
      <c r="GH53" s="275">
        <f>'[1]POLY DISB 2019'!AY57</f>
        <v>0</v>
      </c>
      <c r="GI53" s="275">
        <f t="shared" si="50"/>
        <v>0</v>
      </c>
      <c r="GJ53" s="275"/>
      <c r="GK53" s="275">
        <f t="shared" si="51"/>
        <v>2503106602</v>
      </c>
      <c r="GL53" s="275">
        <f t="shared" si="51"/>
        <v>2128472880</v>
      </c>
      <c r="GM53" s="275">
        <f t="shared" si="52"/>
        <v>374633722</v>
      </c>
      <c r="GN53" s="265"/>
      <c r="GO53" s="277">
        <f t="shared" si="53"/>
        <v>911032000</v>
      </c>
      <c r="GP53" s="277">
        <f t="shared" si="53"/>
        <v>754972880</v>
      </c>
      <c r="GQ53" s="277">
        <f t="shared" si="54"/>
        <v>156059120</v>
      </c>
      <c r="GR53" s="277">
        <f t="shared" si="69"/>
        <v>10000000</v>
      </c>
      <c r="GS53" s="277">
        <f t="shared" si="69"/>
        <v>10000000</v>
      </c>
      <c r="GT53" s="277">
        <f t="shared" si="55"/>
        <v>0</v>
      </c>
      <c r="GU53" s="277"/>
      <c r="GV53" s="265"/>
      <c r="GW53" s="279">
        <f t="shared" si="68"/>
        <v>1350000000</v>
      </c>
      <c r="GX53" s="279">
        <f t="shared" si="68"/>
        <v>1312500000</v>
      </c>
      <c r="GY53" s="280">
        <f t="shared" si="57"/>
        <v>37500000</v>
      </c>
      <c r="GZ53" s="280"/>
      <c r="HA53" s="277">
        <f t="shared" si="58"/>
        <v>20000000</v>
      </c>
      <c r="HB53" s="277">
        <f t="shared" si="58"/>
        <v>0</v>
      </c>
      <c r="HC53" s="277">
        <f t="shared" si="59"/>
        <v>20000000</v>
      </c>
      <c r="HE53" s="277">
        <f t="shared" si="60"/>
        <v>8000000</v>
      </c>
      <c r="HF53" s="277">
        <f t="shared" si="60"/>
        <v>0</v>
      </c>
      <c r="HG53" s="277">
        <f t="shared" si="61"/>
        <v>8000000</v>
      </c>
      <c r="HI53" s="279">
        <f t="shared" si="62"/>
        <v>194074602</v>
      </c>
      <c r="HJ53" s="279">
        <f t="shared" si="62"/>
        <v>51000000</v>
      </c>
      <c r="HK53" s="279">
        <f t="shared" si="63"/>
        <v>143074602</v>
      </c>
      <c r="HM53" s="279">
        <f t="shared" si="64"/>
        <v>0</v>
      </c>
      <c r="HN53" s="279">
        <f t="shared" si="1"/>
        <v>0</v>
      </c>
      <c r="HO53" s="279">
        <f t="shared" si="65"/>
        <v>0</v>
      </c>
      <c r="HQ53" s="279">
        <f t="shared" si="66"/>
        <v>10000000</v>
      </c>
      <c r="HR53" s="279">
        <f t="shared" si="2"/>
        <v>0</v>
      </c>
      <c r="HS53" s="279">
        <f t="shared" si="67"/>
        <v>10000000</v>
      </c>
    </row>
    <row r="54" spans="1:227" x14ac:dyDescent="0.25">
      <c r="A54" s="235">
        <v>46</v>
      </c>
      <c r="B54" s="273" t="s">
        <v>245</v>
      </c>
      <c r="C54" s="274"/>
      <c r="D54" s="275">
        <v>0</v>
      </c>
      <c r="E54" s="275">
        <f>'[1]POLY DISB 2019'!C58</f>
        <v>0</v>
      </c>
      <c r="F54" s="275">
        <f t="shared" si="3"/>
        <v>0</v>
      </c>
      <c r="G54" s="275"/>
      <c r="H54" s="275">
        <v>0</v>
      </c>
      <c r="I54" s="275">
        <f>'[1]POLY DISB 2019'!D58</f>
        <v>0</v>
      </c>
      <c r="J54" s="275">
        <f t="shared" si="4"/>
        <v>0</v>
      </c>
      <c r="K54" s="275"/>
      <c r="L54" s="275">
        <v>0</v>
      </c>
      <c r="M54" s="275">
        <f>'[1]POLY DISB 2019'!E58</f>
        <v>0</v>
      </c>
      <c r="N54" s="275">
        <f t="shared" si="5"/>
        <v>0</v>
      </c>
      <c r="O54" s="275"/>
      <c r="P54" s="275">
        <v>0</v>
      </c>
      <c r="Q54" s="275">
        <f>'[1]POLY DISB 2019'!F58</f>
        <v>0</v>
      </c>
      <c r="R54" s="275">
        <f t="shared" si="6"/>
        <v>0</v>
      </c>
      <c r="S54" s="275"/>
      <c r="T54" s="275">
        <v>0</v>
      </c>
      <c r="U54" s="275">
        <f>'[1]POLY DISB 2019'!G58</f>
        <v>0</v>
      </c>
      <c r="V54" s="275">
        <f t="shared" si="7"/>
        <v>0</v>
      </c>
      <c r="W54" s="275"/>
      <c r="X54" s="275">
        <v>0</v>
      </c>
      <c r="Y54" s="275">
        <f>'[1]POLY DISB 2019'!H58</f>
        <v>0</v>
      </c>
      <c r="Z54" s="275">
        <f t="shared" si="8"/>
        <v>0</v>
      </c>
      <c r="AA54" s="275"/>
      <c r="AB54" s="275">
        <v>0</v>
      </c>
      <c r="AC54" s="275">
        <f>'[1]POLY DISB 2019'!I58</f>
        <v>0</v>
      </c>
      <c r="AD54" s="275">
        <f t="shared" si="9"/>
        <v>0</v>
      </c>
      <c r="AE54" s="275"/>
      <c r="AF54" s="275">
        <f>'[1]POLY commited funds to date'!K54</f>
        <v>20000000</v>
      </c>
      <c r="AG54" s="275">
        <f>'[1]POLY DISB 2019'!J58</f>
        <v>20000000</v>
      </c>
      <c r="AH54" s="275">
        <f t="shared" si="10"/>
        <v>0</v>
      </c>
      <c r="AI54" s="275"/>
      <c r="AJ54" s="275">
        <v>8500000</v>
      </c>
      <c r="AK54" s="275">
        <f>'[1]POLY DISB 2019'!K58</f>
        <v>8500000</v>
      </c>
      <c r="AL54" s="275">
        <f t="shared" si="11"/>
        <v>0</v>
      </c>
      <c r="AM54" s="275"/>
      <c r="AN54" s="275">
        <v>20000000</v>
      </c>
      <c r="AO54" s="275">
        <f>'[1]POLY DISB 2019'!L58</f>
        <v>20000000</v>
      </c>
      <c r="AP54" s="275">
        <f t="shared" si="12"/>
        <v>0</v>
      </c>
      <c r="AQ54" s="275"/>
      <c r="AR54" s="275">
        <v>26000000</v>
      </c>
      <c r="AS54" s="275">
        <f>'[1]POLY DISB 2019'!M58</f>
        <v>26000000</v>
      </c>
      <c r="AT54" s="275">
        <f t="shared" si="13"/>
        <v>0</v>
      </c>
      <c r="AU54" s="275"/>
      <c r="AV54" s="275">
        <v>45000000</v>
      </c>
      <c r="AW54" s="275">
        <f>'[1]POLY DISB 2019'!N58</f>
        <v>45000000</v>
      </c>
      <c r="AX54" s="275">
        <f t="shared" si="14"/>
        <v>0</v>
      </c>
      <c r="AY54" s="275"/>
      <c r="AZ54" s="275">
        <v>38340000</v>
      </c>
      <c r="BA54" s="275">
        <f>'[1]POLY DISB 2019'!P58</f>
        <v>38340000</v>
      </c>
      <c r="BB54" s="275">
        <f t="shared" si="15"/>
        <v>0</v>
      </c>
      <c r="BC54" s="275"/>
      <c r="BD54" s="275">
        <v>0</v>
      </c>
      <c r="BE54" s="275">
        <f>'[1]POLY DISB 2019'!Q58</f>
        <v>0</v>
      </c>
      <c r="BF54" s="275">
        <f t="shared" si="16"/>
        <v>0</v>
      </c>
      <c r="BG54" s="275"/>
      <c r="BH54" s="275">
        <f>'[1]POLY commited funds to date'!S54</f>
        <v>0</v>
      </c>
      <c r="BI54" s="275">
        <f>'[1]POLY DISB 2019'!R58</f>
        <v>0</v>
      </c>
      <c r="BJ54" s="275">
        <f t="shared" si="17"/>
        <v>0</v>
      </c>
      <c r="BK54" s="275"/>
      <c r="BL54" s="275">
        <f>'[1]poly  com. adj for fmis'!S54</f>
        <v>75000000</v>
      </c>
      <c r="BM54" s="275">
        <f>'[1]POLY DISB 2019'!S58</f>
        <v>75000000</v>
      </c>
      <c r="BN54" s="269">
        <f t="shared" si="18"/>
        <v>0</v>
      </c>
      <c r="BO54" s="275"/>
      <c r="BP54" s="276">
        <f>'[1]POLY commited funds to date'!U54</f>
        <v>169900000</v>
      </c>
      <c r="BQ54" s="275">
        <f>'[1]POLY DISB 2019'!T58</f>
        <v>144415000</v>
      </c>
      <c r="BR54" s="275">
        <f t="shared" si="19"/>
        <v>25485000</v>
      </c>
      <c r="BS54" s="275"/>
      <c r="BT54" s="275">
        <f>'[1]POLY commited funds to date'!V54</f>
        <v>10000000</v>
      </c>
      <c r="BU54" s="275">
        <f>'[1]POLY DISB 2019'!U58</f>
        <v>8500000</v>
      </c>
      <c r="BV54" s="275">
        <f t="shared" si="20"/>
        <v>1500000</v>
      </c>
      <c r="BW54" s="275"/>
      <c r="BX54" s="275">
        <f>'[1]POLY commited funds to date'!W54</f>
        <v>0</v>
      </c>
      <c r="BY54" s="275">
        <f>'[1]POLY DISB 2019'!V58</f>
        <v>0</v>
      </c>
      <c r="BZ54" s="275">
        <f t="shared" si="21"/>
        <v>0</v>
      </c>
      <c r="CA54" s="275"/>
      <c r="CB54" s="275">
        <f>'[1]POLY commited funds to date'!X54</f>
        <v>0</v>
      </c>
      <c r="CC54" s="275">
        <f>'[1]POLY DISB 2019'!W58</f>
        <v>0</v>
      </c>
      <c r="CD54" s="275">
        <f t="shared" si="22"/>
        <v>0</v>
      </c>
      <c r="CE54" s="275"/>
      <c r="CF54" s="275">
        <f>'[1]POLY commited funds to date'!Y54</f>
        <v>0</v>
      </c>
      <c r="CG54" s="275">
        <f>'[1]POLY DISB 2019'!X58</f>
        <v>0</v>
      </c>
      <c r="CH54" s="275">
        <f t="shared" si="23"/>
        <v>0</v>
      </c>
      <c r="CI54" s="275"/>
      <c r="CJ54" s="275">
        <f>'[1]POLY commited funds to date'!Z54</f>
        <v>0</v>
      </c>
      <c r="CK54" s="275">
        <f>'[1]POLY DISB 2019'!Y58</f>
        <v>0</v>
      </c>
      <c r="CL54" s="275">
        <f t="shared" si="24"/>
        <v>0</v>
      </c>
      <c r="CM54" s="275"/>
      <c r="CN54" s="275">
        <f>'[1]POLY commited funds to date'!AA54</f>
        <v>0</v>
      </c>
      <c r="CO54" s="275">
        <f>'[1]POLY DISB 2019'!Z58</f>
        <v>0</v>
      </c>
      <c r="CP54" s="275">
        <f t="shared" si="25"/>
        <v>0</v>
      </c>
      <c r="CQ54" s="275"/>
      <c r="CR54" s="275">
        <v>0</v>
      </c>
      <c r="CS54" s="275">
        <f>'[1]POLY DISB 2019'!AA58</f>
        <v>0</v>
      </c>
      <c r="CT54" s="275">
        <f t="shared" si="26"/>
        <v>0</v>
      </c>
      <c r="CU54" s="275"/>
      <c r="CV54" s="275">
        <f>'[1]POLY commited funds to date'!AC54</f>
        <v>371000000</v>
      </c>
      <c r="CW54" s="275">
        <f>'[1]POLY DISB 2019'!AB58</f>
        <v>315350000</v>
      </c>
      <c r="CX54" s="275">
        <f t="shared" si="27"/>
        <v>55650000</v>
      </c>
      <c r="CY54" s="275"/>
      <c r="CZ54" s="275">
        <f>'[1]POLY commited funds to date'!AD54</f>
        <v>20000000</v>
      </c>
      <c r="DA54" s="275">
        <f>'[1]POLY DISB 2019'!AC58</f>
        <v>17000000</v>
      </c>
      <c r="DB54" s="275">
        <f t="shared" si="28"/>
        <v>3000000</v>
      </c>
      <c r="DC54" s="275"/>
      <c r="DD54" s="275">
        <f>'[1]POLY commited funds to date'!AE54</f>
        <v>150000000</v>
      </c>
      <c r="DE54" s="275">
        <f>'[1]POLY DISB 2019'!AD58</f>
        <v>150000000</v>
      </c>
      <c r="DF54" s="275">
        <f t="shared" si="29"/>
        <v>0</v>
      </c>
      <c r="DG54" s="275"/>
      <c r="DH54" s="275">
        <f>'[1]poly  com. adj for fmis'!AE54</f>
        <v>0</v>
      </c>
      <c r="DI54" s="275">
        <f>'[1]POLY DISB 2019'!AE58</f>
        <v>0</v>
      </c>
      <c r="DJ54" s="275">
        <f t="shared" si="30"/>
        <v>0</v>
      </c>
      <c r="DK54" s="275"/>
      <c r="DL54" s="275">
        <f>'[1]poly  com. adj for fmis'!AF54</f>
        <v>0</v>
      </c>
      <c r="DM54" s="275">
        <f>'[1]POLY DISB 2019'!AF58</f>
        <v>0</v>
      </c>
      <c r="DN54" s="275">
        <f t="shared" si="31"/>
        <v>0</v>
      </c>
      <c r="DO54" s="275"/>
      <c r="DP54" s="275">
        <f>'[1]poly  com. adj for fmis'!AG54</f>
        <v>0</v>
      </c>
      <c r="DQ54" s="275">
        <f>'[1]POLY DISB 2019'!AG58</f>
        <v>0</v>
      </c>
      <c r="DR54" s="275">
        <f t="shared" si="32"/>
        <v>0</v>
      </c>
      <c r="DS54" s="275"/>
      <c r="DT54" s="275">
        <f>'[1]poly  com. adj for fmis'!AH54</f>
        <v>0</v>
      </c>
      <c r="DU54" s="275">
        <f>'[1]POLY DISB 2019'!AH58</f>
        <v>0</v>
      </c>
      <c r="DV54" s="275">
        <f t="shared" si="33"/>
        <v>0</v>
      </c>
      <c r="DW54" s="275"/>
      <c r="DX54" s="275">
        <f>'[1]poly  com. adj for fmis'!AI54</f>
        <v>0</v>
      </c>
      <c r="DY54" s="275">
        <f>'[1]POLY DISB 2019'!AI58</f>
        <v>0</v>
      </c>
      <c r="DZ54" s="275">
        <f t="shared" si="34"/>
        <v>0</v>
      </c>
      <c r="EA54" s="275"/>
      <c r="EB54" s="275">
        <f>'[1]POLY commited funds to date'!AK54</f>
        <v>0</v>
      </c>
      <c r="EC54" s="275">
        <f>'[1]POLY DISB 2019'!AJ58</f>
        <v>0</v>
      </c>
      <c r="ED54" s="275">
        <f t="shared" si="35"/>
        <v>0</v>
      </c>
      <c r="EE54" s="275"/>
      <c r="EF54" s="275">
        <f>'[1]POLY commited funds to date'!AL54</f>
        <v>0</v>
      </c>
      <c r="EG54" s="275">
        <f>'[1]POLY DISB 2019'!AK58</f>
        <v>0</v>
      </c>
      <c r="EH54" s="275">
        <f t="shared" si="36"/>
        <v>0</v>
      </c>
      <c r="EI54" s="275"/>
      <c r="EJ54" s="275">
        <f>'[1]POLY commited funds to date'!AM54</f>
        <v>0</v>
      </c>
      <c r="EK54" s="275">
        <f>'[1]POLY DISB 2019'!AL58</f>
        <v>0</v>
      </c>
      <c r="EL54" s="275">
        <f t="shared" si="37"/>
        <v>0</v>
      </c>
      <c r="EM54" s="275"/>
      <c r="EN54" s="275">
        <f>'[1]POLY commited funds to date'!AN54</f>
        <v>0</v>
      </c>
      <c r="EO54" s="275">
        <f>'[1]POLY DISB 2019'!AM58</f>
        <v>0</v>
      </c>
      <c r="EP54" s="275">
        <f t="shared" si="38"/>
        <v>0</v>
      </c>
      <c r="EQ54" s="275">
        <f>'[1]POLY commited funds to date'!AO54</f>
        <v>0</v>
      </c>
      <c r="ER54" s="275">
        <f>'[1]POLY DISB 2019'!AN58</f>
        <v>0</v>
      </c>
      <c r="ES54" s="275">
        <f t="shared" si="39"/>
        <v>0</v>
      </c>
      <c r="ET54" s="275"/>
      <c r="EU54" s="275">
        <f>'[1]POLY commited funds to date'!AP54</f>
        <v>205000000</v>
      </c>
      <c r="EV54" s="275">
        <f>'[1]POLY DISB 2019'!AO58</f>
        <v>0</v>
      </c>
      <c r="EW54" s="275">
        <f t="shared" si="40"/>
        <v>205000000</v>
      </c>
      <c r="EX54" s="275"/>
      <c r="EY54" s="275">
        <f>'[1]POLY commited funds to date'!AQ54</f>
        <v>75000000</v>
      </c>
      <c r="EZ54" s="275">
        <f>'[1]POLY DISB 2019'!AP58</f>
        <v>63750000</v>
      </c>
      <c r="FA54" s="275">
        <f t="shared" si="41"/>
        <v>11250000</v>
      </c>
      <c r="FB54" s="275"/>
      <c r="FC54" s="275">
        <f>'[1]POLY commited funds to date'!AR54</f>
        <v>7000000</v>
      </c>
      <c r="FD54" s="275">
        <f>'[1]POLY DISB 2019'!AQ58</f>
        <v>0</v>
      </c>
      <c r="FE54" s="275">
        <f t="shared" si="42"/>
        <v>7000000</v>
      </c>
      <c r="FF54" s="275"/>
      <c r="FG54" s="275">
        <f>'[1]POLY commited funds to date'!AS54</f>
        <v>6300000</v>
      </c>
      <c r="FH54" s="275">
        <f>'[1]POLY DISB 2019'!AR58</f>
        <v>0</v>
      </c>
      <c r="FI54" s="275">
        <f t="shared" si="43"/>
        <v>6300000</v>
      </c>
      <c r="FJ54" s="275"/>
      <c r="FK54" s="275">
        <f>'[1]POLY commited funds to date'!AT54</f>
        <v>7500000</v>
      </c>
      <c r="FL54" s="275">
        <f>'[1]POLY DISB 2019'!AS58</f>
        <v>0</v>
      </c>
      <c r="FM54" s="275">
        <f t="shared" si="44"/>
        <v>7500000</v>
      </c>
      <c r="FN54" s="275"/>
      <c r="FO54" s="275">
        <f>'[1]POLY commited funds to date'!AU54</f>
        <v>0</v>
      </c>
      <c r="FP54" s="275">
        <f>'[1]POLY DISB 2019'!AT58</f>
        <v>0</v>
      </c>
      <c r="FQ54" s="275">
        <f t="shared" si="45"/>
        <v>0</v>
      </c>
      <c r="FR54" s="275">
        <f>'[1]POLY commited funds to date'!AV54</f>
        <v>119074602</v>
      </c>
      <c r="FS54" s="275">
        <f>'[1]POLY DISB 2019'!AU58</f>
        <v>0</v>
      </c>
      <c r="FT54" s="275">
        <f t="shared" si="46"/>
        <v>119074602</v>
      </c>
      <c r="FU54" s="275"/>
      <c r="FV54" s="275">
        <f>'[1]POLY commited funds to date'!AW54</f>
        <v>0</v>
      </c>
      <c r="FW54" s="275">
        <f>'[1]POLY DISB 2019'!AV58</f>
        <v>0</v>
      </c>
      <c r="FX54" s="275">
        <f t="shared" si="47"/>
        <v>0</v>
      </c>
      <c r="FY54" s="275"/>
      <c r="FZ54" s="275">
        <f>'[1]POLY commited funds to date'!AX54</f>
        <v>0</v>
      </c>
      <c r="GA54" s="275">
        <f>'[1]POLY DISB 2019'!AW58</f>
        <v>0</v>
      </c>
      <c r="GB54" s="275">
        <f t="shared" si="48"/>
        <v>0</v>
      </c>
      <c r="GC54" s="275">
        <f>'[1]POLY commited funds to date'!AY54</f>
        <v>0</v>
      </c>
      <c r="GD54" s="275">
        <f>'[1]POLY DISB 2019'!AX58</f>
        <v>0</v>
      </c>
      <c r="GE54" s="275">
        <f t="shared" si="49"/>
        <v>0</v>
      </c>
      <c r="GF54" s="275"/>
      <c r="GG54" s="275">
        <f>'[1]POLY commited funds to date'!AZ54</f>
        <v>0</v>
      </c>
      <c r="GH54" s="275">
        <f>'[1]POLY DISB 2019'!AY58</f>
        <v>0</v>
      </c>
      <c r="GI54" s="275">
        <f t="shared" si="50"/>
        <v>0</v>
      </c>
      <c r="GJ54" s="275"/>
      <c r="GK54" s="275">
        <f t="shared" si="51"/>
        <v>1373614602</v>
      </c>
      <c r="GL54" s="275">
        <f t="shared" si="51"/>
        <v>931855000</v>
      </c>
      <c r="GM54" s="275">
        <f t="shared" si="52"/>
        <v>441759602</v>
      </c>
      <c r="GN54" s="265"/>
      <c r="GO54" s="277">
        <f t="shared" si="53"/>
        <v>895240000</v>
      </c>
      <c r="GP54" s="277">
        <f t="shared" si="53"/>
        <v>609105000</v>
      </c>
      <c r="GQ54" s="277">
        <f t="shared" si="54"/>
        <v>286135000</v>
      </c>
      <c r="GR54" s="277">
        <f t="shared" si="69"/>
        <v>8500000</v>
      </c>
      <c r="GS54" s="277">
        <f t="shared" si="69"/>
        <v>8500000</v>
      </c>
      <c r="GT54" s="277">
        <f t="shared" si="55"/>
        <v>0</v>
      </c>
      <c r="GU54" s="277"/>
      <c r="GV54" s="265"/>
      <c r="GW54" s="279">
        <f t="shared" si="68"/>
        <v>225000000</v>
      </c>
      <c r="GX54" s="279">
        <f t="shared" si="68"/>
        <v>225000000</v>
      </c>
      <c r="GY54" s="280">
        <f t="shared" si="57"/>
        <v>0</v>
      </c>
      <c r="GZ54" s="280"/>
      <c r="HA54" s="277">
        <f t="shared" si="58"/>
        <v>36300000</v>
      </c>
      <c r="HB54" s="277">
        <f t="shared" si="58"/>
        <v>25500000</v>
      </c>
      <c r="HC54" s="277">
        <f t="shared" si="59"/>
        <v>10800000</v>
      </c>
      <c r="HE54" s="277">
        <f t="shared" si="60"/>
        <v>7000000</v>
      </c>
      <c r="HF54" s="277">
        <f t="shared" si="60"/>
        <v>0</v>
      </c>
      <c r="HG54" s="277">
        <f t="shared" si="61"/>
        <v>7000000</v>
      </c>
      <c r="HI54" s="279">
        <f t="shared" si="62"/>
        <v>194074602</v>
      </c>
      <c r="HJ54" s="279">
        <f t="shared" si="62"/>
        <v>63750000</v>
      </c>
      <c r="HK54" s="279">
        <f t="shared" si="63"/>
        <v>130324602</v>
      </c>
      <c r="HM54" s="279">
        <f t="shared" si="64"/>
        <v>0</v>
      </c>
      <c r="HN54" s="279">
        <f t="shared" si="1"/>
        <v>0</v>
      </c>
      <c r="HO54" s="279">
        <f t="shared" si="65"/>
        <v>0</v>
      </c>
      <c r="HQ54" s="279">
        <f t="shared" si="66"/>
        <v>7500000</v>
      </c>
      <c r="HR54" s="279">
        <f t="shared" si="2"/>
        <v>0</v>
      </c>
      <c r="HS54" s="279">
        <f t="shared" si="67"/>
        <v>7500000</v>
      </c>
    </row>
    <row r="55" spans="1:227" x14ac:dyDescent="0.25">
      <c r="A55" s="235">
        <v>47</v>
      </c>
      <c r="B55" s="273" t="s">
        <v>246</v>
      </c>
      <c r="C55" s="274"/>
      <c r="D55" s="275">
        <v>0</v>
      </c>
      <c r="E55" s="275">
        <f>'[1]POLY DISB 2019'!C59</f>
        <v>0</v>
      </c>
      <c r="F55" s="275">
        <f t="shared" si="3"/>
        <v>0</v>
      </c>
      <c r="G55" s="275"/>
      <c r="H55" s="275">
        <v>0</v>
      </c>
      <c r="I55" s="275">
        <f>'[1]POLY DISB 2019'!D59</f>
        <v>0</v>
      </c>
      <c r="J55" s="275">
        <f t="shared" si="4"/>
        <v>0</v>
      </c>
      <c r="K55" s="275"/>
      <c r="L55" s="275">
        <v>0</v>
      </c>
      <c r="M55" s="275">
        <f>'[1]POLY DISB 2019'!E59</f>
        <v>0</v>
      </c>
      <c r="N55" s="275">
        <f t="shared" si="5"/>
        <v>0</v>
      </c>
      <c r="O55" s="275"/>
      <c r="P55" s="275">
        <v>0</v>
      </c>
      <c r="Q55" s="275">
        <f>'[1]POLY DISB 2019'!F59</f>
        <v>0</v>
      </c>
      <c r="R55" s="275">
        <f t="shared" si="6"/>
        <v>0</v>
      </c>
      <c r="S55" s="275"/>
      <c r="T55" s="275">
        <v>0</v>
      </c>
      <c r="U55" s="275">
        <f>'[1]POLY DISB 2019'!G59</f>
        <v>0</v>
      </c>
      <c r="V55" s="275">
        <f t="shared" si="7"/>
        <v>0</v>
      </c>
      <c r="W55" s="275"/>
      <c r="X55" s="275">
        <v>0</v>
      </c>
      <c r="Y55" s="275">
        <f>'[1]POLY DISB 2019'!H59</f>
        <v>0</v>
      </c>
      <c r="Z55" s="275">
        <f t="shared" si="8"/>
        <v>0</v>
      </c>
      <c r="AA55" s="275"/>
      <c r="AB55" s="275">
        <v>0</v>
      </c>
      <c r="AC55" s="275">
        <f>'[1]POLY DISB 2019'!I59</f>
        <v>0</v>
      </c>
      <c r="AD55" s="275">
        <f t="shared" si="9"/>
        <v>0</v>
      </c>
      <c r="AE55" s="275"/>
      <c r="AF55" s="275">
        <f>'[1]POLY commited funds to date'!K55</f>
        <v>20000000</v>
      </c>
      <c r="AG55" s="275">
        <f>'[1]POLY DISB 2019'!J59</f>
        <v>20000000</v>
      </c>
      <c r="AH55" s="275">
        <f t="shared" si="10"/>
        <v>0</v>
      </c>
      <c r="AI55" s="275"/>
      <c r="AJ55" s="275">
        <v>8500000</v>
      </c>
      <c r="AK55" s="275">
        <f>'[1]POLY DISB 2019'!K59</f>
        <v>8500000</v>
      </c>
      <c r="AL55" s="275">
        <f t="shared" si="11"/>
        <v>0</v>
      </c>
      <c r="AM55" s="275"/>
      <c r="AN55" s="275">
        <v>20000000</v>
      </c>
      <c r="AO55" s="275">
        <f>'[1]POLY DISB 2019'!L59</f>
        <v>20000000</v>
      </c>
      <c r="AP55" s="275">
        <f t="shared" si="12"/>
        <v>0</v>
      </c>
      <c r="AQ55" s="275"/>
      <c r="AR55" s="275">
        <v>26000000</v>
      </c>
      <c r="AS55" s="275">
        <f>'[1]POLY DISB 2019'!M59</f>
        <v>26000000</v>
      </c>
      <c r="AT55" s="275">
        <f t="shared" si="13"/>
        <v>0</v>
      </c>
      <c r="AU55" s="275"/>
      <c r="AV55" s="275">
        <v>45000000</v>
      </c>
      <c r="AW55" s="275">
        <f>'[1]POLY DISB 2019'!N59</f>
        <v>45000000</v>
      </c>
      <c r="AX55" s="275">
        <f t="shared" si="14"/>
        <v>0</v>
      </c>
      <c r="AY55" s="275"/>
      <c r="AZ55" s="275">
        <v>38340000</v>
      </c>
      <c r="BA55" s="275">
        <f>'[1]POLY DISB 2019'!P59</f>
        <v>38340000</v>
      </c>
      <c r="BB55" s="275">
        <f t="shared" si="15"/>
        <v>0</v>
      </c>
      <c r="BC55" s="275"/>
      <c r="BD55" s="275">
        <v>0</v>
      </c>
      <c r="BE55" s="275">
        <f>'[1]POLY DISB 2019'!Q59</f>
        <v>0</v>
      </c>
      <c r="BF55" s="275">
        <f t="shared" si="16"/>
        <v>0</v>
      </c>
      <c r="BG55" s="275"/>
      <c r="BH55" s="275">
        <f>'[1]POLY commited funds to date'!S55</f>
        <v>0</v>
      </c>
      <c r="BI55" s="275">
        <f>'[1]POLY DISB 2019'!R59</f>
        <v>0</v>
      </c>
      <c r="BJ55" s="275">
        <f t="shared" si="17"/>
        <v>0</v>
      </c>
      <c r="BK55" s="275"/>
      <c r="BL55" s="275">
        <f>'[1]poly  com. adj for fmis'!S55</f>
        <v>0</v>
      </c>
      <c r="BM55" s="275">
        <f>'[1]POLY DISB 2019'!S59</f>
        <v>0</v>
      </c>
      <c r="BN55" s="269">
        <f t="shared" si="18"/>
        <v>0</v>
      </c>
      <c r="BO55" s="275"/>
      <c r="BP55" s="276">
        <f>'[1]POLY commited funds to date'!U55</f>
        <v>0</v>
      </c>
      <c r="BQ55" s="275">
        <f>'[1]POLY DISB 2019'!T59</f>
        <v>0</v>
      </c>
      <c r="BR55" s="275">
        <f t="shared" si="19"/>
        <v>0</v>
      </c>
      <c r="BS55" s="275"/>
      <c r="BT55" s="275">
        <f>'[1]POLY commited funds to date'!V55</f>
        <v>0</v>
      </c>
      <c r="BU55" s="275">
        <f>'[1]POLY DISB 2019'!U59</f>
        <v>0</v>
      </c>
      <c r="BV55" s="275">
        <f t="shared" si="20"/>
        <v>0</v>
      </c>
      <c r="BW55" s="275"/>
      <c r="BX55" s="275">
        <f>'[1]POLY commited funds to date'!W55</f>
        <v>0</v>
      </c>
      <c r="BY55" s="275">
        <f>'[1]POLY DISB 2019'!V59</f>
        <v>0</v>
      </c>
      <c r="BZ55" s="275">
        <f t="shared" si="21"/>
        <v>0</v>
      </c>
      <c r="CA55" s="275"/>
      <c r="CB55" s="275">
        <f>'[1]POLY commited funds to date'!X55</f>
        <v>210000000</v>
      </c>
      <c r="CC55" s="275">
        <f>'[1]POLY DISB 2019'!W59</f>
        <v>210000000</v>
      </c>
      <c r="CD55" s="275">
        <f t="shared" si="22"/>
        <v>0</v>
      </c>
      <c r="CE55" s="275"/>
      <c r="CF55" s="275">
        <f>'[1]POLY commited funds to date'!Y55</f>
        <v>0</v>
      </c>
      <c r="CG55" s="275">
        <f>'[1]POLY DISB 2019'!X59</f>
        <v>0</v>
      </c>
      <c r="CH55" s="275">
        <f t="shared" si="23"/>
        <v>0</v>
      </c>
      <c r="CI55" s="275"/>
      <c r="CJ55" s="275">
        <f>'[1]POLY commited funds to date'!Z55</f>
        <v>650000000</v>
      </c>
      <c r="CK55" s="275">
        <f>'[1]POLY DISB 2019'!Y59</f>
        <v>650000000</v>
      </c>
      <c r="CL55" s="275">
        <f t="shared" si="24"/>
        <v>0</v>
      </c>
      <c r="CM55" s="275"/>
      <c r="CN55" s="275">
        <f>'[1]POLY commited funds to date'!AA55</f>
        <v>0</v>
      </c>
      <c r="CO55" s="275">
        <f>'[1]POLY DISB 2019'!Z59</f>
        <v>0</v>
      </c>
      <c r="CP55" s="275">
        <f t="shared" si="25"/>
        <v>0</v>
      </c>
      <c r="CQ55" s="275"/>
      <c r="CR55" s="275">
        <v>0</v>
      </c>
      <c r="CS55" s="275">
        <f>'[1]POLY DISB 2019'!AA59</f>
        <v>0</v>
      </c>
      <c r="CT55" s="275">
        <f t="shared" si="26"/>
        <v>0</v>
      </c>
      <c r="CU55" s="275"/>
      <c r="CV55" s="275">
        <f>'[1]POLY commited funds to date'!AC55</f>
        <v>0</v>
      </c>
      <c r="CW55" s="275">
        <f>'[1]POLY DISB 2019'!AB59</f>
        <v>0</v>
      </c>
      <c r="CX55" s="275">
        <f t="shared" si="27"/>
        <v>0</v>
      </c>
      <c r="CY55" s="275"/>
      <c r="CZ55" s="275">
        <f>'[1]POLY commited funds to date'!AD55</f>
        <v>0</v>
      </c>
      <c r="DA55" s="275">
        <f>'[1]POLY DISB 2019'!AC59</f>
        <v>0</v>
      </c>
      <c r="DB55" s="275">
        <f t="shared" si="28"/>
        <v>0</v>
      </c>
      <c r="DC55" s="275"/>
      <c r="DD55" s="275">
        <f>'[1]POLY commited funds to date'!AE55</f>
        <v>550000000</v>
      </c>
      <c r="DE55" s="275">
        <f>'[1]POLY DISB 2019'!AD59</f>
        <v>550000000</v>
      </c>
      <c r="DF55" s="275">
        <f t="shared" si="29"/>
        <v>0</v>
      </c>
      <c r="DG55" s="275"/>
      <c r="DH55" s="275">
        <f>'[1]poly  com. adj for fmis'!AE55</f>
        <v>80000000</v>
      </c>
      <c r="DI55" s="275">
        <f>'[1]POLY DISB 2019'!AE59</f>
        <v>44000000</v>
      </c>
      <c r="DJ55" s="275">
        <f t="shared" si="30"/>
        <v>36000000</v>
      </c>
      <c r="DK55" s="275"/>
      <c r="DL55" s="275">
        <f>'[1]poly  com. adj for fmis'!AF55</f>
        <v>8000000</v>
      </c>
      <c r="DM55" s="275">
        <f>'[1]POLY DISB 2019'!AF59</f>
        <v>0</v>
      </c>
      <c r="DN55" s="275">
        <f t="shared" si="31"/>
        <v>8000000</v>
      </c>
      <c r="DO55" s="275"/>
      <c r="DP55" s="275">
        <f>'[1]poly  com. adj for fmis'!AG55</f>
        <v>2000000</v>
      </c>
      <c r="DQ55" s="275">
        <f>'[1]POLY DISB 2019'!AG59</f>
        <v>0</v>
      </c>
      <c r="DR55" s="275">
        <f t="shared" si="32"/>
        <v>2000000</v>
      </c>
      <c r="DS55" s="275"/>
      <c r="DT55" s="275">
        <f>'[1]poly  com. adj for fmis'!AH55</f>
        <v>10000000</v>
      </c>
      <c r="DU55" s="275">
        <f>'[1]POLY DISB 2019'!AH59</f>
        <v>0</v>
      </c>
      <c r="DV55" s="275">
        <f t="shared" si="33"/>
        <v>10000000</v>
      </c>
      <c r="DW55" s="275"/>
      <c r="DX55" s="275">
        <f>'[1]poly  com. adj for fmis'!AI55</f>
        <v>3000000000</v>
      </c>
      <c r="DY55" s="275">
        <f>'[1]POLY DISB 2019'!AI59</f>
        <v>2800000000</v>
      </c>
      <c r="DZ55" s="275">
        <f t="shared" si="34"/>
        <v>200000000</v>
      </c>
      <c r="EA55" s="275"/>
      <c r="EB55" s="275">
        <f>'[1]POLY commited funds to date'!AK55</f>
        <v>0</v>
      </c>
      <c r="EC55" s="275">
        <f>'[1]POLY DISB 2019'!AJ59</f>
        <v>0</v>
      </c>
      <c r="ED55" s="275">
        <f t="shared" si="35"/>
        <v>0</v>
      </c>
      <c r="EE55" s="275"/>
      <c r="EF55" s="275">
        <f>'[1]POLY commited funds to date'!AL55</f>
        <v>0</v>
      </c>
      <c r="EG55" s="275">
        <f>'[1]POLY DISB 2019'!AK59</f>
        <v>0</v>
      </c>
      <c r="EH55" s="275">
        <f t="shared" si="36"/>
        <v>0</v>
      </c>
      <c r="EI55" s="275"/>
      <c r="EJ55" s="275">
        <f>'[1]POLY commited funds to date'!AM55</f>
        <v>0</v>
      </c>
      <c r="EK55" s="275">
        <f>'[1]POLY DISB 2019'!AL59</f>
        <v>0</v>
      </c>
      <c r="EL55" s="275">
        <f t="shared" si="37"/>
        <v>0</v>
      </c>
      <c r="EM55" s="275"/>
      <c r="EN55" s="275">
        <f>'[1]POLY commited funds to date'!AN55</f>
        <v>0</v>
      </c>
      <c r="EO55" s="275">
        <f>'[1]POLY DISB 2019'!AM59</f>
        <v>0</v>
      </c>
      <c r="EP55" s="275">
        <f t="shared" si="38"/>
        <v>0</v>
      </c>
      <c r="EQ55" s="275">
        <f>'[1]POLY commited funds to date'!AO55</f>
        <v>0</v>
      </c>
      <c r="ER55" s="275">
        <f>'[1]POLY DISB 2019'!AN59</f>
        <v>0</v>
      </c>
      <c r="ES55" s="275">
        <f t="shared" si="39"/>
        <v>0</v>
      </c>
      <c r="ET55" s="275"/>
      <c r="EU55" s="275">
        <f>'[1]POLY commited funds to date'!AP55</f>
        <v>0</v>
      </c>
      <c r="EV55" s="275">
        <f>'[1]POLY DISB 2019'!AO59</f>
        <v>0</v>
      </c>
      <c r="EW55" s="275">
        <f t="shared" si="40"/>
        <v>0</v>
      </c>
      <c r="EX55" s="275"/>
      <c r="EY55" s="275">
        <f>'[1]POLY commited funds to date'!AQ55</f>
        <v>75000000</v>
      </c>
      <c r="EZ55" s="275">
        <f>'[1]POLY DISB 2019'!AP59</f>
        <v>75000000</v>
      </c>
      <c r="FA55" s="275">
        <f t="shared" si="41"/>
        <v>0</v>
      </c>
      <c r="FB55" s="275"/>
      <c r="FC55" s="275">
        <f>'[1]POLY commited funds to date'!AR55</f>
        <v>0</v>
      </c>
      <c r="FD55" s="275">
        <f>'[1]POLY DISB 2019'!AQ59</f>
        <v>0</v>
      </c>
      <c r="FE55" s="275">
        <f t="shared" si="42"/>
        <v>0</v>
      </c>
      <c r="FF55" s="275"/>
      <c r="FG55" s="275">
        <f>'[1]POLY commited funds to date'!AS55</f>
        <v>0</v>
      </c>
      <c r="FH55" s="275">
        <f>'[1]POLY DISB 2019'!AR59</f>
        <v>0</v>
      </c>
      <c r="FI55" s="275">
        <f t="shared" si="43"/>
        <v>0</v>
      </c>
      <c r="FJ55" s="275"/>
      <c r="FK55" s="275">
        <f>'[1]POLY commited funds to date'!AT55</f>
        <v>0</v>
      </c>
      <c r="FL55" s="275">
        <f>'[1]POLY DISB 2019'!AS59</f>
        <v>0</v>
      </c>
      <c r="FM55" s="275">
        <f t="shared" si="44"/>
        <v>0</v>
      </c>
      <c r="FN55" s="275"/>
      <c r="FO55" s="275">
        <f>'[1]POLY commited funds to date'!AU55</f>
        <v>245000000</v>
      </c>
      <c r="FP55" s="275">
        <f>'[1]POLY DISB 2019'!AT59</f>
        <v>0</v>
      </c>
      <c r="FQ55" s="275">
        <f t="shared" si="45"/>
        <v>245000000</v>
      </c>
      <c r="FR55" s="275">
        <f>'[1]POLY commited funds to date'!AV55</f>
        <v>119074602</v>
      </c>
      <c r="FS55" s="275">
        <f>'[1]POLY DISB 2019'!AU59</f>
        <v>0</v>
      </c>
      <c r="FT55" s="275">
        <f t="shared" si="46"/>
        <v>119074602</v>
      </c>
      <c r="FU55" s="275"/>
      <c r="FV55" s="275">
        <f>'[1]POLY commited funds to date'!AW55</f>
        <v>13000000</v>
      </c>
      <c r="FW55" s="275">
        <f>'[1]POLY DISB 2019'!AV59</f>
        <v>0</v>
      </c>
      <c r="FX55" s="275">
        <f t="shared" si="47"/>
        <v>13000000</v>
      </c>
      <c r="FY55" s="275"/>
      <c r="FZ55" s="275">
        <f>'[1]POLY commited funds to date'!AX55</f>
        <v>8628900</v>
      </c>
      <c r="GA55" s="275">
        <f>'[1]POLY DISB 2019'!AW59</f>
        <v>0</v>
      </c>
      <c r="GB55" s="275">
        <f t="shared" si="48"/>
        <v>8628900</v>
      </c>
      <c r="GC55" s="275">
        <f>'[1]POLY commited funds to date'!AY55</f>
        <v>5000000</v>
      </c>
      <c r="GD55" s="275">
        <f>'[1]POLY DISB 2019'!AX59</f>
        <v>0</v>
      </c>
      <c r="GE55" s="275">
        <f t="shared" si="49"/>
        <v>5000000</v>
      </c>
      <c r="GF55" s="275"/>
      <c r="GG55" s="275">
        <f>'[1]POLY commited funds to date'!AZ55</f>
        <v>0</v>
      </c>
      <c r="GH55" s="275">
        <f>'[1]POLY DISB 2019'!AY59</f>
        <v>0</v>
      </c>
      <c r="GI55" s="275">
        <f t="shared" si="50"/>
        <v>0</v>
      </c>
      <c r="GJ55" s="275"/>
      <c r="GK55" s="275">
        <f t="shared" si="51"/>
        <v>5133543502</v>
      </c>
      <c r="GL55" s="275">
        <f t="shared" si="51"/>
        <v>4486840000</v>
      </c>
      <c r="GM55" s="275">
        <f t="shared" si="52"/>
        <v>646703502</v>
      </c>
      <c r="GN55" s="265"/>
      <c r="GO55" s="277">
        <f t="shared" si="53"/>
        <v>684340000</v>
      </c>
      <c r="GP55" s="277">
        <f t="shared" si="53"/>
        <v>403340000</v>
      </c>
      <c r="GQ55" s="277">
        <f t="shared" si="54"/>
        <v>281000000</v>
      </c>
      <c r="GR55" s="277">
        <f t="shared" si="69"/>
        <v>8500000</v>
      </c>
      <c r="GS55" s="277">
        <f t="shared" si="69"/>
        <v>8500000</v>
      </c>
      <c r="GT55" s="277">
        <f t="shared" si="55"/>
        <v>0</v>
      </c>
      <c r="GU55" s="277"/>
      <c r="GV55" s="265"/>
      <c r="GW55" s="279">
        <f t="shared" si="68"/>
        <v>4200000000</v>
      </c>
      <c r="GX55" s="279">
        <f t="shared" si="68"/>
        <v>4000000000</v>
      </c>
      <c r="GY55" s="280">
        <f t="shared" si="57"/>
        <v>200000000</v>
      </c>
      <c r="GZ55" s="280"/>
      <c r="HA55" s="277">
        <f t="shared" si="58"/>
        <v>18628900</v>
      </c>
      <c r="HB55" s="277">
        <f t="shared" si="58"/>
        <v>0</v>
      </c>
      <c r="HC55" s="277">
        <f t="shared" si="59"/>
        <v>18628900</v>
      </c>
      <c r="HE55" s="277">
        <f t="shared" si="60"/>
        <v>21000000</v>
      </c>
      <c r="HF55" s="277">
        <f t="shared" si="60"/>
        <v>0</v>
      </c>
      <c r="HG55" s="277">
        <f t="shared" si="61"/>
        <v>21000000</v>
      </c>
      <c r="HI55" s="279">
        <f t="shared" si="62"/>
        <v>194074602</v>
      </c>
      <c r="HJ55" s="279">
        <f t="shared" si="62"/>
        <v>75000000</v>
      </c>
      <c r="HK55" s="279">
        <f t="shared" si="63"/>
        <v>119074602</v>
      </c>
      <c r="HM55" s="279">
        <f t="shared" si="64"/>
        <v>2000000</v>
      </c>
      <c r="HN55" s="279">
        <f t="shared" si="1"/>
        <v>0</v>
      </c>
      <c r="HO55" s="279">
        <f t="shared" si="65"/>
        <v>2000000</v>
      </c>
      <c r="HQ55" s="279">
        <f t="shared" si="66"/>
        <v>5000000</v>
      </c>
      <c r="HR55" s="279">
        <f t="shared" si="2"/>
        <v>0</v>
      </c>
      <c r="HS55" s="279">
        <f t="shared" si="67"/>
        <v>5000000</v>
      </c>
    </row>
    <row r="56" spans="1:227" x14ac:dyDescent="0.25">
      <c r="A56" s="235">
        <v>48</v>
      </c>
      <c r="B56" s="273" t="s">
        <v>247</v>
      </c>
      <c r="C56" s="274" t="s">
        <v>74</v>
      </c>
      <c r="D56" s="275">
        <v>0</v>
      </c>
      <c r="E56" s="275">
        <f>'[1]POLY DISB 2019'!C60</f>
        <v>0</v>
      </c>
      <c r="F56" s="275">
        <f t="shared" si="3"/>
        <v>0</v>
      </c>
      <c r="G56" s="275"/>
      <c r="H56" s="275">
        <v>0</v>
      </c>
      <c r="I56" s="275">
        <f>'[1]POLY DISB 2019'!D60</f>
        <v>0</v>
      </c>
      <c r="J56" s="275">
        <f t="shared" si="4"/>
        <v>0</v>
      </c>
      <c r="K56" s="275"/>
      <c r="L56" s="275">
        <v>0</v>
      </c>
      <c r="M56" s="275">
        <f>'[1]POLY DISB 2019'!E60</f>
        <v>0</v>
      </c>
      <c r="N56" s="275">
        <f t="shared" si="5"/>
        <v>0</v>
      </c>
      <c r="O56" s="275"/>
      <c r="P56" s="275">
        <v>0</v>
      </c>
      <c r="Q56" s="275">
        <f>'[1]POLY DISB 2019'!F60</f>
        <v>0</v>
      </c>
      <c r="R56" s="275">
        <f t="shared" si="6"/>
        <v>0</v>
      </c>
      <c r="S56" s="275"/>
      <c r="T56" s="275">
        <v>0</v>
      </c>
      <c r="U56" s="275">
        <f>'[1]POLY DISB 2019'!G60</f>
        <v>0</v>
      </c>
      <c r="V56" s="275">
        <f t="shared" si="7"/>
        <v>0</v>
      </c>
      <c r="W56" s="275"/>
      <c r="X56" s="275">
        <v>0</v>
      </c>
      <c r="Y56" s="275">
        <f>'[1]POLY DISB 2019'!H60</f>
        <v>0</v>
      </c>
      <c r="Z56" s="275">
        <f t="shared" si="8"/>
        <v>0</v>
      </c>
      <c r="AA56" s="275"/>
      <c r="AB56" s="275">
        <v>0</v>
      </c>
      <c r="AC56" s="275">
        <f>'[1]POLY DISB 2019'!I60</f>
        <v>0</v>
      </c>
      <c r="AD56" s="275">
        <f t="shared" si="9"/>
        <v>0</v>
      </c>
      <c r="AE56" s="275"/>
      <c r="AF56" s="275">
        <f>'[1]POLY commited funds to date'!K56</f>
        <v>0</v>
      </c>
      <c r="AG56" s="275">
        <f>'[1]POLY DISB 2019'!J60</f>
        <v>0</v>
      </c>
      <c r="AH56" s="275">
        <f t="shared" si="10"/>
        <v>0</v>
      </c>
      <c r="AI56" s="275"/>
      <c r="AJ56" s="275">
        <v>0</v>
      </c>
      <c r="AK56" s="275">
        <f>'[1]POLY DISB 2019'!K60</f>
        <v>0</v>
      </c>
      <c r="AL56" s="275">
        <f t="shared" si="11"/>
        <v>0</v>
      </c>
      <c r="AM56" s="275"/>
      <c r="AN56" s="275">
        <v>0</v>
      </c>
      <c r="AO56" s="275">
        <f>'[1]POLY DISB 2019'!L60</f>
        <v>0</v>
      </c>
      <c r="AP56" s="275">
        <f t="shared" si="12"/>
        <v>0</v>
      </c>
      <c r="AQ56" s="275"/>
      <c r="AR56" s="275">
        <v>0</v>
      </c>
      <c r="AS56" s="275">
        <f>'[1]POLY DISB 2019'!M60</f>
        <v>0</v>
      </c>
      <c r="AT56" s="275">
        <f t="shared" si="13"/>
        <v>0</v>
      </c>
      <c r="AU56" s="275"/>
      <c r="AV56" s="275">
        <v>45000000</v>
      </c>
      <c r="AW56" s="275">
        <f>'[1]POLY DISB 2019'!N60</f>
        <v>45000000</v>
      </c>
      <c r="AX56" s="275">
        <f t="shared" si="14"/>
        <v>0</v>
      </c>
      <c r="AY56" s="275"/>
      <c r="AZ56" s="275">
        <v>38340000</v>
      </c>
      <c r="BA56" s="275">
        <f>'[1]POLY DISB 2019'!P60</f>
        <v>38340000</v>
      </c>
      <c r="BB56" s="275">
        <f t="shared" si="15"/>
        <v>0</v>
      </c>
      <c r="BC56" s="275"/>
      <c r="BD56" s="275">
        <v>0</v>
      </c>
      <c r="BE56" s="275">
        <f>'[1]POLY DISB 2019'!Q60</f>
        <v>0</v>
      </c>
      <c r="BF56" s="275">
        <f t="shared" si="16"/>
        <v>0</v>
      </c>
      <c r="BG56" s="275"/>
      <c r="BH56" s="275">
        <f>'[1]POLY commited funds to date'!S56</f>
        <v>126060000</v>
      </c>
      <c r="BI56" s="275">
        <f>'[1]POLY DISB 2019'!R60</f>
        <v>126060000</v>
      </c>
      <c r="BJ56" s="275">
        <f t="shared" si="17"/>
        <v>0</v>
      </c>
      <c r="BK56" s="275"/>
      <c r="BL56" s="275">
        <f>'[1]poly  com. adj for fmis'!S56</f>
        <v>50000000</v>
      </c>
      <c r="BM56" s="275">
        <f>'[1]POLY DISB 2019'!S60</f>
        <v>50000000</v>
      </c>
      <c r="BN56" s="269">
        <f t="shared" si="18"/>
        <v>0</v>
      </c>
      <c r="BO56" s="275"/>
      <c r="BP56" s="276">
        <f>'[1]POLY commited funds to date'!U56</f>
        <v>169900000</v>
      </c>
      <c r="BQ56" s="275">
        <f>'[1]POLY DISB 2019'!T60</f>
        <v>169900000</v>
      </c>
      <c r="BR56" s="275">
        <f t="shared" si="19"/>
        <v>0</v>
      </c>
      <c r="BS56" s="275"/>
      <c r="BT56" s="275">
        <f>'[1]POLY commited funds to date'!V56</f>
        <v>10000000</v>
      </c>
      <c r="BU56" s="275">
        <f>'[1]POLY DISB 2019'!U60</f>
        <v>10000000</v>
      </c>
      <c r="BV56" s="275">
        <f t="shared" si="20"/>
        <v>0</v>
      </c>
      <c r="BW56" s="275"/>
      <c r="BX56" s="275">
        <f>'[1]POLY commited funds to date'!W56</f>
        <v>0</v>
      </c>
      <c r="BY56" s="275">
        <f>'[1]POLY DISB 2019'!V60</f>
        <v>0</v>
      </c>
      <c r="BZ56" s="275">
        <f t="shared" si="21"/>
        <v>0</v>
      </c>
      <c r="CA56" s="275"/>
      <c r="CB56" s="275">
        <f>'[1]POLY commited funds to date'!X56</f>
        <v>210000000</v>
      </c>
      <c r="CC56" s="275">
        <f>'[1]POLY DISB 2019'!W60</f>
        <v>210000000</v>
      </c>
      <c r="CD56" s="275">
        <f t="shared" si="22"/>
        <v>0</v>
      </c>
      <c r="CE56" s="275"/>
      <c r="CF56" s="275">
        <f>'[1]POLY commited funds to date'!Y56</f>
        <v>0</v>
      </c>
      <c r="CG56" s="275">
        <f>'[1]POLY DISB 2019'!X60</f>
        <v>0</v>
      </c>
      <c r="CH56" s="275">
        <f t="shared" si="23"/>
        <v>0</v>
      </c>
      <c r="CI56" s="275"/>
      <c r="CJ56" s="275">
        <f>'[1]POLY commited funds to date'!Z56</f>
        <v>0</v>
      </c>
      <c r="CK56" s="275">
        <f>'[1]POLY DISB 2019'!Y60</f>
        <v>0</v>
      </c>
      <c r="CL56" s="275">
        <f t="shared" si="24"/>
        <v>0</v>
      </c>
      <c r="CM56" s="275"/>
      <c r="CN56" s="275">
        <f>'[1]POLY commited funds to date'!AA56</f>
        <v>243000000</v>
      </c>
      <c r="CO56" s="275">
        <f>'[1]POLY DISB 2019'!Z60</f>
        <v>243000000</v>
      </c>
      <c r="CP56" s="275">
        <f t="shared" si="25"/>
        <v>0</v>
      </c>
      <c r="CQ56" s="275"/>
      <c r="CR56" s="275">
        <v>10000000</v>
      </c>
      <c r="CS56" s="275">
        <f>'[1]POLY DISB 2019'!AA60</f>
        <v>10000000</v>
      </c>
      <c r="CT56" s="275">
        <f t="shared" si="26"/>
        <v>0</v>
      </c>
      <c r="CU56" s="275"/>
      <c r="CV56" s="275">
        <f>'[1]POLY commited funds to date'!AC56</f>
        <v>371000000</v>
      </c>
      <c r="CW56" s="275">
        <f>'[1]POLY DISB 2019'!AB60</f>
        <v>371000000</v>
      </c>
      <c r="CX56" s="275">
        <f t="shared" si="27"/>
        <v>0</v>
      </c>
      <c r="CY56" s="275"/>
      <c r="CZ56" s="275">
        <f>'[1]POLY commited funds to date'!AD56</f>
        <v>20000000</v>
      </c>
      <c r="DA56" s="275">
        <f>'[1]POLY DISB 2019'!AC60</f>
        <v>20000000</v>
      </c>
      <c r="DB56" s="275">
        <f t="shared" si="28"/>
        <v>0</v>
      </c>
      <c r="DC56" s="275"/>
      <c r="DD56" s="275">
        <f>'[1]POLY commited funds to date'!AE56</f>
        <v>100000000</v>
      </c>
      <c r="DE56" s="275">
        <f>'[1]POLY DISB 2019'!AD60</f>
        <v>100000000</v>
      </c>
      <c r="DF56" s="275">
        <f t="shared" si="29"/>
        <v>0</v>
      </c>
      <c r="DG56" s="275"/>
      <c r="DH56" s="275">
        <f>'[1]poly  com. adj for fmis'!AE56</f>
        <v>80000000</v>
      </c>
      <c r="DI56" s="275">
        <f>'[1]POLY DISB 2019'!AE60</f>
        <v>51200000</v>
      </c>
      <c r="DJ56" s="275">
        <f t="shared" si="30"/>
        <v>28800000</v>
      </c>
      <c r="DK56" s="275"/>
      <c r="DL56" s="275">
        <f>'[1]poly  com. adj for fmis'!AF56</f>
        <v>8000000</v>
      </c>
      <c r="DM56" s="275">
        <f>'[1]POLY DISB 2019'!AF60</f>
        <v>0</v>
      </c>
      <c r="DN56" s="275">
        <f t="shared" si="31"/>
        <v>8000000</v>
      </c>
      <c r="DO56" s="275"/>
      <c r="DP56" s="275">
        <f>'[1]poly  com. adj for fmis'!AG56</f>
        <v>2000000</v>
      </c>
      <c r="DQ56" s="275">
        <f>'[1]POLY DISB 2019'!AG60</f>
        <v>1700000</v>
      </c>
      <c r="DR56" s="275">
        <f t="shared" si="32"/>
        <v>300000</v>
      </c>
      <c r="DS56" s="275"/>
      <c r="DT56" s="275">
        <f>'[1]poly  com. adj for fmis'!AH56</f>
        <v>10000000</v>
      </c>
      <c r="DU56" s="275">
        <f>'[1]POLY DISB 2019'!AH60</f>
        <v>0</v>
      </c>
      <c r="DV56" s="275">
        <f t="shared" si="33"/>
        <v>10000000</v>
      </c>
      <c r="DW56" s="275"/>
      <c r="DX56" s="275">
        <f>'[1]poly  com. adj for fmis'!AI56</f>
        <v>500000000</v>
      </c>
      <c r="DY56" s="275">
        <f>'[1]POLY DISB 2019'!AI60</f>
        <v>500000000</v>
      </c>
      <c r="DZ56" s="275">
        <f t="shared" si="34"/>
        <v>0</v>
      </c>
      <c r="EA56" s="275"/>
      <c r="EB56" s="275">
        <f>'[1]POLY commited funds to date'!AK56</f>
        <v>380632000</v>
      </c>
      <c r="EC56" s="275">
        <f>'[1]POLY DISB 2019'!AJ60</f>
        <v>243604480</v>
      </c>
      <c r="ED56" s="275">
        <f t="shared" si="35"/>
        <v>137027520</v>
      </c>
      <c r="EE56" s="275"/>
      <c r="EF56" s="275">
        <f>'[1]POLY commited funds to date'!AL56</f>
        <v>8000000</v>
      </c>
      <c r="EG56" s="275">
        <f>'[1]POLY DISB 2019'!AK60</f>
        <v>0</v>
      </c>
      <c r="EH56" s="275">
        <f t="shared" si="36"/>
        <v>8000000</v>
      </c>
      <c r="EI56" s="275"/>
      <c r="EJ56" s="275">
        <f>'[1]POLY commited funds to date'!AM56</f>
        <v>10000000</v>
      </c>
      <c r="EK56" s="275">
        <f>'[1]POLY DISB 2019'!AL60</f>
        <v>0</v>
      </c>
      <c r="EL56" s="275">
        <f t="shared" si="37"/>
        <v>10000000</v>
      </c>
      <c r="EM56" s="275"/>
      <c r="EN56" s="275">
        <f>'[1]POLY commited funds to date'!AN56</f>
        <v>10000000</v>
      </c>
      <c r="EO56" s="275">
        <f>'[1]POLY DISB 2019'!AM60</f>
        <v>0</v>
      </c>
      <c r="EP56" s="275">
        <f t="shared" si="38"/>
        <v>10000000</v>
      </c>
      <c r="EQ56" s="281">
        <f>'[1]POLY commited funds to date'!AO56</f>
        <v>150000000</v>
      </c>
      <c r="ER56" s="275">
        <f>'[1]POLY DISB 2019'!AN60</f>
        <v>127500000</v>
      </c>
      <c r="ES56" s="275">
        <f t="shared" si="39"/>
        <v>22500000</v>
      </c>
      <c r="ET56" s="275"/>
      <c r="EU56" s="275">
        <f>'[1]POLY commited funds to date'!AP56</f>
        <v>205000000</v>
      </c>
      <c r="EV56" s="275">
        <f>'[1]POLY DISB 2019'!AO60</f>
        <v>0</v>
      </c>
      <c r="EW56" s="275">
        <f t="shared" si="40"/>
        <v>205000000</v>
      </c>
      <c r="EX56" s="275"/>
      <c r="EY56" s="275">
        <f>'[1]POLY commited funds to date'!AQ56</f>
        <v>75000000</v>
      </c>
      <c r="EZ56" s="275">
        <f>'[1]POLY DISB 2019'!AP60</f>
        <v>75000000</v>
      </c>
      <c r="FA56" s="275">
        <f t="shared" si="41"/>
        <v>0</v>
      </c>
      <c r="FB56" s="275"/>
      <c r="FC56" s="275">
        <f>'[1]POLY commited funds to date'!AR56</f>
        <v>7000000</v>
      </c>
      <c r="FD56" s="275">
        <f>'[1]POLY DISB 2019'!AQ60</f>
        <v>0</v>
      </c>
      <c r="FE56" s="275">
        <f t="shared" si="42"/>
        <v>7000000</v>
      </c>
      <c r="FF56" s="275"/>
      <c r="FG56" s="275">
        <f>'[1]POLY commited funds to date'!AS56</f>
        <v>6300000</v>
      </c>
      <c r="FH56" s="275">
        <f>'[1]POLY DISB 2019'!AR60</f>
        <v>0</v>
      </c>
      <c r="FI56" s="275">
        <f t="shared" si="43"/>
        <v>6300000</v>
      </c>
      <c r="FJ56" s="275"/>
      <c r="FK56" s="275">
        <f>'[1]POLY commited funds to date'!AT56</f>
        <v>7500000</v>
      </c>
      <c r="FL56" s="275">
        <f>'[1]POLY DISB 2019'!AS60</f>
        <v>0</v>
      </c>
      <c r="FM56" s="275">
        <f t="shared" si="44"/>
        <v>7500000</v>
      </c>
      <c r="FN56" s="275"/>
      <c r="FO56" s="275">
        <f>'[1]POLY commited funds to date'!AU56</f>
        <v>245000000</v>
      </c>
      <c r="FP56" s="275">
        <f>'[1]POLY DISB 2019'!AT60</f>
        <v>0</v>
      </c>
      <c r="FQ56" s="275">
        <f t="shared" si="45"/>
        <v>245000000</v>
      </c>
      <c r="FR56" s="275">
        <f>'[1]POLY commited funds to date'!AV56</f>
        <v>119074602</v>
      </c>
      <c r="FS56" s="275">
        <f>'[1]POLY DISB 2019'!AU60</f>
        <v>0</v>
      </c>
      <c r="FT56" s="275">
        <f t="shared" si="46"/>
        <v>119074602</v>
      </c>
      <c r="FU56" s="275"/>
      <c r="FV56" s="275">
        <f>'[1]POLY commited funds to date'!AW56</f>
        <v>13000000</v>
      </c>
      <c r="FW56" s="275">
        <f>'[1]POLY DISB 2019'!AV60</f>
        <v>0</v>
      </c>
      <c r="FX56" s="275">
        <f t="shared" si="47"/>
        <v>13000000</v>
      </c>
      <c r="FY56" s="275"/>
      <c r="FZ56" s="275">
        <f>'[1]POLY commited funds to date'!AX56</f>
        <v>8628900</v>
      </c>
      <c r="GA56" s="275">
        <f>'[1]POLY DISB 2019'!AW60</f>
        <v>0</v>
      </c>
      <c r="GB56" s="275">
        <f t="shared" si="48"/>
        <v>8628900</v>
      </c>
      <c r="GC56" s="275">
        <f>'[1]POLY commited funds to date'!AY56</f>
        <v>5000000</v>
      </c>
      <c r="GD56" s="275">
        <f>'[1]POLY DISB 2019'!AX60</f>
        <v>0</v>
      </c>
      <c r="GE56" s="275">
        <f t="shared" si="49"/>
        <v>5000000</v>
      </c>
      <c r="GF56" s="275"/>
      <c r="GG56" s="275">
        <f>'[1]POLY commited funds to date'!AZ56</f>
        <v>0</v>
      </c>
      <c r="GH56" s="275">
        <f>'[1]POLY DISB 2019'!AY60</f>
        <v>0</v>
      </c>
      <c r="GI56" s="275">
        <f t="shared" si="50"/>
        <v>0</v>
      </c>
      <c r="GJ56" s="275"/>
      <c r="GK56" s="275">
        <f t="shared" si="51"/>
        <v>3243435502</v>
      </c>
      <c r="GL56" s="275">
        <f t="shared" si="51"/>
        <v>2392304480</v>
      </c>
      <c r="GM56" s="275">
        <f t="shared" si="52"/>
        <v>851131022</v>
      </c>
      <c r="GN56" s="265"/>
      <c r="GO56" s="277">
        <f t="shared" si="53"/>
        <v>2113932000</v>
      </c>
      <c r="GP56" s="277">
        <f t="shared" si="53"/>
        <v>1498104480</v>
      </c>
      <c r="GQ56" s="277">
        <f t="shared" si="54"/>
        <v>615827520</v>
      </c>
      <c r="GR56" s="277">
        <f t="shared" si="69"/>
        <v>0</v>
      </c>
      <c r="GS56" s="277">
        <f t="shared" si="69"/>
        <v>0</v>
      </c>
      <c r="GT56" s="277">
        <f t="shared" si="55"/>
        <v>0</v>
      </c>
      <c r="GU56" s="277"/>
      <c r="GV56" s="265"/>
      <c r="GW56" s="279">
        <f t="shared" si="68"/>
        <v>650000000</v>
      </c>
      <c r="GX56" s="279">
        <f t="shared" si="68"/>
        <v>650000000</v>
      </c>
      <c r="GY56" s="280">
        <f t="shared" si="57"/>
        <v>0</v>
      </c>
      <c r="GZ56" s="280"/>
      <c r="HA56" s="277">
        <f t="shared" si="58"/>
        <v>74928900</v>
      </c>
      <c r="HB56" s="277">
        <f t="shared" si="58"/>
        <v>40000000</v>
      </c>
      <c r="HC56" s="277">
        <f t="shared" si="59"/>
        <v>34928900</v>
      </c>
      <c r="HE56" s="277">
        <f t="shared" si="60"/>
        <v>36000000</v>
      </c>
      <c r="HF56" s="277">
        <f t="shared" si="60"/>
        <v>0</v>
      </c>
      <c r="HG56" s="277">
        <f t="shared" si="61"/>
        <v>36000000</v>
      </c>
      <c r="HI56" s="279">
        <f t="shared" si="62"/>
        <v>344074602</v>
      </c>
      <c r="HJ56" s="279">
        <f t="shared" si="62"/>
        <v>202500000</v>
      </c>
      <c r="HK56" s="279">
        <f t="shared" si="63"/>
        <v>141574602</v>
      </c>
      <c r="HM56" s="279">
        <f t="shared" si="64"/>
        <v>2000000</v>
      </c>
      <c r="HN56" s="279">
        <f t="shared" si="1"/>
        <v>1700000</v>
      </c>
      <c r="HO56" s="279">
        <f t="shared" si="65"/>
        <v>300000</v>
      </c>
      <c r="HQ56" s="279">
        <f t="shared" si="66"/>
        <v>22500000</v>
      </c>
      <c r="HR56" s="279">
        <f t="shared" si="2"/>
        <v>0</v>
      </c>
      <c r="HS56" s="279">
        <f t="shared" si="67"/>
        <v>22500000</v>
      </c>
    </row>
    <row r="57" spans="1:227" x14ac:dyDescent="0.25">
      <c r="A57" s="235">
        <v>49</v>
      </c>
      <c r="B57" s="284" t="s">
        <v>248</v>
      </c>
      <c r="C57" s="285" t="s">
        <v>63</v>
      </c>
      <c r="D57" s="275">
        <v>0</v>
      </c>
      <c r="E57" s="275">
        <f>'[1]POLY DISB 2019'!C61</f>
        <v>0</v>
      </c>
      <c r="F57" s="275">
        <f t="shared" si="3"/>
        <v>0</v>
      </c>
      <c r="G57" s="275"/>
      <c r="H57" s="275">
        <v>0</v>
      </c>
      <c r="I57" s="275">
        <f>'[1]POLY DISB 2019'!D61</f>
        <v>0</v>
      </c>
      <c r="J57" s="275">
        <f t="shared" si="4"/>
        <v>0</v>
      </c>
      <c r="K57" s="275"/>
      <c r="L57" s="275">
        <v>0</v>
      </c>
      <c r="M57" s="275">
        <f>'[1]POLY DISB 2019'!E61</f>
        <v>0</v>
      </c>
      <c r="N57" s="275">
        <f t="shared" si="5"/>
        <v>0</v>
      </c>
      <c r="O57" s="275"/>
      <c r="P57" s="275">
        <v>0</v>
      </c>
      <c r="Q57" s="275">
        <f>'[1]POLY DISB 2019'!F61</f>
        <v>0</v>
      </c>
      <c r="R57" s="275">
        <f t="shared" si="6"/>
        <v>0</v>
      </c>
      <c r="S57" s="275"/>
      <c r="T57" s="275">
        <v>0</v>
      </c>
      <c r="U57" s="275">
        <f>'[1]POLY DISB 2019'!G61</f>
        <v>0</v>
      </c>
      <c r="V57" s="275">
        <f t="shared" si="7"/>
        <v>0</v>
      </c>
      <c r="W57" s="275"/>
      <c r="X57" s="275">
        <v>0</v>
      </c>
      <c r="Y57" s="275">
        <f>'[1]POLY DISB 2019'!H61</f>
        <v>0</v>
      </c>
      <c r="Z57" s="275">
        <f t="shared" si="8"/>
        <v>0</v>
      </c>
      <c r="AA57" s="275"/>
      <c r="AB57" s="275">
        <v>0</v>
      </c>
      <c r="AC57" s="275">
        <f>'[1]POLY DISB 2019'!I61</f>
        <v>0</v>
      </c>
      <c r="AD57" s="275">
        <f t="shared" si="9"/>
        <v>0</v>
      </c>
      <c r="AE57" s="275"/>
      <c r="AF57" s="275">
        <f>'[1]POLY commited funds to date'!K57</f>
        <v>0</v>
      </c>
      <c r="AG57" s="275">
        <f>'[1]POLY DISB 2019'!J61</f>
        <v>0</v>
      </c>
      <c r="AH57" s="275">
        <f t="shared" si="10"/>
        <v>0</v>
      </c>
      <c r="AI57" s="275"/>
      <c r="AJ57" s="275">
        <v>0</v>
      </c>
      <c r="AK57" s="275">
        <f>'[1]POLY DISB 2019'!K61</f>
        <v>0</v>
      </c>
      <c r="AL57" s="275">
        <f t="shared" si="11"/>
        <v>0</v>
      </c>
      <c r="AM57" s="275"/>
      <c r="AN57" s="275">
        <v>0</v>
      </c>
      <c r="AO57" s="275">
        <f>'[1]POLY DISB 2019'!L61</f>
        <v>0</v>
      </c>
      <c r="AP57" s="275">
        <f t="shared" si="12"/>
        <v>0</v>
      </c>
      <c r="AQ57" s="275"/>
      <c r="AR57" s="275">
        <v>0</v>
      </c>
      <c r="AS57" s="275">
        <f>'[1]POLY DISB 2019'!M61</f>
        <v>0</v>
      </c>
      <c r="AT57" s="275">
        <f t="shared" si="13"/>
        <v>0</v>
      </c>
      <c r="AU57" s="275"/>
      <c r="AV57" s="275">
        <v>0</v>
      </c>
      <c r="AW57" s="275">
        <f>'[1]POLY DISB 2019'!N61</f>
        <v>0</v>
      </c>
      <c r="AX57" s="275">
        <f t="shared" si="14"/>
        <v>0</v>
      </c>
      <c r="AY57" s="275"/>
      <c r="AZ57" s="275">
        <v>38340000</v>
      </c>
      <c r="BA57" s="275">
        <f>'[1]POLY DISB 2019'!P61</f>
        <v>38340000</v>
      </c>
      <c r="BB57" s="275">
        <f t="shared" si="15"/>
        <v>0</v>
      </c>
      <c r="BC57" s="275"/>
      <c r="BD57" s="275">
        <v>0</v>
      </c>
      <c r="BE57" s="275">
        <f>'[1]POLY DISB 2019'!Q61</f>
        <v>0</v>
      </c>
      <c r="BF57" s="275">
        <f t="shared" si="16"/>
        <v>0</v>
      </c>
      <c r="BG57" s="275"/>
      <c r="BH57" s="275">
        <f>'[1]POLY commited funds to date'!S57</f>
        <v>126060000</v>
      </c>
      <c r="BI57" s="275">
        <f>'[1]POLY DISB 2019'!R61</f>
        <v>126060000</v>
      </c>
      <c r="BJ57" s="275">
        <f t="shared" si="17"/>
        <v>0</v>
      </c>
      <c r="BK57" s="275"/>
      <c r="BL57" s="275">
        <f>'[1]poly  com. adj for fmis'!S57</f>
        <v>100000000</v>
      </c>
      <c r="BM57" s="275">
        <f>'[1]POLY DISB 2019'!S61</f>
        <v>100000000</v>
      </c>
      <c r="BN57" s="269">
        <f t="shared" si="18"/>
        <v>0</v>
      </c>
      <c r="BO57" s="275"/>
      <c r="BP57" s="276">
        <f>'[1]POLY commited funds to date'!U57</f>
        <v>169900000</v>
      </c>
      <c r="BQ57" s="275">
        <f>'[1]POLY DISB 2019'!T61</f>
        <v>169900000</v>
      </c>
      <c r="BR57" s="275">
        <f t="shared" si="19"/>
        <v>0</v>
      </c>
      <c r="BS57" s="275"/>
      <c r="BT57" s="275">
        <f>'[1]POLY commited funds to date'!V57</f>
        <v>10000000</v>
      </c>
      <c r="BU57" s="275">
        <f>'[1]POLY DISB 2019'!U61</f>
        <v>0</v>
      </c>
      <c r="BV57" s="275">
        <f t="shared" si="20"/>
        <v>10000000</v>
      </c>
      <c r="BW57" s="275"/>
      <c r="BX57" s="275">
        <f>'[1]POLY commited funds to date'!W57</f>
        <v>500000000</v>
      </c>
      <c r="BY57" s="275">
        <f>'[1]POLY DISB 2019'!V61</f>
        <v>500000000</v>
      </c>
      <c r="BZ57" s="275">
        <f t="shared" si="21"/>
        <v>0</v>
      </c>
      <c r="CA57" s="275"/>
      <c r="CB57" s="275">
        <f>'[1]POLY commited funds to date'!X57</f>
        <v>210000000</v>
      </c>
      <c r="CC57" s="275">
        <f>'[1]POLY DISB 2019'!W61</f>
        <v>210000000</v>
      </c>
      <c r="CD57" s="275">
        <f t="shared" si="22"/>
        <v>0</v>
      </c>
      <c r="CE57" s="275"/>
      <c r="CF57" s="275">
        <f>'[1]POLY commited funds to date'!Y57</f>
        <v>100000000</v>
      </c>
      <c r="CG57" s="275">
        <f>'[1]POLY DISB 2019'!X61</f>
        <v>100000000</v>
      </c>
      <c r="CH57" s="275">
        <f t="shared" si="23"/>
        <v>0</v>
      </c>
      <c r="CI57" s="275"/>
      <c r="CJ57" s="275">
        <f>'[1]POLY commited funds to date'!Z57</f>
        <v>0</v>
      </c>
      <c r="CK57" s="275">
        <f>'[1]POLY DISB 2019'!Y61</f>
        <v>0</v>
      </c>
      <c r="CL57" s="275">
        <f t="shared" si="24"/>
        <v>0</v>
      </c>
      <c r="CM57" s="275"/>
      <c r="CN57" s="275">
        <f>'[1]POLY commited funds to date'!AA57</f>
        <v>243000000</v>
      </c>
      <c r="CO57" s="275">
        <f>'[1]POLY DISB 2019'!Z61</f>
        <v>243000000</v>
      </c>
      <c r="CP57" s="275">
        <f t="shared" si="25"/>
        <v>0</v>
      </c>
      <c r="CQ57" s="275"/>
      <c r="CR57" s="275">
        <v>10000000</v>
      </c>
      <c r="CS57" s="275">
        <f>'[1]POLY DISB 2019'!AA61</f>
        <v>0</v>
      </c>
      <c r="CT57" s="275">
        <f t="shared" si="26"/>
        <v>10000000</v>
      </c>
      <c r="CU57" s="275"/>
      <c r="CV57" s="275">
        <f>'[1]POLY commited funds to date'!AC57</f>
        <v>371000000</v>
      </c>
      <c r="CW57" s="275">
        <f>'[1]POLY DISB 2019'!AB61</f>
        <v>315350000</v>
      </c>
      <c r="CX57" s="275">
        <f t="shared" si="27"/>
        <v>55650000</v>
      </c>
      <c r="CY57" s="275"/>
      <c r="CZ57" s="275">
        <f>'[1]POLY commited funds to date'!AD57</f>
        <v>20000000</v>
      </c>
      <c r="DA57" s="275">
        <f>'[1]POLY DISB 2019'!AC61</f>
        <v>0</v>
      </c>
      <c r="DB57" s="275">
        <f t="shared" si="28"/>
        <v>20000000</v>
      </c>
      <c r="DC57" s="275"/>
      <c r="DD57" s="275">
        <f>'[1]POLY commited funds to date'!AE57</f>
        <v>50000000</v>
      </c>
      <c r="DE57" s="275">
        <f>'[1]POLY DISB 2019'!AD61</f>
        <v>50000000</v>
      </c>
      <c r="DF57" s="275">
        <f t="shared" si="29"/>
        <v>0</v>
      </c>
      <c r="DG57" s="275"/>
      <c r="DH57" s="275">
        <f>'[1]poly  com. adj for fmis'!AE57</f>
        <v>80000000</v>
      </c>
      <c r="DI57" s="275">
        <f>'[1]POLY DISB 2019'!AE61</f>
        <v>0</v>
      </c>
      <c r="DJ57" s="275">
        <f t="shared" si="30"/>
        <v>80000000</v>
      </c>
      <c r="DK57" s="275"/>
      <c r="DL57" s="275">
        <f>'[1]poly  com. adj for fmis'!AF57</f>
        <v>8000000</v>
      </c>
      <c r="DM57" s="275">
        <f>'[1]POLY DISB 2019'!AF61</f>
        <v>0</v>
      </c>
      <c r="DN57" s="275">
        <f t="shared" si="31"/>
        <v>8000000</v>
      </c>
      <c r="DO57" s="275"/>
      <c r="DP57" s="275">
        <f>'[1]poly  com. adj for fmis'!AG57</f>
        <v>2000000</v>
      </c>
      <c r="DQ57" s="275">
        <f>'[1]POLY DISB 2019'!AG61</f>
        <v>0</v>
      </c>
      <c r="DR57" s="275">
        <f t="shared" si="32"/>
        <v>2000000</v>
      </c>
      <c r="DS57" s="275"/>
      <c r="DT57" s="275">
        <f>'[1]poly  com. adj for fmis'!AH57</f>
        <v>10000000</v>
      </c>
      <c r="DU57" s="275">
        <f>'[1]POLY DISB 2019'!AH61</f>
        <v>0</v>
      </c>
      <c r="DV57" s="275">
        <f t="shared" si="33"/>
        <v>10000000</v>
      </c>
      <c r="DW57" s="275"/>
      <c r="DX57" s="275">
        <f>'[1]poly  com. adj for fmis'!AI57</f>
        <v>0</v>
      </c>
      <c r="DY57" s="275">
        <f>'[1]POLY DISB 2019'!AI61</f>
        <v>0</v>
      </c>
      <c r="DZ57" s="275">
        <f t="shared" si="34"/>
        <v>0</v>
      </c>
      <c r="EA57" s="275"/>
      <c r="EB57" s="275">
        <f>'[1]POLY commited funds to date'!AK57</f>
        <v>380632000</v>
      </c>
      <c r="EC57" s="275">
        <f>'[1]POLY DISB 2019'!AJ61</f>
        <v>0</v>
      </c>
      <c r="ED57" s="275">
        <f t="shared" si="35"/>
        <v>380632000</v>
      </c>
      <c r="EE57" s="275"/>
      <c r="EF57" s="275">
        <f>'[1]POLY commited funds to date'!AL57</f>
        <v>8000000</v>
      </c>
      <c r="EG57" s="275">
        <f>'[1]POLY DISB 2019'!AK61</f>
        <v>0</v>
      </c>
      <c r="EH57" s="275">
        <f t="shared" si="36"/>
        <v>8000000</v>
      </c>
      <c r="EI57" s="275"/>
      <c r="EJ57" s="275">
        <f>'[1]POLY commited funds to date'!AM57</f>
        <v>10000000</v>
      </c>
      <c r="EK57" s="275">
        <f>'[1]POLY DISB 2019'!AL61</f>
        <v>0</v>
      </c>
      <c r="EL57" s="275">
        <f t="shared" si="37"/>
        <v>10000000</v>
      </c>
      <c r="EM57" s="275"/>
      <c r="EN57" s="275">
        <f>'[1]POLY commited funds to date'!AN57</f>
        <v>10000000</v>
      </c>
      <c r="EO57" s="275">
        <f>'[1]POLY DISB 2019'!AM61</f>
        <v>0</v>
      </c>
      <c r="EP57" s="275">
        <f t="shared" si="38"/>
        <v>10000000</v>
      </c>
      <c r="EQ57" s="275">
        <f>'[1]POLY commited funds to date'!AO57</f>
        <v>0</v>
      </c>
      <c r="ER57" s="275">
        <f>'[1]POLY DISB 2019'!AN61</f>
        <v>0</v>
      </c>
      <c r="ES57" s="275">
        <f t="shared" si="39"/>
        <v>0</v>
      </c>
      <c r="ET57" s="275"/>
      <c r="EU57" s="275">
        <f>'[1]POLY commited funds to date'!AP57</f>
        <v>205000000</v>
      </c>
      <c r="EV57" s="275">
        <f>'[1]POLY DISB 2019'!AO61</f>
        <v>0</v>
      </c>
      <c r="EW57" s="275">
        <f t="shared" si="40"/>
        <v>205000000</v>
      </c>
      <c r="EX57" s="275"/>
      <c r="EY57" s="275">
        <f>'[1]POLY commited funds to date'!AQ57</f>
        <v>75000000</v>
      </c>
      <c r="EZ57" s="275">
        <f>'[1]POLY DISB 2019'!AP61</f>
        <v>75000000</v>
      </c>
      <c r="FA57" s="275">
        <f t="shared" si="41"/>
        <v>0</v>
      </c>
      <c r="FB57" s="275"/>
      <c r="FC57" s="275">
        <f>'[1]POLY commited funds to date'!AR57</f>
        <v>7000000</v>
      </c>
      <c r="FD57" s="275">
        <f>'[1]POLY DISB 2019'!AQ61</f>
        <v>0</v>
      </c>
      <c r="FE57" s="275">
        <f t="shared" si="42"/>
        <v>7000000</v>
      </c>
      <c r="FF57" s="275"/>
      <c r="FG57" s="275">
        <f>'[1]POLY commited funds to date'!AS57</f>
        <v>6300000</v>
      </c>
      <c r="FH57" s="275">
        <f>'[1]POLY DISB 2019'!AR61</f>
        <v>0</v>
      </c>
      <c r="FI57" s="275">
        <f t="shared" si="43"/>
        <v>6300000</v>
      </c>
      <c r="FJ57" s="275"/>
      <c r="FK57" s="275">
        <f>'[1]POLY commited funds to date'!AT57</f>
        <v>7500000</v>
      </c>
      <c r="FL57" s="275">
        <f>'[1]POLY DISB 2019'!AS61</f>
        <v>0</v>
      </c>
      <c r="FM57" s="275">
        <f t="shared" si="44"/>
        <v>7500000</v>
      </c>
      <c r="FN57" s="275"/>
      <c r="FO57" s="275">
        <f>'[1]POLY commited funds to date'!AU57</f>
        <v>245000000</v>
      </c>
      <c r="FP57" s="275">
        <f>'[1]POLY DISB 2019'!AT61</f>
        <v>0</v>
      </c>
      <c r="FQ57" s="275">
        <f t="shared" si="45"/>
        <v>245000000</v>
      </c>
      <c r="FR57" s="275">
        <f>'[1]POLY commited funds to date'!AV57</f>
        <v>119074602</v>
      </c>
      <c r="FS57" s="275">
        <f>'[1]POLY DISB 2019'!AU61</f>
        <v>0</v>
      </c>
      <c r="FT57" s="275">
        <f t="shared" si="46"/>
        <v>119074602</v>
      </c>
      <c r="FU57" s="275"/>
      <c r="FV57" s="275">
        <f>'[1]POLY commited funds to date'!AW57</f>
        <v>13000000</v>
      </c>
      <c r="FW57" s="275">
        <f>'[1]POLY DISB 2019'!AV61</f>
        <v>0</v>
      </c>
      <c r="FX57" s="275">
        <f t="shared" si="47"/>
        <v>13000000</v>
      </c>
      <c r="FY57" s="275"/>
      <c r="FZ57" s="275">
        <f>'[1]POLY commited funds to date'!AX57</f>
        <v>8628900</v>
      </c>
      <c r="GA57" s="275">
        <f>'[1]POLY DISB 2019'!AW61</f>
        <v>0</v>
      </c>
      <c r="GB57" s="275">
        <f t="shared" si="48"/>
        <v>8628900</v>
      </c>
      <c r="GC57" s="275">
        <f>'[1]POLY commited funds to date'!AY57</f>
        <v>5000000</v>
      </c>
      <c r="GD57" s="275">
        <f>'[1]POLY DISB 2019'!AX61</f>
        <v>0</v>
      </c>
      <c r="GE57" s="275">
        <f t="shared" si="49"/>
        <v>5000000</v>
      </c>
      <c r="GF57" s="275"/>
      <c r="GG57" s="275">
        <f>'[1]POLY commited funds to date'!AZ57</f>
        <v>0</v>
      </c>
      <c r="GH57" s="275">
        <f>'[1]POLY DISB 2019'!AY61</f>
        <v>0</v>
      </c>
      <c r="GI57" s="275">
        <f t="shared" si="50"/>
        <v>0</v>
      </c>
      <c r="GJ57" s="275"/>
      <c r="GK57" s="275">
        <f t="shared" si="51"/>
        <v>3148435502</v>
      </c>
      <c r="GL57" s="275">
        <f t="shared" si="51"/>
        <v>1927650000</v>
      </c>
      <c r="GM57" s="275">
        <f t="shared" si="52"/>
        <v>1220785502</v>
      </c>
      <c r="GN57" s="265"/>
      <c r="GO57" s="277">
        <f t="shared" si="53"/>
        <v>2068932000</v>
      </c>
      <c r="GP57" s="277">
        <f t="shared" si="53"/>
        <v>1102650000</v>
      </c>
      <c r="GQ57" s="277">
        <f t="shared" si="54"/>
        <v>966282000</v>
      </c>
      <c r="GR57" s="277">
        <f t="shared" si="69"/>
        <v>0</v>
      </c>
      <c r="GS57" s="277">
        <f t="shared" si="69"/>
        <v>0</v>
      </c>
      <c r="GT57" s="277">
        <f t="shared" si="55"/>
        <v>0</v>
      </c>
      <c r="GU57" s="277"/>
      <c r="GV57" s="265"/>
      <c r="GW57" s="279">
        <f t="shared" si="68"/>
        <v>750000000</v>
      </c>
      <c r="GX57" s="279">
        <f t="shared" si="68"/>
        <v>750000000</v>
      </c>
      <c r="GY57" s="280">
        <f t="shared" si="57"/>
        <v>0</v>
      </c>
      <c r="GZ57" s="280"/>
      <c r="HA57" s="277">
        <f t="shared" si="58"/>
        <v>74928900</v>
      </c>
      <c r="HB57" s="277">
        <f t="shared" si="58"/>
        <v>0</v>
      </c>
      <c r="HC57" s="277">
        <f t="shared" si="59"/>
        <v>74928900</v>
      </c>
      <c r="HE57" s="277">
        <f t="shared" si="60"/>
        <v>36000000</v>
      </c>
      <c r="HF57" s="277">
        <f t="shared" si="60"/>
        <v>0</v>
      </c>
      <c r="HG57" s="277">
        <f t="shared" si="61"/>
        <v>36000000</v>
      </c>
      <c r="HI57" s="279">
        <f t="shared" si="62"/>
        <v>194074602</v>
      </c>
      <c r="HJ57" s="279">
        <f t="shared" si="62"/>
        <v>75000000</v>
      </c>
      <c r="HK57" s="279">
        <f t="shared" si="63"/>
        <v>119074602</v>
      </c>
      <c r="HM57" s="279">
        <f t="shared" si="64"/>
        <v>2000000</v>
      </c>
      <c r="HN57" s="279">
        <f t="shared" si="1"/>
        <v>0</v>
      </c>
      <c r="HO57" s="279">
        <f t="shared" si="65"/>
        <v>2000000</v>
      </c>
      <c r="HQ57" s="279">
        <f t="shared" si="66"/>
        <v>22500000</v>
      </c>
      <c r="HR57" s="279">
        <f t="shared" si="2"/>
        <v>0</v>
      </c>
      <c r="HS57" s="279">
        <f t="shared" si="67"/>
        <v>22500000</v>
      </c>
    </row>
    <row r="58" spans="1:227" x14ac:dyDescent="0.25">
      <c r="A58" s="235">
        <v>50</v>
      </c>
      <c r="B58" s="273" t="s">
        <v>249</v>
      </c>
      <c r="C58" s="113" t="s">
        <v>76</v>
      </c>
      <c r="D58" s="275">
        <v>0</v>
      </c>
      <c r="E58" s="275">
        <f>'[1]POLY DISB 2019'!C62</f>
        <v>0</v>
      </c>
      <c r="F58" s="275">
        <f t="shared" si="3"/>
        <v>0</v>
      </c>
      <c r="G58" s="275"/>
      <c r="H58" s="275">
        <v>0</v>
      </c>
      <c r="I58" s="275">
        <f>'[1]POLY DISB 2019'!D62</f>
        <v>0</v>
      </c>
      <c r="J58" s="275">
        <f t="shared" si="4"/>
        <v>0</v>
      </c>
      <c r="K58" s="275"/>
      <c r="L58" s="275">
        <v>0</v>
      </c>
      <c r="M58" s="275">
        <f>'[1]POLY DISB 2019'!E62</f>
        <v>0</v>
      </c>
      <c r="N58" s="275">
        <f t="shared" si="5"/>
        <v>0</v>
      </c>
      <c r="O58" s="275"/>
      <c r="P58" s="275">
        <v>0</v>
      </c>
      <c r="Q58" s="275">
        <f>'[1]POLY DISB 2019'!F62</f>
        <v>0</v>
      </c>
      <c r="R58" s="275">
        <f t="shared" si="6"/>
        <v>0</v>
      </c>
      <c r="S58" s="275"/>
      <c r="T58" s="275">
        <v>0</v>
      </c>
      <c r="U58" s="275">
        <f>'[1]POLY DISB 2019'!G62</f>
        <v>0</v>
      </c>
      <c r="V58" s="275">
        <f t="shared" si="7"/>
        <v>0</v>
      </c>
      <c r="W58" s="275"/>
      <c r="X58" s="275">
        <v>0</v>
      </c>
      <c r="Y58" s="275">
        <f>'[1]POLY DISB 2019'!H62</f>
        <v>0</v>
      </c>
      <c r="Z58" s="275">
        <f t="shared" si="8"/>
        <v>0</v>
      </c>
      <c r="AA58" s="275"/>
      <c r="AB58" s="275">
        <v>0</v>
      </c>
      <c r="AC58" s="275">
        <f>'[1]POLY DISB 2019'!I62</f>
        <v>0</v>
      </c>
      <c r="AD58" s="275">
        <f t="shared" si="9"/>
        <v>0</v>
      </c>
      <c r="AE58" s="275"/>
      <c r="AF58" s="275">
        <f>'[1]POLY commited funds to date'!K58</f>
        <v>0</v>
      </c>
      <c r="AG58" s="275">
        <f>'[1]POLY DISB 2019'!J62</f>
        <v>0</v>
      </c>
      <c r="AH58" s="275">
        <f t="shared" si="10"/>
        <v>0</v>
      </c>
      <c r="AI58" s="275"/>
      <c r="AJ58" s="275">
        <v>0</v>
      </c>
      <c r="AK58" s="275">
        <f>'[1]POLY DISB 2019'!K62</f>
        <v>0</v>
      </c>
      <c r="AL58" s="275">
        <f t="shared" si="11"/>
        <v>0</v>
      </c>
      <c r="AM58" s="275"/>
      <c r="AN58" s="275">
        <v>0</v>
      </c>
      <c r="AO58" s="275">
        <f>'[1]POLY DISB 2019'!L62</f>
        <v>0</v>
      </c>
      <c r="AP58" s="275">
        <f t="shared" si="12"/>
        <v>0</v>
      </c>
      <c r="AQ58" s="275"/>
      <c r="AR58" s="275">
        <v>0</v>
      </c>
      <c r="AS58" s="275">
        <f>'[1]POLY DISB 2019'!M62</f>
        <v>0</v>
      </c>
      <c r="AT58" s="275">
        <f t="shared" si="13"/>
        <v>0</v>
      </c>
      <c r="AU58" s="275"/>
      <c r="AV58" s="275">
        <v>0</v>
      </c>
      <c r="AW58" s="275">
        <f>'[1]POLY DISB 2019'!N62</f>
        <v>0</v>
      </c>
      <c r="AX58" s="275">
        <f t="shared" si="14"/>
        <v>0</v>
      </c>
      <c r="AY58" s="275"/>
      <c r="AZ58" s="275">
        <v>0</v>
      </c>
      <c r="BA58" s="275">
        <f>'[1]POLY DISB 2019'!P62</f>
        <v>0</v>
      </c>
      <c r="BB58" s="275">
        <f t="shared" si="15"/>
        <v>0</v>
      </c>
      <c r="BC58" s="275"/>
      <c r="BD58" s="275">
        <v>0</v>
      </c>
      <c r="BE58" s="275">
        <f>'[1]POLY DISB 2019'!Q62</f>
        <v>0</v>
      </c>
      <c r="BF58" s="275">
        <f t="shared" si="16"/>
        <v>0</v>
      </c>
      <c r="BG58" s="275"/>
      <c r="BH58" s="275">
        <f>'[1]POLY commited funds to date'!S58</f>
        <v>126060000</v>
      </c>
      <c r="BI58" s="275">
        <f>'[1]POLY DISB 2019'!R62</f>
        <v>126060000</v>
      </c>
      <c r="BJ58" s="275">
        <f t="shared" si="17"/>
        <v>0</v>
      </c>
      <c r="BK58" s="275"/>
      <c r="BL58" s="275">
        <f>'[1]poly  com. adj for fmis'!S58</f>
        <v>200000000</v>
      </c>
      <c r="BM58" s="275">
        <f>'[1]POLY DISB 2019'!S62</f>
        <v>200000000</v>
      </c>
      <c r="BN58" s="269">
        <f t="shared" si="18"/>
        <v>0</v>
      </c>
      <c r="BO58" s="275"/>
      <c r="BP58" s="276">
        <f>'[1]POLY commited funds to date'!U58</f>
        <v>169900000</v>
      </c>
      <c r="BQ58" s="275">
        <f>'[1]POLY DISB 2019'!T62</f>
        <v>169900000</v>
      </c>
      <c r="BR58" s="275">
        <f t="shared" si="19"/>
        <v>0</v>
      </c>
      <c r="BS58" s="275"/>
      <c r="BT58" s="275">
        <f>'[1]POLY commited funds to date'!V58</f>
        <v>10000000</v>
      </c>
      <c r="BU58" s="275">
        <f>'[1]POLY DISB 2019'!U62</f>
        <v>10000000</v>
      </c>
      <c r="BV58" s="275">
        <f t="shared" si="20"/>
        <v>0</v>
      </c>
      <c r="BW58" s="275"/>
      <c r="BX58" s="275">
        <f>'[1]POLY commited funds to date'!W58</f>
        <v>0</v>
      </c>
      <c r="BY58" s="275">
        <f>'[1]POLY DISB 2019'!V62</f>
        <v>0</v>
      </c>
      <c r="BZ58" s="275">
        <f t="shared" si="21"/>
        <v>0</v>
      </c>
      <c r="CA58" s="275"/>
      <c r="CB58" s="275">
        <f>'[1]POLY commited funds to date'!X58</f>
        <v>210000000</v>
      </c>
      <c r="CC58" s="275">
        <f>'[1]POLY DISB 2019'!W62</f>
        <v>210000000</v>
      </c>
      <c r="CD58" s="275">
        <f t="shared" si="22"/>
        <v>0</v>
      </c>
      <c r="CE58" s="275"/>
      <c r="CF58" s="275">
        <f>'[1]POLY commited funds to date'!Y58</f>
        <v>150000000</v>
      </c>
      <c r="CG58" s="275">
        <f>'[1]POLY DISB 2019'!X62</f>
        <v>150000000</v>
      </c>
      <c r="CH58" s="275">
        <f t="shared" si="23"/>
        <v>0</v>
      </c>
      <c r="CI58" s="275"/>
      <c r="CJ58" s="275">
        <f>'[1]POLY commited funds to date'!Z58</f>
        <v>0</v>
      </c>
      <c r="CK58" s="275">
        <f>'[1]POLY DISB 2019'!Y62</f>
        <v>0</v>
      </c>
      <c r="CL58" s="275">
        <f t="shared" si="24"/>
        <v>0</v>
      </c>
      <c r="CM58" s="275"/>
      <c r="CN58" s="275">
        <f>'[1]POLY commited funds to date'!AA58</f>
        <v>243000000</v>
      </c>
      <c r="CO58" s="275">
        <f>'[1]POLY DISB 2019'!Z62</f>
        <v>243000000</v>
      </c>
      <c r="CP58" s="275">
        <f t="shared" si="25"/>
        <v>0</v>
      </c>
      <c r="CQ58" s="275"/>
      <c r="CR58" s="275">
        <v>10000000</v>
      </c>
      <c r="CS58" s="275">
        <f>'[1]POLY DISB 2019'!AA62</f>
        <v>10000000</v>
      </c>
      <c r="CT58" s="275">
        <f t="shared" si="26"/>
        <v>0</v>
      </c>
      <c r="CU58" s="275"/>
      <c r="CV58" s="275">
        <f>'[1]POLY commited funds to date'!AC58</f>
        <v>371000000</v>
      </c>
      <c r="CW58" s="275">
        <f>'[1]POLY DISB 2019'!AB62</f>
        <v>371000000</v>
      </c>
      <c r="CX58" s="275">
        <f t="shared" si="27"/>
        <v>0</v>
      </c>
      <c r="CY58" s="275"/>
      <c r="CZ58" s="275">
        <f>'[1]POLY commited funds to date'!AD58</f>
        <v>20000000</v>
      </c>
      <c r="DA58" s="275">
        <f>'[1]POLY DISB 2019'!AC62</f>
        <v>20000000</v>
      </c>
      <c r="DB58" s="275">
        <f t="shared" si="28"/>
        <v>0</v>
      </c>
      <c r="DC58" s="275"/>
      <c r="DD58" s="275">
        <f>'[1]POLY commited funds to date'!AE58</f>
        <v>350000000</v>
      </c>
      <c r="DE58" s="275">
        <f>'[1]POLY DISB 2019'!AD62</f>
        <v>350000000</v>
      </c>
      <c r="DF58" s="275">
        <f t="shared" si="29"/>
        <v>0</v>
      </c>
      <c r="DG58" s="275"/>
      <c r="DH58" s="275">
        <f>'[1]poly  com. adj for fmis'!AE58</f>
        <v>80000000</v>
      </c>
      <c r="DI58" s="275">
        <f>'[1]POLY DISB 2019'!AE62</f>
        <v>80000000</v>
      </c>
      <c r="DJ58" s="275">
        <f t="shared" si="30"/>
        <v>0</v>
      </c>
      <c r="DK58" s="275"/>
      <c r="DL58" s="275">
        <f>'[1]poly  com. adj for fmis'!AF58</f>
        <v>8000000</v>
      </c>
      <c r="DM58" s="275">
        <f>'[1]POLY DISB 2019'!AF62</f>
        <v>8000000</v>
      </c>
      <c r="DN58" s="275">
        <f t="shared" si="31"/>
        <v>0</v>
      </c>
      <c r="DO58" s="275"/>
      <c r="DP58" s="275">
        <f>'[1]poly  com. adj for fmis'!AG58</f>
        <v>2000000</v>
      </c>
      <c r="DQ58" s="275">
        <f>'[1]POLY DISB 2019'!AG62</f>
        <v>1700000</v>
      </c>
      <c r="DR58" s="275">
        <f t="shared" si="32"/>
        <v>300000</v>
      </c>
      <c r="DS58" s="275"/>
      <c r="DT58" s="275">
        <f>'[1]poly  com. adj for fmis'!AH58</f>
        <v>10000000</v>
      </c>
      <c r="DU58" s="275">
        <f>'[1]POLY DISB 2019'!AH62</f>
        <v>10000000</v>
      </c>
      <c r="DV58" s="275">
        <f t="shared" si="33"/>
        <v>0</v>
      </c>
      <c r="DW58" s="275"/>
      <c r="DX58" s="275">
        <f>'[1]poly  com. adj for fmis'!AI58</f>
        <v>410000000</v>
      </c>
      <c r="DY58" s="275">
        <f>'[1]POLY DISB 2019'!AI62</f>
        <v>410000000</v>
      </c>
      <c r="DZ58" s="275">
        <f t="shared" si="34"/>
        <v>0</v>
      </c>
      <c r="EA58" s="275"/>
      <c r="EB58" s="275">
        <f>'[1]POLY commited funds to date'!AK58</f>
        <v>380632000</v>
      </c>
      <c r="EC58" s="275">
        <f>'[1]POLY DISB 2019'!AJ62</f>
        <v>380632000</v>
      </c>
      <c r="ED58" s="275">
        <f t="shared" si="35"/>
        <v>0</v>
      </c>
      <c r="EE58" s="275"/>
      <c r="EF58" s="275">
        <f>'[1]POLY commited funds to date'!AL58</f>
        <v>8000000</v>
      </c>
      <c r="EG58" s="275">
        <f>'[1]POLY DISB 2019'!AK62</f>
        <v>8000000</v>
      </c>
      <c r="EH58" s="275">
        <f t="shared" si="36"/>
        <v>0</v>
      </c>
      <c r="EI58" s="275"/>
      <c r="EJ58" s="275">
        <f>'[1]POLY commited funds to date'!AM58</f>
        <v>10000000</v>
      </c>
      <c r="EK58" s="275">
        <f>'[1]POLY DISB 2019'!AL62</f>
        <v>8500000</v>
      </c>
      <c r="EL58" s="275">
        <f t="shared" si="37"/>
        <v>1500000</v>
      </c>
      <c r="EM58" s="275"/>
      <c r="EN58" s="275">
        <f>'[1]POLY commited funds to date'!AN58</f>
        <v>10000000</v>
      </c>
      <c r="EO58" s="275">
        <f>'[1]POLY DISB 2019'!AM62</f>
        <v>0</v>
      </c>
      <c r="EP58" s="275">
        <f t="shared" si="38"/>
        <v>10000000</v>
      </c>
      <c r="EQ58" s="281">
        <f>'[1]POLY commited funds to date'!AO58</f>
        <v>150000000</v>
      </c>
      <c r="ER58" s="275">
        <f>'[1]POLY DISB 2019'!AN62</f>
        <v>150000000</v>
      </c>
      <c r="ES58" s="275">
        <f t="shared" si="39"/>
        <v>0</v>
      </c>
      <c r="ET58" s="275"/>
      <c r="EU58" s="275">
        <f>'[1]POLY commited funds to date'!AP58</f>
        <v>205000000</v>
      </c>
      <c r="EV58" s="275">
        <f>'[1]POLY DISB 2019'!AO62</f>
        <v>131200000</v>
      </c>
      <c r="EW58" s="275">
        <f t="shared" si="40"/>
        <v>73800000</v>
      </c>
      <c r="EX58" s="275"/>
      <c r="EY58" s="275">
        <f>'[1]POLY commited funds to date'!AQ58</f>
        <v>75000000</v>
      </c>
      <c r="EZ58" s="275">
        <f>'[1]POLY DISB 2019'!AP62</f>
        <v>52500000</v>
      </c>
      <c r="FA58" s="275">
        <f t="shared" si="41"/>
        <v>22500000</v>
      </c>
      <c r="FB58" s="275"/>
      <c r="FC58" s="275">
        <f>'[1]POLY commited funds to date'!AR58</f>
        <v>7000000</v>
      </c>
      <c r="FD58" s="275">
        <f>'[1]POLY DISB 2019'!AQ62</f>
        <v>0</v>
      </c>
      <c r="FE58" s="275">
        <f t="shared" si="42"/>
        <v>7000000</v>
      </c>
      <c r="FF58" s="275"/>
      <c r="FG58" s="275">
        <f>'[1]POLY commited funds to date'!AS58</f>
        <v>6300000</v>
      </c>
      <c r="FH58" s="275">
        <f>'[1]POLY DISB 2019'!AR62</f>
        <v>0</v>
      </c>
      <c r="FI58" s="275">
        <f t="shared" si="43"/>
        <v>6300000</v>
      </c>
      <c r="FJ58" s="275"/>
      <c r="FK58" s="275">
        <f>'[1]POLY commited funds to date'!AT58</f>
        <v>7500000</v>
      </c>
      <c r="FL58" s="275">
        <f>'[1]POLY DISB 2019'!AS62</f>
        <v>0</v>
      </c>
      <c r="FM58" s="275">
        <f t="shared" si="44"/>
        <v>7500000</v>
      </c>
      <c r="FN58" s="275"/>
      <c r="FO58" s="275">
        <f>'[1]POLY commited funds to date'!AU58</f>
        <v>245000000</v>
      </c>
      <c r="FP58" s="275">
        <f>'[1]POLY DISB 2019'!AT62</f>
        <v>156800000</v>
      </c>
      <c r="FQ58" s="275">
        <f t="shared" si="45"/>
        <v>88200000</v>
      </c>
      <c r="FR58" s="275">
        <f>'[1]POLY commited funds to date'!AV58</f>
        <v>119074602</v>
      </c>
      <c r="FS58" s="275">
        <f>'[1]POLY DISB 2019'!AU62</f>
        <v>0</v>
      </c>
      <c r="FT58" s="275">
        <f t="shared" si="46"/>
        <v>119074602</v>
      </c>
      <c r="FU58" s="275"/>
      <c r="FV58" s="275">
        <f>'[1]POLY commited funds to date'!AW58</f>
        <v>13000000</v>
      </c>
      <c r="FW58" s="275">
        <f>'[1]POLY DISB 2019'!AV62</f>
        <v>0</v>
      </c>
      <c r="FX58" s="275">
        <f t="shared" si="47"/>
        <v>13000000</v>
      </c>
      <c r="FY58" s="275"/>
      <c r="FZ58" s="275">
        <f>'[1]POLY commited funds to date'!AX58</f>
        <v>8628900</v>
      </c>
      <c r="GA58" s="275">
        <f>'[1]POLY DISB 2019'!AW62</f>
        <v>0</v>
      </c>
      <c r="GB58" s="275">
        <f t="shared" si="48"/>
        <v>8628900</v>
      </c>
      <c r="GC58" s="275">
        <f>'[1]POLY commited funds to date'!AY58</f>
        <v>5000000</v>
      </c>
      <c r="GD58" s="275">
        <f>'[1]POLY DISB 2019'!AX62</f>
        <v>0</v>
      </c>
      <c r="GE58" s="275">
        <f t="shared" si="49"/>
        <v>5000000</v>
      </c>
      <c r="GF58" s="275"/>
      <c r="GG58" s="275">
        <f>'[1]POLY commited funds to date'!AZ58</f>
        <v>0</v>
      </c>
      <c r="GH58" s="275">
        <f>'[1]POLY DISB 2019'!AY62</f>
        <v>0</v>
      </c>
      <c r="GI58" s="275">
        <f t="shared" si="50"/>
        <v>0</v>
      </c>
      <c r="GJ58" s="275"/>
      <c r="GK58" s="275">
        <f t="shared" si="51"/>
        <v>3620095502</v>
      </c>
      <c r="GL58" s="275">
        <f t="shared" si="51"/>
        <v>3257292000</v>
      </c>
      <c r="GM58" s="275">
        <f t="shared" si="52"/>
        <v>362803502</v>
      </c>
      <c r="GN58" s="265"/>
      <c r="GO58" s="277">
        <f t="shared" si="53"/>
        <v>2030592000</v>
      </c>
      <c r="GP58" s="277">
        <f t="shared" si="53"/>
        <v>1868592000</v>
      </c>
      <c r="GQ58" s="277">
        <f t="shared" si="54"/>
        <v>162000000</v>
      </c>
      <c r="GR58" s="277">
        <f t="shared" si="69"/>
        <v>0</v>
      </c>
      <c r="GS58" s="277">
        <f t="shared" si="69"/>
        <v>0</v>
      </c>
      <c r="GT58" s="277">
        <f t="shared" si="55"/>
        <v>0</v>
      </c>
      <c r="GU58" s="277"/>
      <c r="GV58" s="265"/>
      <c r="GW58" s="279">
        <f t="shared" si="68"/>
        <v>1110000000</v>
      </c>
      <c r="GX58" s="279">
        <f t="shared" si="68"/>
        <v>1110000000</v>
      </c>
      <c r="GY58" s="280">
        <f t="shared" si="57"/>
        <v>0</v>
      </c>
      <c r="GZ58" s="280"/>
      <c r="HA58" s="277">
        <f t="shared" si="58"/>
        <v>74928900</v>
      </c>
      <c r="HB58" s="277">
        <f t="shared" si="58"/>
        <v>58500000</v>
      </c>
      <c r="HC58" s="277">
        <f t="shared" si="59"/>
        <v>16428900</v>
      </c>
      <c r="HE58" s="277">
        <f t="shared" si="60"/>
        <v>36000000</v>
      </c>
      <c r="HF58" s="277">
        <f t="shared" si="60"/>
        <v>16000000</v>
      </c>
      <c r="HG58" s="277">
        <f t="shared" si="61"/>
        <v>20000000</v>
      </c>
      <c r="HI58" s="279">
        <f t="shared" si="62"/>
        <v>344074602</v>
      </c>
      <c r="HJ58" s="279">
        <f t="shared" si="62"/>
        <v>202500000</v>
      </c>
      <c r="HK58" s="279">
        <f t="shared" si="63"/>
        <v>141574602</v>
      </c>
      <c r="HM58" s="279">
        <f t="shared" si="64"/>
        <v>2000000</v>
      </c>
      <c r="HN58" s="279">
        <f t="shared" si="1"/>
        <v>1700000</v>
      </c>
      <c r="HO58" s="279">
        <f t="shared" si="65"/>
        <v>300000</v>
      </c>
      <c r="HQ58" s="279">
        <f t="shared" si="66"/>
        <v>22500000</v>
      </c>
      <c r="HR58" s="279">
        <f t="shared" si="2"/>
        <v>0</v>
      </c>
      <c r="HS58" s="279">
        <f t="shared" si="67"/>
        <v>22500000</v>
      </c>
    </row>
    <row r="59" spans="1:227" x14ac:dyDescent="0.25">
      <c r="A59" s="235">
        <v>51</v>
      </c>
      <c r="B59" s="273" t="s">
        <v>250</v>
      </c>
      <c r="C59" s="286" t="s">
        <v>65</v>
      </c>
      <c r="D59" s="275">
        <v>0</v>
      </c>
      <c r="E59" s="275">
        <f>'[1]POLY DISB 2019'!C63</f>
        <v>0</v>
      </c>
      <c r="F59" s="275">
        <f>D59-E59</f>
        <v>0</v>
      </c>
      <c r="G59" s="275"/>
      <c r="H59" s="275">
        <v>0</v>
      </c>
      <c r="I59" s="275">
        <f>'[1]POLY DISB 2019'!D63</f>
        <v>0</v>
      </c>
      <c r="J59" s="275">
        <f>H59-I59</f>
        <v>0</v>
      </c>
      <c r="K59" s="275"/>
      <c r="L59" s="275">
        <v>0</v>
      </c>
      <c r="M59" s="275">
        <f>'[1]POLY DISB 2019'!E63</f>
        <v>0</v>
      </c>
      <c r="N59" s="275">
        <f>L59-M59</f>
        <v>0</v>
      </c>
      <c r="O59" s="275"/>
      <c r="P59" s="275">
        <v>0</v>
      </c>
      <c r="Q59" s="275">
        <f>'[1]POLY DISB 2019'!F63</f>
        <v>0</v>
      </c>
      <c r="R59" s="275">
        <f>P59-Q59</f>
        <v>0</v>
      </c>
      <c r="S59" s="275"/>
      <c r="T59" s="275">
        <v>0</v>
      </c>
      <c r="U59" s="275">
        <f>'[1]POLY DISB 2019'!G63</f>
        <v>0</v>
      </c>
      <c r="V59" s="275">
        <f>T59-U59</f>
        <v>0</v>
      </c>
      <c r="W59" s="275"/>
      <c r="X59" s="275">
        <v>0</v>
      </c>
      <c r="Y59" s="275">
        <f>'[1]POLY DISB 2019'!H63</f>
        <v>0</v>
      </c>
      <c r="Z59" s="275">
        <f>X59-Y59</f>
        <v>0</v>
      </c>
      <c r="AA59" s="275"/>
      <c r="AB59" s="275">
        <v>0</v>
      </c>
      <c r="AC59" s="275">
        <f>'[1]POLY DISB 2019'!I63</f>
        <v>0</v>
      </c>
      <c r="AD59" s="275">
        <f>AB59-AC59</f>
        <v>0</v>
      </c>
      <c r="AE59" s="275"/>
      <c r="AF59" s="275">
        <f>'[1]POLY commited funds to date'!K59</f>
        <v>0</v>
      </c>
      <c r="AG59" s="275">
        <f>'[1]POLY DISB 2019'!J63</f>
        <v>0</v>
      </c>
      <c r="AH59" s="275">
        <f>AF59-AG59</f>
        <v>0</v>
      </c>
      <c r="AI59" s="275"/>
      <c r="AJ59" s="275">
        <v>0</v>
      </c>
      <c r="AK59" s="275">
        <f>'[1]POLY DISB 2019'!K63</f>
        <v>0</v>
      </c>
      <c r="AL59" s="275">
        <f>AJ59-AK59</f>
        <v>0</v>
      </c>
      <c r="AM59" s="275"/>
      <c r="AN59" s="275">
        <v>0</v>
      </c>
      <c r="AO59" s="275">
        <f>'[1]POLY DISB 2019'!L63</f>
        <v>0</v>
      </c>
      <c r="AP59" s="275">
        <f>AN59-AO59</f>
        <v>0</v>
      </c>
      <c r="AQ59" s="275"/>
      <c r="AR59" s="275">
        <v>0</v>
      </c>
      <c r="AS59" s="275">
        <f>'[1]POLY DISB 2019'!M63</f>
        <v>0</v>
      </c>
      <c r="AT59" s="275">
        <f>AR59-AS59</f>
        <v>0</v>
      </c>
      <c r="AU59" s="275"/>
      <c r="AV59" s="275">
        <v>0</v>
      </c>
      <c r="AW59" s="275">
        <f>'[1]POLY DISB 2019'!N63</f>
        <v>0</v>
      </c>
      <c r="AX59" s="275">
        <f>AV59-AW59</f>
        <v>0</v>
      </c>
      <c r="AY59" s="275"/>
      <c r="AZ59" s="275">
        <v>0</v>
      </c>
      <c r="BA59" s="275">
        <f>'[1]POLY DISB 2019'!P63</f>
        <v>0</v>
      </c>
      <c r="BB59" s="275">
        <f>AZ59-BA59</f>
        <v>0</v>
      </c>
      <c r="BC59" s="275"/>
      <c r="BD59" s="275">
        <v>0</v>
      </c>
      <c r="BE59" s="275">
        <f>'[1]POLY DISB 2019'!Q63</f>
        <v>0</v>
      </c>
      <c r="BF59" s="275">
        <f>BD59-BE59</f>
        <v>0</v>
      </c>
      <c r="BG59" s="275"/>
      <c r="BH59" s="275">
        <f>'[1]POLY commited funds to date'!S59</f>
        <v>0</v>
      </c>
      <c r="BI59" s="275">
        <f>'[1]POLY DISB 2019'!R63</f>
        <v>0</v>
      </c>
      <c r="BJ59" s="275">
        <f>BH59-BI59</f>
        <v>0</v>
      </c>
      <c r="BK59" s="275"/>
      <c r="BL59" s="275">
        <f>'[1]poly  com. adj for fmis'!S63</f>
        <v>0</v>
      </c>
      <c r="BM59" s="275">
        <f>'[1]POLY DISB 2019'!S63</f>
        <v>0</v>
      </c>
      <c r="BN59" s="269">
        <f>BL59-BM59</f>
        <v>0</v>
      </c>
      <c r="BO59" s="275"/>
      <c r="BP59" s="276">
        <f>'[1]POLY commited funds to date'!U59</f>
        <v>169900000</v>
      </c>
      <c r="BQ59" s="275">
        <f>'[1]POLY DISB 2019'!T63</f>
        <v>169900000</v>
      </c>
      <c r="BR59" s="275">
        <f>BP59-BQ59</f>
        <v>0</v>
      </c>
      <c r="BS59" s="275"/>
      <c r="BT59" s="275">
        <f>'[1]POLY commited funds to date'!V59</f>
        <v>10000000</v>
      </c>
      <c r="BU59" s="275">
        <f>'[1]POLY DISB 2019'!U63</f>
        <v>0</v>
      </c>
      <c r="BV59" s="275">
        <f>BT59-BU59</f>
        <v>10000000</v>
      </c>
      <c r="BW59" s="275"/>
      <c r="BX59" s="275">
        <f>'[1]POLY commited funds to date'!W59</f>
        <v>0</v>
      </c>
      <c r="BY59" s="275">
        <f>'[1]POLY DISB 2019'!V63</f>
        <v>0</v>
      </c>
      <c r="BZ59" s="275">
        <f>BX59-BY59</f>
        <v>0</v>
      </c>
      <c r="CA59" s="275"/>
      <c r="CB59" s="275">
        <f>'[1]POLY commited funds to date'!X59</f>
        <v>210000000</v>
      </c>
      <c r="CC59" s="275">
        <f>'[1]POLY DISB 2019'!W63</f>
        <v>210000000</v>
      </c>
      <c r="CD59" s="275">
        <f>CB59-CC59</f>
        <v>0</v>
      </c>
      <c r="CE59" s="275"/>
      <c r="CF59" s="275">
        <f>'[1]POLY commited funds to date'!Y59</f>
        <v>100000000</v>
      </c>
      <c r="CG59" s="275">
        <f>'[1]POLY DISB 2019'!X63</f>
        <v>100000000</v>
      </c>
      <c r="CH59" s="275">
        <f>CF59-CG59</f>
        <v>0</v>
      </c>
      <c r="CI59" s="275"/>
      <c r="CJ59" s="275">
        <f>'[1]POLY commited funds to date'!Z59</f>
        <v>0</v>
      </c>
      <c r="CK59" s="275">
        <f>'[1]POLY DISB 2019'!Y63</f>
        <v>0</v>
      </c>
      <c r="CL59" s="275">
        <f t="shared" si="24"/>
        <v>0</v>
      </c>
      <c r="CM59" s="275"/>
      <c r="CN59" s="275">
        <f>'[1]POLY commited funds to date'!AA59</f>
        <v>243000000</v>
      </c>
      <c r="CO59" s="275">
        <f>'[1]POLY DISB 2019'!Z63</f>
        <v>153090000</v>
      </c>
      <c r="CP59" s="275">
        <f>CN59-CO59</f>
        <v>89910000</v>
      </c>
      <c r="CQ59" s="275"/>
      <c r="CR59" s="275">
        <v>10000000</v>
      </c>
      <c r="CS59" s="275">
        <f>'[1]POLY DISB 2019'!AA63</f>
        <v>0</v>
      </c>
      <c r="CT59" s="275">
        <f>CR59-CS59</f>
        <v>10000000</v>
      </c>
      <c r="CU59" s="275"/>
      <c r="CV59" s="275">
        <f>'[1]POLY commited funds to date'!AC59</f>
        <v>371000000</v>
      </c>
      <c r="CW59" s="275">
        <f>'[1]POLY DISB 2019'!AB63</f>
        <v>233730000</v>
      </c>
      <c r="CX59" s="275">
        <f>CV59-CW59</f>
        <v>137270000</v>
      </c>
      <c r="CY59" s="275"/>
      <c r="CZ59" s="275">
        <f>'[1]POLY commited funds to date'!AD59</f>
        <v>20000000</v>
      </c>
      <c r="DA59" s="275">
        <f>'[1]POLY DISB 2019'!AC63</f>
        <v>0</v>
      </c>
      <c r="DB59" s="275">
        <f>CZ59-DA59</f>
        <v>20000000</v>
      </c>
      <c r="DC59" s="275"/>
      <c r="DD59" s="275">
        <f>'[1]POLY commited funds to date'!AE59</f>
        <v>100000000</v>
      </c>
      <c r="DE59" s="275">
        <f>'[1]POLY DISB 2019'!AD63</f>
        <v>100000000</v>
      </c>
      <c r="DF59" s="275">
        <f>DD59-DE59</f>
        <v>0</v>
      </c>
      <c r="DG59" s="275"/>
      <c r="DH59" s="275">
        <f>'[1]poly  com. adj for fmis'!AE63</f>
        <v>80000000</v>
      </c>
      <c r="DI59" s="275">
        <f>'[1]POLY DISB 2019'!AE63</f>
        <v>50400000</v>
      </c>
      <c r="DJ59" s="275">
        <f t="shared" si="30"/>
        <v>29600000</v>
      </c>
      <c r="DK59" s="275"/>
      <c r="DL59" s="275">
        <f>'[1]poly  com. adj for fmis'!AF63</f>
        <v>8000000</v>
      </c>
      <c r="DM59" s="275">
        <f>'[1]POLY DISB 2019'!AF63</f>
        <v>0</v>
      </c>
      <c r="DN59" s="275">
        <f t="shared" si="31"/>
        <v>8000000</v>
      </c>
      <c r="DO59" s="275"/>
      <c r="DP59" s="275">
        <f>'[1]poly  com. adj for fmis'!AG63</f>
        <v>2000000</v>
      </c>
      <c r="DQ59" s="275">
        <f>'[1]POLY DISB 2019'!AG63</f>
        <v>0</v>
      </c>
      <c r="DR59" s="275">
        <f t="shared" si="32"/>
        <v>2000000</v>
      </c>
      <c r="DS59" s="275"/>
      <c r="DT59" s="275">
        <f>'[1]poly  com. adj for fmis'!AH63</f>
        <v>10000000</v>
      </c>
      <c r="DU59" s="275">
        <f>'[1]POLY DISB 2019'!AH63</f>
        <v>0</v>
      </c>
      <c r="DV59" s="275">
        <f t="shared" si="33"/>
        <v>10000000</v>
      </c>
      <c r="DW59" s="275"/>
      <c r="DX59" s="275">
        <f>'[1]poly  com. adj for fmis'!AI63</f>
        <v>0</v>
      </c>
      <c r="DY59" s="275">
        <f>'[1]POLY DISB 2019'!AI63</f>
        <v>0</v>
      </c>
      <c r="DZ59" s="275">
        <f t="shared" si="34"/>
        <v>0</v>
      </c>
      <c r="EA59" s="275"/>
      <c r="EB59" s="275">
        <f>'[1]POLY commited funds to date'!AK59</f>
        <v>380632000</v>
      </c>
      <c r="EC59" s="275">
        <f>'[1]POLY DISB 2019'!AJ63</f>
        <v>239798160</v>
      </c>
      <c r="ED59" s="275">
        <f t="shared" si="35"/>
        <v>140833840</v>
      </c>
      <c r="EE59" s="275"/>
      <c r="EF59" s="275">
        <f>'[1]POLY commited funds to date'!AL59</f>
        <v>8000000</v>
      </c>
      <c r="EG59" s="275">
        <f>'[1]POLY DISB 2019'!AK63</f>
        <v>0</v>
      </c>
      <c r="EH59" s="275">
        <f t="shared" si="36"/>
        <v>8000000</v>
      </c>
      <c r="EI59" s="275"/>
      <c r="EJ59" s="275">
        <f>'[1]POLY commited funds to date'!AM59</f>
        <v>10000000</v>
      </c>
      <c r="EK59" s="275">
        <f>'[1]POLY DISB 2019'!AL63</f>
        <v>0</v>
      </c>
      <c r="EL59" s="275">
        <f t="shared" si="37"/>
        <v>10000000</v>
      </c>
      <c r="EM59" s="275"/>
      <c r="EN59" s="275">
        <f>'[1]POLY commited funds to date'!AN59</f>
        <v>10000000</v>
      </c>
      <c r="EO59" s="275">
        <f>'[1]POLY DISB 2019'!AM63</f>
        <v>0</v>
      </c>
      <c r="EP59" s="275">
        <f t="shared" si="38"/>
        <v>10000000</v>
      </c>
      <c r="EQ59" s="275">
        <f>'[1]POLY commited funds to date'!AO59</f>
        <v>0</v>
      </c>
      <c r="ER59" s="275">
        <f>'[1]POLY DISB 2019'!AN63</f>
        <v>0</v>
      </c>
      <c r="ES59" s="275">
        <f t="shared" si="39"/>
        <v>0</v>
      </c>
      <c r="ET59" s="275"/>
      <c r="EU59" s="275">
        <f>'[1]POLY commited funds to date'!AP59</f>
        <v>205000000</v>
      </c>
      <c r="EV59" s="275">
        <f>'[1]POLY DISB 2019'!AO63</f>
        <v>0</v>
      </c>
      <c r="EW59" s="275">
        <f t="shared" si="40"/>
        <v>205000000</v>
      </c>
      <c r="EX59" s="275"/>
      <c r="EY59" s="275">
        <f>'[1]POLY commited funds to date'!AQ59</f>
        <v>75000000</v>
      </c>
      <c r="EZ59" s="275">
        <f>'[1]POLY DISB 2019'!AP63</f>
        <v>51000000</v>
      </c>
      <c r="FA59" s="275">
        <f t="shared" si="41"/>
        <v>24000000</v>
      </c>
      <c r="FB59" s="275"/>
      <c r="FC59" s="275">
        <f>'[1]POLY commited funds to date'!AR59</f>
        <v>7000000</v>
      </c>
      <c r="FD59" s="275">
        <f>'[1]POLY DISB 2019'!AQ63</f>
        <v>0</v>
      </c>
      <c r="FE59" s="275">
        <f t="shared" si="42"/>
        <v>7000000</v>
      </c>
      <c r="FF59" s="275"/>
      <c r="FG59" s="275">
        <f>'[1]POLY commited funds to date'!AS59</f>
        <v>6300000</v>
      </c>
      <c r="FH59" s="275">
        <f>'[1]POLY DISB 2019'!AR63</f>
        <v>0</v>
      </c>
      <c r="FI59" s="275">
        <f t="shared" si="43"/>
        <v>6300000</v>
      </c>
      <c r="FJ59" s="275"/>
      <c r="FK59" s="275">
        <f>'[1]POLY commited funds to date'!AT59</f>
        <v>7500000</v>
      </c>
      <c r="FL59" s="275">
        <f>'[1]POLY DISB 2019'!AS63</f>
        <v>0</v>
      </c>
      <c r="FM59" s="275">
        <f t="shared" si="44"/>
        <v>7500000</v>
      </c>
      <c r="FN59" s="275"/>
      <c r="FO59" s="275">
        <f>'[1]POLY commited funds to date'!AU59</f>
        <v>245000000</v>
      </c>
      <c r="FP59" s="275">
        <f>'[1]POLY DISB 2019'!AT63</f>
        <v>0</v>
      </c>
      <c r="FQ59" s="275">
        <f t="shared" si="45"/>
        <v>245000000</v>
      </c>
      <c r="FR59" s="275">
        <f>'[1]POLY commited funds to date'!AV59</f>
        <v>119074602</v>
      </c>
      <c r="FS59" s="275">
        <f>'[1]POLY DISB 2019'!AU63</f>
        <v>0</v>
      </c>
      <c r="FT59" s="275">
        <f t="shared" si="46"/>
        <v>119074602</v>
      </c>
      <c r="FU59" s="275"/>
      <c r="FV59" s="275">
        <f>'[1]POLY commited funds to date'!AW59</f>
        <v>13000000</v>
      </c>
      <c r="FW59" s="275">
        <f>'[1]POLY DISB 2019'!AV63</f>
        <v>0</v>
      </c>
      <c r="FX59" s="275">
        <f t="shared" si="47"/>
        <v>13000000</v>
      </c>
      <c r="FY59" s="275"/>
      <c r="FZ59" s="275">
        <f>'[1]POLY commited funds to date'!AX59</f>
        <v>8628900</v>
      </c>
      <c r="GA59" s="275">
        <f>'[1]POLY DISB 2019'!AW63</f>
        <v>0</v>
      </c>
      <c r="GB59" s="275">
        <f t="shared" si="48"/>
        <v>8628900</v>
      </c>
      <c r="GC59" s="275">
        <f>'[1]POLY commited funds to date'!AY59</f>
        <v>5000000</v>
      </c>
      <c r="GD59" s="275">
        <f>'[1]POLY DISB 2019'!AX63</f>
        <v>0</v>
      </c>
      <c r="GE59" s="275">
        <f t="shared" si="49"/>
        <v>5000000</v>
      </c>
      <c r="GF59" s="275"/>
      <c r="GG59" s="275">
        <f>'[1]POLY commited funds to date'!AZ59</f>
        <v>0</v>
      </c>
      <c r="GH59" s="275">
        <f>'[1]POLY DISB 2019'!AY63</f>
        <v>0</v>
      </c>
      <c r="GI59" s="275">
        <f t="shared" si="50"/>
        <v>0</v>
      </c>
      <c r="GJ59" s="275"/>
      <c r="GK59" s="275">
        <f t="shared" si="51"/>
        <v>2434035502</v>
      </c>
      <c r="GL59" s="275">
        <f t="shared" si="51"/>
        <v>1307918160</v>
      </c>
      <c r="GM59" s="275">
        <f t="shared" si="52"/>
        <v>1126117342</v>
      </c>
      <c r="GN59" s="265"/>
      <c r="GO59" s="277">
        <f t="shared" si="53"/>
        <v>1904532000</v>
      </c>
      <c r="GP59" s="277">
        <f t="shared" si="53"/>
        <v>1056918160</v>
      </c>
      <c r="GQ59" s="277">
        <f t="shared" si="54"/>
        <v>847613840</v>
      </c>
      <c r="GR59" s="277">
        <f t="shared" si="69"/>
        <v>0</v>
      </c>
      <c r="GS59" s="277">
        <f t="shared" si="69"/>
        <v>0</v>
      </c>
      <c r="GT59" s="277">
        <f t="shared" si="55"/>
        <v>0</v>
      </c>
      <c r="GU59" s="277"/>
      <c r="GV59" s="265"/>
      <c r="GW59" s="279">
        <f t="shared" si="68"/>
        <v>200000000</v>
      </c>
      <c r="GX59" s="279">
        <f t="shared" si="68"/>
        <v>200000000</v>
      </c>
      <c r="GY59" s="280">
        <f t="shared" si="57"/>
        <v>0</v>
      </c>
      <c r="GZ59" s="280"/>
      <c r="HA59" s="277">
        <f t="shared" si="58"/>
        <v>74928900</v>
      </c>
      <c r="HB59" s="277">
        <f t="shared" si="58"/>
        <v>0</v>
      </c>
      <c r="HC59" s="277">
        <f t="shared" si="59"/>
        <v>74928900</v>
      </c>
      <c r="HE59" s="277">
        <f t="shared" si="60"/>
        <v>36000000</v>
      </c>
      <c r="HF59" s="277">
        <f t="shared" si="60"/>
        <v>0</v>
      </c>
      <c r="HG59" s="277">
        <f t="shared" si="61"/>
        <v>36000000</v>
      </c>
      <c r="HI59" s="279">
        <f t="shared" si="62"/>
        <v>194074602</v>
      </c>
      <c r="HJ59" s="279">
        <f t="shared" si="62"/>
        <v>51000000</v>
      </c>
      <c r="HK59" s="279">
        <f t="shared" si="63"/>
        <v>143074602</v>
      </c>
      <c r="HM59" s="279">
        <f t="shared" si="64"/>
        <v>2000000</v>
      </c>
      <c r="HN59" s="279">
        <f t="shared" si="1"/>
        <v>0</v>
      </c>
      <c r="HO59" s="279">
        <f t="shared" si="65"/>
        <v>2000000</v>
      </c>
      <c r="HQ59" s="279">
        <f t="shared" si="66"/>
        <v>22500000</v>
      </c>
      <c r="HR59" s="279">
        <f t="shared" si="2"/>
        <v>0</v>
      </c>
      <c r="HS59" s="279">
        <f t="shared" si="67"/>
        <v>22500000</v>
      </c>
    </row>
    <row r="60" spans="1:227" x14ac:dyDescent="0.25">
      <c r="A60" s="235">
        <v>52</v>
      </c>
      <c r="B60" s="273" t="s">
        <v>251</v>
      </c>
      <c r="C60" s="274" t="s">
        <v>65</v>
      </c>
      <c r="D60" s="275">
        <v>0</v>
      </c>
      <c r="E60" s="275">
        <f>'[1]POLY DISB 2019'!C64</f>
        <v>0</v>
      </c>
      <c r="F60" s="275">
        <f>D60-E60</f>
        <v>0</v>
      </c>
      <c r="G60" s="275"/>
      <c r="H60" s="275">
        <v>0</v>
      </c>
      <c r="I60" s="275">
        <f>'[1]POLY DISB 2019'!D64</f>
        <v>0</v>
      </c>
      <c r="J60" s="275">
        <f>H60-I60</f>
        <v>0</v>
      </c>
      <c r="K60" s="275"/>
      <c r="L60" s="275">
        <v>0</v>
      </c>
      <c r="M60" s="275">
        <f>'[1]POLY DISB 2019'!E64</f>
        <v>0</v>
      </c>
      <c r="N60" s="275">
        <f>L60-M60</f>
        <v>0</v>
      </c>
      <c r="O60" s="275"/>
      <c r="P60" s="275">
        <v>0</v>
      </c>
      <c r="Q60" s="275">
        <f>'[1]POLY DISB 2019'!F64</f>
        <v>0</v>
      </c>
      <c r="R60" s="275">
        <f>P60-Q60</f>
        <v>0</v>
      </c>
      <c r="S60" s="275"/>
      <c r="T60" s="275">
        <v>0</v>
      </c>
      <c r="U60" s="275">
        <f>'[1]POLY DISB 2019'!G64</f>
        <v>0</v>
      </c>
      <c r="V60" s="275">
        <f>T60-U60</f>
        <v>0</v>
      </c>
      <c r="W60" s="275"/>
      <c r="X60" s="275">
        <v>0</v>
      </c>
      <c r="Y60" s="275">
        <f>'[1]POLY DISB 2019'!H64</f>
        <v>0</v>
      </c>
      <c r="Z60" s="275">
        <f>X60-Y60</f>
        <v>0</v>
      </c>
      <c r="AA60" s="275"/>
      <c r="AB60" s="275">
        <v>0</v>
      </c>
      <c r="AC60" s="275">
        <f>'[1]POLY DISB 2019'!I64</f>
        <v>0</v>
      </c>
      <c r="AD60" s="275">
        <f>AB60-AC60</f>
        <v>0</v>
      </c>
      <c r="AE60" s="275"/>
      <c r="AF60" s="275">
        <f>'[1]POLY commited funds to date'!K60</f>
        <v>0</v>
      </c>
      <c r="AG60" s="275">
        <f>'[1]POLY DISB 2019'!J64</f>
        <v>0</v>
      </c>
      <c r="AH60" s="275">
        <f>AF60-AG60</f>
        <v>0</v>
      </c>
      <c r="AI60" s="275"/>
      <c r="AJ60" s="275">
        <v>0</v>
      </c>
      <c r="AK60" s="275">
        <f>'[1]POLY DISB 2019'!K64</f>
        <v>0</v>
      </c>
      <c r="AL60" s="275">
        <f>AJ60-AK60</f>
        <v>0</v>
      </c>
      <c r="AM60" s="275"/>
      <c r="AN60" s="275">
        <v>0</v>
      </c>
      <c r="AO60" s="275">
        <f>'[1]POLY DISB 2019'!L64</f>
        <v>0</v>
      </c>
      <c r="AP60" s="275">
        <f>AN60-AO60</f>
        <v>0</v>
      </c>
      <c r="AQ60" s="275"/>
      <c r="AR60" s="275">
        <v>0</v>
      </c>
      <c r="AS60" s="275">
        <f>'[1]POLY DISB 2019'!M64</f>
        <v>0</v>
      </c>
      <c r="AT60" s="275">
        <f>AR60-AS60</f>
        <v>0</v>
      </c>
      <c r="AU60" s="275"/>
      <c r="AV60" s="275">
        <v>0</v>
      </c>
      <c r="AW60" s="275">
        <f>'[1]POLY DISB 2019'!N64</f>
        <v>0</v>
      </c>
      <c r="AX60" s="275">
        <f>AV60-AW60</f>
        <v>0</v>
      </c>
      <c r="AY60" s="275"/>
      <c r="AZ60" s="275">
        <v>0</v>
      </c>
      <c r="BA60" s="275">
        <f>'[1]POLY DISB 2019'!P64</f>
        <v>0</v>
      </c>
      <c r="BB60" s="275">
        <f>AZ60-BA60</f>
        <v>0</v>
      </c>
      <c r="BC60" s="275"/>
      <c r="BD60" s="275">
        <v>0</v>
      </c>
      <c r="BE60" s="275">
        <f>'[1]POLY DISB 2019'!Q64</f>
        <v>0</v>
      </c>
      <c r="BF60" s="275">
        <f>BD60-BE60</f>
        <v>0</v>
      </c>
      <c r="BG60" s="275"/>
      <c r="BH60" s="275">
        <f>'[1]POLY commited funds to date'!S60</f>
        <v>0</v>
      </c>
      <c r="BI60" s="275">
        <f>'[1]POLY DISB 2019'!R64</f>
        <v>0</v>
      </c>
      <c r="BJ60" s="275">
        <f>BH60-BI60</f>
        <v>0</v>
      </c>
      <c r="BK60" s="275"/>
      <c r="BL60" s="275">
        <f>'[1]poly  com. adj for fmis'!S62</f>
        <v>0</v>
      </c>
      <c r="BM60" s="275">
        <f>'[1]POLY DISB 2019'!S64</f>
        <v>0</v>
      </c>
      <c r="BN60" s="269">
        <f>BL60-BM60</f>
        <v>0</v>
      </c>
      <c r="BO60" s="275"/>
      <c r="BP60" s="276">
        <f>'[1]POLY commited funds to date'!U60</f>
        <v>169900000</v>
      </c>
      <c r="BQ60" s="275">
        <f>'[1]POLY DISB 2019'!T64</f>
        <v>169900000</v>
      </c>
      <c r="BR60" s="275">
        <f>BP60-BQ60</f>
        <v>0</v>
      </c>
      <c r="BS60" s="275"/>
      <c r="BT60" s="275">
        <f>'[1]POLY commited funds to date'!V60</f>
        <v>10000000</v>
      </c>
      <c r="BU60" s="275">
        <f>'[1]POLY DISB 2019'!U64</f>
        <v>8500000</v>
      </c>
      <c r="BV60" s="275">
        <f>BT60-BU60</f>
        <v>1500000</v>
      </c>
      <c r="BW60" s="275"/>
      <c r="BX60" s="275">
        <f>'[1]POLY commited funds to date'!W60</f>
        <v>0</v>
      </c>
      <c r="BY60" s="275">
        <f>'[1]POLY DISB 2019'!V64</f>
        <v>0</v>
      </c>
      <c r="BZ60" s="275">
        <f>BX60-BY60</f>
        <v>0</v>
      </c>
      <c r="CA60" s="275"/>
      <c r="CB60" s="275">
        <f>'[1]POLY commited funds to date'!X60</f>
        <v>210000000</v>
      </c>
      <c r="CC60" s="275">
        <f>'[1]POLY DISB 2019'!W64</f>
        <v>210000000</v>
      </c>
      <c r="CD60" s="275">
        <f>CB60-CC60</f>
        <v>0</v>
      </c>
      <c r="CE60" s="275"/>
      <c r="CF60" s="275">
        <f>'[1]POLY commited funds to date'!Y60</f>
        <v>0</v>
      </c>
      <c r="CG60" s="275">
        <f>'[1]POLY DISB 2019'!X64</f>
        <v>0</v>
      </c>
      <c r="CH60" s="275">
        <f>CF60-CG60</f>
        <v>0</v>
      </c>
      <c r="CI60" s="275"/>
      <c r="CJ60" s="275">
        <f>'[1]POLY commited funds to date'!Z60</f>
        <v>100000000</v>
      </c>
      <c r="CK60" s="275">
        <f>'[1]POLY DISB 2019'!Y64</f>
        <v>100000000</v>
      </c>
      <c r="CL60" s="275">
        <f t="shared" si="24"/>
        <v>0</v>
      </c>
      <c r="CM60" s="275"/>
      <c r="CN60" s="275">
        <f>'[1]POLY commited funds to date'!AA60</f>
        <v>243000000</v>
      </c>
      <c r="CO60" s="275">
        <f>'[1]POLY DISB 2019'!Z64</f>
        <v>243000000</v>
      </c>
      <c r="CP60" s="275">
        <f>CN60-CO60</f>
        <v>0</v>
      </c>
      <c r="CQ60" s="275"/>
      <c r="CR60" s="275">
        <v>10000000</v>
      </c>
      <c r="CS60" s="275">
        <f>'[1]POLY DISB 2019'!AA64</f>
        <v>8500000</v>
      </c>
      <c r="CT60" s="275">
        <f>CR60-CS60</f>
        <v>1500000</v>
      </c>
      <c r="CU60" s="275"/>
      <c r="CV60" s="275">
        <f>'[1]POLY commited funds to date'!AC60</f>
        <v>371000000</v>
      </c>
      <c r="CW60" s="275">
        <f>'[1]POLY DISB 2019'!AB64</f>
        <v>371000000</v>
      </c>
      <c r="CX60" s="275">
        <f>CV60-CW60</f>
        <v>0</v>
      </c>
      <c r="CY60" s="275"/>
      <c r="CZ60" s="275">
        <f>'[1]POLY commited funds to date'!AD60</f>
        <v>20000000</v>
      </c>
      <c r="DA60" s="275">
        <f>'[1]POLY DISB 2019'!AC64</f>
        <v>17000000</v>
      </c>
      <c r="DB60" s="275">
        <f>CZ60-DA60</f>
        <v>3000000</v>
      </c>
      <c r="DC60" s="275"/>
      <c r="DD60" s="275">
        <f>'[1]POLY commited funds to date'!AE60</f>
        <v>150000000</v>
      </c>
      <c r="DE60" s="275">
        <f>'[1]POLY DISB 2019'!AD64</f>
        <v>150000000</v>
      </c>
      <c r="DF60" s="275">
        <f>DD60-DE60</f>
        <v>0</v>
      </c>
      <c r="DG60" s="275"/>
      <c r="DH60" s="275">
        <f>'[1]poly  com. adj for fmis'!AE62</f>
        <v>80000000</v>
      </c>
      <c r="DI60" s="275">
        <f>'[1]POLY DISB 2019'!AE64</f>
        <v>50400000</v>
      </c>
      <c r="DJ60" s="275">
        <f t="shared" si="30"/>
        <v>29600000</v>
      </c>
      <c r="DK60" s="275"/>
      <c r="DL60" s="275">
        <f>'[1]poly  com. adj for fmis'!AF62</f>
        <v>8000000</v>
      </c>
      <c r="DM60" s="275">
        <f>'[1]POLY DISB 2019'!AF64</f>
        <v>4480000</v>
      </c>
      <c r="DN60" s="275">
        <f t="shared" si="31"/>
        <v>3520000</v>
      </c>
      <c r="DO60" s="275"/>
      <c r="DP60" s="275">
        <f>'[1]poly  com. adj for fmis'!AG62</f>
        <v>2000000</v>
      </c>
      <c r="DQ60" s="275">
        <f>'[1]POLY DISB 2019'!AG64</f>
        <v>0</v>
      </c>
      <c r="DR60" s="275">
        <f t="shared" si="32"/>
        <v>2000000</v>
      </c>
      <c r="DS60" s="275"/>
      <c r="DT60" s="275">
        <f>'[1]poly  com. adj for fmis'!AH62</f>
        <v>10000000</v>
      </c>
      <c r="DU60" s="275">
        <f>'[1]POLY DISB 2019'!AH64</f>
        <v>0</v>
      </c>
      <c r="DV60" s="275">
        <f t="shared" si="33"/>
        <v>10000000</v>
      </c>
      <c r="DW60" s="275"/>
      <c r="DX60" s="275">
        <f>'[1]poly  com. adj for fmis'!AI62</f>
        <v>0</v>
      </c>
      <c r="DY60" s="275">
        <f>'[1]POLY DISB 2019'!AI64</f>
        <v>0</v>
      </c>
      <c r="DZ60" s="275">
        <f t="shared" si="34"/>
        <v>0</v>
      </c>
      <c r="EA60" s="275"/>
      <c r="EB60" s="275">
        <f>'[1]POLY commited funds to date'!AK60</f>
        <v>380632000</v>
      </c>
      <c r="EC60" s="275">
        <f>'[1]POLY DISB 2019'!AJ64</f>
        <v>239798160</v>
      </c>
      <c r="ED60" s="275">
        <f t="shared" si="35"/>
        <v>140833840</v>
      </c>
      <c r="EE60" s="275"/>
      <c r="EF60" s="275">
        <f>'[1]POLY commited funds to date'!AL60</f>
        <v>8000000</v>
      </c>
      <c r="EG60" s="275">
        <f>'[1]POLY DISB 2019'!AK64</f>
        <v>4480000</v>
      </c>
      <c r="EH60" s="275">
        <f t="shared" si="36"/>
        <v>3520000</v>
      </c>
      <c r="EI60" s="275"/>
      <c r="EJ60" s="275">
        <f>'[1]POLY commited funds to date'!AM60</f>
        <v>10000000</v>
      </c>
      <c r="EK60" s="275">
        <f>'[1]POLY DISB 2019'!AL64</f>
        <v>0</v>
      </c>
      <c r="EL60" s="275">
        <f t="shared" si="37"/>
        <v>10000000</v>
      </c>
      <c r="EM60" s="275"/>
      <c r="EN60" s="275">
        <f>'[1]POLY commited funds to date'!AN60</f>
        <v>10000000</v>
      </c>
      <c r="EO60" s="275">
        <f>'[1]POLY DISB 2019'!AM64</f>
        <v>0</v>
      </c>
      <c r="EP60" s="275">
        <f t="shared" si="38"/>
        <v>10000000</v>
      </c>
      <c r="EQ60" s="281">
        <f>'[1]POLY commited funds to date'!AO60</f>
        <v>150000000</v>
      </c>
      <c r="ER60" s="275">
        <f>'[1]POLY DISB 2019'!AN64</f>
        <v>127500000</v>
      </c>
      <c r="ES60" s="275">
        <f t="shared" si="39"/>
        <v>22500000</v>
      </c>
      <c r="ET60" s="275"/>
      <c r="EU60" s="275">
        <f>'[1]POLY commited funds to date'!AP60</f>
        <v>205000000</v>
      </c>
      <c r="EV60" s="275">
        <f>'[1]POLY DISB 2019'!AO64</f>
        <v>0</v>
      </c>
      <c r="EW60" s="275">
        <f t="shared" si="40"/>
        <v>205000000</v>
      </c>
      <c r="EX60" s="275"/>
      <c r="EY60" s="275">
        <f>'[1]POLY commited funds to date'!AQ60</f>
        <v>75000000</v>
      </c>
      <c r="EZ60" s="275">
        <f>'[1]POLY DISB 2019'!AP64</f>
        <v>114750000</v>
      </c>
      <c r="FA60" s="275">
        <f t="shared" si="41"/>
        <v>-39750000</v>
      </c>
      <c r="FB60" s="275"/>
      <c r="FC60" s="275">
        <f>'[1]POLY commited funds to date'!AR60</f>
        <v>7000000</v>
      </c>
      <c r="FD60" s="275">
        <f>'[1]POLY DISB 2019'!AQ64</f>
        <v>0</v>
      </c>
      <c r="FE60" s="275">
        <f t="shared" si="42"/>
        <v>7000000</v>
      </c>
      <c r="FF60" s="275"/>
      <c r="FG60" s="275">
        <f>'[1]POLY commited funds to date'!AS60</f>
        <v>6300000</v>
      </c>
      <c r="FH60" s="275">
        <f>'[1]POLY DISB 2019'!AR64</f>
        <v>0</v>
      </c>
      <c r="FI60" s="275">
        <f t="shared" si="43"/>
        <v>6300000</v>
      </c>
      <c r="FJ60" s="275"/>
      <c r="FK60" s="275">
        <f>'[1]POLY commited funds to date'!AT60</f>
        <v>7500000</v>
      </c>
      <c r="FL60" s="275">
        <f>'[1]POLY DISB 2019'!AS64</f>
        <v>0</v>
      </c>
      <c r="FM60" s="275">
        <f t="shared" si="44"/>
        <v>7500000</v>
      </c>
      <c r="FN60" s="275"/>
      <c r="FO60" s="275">
        <f>'[1]POLY commited funds to date'!AU60</f>
        <v>245000000</v>
      </c>
      <c r="FP60" s="275">
        <f>'[1]POLY DISB 2019'!AT64</f>
        <v>0</v>
      </c>
      <c r="FQ60" s="275">
        <f t="shared" si="45"/>
        <v>245000000</v>
      </c>
      <c r="FR60" s="275">
        <f>'[1]POLY commited funds to date'!AV60</f>
        <v>119074602</v>
      </c>
      <c r="FS60" s="275">
        <f>'[1]POLY DISB 2019'!AU64</f>
        <v>0</v>
      </c>
      <c r="FT60" s="275">
        <f t="shared" si="46"/>
        <v>119074602</v>
      </c>
      <c r="FU60" s="275"/>
      <c r="FV60" s="275">
        <f>'[1]POLY commited funds to date'!AW60</f>
        <v>13000000</v>
      </c>
      <c r="FW60" s="275">
        <f>'[1]POLY DISB 2019'!AV64</f>
        <v>0</v>
      </c>
      <c r="FX60" s="275">
        <f t="shared" si="47"/>
        <v>13000000</v>
      </c>
      <c r="FY60" s="275"/>
      <c r="FZ60" s="275">
        <f>'[1]POLY commited funds to date'!AX60</f>
        <v>8628900</v>
      </c>
      <c r="GA60" s="275">
        <f>'[1]POLY DISB 2019'!AW64</f>
        <v>0</v>
      </c>
      <c r="GB60" s="275">
        <f t="shared" si="48"/>
        <v>8628900</v>
      </c>
      <c r="GC60" s="275">
        <f>'[1]POLY commited funds to date'!AY60</f>
        <v>5000000</v>
      </c>
      <c r="GD60" s="275">
        <f>'[1]POLY DISB 2019'!AX64</f>
        <v>0</v>
      </c>
      <c r="GE60" s="275">
        <f t="shared" si="49"/>
        <v>5000000</v>
      </c>
      <c r="GF60" s="275"/>
      <c r="GG60" s="275">
        <f>'[1]POLY commited funds to date'!AZ60</f>
        <v>0</v>
      </c>
      <c r="GH60" s="275">
        <f>'[1]POLY DISB 2019'!AY64</f>
        <v>0</v>
      </c>
      <c r="GI60" s="275">
        <f t="shared" si="50"/>
        <v>0</v>
      </c>
      <c r="GJ60" s="275"/>
      <c r="GK60" s="275">
        <f t="shared" si="51"/>
        <v>2634035502</v>
      </c>
      <c r="GL60" s="275">
        <f t="shared" si="51"/>
        <v>1819308160</v>
      </c>
      <c r="GM60" s="275">
        <f t="shared" si="52"/>
        <v>814727342</v>
      </c>
      <c r="GN60" s="265"/>
      <c r="GO60" s="277">
        <f t="shared" si="53"/>
        <v>1904532000</v>
      </c>
      <c r="GP60" s="277">
        <f t="shared" si="53"/>
        <v>1284098160</v>
      </c>
      <c r="GQ60" s="277">
        <f t="shared" si="54"/>
        <v>620433840</v>
      </c>
      <c r="GR60" s="277">
        <f t="shared" si="69"/>
        <v>0</v>
      </c>
      <c r="GS60" s="277">
        <f t="shared" si="69"/>
        <v>0</v>
      </c>
      <c r="GT60" s="277">
        <f t="shared" si="55"/>
        <v>0</v>
      </c>
      <c r="GU60" s="277"/>
      <c r="GV60" s="265"/>
      <c r="GW60" s="279">
        <f t="shared" si="68"/>
        <v>250000000</v>
      </c>
      <c r="GX60" s="279">
        <f t="shared" si="68"/>
        <v>250000000</v>
      </c>
      <c r="GY60" s="280">
        <f t="shared" si="57"/>
        <v>0</v>
      </c>
      <c r="GZ60" s="280"/>
      <c r="HA60" s="277">
        <f t="shared" si="58"/>
        <v>74928900</v>
      </c>
      <c r="HB60" s="277">
        <f t="shared" si="58"/>
        <v>34000000</v>
      </c>
      <c r="HC60" s="277">
        <f t="shared" si="59"/>
        <v>40928900</v>
      </c>
      <c r="HE60" s="277">
        <f t="shared" si="60"/>
        <v>36000000</v>
      </c>
      <c r="HF60" s="277">
        <f t="shared" si="60"/>
        <v>8960000</v>
      </c>
      <c r="HG60" s="277">
        <f t="shared" si="61"/>
        <v>27040000</v>
      </c>
      <c r="HI60" s="279">
        <f t="shared" si="62"/>
        <v>344074602</v>
      </c>
      <c r="HJ60" s="279">
        <f t="shared" si="62"/>
        <v>242250000</v>
      </c>
      <c r="HK60" s="279">
        <f t="shared" si="63"/>
        <v>101824602</v>
      </c>
      <c r="HM60" s="279">
        <f t="shared" si="64"/>
        <v>2000000</v>
      </c>
      <c r="HN60" s="279">
        <f t="shared" si="1"/>
        <v>0</v>
      </c>
      <c r="HO60" s="279">
        <f t="shared" si="65"/>
        <v>2000000</v>
      </c>
      <c r="HQ60" s="279">
        <f t="shared" si="66"/>
        <v>22500000</v>
      </c>
      <c r="HR60" s="279">
        <f t="shared" si="2"/>
        <v>0</v>
      </c>
      <c r="HS60" s="279">
        <f t="shared" si="67"/>
        <v>22500000</v>
      </c>
    </row>
    <row r="61" spans="1:227" x14ac:dyDescent="0.25">
      <c r="A61" s="235">
        <v>53</v>
      </c>
      <c r="B61" s="273" t="s">
        <v>252</v>
      </c>
      <c r="C61" s="274" t="s">
        <v>74</v>
      </c>
      <c r="D61" s="275">
        <v>0</v>
      </c>
      <c r="E61" s="275">
        <f>'[1]POLY DISB 2019'!C65</f>
        <v>0</v>
      </c>
      <c r="F61" s="275">
        <f>D61-E61</f>
        <v>0</v>
      </c>
      <c r="G61" s="275"/>
      <c r="H61" s="275">
        <v>0</v>
      </c>
      <c r="I61" s="275">
        <f>'[1]POLY DISB 2019'!D65</f>
        <v>0</v>
      </c>
      <c r="J61" s="275">
        <f>H61-I61</f>
        <v>0</v>
      </c>
      <c r="K61" s="275"/>
      <c r="L61" s="275">
        <v>0</v>
      </c>
      <c r="M61" s="275">
        <f>'[1]POLY DISB 2019'!E65</f>
        <v>0</v>
      </c>
      <c r="N61" s="275">
        <f>L61-M61</f>
        <v>0</v>
      </c>
      <c r="O61" s="275"/>
      <c r="P61" s="275">
        <v>0</v>
      </c>
      <c r="Q61" s="275">
        <f>'[1]POLY DISB 2019'!F65</f>
        <v>0</v>
      </c>
      <c r="R61" s="275">
        <f>P61-Q61</f>
        <v>0</v>
      </c>
      <c r="S61" s="275"/>
      <c r="T61" s="275">
        <v>0</v>
      </c>
      <c r="U61" s="275">
        <f>'[1]POLY DISB 2019'!G65</f>
        <v>0</v>
      </c>
      <c r="V61" s="275">
        <f>T61-U61</f>
        <v>0</v>
      </c>
      <c r="W61" s="275"/>
      <c r="X61" s="275">
        <v>0</v>
      </c>
      <c r="Y61" s="275">
        <f>'[1]POLY DISB 2019'!H65</f>
        <v>0</v>
      </c>
      <c r="Z61" s="275">
        <f>X61-Y61</f>
        <v>0</v>
      </c>
      <c r="AA61" s="275"/>
      <c r="AB61" s="275">
        <v>0</v>
      </c>
      <c r="AC61" s="275">
        <f>'[1]POLY DISB 2019'!I65</f>
        <v>0</v>
      </c>
      <c r="AD61" s="275">
        <f>AB61-AC61</f>
        <v>0</v>
      </c>
      <c r="AE61" s="275"/>
      <c r="AF61" s="275">
        <f>'[1]POLY commited funds to date'!K61</f>
        <v>0</v>
      </c>
      <c r="AG61" s="275">
        <f>'[1]POLY DISB 2019'!J65</f>
        <v>0</v>
      </c>
      <c r="AH61" s="275">
        <f>AF61-AG61</f>
        <v>0</v>
      </c>
      <c r="AI61" s="275"/>
      <c r="AJ61" s="275">
        <v>0</v>
      </c>
      <c r="AK61" s="275">
        <f>'[1]POLY DISB 2019'!K65</f>
        <v>0</v>
      </c>
      <c r="AL61" s="275">
        <f>AJ61-AK61</f>
        <v>0</v>
      </c>
      <c r="AM61" s="275"/>
      <c r="AN61" s="275">
        <v>0</v>
      </c>
      <c r="AO61" s="275">
        <f>'[1]POLY DISB 2019'!L65</f>
        <v>0</v>
      </c>
      <c r="AP61" s="275">
        <f>AN61-AO61</f>
        <v>0</v>
      </c>
      <c r="AQ61" s="275"/>
      <c r="AR61" s="275">
        <v>0</v>
      </c>
      <c r="AS61" s="275">
        <f>'[1]POLY DISB 2019'!M65</f>
        <v>0</v>
      </c>
      <c r="AT61" s="275">
        <f>AR61-AS61</f>
        <v>0</v>
      </c>
      <c r="AU61" s="275"/>
      <c r="AV61" s="275">
        <v>0</v>
      </c>
      <c r="AW61" s="275">
        <f>'[1]POLY DISB 2019'!N65</f>
        <v>0</v>
      </c>
      <c r="AX61" s="275">
        <f>AV61-AW61</f>
        <v>0</v>
      </c>
      <c r="AY61" s="275"/>
      <c r="AZ61" s="275">
        <v>0</v>
      </c>
      <c r="BA61" s="275">
        <f>'[1]POLY DISB 2019'!P65</f>
        <v>0</v>
      </c>
      <c r="BB61" s="275">
        <f>AZ61-BA61</f>
        <v>0</v>
      </c>
      <c r="BC61" s="275"/>
      <c r="BD61" s="275">
        <v>0</v>
      </c>
      <c r="BE61" s="275">
        <f>'[1]POLY DISB 2019'!Q65</f>
        <v>0</v>
      </c>
      <c r="BF61" s="275">
        <f>BD61-BE61</f>
        <v>0</v>
      </c>
      <c r="BG61" s="275"/>
      <c r="BH61" s="275">
        <f>'[1]POLY commited funds to date'!S61</f>
        <v>0</v>
      </c>
      <c r="BI61" s="275">
        <f>'[1]POLY DISB 2019'!R65</f>
        <v>0</v>
      </c>
      <c r="BJ61" s="275">
        <f>BH61-BI61</f>
        <v>0</v>
      </c>
      <c r="BK61" s="275"/>
      <c r="BL61" s="275">
        <f>'[1]poly  com. adj for fmis'!S61</f>
        <v>0</v>
      </c>
      <c r="BM61" s="275">
        <f>'[1]POLY DISB 2019'!S65</f>
        <v>0</v>
      </c>
      <c r="BN61" s="269">
        <f>BL61-BM61</f>
        <v>0</v>
      </c>
      <c r="BO61" s="275"/>
      <c r="BP61" s="276">
        <f>'[1]POLY commited funds to date'!U61</f>
        <v>169900000</v>
      </c>
      <c r="BQ61" s="275">
        <f>'[1]POLY DISB 2019'!T65</f>
        <v>169900000</v>
      </c>
      <c r="BR61" s="275">
        <f>BP61-BQ61</f>
        <v>0</v>
      </c>
      <c r="BS61" s="275"/>
      <c r="BT61" s="275">
        <f>'[1]POLY commited funds to date'!V61</f>
        <v>10000000</v>
      </c>
      <c r="BU61" s="275">
        <f>'[1]POLY DISB 2019'!U65</f>
        <v>8500000</v>
      </c>
      <c r="BV61" s="275">
        <f>BT61-BU61</f>
        <v>1500000</v>
      </c>
      <c r="BW61" s="275"/>
      <c r="BX61" s="275">
        <f>'[1]POLY commited funds to date'!W61</f>
        <v>450000000</v>
      </c>
      <c r="BY61" s="275">
        <f>'[1]POLY DISB 2019'!V65</f>
        <v>450000000</v>
      </c>
      <c r="BZ61" s="275">
        <f>BX61-BY61</f>
        <v>0</v>
      </c>
      <c r="CA61" s="275"/>
      <c r="CB61" s="275">
        <f>'[1]POLY commited funds to date'!X61</f>
        <v>210000000</v>
      </c>
      <c r="CC61" s="275">
        <f>'[1]POLY DISB 2019'!W65</f>
        <v>210000000</v>
      </c>
      <c r="CD61" s="275">
        <f>CB61-CC61</f>
        <v>0</v>
      </c>
      <c r="CE61" s="275"/>
      <c r="CF61" s="275">
        <f>'[1]POLY commited funds to date'!Y61</f>
        <v>200000000</v>
      </c>
      <c r="CG61" s="275">
        <f>'[1]POLY DISB 2019'!X65</f>
        <v>200000000</v>
      </c>
      <c r="CH61" s="275">
        <f>CF61-CG61</f>
        <v>0</v>
      </c>
      <c r="CI61" s="275"/>
      <c r="CJ61" s="275">
        <f>'[1]POLY commited funds to date'!Z61</f>
        <v>0</v>
      </c>
      <c r="CK61" s="275">
        <f>'[1]POLY DISB 2019'!Y65</f>
        <v>0</v>
      </c>
      <c r="CL61" s="275">
        <f t="shared" si="24"/>
        <v>0</v>
      </c>
      <c r="CM61" s="275"/>
      <c r="CN61" s="275">
        <f>'[1]POLY commited funds to date'!AA61</f>
        <v>243000000</v>
      </c>
      <c r="CO61" s="275">
        <f>'[1]POLY DISB 2019'!Z65</f>
        <v>243000000</v>
      </c>
      <c r="CP61" s="275">
        <f>CN61-CO61</f>
        <v>0</v>
      </c>
      <c r="CQ61" s="275"/>
      <c r="CR61" s="275">
        <v>10000000</v>
      </c>
      <c r="CS61" s="275">
        <f>'[1]POLY DISB 2019'!AA65</f>
        <v>8500000</v>
      </c>
      <c r="CT61" s="275">
        <f>CR61-CS61</f>
        <v>1500000</v>
      </c>
      <c r="CU61" s="275"/>
      <c r="CV61" s="275">
        <f>'[1]POLY commited funds to date'!AC61</f>
        <v>371000000</v>
      </c>
      <c r="CW61" s="275">
        <f>'[1]POLY DISB 2019'!AB65</f>
        <v>371000000</v>
      </c>
      <c r="CX61" s="275">
        <f>CV61-CW61</f>
        <v>0</v>
      </c>
      <c r="CY61" s="275"/>
      <c r="CZ61" s="275">
        <f>'[1]POLY commited funds to date'!AD61</f>
        <v>20000000</v>
      </c>
      <c r="DA61" s="275">
        <f>'[1]POLY DISB 2019'!AC65</f>
        <v>0</v>
      </c>
      <c r="DB61" s="275">
        <f>CZ61-DA61</f>
        <v>20000000</v>
      </c>
      <c r="DC61" s="275"/>
      <c r="DD61" s="275">
        <f>'[1]POLY commited funds to date'!AE61</f>
        <v>680000000</v>
      </c>
      <c r="DE61" s="275">
        <f>'[1]POLY DISB 2019'!AD65</f>
        <v>680000000</v>
      </c>
      <c r="DF61" s="275">
        <f>DD61-DE61</f>
        <v>0</v>
      </c>
      <c r="DG61" s="275"/>
      <c r="DH61" s="275">
        <f>'[1]poly  com. adj for fmis'!AE61</f>
        <v>80000000</v>
      </c>
      <c r="DI61" s="275">
        <f>'[1]POLY DISB 2019'!AE65</f>
        <v>50400000</v>
      </c>
      <c r="DJ61" s="275">
        <f t="shared" si="30"/>
        <v>29600000</v>
      </c>
      <c r="DK61" s="275"/>
      <c r="DL61" s="275">
        <f>'[1]poly  com. adj for fmis'!AF61</f>
        <v>8000000</v>
      </c>
      <c r="DM61" s="275">
        <f>'[1]POLY DISB 2019'!AF65</f>
        <v>4320000</v>
      </c>
      <c r="DN61" s="275">
        <f t="shared" si="31"/>
        <v>3680000</v>
      </c>
      <c r="DO61" s="275"/>
      <c r="DP61" s="275">
        <f>'[1]poly  com. adj for fmis'!AG61</f>
        <v>2000000</v>
      </c>
      <c r="DQ61" s="275">
        <f>'[1]POLY DISB 2019'!AG65</f>
        <v>1700000</v>
      </c>
      <c r="DR61" s="275">
        <f t="shared" si="32"/>
        <v>300000</v>
      </c>
      <c r="DS61" s="275"/>
      <c r="DT61" s="275">
        <f>'[1]poly  com. adj for fmis'!AH61</f>
        <v>10000000</v>
      </c>
      <c r="DU61" s="275">
        <f>'[1]POLY DISB 2019'!AH65</f>
        <v>0</v>
      </c>
      <c r="DV61" s="275">
        <f t="shared" si="33"/>
        <v>10000000</v>
      </c>
      <c r="DW61" s="275"/>
      <c r="DX61" s="275">
        <f>'[1]poly  com. adj for fmis'!AI61</f>
        <v>3300000000</v>
      </c>
      <c r="DY61" s="275">
        <f>'[1]POLY DISB 2019'!AI65</f>
        <v>3300000000</v>
      </c>
      <c r="DZ61" s="275">
        <f t="shared" si="34"/>
        <v>0</v>
      </c>
      <c r="EA61" s="275"/>
      <c r="EB61" s="275">
        <f>'[1]POLY commited funds to date'!AK61</f>
        <v>380632000</v>
      </c>
      <c r="EC61" s="275">
        <f>'[1]POLY DISB 2019'!AJ65</f>
        <v>239798160</v>
      </c>
      <c r="ED61" s="275">
        <f t="shared" si="35"/>
        <v>140833840</v>
      </c>
      <c r="EE61" s="275"/>
      <c r="EF61" s="275">
        <f>'[1]POLY commited funds to date'!AL61</f>
        <v>8000000</v>
      </c>
      <c r="EG61" s="275">
        <f>'[1]POLY DISB 2019'!AK65</f>
        <v>4320000</v>
      </c>
      <c r="EH61" s="275">
        <f t="shared" si="36"/>
        <v>3680000</v>
      </c>
      <c r="EI61" s="275"/>
      <c r="EJ61" s="275">
        <f>'[1]POLY commited funds to date'!AM61</f>
        <v>10000000</v>
      </c>
      <c r="EK61" s="275">
        <f>'[1]POLY DISB 2019'!AL65</f>
        <v>0</v>
      </c>
      <c r="EL61" s="275">
        <f t="shared" si="37"/>
        <v>10000000</v>
      </c>
      <c r="EM61" s="275"/>
      <c r="EN61" s="275">
        <f>'[1]POLY commited funds to date'!AN61</f>
        <v>10000000</v>
      </c>
      <c r="EO61" s="275">
        <f>'[1]POLY DISB 2019'!AM65</f>
        <v>0</v>
      </c>
      <c r="EP61" s="275">
        <f t="shared" si="38"/>
        <v>10000000</v>
      </c>
      <c r="EQ61" s="275">
        <f>'[1]POLY commited funds to date'!AO61</f>
        <v>0</v>
      </c>
      <c r="ER61" s="275">
        <f>'[1]POLY DISB 2019'!AN65</f>
        <v>0</v>
      </c>
      <c r="ES61" s="275">
        <f t="shared" si="39"/>
        <v>0</v>
      </c>
      <c r="ET61" s="275"/>
      <c r="EU61" s="275">
        <f>'[1]POLY commited funds to date'!AP61</f>
        <v>205000000</v>
      </c>
      <c r="EV61" s="275">
        <f>'[1]POLY DISB 2019'!AO65</f>
        <v>0</v>
      </c>
      <c r="EW61" s="275">
        <f t="shared" si="40"/>
        <v>205000000</v>
      </c>
      <c r="EX61" s="275"/>
      <c r="EY61" s="275">
        <f>'[1]POLY commited funds to date'!AQ61</f>
        <v>75000000</v>
      </c>
      <c r="EZ61" s="275">
        <f>'[1]POLY DISB 2019'!AP65</f>
        <v>39000000</v>
      </c>
      <c r="FA61" s="275">
        <f t="shared" si="41"/>
        <v>36000000</v>
      </c>
      <c r="FB61" s="275"/>
      <c r="FC61" s="275">
        <f>'[1]POLY commited funds to date'!AR61</f>
        <v>7000000</v>
      </c>
      <c r="FD61" s="275">
        <f>'[1]POLY DISB 2019'!AQ65</f>
        <v>0</v>
      </c>
      <c r="FE61" s="275">
        <f t="shared" si="42"/>
        <v>7000000</v>
      </c>
      <c r="FF61" s="275"/>
      <c r="FG61" s="275">
        <f>'[1]POLY commited funds to date'!AS61</f>
        <v>6300000</v>
      </c>
      <c r="FH61" s="275">
        <f>'[1]POLY DISB 2019'!AR65</f>
        <v>0</v>
      </c>
      <c r="FI61" s="275">
        <f t="shared" si="43"/>
        <v>6300000</v>
      </c>
      <c r="FJ61" s="275"/>
      <c r="FK61" s="275">
        <f>'[1]POLY commited funds to date'!AT61</f>
        <v>7500000</v>
      </c>
      <c r="FL61" s="275">
        <f>'[1]POLY DISB 2019'!AS65</f>
        <v>0</v>
      </c>
      <c r="FM61" s="275">
        <f t="shared" si="44"/>
        <v>7500000</v>
      </c>
      <c r="FN61" s="275"/>
      <c r="FO61" s="275">
        <f>'[1]POLY commited funds to date'!AU61</f>
        <v>245000000</v>
      </c>
      <c r="FP61" s="275">
        <f>'[1]POLY DISB 2019'!AT65</f>
        <v>0</v>
      </c>
      <c r="FQ61" s="275">
        <f t="shared" si="45"/>
        <v>245000000</v>
      </c>
      <c r="FR61" s="275">
        <f>'[1]POLY commited funds to date'!AV61</f>
        <v>119074602</v>
      </c>
      <c r="FS61" s="275">
        <f>'[1]POLY DISB 2019'!AU65</f>
        <v>0</v>
      </c>
      <c r="FT61" s="275">
        <f t="shared" si="46"/>
        <v>119074602</v>
      </c>
      <c r="FU61" s="275"/>
      <c r="FV61" s="275">
        <f>'[1]POLY commited funds to date'!AW61</f>
        <v>13000000</v>
      </c>
      <c r="FW61" s="275">
        <f>'[1]POLY DISB 2019'!AV65</f>
        <v>0</v>
      </c>
      <c r="FX61" s="275">
        <f t="shared" si="47"/>
        <v>13000000</v>
      </c>
      <c r="FY61" s="275"/>
      <c r="FZ61" s="275">
        <f>'[1]POLY commited funds to date'!AX61</f>
        <v>8628900</v>
      </c>
      <c r="GA61" s="275">
        <f>'[1]POLY DISB 2019'!AW65</f>
        <v>0</v>
      </c>
      <c r="GB61" s="275">
        <f t="shared" si="48"/>
        <v>8628900</v>
      </c>
      <c r="GC61" s="275">
        <f>'[1]POLY commited funds to date'!AY61</f>
        <v>5000000</v>
      </c>
      <c r="GD61" s="275">
        <f>'[1]POLY DISB 2019'!AX65</f>
        <v>0</v>
      </c>
      <c r="GE61" s="275">
        <f t="shared" si="49"/>
        <v>5000000</v>
      </c>
      <c r="GF61" s="275"/>
      <c r="GG61" s="275">
        <f>'[1]POLY commited funds to date'!AZ61</f>
        <v>0</v>
      </c>
      <c r="GH61" s="275">
        <f>'[1]POLY DISB 2019'!AY65</f>
        <v>0</v>
      </c>
      <c r="GI61" s="275">
        <f t="shared" si="50"/>
        <v>0</v>
      </c>
      <c r="GJ61" s="275"/>
      <c r="GK61" s="275">
        <f t="shared" si="51"/>
        <v>6864035502</v>
      </c>
      <c r="GL61" s="275">
        <f t="shared" si="51"/>
        <v>5980438160</v>
      </c>
      <c r="GM61" s="275">
        <f t="shared" si="52"/>
        <v>883597342</v>
      </c>
      <c r="GN61" s="265"/>
      <c r="GO61" s="277">
        <f t="shared" si="53"/>
        <v>1904532000</v>
      </c>
      <c r="GP61" s="277">
        <f t="shared" si="53"/>
        <v>1284098160</v>
      </c>
      <c r="GQ61" s="277">
        <f t="shared" si="54"/>
        <v>620433840</v>
      </c>
      <c r="GR61" s="277">
        <f t="shared" si="69"/>
        <v>0</v>
      </c>
      <c r="GS61" s="277">
        <f t="shared" si="69"/>
        <v>0</v>
      </c>
      <c r="GT61" s="277">
        <f t="shared" si="55"/>
        <v>0</v>
      </c>
      <c r="GU61" s="277"/>
      <c r="GV61" s="265"/>
      <c r="GW61" s="279">
        <f t="shared" si="68"/>
        <v>4630000000</v>
      </c>
      <c r="GX61" s="279">
        <f t="shared" si="68"/>
        <v>4630000000</v>
      </c>
      <c r="GY61" s="280">
        <f t="shared" si="57"/>
        <v>0</v>
      </c>
      <c r="GZ61" s="280"/>
      <c r="HA61" s="277">
        <f t="shared" si="58"/>
        <v>74928900</v>
      </c>
      <c r="HB61" s="277">
        <f t="shared" si="58"/>
        <v>17000000</v>
      </c>
      <c r="HC61" s="277">
        <f t="shared" si="59"/>
        <v>57928900</v>
      </c>
      <c r="HE61" s="277">
        <f t="shared" si="60"/>
        <v>36000000</v>
      </c>
      <c r="HF61" s="277">
        <f t="shared" si="60"/>
        <v>8640000</v>
      </c>
      <c r="HG61" s="277">
        <f t="shared" si="61"/>
        <v>27360000</v>
      </c>
      <c r="HI61" s="279">
        <f t="shared" si="62"/>
        <v>194074602</v>
      </c>
      <c r="HJ61" s="279">
        <f t="shared" si="62"/>
        <v>39000000</v>
      </c>
      <c r="HK61" s="279">
        <f t="shared" si="63"/>
        <v>155074602</v>
      </c>
      <c r="HM61" s="279">
        <f t="shared" si="64"/>
        <v>2000000</v>
      </c>
      <c r="HN61" s="279">
        <f t="shared" si="1"/>
        <v>1700000</v>
      </c>
      <c r="HO61" s="279">
        <f t="shared" si="65"/>
        <v>300000</v>
      </c>
      <c r="HQ61" s="279">
        <f t="shared" si="66"/>
        <v>22500000</v>
      </c>
      <c r="HR61" s="279">
        <f t="shared" si="2"/>
        <v>0</v>
      </c>
      <c r="HS61" s="279">
        <f t="shared" si="67"/>
        <v>22500000</v>
      </c>
    </row>
    <row r="62" spans="1:227" x14ac:dyDescent="0.25">
      <c r="A62" s="235">
        <v>54</v>
      </c>
      <c r="B62" s="287" t="s">
        <v>253</v>
      </c>
      <c r="C62" s="288" t="s">
        <v>65</v>
      </c>
      <c r="D62" s="275">
        <v>0</v>
      </c>
      <c r="E62" s="275">
        <v>0</v>
      </c>
      <c r="F62" s="275">
        <v>0</v>
      </c>
      <c r="G62" s="275"/>
      <c r="H62" s="275">
        <v>0</v>
      </c>
      <c r="I62" s="275">
        <v>0</v>
      </c>
      <c r="J62" s="275">
        <v>0</v>
      </c>
      <c r="K62" s="275"/>
      <c r="L62" s="275"/>
      <c r="M62" s="275"/>
      <c r="N62" s="275"/>
      <c r="O62" s="275"/>
      <c r="P62" s="275"/>
      <c r="Q62" s="275"/>
      <c r="R62" s="275"/>
      <c r="S62" s="275"/>
      <c r="T62" s="275">
        <v>0</v>
      </c>
      <c r="U62" s="275">
        <v>0</v>
      </c>
      <c r="V62" s="275">
        <v>0</v>
      </c>
      <c r="W62" s="275"/>
      <c r="X62" s="275">
        <v>0</v>
      </c>
      <c r="Y62" s="275">
        <v>0</v>
      </c>
      <c r="Z62" s="275">
        <v>0</v>
      </c>
      <c r="AA62" s="275"/>
      <c r="AB62" s="275"/>
      <c r="AC62" s="275"/>
      <c r="AD62" s="275"/>
      <c r="AE62" s="275"/>
      <c r="AF62" s="275"/>
      <c r="AG62" s="275"/>
      <c r="AH62" s="275"/>
      <c r="AI62" s="275"/>
      <c r="AJ62" s="275"/>
      <c r="AK62" s="275"/>
      <c r="AL62" s="275"/>
      <c r="AM62" s="275"/>
      <c r="AN62" s="275">
        <v>0</v>
      </c>
      <c r="AO62" s="275">
        <v>0</v>
      </c>
      <c r="AP62" s="275">
        <v>0</v>
      </c>
      <c r="AQ62" s="275"/>
      <c r="AR62" s="275">
        <v>0</v>
      </c>
      <c r="AS62" s="275">
        <v>0</v>
      </c>
      <c r="AT62" s="275">
        <v>0</v>
      </c>
      <c r="AU62" s="275"/>
      <c r="AV62" s="275">
        <v>0</v>
      </c>
      <c r="AW62" s="275">
        <v>0</v>
      </c>
      <c r="AX62" s="275">
        <v>0</v>
      </c>
      <c r="AY62" s="275"/>
      <c r="AZ62" s="275"/>
      <c r="BA62" s="275"/>
      <c r="BB62" s="275"/>
      <c r="BC62" s="275"/>
      <c r="BD62" s="275"/>
      <c r="BE62" s="275"/>
      <c r="BF62" s="275"/>
      <c r="BG62" s="275"/>
      <c r="BH62" s="275"/>
      <c r="BI62" s="275"/>
      <c r="BJ62" s="275"/>
      <c r="BK62" s="275"/>
      <c r="BL62" s="275">
        <f>'[1]poly  com. adj for fmis'!S65</f>
        <v>0</v>
      </c>
      <c r="BM62" s="275"/>
      <c r="BN62" s="275"/>
      <c r="BO62" s="275"/>
      <c r="BP62" s="275"/>
      <c r="BQ62" s="275"/>
      <c r="BR62" s="275"/>
      <c r="BS62" s="275"/>
      <c r="BT62" s="275"/>
      <c r="BU62" s="275"/>
      <c r="BV62" s="275"/>
      <c r="BW62" s="275"/>
      <c r="BX62" s="275"/>
      <c r="BY62" s="275"/>
      <c r="BZ62" s="275"/>
      <c r="CA62" s="275"/>
      <c r="CB62" s="275"/>
      <c r="CC62" s="275"/>
      <c r="CD62" s="275"/>
      <c r="CE62" s="275"/>
      <c r="CF62" s="275"/>
      <c r="CG62" s="275"/>
      <c r="CH62" s="275"/>
      <c r="CI62" s="275"/>
      <c r="CJ62" s="275">
        <f>'[1]POLY commited funds to date'!Z62</f>
        <v>0</v>
      </c>
      <c r="CK62" s="275"/>
      <c r="CL62" s="275">
        <f t="shared" si="24"/>
        <v>0</v>
      </c>
      <c r="CM62" s="275"/>
      <c r="CN62" s="275"/>
      <c r="CO62" s="275"/>
      <c r="CP62" s="275"/>
      <c r="CQ62" s="275"/>
      <c r="CR62" s="275"/>
      <c r="CS62" s="275"/>
      <c r="CT62" s="275"/>
      <c r="CU62" s="275"/>
      <c r="CV62" s="275">
        <f>'[1]POLY commited funds to date'!AC62</f>
        <v>1000000000</v>
      </c>
      <c r="CW62" s="275">
        <f>'[1]POLY DISB 2019'!AB66</f>
        <v>794947811.64999998</v>
      </c>
      <c r="CX62" s="275"/>
      <c r="CY62" s="275"/>
      <c r="CZ62" s="275">
        <f>'[1]POLY commited funds to date'!AD62</f>
        <v>0</v>
      </c>
      <c r="DA62" s="275">
        <f>'[1]POLY DISB 2019'!Z66</f>
        <v>0</v>
      </c>
      <c r="DB62" s="289"/>
      <c r="DC62" s="289"/>
      <c r="DD62" s="279">
        <f>'[1]POLY commited funds to date'!AE62</f>
        <v>0</v>
      </c>
      <c r="DE62" s="275">
        <f>'[1]POLY DISB 2019'!AD66</f>
        <v>0</v>
      </c>
      <c r="DF62" s="289"/>
      <c r="DG62" s="289"/>
      <c r="DH62" s="279">
        <f>'[1]poly  com. adj for fmis'!AE65</f>
        <v>0</v>
      </c>
      <c r="DI62" s="279">
        <f>'[1]POLY DISB 2019'!AE66</f>
        <v>0</v>
      </c>
      <c r="DJ62" s="275">
        <f t="shared" si="30"/>
        <v>0</v>
      </c>
      <c r="DK62" s="289"/>
      <c r="DL62" s="279">
        <f>'[1]poly  com. adj for fmis'!AF65</f>
        <v>0</v>
      </c>
      <c r="DM62" s="279">
        <f>'[1]POLY DISB 2019'!AF66</f>
        <v>0</v>
      </c>
      <c r="DN62" s="275">
        <f t="shared" si="31"/>
        <v>0</v>
      </c>
      <c r="DO62" s="289"/>
      <c r="DP62" s="279">
        <f>'[1]poly  com. adj for fmis'!AG65</f>
        <v>0</v>
      </c>
      <c r="DQ62" s="279">
        <v>0</v>
      </c>
      <c r="DR62" s="275">
        <f t="shared" si="32"/>
        <v>0</v>
      </c>
      <c r="DS62" s="289"/>
      <c r="DT62" s="279">
        <f>'[1]poly  com. adj for fmis'!AH65</f>
        <v>0</v>
      </c>
      <c r="DU62" s="279">
        <f>'[1]POLY DISB 2019'!AH66</f>
        <v>0</v>
      </c>
      <c r="DV62" s="275">
        <f t="shared" si="33"/>
        <v>0</v>
      </c>
      <c r="DW62" s="275"/>
      <c r="DX62" s="275">
        <f>'[1]poly  com. adj for fmis'!AI65</f>
        <v>0</v>
      </c>
      <c r="DY62" s="275">
        <f>'[1]POLY DISB 2019'!AI66</f>
        <v>0</v>
      </c>
      <c r="DZ62" s="275">
        <f t="shared" si="34"/>
        <v>0</v>
      </c>
      <c r="EA62" s="289"/>
      <c r="EB62" s="279">
        <f>'[1]POLY commited funds to date'!AK62</f>
        <v>380632000</v>
      </c>
      <c r="EC62" s="279">
        <f>'[1]POLY DISB 2019'!AJ66</f>
        <v>0</v>
      </c>
      <c r="ED62" s="275">
        <f t="shared" si="35"/>
        <v>380632000</v>
      </c>
      <c r="EE62" s="289"/>
      <c r="EF62" s="279">
        <f>'[1]POLY commited funds to date'!AL62</f>
        <v>8000000</v>
      </c>
      <c r="EG62" s="279">
        <f>'[1]POLY DISB 2019'!AK66</f>
        <v>0</v>
      </c>
      <c r="EH62" s="275">
        <f t="shared" si="36"/>
        <v>8000000</v>
      </c>
      <c r="EI62" s="289"/>
      <c r="EJ62" s="279">
        <f>'[1]POLY commited funds to date'!AM62</f>
        <v>10000000</v>
      </c>
      <c r="EK62" s="279">
        <f>'[1]POLY DISB 2019'!AL66</f>
        <v>0</v>
      </c>
      <c r="EL62" s="275">
        <f t="shared" si="37"/>
        <v>10000000</v>
      </c>
      <c r="EM62" s="289"/>
      <c r="EN62" s="279">
        <f>'[1]POLY commited funds to date'!AN62</f>
        <v>10000000</v>
      </c>
      <c r="EO62" s="279">
        <f>'[1]POLY DISB 2019'!AM66</f>
        <v>0</v>
      </c>
      <c r="EP62" s="275">
        <f t="shared" si="38"/>
        <v>10000000</v>
      </c>
      <c r="EQ62" s="275">
        <f>'[1]POLY commited funds to date'!AO62</f>
        <v>0</v>
      </c>
      <c r="ER62" s="275">
        <f>'[1]POLY DISB 2019'!AN66</f>
        <v>0</v>
      </c>
      <c r="ES62" s="275">
        <f t="shared" si="39"/>
        <v>0</v>
      </c>
      <c r="ET62" s="275"/>
      <c r="EU62" s="275">
        <f>'[1]POLY commited funds to date'!AP62</f>
        <v>205000000</v>
      </c>
      <c r="EV62" s="275">
        <f>'[1]POLY DISB 2019'!AO66</f>
        <v>0</v>
      </c>
      <c r="EW62" s="275">
        <f t="shared" si="40"/>
        <v>205000000</v>
      </c>
      <c r="EX62" s="275"/>
      <c r="EY62" s="275">
        <f>'[1]POLY commited funds to date'!AQ62</f>
        <v>75000000</v>
      </c>
      <c r="EZ62" s="275">
        <f>'[1]POLY DISB 2019'!AP66</f>
        <v>51000000</v>
      </c>
      <c r="FA62" s="275">
        <f t="shared" si="41"/>
        <v>24000000</v>
      </c>
      <c r="FB62" s="275"/>
      <c r="FC62" s="275">
        <f>'[1]POLY commited funds to date'!AR62</f>
        <v>7000000</v>
      </c>
      <c r="FD62" s="275">
        <f>'[1]POLY DISB 2019'!AQ66</f>
        <v>0</v>
      </c>
      <c r="FE62" s="275">
        <f t="shared" si="42"/>
        <v>7000000</v>
      </c>
      <c r="FF62" s="275"/>
      <c r="FG62" s="275">
        <f>'[1]POLY commited funds to date'!AS62</f>
        <v>6300000</v>
      </c>
      <c r="FH62" s="275">
        <f>'[1]POLY DISB 2019'!AR66</f>
        <v>0</v>
      </c>
      <c r="FI62" s="275">
        <f t="shared" si="43"/>
        <v>6300000</v>
      </c>
      <c r="FJ62" s="275"/>
      <c r="FK62" s="275">
        <f>'[1]POLY commited funds to date'!AT62</f>
        <v>7500000</v>
      </c>
      <c r="FL62" s="275">
        <f>'[1]POLY DISB 2019'!AS66</f>
        <v>0</v>
      </c>
      <c r="FM62" s="275">
        <f t="shared" si="44"/>
        <v>7500000</v>
      </c>
      <c r="FN62" s="275"/>
      <c r="FO62" s="275">
        <f>'[1]POLY commited funds to date'!AU62</f>
        <v>245000000</v>
      </c>
      <c r="FP62" s="275">
        <f>'[1]POLY DISB 2019'!AT66</f>
        <v>0</v>
      </c>
      <c r="FQ62" s="275">
        <f t="shared" si="45"/>
        <v>245000000</v>
      </c>
      <c r="FR62" s="275">
        <f>'[1]POLY commited funds to date'!AV62</f>
        <v>119074602</v>
      </c>
      <c r="FS62" s="275">
        <f>'[1]POLY DISB 2019'!AU66</f>
        <v>0</v>
      </c>
      <c r="FT62" s="275">
        <f t="shared" si="46"/>
        <v>119074602</v>
      </c>
      <c r="FU62" s="275"/>
      <c r="FV62" s="275">
        <f>'[1]POLY commited funds to date'!AW62</f>
        <v>13000000</v>
      </c>
      <c r="FW62" s="275">
        <f>'[1]POLY DISB 2019'!AV66</f>
        <v>0</v>
      </c>
      <c r="FX62" s="275">
        <f t="shared" si="47"/>
        <v>13000000</v>
      </c>
      <c r="FY62" s="275"/>
      <c r="FZ62" s="275">
        <f>'[1]POLY commited funds to date'!AX62</f>
        <v>8628900</v>
      </c>
      <c r="GA62" s="275">
        <f>'[1]POLY DISB 2019'!AW66</f>
        <v>0</v>
      </c>
      <c r="GB62" s="275">
        <f t="shared" si="48"/>
        <v>8628900</v>
      </c>
      <c r="GC62" s="275">
        <f>'[1]POLY commited funds to date'!AY62</f>
        <v>5000000</v>
      </c>
      <c r="GD62" s="275">
        <f>'[1]POLY DISB 2019'!AX66</f>
        <v>0</v>
      </c>
      <c r="GE62" s="275">
        <f t="shared" si="49"/>
        <v>5000000</v>
      </c>
      <c r="GF62" s="275"/>
      <c r="GG62" s="275">
        <f>'[1]POLY commited funds to date'!AZ62</f>
        <v>0</v>
      </c>
      <c r="GH62" s="275">
        <f>'[1]POLY DISB 2019'!AY66</f>
        <v>0</v>
      </c>
      <c r="GI62" s="275">
        <f t="shared" si="50"/>
        <v>0</v>
      </c>
      <c r="GJ62" s="275"/>
      <c r="GK62" s="275">
        <f t="shared" si="51"/>
        <v>2100135502</v>
      </c>
      <c r="GL62" s="275">
        <f t="shared" si="51"/>
        <v>845947811.64999998</v>
      </c>
      <c r="GM62" s="275">
        <f t="shared" si="52"/>
        <v>1254187690.3499999</v>
      </c>
      <c r="GN62" s="265"/>
      <c r="GO62" s="277">
        <f t="shared" si="53"/>
        <v>1830632000</v>
      </c>
      <c r="GP62" s="277">
        <f t="shared" si="53"/>
        <v>794947811.64999998</v>
      </c>
      <c r="GQ62" s="277">
        <f t="shared" si="54"/>
        <v>1035684188.35</v>
      </c>
      <c r="GR62" s="277">
        <f t="shared" si="69"/>
        <v>0</v>
      </c>
      <c r="GS62" s="277">
        <f t="shared" si="69"/>
        <v>0</v>
      </c>
      <c r="GT62" s="277">
        <f t="shared" si="55"/>
        <v>0</v>
      </c>
      <c r="GU62" s="277"/>
      <c r="GW62" s="279">
        <f t="shared" si="68"/>
        <v>0</v>
      </c>
      <c r="GX62" s="279">
        <f t="shared" si="68"/>
        <v>0</v>
      </c>
      <c r="GY62" s="280">
        <f t="shared" si="57"/>
        <v>0</v>
      </c>
      <c r="GZ62" s="280"/>
      <c r="HA62" s="277">
        <f t="shared" si="58"/>
        <v>24928900</v>
      </c>
      <c r="HB62" s="277">
        <f t="shared" si="58"/>
        <v>0</v>
      </c>
      <c r="HC62" s="277">
        <f t="shared" si="59"/>
        <v>24928900</v>
      </c>
      <c r="HE62" s="277">
        <f t="shared" si="60"/>
        <v>28000000</v>
      </c>
      <c r="HF62" s="277">
        <f t="shared" si="60"/>
        <v>0</v>
      </c>
      <c r="HG62" s="277">
        <f t="shared" si="61"/>
        <v>28000000</v>
      </c>
      <c r="HI62" s="279">
        <f t="shared" si="62"/>
        <v>194074602</v>
      </c>
      <c r="HJ62" s="279">
        <f t="shared" si="62"/>
        <v>51000000</v>
      </c>
      <c r="HK62" s="279">
        <f t="shared" si="63"/>
        <v>143074602</v>
      </c>
      <c r="HM62" s="279">
        <f t="shared" si="64"/>
        <v>0</v>
      </c>
      <c r="HN62" s="279">
        <f t="shared" si="1"/>
        <v>0</v>
      </c>
      <c r="HO62" s="279">
        <f t="shared" si="65"/>
        <v>0</v>
      </c>
      <c r="HQ62" s="279">
        <f t="shared" si="66"/>
        <v>22500000</v>
      </c>
      <c r="HR62" s="279">
        <f t="shared" si="2"/>
        <v>0</v>
      </c>
      <c r="HS62" s="279">
        <f t="shared" si="67"/>
        <v>22500000</v>
      </c>
    </row>
    <row r="63" spans="1:227" x14ac:dyDescent="0.25">
      <c r="A63" s="235">
        <v>55</v>
      </c>
      <c r="B63" s="203" t="s">
        <v>254</v>
      </c>
      <c r="C63" s="274" t="s">
        <v>69</v>
      </c>
      <c r="D63" s="275">
        <v>0</v>
      </c>
      <c r="E63" s="275">
        <v>0</v>
      </c>
      <c r="F63" s="275">
        <v>0</v>
      </c>
      <c r="G63" s="275"/>
      <c r="H63" s="275">
        <v>0</v>
      </c>
      <c r="I63" s="275">
        <v>0</v>
      </c>
      <c r="J63" s="275">
        <v>0</v>
      </c>
      <c r="K63" s="275"/>
      <c r="L63" s="275"/>
      <c r="M63" s="275"/>
      <c r="N63" s="275"/>
      <c r="O63" s="275"/>
      <c r="P63" s="275"/>
      <c r="Q63" s="275"/>
      <c r="R63" s="275"/>
      <c r="S63" s="275"/>
      <c r="T63" s="275"/>
      <c r="U63" s="275"/>
      <c r="V63" s="275"/>
      <c r="W63" s="275"/>
      <c r="X63" s="275"/>
      <c r="Y63" s="275"/>
      <c r="Z63" s="275"/>
      <c r="AA63" s="275"/>
      <c r="AB63" s="275"/>
      <c r="AC63" s="275"/>
      <c r="AD63" s="275"/>
      <c r="AE63" s="275"/>
      <c r="AF63" s="275"/>
      <c r="AG63" s="275"/>
      <c r="AH63" s="275"/>
      <c r="AI63" s="275"/>
      <c r="AJ63" s="275"/>
      <c r="AK63" s="275"/>
      <c r="AL63" s="275"/>
      <c r="AM63" s="275"/>
      <c r="AN63" s="275">
        <v>0</v>
      </c>
      <c r="AO63" s="275">
        <v>0</v>
      </c>
      <c r="AP63" s="275">
        <v>0</v>
      </c>
      <c r="AQ63" s="275"/>
      <c r="AR63" s="275">
        <v>0</v>
      </c>
      <c r="AS63" s="275">
        <v>0</v>
      </c>
      <c r="AT63" s="275">
        <v>0</v>
      </c>
      <c r="AU63" s="275"/>
      <c r="AV63" s="275">
        <v>0</v>
      </c>
      <c r="AW63" s="275">
        <v>0</v>
      </c>
      <c r="AX63" s="275">
        <v>0</v>
      </c>
      <c r="AY63" s="275"/>
      <c r="AZ63" s="275"/>
      <c r="BA63" s="275"/>
      <c r="BB63" s="275"/>
      <c r="BC63" s="275"/>
      <c r="BD63" s="275"/>
      <c r="BE63" s="275"/>
      <c r="BF63" s="275"/>
      <c r="BG63" s="275"/>
      <c r="BH63" s="275"/>
      <c r="BI63" s="275"/>
      <c r="BJ63" s="275"/>
      <c r="BK63" s="275"/>
      <c r="BL63" s="275">
        <f>'[1]poly  com. adj for fmis'!S66</f>
        <v>0</v>
      </c>
      <c r="BM63" s="275"/>
      <c r="BN63" s="275"/>
      <c r="BO63" s="275"/>
      <c r="BP63" s="275"/>
      <c r="BQ63" s="275"/>
      <c r="BR63" s="275"/>
      <c r="BS63" s="275"/>
      <c r="BT63" s="275"/>
      <c r="BU63" s="275"/>
      <c r="BV63" s="275"/>
      <c r="BW63" s="275"/>
      <c r="BX63" s="275"/>
      <c r="BY63" s="275"/>
      <c r="BZ63" s="275"/>
      <c r="CA63" s="275"/>
      <c r="CB63" s="275"/>
      <c r="CC63" s="275"/>
      <c r="CD63" s="275"/>
      <c r="CE63" s="275"/>
      <c r="CF63" s="275"/>
      <c r="CG63" s="275"/>
      <c r="CH63" s="275"/>
      <c r="CI63" s="275"/>
      <c r="CJ63" s="275">
        <f>'[1]POLY commited funds to date'!Z67</f>
        <v>0</v>
      </c>
      <c r="CK63" s="275"/>
      <c r="CL63" s="275">
        <f t="shared" si="24"/>
        <v>0</v>
      </c>
      <c r="CM63" s="275"/>
      <c r="CN63" s="275"/>
      <c r="CO63" s="275"/>
      <c r="CP63" s="275"/>
      <c r="CQ63" s="275"/>
      <c r="CR63" s="275"/>
      <c r="CS63" s="275"/>
      <c r="CT63" s="275"/>
      <c r="CU63" s="275"/>
      <c r="CV63" s="275">
        <f>'[1]POLY commited funds to date'!AC67</f>
        <v>0</v>
      </c>
      <c r="CW63" s="275">
        <f>'[1]POLY DISB 2019'!AB67</f>
        <v>0</v>
      </c>
      <c r="CX63" s="275"/>
      <c r="CY63" s="275"/>
      <c r="CZ63" s="275">
        <f>'[1]POLY commited funds to date'!AD67</f>
        <v>0</v>
      </c>
      <c r="DA63" s="275">
        <f>'[1]POLY DISB 2019'!Z67</f>
        <v>0</v>
      </c>
      <c r="DB63" s="289"/>
      <c r="DC63" s="289"/>
      <c r="DD63" s="279">
        <f>'[1]POLY commited funds to date'!AE67</f>
        <v>0</v>
      </c>
      <c r="DE63" s="275">
        <f>'[1]POLY DISB 2019'!AD67</f>
        <v>0</v>
      </c>
      <c r="DF63" s="289"/>
      <c r="DG63" s="289"/>
      <c r="DH63" s="279">
        <f>'[1]poly  com. adj for fmis'!AE66</f>
        <v>0</v>
      </c>
      <c r="DI63" s="279">
        <f>'[1]POLY DISB 2019'!AE67</f>
        <v>0</v>
      </c>
      <c r="DJ63" s="275">
        <f t="shared" si="30"/>
        <v>0</v>
      </c>
      <c r="DK63" s="289"/>
      <c r="DL63" s="279">
        <f>'[1]poly  com. adj for fmis'!AF66</f>
        <v>0</v>
      </c>
      <c r="DM63" s="279">
        <f>'[1]POLY DISB 2019'!AF67</f>
        <v>0</v>
      </c>
      <c r="DN63" s="275">
        <f t="shared" si="31"/>
        <v>0</v>
      </c>
      <c r="DO63" s="289"/>
      <c r="DP63" s="279">
        <f>'[1]poly  com. adj for fmis'!AG66</f>
        <v>0</v>
      </c>
      <c r="DQ63" s="279">
        <v>0</v>
      </c>
      <c r="DR63" s="275">
        <f t="shared" si="32"/>
        <v>0</v>
      </c>
      <c r="DS63" s="289"/>
      <c r="DT63" s="279">
        <f>'[1]poly  com. adj for fmis'!AH66</f>
        <v>0</v>
      </c>
      <c r="DU63" s="279">
        <f>'[1]POLY DISB 2019'!AH67</f>
        <v>0</v>
      </c>
      <c r="DV63" s="275">
        <f t="shared" si="33"/>
        <v>0</v>
      </c>
      <c r="DW63" s="275"/>
      <c r="DX63" s="275">
        <f>'[1]poly  com. adj for fmis'!AI66</f>
        <v>0</v>
      </c>
      <c r="DY63" s="275">
        <f>'[1]POLY DISB 2019'!AI67</f>
        <v>0</v>
      </c>
      <c r="DZ63" s="275">
        <f t="shared" si="34"/>
        <v>0</v>
      </c>
      <c r="EA63" s="289"/>
      <c r="EB63" s="279">
        <f>'[1]POLY commited funds to date'!AK63</f>
        <v>1000000000</v>
      </c>
      <c r="EC63" s="279">
        <f>'[1]POLY DISB 2019'!AJ67</f>
        <v>850000000</v>
      </c>
      <c r="ED63" s="275">
        <f t="shared" si="35"/>
        <v>150000000</v>
      </c>
      <c r="EE63" s="289"/>
      <c r="EF63" s="279">
        <f>'[1]POLY commited funds to date'!AL63</f>
        <v>8000000</v>
      </c>
      <c r="EG63" s="279">
        <f>'[1]POLY DISB 2019'!AK67</f>
        <v>0</v>
      </c>
      <c r="EH63" s="275">
        <f t="shared" si="36"/>
        <v>8000000</v>
      </c>
      <c r="EI63" s="289"/>
      <c r="EJ63" s="279">
        <f>'[1]POLY commited funds to date'!AM63</f>
        <v>10000000</v>
      </c>
      <c r="EK63" s="279">
        <f>'[1]POLY DISB 2019'!AL67</f>
        <v>0</v>
      </c>
      <c r="EL63" s="275">
        <f t="shared" si="37"/>
        <v>10000000</v>
      </c>
      <c r="EM63" s="289"/>
      <c r="EN63" s="279">
        <f>'[1]POLY commited funds to date'!AN63</f>
        <v>10000000</v>
      </c>
      <c r="EO63" s="279">
        <f>'[1]POLY DISB 2019'!AM67</f>
        <v>0</v>
      </c>
      <c r="EP63" s="275">
        <f t="shared" si="38"/>
        <v>10000000</v>
      </c>
      <c r="EQ63" s="275">
        <f>'[1]POLY commited funds to date'!AO63</f>
        <v>0</v>
      </c>
      <c r="ER63" s="275">
        <f>'[1]POLY DISB 2019'!AN67</f>
        <v>0</v>
      </c>
      <c r="ES63" s="275">
        <f t="shared" si="39"/>
        <v>0</v>
      </c>
      <c r="ET63" s="275"/>
      <c r="EU63" s="275">
        <f>'[1]POLY commited funds to date'!AP63</f>
        <v>205000000</v>
      </c>
      <c r="EV63" s="275">
        <f>'[1]POLY DISB 2019'!AO67</f>
        <v>0</v>
      </c>
      <c r="EW63" s="275">
        <f t="shared" si="40"/>
        <v>205000000</v>
      </c>
      <c r="EX63" s="275"/>
      <c r="EY63" s="275">
        <f>'[1]POLY commited funds to date'!AQ63</f>
        <v>75000000</v>
      </c>
      <c r="EZ63" s="275">
        <f>'[1]POLY DISB 2019'!AP67</f>
        <v>75000000</v>
      </c>
      <c r="FA63" s="275">
        <f t="shared" si="41"/>
        <v>0</v>
      </c>
      <c r="FB63" s="275"/>
      <c r="FC63" s="275">
        <f>'[1]POLY commited funds to date'!AR63</f>
        <v>7000000</v>
      </c>
      <c r="FD63" s="275">
        <f>'[1]POLY DISB 2019'!AQ67</f>
        <v>0</v>
      </c>
      <c r="FE63" s="275">
        <f t="shared" si="42"/>
        <v>7000000</v>
      </c>
      <c r="FF63" s="275"/>
      <c r="FG63" s="275">
        <f>'[1]POLY commited funds to date'!AS63</f>
        <v>6300000</v>
      </c>
      <c r="FH63" s="275">
        <f>'[1]POLY DISB 2019'!AR67</f>
        <v>0</v>
      </c>
      <c r="FI63" s="275">
        <f t="shared" si="43"/>
        <v>6300000</v>
      </c>
      <c r="FJ63" s="275"/>
      <c r="FK63" s="275">
        <f>'[1]POLY commited funds to date'!AT63</f>
        <v>7500000</v>
      </c>
      <c r="FL63" s="275">
        <f>'[1]POLY DISB 2019'!AS67</f>
        <v>0</v>
      </c>
      <c r="FM63" s="275">
        <f t="shared" si="44"/>
        <v>7500000</v>
      </c>
      <c r="FN63" s="275"/>
      <c r="FO63" s="275">
        <f>'[1]POLY commited funds to date'!AU63</f>
        <v>245000000</v>
      </c>
      <c r="FP63" s="275">
        <f>'[1]POLY DISB 2019'!AT67</f>
        <v>0</v>
      </c>
      <c r="FQ63" s="275">
        <f t="shared" si="45"/>
        <v>245000000</v>
      </c>
      <c r="FR63" s="275">
        <f>'[1]POLY commited funds to date'!AV63</f>
        <v>119074602</v>
      </c>
      <c r="FS63" s="275">
        <f>'[1]POLY DISB 2019'!AU67</f>
        <v>0</v>
      </c>
      <c r="FT63" s="275">
        <f t="shared" si="46"/>
        <v>119074602</v>
      </c>
      <c r="FU63" s="275"/>
      <c r="FV63" s="275">
        <f>'[1]POLY commited funds to date'!AW63</f>
        <v>13000000</v>
      </c>
      <c r="FW63" s="275">
        <f>'[1]POLY DISB 2019'!AV67</f>
        <v>0</v>
      </c>
      <c r="FX63" s="275">
        <f t="shared" si="47"/>
        <v>13000000</v>
      </c>
      <c r="FY63" s="275"/>
      <c r="FZ63" s="275">
        <f>'[1]POLY commited funds to date'!AX63</f>
        <v>8628900</v>
      </c>
      <c r="GA63" s="275">
        <f>'[1]POLY DISB 2019'!AW67</f>
        <v>0</v>
      </c>
      <c r="GB63" s="275">
        <f t="shared" si="48"/>
        <v>8628900</v>
      </c>
      <c r="GC63" s="275">
        <f>'[1]POLY commited funds to date'!AY63</f>
        <v>5000000</v>
      </c>
      <c r="GD63" s="275">
        <f>'[1]POLY DISB 2019'!AX67</f>
        <v>0</v>
      </c>
      <c r="GE63" s="275">
        <f t="shared" si="49"/>
        <v>5000000</v>
      </c>
      <c r="GF63" s="275"/>
      <c r="GG63" s="275">
        <f>'[1]POLY commited funds to date'!AZ63</f>
        <v>0</v>
      </c>
      <c r="GH63" s="275">
        <f>'[1]POLY DISB 2019'!AY67</f>
        <v>0</v>
      </c>
      <c r="GI63" s="275">
        <f t="shared" si="50"/>
        <v>0</v>
      </c>
      <c r="GJ63" s="275"/>
      <c r="GK63" s="275">
        <f t="shared" si="51"/>
        <v>1719503502</v>
      </c>
      <c r="GL63" s="275">
        <f t="shared" si="51"/>
        <v>925000000</v>
      </c>
      <c r="GM63" s="275">
        <f t="shared" si="52"/>
        <v>794503502</v>
      </c>
      <c r="GN63" s="265"/>
      <c r="GO63" s="277">
        <f t="shared" si="53"/>
        <v>1450000000</v>
      </c>
      <c r="GP63" s="277">
        <f t="shared" si="53"/>
        <v>850000000</v>
      </c>
      <c r="GQ63" s="277">
        <f t="shared" si="54"/>
        <v>600000000</v>
      </c>
      <c r="GR63" s="277">
        <f t="shared" si="69"/>
        <v>0</v>
      </c>
      <c r="GS63" s="277">
        <f t="shared" si="69"/>
        <v>0</v>
      </c>
      <c r="GT63" s="277">
        <f t="shared" si="55"/>
        <v>0</v>
      </c>
      <c r="GU63" s="277"/>
      <c r="GW63" s="279">
        <f t="shared" si="68"/>
        <v>0</v>
      </c>
      <c r="GX63" s="279">
        <f t="shared" si="68"/>
        <v>0</v>
      </c>
      <c r="GY63" s="280">
        <f t="shared" si="57"/>
        <v>0</v>
      </c>
      <c r="GZ63" s="280"/>
      <c r="HA63" s="277">
        <f t="shared" si="58"/>
        <v>24928900</v>
      </c>
      <c r="HB63" s="277">
        <f t="shared" si="58"/>
        <v>0</v>
      </c>
      <c r="HC63" s="277">
        <f t="shared" si="59"/>
        <v>24928900</v>
      </c>
      <c r="HE63" s="277">
        <f t="shared" si="60"/>
        <v>28000000</v>
      </c>
      <c r="HF63" s="277">
        <f t="shared" si="60"/>
        <v>0</v>
      </c>
      <c r="HG63" s="277">
        <f t="shared" si="61"/>
        <v>28000000</v>
      </c>
      <c r="HI63" s="279">
        <f t="shared" si="62"/>
        <v>194074602</v>
      </c>
      <c r="HJ63" s="279">
        <f t="shared" si="62"/>
        <v>75000000</v>
      </c>
      <c r="HK63" s="279">
        <f t="shared" si="63"/>
        <v>119074602</v>
      </c>
      <c r="HM63" s="279">
        <f t="shared" si="64"/>
        <v>0</v>
      </c>
      <c r="HN63" s="279">
        <f t="shared" si="1"/>
        <v>0</v>
      </c>
      <c r="HO63" s="279">
        <f t="shared" si="65"/>
        <v>0</v>
      </c>
      <c r="HQ63" s="279">
        <f t="shared" si="66"/>
        <v>22500000</v>
      </c>
      <c r="HR63" s="279">
        <f t="shared" si="2"/>
        <v>0</v>
      </c>
      <c r="HS63" s="279">
        <f t="shared" si="67"/>
        <v>22500000</v>
      </c>
    </row>
    <row r="64" spans="1:227" ht="31.5" x14ac:dyDescent="0.25">
      <c r="A64" s="235">
        <v>56</v>
      </c>
      <c r="B64" s="284" t="s">
        <v>255</v>
      </c>
      <c r="C64" s="290" t="s">
        <v>65</v>
      </c>
      <c r="D64" s="275">
        <v>0</v>
      </c>
      <c r="E64" s="275">
        <v>0</v>
      </c>
      <c r="F64" s="275">
        <v>0</v>
      </c>
      <c r="G64" s="275"/>
      <c r="H64" s="275">
        <v>0</v>
      </c>
      <c r="I64" s="275">
        <v>0</v>
      </c>
      <c r="J64" s="275">
        <v>0</v>
      </c>
      <c r="K64" s="275"/>
      <c r="L64" s="275">
        <v>0</v>
      </c>
      <c r="M64" s="275">
        <v>0</v>
      </c>
      <c r="N64" s="275">
        <v>0</v>
      </c>
      <c r="O64" s="275"/>
      <c r="P64" s="275">
        <v>0</v>
      </c>
      <c r="Q64" s="275">
        <v>0</v>
      </c>
      <c r="R64" s="275">
        <v>0</v>
      </c>
      <c r="S64" s="275"/>
      <c r="T64" s="275">
        <v>0</v>
      </c>
      <c r="U64" s="275">
        <v>0</v>
      </c>
      <c r="V64" s="275">
        <v>0</v>
      </c>
      <c r="W64" s="275"/>
      <c r="X64" s="275">
        <v>0</v>
      </c>
      <c r="Y64" s="275">
        <v>0</v>
      </c>
      <c r="Z64" s="275">
        <v>0</v>
      </c>
      <c r="AA64" s="275"/>
      <c r="AB64" s="275">
        <v>0</v>
      </c>
      <c r="AC64" s="275">
        <v>0</v>
      </c>
      <c r="AD64" s="275">
        <v>0</v>
      </c>
      <c r="AE64" s="275"/>
      <c r="AF64" s="275">
        <f>'[1]POLY commited funds to date'!K64</f>
        <v>0</v>
      </c>
      <c r="AG64" s="275">
        <v>0</v>
      </c>
      <c r="AH64" s="275">
        <v>0</v>
      </c>
      <c r="AI64" s="275"/>
      <c r="AJ64" s="275">
        <v>0</v>
      </c>
      <c r="AK64" s="275">
        <v>0</v>
      </c>
      <c r="AL64" s="275">
        <v>0</v>
      </c>
      <c r="AM64" s="275"/>
      <c r="AN64" s="275">
        <v>0</v>
      </c>
      <c r="AO64" s="275">
        <v>0</v>
      </c>
      <c r="AP64" s="275">
        <v>0</v>
      </c>
      <c r="AQ64" s="275"/>
      <c r="AR64" s="275">
        <v>0</v>
      </c>
      <c r="AS64" s="275">
        <v>0</v>
      </c>
      <c r="AT64" s="275">
        <v>0</v>
      </c>
      <c r="AU64" s="275"/>
      <c r="AV64" s="275">
        <v>0</v>
      </c>
      <c r="AW64" s="275">
        <v>0</v>
      </c>
      <c r="AX64" s="275">
        <v>0</v>
      </c>
      <c r="AY64" s="275"/>
      <c r="AZ64" s="275">
        <v>0</v>
      </c>
      <c r="BA64" s="275">
        <v>0</v>
      </c>
      <c r="BB64" s="275">
        <v>0</v>
      </c>
      <c r="BC64" s="275"/>
      <c r="BD64" s="275">
        <v>0</v>
      </c>
      <c r="BE64" s="275">
        <v>0</v>
      </c>
      <c r="BF64" s="275">
        <v>0</v>
      </c>
      <c r="BG64" s="275"/>
      <c r="BH64" s="275">
        <v>0</v>
      </c>
      <c r="BI64" s="275">
        <v>0</v>
      </c>
      <c r="BJ64" s="275">
        <v>0</v>
      </c>
      <c r="BK64" s="275"/>
      <c r="BL64" s="275">
        <f>'[1]poly  com. adj for fmis'!S64</f>
        <v>0</v>
      </c>
      <c r="BM64" s="275">
        <v>0</v>
      </c>
      <c r="BN64" s="275">
        <v>0</v>
      </c>
      <c r="BO64" s="275"/>
      <c r="BP64" s="275">
        <v>0</v>
      </c>
      <c r="BQ64" s="275">
        <v>0</v>
      </c>
      <c r="BR64" s="275">
        <v>0</v>
      </c>
      <c r="BS64" s="275"/>
      <c r="BT64" s="275">
        <v>0</v>
      </c>
      <c r="BU64" s="275">
        <v>0</v>
      </c>
      <c r="BV64" s="275">
        <v>0</v>
      </c>
      <c r="BW64" s="275"/>
      <c r="BX64" s="275">
        <v>0</v>
      </c>
      <c r="BY64" s="275">
        <v>0</v>
      </c>
      <c r="BZ64" s="275">
        <v>0</v>
      </c>
      <c r="CA64" s="275"/>
      <c r="CB64" s="275">
        <f>'[1]POLY commited funds to date'!X64</f>
        <v>0</v>
      </c>
      <c r="CC64" s="275">
        <v>0</v>
      </c>
      <c r="CD64" s="275">
        <v>0</v>
      </c>
      <c r="CE64" s="275">
        <v>0</v>
      </c>
      <c r="CF64" s="275">
        <v>0</v>
      </c>
      <c r="CG64" s="275">
        <v>0</v>
      </c>
      <c r="CH64" s="275">
        <v>0</v>
      </c>
      <c r="CI64" s="275"/>
      <c r="CJ64" s="275">
        <f>'[1]POLY commited funds to date'!Z64</f>
        <v>0</v>
      </c>
      <c r="CK64" s="275">
        <v>0</v>
      </c>
      <c r="CL64" s="275">
        <f t="shared" si="24"/>
        <v>0</v>
      </c>
      <c r="CM64" s="275">
        <v>0</v>
      </c>
      <c r="CN64" s="275">
        <f>'[1]POLY commited funds to date'!AA64</f>
        <v>0</v>
      </c>
      <c r="CO64" s="275">
        <v>0</v>
      </c>
      <c r="CP64" s="275">
        <v>0</v>
      </c>
      <c r="CQ64" s="275"/>
      <c r="CR64" s="275">
        <v>0</v>
      </c>
      <c r="CS64" s="275">
        <f>'[1]POLY DISB 2019'!AA68</f>
        <v>0</v>
      </c>
      <c r="CT64" s="275">
        <v>0</v>
      </c>
      <c r="CU64" s="275"/>
      <c r="CV64" s="275">
        <f>'[1]POLY commited funds to date'!AC64</f>
        <v>0</v>
      </c>
      <c r="CW64" s="275">
        <f>'[1]POLY DISB 2019'!AB68</f>
        <v>0</v>
      </c>
      <c r="CX64" s="275">
        <v>0</v>
      </c>
      <c r="CY64" s="275"/>
      <c r="CZ64" s="275">
        <f>'[1]POLY commited funds to date'!AD64</f>
        <v>0</v>
      </c>
      <c r="DA64" s="275">
        <v>0</v>
      </c>
      <c r="DB64" s="275">
        <v>0</v>
      </c>
      <c r="DC64" s="275"/>
      <c r="DD64" s="275">
        <f>'[1]POLY commited funds to date'!AE64</f>
        <v>200000000</v>
      </c>
      <c r="DE64" s="275">
        <f>'[1]POLY DISB 2019'!AD68</f>
        <v>200000000</v>
      </c>
      <c r="DF64" s="275">
        <f>DD64-DE64</f>
        <v>0</v>
      </c>
      <c r="DG64" s="275"/>
      <c r="DH64" s="275">
        <f>'[1]poly  com. adj for fmis'!AE64</f>
        <v>0</v>
      </c>
      <c r="DI64" s="275">
        <f>'[1]POLY DISB 2019'!AE68</f>
        <v>0</v>
      </c>
      <c r="DJ64" s="275">
        <f t="shared" si="30"/>
        <v>0</v>
      </c>
      <c r="DK64" s="275"/>
      <c r="DL64" s="275">
        <f>'[1]poly  com. adj for fmis'!AF64</f>
        <v>0</v>
      </c>
      <c r="DM64" s="275">
        <f>'[1]POLY DISB 2019'!AF68</f>
        <v>0</v>
      </c>
      <c r="DN64" s="275">
        <f t="shared" si="31"/>
        <v>0</v>
      </c>
      <c r="DO64" s="275"/>
      <c r="DP64" s="275">
        <f>'[1]poly  com. adj for fmis'!AG64</f>
        <v>0</v>
      </c>
      <c r="DQ64" s="275">
        <f>'[1]POLY DISB 2019'!AG68</f>
        <v>0</v>
      </c>
      <c r="DR64" s="275">
        <f t="shared" si="32"/>
        <v>0</v>
      </c>
      <c r="DS64" s="275"/>
      <c r="DT64" s="275">
        <f>'[1]poly  com. adj for fmis'!AH64</f>
        <v>0</v>
      </c>
      <c r="DU64" s="275">
        <f>'[1]POLY DISB 2019'!AH68</f>
        <v>0</v>
      </c>
      <c r="DV64" s="275">
        <f t="shared" si="33"/>
        <v>0</v>
      </c>
      <c r="DW64" s="275"/>
      <c r="DX64" s="275">
        <f>'[1]poly  com. adj for fmis'!AI64</f>
        <v>0</v>
      </c>
      <c r="DY64" s="275">
        <f>'[1]POLY DISB 2019'!AI68</f>
        <v>0</v>
      </c>
      <c r="DZ64" s="275">
        <f t="shared" si="34"/>
        <v>0</v>
      </c>
      <c r="EA64" s="275"/>
      <c r="EB64" s="275">
        <f>'[1]POLY commited funds to date'!AK64</f>
        <v>380632000</v>
      </c>
      <c r="EC64" s="275">
        <f>'[1]POLY DISB 2019'!AJ68</f>
        <v>0</v>
      </c>
      <c r="ED64" s="275">
        <f t="shared" si="35"/>
        <v>380632000</v>
      </c>
      <c r="EE64" s="275"/>
      <c r="EF64" s="275">
        <f>'[1]POLY commited funds to date'!AL64</f>
        <v>8000000</v>
      </c>
      <c r="EG64" s="275">
        <f>'[1]POLY DISB 2019'!AK68</f>
        <v>0</v>
      </c>
      <c r="EH64" s="275">
        <f t="shared" si="36"/>
        <v>8000000</v>
      </c>
      <c r="EI64" s="275"/>
      <c r="EJ64" s="275">
        <f>'[1]POLY commited funds to date'!AM64</f>
        <v>10000000</v>
      </c>
      <c r="EK64" s="275">
        <f>'[1]POLY DISB 2019'!AL68</f>
        <v>0</v>
      </c>
      <c r="EL64" s="275">
        <f t="shared" si="37"/>
        <v>10000000</v>
      </c>
      <c r="EM64" s="275"/>
      <c r="EN64" s="275">
        <f>'[1]POLY commited funds to date'!AN64</f>
        <v>10000000</v>
      </c>
      <c r="EO64" s="275">
        <f>'[1]POLY DISB 2019'!AM68</f>
        <v>0</v>
      </c>
      <c r="EP64" s="275">
        <f t="shared" si="38"/>
        <v>10000000</v>
      </c>
      <c r="EQ64" s="275">
        <f>'[1]POLY commited funds to date'!AO64</f>
        <v>0</v>
      </c>
      <c r="ER64" s="275">
        <f>'[1]POLY DISB 2019'!AN68</f>
        <v>0</v>
      </c>
      <c r="ES64" s="275">
        <f t="shared" si="39"/>
        <v>0</v>
      </c>
      <c r="ET64" s="275"/>
      <c r="EU64" s="275">
        <f>'[1]POLY commited funds to date'!AP64</f>
        <v>0</v>
      </c>
      <c r="EV64" s="275">
        <f>'[1]POLY DISB 2019'!AO68</f>
        <v>0</v>
      </c>
      <c r="EW64" s="275">
        <f t="shared" si="40"/>
        <v>0</v>
      </c>
      <c r="EX64" s="275"/>
      <c r="EY64" s="275">
        <f>'[1]POLY commited funds to date'!AQ64</f>
        <v>0</v>
      </c>
      <c r="EZ64" s="275">
        <f>'[1]POLY DISB 2019'!AP68</f>
        <v>0</v>
      </c>
      <c r="FA64" s="275">
        <f t="shared" si="41"/>
        <v>0</v>
      </c>
      <c r="FB64" s="275"/>
      <c r="FC64" s="275">
        <f>'[1]POLY commited funds to date'!AR64</f>
        <v>0</v>
      </c>
      <c r="FD64" s="275">
        <f>'[1]POLY DISB 2019'!AQ68</f>
        <v>0</v>
      </c>
      <c r="FE64" s="275">
        <f t="shared" si="42"/>
        <v>0</v>
      </c>
      <c r="FF64" s="275"/>
      <c r="FG64" s="275">
        <f>'[1]POLY commited funds to date'!AS64</f>
        <v>0</v>
      </c>
      <c r="FH64" s="275">
        <f>'[1]POLY DISB 2019'!AR68</f>
        <v>0</v>
      </c>
      <c r="FI64" s="275">
        <f t="shared" si="43"/>
        <v>0</v>
      </c>
      <c r="FJ64" s="275"/>
      <c r="FK64" s="275">
        <f>'[1]POLY commited funds to date'!AT64</f>
        <v>0</v>
      </c>
      <c r="FL64" s="275">
        <f>'[1]POLY DISB 2019'!AS68</f>
        <v>0</v>
      </c>
      <c r="FM64" s="275">
        <f t="shared" si="44"/>
        <v>0</v>
      </c>
      <c r="FN64" s="275"/>
      <c r="FO64" s="275">
        <f>'[1]POLY commited funds to date'!AU64</f>
        <v>245000000</v>
      </c>
      <c r="FP64" s="275">
        <f>'[1]POLY DISB 2019'!AT68</f>
        <v>0</v>
      </c>
      <c r="FQ64" s="275">
        <f t="shared" si="45"/>
        <v>245000000</v>
      </c>
      <c r="FR64" s="275">
        <f>'[1]POLY commited funds to date'!AV64</f>
        <v>0</v>
      </c>
      <c r="FS64" s="275">
        <f>'[1]POLY DISB 2019'!AU68</f>
        <v>0</v>
      </c>
      <c r="FT64" s="275">
        <f t="shared" si="46"/>
        <v>0</v>
      </c>
      <c r="FU64" s="275"/>
      <c r="FV64" s="275">
        <f>'[1]POLY commited funds to date'!AW64</f>
        <v>13000000</v>
      </c>
      <c r="FW64" s="275">
        <f>'[1]POLY DISB 2019'!AV68</f>
        <v>0</v>
      </c>
      <c r="FX64" s="275">
        <f t="shared" si="47"/>
        <v>13000000</v>
      </c>
      <c r="FY64" s="275"/>
      <c r="FZ64" s="275">
        <f>'[1]POLY commited funds to date'!AX64</f>
        <v>8628900</v>
      </c>
      <c r="GA64" s="275">
        <f>'[1]POLY DISB 2019'!AW68</f>
        <v>0</v>
      </c>
      <c r="GB64" s="275">
        <f t="shared" si="48"/>
        <v>8628900</v>
      </c>
      <c r="GC64" s="275">
        <f>'[1]POLY commited funds to date'!AY64</f>
        <v>5000000</v>
      </c>
      <c r="GD64" s="275">
        <f>'[1]POLY DISB 2019'!AX68</f>
        <v>0</v>
      </c>
      <c r="GE64" s="275">
        <f t="shared" si="49"/>
        <v>5000000</v>
      </c>
      <c r="GF64" s="275"/>
      <c r="GG64" s="275">
        <f>'[1]POLY commited funds to date'!AZ64</f>
        <v>0</v>
      </c>
      <c r="GH64" s="275">
        <f>'[1]POLY DISB 2019'!AY68</f>
        <v>0</v>
      </c>
      <c r="GI64" s="275">
        <f t="shared" si="50"/>
        <v>0</v>
      </c>
      <c r="GJ64" s="275"/>
      <c r="GK64" s="275">
        <f t="shared" si="51"/>
        <v>880260900</v>
      </c>
      <c r="GL64" s="275">
        <f t="shared" si="51"/>
        <v>200000000</v>
      </c>
      <c r="GM64" s="275">
        <f t="shared" si="52"/>
        <v>680260900</v>
      </c>
      <c r="GN64" s="265"/>
      <c r="GO64" s="277">
        <f t="shared" si="53"/>
        <v>625632000</v>
      </c>
      <c r="GP64" s="277">
        <f t="shared" si="53"/>
        <v>0</v>
      </c>
      <c r="GQ64" s="277">
        <f t="shared" si="54"/>
        <v>625632000</v>
      </c>
      <c r="GR64" s="277">
        <f t="shared" si="69"/>
        <v>0</v>
      </c>
      <c r="GS64" s="277">
        <f t="shared" si="69"/>
        <v>0</v>
      </c>
      <c r="GT64" s="277">
        <f t="shared" si="55"/>
        <v>0</v>
      </c>
      <c r="GU64" s="277"/>
      <c r="GV64" s="265"/>
      <c r="GW64" s="279">
        <f t="shared" si="68"/>
        <v>200000000</v>
      </c>
      <c r="GX64" s="279">
        <f t="shared" si="68"/>
        <v>200000000</v>
      </c>
      <c r="GY64" s="280">
        <f t="shared" si="57"/>
        <v>0</v>
      </c>
      <c r="GZ64" s="280"/>
      <c r="HA64" s="277">
        <f t="shared" si="58"/>
        <v>18628900</v>
      </c>
      <c r="HB64" s="277">
        <f t="shared" si="58"/>
        <v>0</v>
      </c>
      <c r="HC64" s="277">
        <f t="shared" si="59"/>
        <v>18628900</v>
      </c>
      <c r="HE64" s="277">
        <f t="shared" si="60"/>
        <v>21000000</v>
      </c>
      <c r="HF64" s="277">
        <f t="shared" si="60"/>
        <v>0</v>
      </c>
      <c r="HG64" s="277">
        <f t="shared" si="61"/>
        <v>21000000</v>
      </c>
      <c r="HI64" s="279">
        <f t="shared" si="62"/>
        <v>0</v>
      </c>
      <c r="HJ64" s="279">
        <f t="shared" si="62"/>
        <v>0</v>
      </c>
      <c r="HK64" s="279">
        <f t="shared" si="63"/>
        <v>0</v>
      </c>
      <c r="HM64" s="279">
        <f t="shared" si="64"/>
        <v>0</v>
      </c>
      <c r="HN64" s="279">
        <f t="shared" si="1"/>
        <v>0</v>
      </c>
      <c r="HO64" s="279">
        <f t="shared" si="65"/>
        <v>0</v>
      </c>
      <c r="HQ64" s="279">
        <f t="shared" si="66"/>
        <v>15000000</v>
      </c>
      <c r="HR64" s="279">
        <f t="shared" si="2"/>
        <v>0</v>
      </c>
      <c r="HS64" s="279">
        <f t="shared" si="67"/>
        <v>15000000</v>
      </c>
    </row>
    <row r="65" spans="1:227" x14ac:dyDescent="0.25">
      <c r="A65" s="235">
        <v>57</v>
      </c>
      <c r="B65" s="291" t="s">
        <v>256</v>
      </c>
      <c r="C65" s="274" t="s">
        <v>65</v>
      </c>
      <c r="D65" s="275"/>
      <c r="E65" s="275"/>
      <c r="F65" s="275"/>
      <c r="G65" s="275"/>
      <c r="H65" s="275"/>
      <c r="I65" s="275"/>
      <c r="J65" s="275"/>
      <c r="K65" s="275"/>
      <c r="L65" s="275"/>
      <c r="M65" s="275"/>
      <c r="N65" s="275"/>
      <c r="O65" s="275"/>
      <c r="P65" s="275"/>
      <c r="Q65" s="275"/>
      <c r="R65" s="275"/>
      <c r="S65" s="275"/>
      <c r="T65" s="275"/>
      <c r="U65" s="275"/>
      <c r="V65" s="275"/>
      <c r="W65" s="275"/>
      <c r="X65" s="275"/>
      <c r="Y65" s="275"/>
      <c r="Z65" s="275"/>
      <c r="AA65" s="275"/>
      <c r="AB65" s="275"/>
      <c r="AC65" s="275"/>
      <c r="AD65" s="275"/>
      <c r="AE65" s="275"/>
      <c r="AF65" s="275"/>
      <c r="AG65" s="275"/>
      <c r="AH65" s="275"/>
      <c r="AI65" s="275"/>
      <c r="AJ65" s="275"/>
      <c r="AK65" s="275"/>
      <c r="AL65" s="275"/>
      <c r="AM65" s="275"/>
      <c r="AN65" s="275"/>
      <c r="AO65" s="275"/>
      <c r="AP65" s="275"/>
      <c r="AQ65" s="275"/>
      <c r="AR65" s="275"/>
      <c r="AS65" s="275"/>
      <c r="AT65" s="275"/>
      <c r="AU65" s="275"/>
      <c r="AV65" s="275"/>
      <c r="AW65" s="275"/>
      <c r="AX65" s="275"/>
      <c r="AY65" s="275"/>
      <c r="AZ65" s="275"/>
      <c r="BA65" s="275"/>
      <c r="BB65" s="275"/>
      <c r="BC65" s="275"/>
      <c r="BD65" s="275"/>
      <c r="BE65" s="275"/>
      <c r="BF65" s="275"/>
      <c r="BG65" s="275"/>
      <c r="BH65" s="275"/>
      <c r="BI65" s="275"/>
      <c r="BJ65" s="275"/>
      <c r="BK65" s="275"/>
      <c r="BL65" s="275"/>
      <c r="BM65" s="275"/>
      <c r="BN65" s="275"/>
      <c r="BO65" s="275"/>
      <c r="BP65" s="275"/>
      <c r="BQ65" s="275"/>
      <c r="BR65" s="275"/>
      <c r="BS65" s="275"/>
      <c r="BT65" s="275"/>
      <c r="BU65" s="275"/>
      <c r="BV65" s="275"/>
      <c r="BW65" s="275"/>
      <c r="BX65" s="275"/>
      <c r="BY65" s="275"/>
      <c r="BZ65" s="275"/>
      <c r="CA65" s="275"/>
      <c r="CB65" s="275"/>
      <c r="CC65" s="275"/>
      <c r="CD65" s="275"/>
      <c r="CE65" s="275"/>
      <c r="CF65" s="275"/>
      <c r="CG65" s="275"/>
      <c r="CH65" s="275"/>
      <c r="CI65" s="275"/>
      <c r="CJ65" s="275"/>
      <c r="CK65" s="275"/>
      <c r="CL65" s="275"/>
      <c r="CM65" s="275"/>
      <c r="CN65" s="275"/>
      <c r="CO65" s="275"/>
      <c r="CP65" s="275"/>
      <c r="CQ65" s="275"/>
      <c r="CR65" s="275"/>
      <c r="CS65" s="275"/>
      <c r="CT65" s="275"/>
      <c r="CU65" s="275"/>
      <c r="CV65" s="275"/>
      <c r="CW65" s="275"/>
      <c r="CX65" s="275"/>
      <c r="CY65" s="275"/>
      <c r="CZ65" s="275"/>
      <c r="DA65" s="275"/>
      <c r="DB65" s="289"/>
      <c r="DC65" s="289"/>
      <c r="DD65" s="279"/>
      <c r="DE65" s="275"/>
      <c r="DF65" s="289"/>
      <c r="DG65" s="289"/>
      <c r="DH65" s="279"/>
      <c r="DI65" s="279">
        <f>'[1]POLY DISB 2019'!$AE$69</f>
        <v>0</v>
      </c>
      <c r="DJ65" s="275"/>
      <c r="DK65" s="289"/>
      <c r="DL65" s="279"/>
      <c r="DM65" s="279">
        <f>'[1]POLY DISB 2019'!AF69</f>
        <v>0</v>
      </c>
      <c r="DN65" s="275"/>
      <c r="DO65" s="289"/>
      <c r="DP65" s="279"/>
      <c r="DQ65" s="279"/>
      <c r="DR65" s="275"/>
      <c r="DS65" s="289"/>
      <c r="DT65" s="279"/>
      <c r="DU65" s="279"/>
      <c r="DV65" s="275"/>
      <c r="DW65" s="275"/>
      <c r="DX65" s="275"/>
      <c r="DY65" s="275"/>
      <c r="DZ65" s="275"/>
      <c r="EA65" s="289"/>
      <c r="EB65" s="279">
        <f>'[1]POLY commited funds to date'!AK65</f>
        <v>380632000</v>
      </c>
      <c r="EC65" s="279">
        <f>'[1]POLY DISB 2019'!AJ69</f>
        <v>0</v>
      </c>
      <c r="ED65" s="275">
        <f t="shared" si="35"/>
        <v>380632000</v>
      </c>
      <c r="EE65" s="289"/>
      <c r="EF65" s="279">
        <f>'[1]POLY commited funds to date'!AL65</f>
        <v>8000000</v>
      </c>
      <c r="EG65" s="279">
        <f>'[1]POLY DISB 2019'!AK69</f>
        <v>0</v>
      </c>
      <c r="EH65" s="275">
        <f t="shared" si="36"/>
        <v>8000000</v>
      </c>
      <c r="EI65" s="289"/>
      <c r="EJ65" s="279">
        <f>'[1]POLY commited funds to date'!AM65</f>
        <v>10000000</v>
      </c>
      <c r="EK65" s="279">
        <f>'[1]POLY DISB 2019'!AL69</f>
        <v>0</v>
      </c>
      <c r="EL65" s="275">
        <f t="shared" si="37"/>
        <v>10000000</v>
      </c>
      <c r="EM65" s="289"/>
      <c r="EN65" s="279">
        <f>'[1]POLY commited funds to date'!AN65</f>
        <v>10000000</v>
      </c>
      <c r="EO65" s="279">
        <f>'[1]POLY DISB 2019'!AM69</f>
        <v>0</v>
      </c>
      <c r="EP65" s="275">
        <f t="shared" si="38"/>
        <v>10000000</v>
      </c>
      <c r="EQ65" s="275">
        <f>'[1]POLY commited funds to date'!AO65</f>
        <v>0</v>
      </c>
      <c r="ER65" s="275">
        <f>'[1]POLY DISB 2019'!AN69</f>
        <v>0</v>
      </c>
      <c r="ES65" s="275">
        <f t="shared" si="39"/>
        <v>0</v>
      </c>
      <c r="ET65" s="275"/>
      <c r="EU65" s="275">
        <f>'[1]POLY commited funds to date'!AP65</f>
        <v>205000000</v>
      </c>
      <c r="EV65" s="275">
        <f>'[1]POLY DISB 2019'!AO69</f>
        <v>0</v>
      </c>
      <c r="EW65" s="275">
        <f t="shared" si="40"/>
        <v>205000000</v>
      </c>
      <c r="EX65" s="275"/>
      <c r="EY65" s="275">
        <f>'[1]POLY commited funds to date'!AQ65</f>
        <v>75000000</v>
      </c>
      <c r="EZ65" s="275">
        <f>'[1]POLY DISB 2019'!AP69</f>
        <v>0</v>
      </c>
      <c r="FA65" s="275">
        <f t="shared" si="41"/>
        <v>75000000</v>
      </c>
      <c r="FB65" s="275"/>
      <c r="FC65" s="275">
        <f>'[1]POLY commited funds to date'!AR65</f>
        <v>7000000</v>
      </c>
      <c r="FD65" s="275">
        <f>'[1]POLY DISB 2019'!AQ69</f>
        <v>0</v>
      </c>
      <c r="FE65" s="275">
        <f t="shared" si="42"/>
        <v>7000000</v>
      </c>
      <c r="FF65" s="275"/>
      <c r="FG65" s="275">
        <f>'[1]POLY commited funds to date'!AS65</f>
        <v>6300000</v>
      </c>
      <c r="FH65" s="275">
        <f>'[1]POLY DISB 2019'!AR69</f>
        <v>0</v>
      </c>
      <c r="FI65" s="275">
        <f t="shared" si="43"/>
        <v>6300000</v>
      </c>
      <c r="FJ65" s="275"/>
      <c r="FK65" s="275">
        <f>'[1]POLY commited funds to date'!AT65</f>
        <v>7500000</v>
      </c>
      <c r="FL65" s="275">
        <f>'[1]POLY DISB 2019'!AS69</f>
        <v>0</v>
      </c>
      <c r="FM65" s="275">
        <f t="shared" si="44"/>
        <v>7500000</v>
      </c>
      <c r="FN65" s="275"/>
      <c r="FO65" s="275">
        <f>'[1]POLY commited funds to date'!AU65</f>
        <v>245000000</v>
      </c>
      <c r="FP65" s="275">
        <f>'[1]POLY DISB 2019'!AT69</f>
        <v>0</v>
      </c>
      <c r="FQ65" s="275">
        <f t="shared" si="45"/>
        <v>245000000</v>
      </c>
      <c r="FR65" s="275">
        <f>'[1]POLY commited funds to date'!AV65</f>
        <v>119074602</v>
      </c>
      <c r="FS65" s="275">
        <f>'[1]POLY DISB 2019'!AU69</f>
        <v>0</v>
      </c>
      <c r="FT65" s="275">
        <f t="shared" si="46"/>
        <v>119074602</v>
      </c>
      <c r="FU65" s="275"/>
      <c r="FV65" s="275">
        <f>'[1]POLY commited funds to date'!AW65</f>
        <v>13000000</v>
      </c>
      <c r="FW65" s="275">
        <f>'[1]POLY DISB 2019'!AV69</f>
        <v>0</v>
      </c>
      <c r="FX65" s="275">
        <f t="shared" si="47"/>
        <v>13000000</v>
      </c>
      <c r="FY65" s="275"/>
      <c r="FZ65" s="275">
        <f>'[1]POLY commited funds to date'!AX65</f>
        <v>8628900</v>
      </c>
      <c r="GA65" s="275">
        <f>'[1]POLY DISB 2019'!AW69</f>
        <v>0</v>
      </c>
      <c r="GB65" s="275">
        <f t="shared" si="48"/>
        <v>8628900</v>
      </c>
      <c r="GC65" s="275">
        <f>'[1]POLY commited funds to date'!AY65</f>
        <v>5000000</v>
      </c>
      <c r="GD65" s="275">
        <f>'[1]POLY DISB 2019'!AX69</f>
        <v>0</v>
      </c>
      <c r="GE65" s="275">
        <f t="shared" si="49"/>
        <v>5000000</v>
      </c>
      <c r="GF65" s="275"/>
      <c r="GG65" s="275">
        <f>'[1]POLY commited funds to date'!AZ65</f>
        <v>0</v>
      </c>
      <c r="GH65" s="275">
        <f>'[1]POLY DISB 2019'!AY69</f>
        <v>0</v>
      </c>
      <c r="GI65" s="275">
        <f t="shared" si="50"/>
        <v>0</v>
      </c>
      <c r="GJ65" s="275"/>
      <c r="GK65" s="275">
        <f t="shared" si="51"/>
        <v>1100135502</v>
      </c>
      <c r="GL65" s="275">
        <f t="shared" si="51"/>
        <v>0</v>
      </c>
      <c r="GM65" s="275">
        <f t="shared" si="52"/>
        <v>1100135502</v>
      </c>
      <c r="GN65" s="265"/>
      <c r="GO65" s="277">
        <f t="shared" si="53"/>
        <v>830632000</v>
      </c>
      <c r="GP65" s="277">
        <f t="shared" si="53"/>
        <v>0</v>
      </c>
      <c r="GQ65" s="277">
        <f t="shared" si="54"/>
        <v>830632000</v>
      </c>
      <c r="GR65" s="277">
        <f t="shared" si="69"/>
        <v>0</v>
      </c>
      <c r="GS65" s="277">
        <f t="shared" si="69"/>
        <v>0</v>
      </c>
      <c r="GT65" s="277">
        <f t="shared" si="55"/>
        <v>0</v>
      </c>
      <c r="GU65" s="277"/>
      <c r="GW65" s="279">
        <f t="shared" si="68"/>
        <v>0</v>
      </c>
      <c r="GX65" s="279">
        <f t="shared" si="68"/>
        <v>0</v>
      </c>
      <c r="GY65" s="280">
        <f t="shared" si="57"/>
        <v>0</v>
      </c>
      <c r="GZ65" s="280"/>
      <c r="HA65" s="277">
        <f t="shared" si="58"/>
        <v>24928900</v>
      </c>
      <c r="HB65" s="277">
        <f t="shared" si="58"/>
        <v>0</v>
      </c>
      <c r="HC65" s="277">
        <f t="shared" si="59"/>
        <v>24928900</v>
      </c>
      <c r="HE65" s="277">
        <f t="shared" si="60"/>
        <v>28000000</v>
      </c>
      <c r="HF65" s="277">
        <f t="shared" si="60"/>
        <v>0</v>
      </c>
      <c r="HG65" s="277">
        <f t="shared" si="61"/>
        <v>28000000</v>
      </c>
      <c r="HI65" s="279">
        <f t="shared" si="62"/>
        <v>194074602</v>
      </c>
      <c r="HJ65" s="279">
        <f t="shared" si="62"/>
        <v>0</v>
      </c>
      <c r="HK65" s="279">
        <f t="shared" si="63"/>
        <v>194074602</v>
      </c>
      <c r="HM65" s="279">
        <f t="shared" si="64"/>
        <v>0</v>
      </c>
      <c r="HN65" s="279">
        <f t="shared" si="1"/>
        <v>0</v>
      </c>
      <c r="HO65" s="279">
        <f t="shared" si="65"/>
        <v>0</v>
      </c>
      <c r="HQ65" s="279">
        <f t="shared" si="66"/>
        <v>22500000</v>
      </c>
      <c r="HR65" s="279">
        <f t="shared" si="2"/>
        <v>0</v>
      </c>
      <c r="HS65" s="279">
        <f t="shared" si="67"/>
        <v>22500000</v>
      </c>
    </row>
    <row r="66" spans="1:227" x14ac:dyDescent="0.25">
      <c r="A66" s="235">
        <v>58</v>
      </c>
      <c r="B66" s="291" t="s">
        <v>257</v>
      </c>
      <c r="C66" s="274"/>
      <c r="D66" s="275"/>
      <c r="E66" s="275"/>
      <c r="F66" s="275"/>
      <c r="G66" s="275"/>
      <c r="H66" s="275"/>
      <c r="I66" s="275"/>
      <c r="J66" s="275"/>
      <c r="K66" s="275"/>
      <c r="L66" s="275"/>
      <c r="M66" s="275"/>
      <c r="N66" s="275"/>
      <c r="O66" s="275"/>
      <c r="P66" s="275"/>
      <c r="Q66" s="275"/>
      <c r="R66" s="275"/>
      <c r="S66" s="275"/>
      <c r="T66" s="275"/>
      <c r="U66" s="275"/>
      <c r="V66" s="275"/>
      <c r="W66" s="275"/>
      <c r="X66" s="275"/>
      <c r="Y66" s="275"/>
      <c r="Z66" s="275"/>
      <c r="AA66" s="275"/>
      <c r="AB66" s="275"/>
      <c r="AC66" s="275"/>
      <c r="AD66" s="275"/>
      <c r="AE66" s="275"/>
      <c r="AF66" s="275"/>
      <c r="AG66" s="275"/>
      <c r="AH66" s="275"/>
      <c r="AI66" s="275"/>
      <c r="AJ66" s="275"/>
      <c r="AK66" s="275"/>
      <c r="AL66" s="275"/>
      <c r="AM66" s="275"/>
      <c r="AN66" s="275"/>
      <c r="AO66" s="275"/>
      <c r="AP66" s="275"/>
      <c r="AQ66" s="275"/>
      <c r="AR66" s="275"/>
      <c r="AS66" s="275"/>
      <c r="AT66" s="275"/>
      <c r="AU66" s="275"/>
      <c r="AV66" s="275"/>
      <c r="AW66" s="275"/>
      <c r="AX66" s="275"/>
      <c r="AY66" s="275"/>
      <c r="AZ66" s="275"/>
      <c r="BA66" s="275"/>
      <c r="BB66" s="275"/>
      <c r="BC66" s="275"/>
      <c r="BD66" s="275"/>
      <c r="BE66" s="275"/>
      <c r="BF66" s="275"/>
      <c r="BG66" s="275"/>
      <c r="BH66" s="275"/>
      <c r="BI66" s="275"/>
      <c r="BJ66" s="275"/>
      <c r="BK66" s="275"/>
      <c r="BL66" s="275"/>
      <c r="BM66" s="275"/>
      <c r="BN66" s="275"/>
      <c r="BO66" s="275"/>
      <c r="BP66" s="275"/>
      <c r="BQ66" s="275"/>
      <c r="BR66" s="275"/>
      <c r="BS66" s="275"/>
      <c r="BT66" s="275"/>
      <c r="BU66" s="275"/>
      <c r="BV66" s="275"/>
      <c r="BW66" s="275"/>
      <c r="BX66" s="275"/>
      <c r="BY66" s="275"/>
      <c r="BZ66" s="275"/>
      <c r="CA66" s="275"/>
      <c r="CB66" s="275"/>
      <c r="CC66" s="275"/>
      <c r="CD66" s="275"/>
      <c r="CE66" s="275"/>
      <c r="CF66" s="275"/>
      <c r="CG66" s="275"/>
      <c r="CH66" s="275"/>
      <c r="CI66" s="275"/>
      <c r="CJ66" s="275"/>
      <c r="CK66" s="275"/>
      <c r="CL66" s="275"/>
      <c r="CM66" s="275"/>
      <c r="CN66" s="275"/>
      <c r="CO66" s="275"/>
      <c r="CP66" s="275"/>
      <c r="CQ66" s="275"/>
      <c r="CR66" s="275"/>
      <c r="CS66" s="275"/>
      <c r="CT66" s="275"/>
      <c r="CU66" s="275"/>
      <c r="CV66" s="275"/>
      <c r="CW66" s="275"/>
      <c r="CX66" s="275"/>
      <c r="CY66" s="275"/>
      <c r="CZ66" s="275"/>
      <c r="DA66" s="275"/>
      <c r="DB66" s="289"/>
      <c r="DC66" s="289"/>
      <c r="DD66" s="279"/>
      <c r="DE66" s="275"/>
      <c r="DF66" s="289"/>
      <c r="DG66" s="289"/>
      <c r="DH66" s="279">
        <f>'[1]POLY commited funds to date'!$AG$66</f>
        <v>80000000</v>
      </c>
      <c r="DI66" s="279">
        <f>'[1]POLY DISB 2019'!$AE$70</f>
        <v>68000000</v>
      </c>
      <c r="DJ66" s="275">
        <f>DH66-DI66</f>
        <v>12000000</v>
      </c>
      <c r="DK66" s="289"/>
      <c r="DL66" s="279">
        <f>'[1]POLY commited funds to date'!$AH$66</f>
        <v>8000000</v>
      </c>
      <c r="DM66" s="279">
        <f>'[1]POLY DISB 2019'!AF70</f>
        <v>6800000</v>
      </c>
      <c r="DN66" s="275">
        <f>DL66-DM66</f>
        <v>1200000</v>
      </c>
      <c r="DO66" s="289"/>
      <c r="DP66" s="279">
        <f>'[1]POLY commited funds to date'!$AI$66</f>
        <v>2000000</v>
      </c>
      <c r="DQ66" s="279"/>
      <c r="DR66" s="275">
        <f>DP66-DQ66</f>
        <v>2000000</v>
      </c>
      <c r="DS66" s="289"/>
      <c r="DT66" s="279">
        <f>'[1]POLY commited funds to date'!$AJ$66</f>
        <v>10000000</v>
      </c>
      <c r="DU66" s="279">
        <f>'[1]POLY DISB 2019'!$AH$70</f>
        <v>8500000</v>
      </c>
      <c r="DV66" s="275">
        <f>DT66-DU66</f>
        <v>1500000</v>
      </c>
      <c r="DW66" s="275"/>
      <c r="DX66" s="275"/>
      <c r="DY66" s="275"/>
      <c r="DZ66" s="275"/>
      <c r="EA66" s="289"/>
      <c r="EB66" s="279">
        <f>'[1]POLY commited funds to date'!AK66</f>
        <v>0</v>
      </c>
      <c r="EC66" s="279">
        <f>'[1]POLY DISB 2019'!AJ70</f>
        <v>0</v>
      </c>
      <c r="ED66" s="275">
        <f t="shared" si="35"/>
        <v>0</v>
      </c>
      <c r="EE66" s="289"/>
      <c r="EF66" s="279">
        <f>'[1]POLY commited funds to date'!AL66</f>
        <v>0</v>
      </c>
      <c r="EG66" s="279">
        <f>'[1]POLY DISB 2019'!AK70</f>
        <v>0</v>
      </c>
      <c r="EH66" s="275">
        <f t="shared" si="36"/>
        <v>0</v>
      </c>
      <c r="EI66" s="289"/>
      <c r="EJ66" s="279">
        <f>'[1]POLY commited funds to date'!AM66</f>
        <v>0</v>
      </c>
      <c r="EK66" s="279">
        <f>'[1]POLY DISB 2019'!AL70</f>
        <v>0</v>
      </c>
      <c r="EL66" s="275">
        <f t="shared" si="37"/>
        <v>0</v>
      </c>
      <c r="EM66" s="289"/>
      <c r="EN66" s="279">
        <f>'[1]POLY commited funds to date'!AN66</f>
        <v>0</v>
      </c>
      <c r="EO66" s="279">
        <f>'[1]POLY DISB 2019'!AM70</f>
        <v>0</v>
      </c>
      <c r="EP66" s="275">
        <f t="shared" si="38"/>
        <v>0</v>
      </c>
      <c r="EQ66" s="275">
        <f>'[1]POLY commited funds to date'!AO66</f>
        <v>0</v>
      </c>
      <c r="ER66" s="275">
        <f>'[1]POLY DISB 2019'!AN70</f>
        <v>0</v>
      </c>
      <c r="ES66" s="275">
        <f t="shared" si="39"/>
        <v>0</v>
      </c>
      <c r="ET66" s="275"/>
      <c r="EU66" s="275">
        <f>'[1]POLY commited funds to date'!AP66</f>
        <v>205000000</v>
      </c>
      <c r="EV66" s="275">
        <f>'[1]POLY DISB 2019'!AO70</f>
        <v>0</v>
      </c>
      <c r="EW66" s="275">
        <f t="shared" si="40"/>
        <v>205000000</v>
      </c>
      <c r="EX66" s="275"/>
      <c r="EY66" s="275">
        <f>'[1]POLY commited funds to date'!AQ66</f>
        <v>75000000</v>
      </c>
      <c r="EZ66" s="275">
        <f>'[1]POLY DISB 2019'!AP70</f>
        <v>51000000</v>
      </c>
      <c r="FA66" s="275">
        <f t="shared" si="41"/>
        <v>24000000</v>
      </c>
      <c r="FB66" s="275"/>
      <c r="FC66" s="275">
        <f>'[1]POLY commited funds to date'!AR66</f>
        <v>7000000</v>
      </c>
      <c r="FD66" s="275">
        <f>'[1]POLY DISB 2019'!AQ70</f>
        <v>0</v>
      </c>
      <c r="FE66" s="275">
        <f t="shared" si="42"/>
        <v>7000000</v>
      </c>
      <c r="FF66" s="275"/>
      <c r="FG66" s="275">
        <f>'[1]POLY commited funds to date'!AS66</f>
        <v>6300000</v>
      </c>
      <c r="FH66" s="275">
        <f>'[1]POLY DISB 2019'!AR70</f>
        <v>0</v>
      </c>
      <c r="FI66" s="275">
        <f t="shared" si="43"/>
        <v>6300000</v>
      </c>
      <c r="FJ66" s="275"/>
      <c r="FK66" s="275">
        <f>'[1]POLY commited funds to date'!AT66</f>
        <v>7500000</v>
      </c>
      <c r="FL66" s="275">
        <f>'[1]POLY DISB 2019'!AS70</f>
        <v>0</v>
      </c>
      <c r="FM66" s="275">
        <f t="shared" si="44"/>
        <v>7500000</v>
      </c>
      <c r="FN66" s="275"/>
      <c r="FO66" s="281">
        <f>'[1]POLY commited funds to date'!AU66</f>
        <v>0</v>
      </c>
      <c r="FP66" s="281">
        <f>'[1]POLY DISB 2019'!AT70</f>
        <v>0</v>
      </c>
      <c r="FQ66" s="281">
        <f t="shared" si="45"/>
        <v>0</v>
      </c>
      <c r="FR66" s="275">
        <f>'[1]POLY commited funds to date'!AV66</f>
        <v>119074602</v>
      </c>
      <c r="FS66" s="275">
        <f>'[1]POLY DISB 2019'!AU70</f>
        <v>0</v>
      </c>
      <c r="FT66" s="275">
        <f t="shared" si="46"/>
        <v>119074602</v>
      </c>
      <c r="FU66" s="275"/>
      <c r="FV66" s="275">
        <f>'[1]POLY commited funds to date'!AW66</f>
        <v>0</v>
      </c>
      <c r="FW66" s="275">
        <f>'[1]POLY DISB 2019'!AV70</f>
        <v>0</v>
      </c>
      <c r="FX66" s="275">
        <f t="shared" si="47"/>
        <v>0</v>
      </c>
      <c r="FY66" s="275"/>
      <c r="FZ66" s="275">
        <f>'[1]POLY commited funds to date'!AX66</f>
        <v>0</v>
      </c>
      <c r="GA66" s="275">
        <f>'[1]POLY DISB 2019'!AW70</f>
        <v>0</v>
      </c>
      <c r="GB66" s="275">
        <f t="shared" si="48"/>
        <v>0</v>
      </c>
      <c r="GC66" s="275">
        <f>'[1]POLY commited funds to date'!AY66</f>
        <v>0</v>
      </c>
      <c r="GD66" s="275">
        <f>'[1]POLY DISB 2019'!AX70</f>
        <v>0</v>
      </c>
      <c r="GE66" s="275">
        <f t="shared" si="49"/>
        <v>0</v>
      </c>
      <c r="GF66" s="275"/>
      <c r="GG66" s="275">
        <f>'[1]POLY commited funds to date'!AZ66</f>
        <v>0</v>
      </c>
      <c r="GH66" s="275">
        <f>'[1]POLY DISB 2019'!AY70</f>
        <v>0</v>
      </c>
      <c r="GI66" s="275">
        <f t="shared" si="50"/>
        <v>0</v>
      </c>
      <c r="GJ66" s="275"/>
      <c r="GK66" s="275">
        <f t="shared" si="51"/>
        <v>519874602</v>
      </c>
      <c r="GL66" s="275">
        <f t="shared" si="51"/>
        <v>134300000</v>
      </c>
      <c r="GM66" s="275">
        <f t="shared" si="52"/>
        <v>385574602</v>
      </c>
      <c r="GN66" s="265"/>
      <c r="GO66" s="277">
        <f t="shared" si="53"/>
        <v>285000000</v>
      </c>
      <c r="GP66" s="277">
        <f t="shared" si="53"/>
        <v>68000000</v>
      </c>
      <c r="GQ66" s="277">
        <f t="shared" si="54"/>
        <v>217000000</v>
      </c>
      <c r="GR66" s="277">
        <f t="shared" si="69"/>
        <v>0</v>
      </c>
      <c r="GS66" s="277">
        <f t="shared" si="69"/>
        <v>0</v>
      </c>
      <c r="GT66" s="277">
        <f t="shared" si="55"/>
        <v>0</v>
      </c>
      <c r="GU66" s="277"/>
      <c r="GW66" s="279">
        <f t="shared" si="68"/>
        <v>0</v>
      </c>
      <c r="GX66" s="279">
        <f t="shared" si="68"/>
        <v>0</v>
      </c>
      <c r="GY66" s="280">
        <f t="shared" si="57"/>
        <v>0</v>
      </c>
      <c r="GZ66" s="280"/>
      <c r="HA66" s="277">
        <f t="shared" si="58"/>
        <v>16300000</v>
      </c>
      <c r="HB66" s="277">
        <f t="shared" si="58"/>
        <v>8500000</v>
      </c>
      <c r="HC66" s="277">
        <f t="shared" si="59"/>
        <v>7800000</v>
      </c>
      <c r="HE66" s="277">
        <f t="shared" si="60"/>
        <v>15000000</v>
      </c>
      <c r="HF66" s="277">
        <f t="shared" si="60"/>
        <v>6800000</v>
      </c>
      <c r="HG66" s="277">
        <f t="shared" si="61"/>
        <v>8200000</v>
      </c>
      <c r="HI66" s="279">
        <f t="shared" si="62"/>
        <v>194074602</v>
      </c>
      <c r="HJ66" s="279">
        <f t="shared" si="62"/>
        <v>51000000</v>
      </c>
      <c r="HK66" s="279">
        <f t="shared" si="63"/>
        <v>143074602</v>
      </c>
      <c r="HM66" s="279">
        <f t="shared" si="64"/>
        <v>2000000</v>
      </c>
      <c r="HN66" s="279">
        <f t="shared" si="1"/>
        <v>0</v>
      </c>
      <c r="HO66" s="279">
        <f t="shared" si="65"/>
        <v>2000000</v>
      </c>
      <c r="HQ66" s="279">
        <f t="shared" si="66"/>
        <v>7500000</v>
      </c>
      <c r="HR66" s="279">
        <f t="shared" si="2"/>
        <v>0</v>
      </c>
      <c r="HS66" s="279">
        <f t="shared" si="67"/>
        <v>7500000</v>
      </c>
    </row>
    <row r="67" spans="1:227" x14ac:dyDescent="0.25">
      <c r="A67" s="235">
        <v>59</v>
      </c>
      <c r="B67" s="292" t="s">
        <v>258</v>
      </c>
      <c r="C67" s="274"/>
      <c r="D67" s="275"/>
      <c r="E67" s="275"/>
      <c r="F67" s="275"/>
      <c r="G67" s="275"/>
      <c r="H67" s="275"/>
      <c r="I67" s="275"/>
      <c r="J67" s="275"/>
      <c r="K67" s="275"/>
      <c r="L67" s="275"/>
      <c r="M67" s="275"/>
      <c r="N67" s="275"/>
      <c r="O67" s="275"/>
      <c r="P67" s="275"/>
      <c r="Q67" s="275"/>
      <c r="R67" s="275"/>
      <c r="S67" s="275"/>
      <c r="T67" s="275"/>
      <c r="U67" s="275"/>
      <c r="V67" s="275"/>
      <c r="W67" s="275"/>
      <c r="X67" s="275"/>
      <c r="Y67" s="275"/>
      <c r="Z67" s="275"/>
      <c r="AA67" s="275"/>
      <c r="AB67" s="275"/>
      <c r="AC67" s="275"/>
      <c r="AD67" s="275"/>
      <c r="AE67" s="275"/>
      <c r="AF67" s="275"/>
      <c r="AG67" s="275"/>
      <c r="AH67" s="275"/>
      <c r="AI67" s="275"/>
      <c r="AJ67" s="275"/>
      <c r="AK67" s="275"/>
      <c r="AL67" s="275"/>
      <c r="AM67" s="275"/>
      <c r="AN67" s="275"/>
      <c r="AO67" s="275"/>
      <c r="AP67" s="275"/>
      <c r="AQ67" s="275"/>
      <c r="AR67" s="275"/>
      <c r="AS67" s="275"/>
      <c r="AT67" s="275"/>
      <c r="AU67" s="275"/>
      <c r="AV67" s="275"/>
      <c r="AW67" s="275"/>
      <c r="AX67" s="275"/>
      <c r="AY67" s="275"/>
      <c r="AZ67" s="275"/>
      <c r="BA67" s="275"/>
      <c r="BB67" s="275"/>
      <c r="BC67" s="275"/>
      <c r="BD67" s="275"/>
      <c r="BE67" s="275"/>
      <c r="BF67" s="275"/>
      <c r="BG67" s="275"/>
      <c r="BH67" s="275"/>
      <c r="BI67" s="275"/>
      <c r="BJ67" s="275"/>
      <c r="BK67" s="275"/>
      <c r="BL67" s="275"/>
      <c r="BM67" s="275"/>
      <c r="BN67" s="275"/>
      <c r="BO67" s="275"/>
      <c r="BP67" s="275"/>
      <c r="BQ67" s="275"/>
      <c r="BR67" s="275"/>
      <c r="BS67" s="275"/>
      <c r="BT67" s="275"/>
      <c r="BU67" s="275"/>
      <c r="BV67" s="275"/>
      <c r="BW67" s="275"/>
      <c r="BX67" s="275"/>
      <c r="BY67" s="275"/>
      <c r="BZ67" s="275"/>
      <c r="CA67" s="275"/>
      <c r="CB67" s="275"/>
      <c r="CC67" s="275"/>
      <c r="CD67" s="275"/>
      <c r="CE67" s="275"/>
      <c r="CF67" s="275"/>
      <c r="CG67" s="275"/>
      <c r="CH67" s="275"/>
      <c r="CI67" s="275"/>
      <c r="CJ67" s="275"/>
      <c r="CK67" s="275"/>
      <c r="CL67" s="275"/>
      <c r="CM67" s="275"/>
      <c r="CN67" s="275"/>
      <c r="CO67" s="275"/>
      <c r="CP67" s="275"/>
      <c r="CQ67" s="275"/>
      <c r="CR67" s="275"/>
      <c r="CS67" s="275"/>
      <c r="CT67" s="275"/>
      <c r="CU67" s="275"/>
      <c r="CV67" s="275"/>
      <c r="CW67" s="275"/>
      <c r="CX67" s="275"/>
      <c r="CY67" s="275"/>
      <c r="CZ67" s="275"/>
      <c r="DA67" s="275"/>
      <c r="DB67" s="289"/>
      <c r="DC67" s="289"/>
      <c r="DD67" s="279"/>
      <c r="DE67" s="275"/>
      <c r="DF67" s="289"/>
      <c r="DG67" s="289"/>
      <c r="DH67" s="279"/>
      <c r="DI67" s="279"/>
      <c r="DJ67" s="275"/>
      <c r="DK67" s="289"/>
      <c r="DL67" s="279"/>
      <c r="DM67" s="279"/>
      <c r="DN67" s="275"/>
      <c r="DO67" s="289"/>
      <c r="DP67" s="279"/>
      <c r="DQ67" s="279"/>
      <c r="DR67" s="275"/>
      <c r="DS67" s="289"/>
      <c r="DT67" s="279"/>
      <c r="DU67" s="279"/>
      <c r="DV67" s="275"/>
      <c r="DW67" s="275"/>
      <c r="DX67" s="275"/>
      <c r="DY67" s="275"/>
      <c r="DZ67" s="275"/>
      <c r="EA67" s="289"/>
      <c r="EB67" s="279"/>
      <c r="EC67" s="279"/>
      <c r="ED67" s="275"/>
      <c r="EE67" s="289"/>
      <c r="EF67" s="279"/>
      <c r="EG67" s="279"/>
      <c r="EH67" s="275"/>
      <c r="EI67" s="289"/>
      <c r="EJ67" s="279"/>
      <c r="EK67" s="279"/>
      <c r="EL67" s="275"/>
      <c r="EM67" s="289"/>
      <c r="EN67" s="279"/>
      <c r="EO67" s="279"/>
      <c r="EP67" s="275"/>
      <c r="EQ67" s="275"/>
      <c r="ER67" s="275"/>
      <c r="ES67" s="275"/>
      <c r="ET67" s="275"/>
      <c r="EU67" s="275"/>
      <c r="EV67" s="275"/>
      <c r="EW67" s="275"/>
      <c r="EX67" s="275"/>
      <c r="EY67" s="275"/>
      <c r="EZ67" s="275"/>
      <c r="FA67" s="275"/>
      <c r="FB67" s="275"/>
      <c r="FC67" s="275"/>
      <c r="FD67" s="275"/>
      <c r="FE67" s="275"/>
      <c r="FF67" s="275"/>
      <c r="FG67" s="275"/>
      <c r="FH67" s="275"/>
      <c r="FI67" s="275"/>
      <c r="FJ67" s="275"/>
      <c r="FK67" s="275"/>
      <c r="FL67" s="275"/>
      <c r="FM67" s="275"/>
      <c r="FN67" s="275"/>
      <c r="FO67" s="281"/>
      <c r="FP67" s="281"/>
      <c r="FQ67" s="281"/>
      <c r="FR67" s="275"/>
      <c r="FS67" s="275"/>
      <c r="FT67" s="275"/>
      <c r="FU67" s="275"/>
      <c r="FV67" s="275"/>
      <c r="FW67" s="275"/>
      <c r="FX67" s="275"/>
      <c r="FY67" s="275"/>
      <c r="FZ67" s="275"/>
      <c r="GA67" s="275"/>
      <c r="GB67" s="275"/>
      <c r="GC67" s="275"/>
      <c r="GD67" s="275"/>
      <c r="GE67" s="275"/>
      <c r="GF67" s="275"/>
      <c r="GG67" s="275"/>
      <c r="GH67" s="275"/>
      <c r="GI67" s="275"/>
      <c r="GJ67" s="275"/>
      <c r="GK67" s="275"/>
      <c r="GL67" s="275"/>
      <c r="GM67" s="275"/>
      <c r="GN67" s="265"/>
      <c r="GO67" s="277"/>
      <c r="GP67" s="277"/>
      <c r="GQ67" s="277"/>
      <c r="GR67" s="277"/>
      <c r="GS67" s="277"/>
      <c r="GT67" s="277"/>
      <c r="GU67" s="277"/>
      <c r="GW67" s="279"/>
      <c r="GX67" s="279"/>
      <c r="GY67" s="280"/>
      <c r="GZ67" s="280"/>
      <c r="HA67" s="277"/>
      <c r="HB67" s="277"/>
      <c r="HC67" s="277"/>
      <c r="HE67" s="277"/>
      <c r="HF67" s="277"/>
      <c r="HG67" s="277"/>
      <c r="HI67" s="279"/>
      <c r="HJ67" s="279"/>
      <c r="HK67" s="279"/>
      <c r="HM67" s="279"/>
      <c r="HN67" s="279"/>
      <c r="HO67" s="279"/>
      <c r="HQ67" s="279"/>
      <c r="HR67" s="279"/>
      <c r="HS67" s="279"/>
    </row>
    <row r="68" spans="1:227" x14ac:dyDescent="0.25">
      <c r="A68" s="235">
        <v>60</v>
      </c>
      <c r="B68" s="273" t="s">
        <v>259</v>
      </c>
      <c r="C68" s="274"/>
      <c r="D68" s="275">
        <v>24709302</v>
      </c>
      <c r="E68" s="275">
        <f>'[1]POLY DISB 2019'!C72</f>
        <v>24709302</v>
      </c>
      <c r="F68" s="275">
        <f>D68-E68</f>
        <v>0</v>
      </c>
      <c r="G68" s="275"/>
      <c r="H68" s="275">
        <v>10000000</v>
      </c>
      <c r="I68" s="275">
        <f>'[1]POLY DISB 2019'!D72</f>
        <v>10000000</v>
      </c>
      <c r="J68" s="275">
        <f>H68-I68</f>
        <v>0</v>
      </c>
      <c r="K68" s="275"/>
      <c r="L68" s="275">
        <v>20000000</v>
      </c>
      <c r="M68" s="275">
        <f>'[1]POLY DISB 2019'!E72</f>
        <v>20000000</v>
      </c>
      <c r="N68" s="275">
        <f>L68-M68</f>
        <v>0</v>
      </c>
      <c r="O68" s="275"/>
      <c r="P68" s="275">
        <v>25000000</v>
      </c>
      <c r="Q68" s="275">
        <f>'[1]POLY DISB 2019'!F72</f>
        <v>25000000</v>
      </c>
      <c r="R68" s="275">
        <f>P68-Q68</f>
        <v>0</v>
      </c>
      <c r="S68" s="275"/>
      <c r="T68" s="275">
        <v>12000000</v>
      </c>
      <c r="U68" s="275">
        <f>'[1]POLY DISB 2019'!G72</f>
        <v>12000000</v>
      </c>
      <c r="V68" s="275">
        <f>T68-U68</f>
        <v>0</v>
      </c>
      <c r="W68" s="275"/>
      <c r="X68" s="275">
        <v>12000000</v>
      </c>
      <c r="Y68" s="275">
        <f>'[1]POLY DISB 2019'!H72</f>
        <v>12000000</v>
      </c>
      <c r="Z68" s="275">
        <f>X68-Y68</f>
        <v>0</v>
      </c>
      <c r="AA68" s="275"/>
      <c r="AB68" s="275">
        <v>0</v>
      </c>
      <c r="AC68" s="275">
        <f>'[1]POLY DISB 2019'!I72</f>
        <v>0</v>
      </c>
      <c r="AD68" s="275">
        <f>AB68-AC68</f>
        <v>0</v>
      </c>
      <c r="AE68" s="275"/>
      <c r="AF68" s="275">
        <f>'[1]POLY commited funds to date'!K72</f>
        <v>0</v>
      </c>
      <c r="AG68" s="275">
        <f>'[1]POLY DISB 2019'!J72</f>
        <v>0</v>
      </c>
      <c r="AH68" s="275">
        <f>AF68-AG68</f>
        <v>0</v>
      </c>
      <c r="AI68" s="275"/>
      <c r="AJ68" s="275">
        <v>0</v>
      </c>
      <c r="AK68" s="275">
        <f>'[1]POLY DISB 2019'!K72</f>
        <v>0</v>
      </c>
      <c r="AL68" s="275">
        <f>AJ68-AK68</f>
        <v>0</v>
      </c>
      <c r="AM68" s="275"/>
      <c r="AN68" s="275">
        <v>0</v>
      </c>
      <c r="AO68" s="275">
        <f>'[1]POLY DISB 2019'!L72</f>
        <v>0</v>
      </c>
      <c r="AP68" s="275">
        <f>AN68-AO68</f>
        <v>0</v>
      </c>
      <c r="AQ68" s="275"/>
      <c r="AR68" s="275">
        <v>0</v>
      </c>
      <c r="AS68" s="275">
        <f>'[1]POLY DISB 2019'!M72</f>
        <v>0</v>
      </c>
      <c r="AT68" s="275">
        <f>AR68-AS68</f>
        <v>0</v>
      </c>
      <c r="AU68" s="275"/>
      <c r="AV68" s="275">
        <v>0</v>
      </c>
      <c r="AW68" s="275">
        <f>'[1]POLY DISB 2019'!N72</f>
        <v>0</v>
      </c>
      <c r="AX68" s="275">
        <f>AV68-AW68</f>
        <v>0</v>
      </c>
      <c r="AY68" s="275"/>
      <c r="AZ68" s="275">
        <v>0</v>
      </c>
      <c r="BA68" s="275">
        <f>'[1]POLY DISB 2019'!P72</f>
        <v>0</v>
      </c>
      <c r="BB68" s="275">
        <f>AZ68-BA68</f>
        <v>0</v>
      </c>
      <c r="BC68" s="275"/>
      <c r="BD68" s="275">
        <v>0</v>
      </c>
      <c r="BE68" s="275">
        <f>'[1]POLY DISB 2019'!Q72</f>
        <v>0</v>
      </c>
      <c r="BF68" s="275">
        <f>BD68-BE68</f>
        <v>0</v>
      </c>
      <c r="BG68" s="275"/>
      <c r="BH68" s="275">
        <f>'[1]POLY commited funds to date'!S72</f>
        <v>0</v>
      </c>
      <c r="BI68" s="275">
        <f>'[1]POLY DISB 2019'!R72</f>
        <v>0</v>
      </c>
      <c r="BJ68" s="275">
        <f>BH68-BI68</f>
        <v>0</v>
      </c>
      <c r="BK68" s="275"/>
      <c r="BL68" s="275">
        <f>'[1]poly  com. adj for fmis'!S59</f>
        <v>0</v>
      </c>
      <c r="BM68" s="275">
        <f>'[1]POLY DISB 2019'!S72</f>
        <v>0</v>
      </c>
      <c r="BN68" s="269">
        <f>BL68-BM68</f>
        <v>0</v>
      </c>
      <c r="BO68" s="275"/>
      <c r="BP68" s="275">
        <f>'[1]POLY commited funds to date'!U72</f>
        <v>0</v>
      </c>
      <c r="BQ68" s="275">
        <f>'[1]POLY DISB 2019'!T72</f>
        <v>0</v>
      </c>
      <c r="BR68" s="275">
        <f>BP68-BQ68</f>
        <v>0</v>
      </c>
      <c r="BS68" s="275"/>
      <c r="BT68" s="275">
        <f>'[1]POLY commited funds to date'!V72</f>
        <v>0</v>
      </c>
      <c r="BU68" s="275">
        <f>'[1]POLY DISB 2019'!U72</f>
        <v>0</v>
      </c>
      <c r="BV68" s="275">
        <f>BT68-BU68</f>
        <v>0</v>
      </c>
      <c r="BW68" s="275"/>
      <c r="BX68" s="275">
        <f>'[1]POLY commited funds to date'!W72</f>
        <v>0</v>
      </c>
      <c r="BY68" s="275">
        <f>'[1]POLY DISB 2019'!V72</f>
        <v>0</v>
      </c>
      <c r="BZ68" s="275">
        <f>BX68-BY68</f>
        <v>0</v>
      </c>
      <c r="CA68" s="275"/>
      <c r="CB68" s="275">
        <f>'[1]POLY commited funds to date'!X72</f>
        <v>0</v>
      </c>
      <c r="CC68" s="275">
        <f>'[1]POLY DISB 2019'!W72</f>
        <v>0</v>
      </c>
      <c r="CD68" s="275">
        <f>CB68-CC68</f>
        <v>0</v>
      </c>
      <c r="CE68" s="275"/>
      <c r="CF68" s="275">
        <f>'[1]POLY commited funds to date'!Y72</f>
        <v>0</v>
      </c>
      <c r="CG68" s="275">
        <f>'[1]POLY DISB 2019'!X72</f>
        <v>0</v>
      </c>
      <c r="CH68" s="275">
        <f>CF68-CG68</f>
        <v>0</v>
      </c>
      <c r="CI68" s="275"/>
      <c r="CJ68" s="275">
        <f>'[1]POLY commited funds to date'!Z72</f>
        <v>0</v>
      </c>
      <c r="CK68" s="275">
        <f>'[1]POLY DISB 2019'!Y72</f>
        <v>0</v>
      </c>
      <c r="CL68" s="275">
        <f>CJ68-CK68</f>
        <v>0</v>
      </c>
      <c r="CM68" s="275"/>
      <c r="CN68" s="275">
        <f>'[1]POLY commited funds to date'!AA72</f>
        <v>0</v>
      </c>
      <c r="CO68" s="275">
        <f>'[1]POLY DISB 2019'!Z72</f>
        <v>0</v>
      </c>
      <c r="CP68" s="275">
        <f>CN68-CO68</f>
        <v>0</v>
      </c>
      <c r="CQ68" s="275"/>
      <c r="CR68" s="275">
        <v>0</v>
      </c>
      <c r="CS68" s="275">
        <f>'[1]POLY DISB 2019'!AA72</f>
        <v>0</v>
      </c>
      <c r="CT68" s="275">
        <f>CR68-CS68</f>
        <v>0</v>
      </c>
      <c r="CU68" s="275"/>
      <c r="CV68" s="275">
        <f>'[1]POLY commited funds to date'!AC72</f>
        <v>0</v>
      </c>
      <c r="CW68" s="275">
        <f>'[1]POLY DISB 2019'!AB72</f>
        <v>0</v>
      </c>
      <c r="CX68" s="275">
        <f>CV68-CW68</f>
        <v>0</v>
      </c>
      <c r="CY68" s="275"/>
      <c r="CZ68" s="275">
        <f>'[1]POLY commited funds to date'!AD72</f>
        <v>0</v>
      </c>
      <c r="DA68" s="275">
        <f>'[1]POLY DISB 2019'!AC72</f>
        <v>0</v>
      </c>
      <c r="DB68" s="275">
        <f>CZ68-DA68</f>
        <v>0</v>
      </c>
      <c r="DC68" s="275"/>
      <c r="DD68" s="275">
        <f>'[1]POLY commited funds to date'!AE72</f>
        <v>0</v>
      </c>
      <c r="DE68" s="275">
        <f>'[1]POLY DISB 2019'!AD72</f>
        <v>0</v>
      </c>
      <c r="DF68" s="275">
        <f>DD68-DE68</f>
        <v>0</v>
      </c>
      <c r="DG68" s="275"/>
      <c r="DH68" s="275">
        <f>'[1]poly  com. adj for fmis'!AE59</f>
        <v>0</v>
      </c>
      <c r="DI68" s="275">
        <f>'[1]POLY DISB 2019'!AE72</f>
        <v>0</v>
      </c>
      <c r="DJ68" s="275">
        <f>DH68-DI68</f>
        <v>0</v>
      </c>
      <c r="DK68" s="275"/>
      <c r="DL68" s="275">
        <f>'[1]poly  com. adj for fmis'!AF59</f>
        <v>0</v>
      </c>
      <c r="DM68" s="275">
        <f>'[1]POLY DISB 2019'!AF72</f>
        <v>0</v>
      </c>
      <c r="DN68" s="275">
        <f>DL68-DM68</f>
        <v>0</v>
      </c>
      <c r="DO68" s="275"/>
      <c r="DP68" s="275">
        <f>'[1]poly  com. adj for fmis'!AG59</f>
        <v>0</v>
      </c>
      <c r="DQ68" s="275">
        <f>'[1]POLY DISB 2019'!AG72</f>
        <v>0</v>
      </c>
      <c r="DR68" s="275">
        <f>DP68-DQ68</f>
        <v>0</v>
      </c>
      <c r="DS68" s="275"/>
      <c r="DT68" s="275">
        <f>'[1]poly  com. adj for fmis'!AH59</f>
        <v>0</v>
      </c>
      <c r="DU68" s="275">
        <f>'[1]POLY DISB 2019'!AH72</f>
        <v>0</v>
      </c>
      <c r="DV68" s="275">
        <f>DT68-DU68</f>
        <v>0</v>
      </c>
      <c r="DW68" s="275"/>
      <c r="DX68" s="275">
        <f>'[1]poly  com. adj for fmis'!AI59</f>
        <v>0</v>
      </c>
      <c r="DY68" s="275">
        <f>'[1]POLY DISB 2019'!AI72</f>
        <v>0</v>
      </c>
      <c r="DZ68" s="275">
        <f>DX68-DY68</f>
        <v>0</v>
      </c>
      <c r="EA68" s="275"/>
      <c r="EB68" s="275">
        <f>'[1]POLY commited funds to date'!AK67</f>
        <v>0</v>
      </c>
      <c r="EC68" s="275">
        <f>'[1]POLY DISB 2019'!AJ72</f>
        <v>0</v>
      </c>
      <c r="ED68" s="275">
        <f t="shared" si="35"/>
        <v>0</v>
      </c>
      <c r="EE68" s="275"/>
      <c r="EF68" s="275">
        <f>'[1]POLY commited funds to date'!AL67</f>
        <v>0</v>
      </c>
      <c r="EG68" s="275">
        <f>'[1]POLY DISB 2019'!AK72</f>
        <v>0</v>
      </c>
      <c r="EH68" s="275">
        <f t="shared" si="36"/>
        <v>0</v>
      </c>
      <c r="EI68" s="275"/>
      <c r="EJ68" s="275">
        <f>'[1]POLY commited funds to date'!AM67</f>
        <v>0</v>
      </c>
      <c r="EK68" s="275">
        <f>'[1]POLY DISB 2019'!AL72</f>
        <v>0</v>
      </c>
      <c r="EL68" s="275">
        <f t="shared" si="37"/>
        <v>0</v>
      </c>
      <c r="EM68" s="275"/>
      <c r="EN68" s="275">
        <f>'[1]POLY commited funds to date'!AN67</f>
        <v>0</v>
      </c>
      <c r="EO68" s="275">
        <f>'[1]POLY DISB 2019'!AM72</f>
        <v>0</v>
      </c>
      <c r="EP68" s="275">
        <f t="shared" si="38"/>
        <v>0</v>
      </c>
      <c r="EQ68" s="275">
        <f>'[1]POLY commited funds to date'!AO67</f>
        <v>0</v>
      </c>
      <c r="ER68" s="275">
        <f>'[1]POLY DISB 2019'!AN72</f>
        <v>0</v>
      </c>
      <c r="ES68" s="275">
        <f t="shared" si="39"/>
        <v>0</v>
      </c>
      <c r="ET68" s="275"/>
      <c r="EU68" s="275">
        <f>'[1]POLY commited funds to date'!AP67</f>
        <v>0</v>
      </c>
      <c r="EV68" s="275">
        <f>'[1]POLY DISB 2019'!AO72</f>
        <v>0</v>
      </c>
      <c r="EW68" s="275">
        <f>EU68-EV68</f>
        <v>0</v>
      </c>
      <c r="EX68" s="275"/>
      <c r="EY68" s="275">
        <f>'[1]POLY commited funds to date'!AQ67</f>
        <v>0</v>
      </c>
      <c r="EZ68" s="275">
        <f>'[1]POLY DISB 2019'!AP72</f>
        <v>0</v>
      </c>
      <c r="FA68" s="275"/>
      <c r="FB68" s="275"/>
      <c r="FC68" s="275">
        <f>'[1]POLY commited funds to date'!AR67</f>
        <v>0</v>
      </c>
      <c r="FD68" s="275">
        <f>'[1]POLY DISB 2019'!AQ72</f>
        <v>0</v>
      </c>
      <c r="FE68" s="275"/>
      <c r="FF68" s="275"/>
      <c r="FG68" s="275">
        <f>'[1]POLY commited funds to date'!AS67</f>
        <v>0</v>
      </c>
      <c r="FH68" s="275">
        <f>'[1]POLY DISB 2019'!AR72</f>
        <v>0</v>
      </c>
      <c r="FI68" s="275"/>
      <c r="FJ68" s="275"/>
      <c r="FK68" s="275">
        <f>'[1]POLY commited funds to date'!AT67</f>
        <v>0</v>
      </c>
      <c r="FL68" s="275">
        <f>'[1]POLY DISB 2019'!AS72</f>
        <v>0</v>
      </c>
      <c r="FM68" s="275"/>
      <c r="FN68" s="275"/>
      <c r="FO68" s="275">
        <f>'[1]POLY commited funds to date'!AU67</f>
        <v>0</v>
      </c>
      <c r="FP68" s="275"/>
      <c r="FQ68" s="275"/>
      <c r="FR68" s="275"/>
      <c r="FS68" s="275"/>
      <c r="FT68" s="275"/>
      <c r="FU68" s="275"/>
      <c r="FV68" s="275"/>
      <c r="FW68" s="275"/>
      <c r="FX68" s="275"/>
      <c r="FY68" s="275"/>
      <c r="FZ68" s="275"/>
      <c r="GA68" s="275"/>
      <c r="GB68" s="275"/>
      <c r="GC68" s="275"/>
      <c r="GD68" s="275"/>
      <c r="GE68" s="275"/>
      <c r="GF68" s="275"/>
      <c r="GG68" s="275">
        <f>'[1]POLY commited funds to date'!AZ67</f>
        <v>0</v>
      </c>
      <c r="GH68" s="275">
        <f>'[1]POLY DISB 2019'!AY72</f>
        <v>0</v>
      </c>
      <c r="GI68" s="275">
        <f t="shared" si="50"/>
        <v>0</v>
      </c>
      <c r="GJ68" s="275"/>
      <c r="GK68" s="275">
        <f t="shared" si="51"/>
        <v>103709302</v>
      </c>
      <c r="GL68" s="275">
        <f t="shared" si="51"/>
        <v>103709302</v>
      </c>
      <c r="GM68" s="275">
        <f t="shared" si="52"/>
        <v>0</v>
      </c>
      <c r="GN68" s="265"/>
      <c r="GO68" s="277">
        <f t="shared" si="53"/>
        <v>103709302</v>
      </c>
      <c r="GP68" s="277">
        <f t="shared" si="53"/>
        <v>103709302</v>
      </c>
      <c r="GQ68" s="277">
        <f t="shared" si="54"/>
        <v>0</v>
      </c>
      <c r="GR68" s="277">
        <f t="shared" si="69"/>
        <v>0</v>
      </c>
      <c r="GS68" s="277">
        <f t="shared" si="69"/>
        <v>0</v>
      </c>
      <c r="GT68" s="277">
        <f t="shared" si="55"/>
        <v>0</v>
      </c>
      <c r="GU68" s="277"/>
      <c r="GV68" s="265"/>
      <c r="GW68" s="279">
        <f t="shared" si="68"/>
        <v>0</v>
      </c>
      <c r="GX68" s="279">
        <f t="shared" si="68"/>
        <v>0</v>
      </c>
      <c r="GY68" s="280">
        <f t="shared" si="57"/>
        <v>0</v>
      </c>
      <c r="GZ68" s="280"/>
      <c r="HA68" s="277">
        <f t="shared" si="58"/>
        <v>0</v>
      </c>
      <c r="HB68" s="277">
        <f t="shared" si="58"/>
        <v>0</v>
      </c>
      <c r="HC68" s="277">
        <f t="shared" si="59"/>
        <v>0</v>
      </c>
      <c r="HE68" s="277">
        <f t="shared" si="60"/>
        <v>0</v>
      </c>
      <c r="HF68" s="277">
        <f t="shared" si="60"/>
        <v>0</v>
      </c>
      <c r="HG68" s="277">
        <f t="shared" si="61"/>
        <v>0</v>
      </c>
      <c r="HI68" s="279">
        <f t="shared" si="62"/>
        <v>0</v>
      </c>
      <c r="HJ68" s="279">
        <f t="shared" si="62"/>
        <v>0</v>
      </c>
      <c r="HK68" s="279">
        <f t="shared" si="63"/>
        <v>0</v>
      </c>
      <c r="HM68" s="279">
        <f t="shared" si="64"/>
        <v>0</v>
      </c>
      <c r="HN68" s="279">
        <f t="shared" si="1"/>
        <v>0</v>
      </c>
      <c r="HO68" s="279">
        <f t="shared" si="65"/>
        <v>0</v>
      </c>
      <c r="HQ68" s="279">
        <f t="shared" si="66"/>
        <v>0</v>
      </c>
      <c r="HR68" s="279">
        <f t="shared" si="2"/>
        <v>0</v>
      </c>
      <c r="HS68" s="279">
        <f t="shared" si="67"/>
        <v>0</v>
      </c>
    </row>
    <row r="69" spans="1:227" x14ac:dyDescent="0.25">
      <c r="A69" s="235">
        <v>61</v>
      </c>
      <c r="B69" s="273" t="s">
        <v>260</v>
      </c>
      <c r="C69" s="274"/>
      <c r="D69" s="275">
        <v>24709302</v>
      </c>
      <c r="E69" s="275">
        <f>'[1]POLY DISB 2019'!C73</f>
        <v>24709302</v>
      </c>
      <c r="F69" s="275">
        <f>D69-E69</f>
        <v>0</v>
      </c>
      <c r="G69" s="275"/>
      <c r="H69" s="275">
        <v>10000000</v>
      </c>
      <c r="I69" s="275">
        <f>'[1]POLY DISB 2019'!D73</f>
        <v>10000000</v>
      </c>
      <c r="J69" s="275">
        <f>H69-I69</f>
        <v>0</v>
      </c>
      <c r="K69" s="275"/>
      <c r="L69" s="275">
        <v>20000000</v>
      </c>
      <c r="M69" s="275">
        <f>'[1]POLY DISB 2019'!E73</f>
        <v>20000000</v>
      </c>
      <c r="N69" s="275">
        <f>L69-M69</f>
        <v>0</v>
      </c>
      <c r="O69" s="275"/>
      <c r="P69" s="275">
        <v>25000000</v>
      </c>
      <c r="Q69" s="275">
        <f>'[1]POLY DISB 2019'!F73</f>
        <v>25000000</v>
      </c>
      <c r="R69" s="275">
        <f>P69-Q69</f>
        <v>0</v>
      </c>
      <c r="S69" s="275"/>
      <c r="T69" s="275">
        <v>12000000</v>
      </c>
      <c r="U69" s="275">
        <f>'[1]POLY DISB 2019'!G73</f>
        <v>12000000</v>
      </c>
      <c r="V69" s="275">
        <f>T69-U69</f>
        <v>0</v>
      </c>
      <c r="W69" s="275"/>
      <c r="X69" s="275">
        <v>12000000</v>
      </c>
      <c r="Y69" s="275">
        <f>'[1]POLY DISB 2019'!H73</f>
        <v>12000000</v>
      </c>
      <c r="Z69" s="275">
        <f>X69-Y69</f>
        <v>0</v>
      </c>
      <c r="AA69" s="275"/>
      <c r="AB69" s="275">
        <v>0</v>
      </c>
      <c r="AC69" s="275">
        <f>'[1]POLY DISB 2019'!I73</f>
        <v>0</v>
      </c>
      <c r="AD69" s="275">
        <f>AB69-AC69</f>
        <v>0</v>
      </c>
      <c r="AE69" s="275"/>
      <c r="AF69" s="275">
        <f>'[1]POLY commited funds to date'!K73</f>
        <v>0</v>
      </c>
      <c r="AG69" s="275">
        <f>'[1]POLY DISB 2019'!J73</f>
        <v>0</v>
      </c>
      <c r="AH69" s="275">
        <f>AF69-AG69</f>
        <v>0</v>
      </c>
      <c r="AI69" s="275"/>
      <c r="AJ69" s="275">
        <v>8500000</v>
      </c>
      <c r="AK69" s="275">
        <f>'[1]POLY DISB 2019'!K73</f>
        <v>8500000</v>
      </c>
      <c r="AL69" s="275">
        <f>AJ69-AK69</f>
        <v>0</v>
      </c>
      <c r="AM69" s="275"/>
      <c r="AN69" s="275">
        <v>0</v>
      </c>
      <c r="AO69" s="275">
        <f>'[1]POLY DISB 2019'!L73</f>
        <v>0</v>
      </c>
      <c r="AP69" s="275">
        <f>AN69-AO69</f>
        <v>0</v>
      </c>
      <c r="AQ69" s="275"/>
      <c r="AR69" s="275">
        <v>0</v>
      </c>
      <c r="AS69" s="275">
        <f>'[1]POLY DISB 2019'!M73</f>
        <v>0</v>
      </c>
      <c r="AT69" s="275">
        <f>AR69-AS69</f>
        <v>0</v>
      </c>
      <c r="AU69" s="275"/>
      <c r="AV69" s="275">
        <v>0</v>
      </c>
      <c r="AW69" s="275">
        <f>'[1]POLY DISB 2019'!N73</f>
        <v>0</v>
      </c>
      <c r="AX69" s="275">
        <f>AV69-AW69</f>
        <v>0</v>
      </c>
      <c r="AY69" s="275"/>
      <c r="AZ69" s="275">
        <v>0</v>
      </c>
      <c r="BA69" s="275">
        <f>'[1]POLY DISB 2019'!P73</f>
        <v>0</v>
      </c>
      <c r="BB69" s="275">
        <f>AZ69-BA69</f>
        <v>0</v>
      </c>
      <c r="BC69" s="275"/>
      <c r="BD69" s="275">
        <v>0</v>
      </c>
      <c r="BE69" s="275">
        <f>'[1]POLY DISB 2019'!Q73</f>
        <v>0</v>
      </c>
      <c r="BF69" s="275">
        <f>BD69-BE69</f>
        <v>0</v>
      </c>
      <c r="BG69" s="275"/>
      <c r="BH69" s="275">
        <f>'[1]POLY commited funds to date'!S73</f>
        <v>0</v>
      </c>
      <c r="BI69" s="275">
        <f>'[1]POLY DISB 2019'!R73</f>
        <v>0</v>
      </c>
      <c r="BJ69" s="275">
        <f>BH69-BI69</f>
        <v>0</v>
      </c>
      <c r="BK69" s="275"/>
      <c r="BL69" s="275">
        <f>'[1]poly  com. adj for fmis'!S60</f>
        <v>0</v>
      </c>
      <c r="BM69" s="275">
        <f>'[1]POLY DISB 2019'!S73</f>
        <v>0</v>
      </c>
      <c r="BN69" s="269">
        <f>BL69-BM69</f>
        <v>0</v>
      </c>
      <c r="BO69" s="275"/>
      <c r="BP69" s="275">
        <f>'[1]POLY commited funds to date'!U73</f>
        <v>0</v>
      </c>
      <c r="BQ69" s="275">
        <f>'[1]POLY DISB 2019'!T73</f>
        <v>0</v>
      </c>
      <c r="BR69" s="275">
        <f>BP69-BQ69</f>
        <v>0</v>
      </c>
      <c r="BS69" s="275"/>
      <c r="BT69" s="275">
        <f>'[1]POLY commited funds to date'!V73</f>
        <v>0</v>
      </c>
      <c r="BU69" s="275">
        <f>'[1]POLY DISB 2019'!U73</f>
        <v>0</v>
      </c>
      <c r="BV69" s="275">
        <f>BT69-BU69</f>
        <v>0</v>
      </c>
      <c r="BW69" s="275"/>
      <c r="BX69" s="275">
        <f>'[1]POLY commited funds to date'!W73</f>
        <v>0</v>
      </c>
      <c r="BY69" s="275">
        <f>'[1]POLY DISB 2019'!V73</f>
        <v>0</v>
      </c>
      <c r="BZ69" s="275">
        <f>BX69-BY69</f>
        <v>0</v>
      </c>
      <c r="CA69" s="275"/>
      <c r="CB69" s="275">
        <f>'[1]POLY commited funds to date'!X73</f>
        <v>0</v>
      </c>
      <c r="CC69" s="275">
        <f>'[1]POLY DISB 2019'!W73</f>
        <v>0</v>
      </c>
      <c r="CD69" s="275">
        <f>CB69-CC69</f>
        <v>0</v>
      </c>
      <c r="CE69" s="275"/>
      <c r="CF69" s="275">
        <f>'[1]POLY commited funds to date'!Y73</f>
        <v>0</v>
      </c>
      <c r="CG69" s="275">
        <f>'[1]POLY DISB 2019'!X73</f>
        <v>0</v>
      </c>
      <c r="CH69" s="275">
        <f>CF69-CG69</f>
        <v>0</v>
      </c>
      <c r="CI69" s="275"/>
      <c r="CJ69" s="275">
        <f>'[1]POLY commited funds to date'!Z73</f>
        <v>0</v>
      </c>
      <c r="CK69" s="275">
        <f>'[1]POLY DISB 2019'!Y73</f>
        <v>0</v>
      </c>
      <c r="CL69" s="275">
        <f>CJ69-CK69</f>
        <v>0</v>
      </c>
      <c r="CM69" s="275"/>
      <c r="CN69" s="275">
        <f>'[1]POLY commited funds to date'!AA73</f>
        <v>0</v>
      </c>
      <c r="CO69" s="275">
        <f>'[1]POLY DISB 2019'!Z73</f>
        <v>0</v>
      </c>
      <c r="CP69" s="275">
        <f>CN69-CO69</f>
        <v>0</v>
      </c>
      <c r="CQ69" s="275"/>
      <c r="CR69" s="275">
        <v>0</v>
      </c>
      <c r="CS69" s="275">
        <f>'[1]POLY DISB 2019'!AA73</f>
        <v>0</v>
      </c>
      <c r="CT69" s="275">
        <f>CR69-CS69</f>
        <v>0</v>
      </c>
      <c r="CU69" s="275"/>
      <c r="CV69" s="275">
        <f>'[1]POLY commited funds to date'!AC73</f>
        <v>0</v>
      </c>
      <c r="CW69" s="275">
        <f>'[1]POLY DISB 2019'!AB73</f>
        <v>0</v>
      </c>
      <c r="CX69" s="275">
        <f>CV69-CW69</f>
        <v>0</v>
      </c>
      <c r="CY69" s="275"/>
      <c r="CZ69" s="275">
        <f>'[1]POLY commited funds to date'!AD73</f>
        <v>0</v>
      </c>
      <c r="DA69" s="275">
        <f>'[1]POLY DISB 2019'!AC73</f>
        <v>0</v>
      </c>
      <c r="DB69" s="275">
        <f>CZ69-DA69</f>
        <v>0</v>
      </c>
      <c r="DC69" s="275"/>
      <c r="DD69" s="275">
        <f>'[1]POLY commited funds to date'!AE73</f>
        <v>0</v>
      </c>
      <c r="DE69" s="275">
        <f>'[1]POLY DISB 2019'!AD73</f>
        <v>0</v>
      </c>
      <c r="DF69" s="275">
        <f>DD69-DE69</f>
        <v>0</v>
      </c>
      <c r="DG69" s="275"/>
      <c r="DH69" s="275">
        <f>'[1]poly  com. adj for fmis'!AE60</f>
        <v>0</v>
      </c>
      <c r="DI69" s="275">
        <f>'[1]POLY DISB 2019'!AE73</f>
        <v>0</v>
      </c>
      <c r="DJ69" s="275">
        <f>DH69-DI69</f>
        <v>0</v>
      </c>
      <c r="DK69" s="275"/>
      <c r="DL69" s="275">
        <f>'[1]poly  com. adj for fmis'!AF60</f>
        <v>0</v>
      </c>
      <c r="DM69" s="275">
        <f>'[1]POLY DISB 2019'!AF73</f>
        <v>0</v>
      </c>
      <c r="DN69" s="275">
        <f>DL69-DM69</f>
        <v>0</v>
      </c>
      <c r="DO69" s="275"/>
      <c r="DP69" s="275">
        <f>'[1]poly  com. adj for fmis'!AG60</f>
        <v>0</v>
      </c>
      <c r="DQ69" s="275">
        <f>'[1]POLY DISB 2019'!AG73</f>
        <v>0</v>
      </c>
      <c r="DR69" s="275">
        <f>DP69-DQ69</f>
        <v>0</v>
      </c>
      <c r="DS69" s="275"/>
      <c r="DT69" s="275">
        <f>'[1]poly  com. adj for fmis'!AH60</f>
        <v>0</v>
      </c>
      <c r="DU69" s="275">
        <f>'[1]POLY DISB 2019'!AH73</f>
        <v>0</v>
      </c>
      <c r="DV69" s="275">
        <f>DT69-DU69</f>
        <v>0</v>
      </c>
      <c r="DW69" s="275"/>
      <c r="DX69" s="275">
        <f>'[1]poly  com. adj for fmis'!AI60</f>
        <v>0</v>
      </c>
      <c r="DY69" s="275">
        <f>'[1]POLY DISB 2019'!AI73</f>
        <v>0</v>
      </c>
      <c r="DZ69" s="275">
        <f>DX69-DY69</f>
        <v>0</v>
      </c>
      <c r="EA69" s="275"/>
      <c r="EB69" s="275">
        <f>'[1]POLY commited funds to date'!AK68</f>
        <v>0</v>
      </c>
      <c r="EC69" s="275">
        <f>'[1]POLY DISB 2019'!AJ73</f>
        <v>0</v>
      </c>
      <c r="ED69" s="275">
        <f t="shared" si="35"/>
        <v>0</v>
      </c>
      <c r="EE69" s="275"/>
      <c r="EF69" s="275">
        <f>'[1]POLY commited funds to date'!AL68</f>
        <v>0</v>
      </c>
      <c r="EG69" s="275">
        <f>'[1]POLY DISB 2019'!AK73</f>
        <v>0</v>
      </c>
      <c r="EH69" s="275">
        <f t="shared" si="36"/>
        <v>0</v>
      </c>
      <c r="EI69" s="275"/>
      <c r="EJ69" s="275">
        <f>'[1]POLY commited funds to date'!AM68</f>
        <v>0</v>
      </c>
      <c r="EK69" s="275">
        <f>'[1]POLY DISB 2019'!AL73</f>
        <v>0</v>
      </c>
      <c r="EL69" s="275">
        <f t="shared" si="37"/>
        <v>0</v>
      </c>
      <c r="EM69" s="275"/>
      <c r="EN69" s="275">
        <f>'[1]POLY commited funds to date'!AN68</f>
        <v>0</v>
      </c>
      <c r="EO69" s="275">
        <f>'[1]POLY DISB 2019'!AM73</f>
        <v>0</v>
      </c>
      <c r="EP69" s="275">
        <f t="shared" si="38"/>
        <v>0</v>
      </c>
      <c r="EQ69" s="275">
        <f>'[1]POLY commited funds to date'!AO68</f>
        <v>0</v>
      </c>
      <c r="ER69" s="275">
        <f>'[1]POLY DISB 2019'!AN73</f>
        <v>0</v>
      </c>
      <c r="ES69" s="275">
        <f t="shared" si="39"/>
        <v>0</v>
      </c>
      <c r="ET69" s="275"/>
      <c r="EU69" s="275">
        <f>'[1]POLY commited funds to date'!AP68</f>
        <v>0</v>
      </c>
      <c r="EV69" s="275">
        <f>'[1]POLY DISB 2019'!AO73</f>
        <v>0</v>
      </c>
      <c r="EW69" s="275">
        <f t="shared" ref="EW69:EW75" si="70">EU69-EV69</f>
        <v>0</v>
      </c>
      <c r="EX69" s="275"/>
      <c r="EY69" s="275">
        <f>'[1]POLY commited funds to date'!AQ68</f>
        <v>0</v>
      </c>
      <c r="EZ69" s="275">
        <f>'[1]POLY DISB 2019'!AP73</f>
        <v>0</v>
      </c>
      <c r="FA69" s="275"/>
      <c r="FB69" s="275"/>
      <c r="FC69" s="275">
        <f>'[1]POLY commited funds to date'!AR68</f>
        <v>0</v>
      </c>
      <c r="FD69" s="275">
        <f>'[1]POLY DISB 2019'!AQ73</f>
        <v>0</v>
      </c>
      <c r="FE69" s="275"/>
      <c r="FF69" s="275"/>
      <c r="FG69" s="275">
        <f>'[1]POLY commited funds to date'!AS68</f>
        <v>0</v>
      </c>
      <c r="FH69" s="275">
        <f>'[1]POLY DISB 2019'!AR73</f>
        <v>0</v>
      </c>
      <c r="FI69" s="275"/>
      <c r="FJ69" s="275"/>
      <c r="FK69" s="275">
        <f>'[1]POLY commited funds to date'!AT68</f>
        <v>0</v>
      </c>
      <c r="FL69" s="275">
        <f>'[1]POLY DISB 2019'!AS73</f>
        <v>0</v>
      </c>
      <c r="FM69" s="275"/>
      <c r="FN69" s="275"/>
      <c r="FO69" s="275">
        <f>'[1]POLY commited funds to date'!AU68</f>
        <v>0</v>
      </c>
      <c r="FP69" s="275"/>
      <c r="FQ69" s="275"/>
      <c r="FR69" s="275"/>
      <c r="FS69" s="275"/>
      <c r="FT69" s="275"/>
      <c r="FU69" s="275"/>
      <c r="FV69" s="275"/>
      <c r="FW69" s="275"/>
      <c r="FX69" s="275"/>
      <c r="FY69" s="275"/>
      <c r="FZ69" s="275"/>
      <c r="GA69" s="275"/>
      <c r="GB69" s="275"/>
      <c r="GC69" s="275"/>
      <c r="GD69" s="275"/>
      <c r="GE69" s="275"/>
      <c r="GF69" s="275"/>
      <c r="GG69" s="275">
        <f>'[1]POLY commited funds to date'!AZ68</f>
        <v>0</v>
      </c>
      <c r="GH69" s="275">
        <f>'[1]POLY DISB 2019'!AY73</f>
        <v>0</v>
      </c>
      <c r="GI69" s="275">
        <f t="shared" si="50"/>
        <v>0</v>
      </c>
      <c r="GJ69" s="275"/>
      <c r="GK69" s="275">
        <f t="shared" si="51"/>
        <v>112209302</v>
      </c>
      <c r="GL69" s="275">
        <f t="shared" si="51"/>
        <v>112209302</v>
      </c>
      <c r="GM69" s="275">
        <f t="shared" si="52"/>
        <v>0</v>
      </c>
      <c r="GN69" s="265"/>
      <c r="GO69" s="277">
        <f t="shared" si="53"/>
        <v>103709302</v>
      </c>
      <c r="GP69" s="277">
        <f t="shared" si="53"/>
        <v>103709302</v>
      </c>
      <c r="GQ69" s="277">
        <f t="shared" si="54"/>
        <v>0</v>
      </c>
      <c r="GR69" s="277">
        <f t="shared" si="69"/>
        <v>8500000</v>
      </c>
      <c r="GS69" s="277">
        <f t="shared" si="69"/>
        <v>8500000</v>
      </c>
      <c r="GT69" s="277">
        <f t="shared" si="55"/>
        <v>0</v>
      </c>
      <c r="GU69" s="277"/>
      <c r="GV69" s="265"/>
      <c r="GW69" s="279">
        <f t="shared" si="68"/>
        <v>0</v>
      </c>
      <c r="GX69" s="279">
        <f t="shared" si="68"/>
        <v>0</v>
      </c>
      <c r="GY69" s="280">
        <f t="shared" si="57"/>
        <v>0</v>
      </c>
      <c r="GZ69" s="280"/>
      <c r="HA69" s="277">
        <f t="shared" si="58"/>
        <v>0</v>
      </c>
      <c r="HB69" s="277">
        <f t="shared" si="58"/>
        <v>0</v>
      </c>
      <c r="HC69" s="277">
        <f t="shared" si="59"/>
        <v>0</v>
      </c>
      <c r="HE69" s="277">
        <f t="shared" si="60"/>
        <v>0</v>
      </c>
      <c r="HF69" s="277">
        <f t="shared" si="60"/>
        <v>0</v>
      </c>
      <c r="HG69" s="277">
        <f t="shared" si="61"/>
        <v>0</v>
      </c>
      <c r="HI69" s="279">
        <f t="shared" si="62"/>
        <v>0</v>
      </c>
      <c r="HJ69" s="279">
        <f t="shared" si="62"/>
        <v>0</v>
      </c>
      <c r="HK69" s="279">
        <f t="shared" si="63"/>
        <v>0</v>
      </c>
      <c r="HM69" s="279">
        <f t="shared" si="64"/>
        <v>0</v>
      </c>
      <c r="HN69" s="279">
        <f t="shared" si="1"/>
        <v>0</v>
      </c>
      <c r="HO69" s="279">
        <f t="shared" si="65"/>
        <v>0</v>
      </c>
      <c r="HQ69" s="279">
        <f t="shared" si="66"/>
        <v>0</v>
      </c>
      <c r="HR69" s="279">
        <f t="shared" si="2"/>
        <v>0</v>
      </c>
      <c r="HS69" s="279">
        <f t="shared" si="67"/>
        <v>0</v>
      </c>
    </row>
    <row r="70" spans="1:227" x14ac:dyDescent="0.25">
      <c r="A70" s="235"/>
      <c r="B70" s="273"/>
      <c r="C70" s="274"/>
      <c r="D70" s="275"/>
      <c r="E70" s="275"/>
      <c r="F70" s="275"/>
      <c r="G70" s="275"/>
      <c r="H70" s="275"/>
      <c r="I70" s="275"/>
      <c r="J70" s="275"/>
      <c r="K70" s="275"/>
      <c r="L70" s="275"/>
      <c r="M70" s="275"/>
      <c r="N70" s="275"/>
      <c r="O70" s="275"/>
      <c r="P70" s="275"/>
      <c r="Q70" s="275"/>
      <c r="R70" s="275"/>
      <c r="S70" s="275"/>
      <c r="T70" s="275"/>
      <c r="U70" s="275"/>
      <c r="V70" s="275"/>
      <c r="W70" s="275"/>
      <c r="X70" s="275"/>
      <c r="Y70" s="275"/>
      <c r="Z70" s="275"/>
      <c r="AA70" s="275"/>
      <c r="AB70" s="275"/>
      <c r="AC70" s="275"/>
      <c r="AD70" s="275"/>
      <c r="AE70" s="275"/>
      <c r="AF70" s="275"/>
      <c r="AG70" s="275"/>
      <c r="AH70" s="275"/>
      <c r="AI70" s="275"/>
      <c r="AJ70" s="275"/>
      <c r="AK70" s="275"/>
      <c r="AL70" s="275"/>
      <c r="AM70" s="275"/>
      <c r="AN70" s="275"/>
      <c r="AO70" s="275"/>
      <c r="AP70" s="275"/>
      <c r="AQ70" s="275"/>
      <c r="AR70" s="275"/>
      <c r="AS70" s="275"/>
      <c r="AT70" s="275"/>
      <c r="AU70" s="275"/>
      <c r="AV70" s="275"/>
      <c r="AW70" s="275"/>
      <c r="AX70" s="275"/>
      <c r="AY70" s="275"/>
      <c r="AZ70" s="275"/>
      <c r="BA70" s="275"/>
      <c r="BB70" s="275"/>
      <c r="BC70" s="275"/>
      <c r="BD70" s="275"/>
      <c r="BE70" s="275"/>
      <c r="BF70" s="275"/>
      <c r="BG70" s="275"/>
      <c r="BH70" s="275"/>
      <c r="BI70" s="275"/>
      <c r="BJ70" s="275"/>
      <c r="BK70" s="275"/>
      <c r="BL70" s="275"/>
      <c r="BM70" s="275"/>
      <c r="BN70" s="269"/>
      <c r="BO70" s="275"/>
      <c r="BP70" s="275"/>
      <c r="BQ70" s="275"/>
      <c r="BR70" s="275"/>
      <c r="BS70" s="275"/>
      <c r="BT70" s="275"/>
      <c r="BU70" s="275"/>
      <c r="BV70" s="275"/>
      <c r="BW70" s="275"/>
      <c r="BX70" s="275"/>
      <c r="BY70" s="275"/>
      <c r="BZ70" s="275"/>
      <c r="CA70" s="275"/>
      <c r="CB70" s="275"/>
      <c r="CC70" s="275"/>
      <c r="CD70" s="275"/>
      <c r="CE70" s="275"/>
      <c r="CF70" s="275"/>
      <c r="CG70" s="275"/>
      <c r="CH70" s="275"/>
      <c r="CI70" s="275"/>
      <c r="CJ70" s="275"/>
      <c r="CK70" s="275"/>
      <c r="CL70" s="275"/>
      <c r="CM70" s="275"/>
      <c r="CN70" s="275"/>
      <c r="CO70" s="275"/>
      <c r="CP70" s="275"/>
      <c r="CQ70" s="275"/>
      <c r="CR70" s="275"/>
      <c r="CS70" s="275"/>
      <c r="CT70" s="275"/>
      <c r="CU70" s="275"/>
      <c r="CV70" s="205"/>
      <c r="CW70" s="275"/>
      <c r="CX70" s="275"/>
      <c r="CY70" s="275"/>
      <c r="CZ70" s="275"/>
      <c r="DA70" s="275"/>
      <c r="DB70" s="275"/>
      <c r="DC70" s="275"/>
      <c r="DD70" s="275"/>
      <c r="DE70" s="275"/>
      <c r="DF70" s="275"/>
      <c r="DG70" s="293"/>
      <c r="DH70" s="275"/>
      <c r="DI70" s="275"/>
      <c r="DJ70" s="275"/>
      <c r="DK70" s="294"/>
      <c r="DL70" s="275"/>
      <c r="DM70" s="275"/>
      <c r="DN70" s="275"/>
      <c r="DO70" s="275"/>
      <c r="DP70" s="275"/>
      <c r="DQ70" s="275"/>
      <c r="DR70" s="275"/>
      <c r="DS70" s="275"/>
      <c r="DT70" s="275"/>
      <c r="DU70" s="275"/>
      <c r="DV70" s="275"/>
      <c r="DW70" s="275"/>
      <c r="DX70" s="275"/>
      <c r="DY70" s="275"/>
      <c r="DZ70" s="275"/>
      <c r="EA70" s="275"/>
      <c r="EB70" s="275"/>
      <c r="EC70" s="275"/>
      <c r="ED70" s="275"/>
      <c r="EE70" s="275"/>
      <c r="EF70" s="275"/>
      <c r="EG70" s="275"/>
      <c r="EH70" s="275"/>
      <c r="EI70" s="275"/>
      <c r="EJ70" s="275"/>
      <c r="EK70" s="275"/>
      <c r="EL70" s="275"/>
      <c r="EM70" s="275"/>
      <c r="EN70" s="275"/>
      <c r="EO70" s="275"/>
      <c r="EP70" s="275"/>
      <c r="EQ70" s="275"/>
      <c r="ER70" s="275"/>
      <c r="ES70" s="275"/>
      <c r="ET70" s="275"/>
      <c r="EU70" s="275"/>
      <c r="EV70" s="275"/>
      <c r="EW70" s="275"/>
      <c r="EX70" s="275"/>
      <c r="EY70" s="275"/>
      <c r="EZ70" s="275"/>
      <c r="FA70" s="275"/>
      <c r="FB70" s="275"/>
      <c r="FC70" s="275"/>
      <c r="FD70" s="275"/>
      <c r="FE70" s="275"/>
      <c r="FF70" s="275"/>
      <c r="FG70" s="275"/>
      <c r="FH70" s="275"/>
      <c r="FI70" s="275"/>
      <c r="FJ70" s="275"/>
      <c r="FK70" s="275"/>
      <c r="FL70" s="275"/>
      <c r="FM70" s="275"/>
      <c r="FN70" s="275"/>
      <c r="FP70" s="275"/>
      <c r="FQ70" s="275"/>
      <c r="FR70" s="275"/>
      <c r="FS70" s="275"/>
      <c r="FT70" s="275"/>
      <c r="FU70" s="275"/>
      <c r="FV70" s="275"/>
      <c r="FW70" s="275"/>
      <c r="FX70" s="275"/>
      <c r="FY70" s="275"/>
      <c r="FZ70" s="275"/>
      <c r="GA70" s="275"/>
      <c r="GB70" s="275"/>
      <c r="GC70" s="275"/>
      <c r="GD70" s="275"/>
      <c r="GE70" s="275"/>
      <c r="GF70" s="275"/>
      <c r="GH70" s="275"/>
      <c r="GI70" s="275">
        <f t="shared" si="50"/>
        <v>0</v>
      </c>
      <c r="GJ70" s="275"/>
      <c r="GK70" s="275">
        <f t="shared" si="51"/>
        <v>0</v>
      </c>
      <c r="GL70" s="275">
        <f t="shared" si="51"/>
        <v>0</v>
      </c>
      <c r="GM70" s="275">
        <f t="shared" si="52"/>
        <v>0</v>
      </c>
      <c r="GN70" s="265"/>
      <c r="GO70" s="277">
        <f t="shared" si="53"/>
        <v>0</v>
      </c>
      <c r="GP70" s="277">
        <f t="shared" si="53"/>
        <v>0</v>
      </c>
      <c r="GQ70" s="277">
        <f t="shared" si="54"/>
        <v>0</v>
      </c>
      <c r="GR70" s="277"/>
      <c r="GS70" s="277"/>
      <c r="GT70" s="277"/>
      <c r="GU70" s="277"/>
      <c r="GV70" s="265"/>
      <c r="GW70" s="279">
        <f t="shared" si="68"/>
        <v>0</v>
      </c>
      <c r="GX70" s="279">
        <f t="shared" si="68"/>
        <v>0</v>
      </c>
      <c r="GY70" s="280">
        <f t="shared" si="57"/>
        <v>0</v>
      </c>
      <c r="GZ70" s="280"/>
      <c r="HA70" s="277">
        <f t="shared" si="58"/>
        <v>0</v>
      </c>
      <c r="HB70" s="277">
        <f t="shared" si="58"/>
        <v>0</v>
      </c>
      <c r="HC70" s="277">
        <f t="shared" si="59"/>
        <v>0</v>
      </c>
      <c r="HE70" s="277">
        <f t="shared" si="60"/>
        <v>0</v>
      </c>
      <c r="HF70" s="277">
        <f t="shared" si="60"/>
        <v>0</v>
      </c>
      <c r="HG70" s="277">
        <f t="shared" si="61"/>
        <v>0</v>
      </c>
      <c r="HI70" s="279">
        <f t="shared" si="62"/>
        <v>0</v>
      </c>
      <c r="HJ70" s="279">
        <f t="shared" si="62"/>
        <v>0</v>
      </c>
      <c r="HK70" s="279">
        <f t="shared" si="63"/>
        <v>0</v>
      </c>
      <c r="HM70" s="279"/>
      <c r="HN70" s="279"/>
      <c r="HO70" s="279"/>
      <c r="HQ70" s="279">
        <f t="shared" si="66"/>
        <v>0</v>
      </c>
      <c r="HR70" s="279">
        <f t="shared" si="2"/>
        <v>0</v>
      </c>
      <c r="HS70" s="279">
        <f t="shared" si="67"/>
        <v>0</v>
      </c>
    </row>
    <row r="71" spans="1:227" x14ac:dyDescent="0.25">
      <c r="A71" s="235">
        <v>62</v>
      </c>
      <c r="B71" s="273" t="s">
        <v>261</v>
      </c>
      <c r="C71" s="274"/>
      <c r="D71" s="275">
        <v>0</v>
      </c>
      <c r="E71" s="275">
        <v>0</v>
      </c>
      <c r="F71" s="275">
        <f>D71-E71</f>
        <v>0</v>
      </c>
      <c r="G71" s="275"/>
      <c r="H71" s="275">
        <v>0</v>
      </c>
      <c r="I71" s="295">
        <v>0</v>
      </c>
      <c r="J71" s="275">
        <f>H71-I71</f>
        <v>0</v>
      </c>
      <c r="K71" s="275"/>
      <c r="L71" s="275">
        <v>0</v>
      </c>
      <c r="M71" s="275">
        <v>0</v>
      </c>
      <c r="N71" s="275">
        <f>L71-M71</f>
        <v>0</v>
      </c>
      <c r="O71" s="275"/>
      <c r="P71" s="275">
        <v>0</v>
      </c>
      <c r="Q71" s="275">
        <v>0</v>
      </c>
      <c r="R71" s="275">
        <f>P71-Q71</f>
        <v>0</v>
      </c>
      <c r="S71" s="275"/>
      <c r="T71" s="275">
        <v>12000000</v>
      </c>
      <c r="U71" s="275">
        <v>12000000</v>
      </c>
      <c r="V71" s="275">
        <f>T71-U71</f>
        <v>0</v>
      </c>
      <c r="W71" s="275"/>
      <c r="X71" s="275">
        <v>12000000</v>
      </c>
      <c r="Y71" s="275">
        <v>12000000</v>
      </c>
      <c r="Z71" s="275">
        <f>X71-Y71</f>
        <v>0</v>
      </c>
      <c r="AA71" s="275"/>
      <c r="AB71" s="275">
        <v>0</v>
      </c>
      <c r="AC71" s="275">
        <v>0</v>
      </c>
      <c r="AD71" s="275">
        <f>AB71-AC71</f>
        <v>0</v>
      </c>
      <c r="AE71" s="275"/>
      <c r="AF71" s="275">
        <f>'[1]POLY commited funds to date'!K67</f>
        <v>20000000</v>
      </c>
      <c r="AG71" s="275">
        <v>20000000</v>
      </c>
      <c r="AH71" s="275">
        <f>AF71-AG71</f>
        <v>0</v>
      </c>
      <c r="AI71" s="275"/>
      <c r="AJ71" s="275">
        <v>10000000</v>
      </c>
      <c r="AK71" s="275">
        <v>10000000</v>
      </c>
      <c r="AL71" s="275">
        <f>AJ71-AK71</f>
        <v>0</v>
      </c>
      <c r="AM71" s="275"/>
      <c r="AN71" s="275">
        <v>20000000</v>
      </c>
      <c r="AO71" s="275">
        <v>20000000</v>
      </c>
      <c r="AP71" s="275">
        <f>AN71-AO71</f>
        <v>0</v>
      </c>
      <c r="AQ71" s="275"/>
      <c r="AR71" s="275">
        <v>26000000</v>
      </c>
      <c r="AS71" s="275">
        <v>26000000</v>
      </c>
      <c r="AT71" s="275">
        <f>AR71-AS71</f>
        <v>0</v>
      </c>
      <c r="AU71" s="275"/>
      <c r="AV71" s="275">
        <v>0</v>
      </c>
      <c r="AW71" s="275">
        <v>0</v>
      </c>
      <c r="AX71" s="275">
        <f>AV71-AW71</f>
        <v>0</v>
      </c>
      <c r="AY71" s="275"/>
      <c r="AZ71" s="275">
        <v>0</v>
      </c>
      <c r="BA71" s="275">
        <v>0</v>
      </c>
      <c r="BB71" s="275">
        <f>AZ71-BA71</f>
        <v>0</v>
      </c>
      <c r="BC71" s="275"/>
      <c r="BD71" s="275">
        <v>0</v>
      </c>
      <c r="BE71" s="275">
        <v>0</v>
      </c>
      <c r="BF71" s="275">
        <f>BD71-BE71</f>
        <v>0</v>
      </c>
      <c r="BG71" s="275"/>
      <c r="BH71" s="275">
        <f>'[1]POLY commited funds to date'!S67</f>
        <v>0</v>
      </c>
      <c r="BI71" s="275">
        <f>'[1]POLY commited funds to date'!T67</f>
        <v>0</v>
      </c>
      <c r="BJ71" s="275">
        <f>BH71-BI71</f>
        <v>0</v>
      </c>
      <c r="BK71" s="275"/>
      <c r="BL71" s="275">
        <v>0</v>
      </c>
      <c r="BM71" s="275">
        <v>0</v>
      </c>
      <c r="BN71" s="269">
        <f>BL71-BM71</f>
        <v>0</v>
      </c>
      <c r="BO71" s="275"/>
      <c r="BP71" s="275">
        <f>'[1]POLY commited funds to date'!U67</f>
        <v>0</v>
      </c>
      <c r="BQ71" s="275">
        <f>'[1]POLY commited funds to date'!V67</f>
        <v>0</v>
      </c>
      <c r="BR71" s="275">
        <f>BP71-BQ71</f>
        <v>0</v>
      </c>
      <c r="BS71" s="275"/>
      <c r="BT71" s="275">
        <f>'[1]POLY commited funds to date'!V67</f>
        <v>0</v>
      </c>
      <c r="BU71" s="275">
        <f>'[1]POLY commited funds to date'!W67</f>
        <v>0</v>
      </c>
      <c r="BV71" s="275">
        <f>BT71-BU71</f>
        <v>0</v>
      </c>
      <c r="BW71" s="275"/>
      <c r="BX71" s="275">
        <f>'[1]POLY commited funds to date'!W67</f>
        <v>0</v>
      </c>
      <c r="BY71" s="275">
        <f>'[1]POLY commited funds to date'!X67</f>
        <v>0</v>
      </c>
      <c r="BZ71" s="275">
        <f>BX71-BY71</f>
        <v>0</v>
      </c>
      <c r="CA71" s="275"/>
      <c r="CB71" s="275">
        <f>'[1]POLY commited funds to date'!X67</f>
        <v>0</v>
      </c>
      <c r="CC71" s="275">
        <f>'[1]POLY commited funds to date'!Y67</f>
        <v>0</v>
      </c>
      <c r="CD71" s="275">
        <f>CB71-CC71</f>
        <v>0</v>
      </c>
      <c r="CE71" s="275"/>
      <c r="CF71" s="275">
        <f>'[1]POLY commited funds to date'!Y67</f>
        <v>0</v>
      </c>
      <c r="CG71" s="275">
        <f>'[1]POLY commited funds to date'!Z67</f>
        <v>0</v>
      </c>
      <c r="CH71" s="275">
        <f>CF71-CG71</f>
        <v>0</v>
      </c>
      <c r="CI71" s="275"/>
      <c r="CJ71" s="275">
        <f>'[1]POLY commited funds to date'!Z68</f>
        <v>0</v>
      </c>
      <c r="CK71" s="275">
        <f>'[1]POLY commited funds to date'!AA67</f>
        <v>0</v>
      </c>
      <c r="CL71" s="275">
        <f t="shared" si="24"/>
        <v>0</v>
      </c>
      <c r="CM71" s="275"/>
      <c r="CN71" s="275">
        <f>'[1]POLY commited funds to date'!AA67</f>
        <v>0</v>
      </c>
      <c r="CO71" s="275">
        <f>'[1]POLY commited funds to date'!AB67</f>
        <v>0</v>
      </c>
      <c r="CP71" s="275">
        <f>CN71-CO71</f>
        <v>0</v>
      </c>
      <c r="CQ71" s="275"/>
      <c r="CR71" s="275">
        <v>0</v>
      </c>
      <c r="CS71" s="275">
        <f>'[1]POLY DISB 2019'!AA66</f>
        <v>0</v>
      </c>
      <c r="CT71" s="275">
        <f>CR71-CS71</f>
        <v>0</v>
      </c>
      <c r="CU71" s="275"/>
      <c r="CV71" s="206"/>
      <c r="CW71" s="275">
        <v>0</v>
      </c>
      <c r="CX71" s="275">
        <v>0</v>
      </c>
      <c r="CY71" s="275"/>
      <c r="CZ71" s="275">
        <f>'[1]POLY commited funds to date'!AD67</f>
        <v>0</v>
      </c>
      <c r="DA71" s="275">
        <f>'[1]POLY commited funds to date'!AE67</f>
        <v>0</v>
      </c>
      <c r="DB71" s="275">
        <f>CZ71-DA71</f>
        <v>0</v>
      </c>
      <c r="DC71" s="275"/>
      <c r="DD71" s="275">
        <f>'[1]POLY commited funds to date'!AE68</f>
        <v>0</v>
      </c>
      <c r="DE71" s="275">
        <f>'[1]POLY commited funds to date'!AF68</f>
        <v>0</v>
      </c>
      <c r="DF71" s="275">
        <f>'[1]POLY commited funds to date'!AG68</f>
        <v>0</v>
      </c>
      <c r="DG71" s="293"/>
      <c r="DH71" s="275">
        <v>0</v>
      </c>
      <c r="DI71" s="275">
        <v>0</v>
      </c>
      <c r="DJ71" s="275">
        <f t="shared" si="30"/>
        <v>0</v>
      </c>
      <c r="DK71" s="294"/>
      <c r="DL71" s="275">
        <v>0</v>
      </c>
      <c r="DM71" s="275">
        <v>0</v>
      </c>
      <c r="DN71" s="275">
        <f t="shared" si="31"/>
        <v>0</v>
      </c>
      <c r="DO71" s="275"/>
      <c r="DP71" s="275">
        <v>0</v>
      </c>
      <c r="DQ71" s="275">
        <v>0</v>
      </c>
      <c r="DR71" s="275">
        <f t="shared" si="32"/>
        <v>0</v>
      </c>
      <c r="DS71" s="275"/>
      <c r="DT71" s="275">
        <v>0</v>
      </c>
      <c r="DU71" s="275">
        <v>0</v>
      </c>
      <c r="DV71" s="275">
        <f t="shared" si="33"/>
        <v>0</v>
      </c>
      <c r="DW71" s="275"/>
      <c r="DX71" s="275">
        <f>'[1]poly  com. adj for fmis'!AI70</f>
        <v>0</v>
      </c>
      <c r="DY71" s="275">
        <f>'[1]POLY DISB 2019'!AI76</f>
        <v>0</v>
      </c>
      <c r="DZ71" s="275">
        <f t="shared" si="34"/>
        <v>0</v>
      </c>
      <c r="EA71" s="275"/>
      <c r="EB71" s="275">
        <f>'[1]POLY commited funds to date'!AK69</f>
        <v>0</v>
      </c>
      <c r="EC71" s="275">
        <f>'[1]POLY DISB 2019'!AJ76</f>
        <v>0</v>
      </c>
      <c r="ED71" s="275">
        <f t="shared" si="35"/>
        <v>0</v>
      </c>
      <c r="EE71" s="275"/>
      <c r="EF71" s="275">
        <f>'[1]POLY commited funds to date'!AL69</f>
        <v>0</v>
      </c>
      <c r="EG71" s="275">
        <f>'[1]POLY DISB 2019'!AK76</f>
        <v>0</v>
      </c>
      <c r="EH71" s="275">
        <f t="shared" si="36"/>
        <v>0</v>
      </c>
      <c r="EI71" s="275"/>
      <c r="EJ71" s="275">
        <f>'[1]POLY commited funds to date'!AM69</f>
        <v>0</v>
      </c>
      <c r="EK71" s="275">
        <f>'[1]POLY DISB 2019'!AL76</f>
        <v>0</v>
      </c>
      <c r="EL71" s="275">
        <f t="shared" si="37"/>
        <v>0</v>
      </c>
      <c r="EM71" s="275"/>
      <c r="EN71" s="275">
        <f>'[1]POLY commited funds to date'!AN69</f>
        <v>0</v>
      </c>
      <c r="EO71" s="275">
        <f>'[1]POLY DISB 2019'!AM76</f>
        <v>0</v>
      </c>
      <c r="EP71" s="275">
        <f t="shared" si="38"/>
        <v>0</v>
      </c>
      <c r="EQ71" s="275">
        <f>'[1]POLY commited funds to date'!AO69</f>
        <v>0</v>
      </c>
      <c r="ER71" s="275">
        <v>0</v>
      </c>
      <c r="ES71" s="275">
        <f t="shared" si="39"/>
        <v>0</v>
      </c>
      <c r="ET71" s="275"/>
      <c r="EU71" s="275">
        <f>'[1]POLY commited funds to date'!AP69</f>
        <v>0</v>
      </c>
      <c r="EV71" s="275">
        <v>0</v>
      </c>
      <c r="EW71" s="275">
        <f t="shared" si="70"/>
        <v>0</v>
      </c>
      <c r="EX71" s="275"/>
      <c r="EY71" s="275">
        <f>'[1]POLY commited funds to date'!AQ69</f>
        <v>0</v>
      </c>
      <c r="EZ71" s="275"/>
      <c r="FA71" s="275"/>
      <c r="FB71" s="275"/>
      <c r="FC71" s="275">
        <f>'[1]POLY commited funds to date'!AR69</f>
        <v>0</v>
      </c>
      <c r="FD71" s="275"/>
      <c r="FE71" s="275"/>
      <c r="FF71" s="275"/>
      <c r="FG71" s="275">
        <f>'[1]POLY commited funds to date'!AS69</f>
        <v>0</v>
      </c>
      <c r="FH71" s="275"/>
      <c r="FI71" s="275"/>
      <c r="FJ71" s="275"/>
      <c r="FK71" s="275">
        <f>'[1]POLY commited funds to date'!AT69</f>
        <v>0</v>
      </c>
      <c r="FL71" s="275"/>
      <c r="FM71" s="275"/>
      <c r="FN71" s="275"/>
      <c r="FO71" s="275"/>
      <c r="FP71" s="275"/>
      <c r="FQ71" s="275"/>
      <c r="FR71" s="275"/>
      <c r="FS71" s="275"/>
      <c r="FT71" s="275"/>
      <c r="FU71" s="275"/>
      <c r="FV71" s="275"/>
      <c r="FW71" s="275"/>
      <c r="FX71" s="275"/>
      <c r="FY71" s="275"/>
      <c r="FZ71" s="275"/>
      <c r="GA71" s="275"/>
      <c r="GB71" s="275"/>
      <c r="GC71" s="275"/>
      <c r="GD71" s="275"/>
      <c r="GE71" s="275"/>
      <c r="GF71" s="275"/>
      <c r="GG71" s="275">
        <f>'[1]POLY commited funds to date'!AZ69</f>
        <v>0</v>
      </c>
      <c r="GH71" s="275"/>
      <c r="GI71" s="275">
        <f t="shared" si="50"/>
        <v>0</v>
      </c>
      <c r="GJ71" s="275"/>
      <c r="GK71" s="275">
        <f t="shared" si="51"/>
        <v>100000000</v>
      </c>
      <c r="GL71" s="275">
        <f t="shared" si="51"/>
        <v>100000000</v>
      </c>
      <c r="GM71" s="275">
        <f t="shared" si="52"/>
        <v>0</v>
      </c>
      <c r="GN71" s="265"/>
      <c r="GO71" s="277">
        <f t="shared" si="53"/>
        <v>90000000</v>
      </c>
      <c r="GP71" s="277">
        <f t="shared" si="53"/>
        <v>90000000</v>
      </c>
      <c r="GQ71" s="277">
        <f t="shared" si="54"/>
        <v>0</v>
      </c>
      <c r="GR71" s="277">
        <f t="shared" ref="GR71:GS76" si="71">AJ71</f>
        <v>10000000</v>
      </c>
      <c r="GS71" s="277">
        <f t="shared" si="71"/>
        <v>10000000</v>
      </c>
      <c r="GT71" s="277">
        <f t="shared" si="55"/>
        <v>0</v>
      </c>
      <c r="GU71" s="277"/>
      <c r="GV71" s="265"/>
      <c r="GW71" s="279">
        <f t="shared" si="68"/>
        <v>0</v>
      </c>
      <c r="GX71" s="279">
        <f t="shared" si="68"/>
        <v>0</v>
      </c>
      <c r="GY71" s="280">
        <f t="shared" si="57"/>
        <v>0</v>
      </c>
      <c r="GZ71" s="280"/>
      <c r="HA71" s="277">
        <f t="shared" si="58"/>
        <v>0</v>
      </c>
      <c r="HB71" s="277">
        <f t="shared" si="58"/>
        <v>0</v>
      </c>
      <c r="HC71" s="277">
        <f t="shared" si="59"/>
        <v>0</v>
      </c>
      <c r="HE71" s="277">
        <f t="shared" si="60"/>
        <v>0</v>
      </c>
      <c r="HF71" s="277">
        <f t="shared" si="60"/>
        <v>0</v>
      </c>
      <c r="HG71" s="277">
        <f t="shared" si="61"/>
        <v>0</v>
      </c>
      <c r="HI71" s="279">
        <f t="shared" si="62"/>
        <v>0</v>
      </c>
      <c r="HJ71" s="279">
        <f t="shared" si="62"/>
        <v>0</v>
      </c>
      <c r="HK71" s="279">
        <f t="shared" si="63"/>
        <v>0</v>
      </c>
      <c r="HM71" s="279">
        <f t="shared" ref="HM71:HN75" si="72">DP71</f>
        <v>0</v>
      </c>
      <c r="HN71" s="279">
        <f t="shared" si="72"/>
        <v>0</v>
      </c>
      <c r="HO71" s="279">
        <f t="shared" si="65"/>
        <v>0</v>
      </c>
      <c r="HQ71" s="279">
        <f t="shared" si="66"/>
        <v>0</v>
      </c>
      <c r="HR71" s="279">
        <f t="shared" si="2"/>
        <v>0</v>
      </c>
      <c r="HS71" s="279">
        <f t="shared" si="67"/>
        <v>0</v>
      </c>
    </row>
    <row r="72" spans="1:227" x14ac:dyDescent="0.25">
      <c r="A72" s="235">
        <v>63</v>
      </c>
      <c r="B72" s="273" t="s">
        <v>262</v>
      </c>
      <c r="C72" s="285"/>
      <c r="D72" s="275">
        <v>0</v>
      </c>
      <c r="E72" s="275">
        <v>0</v>
      </c>
      <c r="F72" s="275">
        <f t="shared" si="3"/>
        <v>0</v>
      </c>
      <c r="G72" s="275"/>
      <c r="H72" s="275">
        <v>0</v>
      </c>
      <c r="I72" s="295">
        <v>0</v>
      </c>
      <c r="J72" s="275">
        <f t="shared" si="4"/>
        <v>0</v>
      </c>
      <c r="K72" s="275"/>
      <c r="L72" s="275">
        <v>0</v>
      </c>
      <c r="M72" s="275">
        <v>0</v>
      </c>
      <c r="N72" s="275">
        <f t="shared" si="5"/>
        <v>0</v>
      </c>
      <c r="O72" s="275"/>
      <c r="P72" s="275">
        <v>0</v>
      </c>
      <c r="Q72" s="275">
        <v>0</v>
      </c>
      <c r="R72" s="275">
        <f t="shared" si="6"/>
        <v>0</v>
      </c>
      <c r="S72" s="275"/>
      <c r="T72" s="275">
        <v>0</v>
      </c>
      <c r="U72" s="275">
        <v>0</v>
      </c>
      <c r="V72" s="275">
        <f t="shared" si="7"/>
        <v>0</v>
      </c>
      <c r="W72" s="275"/>
      <c r="X72" s="275">
        <v>0</v>
      </c>
      <c r="Y72" s="275">
        <v>0</v>
      </c>
      <c r="Z72" s="275">
        <f t="shared" si="8"/>
        <v>0</v>
      </c>
      <c r="AA72" s="275"/>
      <c r="AB72" s="275">
        <v>0</v>
      </c>
      <c r="AC72" s="275">
        <v>0</v>
      </c>
      <c r="AD72" s="275">
        <f t="shared" si="9"/>
        <v>0</v>
      </c>
      <c r="AE72" s="275"/>
      <c r="AF72" s="275">
        <f>'[1]POLY commited funds to date'!K68</f>
        <v>20000000</v>
      </c>
      <c r="AG72" s="275">
        <v>20000000</v>
      </c>
      <c r="AH72" s="275">
        <f t="shared" si="10"/>
        <v>0</v>
      </c>
      <c r="AI72" s="275"/>
      <c r="AJ72" s="275">
        <v>10000000</v>
      </c>
      <c r="AK72" s="275">
        <v>10000000</v>
      </c>
      <c r="AL72" s="275">
        <f t="shared" si="11"/>
        <v>0</v>
      </c>
      <c r="AM72" s="275"/>
      <c r="AN72" s="275">
        <v>17000000</v>
      </c>
      <c r="AO72" s="275">
        <v>17000000</v>
      </c>
      <c r="AP72" s="275">
        <f t="shared" si="12"/>
        <v>0</v>
      </c>
      <c r="AQ72" s="275"/>
      <c r="AR72" s="275">
        <v>26000000</v>
      </c>
      <c r="AS72" s="275">
        <v>26000000</v>
      </c>
      <c r="AT72" s="275">
        <f t="shared" si="13"/>
        <v>0</v>
      </c>
      <c r="AU72" s="275"/>
      <c r="AV72" s="275">
        <v>0</v>
      </c>
      <c r="AW72" s="275">
        <v>0</v>
      </c>
      <c r="AX72" s="275">
        <f t="shared" si="14"/>
        <v>0</v>
      </c>
      <c r="AY72" s="275"/>
      <c r="AZ72" s="275">
        <v>0</v>
      </c>
      <c r="BA72" s="275">
        <v>0</v>
      </c>
      <c r="BB72" s="275">
        <f t="shared" si="15"/>
        <v>0</v>
      </c>
      <c r="BC72" s="275"/>
      <c r="BD72" s="275">
        <v>0</v>
      </c>
      <c r="BE72" s="275">
        <v>0</v>
      </c>
      <c r="BF72" s="275">
        <f t="shared" si="16"/>
        <v>0</v>
      </c>
      <c r="BG72" s="275"/>
      <c r="BH72" s="275">
        <f>'[1]POLY commited funds to date'!S68</f>
        <v>0</v>
      </c>
      <c r="BI72" s="275">
        <f>'[1]POLY commited funds to date'!T68</f>
        <v>0</v>
      </c>
      <c r="BJ72" s="275">
        <f t="shared" si="17"/>
        <v>0</v>
      </c>
      <c r="BK72" s="275"/>
      <c r="BL72" s="275">
        <v>0</v>
      </c>
      <c r="BM72" s="275">
        <v>0</v>
      </c>
      <c r="BN72" s="269">
        <f t="shared" si="18"/>
        <v>0</v>
      </c>
      <c r="BO72" s="275"/>
      <c r="BP72" s="275">
        <f>'[1]POLY commited funds to date'!U68</f>
        <v>0</v>
      </c>
      <c r="BQ72" s="275">
        <f>'[1]POLY commited funds to date'!V68</f>
        <v>0</v>
      </c>
      <c r="BR72" s="275">
        <f t="shared" si="19"/>
        <v>0</v>
      </c>
      <c r="BS72" s="275"/>
      <c r="BT72" s="275">
        <f>'[1]POLY commited funds to date'!V68</f>
        <v>0</v>
      </c>
      <c r="BU72" s="275">
        <f>'[1]POLY commited funds to date'!W68</f>
        <v>0</v>
      </c>
      <c r="BV72" s="275">
        <f t="shared" si="20"/>
        <v>0</v>
      </c>
      <c r="BW72" s="275"/>
      <c r="BX72" s="275">
        <f>'[1]POLY commited funds to date'!W68</f>
        <v>0</v>
      </c>
      <c r="BY72" s="275">
        <f>'[1]POLY commited funds to date'!X68</f>
        <v>0</v>
      </c>
      <c r="BZ72" s="275">
        <f t="shared" si="21"/>
        <v>0</v>
      </c>
      <c r="CA72" s="275"/>
      <c r="CB72" s="275">
        <f>'[1]POLY commited funds to date'!X68</f>
        <v>0</v>
      </c>
      <c r="CC72" s="275">
        <f>'[1]POLY commited funds to date'!Y68</f>
        <v>0</v>
      </c>
      <c r="CD72" s="275">
        <f t="shared" si="22"/>
        <v>0</v>
      </c>
      <c r="CE72" s="275"/>
      <c r="CF72" s="275">
        <f>'[1]POLY commited funds to date'!Y68</f>
        <v>0</v>
      </c>
      <c r="CG72" s="275">
        <f>'[1]POLY commited funds to date'!Z68</f>
        <v>0</v>
      </c>
      <c r="CH72" s="275">
        <f t="shared" si="23"/>
        <v>0</v>
      </c>
      <c r="CI72" s="275"/>
      <c r="CJ72" s="275">
        <f>'[1]POLY commited funds to date'!Z69</f>
        <v>0</v>
      </c>
      <c r="CK72" s="275">
        <f>'[1]POLY commited funds to date'!AA68</f>
        <v>0</v>
      </c>
      <c r="CL72" s="275">
        <f t="shared" si="24"/>
        <v>0</v>
      </c>
      <c r="CM72" s="275"/>
      <c r="CN72" s="275">
        <f>'[1]POLY commited funds to date'!AA68</f>
        <v>0</v>
      </c>
      <c r="CO72" s="275">
        <f>'[1]POLY commited funds to date'!AB68</f>
        <v>0</v>
      </c>
      <c r="CP72" s="275">
        <f t="shared" si="25"/>
        <v>0</v>
      </c>
      <c r="CQ72" s="275"/>
      <c r="CR72" s="275">
        <v>0</v>
      </c>
      <c r="CS72" s="275">
        <f>'[1]POLY DISB 2019'!AA66</f>
        <v>0</v>
      </c>
      <c r="CT72" s="275">
        <f t="shared" si="26"/>
        <v>0</v>
      </c>
      <c r="CU72" s="275"/>
      <c r="CV72" s="275">
        <f>'[1]POLY commited funds to date'!AC68</f>
        <v>0</v>
      </c>
      <c r="CW72" s="275">
        <v>0</v>
      </c>
      <c r="CX72" s="275">
        <f t="shared" si="27"/>
        <v>0</v>
      </c>
      <c r="CY72" s="275"/>
      <c r="CZ72" s="275">
        <f>'[1]POLY commited funds to date'!AD68</f>
        <v>0</v>
      </c>
      <c r="DA72" s="275">
        <f>'[1]POLY commited funds to date'!AE68</f>
        <v>0</v>
      </c>
      <c r="DB72" s="275">
        <f t="shared" si="28"/>
        <v>0</v>
      </c>
      <c r="DC72" s="275"/>
      <c r="DD72" s="275">
        <f>'[1]POLY commited funds to date'!AE69</f>
        <v>0</v>
      </c>
      <c r="DE72" s="275">
        <v>0</v>
      </c>
      <c r="DF72" s="275">
        <f t="shared" si="29"/>
        <v>0</v>
      </c>
      <c r="DG72" s="293"/>
      <c r="DH72" s="275">
        <v>0</v>
      </c>
      <c r="DI72" s="275">
        <v>0</v>
      </c>
      <c r="DJ72" s="275">
        <f t="shared" si="30"/>
        <v>0</v>
      </c>
      <c r="DK72" s="294"/>
      <c r="DL72" s="275">
        <v>0</v>
      </c>
      <c r="DM72" s="275">
        <v>0</v>
      </c>
      <c r="DN72" s="275">
        <f t="shared" si="31"/>
        <v>0</v>
      </c>
      <c r="DO72" s="275"/>
      <c r="DP72" s="275">
        <v>0</v>
      </c>
      <c r="DQ72" s="275">
        <v>0</v>
      </c>
      <c r="DR72" s="275">
        <f t="shared" si="32"/>
        <v>0</v>
      </c>
      <c r="DS72" s="275"/>
      <c r="DT72" s="275">
        <v>0</v>
      </c>
      <c r="DU72" s="275">
        <v>0</v>
      </c>
      <c r="DV72" s="275">
        <f t="shared" si="33"/>
        <v>0</v>
      </c>
      <c r="DW72" s="275"/>
      <c r="DX72" s="275">
        <f>'[1]poly  com. adj for fmis'!AI71</f>
        <v>0</v>
      </c>
      <c r="DY72" s="275">
        <f>'[1]POLY DISB 2019'!AI77</f>
        <v>0</v>
      </c>
      <c r="DZ72" s="275">
        <f t="shared" si="34"/>
        <v>0</v>
      </c>
      <c r="EA72" s="275"/>
      <c r="EB72" s="275">
        <f>'[1]POLY commited funds to date'!AK70</f>
        <v>0</v>
      </c>
      <c r="EC72" s="275">
        <f>'[1]POLY DISB 2019'!AJ77</f>
        <v>0</v>
      </c>
      <c r="ED72" s="275">
        <f t="shared" si="35"/>
        <v>0</v>
      </c>
      <c r="EE72" s="275"/>
      <c r="EF72" s="275">
        <f>'[1]POLY commited funds to date'!AL70</f>
        <v>0</v>
      </c>
      <c r="EG72" s="275">
        <f>'[1]POLY DISB 2019'!AK77</f>
        <v>0</v>
      </c>
      <c r="EH72" s="275">
        <f t="shared" si="36"/>
        <v>0</v>
      </c>
      <c r="EI72" s="275"/>
      <c r="EJ72" s="275">
        <f>'[1]POLY commited funds to date'!AM70</f>
        <v>0</v>
      </c>
      <c r="EK72" s="275">
        <f>'[1]POLY DISB 2019'!AL77</f>
        <v>0</v>
      </c>
      <c r="EL72" s="275">
        <f t="shared" si="37"/>
        <v>0</v>
      </c>
      <c r="EM72" s="275"/>
      <c r="EN72" s="275">
        <f>'[1]POLY commited funds to date'!AN70</f>
        <v>0</v>
      </c>
      <c r="EO72" s="275">
        <f>'[1]POLY DISB 2019'!AM77</f>
        <v>0</v>
      </c>
      <c r="EP72" s="275">
        <f t="shared" si="38"/>
        <v>0</v>
      </c>
      <c r="EQ72" s="275">
        <f>'[1]POLY commited funds to date'!AO70</f>
        <v>0</v>
      </c>
      <c r="ER72" s="275">
        <f>'[1]POLY DISB 2019'!AN75</f>
        <v>0</v>
      </c>
      <c r="ES72" s="275">
        <f t="shared" si="39"/>
        <v>0</v>
      </c>
      <c r="ET72" s="275"/>
      <c r="EU72" s="275">
        <f>'[1]POLY commited funds to date'!AP70</f>
        <v>0</v>
      </c>
      <c r="EV72" s="275">
        <v>0</v>
      </c>
      <c r="EW72" s="275">
        <f t="shared" si="70"/>
        <v>0</v>
      </c>
      <c r="EX72" s="275"/>
      <c r="EY72" s="275">
        <f>'[1]POLY commited funds to date'!AQ70</f>
        <v>0</v>
      </c>
      <c r="EZ72" s="275"/>
      <c r="FA72" s="275"/>
      <c r="FB72" s="275"/>
      <c r="FC72" s="275">
        <f>'[1]POLY commited funds to date'!AR70</f>
        <v>0</v>
      </c>
      <c r="FD72" s="275"/>
      <c r="FE72" s="275"/>
      <c r="FF72" s="275"/>
      <c r="FG72" s="275">
        <f>'[1]POLY commited funds to date'!AS70</f>
        <v>0</v>
      </c>
      <c r="FH72" s="275"/>
      <c r="FI72" s="275"/>
      <c r="FJ72" s="275"/>
      <c r="FK72" s="275">
        <f>'[1]POLY commited funds to date'!AT70</f>
        <v>0</v>
      </c>
      <c r="FL72" s="275"/>
      <c r="FM72" s="275"/>
      <c r="FN72" s="275"/>
      <c r="FO72" s="275"/>
      <c r="FP72" s="275"/>
      <c r="FQ72" s="275"/>
      <c r="FR72" s="275"/>
      <c r="FS72" s="275"/>
      <c r="FT72" s="275"/>
      <c r="FU72" s="275"/>
      <c r="FV72" s="275"/>
      <c r="FW72" s="275"/>
      <c r="FX72" s="275"/>
      <c r="FY72" s="275"/>
      <c r="FZ72" s="275"/>
      <c r="GA72" s="275"/>
      <c r="GB72" s="275"/>
      <c r="GC72" s="275"/>
      <c r="GD72" s="275"/>
      <c r="GE72" s="275"/>
      <c r="GF72" s="275"/>
      <c r="GG72" s="275">
        <f>'[1]POLY commited funds to date'!AZ70</f>
        <v>0</v>
      </c>
      <c r="GH72" s="275"/>
      <c r="GI72" s="275">
        <f t="shared" si="50"/>
        <v>0</v>
      </c>
      <c r="GJ72" s="275"/>
      <c r="GK72" s="275">
        <f t="shared" si="51"/>
        <v>73000000</v>
      </c>
      <c r="GL72" s="275">
        <f t="shared" si="51"/>
        <v>73000000</v>
      </c>
      <c r="GM72" s="275">
        <f t="shared" si="52"/>
        <v>0</v>
      </c>
      <c r="GN72" s="265"/>
      <c r="GO72" s="277">
        <f t="shared" si="53"/>
        <v>63000000</v>
      </c>
      <c r="GP72" s="277">
        <f t="shared" si="53"/>
        <v>63000000</v>
      </c>
      <c r="GQ72" s="277">
        <f t="shared" si="54"/>
        <v>0</v>
      </c>
      <c r="GR72" s="277">
        <f t="shared" si="71"/>
        <v>10000000</v>
      </c>
      <c r="GS72" s="277">
        <f t="shared" si="71"/>
        <v>10000000</v>
      </c>
      <c r="GT72" s="277">
        <f t="shared" si="55"/>
        <v>0</v>
      </c>
      <c r="GU72" s="277"/>
      <c r="GV72" s="265"/>
      <c r="GW72" s="279">
        <f t="shared" si="68"/>
        <v>0</v>
      </c>
      <c r="GX72" s="279">
        <f t="shared" si="68"/>
        <v>0</v>
      </c>
      <c r="GY72" s="280">
        <f t="shared" si="57"/>
        <v>0</v>
      </c>
      <c r="GZ72" s="280"/>
      <c r="HA72" s="277">
        <f t="shared" si="58"/>
        <v>0</v>
      </c>
      <c r="HB72" s="277">
        <f t="shared" si="58"/>
        <v>0</v>
      </c>
      <c r="HC72" s="277">
        <f t="shared" si="59"/>
        <v>0</v>
      </c>
      <c r="HE72" s="277">
        <f t="shared" si="60"/>
        <v>0</v>
      </c>
      <c r="HF72" s="277">
        <f t="shared" si="60"/>
        <v>0</v>
      </c>
      <c r="HG72" s="277">
        <f t="shared" si="61"/>
        <v>0</v>
      </c>
      <c r="HI72" s="279">
        <f t="shared" si="62"/>
        <v>0</v>
      </c>
      <c r="HJ72" s="279">
        <f t="shared" si="62"/>
        <v>0</v>
      </c>
      <c r="HK72" s="279">
        <f t="shared" si="63"/>
        <v>0</v>
      </c>
      <c r="HM72" s="279">
        <f t="shared" si="72"/>
        <v>0</v>
      </c>
      <c r="HN72" s="279">
        <f t="shared" si="72"/>
        <v>0</v>
      </c>
      <c r="HO72" s="279">
        <f t="shared" si="65"/>
        <v>0</v>
      </c>
      <c r="HQ72" s="279">
        <f t="shared" si="66"/>
        <v>0</v>
      </c>
      <c r="HR72" s="279">
        <f t="shared" si="2"/>
        <v>0</v>
      </c>
      <c r="HS72" s="279">
        <f t="shared" si="67"/>
        <v>0</v>
      </c>
    </row>
    <row r="73" spans="1:227" x14ac:dyDescent="0.25">
      <c r="A73" s="235">
        <v>64</v>
      </c>
      <c r="B73" s="273" t="s">
        <v>263</v>
      </c>
      <c r="C73" s="274"/>
      <c r="D73" s="275">
        <v>0</v>
      </c>
      <c r="E73" s="275">
        <v>0</v>
      </c>
      <c r="F73" s="275">
        <f t="shared" si="3"/>
        <v>0</v>
      </c>
      <c r="G73" s="275"/>
      <c r="H73" s="275">
        <v>10000000</v>
      </c>
      <c r="I73" s="295">
        <v>10000000</v>
      </c>
      <c r="J73" s="275">
        <f t="shared" si="4"/>
        <v>0</v>
      </c>
      <c r="K73" s="275"/>
      <c r="L73" s="275">
        <v>20000000</v>
      </c>
      <c r="M73" s="295">
        <v>20000000</v>
      </c>
      <c r="N73" s="275">
        <f t="shared" si="5"/>
        <v>0</v>
      </c>
      <c r="O73" s="275"/>
      <c r="P73" s="275">
        <v>25000000</v>
      </c>
      <c r="Q73" s="275">
        <v>25000000</v>
      </c>
      <c r="R73" s="275">
        <f t="shared" si="6"/>
        <v>0</v>
      </c>
      <c r="S73" s="275"/>
      <c r="T73" s="275">
        <v>12000000</v>
      </c>
      <c r="U73" s="275">
        <v>12000000</v>
      </c>
      <c r="V73" s="275">
        <f t="shared" si="7"/>
        <v>0</v>
      </c>
      <c r="W73" s="275"/>
      <c r="X73" s="275">
        <v>12000000</v>
      </c>
      <c r="Y73" s="275">
        <v>12000000</v>
      </c>
      <c r="Z73" s="275">
        <f t="shared" si="8"/>
        <v>0</v>
      </c>
      <c r="AA73" s="275"/>
      <c r="AB73" s="275">
        <v>0</v>
      </c>
      <c r="AC73" s="275">
        <v>0</v>
      </c>
      <c r="AD73" s="275">
        <f t="shared" si="9"/>
        <v>0</v>
      </c>
      <c r="AE73" s="275"/>
      <c r="AF73" s="275">
        <f>'[1]POLY commited funds to date'!K69</f>
        <v>20000000</v>
      </c>
      <c r="AG73" s="275">
        <v>20000000</v>
      </c>
      <c r="AH73" s="275">
        <f t="shared" si="10"/>
        <v>0</v>
      </c>
      <c r="AI73" s="275"/>
      <c r="AJ73" s="275">
        <v>10000000</v>
      </c>
      <c r="AK73" s="275">
        <v>10000000</v>
      </c>
      <c r="AL73" s="275">
        <f t="shared" si="11"/>
        <v>0</v>
      </c>
      <c r="AM73" s="275"/>
      <c r="AN73" s="275">
        <v>20000000</v>
      </c>
      <c r="AO73" s="275">
        <v>20000000</v>
      </c>
      <c r="AP73" s="275">
        <f t="shared" si="12"/>
        <v>0</v>
      </c>
      <c r="AQ73" s="275"/>
      <c r="AR73" s="275">
        <v>26000000</v>
      </c>
      <c r="AS73" s="275">
        <v>26000000</v>
      </c>
      <c r="AT73" s="275">
        <f t="shared" si="13"/>
        <v>0</v>
      </c>
      <c r="AU73" s="275"/>
      <c r="AV73" s="275">
        <v>0</v>
      </c>
      <c r="AW73" s="275">
        <v>0</v>
      </c>
      <c r="AX73" s="275">
        <f t="shared" si="14"/>
        <v>0</v>
      </c>
      <c r="AY73" s="275"/>
      <c r="AZ73" s="275">
        <v>0</v>
      </c>
      <c r="BA73" s="275">
        <v>0</v>
      </c>
      <c r="BB73" s="275">
        <f t="shared" si="15"/>
        <v>0</v>
      </c>
      <c r="BC73" s="275"/>
      <c r="BD73" s="275">
        <v>0</v>
      </c>
      <c r="BE73" s="275">
        <v>0</v>
      </c>
      <c r="BF73" s="275">
        <f t="shared" si="16"/>
        <v>0</v>
      </c>
      <c r="BG73" s="275"/>
      <c r="BH73" s="275">
        <f>'[1]POLY commited funds to date'!S69</f>
        <v>0</v>
      </c>
      <c r="BI73" s="275">
        <f>'[1]POLY commited funds to date'!T69</f>
        <v>0</v>
      </c>
      <c r="BJ73" s="275">
        <f t="shared" si="17"/>
        <v>0</v>
      </c>
      <c r="BK73" s="275"/>
      <c r="BL73" s="275">
        <v>0</v>
      </c>
      <c r="BM73" s="275">
        <v>0</v>
      </c>
      <c r="BN73" s="269">
        <f t="shared" si="18"/>
        <v>0</v>
      </c>
      <c r="BO73" s="275"/>
      <c r="BP73" s="275">
        <f>'[1]POLY commited funds to date'!U69</f>
        <v>0</v>
      </c>
      <c r="BQ73" s="275">
        <f>'[1]POLY commited funds to date'!V69</f>
        <v>0</v>
      </c>
      <c r="BR73" s="275">
        <f t="shared" si="19"/>
        <v>0</v>
      </c>
      <c r="BS73" s="275"/>
      <c r="BT73" s="275">
        <f>'[1]POLY commited funds to date'!V69</f>
        <v>0</v>
      </c>
      <c r="BU73" s="275">
        <f>'[1]POLY commited funds to date'!W69</f>
        <v>0</v>
      </c>
      <c r="BV73" s="275">
        <f t="shared" si="20"/>
        <v>0</v>
      </c>
      <c r="BW73" s="275"/>
      <c r="BX73" s="275">
        <f>'[1]POLY commited funds to date'!W69</f>
        <v>0</v>
      </c>
      <c r="BY73" s="275">
        <f>'[1]POLY commited funds to date'!X69</f>
        <v>0</v>
      </c>
      <c r="BZ73" s="275">
        <f t="shared" si="21"/>
        <v>0</v>
      </c>
      <c r="CA73" s="275"/>
      <c r="CB73" s="275">
        <f>'[1]POLY commited funds to date'!X69</f>
        <v>0</v>
      </c>
      <c r="CC73" s="275">
        <f>'[1]POLY commited funds to date'!Y69</f>
        <v>0</v>
      </c>
      <c r="CD73" s="275">
        <f t="shared" si="22"/>
        <v>0</v>
      </c>
      <c r="CE73" s="275"/>
      <c r="CF73" s="275">
        <f>'[1]POLY commited funds to date'!Y69</f>
        <v>0</v>
      </c>
      <c r="CG73" s="275">
        <f>'[1]POLY commited funds to date'!Z69</f>
        <v>0</v>
      </c>
      <c r="CH73" s="275">
        <f t="shared" si="23"/>
        <v>0</v>
      </c>
      <c r="CI73" s="275"/>
      <c r="CJ73" s="275">
        <f>'[1]POLY commited funds to date'!Z70</f>
        <v>0</v>
      </c>
      <c r="CK73" s="275">
        <f>'[1]POLY commited funds to date'!AA69</f>
        <v>0</v>
      </c>
      <c r="CL73" s="275">
        <f t="shared" si="24"/>
        <v>0</v>
      </c>
      <c r="CM73" s="275"/>
      <c r="CN73" s="275">
        <f>'[1]POLY commited funds to date'!AA69</f>
        <v>0</v>
      </c>
      <c r="CO73" s="275">
        <f>'[1]POLY commited funds to date'!AB69</f>
        <v>0</v>
      </c>
      <c r="CP73" s="275">
        <f t="shared" si="25"/>
        <v>0</v>
      </c>
      <c r="CQ73" s="275"/>
      <c r="CR73" s="275">
        <v>0</v>
      </c>
      <c r="CS73" s="275">
        <v>0</v>
      </c>
      <c r="CT73" s="275">
        <f t="shared" si="26"/>
        <v>0</v>
      </c>
      <c r="CU73" s="275"/>
      <c r="CV73" s="275">
        <f>'[1]POLY commited funds to date'!AC69</f>
        <v>0</v>
      </c>
      <c r="CW73" s="275">
        <f>'[1]POLY commited funds to date'!AD69</f>
        <v>0</v>
      </c>
      <c r="CX73" s="275">
        <f t="shared" si="27"/>
        <v>0</v>
      </c>
      <c r="CY73" s="275"/>
      <c r="CZ73" s="275">
        <f>'[1]POLY commited funds to date'!AD69</f>
        <v>0</v>
      </c>
      <c r="DA73" s="275">
        <f>'[1]POLY commited funds to date'!AE69</f>
        <v>0</v>
      </c>
      <c r="DB73" s="275">
        <f t="shared" si="28"/>
        <v>0</v>
      </c>
      <c r="DC73" s="275"/>
      <c r="DD73" s="275">
        <f>'[1]POLY commited funds to date'!AE70</f>
        <v>0</v>
      </c>
      <c r="DE73" s="275">
        <f>'[1]POLY DISB 2019'!AD76</f>
        <v>0</v>
      </c>
      <c r="DF73" s="275">
        <f t="shared" si="29"/>
        <v>0</v>
      </c>
      <c r="DG73" s="293"/>
      <c r="DH73" s="275">
        <v>0</v>
      </c>
      <c r="DI73" s="275">
        <v>0</v>
      </c>
      <c r="DJ73" s="275">
        <f t="shared" si="30"/>
        <v>0</v>
      </c>
      <c r="DK73" s="294"/>
      <c r="DL73" s="275">
        <v>0</v>
      </c>
      <c r="DM73" s="275">
        <v>0</v>
      </c>
      <c r="DN73" s="275">
        <f t="shared" si="31"/>
        <v>0</v>
      </c>
      <c r="DO73" s="275"/>
      <c r="DP73" s="275">
        <v>0</v>
      </c>
      <c r="DQ73" s="275">
        <v>0</v>
      </c>
      <c r="DR73" s="275">
        <f t="shared" si="32"/>
        <v>0</v>
      </c>
      <c r="DS73" s="275"/>
      <c r="DT73" s="275">
        <v>0</v>
      </c>
      <c r="DU73" s="275">
        <v>0</v>
      </c>
      <c r="DV73" s="275">
        <f t="shared" si="33"/>
        <v>0</v>
      </c>
      <c r="DW73" s="275"/>
      <c r="DX73" s="275">
        <f>'[1]poly  com. adj for fmis'!AI72</f>
        <v>0</v>
      </c>
      <c r="DY73" s="275">
        <f>'[1]POLY DISB 2019'!AI78</f>
        <v>0</v>
      </c>
      <c r="DZ73" s="275">
        <f t="shared" si="34"/>
        <v>0</v>
      </c>
      <c r="EA73" s="275"/>
      <c r="EB73" s="275">
        <f>'[1]POLY commited funds to date'!AK71</f>
        <v>0</v>
      </c>
      <c r="EC73" s="275">
        <f>'[1]POLY DISB 2019'!AJ78</f>
        <v>0</v>
      </c>
      <c r="ED73" s="275">
        <f t="shared" si="35"/>
        <v>0</v>
      </c>
      <c r="EE73" s="275"/>
      <c r="EF73" s="275">
        <f>'[1]POLY commited funds to date'!AL71</f>
        <v>0</v>
      </c>
      <c r="EG73" s="275">
        <f>'[1]POLY DISB 2019'!AK78</f>
        <v>0</v>
      </c>
      <c r="EH73" s="275">
        <f t="shared" si="36"/>
        <v>0</v>
      </c>
      <c r="EI73" s="275"/>
      <c r="EJ73" s="275">
        <f>'[1]POLY commited funds to date'!AM71</f>
        <v>0</v>
      </c>
      <c r="EK73" s="275">
        <f>'[1]POLY DISB 2019'!AL78</f>
        <v>0</v>
      </c>
      <c r="EL73" s="275">
        <f t="shared" si="37"/>
        <v>0</v>
      </c>
      <c r="EM73" s="275"/>
      <c r="EN73" s="275">
        <f>'[1]POLY commited funds to date'!AN71</f>
        <v>0</v>
      </c>
      <c r="EO73" s="275">
        <f>'[1]POLY DISB 2019'!AM78</f>
        <v>0</v>
      </c>
      <c r="EP73" s="275">
        <f t="shared" si="38"/>
        <v>0</v>
      </c>
      <c r="EQ73" s="275">
        <f>'[1]POLY commited funds to date'!AO71</f>
        <v>0</v>
      </c>
      <c r="ER73" s="275">
        <f>'[1]POLY DISB 2019'!AN76</f>
        <v>0</v>
      </c>
      <c r="ES73" s="275">
        <f t="shared" si="39"/>
        <v>0</v>
      </c>
      <c r="ET73" s="275"/>
      <c r="EU73" s="275">
        <f>'[1]POLY commited funds to date'!AP71</f>
        <v>0</v>
      </c>
      <c r="EV73" s="275">
        <v>0</v>
      </c>
      <c r="EW73" s="275">
        <f t="shared" si="70"/>
        <v>0</v>
      </c>
      <c r="EX73" s="275"/>
      <c r="EY73" s="275">
        <f>'[1]POLY commited funds to date'!AQ71</f>
        <v>0</v>
      </c>
      <c r="EZ73" s="275"/>
      <c r="FA73" s="275"/>
      <c r="FB73" s="275"/>
      <c r="FC73" s="275">
        <f>'[1]POLY commited funds to date'!AR71</f>
        <v>0</v>
      </c>
      <c r="FD73" s="275"/>
      <c r="FE73" s="275"/>
      <c r="FF73" s="275"/>
      <c r="FG73" s="275">
        <f>'[1]POLY commited funds to date'!AS71</f>
        <v>0</v>
      </c>
      <c r="FH73" s="275"/>
      <c r="FI73" s="275"/>
      <c r="FJ73" s="275"/>
      <c r="FK73" s="275">
        <f>'[1]POLY commited funds to date'!AT71</f>
        <v>0</v>
      </c>
      <c r="FL73" s="275"/>
      <c r="FM73" s="275"/>
      <c r="FN73" s="275"/>
      <c r="FO73" s="275"/>
      <c r="FP73" s="275"/>
      <c r="FQ73" s="275"/>
      <c r="FR73" s="275"/>
      <c r="FS73" s="275"/>
      <c r="FT73" s="275"/>
      <c r="FU73" s="275"/>
      <c r="FV73" s="275"/>
      <c r="FW73" s="275"/>
      <c r="FX73" s="275"/>
      <c r="FY73" s="275"/>
      <c r="FZ73" s="275"/>
      <c r="GA73" s="275"/>
      <c r="GB73" s="275"/>
      <c r="GC73" s="275"/>
      <c r="GD73" s="275"/>
      <c r="GE73" s="275"/>
      <c r="GF73" s="275"/>
      <c r="GG73" s="275">
        <f>'[1]POLY commited funds to date'!AZ71</f>
        <v>0</v>
      </c>
      <c r="GH73" s="275"/>
      <c r="GI73" s="275">
        <f t="shared" si="50"/>
        <v>0</v>
      </c>
      <c r="GJ73" s="275"/>
      <c r="GK73" s="275">
        <f t="shared" si="51"/>
        <v>155000000</v>
      </c>
      <c r="GL73" s="275">
        <f t="shared" si="51"/>
        <v>155000000</v>
      </c>
      <c r="GM73" s="275">
        <f t="shared" si="52"/>
        <v>0</v>
      </c>
      <c r="GN73" s="265"/>
      <c r="GO73" s="277">
        <f t="shared" si="53"/>
        <v>145000000</v>
      </c>
      <c r="GP73" s="277">
        <f t="shared" si="53"/>
        <v>145000000</v>
      </c>
      <c r="GQ73" s="277">
        <f t="shared" si="54"/>
        <v>0</v>
      </c>
      <c r="GR73" s="277">
        <f t="shared" si="71"/>
        <v>10000000</v>
      </c>
      <c r="GS73" s="277">
        <f t="shared" si="71"/>
        <v>10000000</v>
      </c>
      <c r="GT73" s="277">
        <f t="shared" si="55"/>
        <v>0</v>
      </c>
      <c r="GU73" s="277"/>
      <c r="GV73" s="265"/>
      <c r="GW73" s="279">
        <f t="shared" si="68"/>
        <v>0</v>
      </c>
      <c r="GX73" s="279">
        <f t="shared" si="68"/>
        <v>0</v>
      </c>
      <c r="GY73" s="280">
        <f t="shared" si="57"/>
        <v>0</v>
      </c>
      <c r="GZ73" s="280"/>
      <c r="HA73" s="277">
        <f t="shared" si="58"/>
        <v>0</v>
      </c>
      <c r="HB73" s="277">
        <f t="shared" si="58"/>
        <v>0</v>
      </c>
      <c r="HC73" s="277">
        <f t="shared" si="59"/>
        <v>0</v>
      </c>
      <c r="HE73" s="277">
        <f t="shared" si="60"/>
        <v>0</v>
      </c>
      <c r="HF73" s="277">
        <f t="shared" si="60"/>
        <v>0</v>
      </c>
      <c r="HG73" s="277">
        <f t="shared" si="61"/>
        <v>0</v>
      </c>
      <c r="HI73" s="279">
        <f t="shared" si="62"/>
        <v>0</v>
      </c>
      <c r="HJ73" s="279">
        <f t="shared" si="62"/>
        <v>0</v>
      </c>
      <c r="HK73" s="279">
        <f t="shared" si="63"/>
        <v>0</v>
      </c>
      <c r="HM73" s="279">
        <f t="shared" si="72"/>
        <v>0</v>
      </c>
      <c r="HN73" s="279">
        <f t="shared" si="72"/>
        <v>0</v>
      </c>
      <c r="HO73" s="279">
        <f t="shared" si="65"/>
        <v>0</v>
      </c>
      <c r="HQ73" s="279">
        <f t="shared" si="66"/>
        <v>0</v>
      </c>
      <c r="HR73" s="279">
        <f t="shared" si="66"/>
        <v>0</v>
      </c>
      <c r="HS73" s="279">
        <f t="shared" si="67"/>
        <v>0</v>
      </c>
    </row>
    <row r="74" spans="1:227" x14ac:dyDescent="0.25">
      <c r="A74" s="235">
        <v>65</v>
      </c>
      <c r="B74" s="284" t="s">
        <v>264</v>
      </c>
      <c r="C74" s="274"/>
      <c r="D74" s="275">
        <v>0</v>
      </c>
      <c r="E74" s="275">
        <v>0</v>
      </c>
      <c r="F74" s="275">
        <f t="shared" si="3"/>
        <v>0</v>
      </c>
      <c r="G74" s="275"/>
      <c r="H74" s="275">
        <v>0</v>
      </c>
      <c r="I74" s="295">
        <v>0</v>
      </c>
      <c r="J74" s="275">
        <f t="shared" si="4"/>
        <v>0</v>
      </c>
      <c r="K74" s="275"/>
      <c r="L74" s="275">
        <v>0</v>
      </c>
      <c r="M74" s="275">
        <v>0</v>
      </c>
      <c r="N74" s="275">
        <f t="shared" si="5"/>
        <v>0</v>
      </c>
      <c r="O74" s="275"/>
      <c r="P74" s="275">
        <v>0</v>
      </c>
      <c r="Q74" s="275">
        <v>0</v>
      </c>
      <c r="R74" s="275">
        <f t="shared" si="6"/>
        <v>0</v>
      </c>
      <c r="S74" s="275"/>
      <c r="T74" s="275">
        <v>0</v>
      </c>
      <c r="U74" s="275">
        <v>0</v>
      </c>
      <c r="V74" s="275">
        <f t="shared" si="7"/>
        <v>0</v>
      </c>
      <c r="W74" s="275"/>
      <c r="X74" s="275">
        <v>0</v>
      </c>
      <c r="Y74" s="275">
        <v>0</v>
      </c>
      <c r="Z74" s="275">
        <f t="shared" si="8"/>
        <v>0</v>
      </c>
      <c r="AA74" s="275"/>
      <c r="AB74" s="275">
        <v>0</v>
      </c>
      <c r="AC74" s="275">
        <v>0</v>
      </c>
      <c r="AD74" s="275">
        <f t="shared" si="9"/>
        <v>0</v>
      </c>
      <c r="AE74" s="275"/>
      <c r="AF74" s="275">
        <f>'[1]POLY commited funds to date'!K70</f>
        <v>0</v>
      </c>
      <c r="AG74" s="275">
        <f>'[1]POLY commited funds to date'!L70</f>
        <v>0</v>
      </c>
      <c r="AH74" s="275">
        <f t="shared" si="10"/>
        <v>0</v>
      </c>
      <c r="AI74" s="275"/>
      <c r="AJ74" s="275">
        <v>0</v>
      </c>
      <c r="AK74" s="275">
        <v>0</v>
      </c>
      <c r="AL74" s="275">
        <f t="shared" si="11"/>
        <v>0</v>
      </c>
      <c r="AM74" s="275"/>
      <c r="AN74" s="275">
        <v>20000000</v>
      </c>
      <c r="AO74" s="275">
        <v>20000000</v>
      </c>
      <c r="AP74" s="275">
        <f t="shared" si="12"/>
        <v>0</v>
      </c>
      <c r="AQ74" s="275"/>
      <c r="AR74" s="275">
        <v>0</v>
      </c>
      <c r="AS74" s="275">
        <v>0</v>
      </c>
      <c r="AT74" s="275">
        <f t="shared" si="13"/>
        <v>0</v>
      </c>
      <c r="AU74" s="275"/>
      <c r="AV74" s="275">
        <v>0</v>
      </c>
      <c r="AW74" s="275">
        <v>0</v>
      </c>
      <c r="AX74" s="275">
        <f t="shared" si="14"/>
        <v>0</v>
      </c>
      <c r="AY74" s="275"/>
      <c r="AZ74" s="275">
        <v>0</v>
      </c>
      <c r="BA74" s="275">
        <v>0</v>
      </c>
      <c r="BB74" s="275">
        <f t="shared" si="15"/>
        <v>0</v>
      </c>
      <c r="BC74" s="275"/>
      <c r="BD74" s="275">
        <v>0</v>
      </c>
      <c r="BE74" s="275">
        <v>0</v>
      </c>
      <c r="BF74" s="275">
        <f t="shared" si="16"/>
        <v>0</v>
      </c>
      <c r="BG74" s="275"/>
      <c r="BH74" s="275">
        <f>'[1]POLY commited funds to date'!S70</f>
        <v>0</v>
      </c>
      <c r="BI74" s="275">
        <f>'[1]POLY commited funds to date'!T70</f>
        <v>0</v>
      </c>
      <c r="BJ74" s="275">
        <f t="shared" si="17"/>
        <v>0</v>
      </c>
      <c r="BK74" s="275"/>
      <c r="BL74" s="275">
        <v>0</v>
      </c>
      <c r="BM74" s="275">
        <v>0</v>
      </c>
      <c r="BN74" s="269">
        <f t="shared" si="18"/>
        <v>0</v>
      </c>
      <c r="BO74" s="275"/>
      <c r="BP74" s="275">
        <f>'[1]POLY commited funds to date'!U70</f>
        <v>0</v>
      </c>
      <c r="BQ74" s="275">
        <f>'[1]POLY commited funds to date'!V70</f>
        <v>0</v>
      </c>
      <c r="BR74" s="275">
        <f t="shared" si="19"/>
        <v>0</v>
      </c>
      <c r="BS74" s="275"/>
      <c r="BT74" s="275">
        <f>'[1]POLY commited funds to date'!V70</f>
        <v>0</v>
      </c>
      <c r="BU74" s="275">
        <f>'[1]POLY commited funds to date'!W70</f>
        <v>0</v>
      </c>
      <c r="BV74" s="275">
        <f t="shared" si="20"/>
        <v>0</v>
      </c>
      <c r="BW74" s="275"/>
      <c r="BX74" s="275">
        <f>'[1]POLY commited funds to date'!W70</f>
        <v>0</v>
      </c>
      <c r="BY74" s="275">
        <f>'[1]POLY commited funds to date'!X70</f>
        <v>0</v>
      </c>
      <c r="BZ74" s="275">
        <f t="shared" si="21"/>
        <v>0</v>
      </c>
      <c r="CA74" s="275"/>
      <c r="CB74" s="275">
        <f>'[1]POLY commited funds to date'!X70</f>
        <v>0</v>
      </c>
      <c r="CC74" s="275">
        <f>'[1]POLY commited funds to date'!Y70</f>
        <v>0</v>
      </c>
      <c r="CD74" s="275">
        <f t="shared" si="22"/>
        <v>0</v>
      </c>
      <c r="CE74" s="275"/>
      <c r="CF74" s="275">
        <f>'[1]POLY commited funds to date'!Y70</f>
        <v>0</v>
      </c>
      <c r="CG74" s="275">
        <f>'[1]POLY commited funds to date'!Z70</f>
        <v>0</v>
      </c>
      <c r="CH74" s="275">
        <f t="shared" si="23"/>
        <v>0</v>
      </c>
      <c r="CI74" s="275"/>
      <c r="CJ74" s="275">
        <f>'[1]POLY commited funds to date'!Z71</f>
        <v>0</v>
      </c>
      <c r="CK74" s="275">
        <f>'[1]POLY commited funds to date'!AA70</f>
        <v>0</v>
      </c>
      <c r="CL74" s="275">
        <f t="shared" si="24"/>
        <v>0</v>
      </c>
      <c r="CM74" s="275"/>
      <c r="CN74" s="275">
        <f>'[1]POLY commited funds to date'!AA70</f>
        <v>0</v>
      </c>
      <c r="CO74" s="275">
        <f>'[1]POLY commited funds to date'!AB70</f>
        <v>0</v>
      </c>
      <c r="CP74" s="275">
        <f t="shared" si="25"/>
        <v>0</v>
      </c>
      <c r="CQ74" s="275"/>
      <c r="CR74" s="275">
        <v>0</v>
      </c>
      <c r="CS74" s="275">
        <v>0</v>
      </c>
      <c r="CT74" s="275">
        <f t="shared" si="26"/>
        <v>0</v>
      </c>
      <c r="CU74" s="275"/>
      <c r="CV74" s="275">
        <f>'[1]POLY commited funds to date'!AC70</f>
        <v>0</v>
      </c>
      <c r="CW74" s="275">
        <f>'[1]POLY commited funds to date'!AD70</f>
        <v>0</v>
      </c>
      <c r="CX74" s="275">
        <f t="shared" si="27"/>
        <v>0</v>
      </c>
      <c r="CY74" s="275"/>
      <c r="CZ74" s="275">
        <f>'[1]POLY commited funds to date'!AD70</f>
        <v>0</v>
      </c>
      <c r="DA74" s="275">
        <f>'[1]POLY commited funds to date'!AE70</f>
        <v>0</v>
      </c>
      <c r="DB74" s="275">
        <f t="shared" si="28"/>
        <v>0</v>
      </c>
      <c r="DC74" s="275"/>
      <c r="DD74" s="275">
        <f>'[1]POLY commited funds to date'!AE71</f>
        <v>0</v>
      </c>
      <c r="DE74" s="275">
        <f>'[1]POLY DISB 2019'!AD77</f>
        <v>0</v>
      </c>
      <c r="DF74" s="275">
        <f t="shared" si="29"/>
        <v>0</v>
      </c>
      <c r="DG74" s="293"/>
      <c r="DH74" s="275">
        <v>0</v>
      </c>
      <c r="DI74" s="275">
        <v>0</v>
      </c>
      <c r="DJ74" s="275">
        <f t="shared" si="30"/>
        <v>0</v>
      </c>
      <c r="DK74" s="294"/>
      <c r="DL74" s="275">
        <v>0</v>
      </c>
      <c r="DM74" s="275">
        <v>0</v>
      </c>
      <c r="DN74" s="275">
        <f t="shared" si="31"/>
        <v>0</v>
      </c>
      <c r="DO74" s="275"/>
      <c r="DP74" s="275">
        <v>0</v>
      </c>
      <c r="DQ74" s="275">
        <v>0</v>
      </c>
      <c r="DR74" s="275">
        <f t="shared" si="32"/>
        <v>0</v>
      </c>
      <c r="DS74" s="275"/>
      <c r="DT74" s="275">
        <v>0</v>
      </c>
      <c r="DU74" s="275">
        <v>0</v>
      </c>
      <c r="DV74" s="275">
        <f t="shared" si="33"/>
        <v>0</v>
      </c>
      <c r="DW74" s="275"/>
      <c r="DX74" s="275">
        <f>'[1]poly  com. adj for fmis'!AI73</f>
        <v>0</v>
      </c>
      <c r="DY74" s="275">
        <f>'[1]POLY DISB 2019'!AI79</f>
        <v>0</v>
      </c>
      <c r="DZ74" s="275">
        <f t="shared" si="34"/>
        <v>0</v>
      </c>
      <c r="EA74" s="275"/>
      <c r="EB74" s="275">
        <f>'[1]POLY commited funds to date'!AK72</f>
        <v>0</v>
      </c>
      <c r="EC74" s="275">
        <f>'[1]POLY DISB 2019'!AJ79</f>
        <v>0</v>
      </c>
      <c r="ED74" s="275">
        <f t="shared" si="35"/>
        <v>0</v>
      </c>
      <c r="EE74" s="275"/>
      <c r="EF74" s="275">
        <f>'[1]POLY commited funds to date'!AL72</f>
        <v>0</v>
      </c>
      <c r="EG74" s="275">
        <f>'[1]POLY DISB 2019'!AK79</f>
        <v>0</v>
      </c>
      <c r="EH74" s="275">
        <f t="shared" si="36"/>
        <v>0</v>
      </c>
      <c r="EI74" s="275"/>
      <c r="EJ74" s="275">
        <f>'[1]POLY commited funds to date'!AM72</f>
        <v>0</v>
      </c>
      <c r="EK74" s="275">
        <f>'[1]POLY DISB 2019'!AL79</f>
        <v>0</v>
      </c>
      <c r="EL74" s="275">
        <f t="shared" si="37"/>
        <v>0</v>
      </c>
      <c r="EM74" s="275"/>
      <c r="EN74" s="275">
        <f>'[1]POLY commited funds to date'!AN72</f>
        <v>0</v>
      </c>
      <c r="EO74" s="275">
        <f>'[1]POLY DISB 2019'!AM79</f>
        <v>0</v>
      </c>
      <c r="EP74" s="275">
        <f t="shared" si="38"/>
        <v>0</v>
      </c>
      <c r="EQ74" s="275">
        <f>'[1]POLY commited funds to date'!AO72</f>
        <v>0</v>
      </c>
      <c r="ER74" s="275">
        <f>'[1]POLY DISB 2019'!AN77</f>
        <v>0</v>
      </c>
      <c r="ES74" s="275">
        <f t="shared" si="39"/>
        <v>0</v>
      </c>
      <c r="ET74" s="275"/>
      <c r="EU74" s="275">
        <f>'[1]POLY commited funds to date'!AP72</f>
        <v>0</v>
      </c>
      <c r="EV74" s="275">
        <v>0</v>
      </c>
      <c r="EW74" s="275">
        <f t="shared" si="70"/>
        <v>0</v>
      </c>
      <c r="EX74" s="275"/>
      <c r="EY74" s="275">
        <f>'[1]POLY commited funds to date'!AQ72</f>
        <v>0</v>
      </c>
      <c r="EZ74" s="275"/>
      <c r="FA74" s="275"/>
      <c r="FB74" s="275"/>
      <c r="FC74" s="275">
        <f>'[1]POLY commited funds to date'!AR72</f>
        <v>0</v>
      </c>
      <c r="FD74" s="275"/>
      <c r="FE74" s="275"/>
      <c r="FF74" s="275"/>
      <c r="FG74" s="275">
        <f>'[1]POLY commited funds to date'!AS72</f>
        <v>0</v>
      </c>
      <c r="FH74" s="275"/>
      <c r="FI74" s="275"/>
      <c r="FJ74" s="275"/>
      <c r="FK74" s="275">
        <f>'[1]POLY commited funds to date'!AT72</f>
        <v>0</v>
      </c>
      <c r="FL74" s="275"/>
      <c r="FM74" s="275"/>
      <c r="FN74" s="275"/>
      <c r="FO74" s="275"/>
      <c r="FP74" s="275"/>
      <c r="FQ74" s="275"/>
      <c r="FR74" s="275"/>
      <c r="FS74" s="275"/>
      <c r="FT74" s="275"/>
      <c r="FU74" s="275"/>
      <c r="FV74" s="275"/>
      <c r="FW74" s="275"/>
      <c r="FX74" s="275"/>
      <c r="FY74" s="275"/>
      <c r="FZ74" s="275"/>
      <c r="GA74" s="275"/>
      <c r="GB74" s="275"/>
      <c r="GC74" s="275"/>
      <c r="GD74" s="275"/>
      <c r="GE74" s="275"/>
      <c r="GF74" s="275"/>
      <c r="GG74" s="275">
        <f>'[1]POLY commited funds to date'!AZ72</f>
        <v>0</v>
      </c>
      <c r="GH74" s="275"/>
      <c r="GI74" s="275">
        <f t="shared" si="50"/>
        <v>0</v>
      </c>
      <c r="GJ74" s="275"/>
      <c r="GK74" s="275">
        <f t="shared" si="51"/>
        <v>20000000</v>
      </c>
      <c r="GL74" s="275">
        <f t="shared" si="51"/>
        <v>20000000</v>
      </c>
      <c r="GM74" s="275">
        <f t="shared" si="52"/>
        <v>0</v>
      </c>
      <c r="GN74" s="265"/>
      <c r="GO74" s="277">
        <f t="shared" si="53"/>
        <v>20000000</v>
      </c>
      <c r="GP74" s="277">
        <f t="shared" si="53"/>
        <v>20000000</v>
      </c>
      <c r="GQ74" s="277">
        <f t="shared" si="54"/>
        <v>0</v>
      </c>
      <c r="GR74" s="277">
        <f t="shared" si="71"/>
        <v>0</v>
      </c>
      <c r="GS74" s="277">
        <f t="shared" si="71"/>
        <v>0</v>
      </c>
      <c r="GT74" s="277">
        <f t="shared" si="55"/>
        <v>0</v>
      </c>
      <c r="GU74" s="277"/>
      <c r="GV74" s="265"/>
      <c r="GW74" s="279">
        <f t="shared" si="68"/>
        <v>0</v>
      </c>
      <c r="GX74" s="279">
        <f t="shared" si="68"/>
        <v>0</v>
      </c>
      <c r="GY74" s="280">
        <f t="shared" ref="GY74:GY75" si="73">GW74-GX74</f>
        <v>0</v>
      </c>
      <c r="GZ74" s="280"/>
      <c r="HA74" s="277">
        <f t="shared" si="58"/>
        <v>0</v>
      </c>
      <c r="HB74" s="277">
        <f t="shared" si="58"/>
        <v>0</v>
      </c>
      <c r="HC74" s="277">
        <f t="shared" si="59"/>
        <v>0</v>
      </c>
      <c r="HE74" s="277">
        <f t="shared" si="60"/>
        <v>0</v>
      </c>
      <c r="HF74" s="277">
        <f t="shared" si="60"/>
        <v>0</v>
      </c>
      <c r="HG74" s="277">
        <f t="shared" si="61"/>
        <v>0</v>
      </c>
      <c r="HI74" s="279">
        <f t="shared" si="62"/>
        <v>0</v>
      </c>
      <c r="HJ74" s="279">
        <f t="shared" si="62"/>
        <v>0</v>
      </c>
      <c r="HK74" s="279">
        <f t="shared" si="63"/>
        <v>0</v>
      </c>
      <c r="HM74" s="279">
        <f t="shared" si="72"/>
        <v>0</v>
      </c>
      <c r="HN74" s="279">
        <f t="shared" si="72"/>
        <v>0</v>
      </c>
      <c r="HO74" s="279">
        <f t="shared" si="65"/>
        <v>0</v>
      </c>
      <c r="HQ74" s="279">
        <f t="shared" si="66"/>
        <v>0</v>
      </c>
      <c r="HR74" s="279">
        <f t="shared" si="66"/>
        <v>0</v>
      </c>
      <c r="HS74" s="279">
        <f t="shared" si="67"/>
        <v>0</v>
      </c>
    </row>
    <row r="75" spans="1:227" x14ac:dyDescent="0.25">
      <c r="A75" s="235">
        <v>66</v>
      </c>
      <c r="B75" s="273" t="s">
        <v>265</v>
      </c>
      <c r="C75" s="274"/>
      <c r="D75" s="275">
        <v>0</v>
      </c>
      <c r="E75" s="275">
        <v>0</v>
      </c>
      <c r="F75" s="275">
        <f t="shared" si="3"/>
        <v>0</v>
      </c>
      <c r="G75" s="275"/>
      <c r="H75" s="275">
        <v>0</v>
      </c>
      <c r="I75" s="295">
        <v>0</v>
      </c>
      <c r="J75" s="275">
        <f t="shared" si="4"/>
        <v>0</v>
      </c>
      <c r="K75" s="275"/>
      <c r="L75" s="275">
        <v>0</v>
      </c>
      <c r="M75" s="275">
        <v>0</v>
      </c>
      <c r="N75" s="275">
        <f>L75-M75</f>
        <v>0</v>
      </c>
      <c r="O75" s="275"/>
      <c r="P75" s="275">
        <v>0</v>
      </c>
      <c r="Q75" s="275">
        <v>0</v>
      </c>
      <c r="R75" s="275">
        <f>P75-Q75</f>
        <v>0</v>
      </c>
      <c r="S75" s="275"/>
      <c r="T75" s="275">
        <v>0</v>
      </c>
      <c r="U75" s="275">
        <v>0</v>
      </c>
      <c r="V75" s="275">
        <f t="shared" si="7"/>
        <v>0</v>
      </c>
      <c r="W75" s="275"/>
      <c r="X75" s="275">
        <v>0</v>
      </c>
      <c r="Y75" s="275">
        <v>0</v>
      </c>
      <c r="Z75" s="275">
        <f t="shared" si="8"/>
        <v>0</v>
      </c>
      <c r="AA75" s="275"/>
      <c r="AB75" s="275">
        <v>0</v>
      </c>
      <c r="AC75" s="275">
        <v>0</v>
      </c>
      <c r="AD75" s="275">
        <f t="shared" si="9"/>
        <v>0</v>
      </c>
      <c r="AE75" s="275"/>
      <c r="AF75" s="275">
        <f>'[1]POLY commited funds to date'!K71</f>
        <v>0</v>
      </c>
      <c r="AG75" s="275">
        <v>0</v>
      </c>
      <c r="AH75" s="275">
        <f t="shared" si="10"/>
        <v>0</v>
      </c>
      <c r="AI75" s="275"/>
      <c r="AJ75" s="275">
        <v>10000000</v>
      </c>
      <c r="AK75" s="275">
        <v>10000000</v>
      </c>
      <c r="AL75" s="275">
        <f t="shared" si="11"/>
        <v>0</v>
      </c>
      <c r="AM75" s="275"/>
      <c r="AN75" s="275">
        <v>0</v>
      </c>
      <c r="AO75" s="275">
        <v>0</v>
      </c>
      <c r="AP75" s="275">
        <f t="shared" si="12"/>
        <v>0</v>
      </c>
      <c r="AQ75" s="275"/>
      <c r="AR75" s="275">
        <v>10000000</v>
      </c>
      <c r="AS75" s="275">
        <v>10000000</v>
      </c>
      <c r="AT75" s="275">
        <f t="shared" si="13"/>
        <v>0</v>
      </c>
      <c r="AU75" s="275"/>
      <c r="AV75" s="275">
        <v>0</v>
      </c>
      <c r="AW75" s="275">
        <v>0</v>
      </c>
      <c r="AX75" s="275">
        <f t="shared" si="14"/>
        <v>0</v>
      </c>
      <c r="AY75" s="275"/>
      <c r="AZ75" s="275">
        <v>0</v>
      </c>
      <c r="BA75" s="275">
        <v>0</v>
      </c>
      <c r="BB75" s="275">
        <f t="shared" si="15"/>
        <v>0</v>
      </c>
      <c r="BC75" s="275"/>
      <c r="BD75" s="275">
        <v>0</v>
      </c>
      <c r="BE75" s="275">
        <v>0</v>
      </c>
      <c r="BF75" s="275">
        <f t="shared" si="16"/>
        <v>0</v>
      </c>
      <c r="BG75" s="275"/>
      <c r="BH75" s="275">
        <f>'[1]POLY commited funds to date'!S71</f>
        <v>0</v>
      </c>
      <c r="BI75" s="275">
        <f>'[1]POLY commited funds to date'!T71</f>
        <v>0</v>
      </c>
      <c r="BJ75" s="275">
        <f t="shared" si="17"/>
        <v>0</v>
      </c>
      <c r="BK75" s="275"/>
      <c r="BL75" s="275">
        <v>0</v>
      </c>
      <c r="BM75" s="275">
        <v>0</v>
      </c>
      <c r="BN75" s="269">
        <f t="shared" si="18"/>
        <v>0</v>
      </c>
      <c r="BO75" s="275"/>
      <c r="BP75" s="275">
        <f>'[1]POLY commited funds to date'!U71</f>
        <v>0</v>
      </c>
      <c r="BQ75" s="275">
        <f>'[1]POLY commited funds to date'!V71</f>
        <v>0</v>
      </c>
      <c r="BR75" s="275">
        <f t="shared" si="19"/>
        <v>0</v>
      </c>
      <c r="BS75" s="275"/>
      <c r="BT75" s="275">
        <f>'[1]POLY commited funds to date'!V71</f>
        <v>0</v>
      </c>
      <c r="BU75" s="275">
        <f>'[1]POLY commited funds to date'!W71</f>
        <v>0</v>
      </c>
      <c r="BV75" s="275">
        <f t="shared" si="20"/>
        <v>0</v>
      </c>
      <c r="BW75" s="275"/>
      <c r="BX75" s="275">
        <f>'[1]POLY commited funds to date'!W71</f>
        <v>0</v>
      </c>
      <c r="BY75" s="275">
        <f>'[1]POLY commited funds to date'!X71</f>
        <v>0</v>
      </c>
      <c r="BZ75" s="275">
        <f t="shared" si="21"/>
        <v>0</v>
      </c>
      <c r="CA75" s="275"/>
      <c r="CB75" s="275">
        <f>'[1]POLY commited funds to date'!X71</f>
        <v>0</v>
      </c>
      <c r="CC75" s="275">
        <f>'[1]POLY commited funds to date'!Y71</f>
        <v>0</v>
      </c>
      <c r="CD75" s="275">
        <f t="shared" si="22"/>
        <v>0</v>
      </c>
      <c r="CE75" s="275"/>
      <c r="CF75" s="275">
        <f>'[1]POLY commited funds to date'!Y71</f>
        <v>0</v>
      </c>
      <c r="CG75" s="275">
        <f>'[1]POLY commited funds to date'!Z71</f>
        <v>0</v>
      </c>
      <c r="CH75" s="275">
        <f t="shared" si="23"/>
        <v>0</v>
      </c>
      <c r="CI75" s="275"/>
      <c r="CK75" s="275">
        <f>'[1]POLY commited funds to date'!AA71</f>
        <v>0</v>
      </c>
      <c r="CL75" s="275">
        <f t="shared" si="24"/>
        <v>0</v>
      </c>
      <c r="CM75" s="275"/>
      <c r="CN75" s="275">
        <f>'[1]POLY commited funds to date'!AA71</f>
        <v>0</v>
      </c>
      <c r="CO75" s="275">
        <f>'[1]POLY commited funds to date'!AB71</f>
        <v>0</v>
      </c>
      <c r="CP75" s="275">
        <f t="shared" si="25"/>
        <v>0</v>
      </c>
      <c r="CQ75" s="275"/>
      <c r="CR75" s="275">
        <v>0</v>
      </c>
      <c r="CS75" s="275">
        <v>0</v>
      </c>
      <c r="CT75" s="275">
        <f t="shared" si="26"/>
        <v>0</v>
      </c>
      <c r="CU75" s="275"/>
      <c r="CV75" s="275">
        <f>'[1]POLY commited funds to date'!AC71</f>
        <v>0</v>
      </c>
      <c r="CW75" s="275">
        <f>'[1]POLY commited funds to date'!AD71</f>
        <v>0</v>
      </c>
      <c r="CX75" s="275">
        <f t="shared" si="27"/>
        <v>0</v>
      </c>
      <c r="CY75" s="275"/>
      <c r="CZ75" s="275">
        <f>'[1]POLY commited funds to date'!AD71</f>
        <v>0</v>
      </c>
      <c r="DA75" s="275">
        <f>'[1]POLY commited funds to date'!AE71</f>
        <v>0</v>
      </c>
      <c r="DB75" s="275">
        <f t="shared" si="28"/>
        <v>0</v>
      </c>
      <c r="DC75" s="275"/>
      <c r="DD75" s="275">
        <v>0</v>
      </c>
      <c r="DE75" s="275">
        <f>'[1]POLY DISB 2019'!AD78</f>
        <v>0</v>
      </c>
      <c r="DF75" s="275">
        <f>DD75-DE75</f>
        <v>0</v>
      </c>
      <c r="DG75" s="293"/>
      <c r="DH75" s="275">
        <v>0</v>
      </c>
      <c r="DI75" s="275">
        <v>0</v>
      </c>
      <c r="DJ75" s="275">
        <f t="shared" si="30"/>
        <v>0</v>
      </c>
      <c r="DK75" s="294"/>
      <c r="DL75" s="275">
        <v>0</v>
      </c>
      <c r="DM75" s="275">
        <v>0</v>
      </c>
      <c r="DN75" s="275">
        <f t="shared" si="31"/>
        <v>0</v>
      </c>
      <c r="DO75" s="275"/>
      <c r="DP75" s="275">
        <v>0</v>
      </c>
      <c r="DQ75" s="275">
        <v>0</v>
      </c>
      <c r="DR75" s="275">
        <f t="shared" si="32"/>
        <v>0</v>
      </c>
      <c r="DS75" s="275"/>
      <c r="DT75" s="275">
        <v>0</v>
      </c>
      <c r="DU75" s="275">
        <v>0</v>
      </c>
      <c r="DV75" s="275">
        <f t="shared" si="33"/>
        <v>0</v>
      </c>
      <c r="DW75" s="275"/>
      <c r="DX75" s="275">
        <f>'[1]poly  com. adj for fmis'!AI74</f>
        <v>0</v>
      </c>
      <c r="DY75" s="275">
        <f>'[1]POLY DISB 2019'!AI80</f>
        <v>0</v>
      </c>
      <c r="DZ75" s="275">
        <f t="shared" si="34"/>
        <v>0</v>
      </c>
      <c r="EA75" s="275"/>
      <c r="EB75" s="275">
        <f>'[1]POLY commited funds to date'!AK73</f>
        <v>0</v>
      </c>
      <c r="EC75" s="275">
        <f>'[1]POLY DISB 2019'!AJ80</f>
        <v>0</v>
      </c>
      <c r="ED75" s="275">
        <f t="shared" si="35"/>
        <v>0</v>
      </c>
      <c r="EE75" s="275"/>
      <c r="EF75" s="275">
        <f>'[1]POLY commited funds to date'!AL73</f>
        <v>0</v>
      </c>
      <c r="EG75" s="275">
        <f>'[1]POLY DISB 2019'!AK80</f>
        <v>0</v>
      </c>
      <c r="EH75" s="275">
        <f t="shared" si="36"/>
        <v>0</v>
      </c>
      <c r="EI75" s="275"/>
      <c r="EJ75" s="275">
        <f>'[1]POLY commited funds to date'!AM73</f>
        <v>0</v>
      </c>
      <c r="EK75" s="275">
        <f>'[1]POLY DISB 2019'!AL80</f>
        <v>0</v>
      </c>
      <c r="EL75" s="275">
        <f t="shared" si="37"/>
        <v>0</v>
      </c>
      <c r="EM75" s="275"/>
      <c r="EN75" s="275">
        <f>'[1]POLY commited funds to date'!AN73</f>
        <v>0</v>
      </c>
      <c r="EO75" s="275">
        <f>'[1]POLY DISB 2019'!AM80</f>
        <v>0</v>
      </c>
      <c r="EP75" s="275">
        <f t="shared" si="38"/>
        <v>0</v>
      </c>
      <c r="EQ75" s="275">
        <f>'[1]POLY commited funds to date'!AO73</f>
        <v>0</v>
      </c>
      <c r="ER75" s="275">
        <f>'[1]POLY DISB 2019'!AN78</f>
        <v>0</v>
      </c>
      <c r="ES75" s="275">
        <f t="shared" si="39"/>
        <v>0</v>
      </c>
      <c r="ET75" s="275"/>
      <c r="EU75" s="275">
        <f>'[1]POLY commited funds to date'!AP73</f>
        <v>0</v>
      </c>
      <c r="EV75" s="275">
        <v>0</v>
      </c>
      <c r="EW75" s="275">
        <f t="shared" si="70"/>
        <v>0</v>
      </c>
      <c r="EX75" s="275"/>
      <c r="EY75" s="275">
        <f>'[1]POLY commited funds to date'!AQ73</f>
        <v>0</v>
      </c>
      <c r="EZ75" s="275"/>
      <c r="FA75" s="275"/>
      <c r="FB75" s="275"/>
      <c r="FC75" s="275">
        <f>'[1]POLY commited funds to date'!AR73</f>
        <v>0</v>
      </c>
      <c r="FD75" s="275"/>
      <c r="FE75" s="275"/>
      <c r="FF75" s="275"/>
      <c r="FG75" s="275">
        <f>'[1]POLY commited funds to date'!AS73</f>
        <v>0</v>
      </c>
      <c r="FH75" s="275"/>
      <c r="FI75" s="275"/>
      <c r="FJ75" s="275"/>
      <c r="FK75" s="275">
        <f>'[1]POLY commited funds to date'!AT73</f>
        <v>0</v>
      </c>
      <c r="FL75" s="275"/>
      <c r="FM75" s="275"/>
      <c r="FN75" s="275"/>
      <c r="FO75" s="275"/>
      <c r="FP75" s="275"/>
      <c r="FQ75" s="275"/>
      <c r="FR75" s="275"/>
      <c r="FS75" s="275"/>
      <c r="FT75" s="275"/>
      <c r="FU75" s="275"/>
      <c r="FV75" s="275"/>
      <c r="FW75" s="275"/>
      <c r="FX75" s="275"/>
      <c r="FY75" s="275"/>
      <c r="FZ75" s="275"/>
      <c r="GA75" s="275"/>
      <c r="GB75" s="275"/>
      <c r="GC75" s="275"/>
      <c r="GD75" s="275"/>
      <c r="GE75" s="275"/>
      <c r="GF75" s="275"/>
      <c r="GG75" s="275">
        <f>'[1]POLY commited funds to date'!AZ73</f>
        <v>0</v>
      </c>
      <c r="GH75" s="275"/>
      <c r="GI75" s="275">
        <f t="shared" ref="GI75:GI76" si="74">GG75-GH75</f>
        <v>0</v>
      </c>
      <c r="GJ75" s="275"/>
      <c r="GK75" s="275">
        <f>D75+H75+L75+AB75+AF75+AJ75+AN75+AR75+AV75+AZ75+BD75+BH75+BL75+BP75+BX75+CB75+CF75+CJ75+CN75+CR75+BT75+CV75+CZ75+DD75+T75+P75+X75+DH75+DL75+DP75+DT75+DX75+EB75+EF75+EJ75+EN75+EQ75+EU75+EY75+FC75+FG75+FK75+FO75+FR75+FV75+FZ75+GC75</f>
        <v>20000000</v>
      </c>
      <c r="GL75" s="275">
        <f>E75+I75+M75+AC75+AG75+AK75+AO75+AS75+AW75+BA75+BE75+BI75+BM75+BQ75+BY75+CC75+CG75+CK75+CO75+CS75+BU75+CW75+DA75+DE75+U75+Q75+Y75+DI75+DM75+DQ75+DU75+DY75+EC75+EG75+EK75+EO75+ER75+EV75+EZ75+FD75+FH75+FL75+FP75+FS75+FW75+GA75+GD75</f>
        <v>20000000</v>
      </c>
      <c r="GM75" s="275">
        <f t="shared" ref="GM75" si="75">GK75-GL75</f>
        <v>0</v>
      </c>
      <c r="GN75" s="265"/>
      <c r="GO75" s="277">
        <f>D75+H75+L75+P75+T75+X75+AF75+AN75+AR75+AV75+AZ75+BH75+BP75+CB75+CN75+CV75+DH75+EB75+EU75+FO75</f>
        <v>10000000</v>
      </c>
      <c r="GP75" s="277">
        <f>E75+I75+M75+Q75+U75+Y75+AG75+AO75+AS75+AW75+BA75+BI75+BQ75+CC75+CO75+CW75+DI75+EC75+EV75+FP75</f>
        <v>10000000</v>
      </c>
      <c r="GQ75" s="277">
        <f t="shared" ref="GQ75" si="76">GO75-GP75</f>
        <v>0</v>
      </c>
      <c r="GR75" s="277">
        <f t="shared" si="71"/>
        <v>10000000</v>
      </c>
      <c r="GS75" s="277">
        <f t="shared" si="71"/>
        <v>10000000</v>
      </c>
      <c r="GT75" s="277">
        <f t="shared" si="55"/>
        <v>0</v>
      </c>
      <c r="GU75" s="277"/>
      <c r="GV75" s="265"/>
      <c r="GW75" s="279">
        <f t="shared" si="68"/>
        <v>0</v>
      </c>
      <c r="GX75" s="279">
        <f t="shared" si="68"/>
        <v>0</v>
      </c>
      <c r="GY75" s="280">
        <f t="shared" si="73"/>
        <v>0</v>
      </c>
      <c r="GZ75" s="280"/>
      <c r="HA75" s="277">
        <f>BT75+CR75+CZ75+DT75+EJ75+FG75+FZ75</f>
        <v>0</v>
      </c>
      <c r="HB75" s="277">
        <f>BU75+CS75+DA75+DU75+EK75+FH75+GA75</f>
        <v>0</v>
      </c>
      <c r="HC75" s="277">
        <f t="shared" ref="HC75" si="77">HA75-HB75</f>
        <v>0</v>
      </c>
      <c r="HE75" s="277">
        <f>DL75+EF75+FC75+FV75</f>
        <v>0</v>
      </c>
      <c r="HF75" s="277">
        <f>DM75+EG75+FD75+FW75</f>
        <v>0</v>
      </c>
      <c r="HG75" s="277">
        <f t="shared" ref="HG75" si="78">HE75-HF75</f>
        <v>0</v>
      </c>
      <c r="HI75" s="279">
        <f>EQ75+EY75+FR75</f>
        <v>0</v>
      </c>
      <c r="HJ75" s="279">
        <f>ER75+EZ75+FS75</f>
        <v>0</v>
      </c>
      <c r="HK75" s="279">
        <f t="shared" ref="HK75" si="79">HI75-HJ75</f>
        <v>0</v>
      </c>
      <c r="HM75" s="279">
        <f t="shared" si="72"/>
        <v>0</v>
      </c>
      <c r="HN75" s="279">
        <f t="shared" si="72"/>
        <v>0</v>
      </c>
      <c r="HO75" s="279">
        <f t="shared" si="65"/>
        <v>0</v>
      </c>
      <c r="HQ75" s="279">
        <f t="shared" ref="HQ75:HR75" si="80">EN75+FK75+GC75</f>
        <v>0</v>
      </c>
      <c r="HR75" s="279">
        <f t="shared" si="80"/>
        <v>0</v>
      </c>
      <c r="HS75" s="279">
        <f t="shared" ref="HS75" si="81">HQ75-HR75</f>
        <v>0</v>
      </c>
    </row>
    <row r="76" spans="1:227" x14ac:dyDescent="0.25">
      <c r="A76" s="235"/>
      <c r="B76" s="273"/>
      <c r="C76" s="273"/>
      <c r="D76" s="275">
        <f t="shared" ref="D76:BO76" si="82">SUM(D9:D75)</f>
        <v>1087202712.8</v>
      </c>
      <c r="E76" s="275">
        <f t="shared" si="82"/>
        <v>1087212712.8</v>
      </c>
      <c r="F76" s="275">
        <f t="shared" si="82"/>
        <v>-10000</v>
      </c>
      <c r="G76" s="275">
        <f t="shared" si="82"/>
        <v>0</v>
      </c>
      <c r="H76" s="275">
        <f t="shared" si="82"/>
        <v>450000000</v>
      </c>
      <c r="I76" s="275">
        <f t="shared" si="82"/>
        <v>450000000</v>
      </c>
      <c r="J76" s="275">
        <f t="shared" si="82"/>
        <v>0</v>
      </c>
      <c r="K76" s="275">
        <f t="shared" si="82"/>
        <v>0</v>
      </c>
      <c r="L76" s="275">
        <f t="shared" si="82"/>
        <v>890000000</v>
      </c>
      <c r="M76" s="275">
        <f t="shared" si="82"/>
        <v>890000000</v>
      </c>
      <c r="N76" s="275">
        <f t="shared" si="82"/>
        <v>0</v>
      </c>
      <c r="O76" s="275">
        <f t="shared" si="82"/>
        <v>0</v>
      </c>
      <c r="P76" s="275">
        <f t="shared" si="82"/>
        <v>1124257892.6599998</v>
      </c>
      <c r="Q76" s="275">
        <f t="shared" si="82"/>
        <v>1124365258.9899998</v>
      </c>
      <c r="R76" s="275">
        <f t="shared" si="82"/>
        <v>-107366.32999999821</v>
      </c>
      <c r="S76" s="275">
        <f t="shared" si="82"/>
        <v>0</v>
      </c>
      <c r="T76" s="275">
        <f t="shared" si="82"/>
        <v>550200000</v>
      </c>
      <c r="U76" s="275">
        <f t="shared" si="82"/>
        <v>550199999.46000004</v>
      </c>
      <c r="V76" s="275">
        <f t="shared" si="82"/>
        <v>0.54000000096857548</v>
      </c>
      <c r="W76" s="275">
        <f t="shared" si="82"/>
        <v>0</v>
      </c>
      <c r="X76" s="275">
        <f t="shared" si="82"/>
        <v>574200000</v>
      </c>
      <c r="Y76" s="275">
        <f t="shared" si="82"/>
        <v>574200000</v>
      </c>
      <c r="Z76" s="275">
        <f t="shared" si="82"/>
        <v>0</v>
      </c>
      <c r="AA76" s="275">
        <f t="shared" si="82"/>
        <v>0</v>
      </c>
      <c r="AB76" s="275">
        <f t="shared" si="82"/>
        <v>55000000</v>
      </c>
      <c r="AC76" s="275">
        <f t="shared" si="82"/>
        <v>55000000</v>
      </c>
      <c r="AD76" s="275">
        <f t="shared" si="82"/>
        <v>0</v>
      </c>
      <c r="AE76" s="275">
        <f t="shared" si="82"/>
        <v>0</v>
      </c>
      <c r="AF76" s="275">
        <f t="shared" si="82"/>
        <v>972200000</v>
      </c>
      <c r="AG76" s="275">
        <f t="shared" si="82"/>
        <v>972349002.50999999</v>
      </c>
      <c r="AH76" s="275">
        <f t="shared" si="82"/>
        <v>-149002.51000000164</v>
      </c>
      <c r="AI76" s="275">
        <f t="shared" si="82"/>
        <v>0</v>
      </c>
      <c r="AJ76" s="275">
        <f t="shared" si="82"/>
        <v>502000000</v>
      </c>
      <c r="AK76" s="275">
        <f t="shared" si="82"/>
        <v>502000000</v>
      </c>
      <c r="AL76" s="275">
        <f t="shared" si="82"/>
        <v>0</v>
      </c>
      <c r="AM76" s="275">
        <f t="shared" si="82"/>
        <v>0</v>
      </c>
      <c r="AN76" s="275">
        <f t="shared" si="82"/>
        <v>1014000000</v>
      </c>
      <c r="AO76" s="275">
        <f t="shared" si="82"/>
        <v>1014000000</v>
      </c>
      <c r="AP76" s="275">
        <f t="shared" si="82"/>
        <v>0</v>
      </c>
      <c r="AQ76" s="275">
        <f t="shared" si="82"/>
        <v>0</v>
      </c>
      <c r="AR76" s="275">
        <f t="shared" si="82"/>
        <v>1310000000</v>
      </c>
      <c r="AS76" s="275">
        <f t="shared" si="82"/>
        <v>1312803802.8200002</v>
      </c>
      <c r="AT76" s="275">
        <f t="shared" si="82"/>
        <v>-2803802.8200000003</v>
      </c>
      <c r="AU76" s="275">
        <f t="shared" si="82"/>
        <v>0</v>
      </c>
      <c r="AV76" s="275">
        <f t="shared" si="82"/>
        <v>2157150000</v>
      </c>
      <c r="AW76" s="275">
        <f t="shared" si="82"/>
        <v>2159096197.1800003</v>
      </c>
      <c r="AX76" s="275">
        <f t="shared" si="82"/>
        <v>-1946197.1799999997</v>
      </c>
      <c r="AY76" s="275">
        <f t="shared" si="82"/>
        <v>0</v>
      </c>
      <c r="AZ76" s="275">
        <f t="shared" si="82"/>
        <v>1861367000</v>
      </c>
      <c r="BA76" s="275">
        <f t="shared" si="82"/>
        <v>1861367000.0439744</v>
      </c>
      <c r="BB76" s="275">
        <f t="shared" si="82"/>
        <v>-4.3974503874778748E-2</v>
      </c>
      <c r="BC76" s="275">
        <f t="shared" si="82"/>
        <v>0</v>
      </c>
      <c r="BD76" s="275">
        <f t="shared" si="82"/>
        <v>698157337.63</v>
      </c>
      <c r="BE76" s="275">
        <f t="shared" si="82"/>
        <v>698157337.63</v>
      </c>
      <c r="BF76" s="275">
        <f t="shared" si="82"/>
        <v>0</v>
      </c>
      <c r="BG76" s="275">
        <f t="shared" si="82"/>
        <v>0</v>
      </c>
      <c r="BH76" s="275">
        <f t="shared" si="82"/>
        <v>5828775000</v>
      </c>
      <c r="BI76" s="275">
        <f t="shared" si="82"/>
        <v>5828774999.9560261</v>
      </c>
      <c r="BJ76" s="275">
        <f t="shared" si="82"/>
        <v>4.3974399566650391E-2</v>
      </c>
      <c r="BK76" s="275">
        <f t="shared" si="82"/>
        <v>0</v>
      </c>
      <c r="BL76" s="275">
        <f t="shared" si="82"/>
        <v>7073750000</v>
      </c>
      <c r="BM76" s="275">
        <f t="shared" si="82"/>
        <v>7096750000</v>
      </c>
      <c r="BN76" s="275">
        <f t="shared" si="82"/>
        <v>-23000000</v>
      </c>
      <c r="BO76" s="275">
        <f t="shared" si="82"/>
        <v>0</v>
      </c>
      <c r="BP76" s="275">
        <f t="shared" ref="BP76:EA76" si="83">SUM(BP9:BP75)</f>
        <v>8495000000</v>
      </c>
      <c r="BQ76" s="275">
        <f t="shared" si="83"/>
        <v>8196488171.5511494</v>
      </c>
      <c r="BR76" s="275">
        <f t="shared" si="83"/>
        <v>298511828.44885087</v>
      </c>
      <c r="BS76" s="275">
        <f t="shared" si="83"/>
        <v>0</v>
      </c>
      <c r="BT76" s="275">
        <f t="shared" si="83"/>
        <v>500000000</v>
      </c>
      <c r="BU76" s="275">
        <f t="shared" si="83"/>
        <v>299600000</v>
      </c>
      <c r="BV76" s="275">
        <f t="shared" si="83"/>
        <v>200400000</v>
      </c>
      <c r="BW76" s="275">
        <f t="shared" si="83"/>
        <v>0</v>
      </c>
      <c r="BX76" s="275">
        <f t="shared" si="83"/>
        <v>5487000000</v>
      </c>
      <c r="BY76" s="275">
        <f t="shared" si="83"/>
        <v>5339500000</v>
      </c>
      <c r="BZ76" s="275">
        <f t="shared" si="83"/>
        <v>147500000</v>
      </c>
      <c r="CA76" s="275">
        <f t="shared" si="83"/>
        <v>0</v>
      </c>
      <c r="CB76" s="275">
        <f t="shared" si="83"/>
        <v>10500000000</v>
      </c>
      <c r="CC76" s="275">
        <f t="shared" si="83"/>
        <v>10100775256.187992</v>
      </c>
      <c r="CD76" s="275">
        <f t="shared" si="83"/>
        <v>399224743.81200707</v>
      </c>
      <c r="CE76" s="275">
        <f t="shared" si="83"/>
        <v>0</v>
      </c>
      <c r="CF76" s="275">
        <f t="shared" si="83"/>
        <v>6837000000</v>
      </c>
      <c r="CG76" s="275">
        <f t="shared" si="83"/>
        <v>6379400000</v>
      </c>
      <c r="CH76" s="275">
        <f t="shared" si="83"/>
        <v>457600000</v>
      </c>
      <c r="CI76" s="275">
        <f t="shared" si="83"/>
        <v>0</v>
      </c>
      <c r="CJ76" s="275">
        <f t="shared" si="83"/>
        <v>3862000000</v>
      </c>
      <c r="CK76" s="275">
        <f t="shared" si="83"/>
        <v>3762700000</v>
      </c>
      <c r="CL76" s="275">
        <f t="shared" si="83"/>
        <v>99300000</v>
      </c>
      <c r="CM76" s="275">
        <f t="shared" si="83"/>
        <v>0</v>
      </c>
      <c r="CN76" s="275">
        <f t="shared" si="83"/>
        <v>12150000000</v>
      </c>
      <c r="CO76" s="275">
        <f t="shared" si="83"/>
        <v>11226339939.299797</v>
      </c>
      <c r="CP76" s="275">
        <f t="shared" si="83"/>
        <v>923660060.70020306</v>
      </c>
      <c r="CQ76" s="275">
        <f t="shared" si="83"/>
        <v>0</v>
      </c>
      <c r="CR76" s="275">
        <f t="shared" si="83"/>
        <v>500000000</v>
      </c>
      <c r="CS76" s="275">
        <f t="shared" si="83"/>
        <v>336600000</v>
      </c>
      <c r="CT76" s="275">
        <f t="shared" si="83"/>
        <v>163400000</v>
      </c>
      <c r="CU76" s="275">
        <f t="shared" si="83"/>
        <v>0</v>
      </c>
      <c r="CV76" s="275">
        <f t="shared" si="83"/>
        <v>19550000000</v>
      </c>
      <c r="CW76" s="275">
        <f t="shared" si="83"/>
        <v>16990690444.611061</v>
      </c>
      <c r="CX76" s="275">
        <f t="shared" si="83"/>
        <v>2354257367.038938</v>
      </c>
      <c r="CY76" s="275">
        <f t="shared" si="83"/>
        <v>0</v>
      </c>
      <c r="CZ76" s="275">
        <f t="shared" si="83"/>
        <v>1000000000</v>
      </c>
      <c r="DA76" s="275">
        <f t="shared" si="83"/>
        <v>535000000</v>
      </c>
      <c r="DB76" s="275">
        <f t="shared" si="83"/>
        <v>465000000</v>
      </c>
      <c r="DC76" s="275">
        <f t="shared" si="83"/>
        <v>0</v>
      </c>
      <c r="DD76" s="275">
        <f t="shared" si="83"/>
        <v>11337000000</v>
      </c>
      <c r="DE76" s="275">
        <f t="shared" si="83"/>
        <v>11137934708.1</v>
      </c>
      <c r="DF76" s="275">
        <f t="shared" si="83"/>
        <v>199065291.90000001</v>
      </c>
      <c r="DG76" s="275">
        <f t="shared" si="83"/>
        <v>0</v>
      </c>
      <c r="DH76" s="275">
        <f t="shared" si="83"/>
        <v>4000000000</v>
      </c>
      <c r="DI76" s="275">
        <f t="shared" si="83"/>
        <v>2449757225.0900002</v>
      </c>
      <c r="DJ76" s="275">
        <f t="shared" si="83"/>
        <v>1550242774.9099998</v>
      </c>
      <c r="DK76" s="275">
        <f t="shared" si="83"/>
        <v>0</v>
      </c>
      <c r="DL76" s="275">
        <f t="shared" si="83"/>
        <v>400000000</v>
      </c>
      <c r="DM76" s="275">
        <f t="shared" si="83"/>
        <v>185040000</v>
      </c>
      <c r="DN76" s="275">
        <f t="shared" si="83"/>
        <v>214960000</v>
      </c>
      <c r="DO76" s="275">
        <f t="shared" si="83"/>
        <v>0</v>
      </c>
      <c r="DP76" s="275">
        <f t="shared" si="83"/>
        <v>100000000</v>
      </c>
      <c r="DQ76" s="275">
        <f t="shared" si="83"/>
        <v>28100000</v>
      </c>
      <c r="DR76" s="275">
        <f t="shared" si="83"/>
        <v>71900000</v>
      </c>
      <c r="DS76" s="275">
        <f t="shared" si="83"/>
        <v>0</v>
      </c>
      <c r="DT76" s="275">
        <f t="shared" si="83"/>
        <v>500000000</v>
      </c>
      <c r="DU76" s="275">
        <f t="shared" si="83"/>
        <v>185000000</v>
      </c>
      <c r="DV76" s="275">
        <f t="shared" si="83"/>
        <v>315000000</v>
      </c>
      <c r="DW76" s="275">
        <f t="shared" si="83"/>
        <v>0</v>
      </c>
      <c r="DX76" s="275">
        <f t="shared" si="83"/>
        <v>60105000000</v>
      </c>
      <c r="DY76" s="275">
        <f t="shared" si="83"/>
        <v>56609000000</v>
      </c>
      <c r="DZ76" s="275">
        <f t="shared" si="83"/>
        <v>3496000000</v>
      </c>
      <c r="EA76" s="275">
        <f t="shared" si="83"/>
        <v>0</v>
      </c>
      <c r="EB76" s="275">
        <f t="shared" ref="EB76:GE76" si="84">SUM(EB9:EB75)</f>
        <v>21173496000</v>
      </c>
      <c r="EC76" s="275">
        <f t="shared" si="84"/>
        <v>10960333981.279999</v>
      </c>
      <c r="ED76" s="275">
        <f t="shared" si="84"/>
        <v>10213162018.720001</v>
      </c>
      <c r="EE76" s="275">
        <f t="shared" si="84"/>
        <v>0</v>
      </c>
      <c r="EF76" s="275">
        <f t="shared" si="84"/>
        <v>432000000</v>
      </c>
      <c r="EG76" s="275">
        <f t="shared" si="84"/>
        <v>175040000</v>
      </c>
      <c r="EH76" s="275">
        <f t="shared" si="84"/>
        <v>256960000</v>
      </c>
      <c r="EI76" s="275">
        <f t="shared" si="84"/>
        <v>0</v>
      </c>
      <c r="EJ76" s="275">
        <f t="shared" si="84"/>
        <v>540000000</v>
      </c>
      <c r="EK76" s="275">
        <f t="shared" si="84"/>
        <v>108000000</v>
      </c>
      <c r="EL76" s="275">
        <f t="shared" si="84"/>
        <v>432000000</v>
      </c>
      <c r="EM76" s="275">
        <f t="shared" si="84"/>
        <v>0</v>
      </c>
      <c r="EN76" s="275">
        <f t="shared" si="84"/>
        <v>540000000</v>
      </c>
      <c r="EO76" s="275">
        <f t="shared" si="84"/>
        <v>0</v>
      </c>
      <c r="EP76" s="275">
        <f t="shared" si="84"/>
        <v>540000000</v>
      </c>
      <c r="EQ76" s="275">
        <f t="shared" si="84"/>
        <v>2700000000</v>
      </c>
      <c r="ER76" s="275">
        <f t="shared" si="84"/>
        <v>2181000000</v>
      </c>
      <c r="ES76" s="275">
        <f t="shared" si="84"/>
        <v>519000000</v>
      </c>
      <c r="ET76" s="275">
        <f t="shared" si="84"/>
        <v>0</v>
      </c>
      <c r="EU76" s="275">
        <f t="shared" si="84"/>
        <v>10865000000</v>
      </c>
      <c r="EV76" s="275">
        <f t="shared" si="84"/>
        <v>131200000</v>
      </c>
      <c r="EW76" s="275">
        <f t="shared" si="84"/>
        <v>10733800000</v>
      </c>
      <c r="EX76" s="275">
        <f t="shared" si="84"/>
        <v>0</v>
      </c>
      <c r="EY76" s="275">
        <f t="shared" si="84"/>
        <v>4350000000</v>
      </c>
      <c r="EZ76" s="275">
        <f t="shared" si="84"/>
        <v>3276500000</v>
      </c>
      <c r="FA76" s="275">
        <f t="shared" si="84"/>
        <v>1073500000</v>
      </c>
      <c r="FB76" s="275">
        <f t="shared" si="84"/>
        <v>0</v>
      </c>
      <c r="FC76" s="275">
        <f t="shared" si="84"/>
        <v>371000000</v>
      </c>
      <c r="FD76" s="275">
        <f t="shared" si="84"/>
        <v>0</v>
      </c>
      <c r="FE76" s="275">
        <f t="shared" si="84"/>
        <v>371000000</v>
      </c>
      <c r="FF76" s="275">
        <f t="shared" si="84"/>
        <v>0</v>
      </c>
      <c r="FG76" s="275">
        <f t="shared" si="84"/>
        <v>333900000</v>
      </c>
      <c r="FH76" s="275">
        <f t="shared" si="84"/>
        <v>10710000</v>
      </c>
      <c r="FI76" s="275">
        <f t="shared" si="84"/>
        <v>323190000</v>
      </c>
      <c r="FJ76" s="275">
        <f t="shared" si="84"/>
        <v>0</v>
      </c>
      <c r="FK76" s="275">
        <f t="shared" si="84"/>
        <v>397500000</v>
      </c>
      <c r="FL76" s="275">
        <f t="shared" si="84"/>
        <v>0</v>
      </c>
      <c r="FM76" s="275">
        <f t="shared" si="84"/>
        <v>397500000</v>
      </c>
      <c r="FN76" s="275">
        <f t="shared" si="84"/>
        <v>0</v>
      </c>
      <c r="FO76" s="275">
        <f t="shared" si="84"/>
        <v>13230000000</v>
      </c>
      <c r="FP76" s="275">
        <f t="shared" si="84"/>
        <v>365050000</v>
      </c>
      <c r="FQ76" s="275">
        <f t="shared" si="84"/>
        <v>12864950000</v>
      </c>
      <c r="FR76" s="275">
        <f t="shared" si="84"/>
        <v>6787252314</v>
      </c>
      <c r="FS76" s="275">
        <f t="shared" si="84"/>
        <v>0</v>
      </c>
      <c r="FT76" s="275">
        <f t="shared" si="84"/>
        <v>6787252314</v>
      </c>
      <c r="FU76" s="275">
        <f t="shared" si="84"/>
        <v>0</v>
      </c>
      <c r="FV76" s="275">
        <f t="shared" si="84"/>
        <v>702000000</v>
      </c>
      <c r="FW76" s="275">
        <f t="shared" si="84"/>
        <v>0</v>
      </c>
      <c r="FX76" s="275">
        <f t="shared" si="84"/>
        <v>702000000</v>
      </c>
      <c r="FY76" s="275">
        <f t="shared" si="84"/>
        <v>0</v>
      </c>
      <c r="FZ76" s="275">
        <f t="shared" si="84"/>
        <v>465960600</v>
      </c>
      <c r="GA76" s="275">
        <f t="shared" si="84"/>
        <v>14669130</v>
      </c>
      <c r="GB76" s="275">
        <f t="shared" si="84"/>
        <v>451291470</v>
      </c>
      <c r="GC76" s="275">
        <f t="shared" si="84"/>
        <v>270000000</v>
      </c>
      <c r="GD76" s="275">
        <f t="shared" si="84"/>
        <v>0</v>
      </c>
      <c r="GE76" s="275">
        <f t="shared" si="84"/>
        <v>270000000</v>
      </c>
      <c r="GF76" s="275"/>
      <c r="GG76" s="275">
        <f>SUM(GG9:GG75)</f>
        <v>60087813.5</v>
      </c>
      <c r="GH76" s="275">
        <f>SUM(GH9:GH75)</f>
        <v>40258835.049999997</v>
      </c>
      <c r="GI76" s="275">
        <f t="shared" si="74"/>
        <v>19828978.450000003</v>
      </c>
      <c r="GJ76" s="275"/>
      <c r="GK76" s="275">
        <f>SUM(GK9:GK75)</f>
        <v>234629368857.09</v>
      </c>
      <c r="GL76" s="275">
        <f>SUM(GL9:GL75)</f>
        <v>177160705167.50998</v>
      </c>
      <c r="GM76" s="275">
        <f>GK76-GL76</f>
        <v>57468663689.580017</v>
      </c>
      <c r="GN76" s="265"/>
      <c r="GO76" s="277">
        <f>SUM(GO9:GO75)</f>
        <v>117782848605.45999</v>
      </c>
      <c r="GP76" s="277">
        <f>SUM(GP9:GP75)</f>
        <v>78245003991.779999</v>
      </c>
      <c r="GQ76" s="277">
        <f>GO76-GP76</f>
        <v>39537844613.679993</v>
      </c>
      <c r="GR76" s="277">
        <f t="shared" si="71"/>
        <v>502000000</v>
      </c>
      <c r="GS76" s="277">
        <f t="shared" si="71"/>
        <v>502000000</v>
      </c>
      <c r="GT76" s="277"/>
      <c r="GU76" s="277"/>
      <c r="GV76" s="265"/>
      <c r="GW76" s="279">
        <f>SUM(GW9:GW75)</f>
        <v>95454907337.630005</v>
      </c>
      <c r="GX76" s="279">
        <f>SUM(GX9:GX75)</f>
        <v>91078442045.730011</v>
      </c>
      <c r="GY76" s="280">
        <f>GW76-GX76</f>
        <v>4376465291.8999939</v>
      </c>
      <c r="GZ76" s="280"/>
      <c r="HA76" s="277">
        <f>SUM(HA9:HA75)</f>
        <v>3839860600</v>
      </c>
      <c r="HB76" s="277">
        <f>SUM(HB9:HB75)</f>
        <v>1489579130</v>
      </c>
      <c r="HC76" s="277">
        <f>HA76-HB76</f>
        <v>2350281470</v>
      </c>
      <c r="HE76" s="277">
        <f>SUM(HE9:HE75)</f>
        <v>1905000000</v>
      </c>
      <c r="HF76" s="277">
        <f>SUM(HF9:HF75)</f>
        <v>360080000</v>
      </c>
      <c r="HG76" s="277">
        <f>SUM(HG9:HG75)</f>
        <v>1544920000</v>
      </c>
      <c r="HI76" s="279">
        <f>SUM(HI9:HI75)</f>
        <v>13837252314</v>
      </c>
      <c r="HJ76" s="279">
        <f>SUM(HJ9:HJ75)</f>
        <v>5457500000</v>
      </c>
      <c r="HK76" s="279">
        <f>HI76-HJ76</f>
        <v>8379752314</v>
      </c>
      <c r="HM76" s="279">
        <f>SUM(HM9:HM75)</f>
        <v>100000000</v>
      </c>
      <c r="HN76" s="279">
        <f>SUM(HN9:HN75)</f>
        <v>28100000</v>
      </c>
      <c r="HO76" s="279">
        <f>HM76-HN76</f>
        <v>71900000</v>
      </c>
      <c r="HQ76" s="279">
        <f>SUM(HQ9:HQ75)</f>
        <v>1207500000</v>
      </c>
      <c r="HR76" s="279">
        <f>SUM(HR9:HR75)</f>
        <v>0</v>
      </c>
      <c r="HS76" s="279">
        <f>HQ76-HR76</f>
        <v>1207500000</v>
      </c>
    </row>
    <row r="77" spans="1:227" s="248" customFormat="1" x14ac:dyDescent="0.25">
      <c r="A77" s="230"/>
      <c r="B77" s="231" t="s">
        <v>52</v>
      </c>
      <c r="C77" s="231"/>
      <c r="D77" s="230">
        <v>1999</v>
      </c>
      <c r="E77" s="230"/>
      <c r="F77" s="230"/>
      <c r="G77" s="275"/>
      <c r="H77" s="230">
        <v>2000</v>
      </c>
      <c r="I77" s="230"/>
      <c r="J77" s="230"/>
      <c r="K77" s="275"/>
      <c r="L77" s="230">
        <v>2001</v>
      </c>
      <c r="M77" s="230"/>
      <c r="N77" s="230"/>
      <c r="O77" s="275"/>
      <c r="P77" s="230">
        <v>2002</v>
      </c>
      <c r="Q77" s="230"/>
      <c r="R77" s="230"/>
      <c r="S77" s="275"/>
      <c r="T77" s="230">
        <v>2003</v>
      </c>
      <c r="U77" s="230"/>
      <c r="V77" s="230"/>
      <c r="W77" s="230"/>
      <c r="X77" s="230">
        <v>2004</v>
      </c>
      <c r="Y77" s="230"/>
      <c r="Z77" s="230"/>
      <c r="AA77" s="230"/>
      <c r="AB77" s="230">
        <v>2004</v>
      </c>
      <c r="AC77" s="230"/>
      <c r="AD77" s="230"/>
      <c r="AE77" s="230"/>
      <c r="AF77" s="230">
        <v>2005</v>
      </c>
      <c r="AG77" s="230"/>
      <c r="AH77" s="230"/>
      <c r="AI77" s="275"/>
      <c r="AJ77" s="230">
        <v>2005</v>
      </c>
      <c r="AK77" s="230"/>
      <c r="AL77" s="230"/>
      <c r="AM77" s="230"/>
      <c r="AN77" s="230">
        <v>2006</v>
      </c>
      <c r="AO77" s="230"/>
      <c r="AP77" s="230"/>
      <c r="AQ77" s="230"/>
      <c r="AR77" s="230">
        <v>2007</v>
      </c>
      <c r="AS77" s="230"/>
      <c r="AT77" s="230"/>
      <c r="AU77" s="230"/>
      <c r="AV77" s="230">
        <v>2008</v>
      </c>
      <c r="AW77" s="230"/>
      <c r="AX77" s="230"/>
      <c r="AY77" s="230"/>
      <c r="AZ77" s="230"/>
      <c r="BA77" s="230"/>
      <c r="BB77" s="230"/>
      <c r="BC77" s="230"/>
      <c r="BD77" s="230"/>
      <c r="BE77" s="230"/>
      <c r="BF77" s="230"/>
      <c r="BG77" s="230"/>
      <c r="BH77" s="230"/>
      <c r="BI77" s="230"/>
      <c r="BJ77" s="230"/>
      <c r="BK77" s="230"/>
      <c r="BL77" s="230"/>
      <c r="BM77" s="230"/>
      <c r="BN77" s="230"/>
      <c r="BO77" s="273"/>
      <c r="BP77" s="230"/>
      <c r="BQ77" s="230"/>
      <c r="BR77" s="230"/>
      <c r="BS77" s="230"/>
      <c r="BT77" s="230"/>
      <c r="BU77" s="230"/>
      <c r="BV77" s="230"/>
      <c r="BW77" s="230"/>
      <c r="BX77" s="230"/>
      <c r="BY77" s="230"/>
      <c r="BZ77" s="230"/>
      <c r="CA77" s="230"/>
      <c r="CB77" s="230"/>
      <c r="CC77" s="296"/>
      <c r="CD77" s="296"/>
      <c r="CE77" s="296"/>
      <c r="CF77" s="297"/>
      <c r="CG77" s="297"/>
      <c r="CH77" s="297"/>
      <c r="CI77" s="297"/>
      <c r="CJ77" s="207"/>
      <c r="CK77" s="207"/>
      <c r="CL77" s="207"/>
      <c r="CM77" s="207"/>
      <c r="CN77" s="205">
        <v>3387000000</v>
      </c>
      <c r="CO77" s="207"/>
      <c r="CP77" s="207"/>
      <c r="CQ77" s="207"/>
      <c r="CR77" s="207"/>
      <c r="CS77" s="207"/>
      <c r="CT77" s="207"/>
      <c r="CU77" s="207"/>
      <c r="CV77" s="207"/>
      <c r="CW77" s="207"/>
      <c r="CX77" s="207"/>
      <c r="CY77" s="207"/>
      <c r="CZ77" s="296"/>
      <c r="DA77" s="207"/>
      <c r="DB77" s="207"/>
      <c r="DC77" s="207"/>
      <c r="DD77" s="265"/>
      <c r="DI77" s="298">
        <f>'[1]POLY DISB 2019'!AD80</f>
        <v>0</v>
      </c>
      <c r="ER77" s="298">
        <f>'[1]POLY DISB 2019'!AN80</f>
        <v>0</v>
      </c>
      <c r="FO77" s="298"/>
      <c r="GN77" s="299"/>
      <c r="GO77" s="300"/>
      <c r="GP77" s="300">
        <v>75621009151.779999</v>
      </c>
      <c r="GQ77" s="300"/>
      <c r="GR77" s="265"/>
      <c r="GS77" s="265"/>
      <c r="GT77" s="265"/>
      <c r="GU77" s="265"/>
      <c r="GV77" s="265"/>
      <c r="GW77" s="265"/>
    </row>
    <row r="78" spans="1:227" s="248" customFormat="1" x14ac:dyDescent="0.25">
      <c r="A78" s="296"/>
      <c r="B78" s="296"/>
      <c r="C78" s="296"/>
      <c r="D78" s="296"/>
      <c r="E78" s="296"/>
      <c r="F78" s="296"/>
      <c r="G78" s="296"/>
      <c r="H78" s="296"/>
      <c r="I78" s="296"/>
      <c r="J78" s="296"/>
      <c r="K78" s="296"/>
      <c r="L78" s="296"/>
      <c r="M78" s="296"/>
      <c r="N78" s="296"/>
      <c r="O78" s="296"/>
      <c r="P78" s="296"/>
      <c r="Q78" s="296"/>
      <c r="R78" s="296"/>
      <c r="S78" s="296"/>
      <c r="T78" s="296"/>
      <c r="U78" s="296"/>
      <c r="V78" s="296"/>
      <c r="W78" s="296"/>
      <c r="X78" s="296"/>
      <c r="Y78" s="296"/>
      <c r="Z78" s="296"/>
      <c r="AA78" s="296"/>
      <c r="AB78" s="296"/>
      <c r="AC78" s="296"/>
      <c r="AD78" s="296"/>
      <c r="AE78" s="296"/>
      <c r="AF78" s="296"/>
      <c r="AG78" s="296"/>
      <c r="AH78" s="296"/>
      <c r="AI78" s="296"/>
      <c r="AJ78" s="296"/>
      <c r="AK78" s="296"/>
      <c r="AL78" s="296"/>
      <c r="AM78" s="296"/>
      <c r="AN78" s="296"/>
      <c r="AO78" s="296"/>
      <c r="AP78" s="296"/>
      <c r="AQ78" s="296"/>
      <c r="AR78" s="296"/>
      <c r="AS78" s="296"/>
      <c r="AT78" s="296"/>
      <c r="AU78" s="296"/>
      <c r="AV78" s="296"/>
      <c r="AW78" s="296"/>
      <c r="AX78" s="296"/>
      <c r="AY78" s="296"/>
      <c r="AZ78" s="296"/>
      <c r="BA78" s="296"/>
      <c r="BB78" s="296"/>
      <c r="BC78" s="296"/>
      <c r="BD78" s="296"/>
      <c r="BE78" s="296"/>
      <c r="BF78" s="296"/>
      <c r="BG78" s="296"/>
      <c r="BH78" s="296"/>
      <c r="BI78" s="296"/>
      <c r="BJ78" s="296"/>
      <c r="BK78" s="296"/>
      <c r="BL78" s="296"/>
      <c r="BM78" s="296"/>
      <c r="BN78" s="296"/>
      <c r="BO78" s="207"/>
      <c r="BP78" s="296"/>
      <c r="BQ78" s="296"/>
      <c r="BR78" s="296"/>
      <c r="BS78" s="296"/>
      <c r="BT78" s="296"/>
      <c r="BU78" s="296"/>
      <c r="BV78" s="296"/>
      <c r="BW78" s="296"/>
      <c r="BX78" s="296"/>
      <c r="BY78" s="296"/>
      <c r="BZ78" s="296"/>
      <c r="CA78" s="296"/>
      <c r="CB78" s="296"/>
      <c r="CC78" s="296"/>
      <c r="CD78" s="296"/>
      <c r="CE78" s="296"/>
      <c r="CF78" s="297"/>
      <c r="CG78" s="297"/>
      <c r="CH78" s="297"/>
      <c r="CI78" s="297"/>
      <c r="CJ78" s="207"/>
      <c r="CK78" s="207"/>
      <c r="CL78" s="207"/>
      <c r="CM78" s="207"/>
      <c r="CN78" s="301"/>
      <c r="CO78" s="207"/>
      <c r="CP78" s="207"/>
      <c r="CQ78" s="207"/>
      <c r="CR78" s="207"/>
      <c r="CS78" s="207"/>
      <c r="CT78" s="207"/>
      <c r="CU78" s="207"/>
      <c r="CV78" s="207"/>
      <c r="CW78" s="207"/>
      <c r="CX78" s="207"/>
      <c r="CY78" s="207"/>
      <c r="CZ78" s="296"/>
      <c r="DA78" s="207"/>
      <c r="DB78" s="207"/>
      <c r="DC78" s="207"/>
      <c r="DD78" s="265"/>
      <c r="DI78" s="298" t="e">
        <f>'[1]POLY DISB 2019'!#REF!</f>
        <v>#REF!</v>
      </c>
      <c r="ER78" s="298">
        <f>'[1]POLY DISB 2019'!AN81</f>
        <v>0</v>
      </c>
      <c r="GR78" s="265"/>
      <c r="GS78" s="265"/>
      <c r="GT78" s="265"/>
      <c r="GU78" s="265"/>
      <c r="GV78" s="265"/>
      <c r="GW78" s="265"/>
      <c r="HB78" s="300">
        <v>1203700000</v>
      </c>
      <c r="HJ78" s="300">
        <v>1176000000</v>
      </c>
    </row>
    <row r="79" spans="1:227" s="248" customFormat="1" x14ac:dyDescent="0.25">
      <c r="A79" s="296"/>
      <c r="B79" s="296"/>
      <c r="C79" s="296"/>
      <c r="D79" s="296"/>
      <c r="E79" s="296"/>
      <c r="F79" s="296"/>
      <c r="G79" s="296"/>
      <c r="H79" s="296"/>
      <c r="I79" s="296"/>
      <c r="J79" s="296"/>
      <c r="K79" s="296"/>
      <c r="L79" s="296"/>
      <c r="M79" s="296"/>
      <c r="N79" s="296"/>
      <c r="O79" s="296"/>
      <c r="P79" s="296"/>
      <c r="Q79" s="296"/>
      <c r="R79" s="296"/>
      <c r="S79" s="296"/>
      <c r="T79" s="296"/>
      <c r="U79" s="296"/>
      <c r="V79" s="296"/>
      <c r="W79" s="296"/>
      <c r="X79" s="296"/>
      <c r="Y79" s="296"/>
      <c r="Z79" s="296"/>
      <c r="AA79" s="296"/>
      <c r="AB79" s="296"/>
      <c r="AC79" s="296"/>
      <c r="AD79" s="296"/>
      <c r="AE79" s="296"/>
      <c r="AF79" s="296"/>
      <c r="AG79" s="296"/>
      <c r="AH79" s="296"/>
      <c r="AI79" s="296"/>
      <c r="AJ79" s="296"/>
      <c r="AK79" s="296"/>
      <c r="AL79" s="296"/>
      <c r="AM79" s="296"/>
      <c r="AN79" s="296"/>
      <c r="AO79" s="296"/>
      <c r="AP79" s="296"/>
      <c r="AQ79" s="296"/>
      <c r="AR79" s="296"/>
      <c r="AS79" s="296"/>
      <c r="AT79" s="296"/>
      <c r="AU79" s="296"/>
      <c r="AV79" s="296"/>
      <c r="AW79" s="296"/>
      <c r="AX79" s="296"/>
      <c r="AY79" s="296"/>
      <c r="AZ79" s="296"/>
      <c r="BA79" s="296"/>
      <c r="BB79" s="296"/>
      <c r="BC79" s="296"/>
      <c r="BD79" s="296"/>
      <c r="BE79" s="296"/>
      <c r="BF79" s="296"/>
      <c r="BG79" s="296"/>
      <c r="BH79" s="296"/>
      <c r="BI79" s="296"/>
      <c r="BJ79" s="296"/>
      <c r="BK79" s="296"/>
      <c r="BL79" s="296"/>
      <c r="BM79" s="296"/>
      <c r="BN79" s="296"/>
      <c r="BO79" s="207"/>
      <c r="BP79" s="296"/>
      <c r="BQ79" s="296"/>
      <c r="BR79" s="296"/>
      <c r="BS79" s="296"/>
      <c r="BT79" s="296"/>
      <c r="BU79" s="296"/>
      <c r="BV79" s="296"/>
      <c r="BW79" s="296"/>
      <c r="BX79" s="296"/>
      <c r="BY79" s="296"/>
      <c r="BZ79" s="296"/>
      <c r="CA79" s="296"/>
      <c r="CB79" s="296"/>
      <c r="CC79" s="296"/>
      <c r="CD79" s="296"/>
      <c r="CE79" s="296"/>
      <c r="CF79" s="297"/>
      <c r="CG79" s="297"/>
      <c r="CH79" s="297"/>
      <c r="CI79" s="297"/>
      <c r="CJ79" s="207"/>
      <c r="CK79" s="207"/>
      <c r="CL79" s="207"/>
      <c r="CM79" s="207"/>
      <c r="CN79" s="207"/>
      <c r="CO79" s="207"/>
      <c r="CP79" s="207"/>
      <c r="CQ79" s="207"/>
      <c r="CR79" s="207"/>
      <c r="CS79" s="207"/>
      <c r="CT79" s="207"/>
      <c r="CU79" s="207"/>
      <c r="CV79" s="207"/>
      <c r="CW79" s="207"/>
      <c r="CX79" s="207"/>
      <c r="CY79" s="207"/>
      <c r="CZ79" s="296"/>
      <c r="DA79" s="207"/>
      <c r="DB79" s="207"/>
      <c r="DC79" s="207"/>
      <c r="DD79" s="265"/>
      <c r="DI79" s="300"/>
      <c r="GP79" s="298">
        <f>GP76-GP77</f>
        <v>2623994840</v>
      </c>
    </row>
    <row r="80" spans="1:227" s="248" customFormat="1" x14ac:dyDescent="0.25">
      <c r="A80" s="296"/>
      <c r="B80" s="296"/>
      <c r="C80" s="296"/>
      <c r="D80" s="296"/>
      <c r="E80" s="296"/>
      <c r="F80" s="296"/>
      <c r="G80" s="296"/>
      <c r="H80" s="296"/>
      <c r="I80" s="296"/>
      <c r="J80" s="296"/>
      <c r="K80" s="296"/>
      <c r="L80" s="296"/>
      <c r="M80" s="296"/>
      <c r="N80" s="296"/>
      <c r="O80" s="296"/>
      <c r="P80" s="296"/>
      <c r="Q80" s="296"/>
      <c r="R80" s="296"/>
      <c r="S80" s="296"/>
      <c r="T80" s="296"/>
      <c r="U80" s="296"/>
      <c r="V80" s="296"/>
      <c r="W80" s="296"/>
      <c r="X80" s="296"/>
      <c r="Y80" s="296"/>
      <c r="Z80" s="296"/>
      <c r="AA80" s="296"/>
      <c r="AB80" s="296"/>
      <c r="AC80" s="296"/>
      <c r="AD80" s="296"/>
      <c r="AE80" s="296"/>
      <c r="AF80" s="296"/>
      <c r="AG80" s="296"/>
      <c r="AH80" s="296"/>
      <c r="AI80" s="296"/>
      <c r="AJ80" s="296"/>
      <c r="AK80" s="296"/>
      <c r="AL80" s="296"/>
      <c r="AM80" s="296"/>
      <c r="AN80" s="296"/>
      <c r="AO80" s="296"/>
      <c r="AP80" s="296"/>
      <c r="AQ80" s="296"/>
      <c r="AR80" s="296"/>
      <c r="AS80" s="296"/>
      <c r="AT80" s="296"/>
      <c r="AU80" s="296"/>
      <c r="AV80" s="296"/>
      <c r="AW80" s="296"/>
      <c r="AX80" s="296"/>
      <c r="AY80" s="296"/>
      <c r="AZ80" s="296"/>
      <c r="BA80" s="296"/>
      <c r="BB80" s="296"/>
      <c r="BC80" s="296"/>
      <c r="BD80" s="296"/>
      <c r="BE80" s="296"/>
      <c r="BF80" s="296"/>
      <c r="BG80" s="296"/>
      <c r="BH80" s="296"/>
      <c r="BI80" s="296"/>
      <c r="BJ80" s="296"/>
      <c r="BK80" s="296"/>
      <c r="BL80" s="296"/>
      <c r="BM80" s="296"/>
      <c r="BN80" s="296"/>
      <c r="BO80" s="207"/>
      <c r="BP80" s="296"/>
      <c r="BQ80" s="296"/>
      <c r="BR80" s="296"/>
      <c r="BS80" s="296"/>
      <c r="BT80" s="296"/>
      <c r="BU80" s="296"/>
      <c r="BV80" s="296"/>
      <c r="BW80" s="296"/>
      <c r="BX80" s="296"/>
      <c r="BY80" s="296"/>
      <c r="BZ80" s="296"/>
      <c r="CA80" s="296"/>
      <c r="CB80" s="296"/>
      <c r="CC80" s="296"/>
      <c r="CD80" s="296"/>
      <c r="CE80" s="296"/>
      <c r="CF80" s="297"/>
      <c r="CG80" s="297"/>
      <c r="CH80" s="297"/>
      <c r="CI80" s="297"/>
      <c r="CJ80" s="207"/>
      <c r="CK80" s="207"/>
      <c r="CL80" s="207"/>
      <c r="CM80" s="207"/>
      <c r="CN80" s="207"/>
      <c r="CO80" s="207"/>
      <c r="CP80" s="207"/>
      <c r="CQ80" s="207"/>
      <c r="CR80" s="207"/>
      <c r="CS80" s="207"/>
      <c r="CT80" s="207"/>
      <c r="CU80" s="207"/>
      <c r="CV80" s="207"/>
      <c r="CW80" s="207"/>
      <c r="CX80" s="207"/>
      <c r="CY80" s="207"/>
      <c r="CZ80" s="296"/>
      <c r="DA80" s="207"/>
      <c r="DB80" s="207"/>
      <c r="DC80" s="207"/>
      <c r="DD80" s="265"/>
      <c r="DI80" s="298"/>
      <c r="GT80" s="265"/>
      <c r="GU80" s="265"/>
      <c r="GV80" s="265"/>
      <c r="GW80" s="265"/>
      <c r="HB80" s="298">
        <f>HB78-HB76</f>
        <v>-285879130</v>
      </c>
      <c r="HJ80" s="298">
        <f>HJ70-HJ78</f>
        <v>-1176000000</v>
      </c>
    </row>
    <row r="81" spans="1:205" s="300" customFormat="1" x14ac:dyDescent="0.25">
      <c r="A81" s="210"/>
      <c r="B81" s="296"/>
      <c r="C81" s="296"/>
      <c r="D81" s="210"/>
      <c r="E81" s="210"/>
      <c r="F81" s="210"/>
      <c r="G81" s="210"/>
      <c r="H81" s="210"/>
      <c r="I81" s="210"/>
      <c r="J81" s="210"/>
      <c r="K81" s="210"/>
      <c r="L81" s="210"/>
      <c r="M81" s="210"/>
      <c r="N81" s="210"/>
      <c r="O81" s="210"/>
      <c r="P81" s="210"/>
      <c r="Q81" s="210"/>
      <c r="R81" s="210"/>
      <c r="S81" s="210"/>
      <c r="T81" s="210"/>
      <c r="U81" s="210"/>
      <c r="V81" s="210"/>
      <c r="W81" s="210"/>
      <c r="X81" s="210"/>
      <c r="Y81" s="210"/>
      <c r="Z81" s="210"/>
      <c r="AA81" s="210"/>
      <c r="AB81" s="210"/>
      <c r="AC81" s="210"/>
      <c r="AD81" s="210"/>
      <c r="AE81" s="210"/>
      <c r="AF81" s="210"/>
      <c r="AG81" s="210"/>
      <c r="AH81" s="210"/>
      <c r="AI81" s="210"/>
      <c r="AJ81" s="210"/>
      <c r="AK81" s="210"/>
      <c r="AL81" s="210"/>
      <c r="AM81" s="210"/>
      <c r="AN81" s="210"/>
      <c r="AO81" s="210"/>
      <c r="AP81" s="210"/>
      <c r="AQ81" s="210"/>
      <c r="AR81" s="210"/>
      <c r="AS81" s="210"/>
      <c r="AT81" s="210"/>
      <c r="AU81" s="210"/>
      <c r="AV81" s="210"/>
      <c r="AW81" s="210"/>
      <c r="AX81" s="210"/>
      <c r="AY81" s="210"/>
      <c r="AZ81" s="210"/>
      <c r="BA81" s="210"/>
      <c r="BB81" s="210"/>
      <c r="BC81" s="210"/>
      <c r="BD81" s="210"/>
      <c r="BE81" s="210"/>
      <c r="BF81" s="210"/>
      <c r="BG81" s="210"/>
      <c r="BH81" s="210"/>
      <c r="BI81" s="210"/>
      <c r="BJ81" s="210"/>
      <c r="BK81" s="210"/>
      <c r="BL81" s="210"/>
      <c r="BM81" s="210"/>
      <c r="BN81" s="210"/>
      <c r="BO81" s="210"/>
      <c r="BP81" s="210"/>
      <c r="BQ81" s="210"/>
      <c r="BR81" s="210"/>
      <c r="BS81" s="210"/>
      <c r="BT81" s="210"/>
      <c r="BU81" s="210"/>
      <c r="BV81" s="210"/>
      <c r="BW81" s="210"/>
      <c r="BX81" s="210"/>
      <c r="BY81" s="210"/>
      <c r="BZ81" s="210"/>
      <c r="CA81" s="210"/>
      <c r="CB81" s="210"/>
      <c r="CC81" s="210"/>
      <c r="CD81" s="210"/>
      <c r="CE81" s="210"/>
      <c r="CF81" s="302"/>
      <c r="CG81" s="302"/>
      <c r="CH81" s="302"/>
      <c r="CI81" s="302"/>
      <c r="CJ81" s="210"/>
      <c r="CK81" s="205"/>
      <c r="CL81" s="205"/>
      <c r="CM81" s="205"/>
      <c r="CN81" s="205"/>
      <c r="CO81" s="205"/>
      <c r="CP81" s="205"/>
      <c r="CQ81" s="205"/>
      <c r="CR81" s="205"/>
      <c r="CS81" s="205"/>
      <c r="CT81" s="205"/>
      <c r="CU81" s="205"/>
      <c r="CV81" s="205"/>
      <c r="CW81" s="205"/>
      <c r="CX81" s="205"/>
      <c r="CY81" s="205"/>
      <c r="CZ81" s="210"/>
      <c r="DA81" s="210"/>
      <c r="DB81" s="210"/>
      <c r="DC81" s="205"/>
      <c r="DD81" s="265"/>
      <c r="DG81" s="248"/>
      <c r="DH81" s="248"/>
      <c r="DI81" s="248"/>
      <c r="DJ81" s="248"/>
      <c r="DK81" s="248"/>
      <c r="DL81" s="248"/>
      <c r="DM81" s="248"/>
      <c r="DN81" s="248"/>
      <c r="DO81" s="248"/>
      <c r="DP81" s="248"/>
      <c r="DQ81" s="248"/>
      <c r="DR81" s="248"/>
      <c r="DS81" s="248"/>
      <c r="DT81" s="248"/>
      <c r="DU81" s="248"/>
      <c r="DV81" s="248"/>
      <c r="DW81" s="248"/>
      <c r="DX81" s="248"/>
      <c r="DY81" s="248"/>
      <c r="DZ81" s="248"/>
      <c r="EA81" s="248"/>
      <c r="EB81" s="248"/>
      <c r="EC81" s="248"/>
      <c r="ED81" s="248"/>
      <c r="EE81" s="248"/>
      <c r="EF81" s="248"/>
      <c r="EG81" s="248"/>
      <c r="EH81" s="248"/>
      <c r="EI81" s="248"/>
      <c r="EJ81" s="248"/>
      <c r="EK81" s="248"/>
      <c r="EL81" s="248"/>
      <c r="EM81" s="248"/>
      <c r="EN81" s="248"/>
      <c r="EO81" s="248"/>
      <c r="EP81" s="248"/>
      <c r="EQ81" s="248"/>
      <c r="ER81" s="248"/>
      <c r="ES81" s="248"/>
      <c r="ET81" s="248"/>
      <c r="EU81" s="248"/>
      <c r="EV81" s="248"/>
      <c r="EW81" s="248"/>
      <c r="EX81" s="248"/>
      <c r="EY81" s="248"/>
      <c r="EZ81" s="248"/>
      <c r="FA81" s="248"/>
      <c r="FB81" s="248"/>
      <c r="FC81" s="248"/>
      <c r="FD81" s="248"/>
      <c r="FE81" s="248"/>
      <c r="FF81" s="248"/>
      <c r="FG81" s="248"/>
      <c r="FH81" s="248"/>
      <c r="FI81" s="248"/>
      <c r="FJ81" s="248"/>
      <c r="FK81" s="248"/>
      <c r="FL81" s="248"/>
      <c r="FM81" s="248"/>
      <c r="FN81" s="248"/>
      <c r="FO81" s="248"/>
      <c r="FP81" s="248"/>
      <c r="FQ81" s="248"/>
      <c r="FR81" s="248"/>
      <c r="FS81" s="248"/>
      <c r="FT81" s="248"/>
      <c r="FU81" s="248"/>
      <c r="FV81" s="248"/>
      <c r="FW81" s="248"/>
      <c r="FX81" s="248"/>
      <c r="FY81" s="248"/>
      <c r="FZ81" s="248"/>
      <c r="GA81" s="248"/>
      <c r="GB81" s="248"/>
      <c r="GC81" s="248"/>
      <c r="GD81" s="248"/>
      <c r="GE81" s="248"/>
      <c r="GF81" s="248"/>
      <c r="GG81" s="248"/>
      <c r="GH81" s="248"/>
      <c r="GI81" s="248"/>
      <c r="GJ81" s="248"/>
      <c r="GK81" s="248"/>
      <c r="GL81" s="248"/>
      <c r="GM81" s="248"/>
      <c r="GN81" s="248"/>
      <c r="GO81" s="248"/>
      <c r="GP81" s="248"/>
      <c r="GQ81" s="248"/>
      <c r="GS81" s="248"/>
      <c r="GT81" s="248"/>
      <c r="GU81" s="248"/>
      <c r="GV81" s="248"/>
      <c r="GW81" s="248"/>
    </row>
    <row r="82" spans="1:205" s="300" customFormat="1" x14ac:dyDescent="0.25">
      <c r="A82" s="210"/>
      <c r="B82" s="296"/>
      <c r="C82" s="296"/>
      <c r="D82" s="210"/>
      <c r="E82" s="210"/>
      <c r="F82" s="210"/>
      <c r="G82" s="210"/>
      <c r="H82" s="210"/>
      <c r="I82" s="210"/>
      <c r="J82" s="210"/>
      <c r="K82" s="210"/>
      <c r="L82" s="210"/>
      <c r="M82" s="210"/>
      <c r="N82" s="210"/>
      <c r="O82" s="210"/>
      <c r="P82" s="210"/>
      <c r="Q82" s="210"/>
      <c r="R82" s="210"/>
      <c r="S82" s="210"/>
      <c r="T82" s="210"/>
      <c r="U82" s="210"/>
      <c r="V82" s="210"/>
      <c r="W82" s="210"/>
      <c r="X82" s="210"/>
      <c r="Y82" s="210"/>
      <c r="Z82" s="210"/>
      <c r="AA82" s="210"/>
      <c r="AB82" s="210"/>
      <c r="AC82" s="210"/>
      <c r="AD82" s="210"/>
      <c r="AE82" s="210"/>
      <c r="AF82" s="210"/>
      <c r="AG82" s="210"/>
      <c r="AH82" s="210"/>
      <c r="AI82" s="210"/>
      <c r="AJ82" s="210"/>
      <c r="AK82" s="210"/>
      <c r="AL82" s="210"/>
      <c r="AM82" s="210"/>
      <c r="AN82" s="210"/>
      <c r="AO82" s="210"/>
      <c r="AP82" s="210"/>
      <c r="AQ82" s="210"/>
      <c r="AR82" s="210"/>
      <c r="AS82" s="210"/>
      <c r="AT82" s="210"/>
      <c r="AU82" s="210"/>
      <c r="AV82" s="210"/>
      <c r="AW82" s="210"/>
      <c r="AX82" s="210"/>
      <c r="AY82" s="210"/>
      <c r="AZ82" s="210"/>
      <c r="BA82" s="210"/>
      <c r="BB82" s="210"/>
      <c r="BC82" s="210"/>
      <c r="BD82" s="210"/>
      <c r="BE82" s="210"/>
      <c r="BF82" s="210"/>
      <c r="BG82" s="210"/>
      <c r="BH82" s="210"/>
      <c r="BI82" s="210"/>
      <c r="BJ82" s="210"/>
      <c r="BK82" s="210"/>
      <c r="BL82" s="210"/>
      <c r="BM82" s="210"/>
      <c r="BN82" s="210"/>
      <c r="BO82" s="210"/>
      <c r="BP82" s="210"/>
      <c r="BQ82" s="210"/>
      <c r="BR82" s="210"/>
      <c r="BS82" s="210"/>
      <c r="BT82" s="210"/>
      <c r="BU82" s="210"/>
      <c r="BV82" s="210"/>
      <c r="BW82" s="210"/>
      <c r="BX82" s="210"/>
      <c r="BY82" s="210"/>
      <c r="BZ82" s="210"/>
      <c r="CA82" s="210"/>
      <c r="CB82" s="210"/>
      <c r="CC82" s="210"/>
      <c r="CD82" s="210"/>
      <c r="CE82" s="210"/>
      <c r="CF82" s="302"/>
      <c r="CG82" s="302"/>
      <c r="CH82" s="302"/>
      <c r="CI82" s="302"/>
      <c r="CJ82" s="210"/>
      <c r="CK82" s="205"/>
      <c r="CL82" s="205"/>
      <c r="CM82" s="205"/>
      <c r="CN82" s="205"/>
      <c r="CO82" s="205"/>
      <c r="CP82" s="205"/>
      <c r="CQ82" s="205"/>
      <c r="CR82" s="205"/>
      <c r="CS82" s="205"/>
      <c r="CT82" s="205"/>
      <c r="CU82" s="205"/>
      <c r="CV82" s="205"/>
      <c r="CW82" s="205"/>
      <c r="CX82" s="205"/>
      <c r="CY82" s="205"/>
      <c r="CZ82" s="210"/>
      <c r="DA82" s="210"/>
      <c r="DB82" s="210"/>
      <c r="DC82" s="205"/>
      <c r="DD82" s="265"/>
      <c r="DG82" s="248"/>
      <c r="DH82" s="248"/>
      <c r="DI82" s="248"/>
      <c r="DJ82" s="248"/>
      <c r="DK82" s="248"/>
      <c r="DL82" s="248"/>
      <c r="DM82" s="248"/>
      <c r="DN82" s="248"/>
      <c r="DO82" s="248"/>
      <c r="DP82" s="248"/>
      <c r="DQ82" s="248"/>
      <c r="DR82" s="248"/>
      <c r="DS82" s="248"/>
      <c r="DT82" s="248"/>
      <c r="DU82" s="248"/>
      <c r="DV82" s="248"/>
      <c r="DW82" s="248"/>
      <c r="DX82" s="248"/>
      <c r="DY82" s="248"/>
      <c r="DZ82" s="248"/>
      <c r="EA82" s="248"/>
      <c r="EB82" s="248"/>
      <c r="EC82" s="248"/>
      <c r="ED82" s="248"/>
      <c r="EE82" s="248"/>
      <c r="EF82" s="248"/>
      <c r="EG82" s="248"/>
      <c r="EH82" s="248"/>
      <c r="EI82" s="248"/>
      <c r="EJ82" s="248"/>
      <c r="EK82" s="248"/>
      <c r="EL82" s="248"/>
      <c r="EM82" s="248"/>
      <c r="EN82" s="248"/>
      <c r="EO82" s="248"/>
      <c r="EP82" s="248"/>
      <c r="EQ82" s="248"/>
      <c r="ER82" s="248"/>
      <c r="ES82" s="248"/>
      <c r="ET82" s="248"/>
      <c r="EU82" s="248"/>
      <c r="EV82" s="248"/>
      <c r="EW82" s="248"/>
      <c r="EX82" s="248"/>
      <c r="EY82" s="248"/>
      <c r="EZ82" s="248"/>
      <c r="FA82" s="248"/>
      <c r="FB82" s="248"/>
      <c r="FC82" s="248"/>
      <c r="FD82" s="248"/>
      <c r="FE82" s="248"/>
      <c r="FF82" s="248"/>
      <c r="FG82" s="248"/>
      <c r="FH82" s="248"/>
      <c r="FI82" s="248"/>
      <c r="FJ82" s="248"/>
      <c r="FK82" s="248"/>
      <c r="FL82" s="248"/>
      <c r="FM82" s="248"/>
      <c r="FN82" s="248"/>
      <c r="FO82" s="248"/>
      <c r="FP82" s="248"/>
      <c r="FQ82" s="248"/>
      <c r="FR82" s="248"/>
      <c r="FS82" s="248"/>
      <c r="FT82" s="248"/>
      <c r="FU82" s="248"/>
      <c r="FV82" s="248"/>
      <c r="FW82" s="248"/>
      <c r="FX82" s="248"/>
      <c r="FY82" s="248"/>
      <c r="FZ82" s="248"/>
      <c r="GA82" s="248"/>
      <c r="GB82" s="248"/>
      <c r="GC82" s="248"/>
      <c r="GD82" s="248"/>
      <c r="GE82" s="248"/>
      <c r="GF82" s="248"/>
      <c r="GG82" s="248"/>
      <c r="GH82" s="248"/>
      <c r="GI82" s="248"/>
      <c r="GJ82" s="248"/>
      <c r="GK82" s="248"/>
      <c r="GL82" s="248"/>
      <c r="GM82" s="248"/>
      <c r="GN82" s="248"/>
      <c r="GO82" s="248"/>
      <c r="GP82" s="248"/>
      <c r="GQ82" s="248"/>
      <c r="GR82" s="248"/>
      <c r="GS82" s="248"/>
      <c r="GT82" s="265"/>
      <c r="GU82" s="265"/>
      <c r="GV82" s="265"/>
      <c r="GW82" s="265"/>
    </row>
    <row r="83" spans="1:205" x14ac:dyDescent="0.25">
      <c r="A83" s="303"/>
      <c r="B83" s="303"/>
      <c r="C83" s="303"/>
      <c r="BO83" s="210"/>
      <c r="DC83" s="205"/>
      <c r="DD83" s="265"/>
      <c r="DH83" s="248"/>
      <c r="DI83" s="248"/>
      <c r="GO83" s="248"/>
      <c r="GP83" s="248"/>
      <c r="GQ83" s="248"/>
      <c r="GR83" s="248"/>
      <c r="GS83" s="248"/>
      <c r="GT83" s="265"/>
      <c r="GU83" s="265"/>
      <c r="GV83" s="265"/>
      <c r="GW83" s="265"/>
    </row>
    <row r="84" spans="1:205" x14ac:dyDescent="0.25">
      <c r="A84" s="303"/>
      <c r="B84" s="303"/>
      <c r="C84" s="303"/>
      <c r="CJ84" s="304"/>
      <c r="DC84" s="205"/>
      <c r="DD84" s="265"/>
      <c r="GO84" s="248"/>
      <c r="GP84" s="248"/>
      <c r="GQ84" s="248"/>
      <c r="GR84" s="248"/>
      <c r="GS84" s="248"/>
      <c r="GT84" s="248"/>
      <c r="GU84" s="248"/>
      <c r="GV84" s="248"/>
      <c r="GW84" s="248"/>
    </row>
    <row r="85" spans="1:205" x14ac:dyDescent="0.25">
      <c r="AK85" s="206"/>
      <c r="AL85" s="206"/>
      <c r="AM85" s="206"/>
      <c r="AN85" s="206"/>
      <c r="AO85" s="206"/>
      <c r="AP85" s="206"/>
      <c r="AQ85" s="206"/>
      <c r="AR85" s="206"/>
      <c r="AS85" s="206"/>
      <c r="AT85" s="206"/>
      <c r="AU85" s="206"/>
    </row>
    <row r="86" spans="1:205" x14ac:dyDescent="0.25">
      <c r="A86" s="303"/>
      <c r="B86" s="303"/>
      <c r="C86" s="303"/>
      <c r="T86" s="206"/>
      <c r="U86" s="206"/>
      <c r="V86" s="206"/>
      <c r="W86" s="206"/>
      <c r="X86" s="206"/>
      <c r="Y86" s="206"/>
      <c r="Z86" s="206"/>
      <c r="AA86" s="206"/>
      <c r="AB86" s="206"/>
      <c r="AC86" s="206"/>
      <c r="AD86" s="206"/>
      <c r="AE86" s="206"/>
      <c r="AF86" s="206"/>
      <c r="AG86" s="206"/>
      <c r="AH86" s="206"/>
      <c r="AI86" s="206"/>
      <c r="AJ86" s="206"/>
      <c r="AK86" s="206"/>
      <c r="AL86" s="206"/>
      <c r="AM86" s="206"/>
      <c r="AN86" s="206"/>
      <c r="AO86" s="206"/>
      <c r="AP86" s="206"/>
      <c r="AQ86" s="206"/>
      <c r="AR86" s="206"/>
      <c r="AS86" s="206"/>
      <c r="AT86" s="206"/>
      <c r="AU86" s="206"/>
      <c r="AV86" s="206"/>
      <c r="AW86" s="206"/>
      <c r="AX86" s="206"/>
      <c r="AY86" s="206"/>
      <c r="AZ86" s="206"/>
      <c r="BA86" s="206"/>
      <c r="BB86" s="206"/>
      <c r="BC86" s="206"/>
      <c r="BD86" s="206"/>
      <c r="BG86" s="206"/>
      <c r="BH86" s="206"/>
      <c r="BI86" s="206"/>
      <c r="BJ86" s="206"/>
      <c r="BK86" s="206"/>
      <c r="BL86" s="206"/>
      <c r="BM86" s="206"/>
      <c r="BN86" s="206"/>
      <c r="BO86" s="206"/>
      <c r="BP86" s="206"/>
      <c r="BQ86" s="206"/>
      <c r="BR86" s="206"/>
      <c r="BS86" s="206"/>
      <c r="BT86" s="206"/>
      <c r="BU86" s="206"/>
      <c r="BV86" s="206"/>
      <c r="BW86" s="206"/>
      <c r="BX86" s="206"/>
      <c r="BY86" s="206"/>
      <c r="BZ86" s="206"/>
      <c r="CA86" s="206"/>
      <c r="CB86" s="206"/>
      <c r="CC86" s="206"/>
      <c r="CD86" s="206"/>
      <c r="CE86" s="206"/>
      <c r="CF86" s="206"/>
      <c r="CG86" s="206"/>
      <c r="CH86" s="206"/>
      <c r="CI86" s="206"/>
      <c r="CJ86" s="206"/>
      <c r="CK86" s="206"/>
      <c r="CL86" s="206"/>
      <c r="CM86" s="206"/>
      <c r="CN86" s="206"/>
      <c r="CO86" s="206"/>
      <c r="CP86" s="206"/>
      <c r="CQ86" s="206"/>
      <c r="CR86" s="206"/>
      <c r="CS86" s="206"/>
      <c r="CT86" s="206"/>
      <c r="CU86" s="206"/>
      <c r="CV86" s="206"/>
      <c r="CW86" s="206"/>
      <c r="CX86" s="206"/>
      <c r="CY86" s="206"/>
      <c r="CZ86" s="206"/>
      <c r="DA86" s="206"/>
      <c r="DB86" s="206"/>
      <c r="DC86" s="206"/>
      <c r="DD86" s="206"/>
    </row>
    <row r="87" spans="1:205" x14ac:dyDescent="0.25">
      <c r="A87" s="303"/>
      <c r="B87" s="303"/>
      <c r="C87" s="303"/>
      <c r="T87" s="206"/>
      <c r="U87" s="206"/>
      <c r="V87" s="206"/>
      <c r="W87" s="206"/>
      <c r="X87" s="206"/>
      <c r="Y87" s="206"/>
      <c r="Z87" s="206"/>
      <c r="AA87" s="206"/>
      <c r="AB87" s="206"/>
      <c r="AC87" s="206"/>
      <c r="AD87" s="206"/>
      <c r="AE87" s="206"/>
      <c r="AF87" s="206"/>
      <c r="AG87" s="206"/>
      <c r="AH87" s="206"/>
      <c r="AI87" s="206"/>
      <c r="AJ87" s="206"/>
      <c r="AK87" s="206"/>
      <c r="AL87" s="206"/>
      <c r="AM87" s="206"/>
      <c r="AN87" s="206"/>
      <c r="AO87" s="206"/>
      <c r="AP87" s="206"/>
      <c r="AQ87" s="206"/>
      <c r="AR87" s="206"/>
      <c r="AS87" s="206"/>
      <c r="AT87" s="206"/>
      <c r="AU87" s="206"/>
      <c r="AV87" s="206"/>
      <c r="AW87" s="206"/>
      <c r="AX87" s="206"/>
      <c r="AY87" s="206"/>
      <c r="AZ87" s="206"/>
      <c r="BA87" s="206"/>
      <c r="BB87" s="206"/>
      <c r="BC87" s="206"/>
      <c r="BD87" s="206"/>
      <c r="BE87" s="206"/>
      <c r="BF87" s="206"/>
      <c r="BG87" s="206"/>
      <c r="BH87" s="206"/>
      <c r="BI87" s="206"/>
      <c r="BJ87" s="206"/>
      <c r="BK87" s="206"/>
      <c r="BL87" s="206"/>
      <c r="BM87" s="206"/>
      <c r="BN87" s="206"/>
      <c r="BO87" s="206"/>
      <c r="BP87" s="206"/>
      <c r="BQ87" s="206"/>
      <c r="BR87" s="206"/>
      <c r="BS87" s="206"/>
      <c r="BT87" s="206"/>
      <c r="BU87" s="206"/>
      <c r="BV87" s="206"/>
      <c r="BW87" s="206"/>
      <c r="BX87" s="206"/>
      <c r="BY87" s="206"/>
      <c r="BZ87" s="206"/>
      <c r="CA87" s="206"/>
      <c r="CB87" s="206"/>
      <c r="CC87" s="206"/>
      <c r="CD87" s="206"/>
      <c r="CE87" s="206"/>
      <c r="CF87" s="206"/>
      <c r="CG87" s="206"/>
      <c r="CH87" s="206"/>
      <c r="CI87" s="206"/>
      <c r="CJ87" s="206"/>
      <c r="CK87" s="206"/>
      <c r="CL87" s="206"/>
      <c r="CM87" s="206"/>
      <c r="CN87" s="206"/>
      <c r="CO87" s="206"/>
      <c r="CP87" s="206"/>
      <c r="CQ87" s="206"/>
      <c r="CR87" s="206"/>
      <c r="CS87" s="206"/>
      <c r="CT87" s="206"/>
      <c r="CU87" s="206"/>
      <c r="CV87" s="206"/>
      <c r="CW87" s="206"/>
      <c r="CX87" s="206"/>
      <c r="CY87" s="206"/>
      <c r="CZ87" s="206"/>
      <c r="DA87" s="206"/>
      <c r="DB87" s="206"/>
      <c r="DC87" s="206"/>
      <c r="DD87" s="206"/>
    </row>
    <row r="88" spans="1:205" x14ac:dyDescent="0.25">
      <c r="A88" s="303"/>
      <c r="B88" s="303"/>
      <c r="C88" s="303"/>
      <c r="Q88" s="205">
        <v>236000000</v>
      </c>
      <c r="R88" s="205">
        <v>232700000</v>
      </c>
      <c r="S88" s="205">
        <v>438000000</v>
      </c>
      <c r="T88" s="205">
        <v>497000000</v>
      </c>
      <c r="U88" s="205">
        <v>1473000000</v>
      </c>
      <c r="V88" s="205">
        <v>2351500000</v>
      </c>
      <c r="W88" s="205">
        <v>2982000000</v>
      </c>
      <c r="X88" s="205">
        <v>1308000000</v>
      </c>
      <c r="Y88" s="205">
        <v>625500000</v>
      </c>
      <c r="Z88" s="205">
        <v>21250000</v>
      </c>
      <c r="AA88" s="206"/>
      <c r="AB88" s="206"/>
      <c r="AC88" s="206"/>
      <c r="AD88" s="206"/>
      <c r="AE88" s="206"/>
      <c r="AF88" s="206"/>
      <c r="AG88" s="206"/>
      <c r="AH88" s="206"/>
      <c r="AI88" s="206"/>
      <c r="AJ88" s="206"/>
      <c r="AK88" s="206"/>
      <c r="AL88" s="206"/>
      <c r="AM88" s="206"/>
      <c r="AN88" s="206"/>
      <c r="AO88" s="206"/>
      <c r="AP88" s="206"/>
      <c r="AQ88" s="206"/>
      <c r="AR88" s="206"/>
      <c r="AS88" s="206"/>
      <c r="AT88" s="206"/>
      <c r="AU88" s="206"/>
      <c r="AV88" s="206"/>
      <c r="AW88" s="206"/>
      <c r="AX88" s="206"/>
      <c r="AY88" s="206"/>
      <c r="AZ88" s="206"/>
      <c r="BA88" s="206"/>
      <c r="BB88" s="206"/>
      <c r="BC88" s="206"/>
      <c r="BD88" s="206"/>
      <c r="BE88" s="206"/>
      <c r="BF88" s="206"/>
      <c r="BG88" s="206"/>
      <c r="BH88" s="206"/>
      <c r="BI88" s="206"/>
      <c r="BJ88" s="206"/>
      <c r="BK88" s="206"/>
      <c r="BL88" s="206"/>
      <c r="BM88" s="206"/>
      <c r="BN88" s="206"/>
      <c r="BO88" s="206"/>
      <c r="BP88" s="206"/>
      <c r="BQ88" s="206"/>
      <c r="BR88" s="206"/>
      <c r="BS88" s="206"/>
      <c r="BT88" s="206"/>
      <c r="BU88" s="206"/>
      <c r="BV88" s="206"/>
      <c r="BW88" s="206"/>
      <c r="BX88" s="206"/>
      <c r="BY88" s="206"/>
      <c r="BZ88" s="206"/>
      <c r="CA88" s="206"/>
      <c r="CB88" s="206"/>
      <c r="CC88" s="206"/>
      <c r="CD88" s="206"/>
      <c r="CE88" s="206"/>
      <c r="CF88" s="206"/>
      <c r="CG88" s="206"/>
      <c r="CH88" s="206"/>
      <c r="CI88" s="206"/>
      <c r="CJ88" s="206"/>
      <c r="CK88" s="206"/>
      <c r="CL88" s="206"/>
      <c r="CM88" s="206"/>
      <c r="CN88" s="206"/>
      <c r="CO88" s="206"/>
      <c r="CP88" s="206"/>
      <c r="CQ88" s="206"/>
      <c r="CR88" s="206"/>
      <c r="CS88" s="206"/>
      <c r="CT88" s="206"/>
      <c r="CU88" s="206"/>
      <c r="CV88" s="206"/>
      <c r="CW88" s="206"/>
      <c r="CX88" s="206"/>
      <c r="CY88" s="206"/>
      <c r="CZ88" s="206"/>
      <c r="DA88" s="206"/>
      <c r="DB88" s="206"/>
      <c r="DC88" s="206"/>
      <c r="DD88" s="206"/>
    </row>
    <row r="89" spans="1:205" x14ac:dyDescent="0.25">
      <c r="A89" s="303"/>
      <c r="B89" s="303"/>
      <c r="C89" s="303"/>
      <c r="T89" s="206"/>
      <c r="U89" s="206"/>
      <c r="V89" s="206"/>
      <c r="W89" s="206"/>
      <c r="X89" s="206"/>
      <c r="Y89" s="206"/>
      <c r="Z89" s="206"/>
      <c r="AA89" s="206"/>
      <c r="AB89" s="206"/>
      <c r="AC89" s="206"/>
      <c r="AD89" s="206"/>
      <c r="AE89" s="206"/>
      <c r="AF89" s="206"/>
      <c r="AG89" s="206"/>
      <c r="AH89" s="206"/>
      <c r="AI89" s="206"/>
      <c r="AJ89" s="206"/>
      <c r="AK89" s="206"/>
      <c r="AL89" s="206"/>
      <c r="AM89" s="206"/>
      <c r="AN89" s="206"/>
      <c r="AO89" s="206"/>
      <c r="AP89" s="206"/>
      <c r="AQ89" s="206"/>
      <c r="AR89" s="206"/>
      <c r="AS89" s="206"/>
      <c r="AT89" s="206"/>
      <c r="AU89" s="206"/>
      <c r="AV89" s="206"/>
      <c r="AW89" s="206"/>
      <c r="AX89" s="206"/>
      <c r="AY89" s="206"/>
      <c r="AZ89" s="206"/>
      <c r="BA89" s="206"/>
      <c r="BB89" s="206"/>
      <c r="BC89" s="206"/>
      <c r="BD89" s="206"/>
      <c r="BE89" s="206"/>
      <c r="BF89" s="206"/>
      <c r="BG89" s="206"/>
      <c r="BH89" s="206"/>
      <c r="BI89" s="206"/>
      <c r="BJ89" s="206"/>
      <c r="BK89" s="206"/>
      <c r="BL89" s="206"/>
      <c r="BM89" s="206"/>
      <c r="BN89" s="206"/>
      <c r="BO89" s="206"/>
      <c r="BP89" s="206"/>
      <c r="BQ89" s="206"/>
      <c r="BR89" s="206"/>
      <c r="BS89" s="206"/>
      <c r="BT89" s="206"/>
      <c r="BU89" s="206"/>
      <c r="BV89" s="206"/>
      <c r="BW89" s="206"/>
      <c r="BX89" s="206"/>
      <c r="BY89" s="206"/>
      <c r="BZ89" s="206"/>
      <c r="CA89" s="206"/>
      <c r="CB89" s="206"/>
      <c r="CC89" s="206"/>
      <c r="CD89" s="206"/>
      <c r="CE89" s="206"/>
      <c r="CF89" s="206"/>
      <c r="CG89" s="206"/>
      <c r="CH89" s="206"/>
      <c r="CI89" s="206"/>
      <c r="CJ89" s="206"/>
      <c r="CK89" s="206"/>
      <c r="CL89" s="206"/>
      <c r="CM89" s="206"/>
      <c r="CN89" s="206"/>
      <c r="CO89" s="206"/>
      <c r="CP89" s="206"/>
      <c r="CQ89" s="206"/>
      <c r="CR89" s="206"/>
      <c r="CS89" s="206"/>
      <c r="CT89" s="206"/>
      <c r="CU89" s="206"/>
      <c r="CV89" s="206"/>
      <c r="CW89" s="206"/>
      <c r="CX89" s="206"/>
      <c r="CY89" s="206"/>
      <c r="CZ89" s="206"/>
      <c r="DA89" s="206"/>
      <c r="DB89" s="206"/>
      <c r="DC89" s="206"/>
      <c r="DD89" s="206"/>
    </row>
    <row r="90" spans="1:205" x14ac:dyDescent="0.25">
      <c r="A90" s="303"/>
      <c r="B90" s="303"/>
      <c r="C90" s="303"/>
      <c r="T90" s="206"/>
      <c r="U90" s="206"/>
      <c r="V90" s="206"/>
      <c r="W90" s="206"/>
      <c r="X90" s="206"/>
      <c r="Y90" s="206"/>
      <c r="Z90" s="206"/>
      <c r="AA90" s="206"/>
      <c r="AB90" s="206"/>
      <c r="AC90" s="206"/>
      <c r="AD90" s="206"/>
      <c r="AE90" s="206"/>
      <c r="AF90" s="206"/>
      <c r="AG90" s="206"/>
      <c r="AH90" s="206"/>
      <c r="AI90" s="206"/>
      <c r="AJ90" s="206"/>
      <c r="AK90" s="206"/>
      <c r="AL90" s="206"/>
      <c r="AM90" s="206"/>
      <c r="AN90" s="206"/>
      <c r="AO90" s="206"/>
      <c r="AP90" s="206"/>
      <c r="AQ90" s="206"/>
      <c r="AR90" s="206"/>
      <c r="AS90" s="206"/>
      <c r="AT90" s="206"/>
      <c r="AU90" s="206"/>
      <c r="AV90" s="206"/>
      <c r="AW90" s="206"/>
      <c r="AX90" s="206"/>
      <c r="AY90" s="206"/>
      <c r="AZ90" s="206"/>
      <c r="BA90" s="206"/>
      <c r="BB90" s="206"/>
      <c r="BC90" s="206"/>
      <c r="BD90" s="206"/>
      <c r="BE90" s="206"/>
      <c r="BF90" s="206"/>
      <c r="BG90" s="206"/>
      <c r="BH90" s="206"/>
      <c r="BI90" s="206"/>
      <c r="BJ90" s="206"/>
      <c r="BK90" s="206"/>
      <c r="BL90" s="206"/>
      <c r="BM90" s="206"/>
      <c r="BN90" s="206"/>
      <c r="BO90" s="206"/>
      <c r="BP90" s="206"/>
      <c r="BQ90" s="206"/>
      <c r="BR90" s="206"/>
      <c r="BS90" s="206"/>
      <c r="BT90" s="206"/>
      <c r="BU90" s="206"/>
      <c r="BV90" s="206"/>
      <c r="BW90" s="206"/>
      <c r="BX90" s="206"/>
      <c r="BY90" s="206"/>
      <c r="BZ90" s="206"/>
      <c r="CA90" s="206"/>
      <c r="CB90" s="206"/>
      <c r="CC90" s="206"/>
      <c r="CD90" s="206"/>
      <c r="CE90" s="206"/>
      <c r="CF90" s="206"/>
      <c r="CG90" s="206"/>
      <c r="CH90" s="206"/>
      <c r="CI90" s="206"/>
      <c r="CJ90" s="206"/>
      <c r="CK90" s="206"/>
      <c r="CL90" s="206"/>
      <c r="CM90" s="206"/>
      <c r="CN90" s="206"/>
      <c r="CO90" s="206"/>
      <c r="CP90" s="206"/>
      <c r="CQ90" s="206"/>
      <c r="CR90" s="206"/>
      <c r="CS90" s="206"/>
      <c r="CT90" s="206"/>
      <c r="CU90" s="206"/>
      <c r="CV90" s="206"/>
      <c r="CW90" s="206"/>
      <c r="CX90" s="206"/>
      <c r="CY90" s="206"/>
      <c r="CZ90" s="206"/>
      <c r="DA90" s="206"/>
      <c r="DB90" s="206"/>
      <c r="DC90" s="206"/>
      <c r="DD90" s="206"/>
    </row>
    <row r="91" spans="1:205" x14ac:dyDescent="0.25">
      <c r="A91" s="303"/>
      <c r="B91" s="303"/>
      <c r="C91" s="303"/>
      <c r="T91" s="206"/>
      <c r="U91" s="206"/>
      <c r="V91" s="206"/>
      <c r="W91" s="206"/>
      <c r="X91" s="206"/>
      <c r="Y91" s="206"/>
      <c r="Z91" s="206"/>
      <c r="AA91" s="206"/>
      <c r="AB91" s="206"/>
      <c r="AC91" s="206"/>
      <c r="AD91" s="206"/>
      <c r="AE91" s="206"/>
      <c r="AF91" s="206"/>
      <c r="AG91" s="206"/>
      <c r="AH91" s="206"/>
      <c r="AI91" s="206"/>
      <c r="AJ91" s="206"/>
      <c r="AK91" s="206"/>
      <c r="AL91" s="206"/>
      <c r="AM91" s="206"/>
      <c r="AN91" s="206"/>
      <c r="AO91" s="206"/>
      <c r="AP91" s="206"/>
      <c r="AQ91" s="206"/>
      <c r="AR91" s="206"/>
      <c r="AS91" s="206"/>
      <c r="AT91" s="206"/>
      <c r="AU91" s="206"/>
      <c r="AV91" s="206"/>
      <c r="AW91" s="206"/>
      <c r="AX91" s="206"/>
      <c r="AY91" s="206"/>
      <c r="AZ91" s="206"/>
      <c r="BA91" s="206"/>
      <c r="BB91" s="206"/>
      <c r="BC91" s="206"/>
      <c r="BD91" s="206"/>
      <c r="BE91" s="206"/>
      <c r="BF91" s="206"/>
      <c r="BG91" s="206"/>
      <c r="BH91" s="206"/>
      <c r="BI91" s="206"/>
      <c r="BJ91" s="206"/>
      <c r="BK91" s="206"/>
      <c r="BL91" s="206"/>
      <c r="BM91" s="206"/>
      <c r="BN91" s="206"/>
      <c r="BO91" s="206"/>
      <c r="BP91" s="206"/>
      <c r="BQ91" s="206"/>
      <c r="BR91" s="206"/>
      <c r="BS91" s="206"/>
      <c r="BT91" s="206"/>
      <c r="BU91" s="206"/>
      <c r="BV91" s="206"/>
      <c r="BW91" s="206"/>
      <c r="BX91" s="206"/>
      <c r="BY91" s="206"/>
      <c r="BZ91" s="206"/>
      <c r="CA91" s="206"/>
      <c r="CB91" s="206"/>
      <c r="CC91" s="206"/>
      <c r="CD91" s="206"/>
      <c r="CE91" s="206"/>
      <c r="CF91" s="206"/>
      <c r="CG91" s="206"/>
      <c r="CH91" s="206"/>
      <c r="CI91" s="206"/>
      <c r="CJ91" s="206"/>
      <c r="CK91" s="206"/>
      <c r="CL91" s="206"/>
      <c r="CM91" s="206"/>
      <c r="CN91" s="206"/>
      <c r="CO91" s="206"/>
      <c r="CP91" s="206"/>
      <c r="CQ91" s="206"/>
      <c r="CR91" s="206"/>
      <c r="CS91" s="206"/>
      <c r="CT91" s="206"/>
      <c r="CU91" s="206"/>
      <c r="CV91" s="206"/>
      <c r="CW91" s="206"/>
      <c r="CX91" s="206"/>
      <c r="CY91" s="206"/>
      <c r="CZ91" s="206"/>
      <c r="DA91" s="206"/>
      <c r="DB91" s="206"/>
      <c r="DC91" s="206"/>
      <c r="DD91" s="206"/>
    </row>
    <row r="92" spans="1:205" x14ac:dyDescent="0.25">
      <c r="A92" s="303"/>
      <c r="B92" s="303"/>
      <c r="C92" s="303"/>
      <c r="T92" s="206"/>
      <c r="U92" s="206"/>
      <c r="V92" s="206"/>
      <c r="W92" s="206"/>
      <c r="X92" s="206"/>
      <c r="Y92" s="206"/>
      <c r="Z92" s="206"/>
      <c r="AA92" s="206"/>
      <c r="AB92" s="206"/>
      <c r="AC92" s="206"/>
      <c r="AD92" s="206"/>
      <c r="AE92" s="206"/>
      <c r="AF92" s="206"/>
      <c r="AG92" s="206"/>
      <c r="AH92" s="206"/>
      <c r="AI92" s="206"/>
      <c r="AJ92" s="206"/>
      <c r="AK92" s="206"/>
      <c r="AL92" s="206"/>
      <c r="AM92" s="206"/>
      <c r="AN92" s="206"/>
      <c r="AO92" s="206"/>
      <c r="AP92" s="206"/>
      <c r="AQ92" s="206"/>
      <c r="AR92" s="206"/>
      <c r="AS92" s="206"/>
      <c r="AT92" s="206"/>
      <c r="AU92" s="206"/>
      <c r="AV92" s="206"/>
      <c r="AW92" s="206"/>
      <c r="AX92" s="206"/>
      <c r="AY92" s="206"/>
      <c r="AZ92" s="206"/>
      <c r="BA92" s="206"/>
      <c r="BB92" s="206"/>
      <c r="BC92" s="206"/>
      <c r="BD92" s="206"/>
      <c r="BE92" s="206"/>
      <c r="BF92" s="206"/>
      <c r="BG92" s="206"/>
      <c r="BH92" s="206"/>
      <c r="BI92" s="206"/>
      <c r="BJ92" s="206"/>
      <c r="BK92" s="206"/>
      <c r="BL92" s="206"/>
      <c r="BM92" s="206"/>
      <c r="BN92" s="206"/>
      <c r="BO92" s="206"/>
      <c r="BP92" s="206"/>
      <c r="BQ92" s="206"/>
      <c r="BR92" s="206"/>
      <c r="BS92" s="206"/>
      <c r="BT92" s="206"/>
      <c r="BU92" s="206"/>
      <c r="BV92" s="206"/>
      <c r="BW92" s="206"/>
      <c r="BX92" s="206"/>
      <c r="BY92" s="206"/>
      <c r="BZ92" s="206"/>
      <c r="CA92" s="206"/>
      <c r="CB92" s="206"/>
      <c r="CC92" s="206"/>
      <c r="CD92" s="206"/>
      <c r="CE92" s="206"/>
      <c r="CF92" s="206"/>
      <c r="CG92" s="206"/>
      <c r="CH92" s="206"/>
      <c r="CI92" s="206"/>
      <c r="CJ92" s="206"/>
      <c r="CK92" s="206"/>
      <c r="CL92" s="206"/>
      <c r="CM92" s="206"/>
      <c r="CN92" s="206"/>
      <c r="CO92" s="206"/>
      <c r="CP92" s="206"/>
      <c r="CQ92" s="206"/>
      <c r="CR92" s="206"/>
      <c r="CS92" s="206"/>
      <c r="CT92" s="206"/>
      <c r="CU92" s="206"/>
      <c r="CV92" s="206"/>
      <c r="CW92" s="206"/>
      <c r="CX92" s="206"/>
      <c r="CY92" s="206"/>
      <c r="CZ92" s="206"/>
      <c r="DA92" s="206"/>
      <c r="DB92" s="206"/>
      <c r="DC92" s="206"/>
      <c r="DD92" s="206"/>
    </row>
    <row r="93" spans="1:205" x14ac:dyDescent="0.25">
      <c r="A93" s="303"/>
      <c r="B93" s="303"/>
      <c r="C93" s="303"/>
      <c r="T93" s="206"/>
      <c r="U93" s="206"/>
      <c r="V93" s="206"/>
      <c r="W93" s="206"/>
      <c r="X93" s="206"/>
      <c r="Y93" s="206"/>
      <c r="Z93" s="206"/>
      <c r="AA93" s="206"/>
      <c r="AB93" s="206"/>
      <c r="AC93" s="206"/>
      <c r="AD93" s="206"/>
      <c r="AE93" s="206"/>
      <c r="AF93" s="206"/>
      <c r="AG93" s="206"/>
      <c r="AH93" s="206"/>
      <c r="AI93" s="206"/>
      <c r="AJ93" s="206"/>
      <c r="AK93" s="206"/>
      <c r="AL93" s="206"/>
      <c r="AM93" s="206"/>
      <c r="AN93" s="206"/>
      <c r="AO93" s="206"/>
      <c r="AP93" s="206"/>
      <c r="AQ93" s="206"/>
      <c r="AR93" s="206"/>
      <c r="AS93" s="206"/>
      <c r="AT93" s="206"/>
      <c r="AU93" s="206"/>
      <c r="AV93" s="206"/>
      <c r="AW93" s="206"/>
      <c r="AX93" s="206"/>
      <c r="AY93" s="206"/>
      <c r="AZ93" s="206"/>
      <c r="BA93" s="206"/>
      <c r="BB93" s="206"/>
      <c r="BC93" s="206"/>
      <c r="BD93" s="206"/>
      <c r="BE93" s="206"/>
      <c r="BF93" s="206"/>
      <c r="BG93" s="206"/>
      <c r="BH93" s="206"/>
      <c r="BI93" s="206"/>
      <c r="BJ93" s="206"/>
      <c r="BK93" s="206"/>
      <c r="BL93" s="206"/>
      <c r="BM93" s="206"/>
      <c r="BN93" s="206"/>
      <c r="BO93" s="206"/>
      <c r="BP93" s="206"/>
      <c r="BQ93" s="206"/>
      <c r="BR93" s="206"/>
      <c r="BS93" s="206"/>
      <c r="BT93" s="206"/>
      <c r="BU93" s="206"/>
      <c r="BV93" s="206"/>
      <c r="BW93" s="206"/>
      <c r="BX93" s="206"/>
      <c r="BY93" s="206"/>
      <c r="BZ93" s="206"/>
      <c r="CA93" s="206"/>
      <c r="CB93" s="206"/>
      <c r="CC93" s="206"/>
      <c r="CD93" s="206"/>
      <c r="CE93" s="206"/>
      <c r="CF93" s="206"/>
      <c r="CG93" s="206"/>
      <c r="CH93" s="206"/>
      <c r="CI93" s="206"/>
      <c r="CJ93" s="206"/>
      <c r="CK93" s="206"/>
      <c r="CL93" s="206"/>
      <c r="CM93" s="206"/>
      <c r="CN93" s="206"/>
      <c r="CO93" s="206"/>
      <c r="CP93" s="206"/>
      <c r="CQ93" s="206"/>
      <c r="CR93" s="206"/>
      <c r="CS93" s="206"/>
      <c r="CT93" s="206"/>
      <c r="CU93" s="206"/>
      <c r="CV93" s="206"/>
      <c r="CW93" s="206"/>
      <c r="CX93" s="206"/>
      <c r="CY93" s="206"/>
      <c r="CZ93" s="206"/>
      <c r="DA93" s="206"/>
      <c r="DB93" s="206"/>
      <c r="DC93" s="206"/>
      <c r="DD93" s="206"/>
    </row>
    <row r="94" spans="1:205" x14ac:dyDescent="0.25">
      <c r="A94" s="303"/>
      <c r="B94" s="303"/>
      <c r="C94" s="303"/>
      <c r="P94" s="275"/>
      <c r="Q94" s="205"/>
      <c r="R94" s="205"/>
      <c r="S94" s="205"/>
      <c r="T94" s="206"/>
      <c r="U94" s="206"/>
      <c r="V94" s="206"/>
      <c r="W94" s="206"/>
      <c r="X94" s="206"/>
      <c r="Y94" s="206"/>
      <c r="Z94" s="206"/>
      <c r="AA94" s="206"/>
      <c r="AB94" s="206"/>
      <c r="AC94" s="206"/>
      <c r="AD94" s="206"/>
      <c r="AE94" s="206"/>
      <c r="AF94" s="206"/>
      <c r="AG94" s="206"/>
      <c r="AH94" s="206"/>
      <c r="AI94" s="206"/>
      <c r="AJ94" s="206"/>
      <c r="AK94" s="206"/>
      <c r="AL94" s="206"/>
      <c r="AM94" s="206"/>
      <c r="AN94" s="206"/>
      <c r="AO94" s="206"/>
      <c r="AP94" s="206"/>
      <c r="AQ94" s="206"/>
      <c r="AR94" s="206"/>
      <c r="AS94" s="206"/>
      <c r="AT94" s="206"/>
      <c r="AU94" s="206"/>
      <c r="AV94" s="206"/>
      <c r="AW94" s="206"/>
      <c r="AX94" s="206"/>
      <c r="AY94" s="206"/>
      <c r="AZ94" s="206"/>
      <c r="BA94" s="206"/>
      <c r="BB94" s="206"/>
      <c r="BC94" s="206"/>
      <c r="BD94" s="206"/>
      <c r="BE94" s="206"/>
      <c r="BF94" s="206"/>
      <c r="BG94" s="206"/>
      <c r="BH94" s="206"/>
      <c r="BI94" s="206"/>
      <c r="BJ94" s="206"/>
      <c r="BK94" s="206"/>
      <c r="BL94" s="206"/>
      <c r="BM94" s="206"/>
      <c r="BN94" s="206"/>
      <c r="BO94" s="206"/>
      <c r="BP94" s="206"/>
      <c r="BQ94" s="206"/>
      <c r="BR94" s="206"/>
      <c r="BS94" s="206"/>
      <c r="BT94" s="206"/>
      <c r="BU94" s="206"/>
      <c r="BV94" s="206"/>
      <c r="BW94" s="206"/>
      <c r="BX94" s="206"/>
      <c r="BY94" s="206"/>
      <c r="BZ94" s="206"/>
      <c r="CA94" s="206"/>
      <c r="CB94" s="206"/>
      <c r="CC94" s="206"/>
      <c r="CD94" s="206"/>
      <c r="CE94" s="206"/>
      <c r="CF94" s="206"/>
      <c r="CG94" s="206"/>
      <c r="CH94" s="206"/>
      <c r="CI94" s="206"/>
      <c r="CJ94" s="206"/>
      <c r="CK94" s="206"/>
      <c r="CL94" s="206"/>
      <c r="CM94" s="206"/>
      <c r="CN94" s="206"/>
      <c r="CO94" s="206"/>
      <c r="CP94" s="206"/>
      <c r="CQ94" s="206"/>
      <c r="CR94" s="206"/>
      <c r="CS94" s="206"/>
      <c r="CT94" s="206"/>
      <c r="CU94" s="206"/>
      <c r="CV94" s="206"/>
      <c r="CW94" s="206"/>
      <c r="CX94" s="206"/>
      <c r="CY94" s="206"/>
      <c r="CZ94" s="206"/>
      <c r="DA94" s="206"/>
      <c r="DB94" s="206"/>
      <c r="DC94" s="206"/>
      <c r="DD94" s="206"/>
    </row>
    <row r="95" spans="1:205" x14ac:dyDescent="0.25">
      <c r="A95" s="303"/>
      <c r="B95" s="303"/>
      <c r="C95" s="303"/>
    </row>
    <row r="96" spans="1:205" x14ac:dyDescent="0.25">
      <c r="A96" s="297"/>
      <c r="B96" s="303"/>
      <c r="C96" s="303"/>
    </row>
    <row r="97" spans="1:108" x14ac:dyDescent="0.25">
      <c r="A97" s="303"/>
      <c r="B97" s="303"/>
      <c r="C97" s="303"/>
    </row>
    <row r="98" spans="1:108" x14ac:dyDescent="0.25">
      <c r="A98" s="303"/>
      <c r="B98" s="303"/>
      <c r="C98" s="303"/>
    </row>
    <row r="99" spans="1:108" x14ac:dyDescent="0.25">
      <c r="A99" s="303"/>
      <c r="B99" s="303"/>
      <c r="C99" s="303"/>
    </row>
    <row r="100" spans="1:108" x14ac:dyDescent="0.25">
      <c r="A100" s="303"/>
      <c r="B100" s="303"/>
      <c r="C100" s="303"/>
    </row>
    <row r="101" spans="1:108" x14ac:dyDescent="0.25">
      <c r="A101" s="303"/>
      <c r="B101" s="303"/>
      <c r="C101" s="303"/>
    </row>
    <row r="102" spans="1:108" x14ac:dyDescent="0.25">
      <c r="A102" s="303"/>
      <c r="B102" s="303"/>
      <c r="C102" s="303"/>
    </row>
    <row r="103" spans="1:108" x14ac:dyDescent="0.25">
      <c r="A103" s="303"/>
      <c r="B103" s="303"/>
      <c r="C103" s="303"/>
    </row>
    <row r="104" spans="1:108" x14ac:dyDescent="0.25">
      <c r="A104" s="303"/>
      <c r="B104" s="303"/>
      <c r="C104" s="303"/>
    </row>
    <row r="105" spans="1:108" x14ac:dyDescent="0.25">
      <c r="A105" s="303"/>
      <c r="B105" s="303"/>
      <c r="C105" s="303"/>
    </row>
    <row r="106" spans="1:108" x14ac:dyDescent="0.25">
      <c r="A106" s="303"/>
      <c r="B106" s="303"/>
      <c r="C106" s="303"/>
    </row>
    <row r="107" spans="1:108" x14ac:dyDescent="0.25">
      <c r="A107" s="303"/>
      <c r="B107" s="303"/>
      <c r="C107" s="303"/>
      <c r="CJ107" s="205"/>
    </row>
    <row r="108" spans="1:108" x14ac:dyDescent="0.25">
      <c r="A108" s="303"/>
      <c r="B108" s="303"/>
      <c r="C108" s="303"/>
      <c r="CK108" s="205"/>
      <c r="CL108" s="205"/>
      <c r="CM108" s="205"/>
      <c r="CN108" s="205"/>
      <c r="CO108" s="205"/>
      <c r="CP108" s="205"/>
      <c r="CQ108" s="205"/>
      <c r="CR108" s="205"/>
      <c r="CS108" s="205"/>
      <c r="CT108" s="205"/>
      <c r="CU108" s="205"/>
      <c r="CV108" s="205"/>
      <c r="CW108" s="205"/>
      <c r="CX108" s="205"/>
      <c r="CY108" s="205"/>
    </row>
    <row r="109" spans="1:108" x14ac:dyDescent="0.25">
      <c r="A109" s="303"/>
      <c r="B109" s="303"/>
      <c r="C109" s="303"/>
      <c r="CF109" s="205"/>
      <c r="CG109" s="205"/>
      <c r="CH109" s="205"/>
      <c r="CI109" s="205"/>
      <c r="DC109" s="205"/>
      <c r="DD109" s="205"/>
    </row>
    <row r="110" spans="1:108" x14ac:dyDescent="0.25">
      <c r="A110" s="303"/>
      <c r="B110" s="303"/>
      <c r="C110" s="303"/>
      <c r="CF110" s="205"/>
      <c r="CG110" s="205"/>
      <c r="CH110" s="205"/>
      <c r="CI110" s="205"/>
      <c r="CJ110" s="205"/>
      <c r="DC110" s="205"/>
      <c r="DD110" s="205"/>
    </row>
    <row r="111" spans="1:108" x14ac:dyDescent="0.25">
      <c r="A111" s="303"/>
      <c r="B111" s="303"/>
      <c r="C111" s="303"/>
      <c r="CJ111" s="205"/>
      <c r="CK111" s="205"/>
      <c r="CL111" s="205"/>
      <c r="CM111" s="205"/>
      <c r="CN111" s="205"/>
      <c r="CO111" s="205"/>
      <c r="CP111" s="205"/>
      <c r="CQ111" s="205"/>
      <c r="CR111" s="205"/>
      <c r="CS111" s="205"/>
      <c r="CT111" s="205"/>
      <c r="CU111" s="205"/>
      <c r="CV111" s="205"/>
      <c r="CW111" s="205"/>
      <c r="CX111" s="205"/>
      <c r="CY111" s="205"/>
    </row>
    <row r="112" spans="1:108" x14ac:dyDescent="0.25">
      <c r="A112" s="303"/>
      <c r="B112" s="303"/>
      <c r="C112" s="303"/>
      <c r="CJ112" s="205"/>
      <c r="CK112" s="205"/>
      <c r="CL112" s="205"/>
      <c r="CM112" s="205"/>
      <c r="CN112" s="205"/>
      <c r="CO112" s="205"/>
      <c r="CP112" s="205"/>
      <c r="CQ112" s="205"/>
      <c r="CR112" s="205"/>
      <c r="CS112" s="205"/>
      <c r="CT112" s="205"/>
      <c r="CU112" s="205"/>
      <c r="CV112" s="205"/>
      <c r="CW112" s="205"/>
      <c r="CX112" s="205"/>
      <c r="CY112" s="205"/>
    </row>
    <row r="113" spans="1:108" x14ac:dyDescent="0.25">
      <c r="A113" s="303"/>
      <c r="B113" s="303"/>
      <c r="C113" s="303"/>
      <c r="CJ113" s="205"/>
      <c r="CK113" s="205"/>
      <c r="CL113" s="205"/>
      <c r="CM113" s="205"/>
      <c r="CN113" s="205"/>
      <c r="CO113" s="205"/>
      <c r="CP113" s="205"/>
      <c r="CQ113" s="205"/>
      <c r="CR113" s="205"/>
      <c r="CS113" s="205"/>
      <c r="CT113" s="205"/>
      <c r="CU113" s="205"/>
      <c r="CV113" s="205"/>
      <c r="CW113" s="205"/>
      <c r="CX113" s="205"/>
      <c r="CY113" s="205"/>
    </row>
    <row r="114" spans="1:108" x14ac:dyDescent="0.25">
      <c r="A114" s="303"/>
      <c r="B114" s="303"/>
      <c r="C114" s="303"/>
      <c r="CJ114" s="205"/>
      <c r="CK114" s="205"/>
      <c r="CL114" s="205"/>
      <c r="CM114" s="205"/>
      <c r="CN114" s="205"/>
      <c r="CO114" s="205"/>
      <c r="CP114" s="205"/>
      <c r="CQ114" s="205"/>
      <c r="CR114" s="205"/>
      <c r="CS114" s="205"/>
      <c r="CT114" s="205"/>
      <c r="CU114" s="205"/>
      <c r="CV114" s="205"/>
      <c r="CW114" s="205"/>
      <c r="CX114" s="205"/>
      <c r="CY114" s="205"/>
    </row>
    <row r="115" spans="1:108" x14ac:dyDescent="0.25">
      <c r="A115" s="303"/>
      <c r="B115" s="303"/>
      <c r="C115" s="303"/>
      <c r="CJ115" s="205"/>
      <c r="CK115" s="205"/>
      <c r="CL115" s="205"/>
      <c r="CM115" s="205"/>
      <c r="CN115" s="205"/>
      <c r="CO115" s="205"/>
      <c r="CP115" s="205"/>
      <c r="CQ115" s="205"/>
      <c r="CR115" s="205"/>
      <c r="CS115" s="205"/>
      <c r="CT115" s="205"/>
      <c r="CU115" s="205"/>
      <c r="CV115" s="205"/>
      <c r="CW115" s="205"/>
      <c r="CX115" s="205"/>
      <c r="CY115" s="205"/>
    </row>
    <row r="116" spans="1:108" x14ac:dyDescent="0.25">
      <c r="A116" s="303"/>
      <c r="B116" s="303"/>
      <c r="C116" s="303"/>
      <c r="CK116" s="205"/>
      <c r="CL116" s="205"/>
      <c r="CM116" s="205"/>
      <c r="CN116" s="205"/>
      <c r="CO116" s="205"/>
      <c r="CP116" s="205"/>
      <c r="CQ116" s="205"/>
      <c r="CR116" s="205"/>
      <c r="CS116" s="205"/>
      <c r="CT116" s="205"/>
      <c r="CU116" s="205"/>
      <c r="CV116" s="205"/>
      <c r="CW116" s="205"/>
      <c r="CX116" s="205"/>
      <c r="CY116" s="205"/>
    </row>
    <row r="117" spans="1:108" x14ac:dyDescent="0.25">
      <c r="A117" s="303"/>
      <c r="B117" s="303"/>
      <c r="C117" s="303"/>
    </row>
    <row r="118" spans="1:108" x14ac:dyDescent="0.25">
      <c r="A118" s="303"/>
      <c r="B118" s="303"/>
      <c r="C118" s="303"/>
    </row>
    <row r="119" spans="1:108" x14ac:dyDescent="0.25">
      <c r="A119" s="303"/>
      <c r="B119" s="303"/>
      <c r="C119" s="303"/>
    </row>
    <row r="120" spans="1:108" x14ac:dyDescent="0.25">
      <c r="A120" s="303"/>
      <c r="B120" s="303"/>
      <c r="C120" s="303"/>
    </row>
    <row r="121" spans="1:108" x14ac:dyDescent="0.25">
      <c r="A121" s="303"/>
      <c r="B121" s="303"/>
      <c r="C121" s="303"/>
    </row>
    <row r="122" spans="1:108" x14ac:dyDescent="0.25">
      <c r="A122" s="303"/>
      <c r="B122" s="303"/>
      <c r="C122" s="303"/>
    </row>
    <row r="123" spans="1:108" x14ac:dyDescent="0.25">
      <c r="A123" s="303"/>
      <c r="B123" s="303"/>
      <c r="C123" s="303"/>
    </row>
    <row r="124" spans="1:108" x14ac:dyDescent="0.25">
      <c r="A124" s="303"/>
      <c r="B124" s="303"/>
      <c r="C124" s="303"/>
    </row>
    <row r="125" spans="1:108" x14ac:dyDescent="0.25">
      <c r="A125" s="303"/>
      <c r="B125" s="303"/>
      <c r="C125" s="303"/>
    </row>
    <row r="126" spans="1:108" x14ac:dyDescent="0.25">
      <c r="A126" s="303"/>
      <c r="B126" s="303"/>
      <c r="C126" s="303"/>
    </row>
    <row r="127" spans="1:108" x14ac:dyDescent="0.25">
      <c r="A127" s="303"/>
      <c r="B127" s="303"/>
      <c r="C127" s="303"/>
      <c r="D127" s="206"/>
      <c r="E127" s="206"/>
      <c r="F127" s="206"/>
      <c r="G127" s="206"/>
      <c r="H127" s="206"/>
      <c r="I127" s="206"/>
      <c r="J127" s="206"/>
      <c r="K127" s="206"/>
      <c r="L127" s="206"/>
      <c r="M127" s="206"/>
      <c r="N127" s="206"/>
      <c r="O127" s="206"/>
      <c r="P127" s="206"/>
      <c r="Q127" s="206"/>
      <c r="R127" s="206"/>
      <c r="S127" s="206"/>
      <c r="T127" s="206"/>
      <c r="U127" s="206"/>
      <c r="V127" s="206"/>
      <c r="W127" s="206"/>
      <c r="X127" s="206"/>
      <c r="Y127" s="206"/>
      <c r="Z127" s="206"/>
      <c r="AA127" s="206"/>
      <c r="AB127" s="206"/>
      <c r="AC127" s="206"/>
      <c r="AD127" s="206"/>
      <c r="AE127" s="206"/>
      <c r="AF127" s="206"/>
      <c r="AG127" s="206"/>
      <c r="AH127" s="206"/>
      <c r="AI127" s="206"/>
      <c r="AJ127" s="206"/>
      <c r="AK127" s="206"/>
      <c r="AL127" s="206"/>
      <c r="AM127" s="206"/>
      <c r="AN127" s="206"/>
      <c r="AO127" s="206"/>
      <c r="AP127" s="206"/>
      <c r="AQ127" s="206"/>
      <c r="AR127" s="206"/>
      <c r="AS127" s="206"/>
      <c r="AT127" s="206"/>
      <c r="AU127" s="206"/>
      <c r="AV127" s="206"/>
      <c r="AW127" s="206"/>
      <c r="AX127" s="206"/>
      <c r="AY127" s="206"/>
      <c r="AZ127" s="206"/>
      <c r="BA127" s="206"/>
      <c r="BB127" s="206"/>
      <c r="BC127" s="206"/>
      <c r="BD127" s="206"/>
      <c r="BE127" s="206"/>
      <c r="BF127" s="206"/>
      <c r="BG127" s="206"/>
      <c r="BH127" s="206"/>
      <c r="BI127" s="206"/>
      <c r="BJ127" s="206"/>
      <c r="BK127" s="206"/>
      <c r="BL127" s="206"/>
      <c r="BM127" s="206"/>
      <c r="BN127" s="206"/>
      <c r="BO127" s="206"/>
      <c r="BP127" s="206"/>
      <c r="BQ127" s="206"/>
      <c r="BR127" s="206"/>
      <c r="BS127" s="206"/>
      <c r="BT127" s="206"/>
      <c r="BU127" s="206"/>
      <c r="BV127" s="206"/>
      <c r="BW127" s="206"/>
      <c r="BX127" s="206"/>
      <c r="BY127" s="206"/>
      <c r="BZ127" s="206"/>
      <c r="CA127" s="206"/>
      <c r="CB127" s="206"/>
      <c r="CC127" s="206"/>
      <c r="CD127" s="206"/>
      <c r="CE127" s="206"/>
      <c r="CF127" s="206"/>
      <c r="CG127" s="206"/>
      <c r="CH127" s="206"/>
      <c r="CI127" s="206"/>
      <c r="CJ127" s="206"/>
      <c r="CK127" s="206"/>
      <c r="CL127" s="206"/>
      <c r="CM127" s="206"/>
      <c r="CN127" s="206"/>
      <c r="CO127" s="206"/>
      <c r="CP127" s="206"/>
      <c r="CQ127" s="206"/>
      <c r="CR127" s="206"/>
      <c r="CS127" s="206"/>
      <c r="CT127" s="206"/>
      <c r="CU127" s="206"/>
      <c r="CV127" s="206"/>
      <c r="CW127" s="206"/>
      <c r="CX127" s="206"/>
      <c r="CY127" s="206"/>
      <c r="CZ127" s="206"/>
      <c r="DA127" s="206"/>
      <c r="DB127" s="206"/>
      <c r="DC127" s="206"/>
      <c r="DD127" s="206"/>
    </row>
    <row r="128" spans="1:108" x14ac:dyDescent="0.25">
      <c r="A128" s="303"/>
      <c r="B128" s="303"/>
      <c r="C128" s="303"/>
      <c r="D128" s="206"/>
      <c r="E128" s="206"/>
      <c r="F128" s="206"/>
      <c r="G128" s="206"/>
      <c r="H128" s="206"/>
      <c r="I128" s="206"/>
      <c r="J128" s="206"/>
      <c r="K128" s="206"/>
      <c r="L128" s="206"/>
      <c r="M128" s="206"/>
      <c r="N128" s="206"/>
      <c r="O128" s="206"/>
      <c r="P128" s="206"/>
      <c r="Q128" s="206"/>
      <c r="R128" s="206"/>
      <c r="S128" s="206"/>
      <c r="T128" s="206"/>
      <c r="U128" s="206"/>
      <c r="V128" s="206"/>
      <c r="W128" s="206"/>
      <c r="X128" s="206"/>
      <c r="Y128" s="206"/>
      <c r="Z128" s="206"/>
      <c r="AA128" s="206"/>
      <c r="AB128" s="206"/>
      <c r="AC128" s="206"/>
      <c r="AD128" s="206"/>
      <c r="AE128" s="206"/>
      <c r="AF128" s="206"/>
      <c r="AG128" s="206"/>
      <c r="AH128" s="206"/>
      <c r="AI128" s="206"/>
      <c r="AJ128" s="206"/>
      <c r="AK128" s="206"/>
      <c r="AL128" s="206"/>
      <c r="AM128" s="206"/>
      <c r="AN128" s="206"/>
      <c r="AO128" s="206"/>
      <c r="AP128" s="206"/>
      <c r="AQ128" s="206"/>
      <c r="AR128" s="206"/>
      <c r="AS128" s="206"/>
      <c r="AT128" s="206"/>
      <c r="AU128" s="206"/>
      <c r="AV128" s="206"/>
      <c r="AW128" s="206"/>
      <c r="AX128" s="206"/>
      <c r="AY128" s="206"/>
      <c r="AZ128" s="206"/>
      <c r="BA128" s="206"/>
      <c r="BB128" s="206"/>
      <c r="BC128" s="206"/>
      <c r="BD128" s="206"/>
      <c r="BE128" s="206"/>
      <c r="BF128" s="206"/>
      <c r="BG128" s="206"/>
      <c r="BH128" s="206"/>
      <c r="BI128" s="206"/>
      <c r="BJ128" s="206"/>
      <c r="BK128" s="206"/>
      <c r="BL128" s="206"/>
      <c r="BM128" s="206"/>
      <c r="BN128" s="206"/>
      <c r="BO128" s="206"/>
      <c r="BP128" s="206"/>
      <c r="BQ128" s="206"/>
      <c r="BR128" s="206"/>
      <c r="BS128" s="206"/>
      <c r="BT128" s="206"/>
      <c r="BU128" s="206"/>
      <c r="BV128" s="206"/>
      <c r="BW128" s="206"/>
      <c r="BX128" s="206"/>
      <c r="BY128" s="206"/>
      <c r="BZ128" s="206"/>
      <c r="CA128" s="206"/>
      <c r="CB128" s="206"/>
      <c r="CC128" s="206"/>
      <c r="CD128" s="206"/>
      <c r="CE128" s="206"/>
      <c r="CF128" s="206"/>
      <c r="CG128" s="206"/>
      <c r="CH128" s="206"/>
      <c r="CI128" s="206"/>
      <c r="CJ128" s="206"/>
      <c r="CK128" s="206"/>
      <c r="CL128" s="206"/>
      <c r="CM128" s="206"/>
      <c r="CN128" s="206"/>
      <c r="CO128" s="206"/>
      <c r="CP128" s="206"/>
      <c r="CQ128" s="206"/>
      <c r="CR128" s="206"/>
      <c r="CS128" s="206"/>
      <c r="CT128" s="206"/>
      <c r="CU128" s="206"/>
      <c r="CV128" s="206"/>
      <c r="CW128" s="206"/>
      <c r="CX128" s="206"/>
      <c r="CY128" s="206"/>
      <c r="CZ128" s="206"/>
      <c r="DA128" s="206"/>
      <c r="DB128" s="206"/>
      <c r="DC128" s="206"/>
      <c r="DD128" s="206"/>
    </row>
    <row r="129" spans="1:108" x14ac:dyDescent="0.25">
      <c r="A129" s="303"/>
      <c r="B129" s="303"/>
      <c r="C129" s="303"/>
      <c r="D129" s="206"/>
      <c r="E129" s="206"/>
      <c r="F129" s="206"/>
      <c r="G129" s="206"/>
      <c r="H129" s="206"/>
      <c r="I129" s="206"/>
      <c r="J129" s="206"/>
      <c r="K129" s="206"/>
      <c r="L129" s="206"/>
      <c r="M129" s="206"/>
      <c r="N129" s="206"/>
      <c r="O129" s="206"/>
      <c r="P129" s="206"/>
      <c r="Q129" s="206"/>
      <c r="R129" s="206"/>
      <c r="S129" s="206"/>
      <c r="T129" s="206"/>
      <c r="U129" s="206"/>
      <c r="V129" s="206"/>
      <c r="W129" s="206"/>
      <c r="X129" s="206"/>
      <c r="Y129" s="206"/>
      <c r="Z129" s="206"/>
      <c r="AA129" s="206"/>
      <c r="AB129" s="206"/>
      <c r="AC129" s="206"/>
      <c r="AD129" s="206"/>
      <c r="AE129" s="206"/>
      <c r="AF129" s="206"/>
      <c r="AG129" s="206"/>
      <c r="AH129" s="206"/>
      <c r="AI129" s="206"/>
      <c r="AJ129" s="206"/>
      <c r="AK129" s="206"/>
      <c r="AL129" s="206"/>
      <c r="AM129" s="206"/>
      <c r="AN129" s="206"/>
      <c r="AO129" s="206"/>
      <c r="AP129" s="206"/>
      <c r="AQ129" s="206"/>
      <c r="AR129" s="206"/>
      <c r="AS129" s="206"/>
      <c r="AT129" s="206"/>
      <c r="AU129" s="206"/>
      <c r="AV129" s="206"/>
      <c r="AW129" s="206"/>
      <c r="AX129" s="206"/>
      <c r="AY129" s="206"/>
      <c r="AZ129" s="206"/>
      <c r="BA129" s="206"/>
      <c r="BB129" s="206"/>
      <c r="BC129" s="206"/>
      <c r="BD129" s="206"/>
      <c r="BE129" s="206"/>
      <c r="BF129" s="206"/>
      <c r="BG129" s="206"/>
      <c r="BH129" s="206"/>
      <c r="BI129" s="206"/>
      <c r="BJ129" s="206"/>
      <c r="BK129" s="206"/>
      <c r="BL129" s="206"/>
      <c r="BM129" s="206"/>
      <c r="BN129" s="206"/>
      <c r="BO129" s="206"/>
      <c r="BP129" s="206"/>
      <c r="BQ129" s="206"/>
      <c r="BR129" s="206"/>
      <c r="BS129" s="206"/>
      <c r="BT129" s="206"/>
      <c r="BU129" s="206"/>
      <c r="BV129" s="206"/>
      <c r="BW129" s="206"/>
      <c r="BX129" s="206"/>
      <c r="BY129" s="206"/>
      <c r="BZ129" s="206"/>
      <c r="CA129" s="206"/>
      <c r="CB129" s="206"/>
      <c r="CC129" s="206"/>
      <c r="CD129" s="206"/>
      <c r="CE129" s="206"/>
      <c r="CF129" s="206"/>
      <c r="CG129" s="206"/>
      <c r="CH129" s="206"/>
      <c r="CI129" s="206"/>
      <c r="CJ129" s="206"/>
      <c r="CK129" s="206"/>
      <c r="CL129" s="206"/>
      <c r="CM129" s="206"/>
      <c r="CN129" s="206"/>
      <c r="CO129" s="206"/>
      <c r="CP129" s="206"/>
      <c r="CQ129" s="206"/>
      <c r="CR129" s="206"/>
      <c r="CS129" s="206"/>
      <c r="CT129" s="206"/>
      <c r="CU129" s="206"/>
      <c r="CV129" s="206"/>
      <c r="CW129" s="206"/>
      <c r="CX129" s="206"/>
      <c r="CY129" s="206"/>
      <c r="CZ129" s="206"/>
      <c r="DA129" s="206"/>
      <c r="DB129" s="206"/>
      <c r="DC129" s="206"/>
      <c r="DD129" s="206"/>
    </row>
    <row r="130" spans="1:108" x14ac:dyDescent="0.25">
      <c r="A130" s="303"/>
      <c r="B130" s="303"/>
      <c r="C130" s="303"/>
      <c r="D130" s="206"/>
      <c r="E130" s="206"/>
      <c r="F130" s="206"/>
      <c r="G130" s="206"/>
      <c r="H130" s="206"/>
      <c r="I130" s="206"/>
      <c r="J130" s="206"/>
      <c r="K130" s="206"/>
      <c r="L130" s="206"/>
      <c r="M130" s="206"/>
      <c r="N130" s="206"/>
      <c r="O130" s="206"/>
      <c r="P130" s="206"/>
      <c r="Q130" s="206"/>
      <c r="R130" s="206"/>
      <c r="S130" s="206"/>
      <c r="T130" s="206"/>
      <c r="U130" s="206"/>
      <c r="V130" s="206"/>
      <c r="W130" s="206"/>
      <c r="X130" s="206"/>
      <c r="Y130" s="206"/>
      <c r="Z130" s="206"/>
      <c r="AA130" s="206"/>
      <c r="AB130" s="206"/>
      <c r="AC130" s="206"/>
      <c r="AD130" s="206"/>
      <c r="AE130" s="206"/>
      <c r="AF130" s="206"/>
      <c r="AG130" s="206"/>
      <c r="AH130" s="206"/>
      <c r="AI130" s="206"/>
      <c r="AJ130" s="206"/>
      <c r="AK130" s="206"/>
      <c r="AL130" s="206"/>
      <c r="AM130" s="206"/>
      <c r="AN130" s="206"/>
      <c r="AO130" s="206"/>
      <c r="AP130" s="206"/>
      <c r="AQ130" s="206"/>
      <c r="AR130" s="206"/>
      <c r="AS130" s="206"/>
      <c r="AT130" s="206"/>
      <c r="AU130" s="206"/>
      <c r="AV130" s="206"/>
      <c r="AW130" s="206"/>
      <c r="AX130" s="206"/>
      <c r="AY130" s="206"/>
      <c r="AZ130" s="206"/>
      <c r="BA130" s="206"/>
      <c r="BB130" s="206"/>
      <c r="BC130" s="206"/>
      <c r="BD130" s="206"/>
      <c r="BE130" s="206"/>
      <c r="BF130" s="206"/>
      <c r="BG130" s="206"/>
      <c r="BH130" s="206"/>
      <c r="BI130" s="206"/>
      <c r="BJ130" s="206"/>
      <c r="BK130" s="206"/>
      <c r="BL130" s="206"/>
      <c r="BM130" s="206"/>
      <c r="BN130" s="206"/>
      <c r="BO130" s="206"/>
      <c r="BP130" s="206"/>
      <c r="BQ130" s="206"/>
      <c r="BR130" s="206"/>
      <c r="BS130" s="206"/>
      <c r="BT130" s="206"/>
      <c r="BU130" s="206"/>
      <c r="BV130" s="206"/>
      <c r="BW130" s="206"/>
      <c r="BX130" s="206"/>
      <c r="BY130" s="206"/>
      <c r="BZ130" s="206"/>
      <c r="CA130" s="206"/>
      <c r="CB130" s="206"/>
      <c r="CC130" s="206"/>
      <c r="CD130" s="206"/>
      <c r="CE130" s="206"/>
      <c r="CF130" s="206"/>
      <c r="CG130" s="206"/>
      <c r="CH130" s="206"/>
      <c r="CI130" s="206"/>
      <c r="CJ130" s="206"/>
      <c r="CK130" s="206"/>
      <c r="CL130" s="206"/>
      <c r="CM130" s="206"/>
      <c r="CN130" s="206"/>
      <c r="CO130" s="206"/>
      <c r="CP130" s="206"/>
      <c r="CQ130" s="206"/>
      <c r="CR130" s="206"/>
      <c r="CS130" s="206"/>
      <c r="CT130" s="206"/>
      <c r="CU130" s="206"/>
      <c r="CV130" s="206"/>
      <c r="CW130" s="206"/>
      <c r="CX130" s="206"/>
      <c r="CY130" s="206"/>
      <c r="CZ130" s="206"/>
      <c r="DA130" s="206"/>
      <c r="DB130" s="206"/>
      <c r="DC130" s="206"/>
      <c r="DD130" s="206"/>
    </row>
    <row r="131" spans="1:108" x14ac:dyDescent="0.25">
      <c r="A131" s="303"/>
      <c r="B131" s="303"/>
      <c r="C131" s="303"/>
      <c r="D131" s="206"/>
      <c r="E131" s="206"/>
      <c r="F131" s="206"/>
      <c r="G131" s="206"/>
      <c r="H131" s="206"/>
      <c r="I131" s="206"/>
      <c r="J131" s="206"/>
      <c r="K131" s="206"/>
      <c r="L131" s="206"/>
      <c r="M131" s="206"/>
      <c r="N131" s="206"/>
      <c r="O131" s="206"/>
      <c r="P131" s="206"/>
      <c r="Q131" s="206"/>
      <c r="R131" s="206"/>
      <c r="S131" s="206"/>
      <c r="T131" s="206"/>
      <c r="U131" s="206"/>
      <c r="V131" s="206"/>
      <c r="W131" s="206"/>
      <c r="X131" s="206"/>
      <c r="Y131" s="206"/>
      <c r="Z131" s="206"/>
      <c r="AA131" s="206"/>
      <c r="AB131" s="206"/>
      <c r="AC131" s="206"/>
      <c r="AD131" s="206"/>
      <c r="AE131" s="206"/>
      <c r="AF131" s="206"/>
      <c r="AG131" s="206"/>
      <c r="AH131" s="206"/>
      <c r="AI131" s="206"/>
      <c r="AJ131" s="206"/>
      <c r="AK131" s="206"/>
      <c r="AL131" s="206"/>
      <c r="AM131" s="206"/>
      <c r="AN131" s="206"/>
      <c r="AO131" s="206"/>
      <c r="AP131" s="206"/>
      <c r="AQ131" s="206"/>
      <c r="AR131" s="206"/>
      <c r="AS131" s="206"/>
      <c r="AT131" s="206"/>
      <c r="AU131" s="206"/>
      <c r="AV131" s="206"/>
      <c r="AW131" s="206"/>
      <c r="AX131" s="206"/>
      <c r="AY131" s="206"/>
      <c r="AZ131" s="206"/>
      <c r="BA131" s="206"/>
      <c r="BB131" s="206"/>
      <c r="BC131" s="206"/>
      <c r="BD131" s="206"/>
      <c r="BE131" s="206"/>
      <c r="BF131" s="206"/>
      <c r="BG131" s="206"/>
      <c r="BH131" s="206"/>
      <c r="BI131" s="206"/>
      <c r="BJ131" s="206"/>
      <c r="BK131" s="206"/>
      <c r="BL131" s="206"/>
      <c r="BM131" s="206"/>
      <c r="BN131" s="206"/>
      <c r="BO131" s="206"/>
      <c r="BP131" s="206"/>
      <c r="BQ131" s="206"/>
      <c r="BR131" s="206"/>
      <c r="BS131" s="206"/>
      <c r="BT131" s="206"/>
      <c r="BU131" s="206"/>
      <c r="BV131" s="206"/>
      <c r="BW131" s="206"/>
      <c r="BX131" s="206"/>
      <c r="BY131" s="206"/>
      <c r="BZ131" s="206"/>
      <c r="CA131" s="206"/>
      <c r="CB131" s="206"/>
      <c r="CC131" s="206"/>
      <c r="CD131" s="206"/>
      <c r="CE131" s="206"/>
      <c r="CF131" s="206"/>
      <c r="CG131" s="206"/>
      <c r="CH131" s="206"/>
      <c r="CI131" s="206"/>
      <c r="CJ131" s="206"/>
      <c r="CK131" s="206"/>
      <c r="CL131" s="206"/>
      <c r="CM131" s="206"/>
      <c r="CN131" s="206"/>
      <c r="CO131" s="206"/>
      <c r="CP131" s="206"/>
      <c r="CQ131" s="206"/>
      <c r="CR131" s="206"/>
      <c r="CS131" s="206"/>
      <c r="CT131" s="206"/>
      <c r="CU131" s="206"/>
      <c r="CV131" s="206"/>
      <c r="CW131" s="206"/>
      <c r="CX131" s="206"/>
      <c r="CY131" s="206"/>
      <c r="CZ131" s="206"/>
      <c r="DA131" s="206"/>
      <c r="DB131" s="206"/>
      <c r="DC131" s="206"/>
      <c r="DD131" s="206"/>
    </row>
    <row r="132" spans="1:108" x14ac:dyDescent="0.25">
      <c r="A132" s="303"/>
      <c r="B132" s="303"/>
      <c r="C132" s="303"/>
      <c r="D132" s="206"/>
      <c r="E132" s="206"/>
      <c r="F132" s="206"/>
      <c r="G132" s="206"/>
      <c r="H132" s="206"/>
      <c r="I132" s="206"/>
      <c r="J132" s="206"/>
      <c r="K132" s="206"/>
      <c r="L132" s="206"/>
      <c r="M132" s="206"/>
      <c r="N132" s="206"/>
      <c r="O132" s="206"/>
      <c r="P132" s="206"/>
      <c r="Q132" s="206"/>
      <c r="R132" s="206"/>
      <c r="S132" s="206"/>
      <c r="T132" s="206"/>
      <c r="U132" s="206"/>
      <c r="V132" s="206"/>
      <c r="W132" s="206"/>
      <c r="X132" s="206"/>
      <c r="Y132" s="206"/>
      <c r="Z132" s="206"/>
      <c r="AA132" s="206"/>
      <c r="AB132" s="206"/>
      <c r="AC132" s="206"/>
      <c r="AD132" s="206"/>
      <c r="AE132" s="206"/>
      <c r="AF132" s="206"/>
      <c r="AG132" s="206"/>
      <c r="AH132" s="206"/>
      <c r="AI132" s="206"/>
      <c r="AJ132" s="206"/>
      <c r="AK132" s="206"/>
      <c r="AL132" s="206"/>
      <c r="AM132" s="206"/>
      <c r="AN132" s="206"/>
      <c r="AO132" s="206"/>
      <c r="AP132" s="206"/>
      <c r="AQ132" s="206"/>
      <c r="AR132" s="206"/>
      <c r="AS132" s="206"/>
      <c r="AT132" s="206"/>
      <c r="AU132" s="206"/>
      <c r="AV132" s="206"/>
      <c r="AW132" s="206"/>
      <c r="AX132" s="206"/>
      <c r="AY132" s="206"/>
      <c r="AZ132" s="206"/>
      <c r="BA132" s="206"/>
      <c r="BB132" s="206"/>
      <c r="BC132" s="206"/>
      <c r="BD132" s="206"/>
      <c r="BE132" s="206"/>
      <c r="BF132" s="206"/>
      <c r="BG132" s="206"/>
      <c r="BH132" s="206"/>
      <c r="BI132" s="206"/>
      <c r="BJ132" s="206"/>
      <c r="BK132" s="206"/>
      <c r="BL132" s="206"/>
      <c r="BM132" s="206"/>
      <c r="BN132" s="206"/>
      <c r="BO132" s="206"/>
      <c r="BP132" s="206"/>
      <c r="BQ132" s="206"/>
      <c r="BR132" s="206"/>
      <c r="BS132" s="206"/>
      <c r="BT132" s="206"/>
      <c r="BU132" s="206"/>
      <c r="BV132" s="206"/>
      <c r="BW132" s="206"/>
      <c r="BX132" s="206"/>
      <c r="BY132" s="206"/>
      <c r="BZ132" s="206"/>
      <c r="CA132" s="206"/>
      <c r="CB132" s="206"/>
      <c r="CC132" s="206"/>
      <c r="CD132" s="206"/>
      <c r="CE132" s="206"/>
      <c r="CF132" s="206"/>
      <c r="CG132" s="206"/>
      <c r="CH132" s="206"/>
      <c r="CI132" s="206"/>
      <c r="CJ132" s="206"/>
      <c r="CK132" s="206"/>
      <c r="CL132" s="206"/>
      <c r="CM132" s="206"/>
      <c r="CN132" s="206"/>
      <c r="CO132" s="206"/>
      <c r="CP132" s="206"/>
      <c r="CQ132" s="206"/>
      <c r="CR132" s="206"/>
      <c r="CS132" s="206"/>
      <c r="CT132" s="206"/>
      <c r="CU132" s="206"/>
      <c r="CV132" s="206"/>
      <c r="CW132" s="206"/>
      <c r="CX132" s="206"/>
      <c r="CY132" s="206"/>
      <c r="CZ132" s="206"/>
      <c r="DA132" s="206"/>
      <c r="DB132" s="206"/>
      <c r="DC132" s="206"/>
      <c r="DD132" s="206"/>
    </row>
    <row r="133" spans="1:108" x14ac:dyDescent="0.25">
      <c r="A133" s="303"/>
      <c r="B133" s="303"/>
      <c r="C133" s="303"/>
      <c r="D133" s="206"/>
      <c r="E133" s="206"/>
      <c r="F133" s="206"/>
      <c r="G133" s="206"/>
      <c r="H133" s="206"/>
      <c r="I133" s="206"/>
      <c r="J133" s="206"/>
      <c r="K133" s="206"/>
      <c r="L133" s="206"/>
      <c r="M133" s="206"/>
      <c r="N133" s="206"/>
      <c r="O133" s="206"/>
      <c r="P133" s="206"/>
      <c r="Q133" s="206"/>
      <c r="R133" s="206"/>
      <c r="S133" s="206"/>
      <c r="T133" s="206"/>
      <c r="U133" s="206"/>
      <c r="V133" s="206"/>
      <c r="W133" s="206"/>
      <c r="X133" s="206"/>
      <c r="Y133" s="206"/>
      <c r="Z133" s="206"/>
      <c r="AA133" s="206"/>
      <c r="AB133" s="206"/>
      <c r="AC133" s="206"/>
      <c r="AD133" s="206"/>
      <c r="AE133" s="206"/>
      <c r="AF133" s="206"/>
      <c r="AG133" s="206"/>
      <c r="AH133" s="206"/>
      <c r="AI133" s="206"/>
      <c r="AJ133" s="206"/>
      <c r="AK133" s="206"/>
      <c r="AL133" s="206"/>
      <c r="AM133" s="206"/>
      <c r="AN133" s="206"/>
      <c r="AO133" s="206"/>
      <c r="AP133" s="206"/>
      <c r="AQ133" s="206"/>
      <c r="AR133" s="206"/>
      <c r="AS133" s="206"/>
      <c r="AT133" s="206"/>
      <c r="AU133" s="206"/>
      <c r="AV133" s="206"/>
      <c r="AW133" s="206"/>
      <c r="AX133" s="206"/>
      <c r="AY133" s="206"/>
      <c r="AZ133" s="206"/>
      <c r="BA133" s="206"/>
      <c r="BB133" s="206"/>
      <c r="BC133" s="206"/>
      <c r="BD133" s="206"/>
      <c r="BE133" s="206"/>
      <c r="BF133" s="206"/>
      <c r="BG133" s="206"/>
      <c r="BH133" s="206"/>
      <c r="BI133" s="206"/>
      <c r="BJ133" s="206"/>
      <c r="BK133" s="206"/>
      <c r="BL133" s="206"/>
      <c r="BM133" s="206"/>
      <c r="BN133" s="206"/>
      <c r="BO133" s="206"/>
      <c r="BP133" s="206"/>
      <c r="BQ133" s="206"/>
      <c r="BR133" s="206"/>
      <c r="BS133" s="206"/>
      <c r="BT133" s="206"/>
      <c r="BU133" s="206"/>
      <c r="BV133" s="206"/>
      <c r="BW133" s="206"/>
      <c r="BX133" s="206"/>
      <c r="BY133" s="206"/>
      <c r="BZ133" s="206"/>
      <c r="CA133" s="206"/>
      <c r="CB133" s="206"/>
      <c r="CC133" s="206"/>
      <c r="CD133" s="206"/>
      <c r="CE133" s="206"/>
      <c r="CF133" s="206"/>
      <c r="CG133" s="206"/>
      <c r="CH133" s="206"/>
      <c r="CI133" s="206"/>
      <c r="CJ133" s="206"/>
      <c r="CK133" s="206"/>
      <c r="CL133" s="206"/>
      <c r="CM133" s="206"/>
      <c r="CN133" s="206"/>
      <c r="CO133" s="206"/>
      <c r="CP133" s="206"/>
      <c r="CQ133" s="206"/>
      <c r="CR133" s="206"/>
      <c r="CS133" s="206"/>
      <c r="CT133" s="206"/>
      <c r="CU133" s="206"/>
      <c r="CV133" s="206"/>
      <c r="CW133" s="206"/>
      <c r="CX133" s="206"/>
      <c r="CY133" s="206"/>
      <c r="CZ133" s="206"/>
      <c r="DA133" s="206"/>
      <c r="DB133" s="206"/>
      <c r="DC133" s="206"/>
      <c r="DD133" s="206"/>
    </row>
    <row r="134" spans="1:108" x14ac:dyDescent="0.25">
      <c r="A134" s="303"/>
      <c r="B134" s="303"/>
      <c r="C134" s="303"/>
      <c r="D134" s="206"/>
      <c r="E134" s="206"/>
      <c r="F134" s="206"/>
      <c r="G134" s="206"/>
      <c r="H134" s="206"/>
      <c r="I134" s="206"/>
      <c r="J134" s="206"/>
      <c r="K134" s="206"/>
      <c r="L134" s="206"/>
      <c r="M134" s="206"/>
      <c r="N134" s="206"/>
      <c r="O134" s="206"/>
      <c r="P134" s="206"/>
      <c r="Q134" s="206"/>
      <c r="R134" s="206"/>
      <c r="S134" s="206"/>
      <c r="T134" s="206"/>
      <c r="U134" s="206"/>
      <c r="V134" s="206"/>
      <c r="W134" s="206"/>
      <c r="X134" s="206"/>
      <c r="Y134" s="206"/>
      <c r="Z134" s="206"/>
      <c r="AA134" s="206"/>
      <c r="AB134" s="206"/>
      <c r="AC134" s="206"/>
      <c r="AD134" s="206"/>
      <c r="AE134" s="206"/>
      <c r="AF134" s="206"/>
      <c r="AG134" s="206"/>
      <c r="AH134" s="206"/>
      <c r="AI134" s="206"/>
      <c r="AJ134" s="206"/>
      <c r="AK134" s="206"/>
      <c r="AL134" s="206"/>
      <c r="AM134" s="206"/>
      <c r="AN134" s="206"/>
      <c r="AO134" s="206"/>
      <c r="AP134" s="206"/>
      <c r="AQ134" s="206"/>
      <c r="AR134" s="206"/>
      <c r="AS134" s="206"/>
      <c r="AT134" s="206"/>
      <c r="AU134" s="206"/>
      <c r="AV134" s="206"/>
      <c r="AW134" s="206"/>
      <c r="AX134" s="206"/>
      <c r="AY134" s="206"/>
      <c r="AZ134" s="206"/>
      <c r="BA134" s="206"/>
      <c r="BB134" s="206"/>
      <c r="BC134" s="206"/>
      <c r="BD134" s="206"/>
      <c r="BE134" s="206"/>
      <c r="BF134" s="206"/>
      <c r="BG134" s="206"/>
      <c r="BH134" s="206"/>
      <c r="BI134" s="206"/>
      <c r="BJ134" s="206"/>
      <c r="BK134" s="206"/>
      <c r="BL134" s="206"/>
      <c r="BM134" s="206"/>
      <c r="BN134" s="206"/>
      <c r="BO134" s="206"/>
      <c r="BP134" s="206"/>
      <c r="BQ134" s="206"/>
      <c r="BR134" s="206"/>
      <c r="BS134" s="206"/>
      <c r="BT134" s="206"/>
      <c r="BU134" s="206"/>
      <c r="BV134" s="206"/>
      <c r="BW134" s="206"/>
      <c r="BX134" s="206"/>
      <c r="BY134" s="206"/>
      <c r="BZ134" s="206"/>
      <c r="CA134" s="206"/>
      <c r="CB134" s="206"/>
      <c r="CC134" s="206"/>
      <c r="CD134" s="206"/>
      <c r="CE134" s="206"/>
      <c r="CF134" s="206"/>
      <c r="CG134" s="206"/>
      <c r="CH134" s="206"/>
      <c r="CI134" s="206"/>
      <c r="CJ134" s="206"/>
      <c r="CK134" s="206"/>
      <c r="CL134" s="206"/>
      <c r="CM134" s="206"/>
      <c r="CN134" s="206"/>
      <c r="CO134" s="206"/>
      <c r="CP134" s="206"/>
      <c r="CQ134" s="206"/>
      <c r="CR134" s="206"/>
      <c r="CS134" s="206"/>
      <c r="CT134" s="206"/>
      <c r="CU134" s="206"/>
      <c r="CV134" s="206"/>
      <c r="CW134" s="206"/>
      <c r="CX134" s="206"/>
      <c r="CY134" s="206"/>
      <c r="CZ134" s="206"/>
      <c r="DA134" s="206"/>
      <c r="DB134" s="206"/>
      <c r="DC134" s="206"/>
      <c r="DD134" s="206"/>
    </row>
    <row r="135" spans="1:108" x14ac:dyDescent="0.25">
      <c r="A135" s="303"/>
      <c r="B135" s="303"/>
      <c r="C135" s="303"/>
      <c r="D135" s="206"/>
      <c r="E135" s="206"/>
      <c r="F135" s="206"/>
      <c r="G135" s="206"/>
      <c r="H135" s="206"/>
      <c r="I135" s="206"/>
      <c r="J135" s="206"/>
      <c r="K135" s="206"/>
      <c r="L135" s="206"/>
      <c r="M135" s="206"/>
      <c r="N135" s="206"/>
      <c r="O135" s="206"/>
      <c r="P135" s="206"/>
      <c r="Q135" s="206"/>
      <c r="R135" s="206"/>
      <c r="S135" s="206"/>
      <c r="T135" s="206"/>
      <c r="U135" s="206"/>
      <c r="V135" s="206"/>
      <c r="W135" s="206"/>
      <c r="X135" s="206"/>
      <c r="Y135" s="206"/>
      <c r="Z135" s="206"/>
      <c r="AA135" s="206"/>
      <c r="AB135" s="206"/>
      <c r="AC135" s="206"/>
      <c r="AD135" s="206"/>
      <c r="AE135" s="206"/>
      <c r="AF135" s="206"/>
      <c r="AG135" s="206"/>
      <c r="AH135" s="206"/>
      <c r="AI135" s="206"/>
      <c r="AJ135" s="206"/>
      <c r="AK135" s="206"/>
      <c r="AL135" s="206"/>
      <c r="AM135" s="206"/>
      <c r="AN135" s="206"/>
      <c r="AO135" s="206"/>
      <c r="AP135" s="206"/>
      <c r="AQ135" s="206"/>
      <c r="AR135" s="206"/>
      <c r="AS135" s="206"/>
      <c r="AT135" s="206"/>
      <c r="AU135" s="206"/>
      <c r="AV135" s="206"/>
      <c r="AW135" s="206"/>
      <c r="AX135" s="206"/>
      <c r="AY135" s="206"/>
      <c r="AZ135" s="206"/>
      <c r="BA135" s="206"/>
      <c r="BB135" s="206"/>
      <c r="BC135" s="206"/>
      <c r="BD135" s="206"/>
      <c r="BE135" s="206"/>
      <c r="BF135" s="206"/>
      <c r="BG135" s="206"/>
      <c r="BH135" s="206"/>
      <c r="BI135" s="206"/>
      <c r="BJ135" s="206"/>
      <c r="BK135" s="206"/>
      <c r="BL135" s="206"/>
      <c r="BM135" s="206"/>
      <c r="BN135" s="206"/>
      <c r="BO135" s="206"/>
      <c r="BP135" s="206"/>
      <c r="BQ135" s="206"/>
      <c r="BR135" s="206"/>
      <c r="BS135" s="206"/>
      <c r="BT135" s="206"/>
      <c r="BU135" s="206"/>
      <c r="BV135" s="206"/>
      <c r="BW135" s="206"/>
      <c r="BX135" s="206"/>
      <c r="BY135" s="206"/>
      <c r="BZ135" s="206"/>
      <c r="CA135" s="206"/>
      <c r="CB135" s="206"/>
      <c r="CC135" s="206"/>
      <c r="CD135" s="206"/>
      <c r="CE135" s="206"/>
      <c r="CF135" s="206"/>
      <c r="CG135" s="206"/>
      <c r="CH135" s="206"/>
      <c r="CI135" s="206"/>
      <c r="CJ135" s="206"/>
      <c r="CK135" s="206"/>
      <c r="CL135" s="206"/>
      <c r="CM135" s="206"/>
      <c r="CN135" s="206"/>
      <c r="CO135" s="206"/>
      <c r="CP135" s="206"/>
      <c r="CQ135" s="206"/>
      <c r="CR135" s="206"/>
      <c r="CS135" s="206"/>
      <c r="CT135" s="206"/>
      <c r="CU135" s="206"/>
      <c r="CV135" s="206"/>
      <c r="CW135" s="206"/>
      <c r="CX135" s="206"/>
      <c r="CY135" s="206"/>
      <c r="CZ135" s="206"/>
      <c r="DA135" s="206"/>
      <c r="DB135" s="206"/>
      <c r="DC135" s="206"/>
      <c r="DD135" s="206"/>
    </row>
    <row r="136" spans="1:108" x14ac:dyDescent="0.25">
      <c r="A136" s="303"/>
      <c r="B136" s="303"/>
      <c r="C136" s="303"/>
      <c r="D136" s="206"/>
      <c r="E136" s="206"/>
      <c r="F136" s="206"/>
      <c r="G136" s="206"/>
      <c r="H136" s="206"/>
      <c r="I136" s="206"/>
      <c r="J136" s="206"/>
      <c r="K136" s="206"/>
      <c r="L136" s="206"/>
      <c r="M136" s="206"/>
      <c r="N136" s="206"/>
      <c r="O136" s="206"/>
      <c r="P136" s="206"/>
      <c r="Q136" s="206"/>
      <c r="R136" s="206"/>
      <c r="S136" s="206"/>
      <c r="T136" s="206"/>
      <c r="U136" s="206"/>
      <c r="V136" s="206"/>
      <c r="W136" s="206"/>
      <c r="X136" s="206"/>
      <c r="Y136" s="206"/>
      <c r="Z136" s="206"/>
      <c r="AA136" s="206"/>
      <c r="AB136" s="206"/>
      <c r="AC136" s="206"/>
      <c r="AD136" s="206"/>
      <c r="AE136" s="206"/>
      <c r="AF136" s="206"/>
      <c r="AG136" s="206"/>
      <c r="AH136" s="206"/>
      <c r="AI136" s="206"/>
      <c r="AJ136" s="206"/>
      <c r="AK136" s="206"/>
      <c r="AL136" s="206"/>
      <c r="AM136" s="206"/>
      <c r="AN136" s="206"/>
      <c r="AO136" s="206"/>
      <c r="AP136" s="206"/>
      <c r="AQ136" s="206"/>
      <c r="AR136" s="206"/>
      <c r="AS136" s="206"/>
      <c r="AT136" s="206"/>
      <c r="AU136" s="206"/>
      <c r="AV136" s="206"/>
      <c r="AW136" s="206"/>
      <c r="AX136" s="206"/>
      <c r="AY136" s="206"/>
      <c r="AZ136" s="206"/>
      <c r="BA136" s="206"/>
      <c r="BB136" s="206"/>
      <c r="BC136" s="206"/>
      <c r="BD136" s="206"/>
      <c r="BE136" s="206"/>
      <c r="BF136" s="206"/>
      <c r="BG136" s="206"/>
      <c r="BH136" s="206"/>
      <c r="BI136" s="206"/>
      <c r="BJ136" s="206"/>
      <c r="BK136" s="206"/>
      <c r="BL136" s="206"/>
      <c r="BM136" s="206"/>
      <c r="BN136" s="206"/>
      <c r="BO136" s="206"/>
      <c r="BP136" s="206"/>
      <c r="BQ136" s="206"/>
      <c r="BR136" s="206"/>
      <c r="BS136" s="206"/>
      <c r="BT136" s="206"/>
      <c r="BU136" s="206"/>
      <c r="BV136" s="206"/>
      <c r="BW136" s="206"/>
      <c r="BX136" s="206"/>
      <c r="BY136" s="206"/>
      <c r="BZ136" s="206"/>
      <c r="CA136" s="206"/>
      <c r="CB136" s="206"/>
      <c r="CC136" s="206"/>
      <c r="CD136" s="206"/>
      <c r="CE136" s="206"/>
      <c r="CF136" s="206"/>
      <c r="CG136" s="206"/>
      <c r="CH136" s="206"/>
      <c r="CI136" s="206"/>
      <c r="CJ136" s="206"/>
      <c r="CK136" s="206"/>
      <c r="CL136" s="206"/>
      <c r="CM136" s="206"/>
      <c r="CN136" s="206"/>
      <c r="CO136" s="206"/>
      <c r="CP136" s="206"/>
      <c r="CQ136" s="206"/>
      <c r="CR136" s="206"/>
      <c r="CS136" s="206"/>
      <c r="CT136" s="206"/>
      <c r="CU136" s="206"/>
      <c r="CV136" s="206"/>
      <c r="CW136" s="206"/>
      <c r="CX136" s="206"/>
      <c r="CY136" s="206"/>
      <c r="CZ136" s="206"/>
      <c r="DA136" s="206"/>
      <c r="DB136" s="206"/>
      <c r="DC136" s="206"/>
      <c r="DD136" s="206"/>
    </row>
    <row r="137" spans="1:108" x14ac:dyDescent="0.25">
      <c r="A137" s="303"/>
      <c r="B137" s="303"/>
      <c r="C137" s="303"/>
      <c r="D137" s="206"/>
      <c r="E137" s="206"/>
      <c r="F137" s="206"/>
      <c r="G137" s="206"/>
      <c r="H137" s="206"/>
      <c r="I137" s="206"/>
      <c r="J137" s="206"/>
      <c r="K137" s="206"/>
      <c r="L137" s="206"/>
      <c r="M137" s="206"/>
      <c r="N137" s="206"/>
      <c r="O137" s="206"/>
      <c r="P137" s="206"/>
      <c r="Q137" s="206"/>
      <c r="R137" s="206"/>
      <c r="S137" s="206"/>
      <c r="T137" s="206"/>
      <c r="U137" s="206"/>
      <c r="V137" s="206"/>
      <c r="W137" s="206"/>
      <c r="X137" s="206"/>
      <c r="Y137" s="206"/>
      <c r="Z137" s="206"/>
      <c r="AA137" s="206"/>
      <c r="AB137" s="206"/>
      <c r="AC137" s="206"/>
      <c r="AD137" s="206"/>
      <c r="AE137" s="206"/>
      <c r="AF137" s="206"/>
      <c r="AG137" s="206"/>
      <c r="AH137" s="206"/>
      <c r="AI137" s="206"/>
      <c r="AJ137" s="206"/>
      <c r="AK137" s="206"/>
      <c r="AL137" s="206"/>
      <c r="AM137" s="206"/>
      <c r="AN137" s="206"/>
      <c r="AO137" s="206"/>
      <c r="AP137" s="206"/>
      <c r="AQ137" s="206"/>
      <c r="AR137" s="206"/>
      <c r="AS137" s="206"/>
      <c r="AT137" s="206"/>
      <c r="AU137" s="206"/>
      <c r="AV137" s="206"/>
      <c r="AW137" s="206"/>
      <c r="AX137" s="206"/>
      <c r="AY137" s="206"/>
      <c r="AZ137" s="206"/>
      <c r="BA137" s="206"/>
      <c r="BB137" s="206"/>
      <c r="BC137" s="206"/>
      <c r="BD137" s="206"/>
      <c r="BE137" s="206"/>
      <c r="BF137" s="206"/>
      <c r="BG137" s="206"/>
      <c r="BH137" s="206"/>
      <c r="BI137" s="206"/>
      <c r="BJ137" s="206"/>
      <c r="BK137" s="206"/>
      <c r="BL137" s="206"/>
      <c r="BM137" s="206"/>
      <c r="BN137" s="206"/>
      <c r="BO137" s="206"/>
      <c r="BP137" s="206"/>
      <c r="BQ137" s="206"/>
      <c r="BR137" s="206"/>
      <c r="BS137" s="206"/>
      <c r="BT137" s="206"/>
      <c r="BU137" s="206"/>
      <c r="BV137" s="206"/>
      <c r="BW137" s="206"/>
      <c r="BX137" s="206"/>
      <c r="BY137" s="206"/>
      <c r="BZ137" s="206"/>
      <c r="CA137" s="206"/>
      <c r="CB137" s="206"/>
      <c r="CC137" s="206"/>
      <c r="CD137" s="206"/>
      <c r="CE137" s="206"/>
      <c r="CF137" s="206"/>
      <c r="CG137" s="206"/>
      <c r="CH137" s="206"/>
      <c r="CI137" s="206"/>
      <c r="CJ137" s="206"/>
      <c r="CK137" s="206"/>
      <c r="CL137" s="206"/>
      <c r="CM137" s="206"/>
      <c r="CN137" s="206"/>
      <c r="CO137" s="206"/>
      <c r="CP137" s="206"/>
      <c r="CQ137" s="206"/>
      <c r="CR137" s="206"/>
      <c r="CS137" s="206"/>
      <c r="CT137" s="206"/>
      <c r="CU137" s="206"/>
      <c r="CV137" s="206"/>
      <c r="CW137" s="206"/>
      <c r="CX137" s="206"/>
      <c r="CY137" s="206"/>
      <c r="CZ137" s="206"/>
      <c r="DA137" s="206"/>
      <c r="DB137" s="206"/>
      <c r="DC137" s="206"/>
      <c r="DD137" s="206"/>
    </row>
    <row r="138" spans="1:108" x14ac:dyDescent="0.25">
      <c r="A138" s="303"/>
      <c r="B138" s="303"/>
      <c r="C138" s="303"/>
      <c r="D138" s="206"/>
      <c r="E138" s="206"/>
      <c r="F138" s="206"/>
      <c r="G138" s="206"/>
      <c r="H138" s="206"/>
      <c r="I138" s="206"/>
      <c r="J138" s="206"/>
      <c r="K138" s="206"/>
      <c r="L138" s="206"/>
      <c r="M138" s="206"/>
      <c r="N138" s="206"/>
      <c r="O138" s="206"/>
      <c r="P138" s="206"/>
      <c r="Q138" s="206"/>
      <c r="R138" s="206"/>
      <c r="S138" s="206"/>
      <c r="T138" s="206"/>
      <c r="U138" s="206"/>
      <c r="V138" s="206"/>
      <c r="W138" s="206"/>
      <c r="X138" s="206"/>
      <c r="Y138" s="206"/>
      <c r="Z138" s="206"/>
      <c r="AA138" s="206"/>
      <c r="AB138" s="206"/>
      <c r="AC138" s="206"/>
      <c r="AD138" s="206"/>
      <c r="AE138" s="206"/>
      <c r="AF138" s="206"/>
      <c r="AG138" s="206"/>
      <c r="AH138" s="206"/>
      <c r="AI138" s="206"/>
      <c r="AJ138" s="206"/>
      <c r="AK138" s="206"/>
      <c r="AL138" s="206"/>
      <c r="AM138" s="206"/>
      <c r="AN138" s="206"/>
      <c r="AO138" s="206"/>
      <c r="AP138" s="206"/>
      <c r="AQ138" s="206"/>
      <c r="AR138" s="206"/>
      <c r="AS138" s="206"/>
      <c r="AT138" s="206"/>
      <c r="AU138" s="206"/>
      <c r="AV138" s="206"/>
      <c r="AW138" s="206"/>
      <c r="AX138" s="206"/>
      <c r="AY138" s="206"/>
      <c r="AZ138" s="206"/>
      <c r="BA138" s="206"/>
      <c r="BB138" s="206"/>
      <c r="BC138" s="206"/>
      <c r="BD138" s="206"/>
      <c r="BE138" s="206"/>
      <c r="BF138" s="206"/>
      <c r="BG138" s="206"/>
      <c r="BH138" s="206"/>
      <c r="BI138" s="206"/>
      <c r="BJ138" s="206"/>
      <c r="BK138" s="206"/>
      <c r="BL138" s="206"/>
      <c r="BM138" s="206"/>
      <c r="BN138" s="206"/>
      <c r="BO138" s="206"/>
      <c r="BP138" s="206"/>
      <c r="BQ138" s="206"/>
      <c r="BR138" s="206"/>
      <c r="BS138" s="206"/>
      <c r="BT138" s="206"/>
      <c r="BU138" s="206"/>
      <c r="BV138" s="206"/>
      <c r="BW138" s="206"/>
      <c r="BX138" s="206"/>
      <c r="BY138" s="206"/>
      <c r="BZ138" s="206"/>
      <c r="CA138" s="206"/>
      <c r="CB138" s="206"/>
      <c r="CC138" s="206"/>
      <c r="CD138" s="206"/>
      <c r="CE138" s="206"/>
      <c r="CF138" s="206"/>
      <c r="CG138" s="206"/>
      <c r="CH138" s="206"/>
      <c r="CI138" s="206"/>
      <c r="CJ138" s="206"/>
      <c r="CK138" s="206"/>
      <c r="CL138" s="206"/>
      <c r="CM138" s="206"/>
      <c r="CN138" s="206"/>
      <c r="CO138" s="206"/>
      <c r="CP138" s="206"/>
      <c r="CQ138" s="206"/>
      <c r="CR138" s="206"/>
      <c r="CS138" s="206"/>
      <c r="CT138" s="206"/>
      <c r="CU138" s="206"/>
      <c r="CV138" s="206"/>
      <c r="CW138" s="206"/>
      <c r="CX138" s="206"/>
      <c r="CY138" s="206"/>
      <c r="CZ138" s="206"/>
      <c r="DA138" s="206"/>
      <c r="DB138" s="206"/>
      <c r="DC138" s="206"/>
      <c r="DD138" s="206"/>
    </row>
    <row r="139" spans="1:108" x14ac:dyDescent="0.25">
      <c r="A139" s="303"/>
      <c r="B139" s="303"/>
      <c r="C139" s="303"/>
      <c r="D139" s="206"/>
      <c r="E139" s="206"/>
      <c r="F139" s="206"/>
      <c r="G139" s="206"/>
      <c r="H139" s="206"/>
      <c r="I139" s="206"/>
      <c r="J139" s="206"/>
      <c r="K139" s="206"/>
      <c r="L139" s="206"/>
      <c r="M139" s="206"/>
      <c r="N139" s="206"/>
      <c r="O139" s="206"/>
      <c r="P139" s="206"/>
      <c r="Q139" s="206"/>
      <c r="R139" s="206"/>
      <c r="S139" s="206"/>
      <c r="T139" s="206"/>
      <c r="U139" s="206"/>
      <c r="V139" s="206"/>
      <c r="W139" s="206"/>
      <c r="X139" s="206"/>
      <c r="Y139" s="206"/>
      <c r="Z139" s="206"/>
      <c r="AA139" s="206"/>
      <c r="AB139" s="206"/>
      <c r="AC139" s="206"/>
      <c r="AD139" s="206"/>
      <c r="AE139" s="206"/>
      <c r="AF139" s="206"/>
      <c r="AG139" s="206"/>
      <c r="AH139" s="206"/>
      <c r="AI139" s="206"/>
      <c r="AJ139" s="206"/>
      <c r="AK139" s="206"/>
      <c r="AL139" s="206"/>
      <c r="AM139" s="206"/>
      <c r="AN139" s="206"/>
      <c r="AO139" s="206"/>
      <c r="AP139" s="206"/>
      <c r="AQ139" s="206"/>
      <c r="AR139" s="206"/>
      <c r="AS139" s="206"/>
      <c r="AT139" s="206"/>
      <c r="AU139" s="206"/>
      <c r="AV139" s="206"/>
      <c r="AW139" s="206"/>
      <c r="AX139" s="206"/>
      <c r="AY139" s="206"/>
      <c r="AZ139" s="206"/>
      <c r="BA139" s="206"/>
      <c r="BB139" s="206"/>
      <c r="BC139" s="206"/>
      <c r="BD139" s="206"/>
      <c r="BE139" s="206"/>
      <c r="BF139" s="206"/>
      <c r="BG139" s="206"/>
      <c r="BH139" s="206"/>
      <c r="BI139" s="206"/>
      <c r="BJ139" s="206"/>
      <c r="BK139" s="206"/>
      <c r="BL139" s="206"/>
      <c r="BM139" s="206"/>
      <c r="BN139" s="206"/>
      <c r="BO139" s="206"/>
      <c r="BP139" s="206"/>
      <c r="BQ139" s="206"/>
      <c r="BR139" s="206"/>
      <c r="BS139" s="206"/>
      <c r="BT139" s="206"/>
      <c r="BU139" s="206"/>
      <c r="BV139" s="206"/>
      <c r="BW139" s="206"/>
      <c r="BX139" s="206"/>
      <c r="BY139" s="206"/>
      <c r="BZ139" s="206"/>
      <c r="CA139" s="206"/>
      <c r="CB139" s="206"/>
      <c r="CC139" s="206"/>
      <c r="CD139" s="206"/>
      <c r="CE139" s="206"/>
      <c r="CF139" s="206"/>
      <c r="CG139" s="206"/>
      <c r="CH139" s="206"/>
      <c r="CI139" s="206"/>
      <c r="CJ139" s="206"/>
      <c r="CK139" s="206"/>
      <c r="CL139" s="206"/>
      <c r="CM139" s="206"/>
      <c r="CN139" s="206"/>
      <c r="CO139" s="206"/>
      <c r="CP139" s="206"/>
      <c r="CQ139" s="206"/>
      <c r="CR139" s="206"/>
      <c r="CS139" s="206"/>
      <c r="CT139" s="206"/>
      <c r="CU139" s="206"/>
      <c r="CV139" s="206"/>
      <c r="CW139" s="206"/>
      <c r="CX139" s="206"/>
      <c r="CY139" s="206"/>
      <c r="CZ139" s="206"/>
      <c r="DA139" s="206"/>
      <c r="DB139" s="206"/>
      <c r="DC139" s="206"/>
      <c r="DD139" s="206"/>
    </row>
    <row r="140" spans="1:108" x14ac:dyDescent="0.25">
      <c r="A140" s="303"/>
      <c r="B140" s="303"/>
      <c r="C140" s="303"/>
      <c r="D140" s="206"/>
      <c r="E140" s="206"/>
      <c r="F140" s="206"/>
      <c r="G140" s="206"/>
      <c r="H140" s="206"/>
      <c r="I140" s="206"/>
      <c r="J140" s="206"/>
      <c r="K140" s="206"/>
      <c r="L140" s="206"/>
      <c r="M140" s="206"/>
      <c r="N140" s="206"/>
      <c r="O140" s="206"/>
      <c r="P140" s="206"/>
      <c r="Q140" s="206"/>
      <c r="R140" s="206"/>
      <c r="S140" s="206"/>
      <c r="T140" s="206"/>
      <c r="U140" s="206"/>
      <c r="V140" s="206"/>
      <c r="W140" s="206"/>
      <c r="X140" s="206"/>
      <c r="Y140" s="206"/>
      <c r="Z140" s="206"/>
      <c r="AA140" s="206"/>
      <c r="AB140" s="206"/>
      <c r="AC140" s="206"/>
      <c r="AD140" s="206"/>
      <c r="AE140" s="206"/>
      <c r="AF140" s="206"/>
      <c r="AG140" s="206"/>
      <c r="AH140" s="206"/>
      <c r="AI140" s="206"/>
      <c r="AJ140" s="206"/>
      <c r="AK140" s="206"/>
      <c r="AL140" s="206"/>
      <c r="AM140" s="206"/>
      <c r="AN140" s="206"/>
      <c r="AO140" s="206"/>
      <c r="AP140" s="206"/>
      <c r="AQ140" s="206"/>
      <c r="AR140" s="206"/>
      <c r="AS140" s="206"/>
      <c r="AT140" s="206"/>
      <c r="AU140" s="206"/>
      <c r="AV140" s="206"/>
      <c r="AW140" s="206"/>
      <c r="AX140" s="206"/>
      <c r="AY140" s="206"/>
      <c r="AZ140" s="206"/>
      <c r="BA140" s="206"/>
      <c r="BB140" s="206"/>
      <c r="BC140" s="206"/>
      <c r="BD140" s="206"/>
      <c r="BE140" s="206"/>
      <c r="BF140" s="206"/>
      <c r="BG140" s="206"/>
      <c r="BH140" s="206"/>
      <c r="BI140" s="206"/>
      <c r="BJ140" s="206"/>
      <c r="BK140" s="206"/>
      <c r="BL140" s="206"/>
      <c r="BM140" s="206"/>
      <c r="BN140" s="206"/>
      <c r="BO140" s="206"/>
      <c r="BP140" s="206"/>
      <c r="BQ140" s="206"/>
      <c r="BR140" s="206"/>
      <c r="BS140" s="206"/>
      <c r="BT140" s="206"/>
      <c r="BU140" s="206"/>
      <c r="BV140" s="206"/>
      <c r="BW140" s="206"/>
      <c r="BX140" s="206"/>
      <c r="BY140" s="206"/>
      <c r="BZ140" s="206"/>
      <c r="CA140" s="206"/>
      <c r="CB140" s="206"/>
      <c r="CC140" s="206"/>
      <c r="CD140" s="206"/>
      <c r="CE140" s="206"/>
      <c r="CF140" s="206"/>
      <c r="CG140" s="206"/>
      <c r="CH140" s="206"/>
      <c r="CI140" s="206"/>
      <c r="CJ140" s="206"/>
      <c r="CK140" s="206"/>
      <c r="CL140" s="206"/>
      <c r="CM140" s="206"/>
      <c r="CN140" s="206"/>
      <c r="CO140" s="206"/>
      <c r="CP140" s="206"/>
      <c r="CQ140" s="206"/>
      <c r="CR140" s="206"/>
      <c r="CS140" s="206"/>
      <c r="CT140" s="206"/>
      <c r="CU140" s="206"/>
      <c r="CV140" s="206"/>
      <c r="CW140" s="206"/>
      <c r="CX140" s="206"/>
      <c r="CY140" s="206"/>
      <c r="CZ140" s="206"/>
      <c r="DA140" s="206"/>
      <c r="DB140" s="206"/>
      <c r="DC140" s="206"/>
      <c r="DD140" s="206"/>
    </row>
    <row r="141" spans="1:108" x14ac:dyDescent="0.25">
      <c r="A141" s="303"/>
      <c r="B141" s="303"/>
      <c r="C141" s="303"/>
      <c r="D141" s="206"/>
      <c r="E141" s="206"/>
      <c r="F141" s="206"/>
      <c r="G141" s="206"/>
      <c r="H141" s="206"/>
      <c r="I141" s="206"/>
      <c r="J141" s="206"/>
      <c r="K141" s="206"/>
      <c r="L141" s="206"/>
      <c r="M141" s="206"/>
      <c r="N141" s="206"/>
      <c r="O141" s="206"/>
      <c r="P141" s="206"/>
      <c r="Q141" s="206"/>
      <c r="R141" s="206"/>
      <c r="S141" s="206"/>
      <c r="T141" s="206"/>
      <c r="U141" s="206"/>
      <c r="V141" s="206"/>
      <c r="W141" s="206"/>
      <c r="X141" s="206"/>
      <c r="Y141" s="206"/>
      <c r="Z141" s="206"/>
      <c r="AA141" s="206"/>
      <c r="AB141" s="206"/>
      <c r="AC141" s="206"/>
      <c r="AD141" s="206"/>
      <c r="AE141" s="206"/>
      <c r="AF141" s="206"/>
      <c r="AG141" s="206"/>
      <c r="AH141" s="206"/>
      <c r="AI141" s="206"/>
      <c r="AJ141" s="206"/>
      <c r="AK141" s="206"/>
      <c r="AL141" s="206"/>
      <c r="AM141" s="206"/>
      <c r="AN141" s="206"/>
      <c r="AO141" s="206"/>
      <c r="AP141" s="206"/>
      <c r="AQ141" s="206"/>
      <c r="AR141" s="206"/>
      <c r="AS141" s="206"/>
      <c r="AT141" s="206"/>
      <c r="AU141" s="206"/>
      <c r="AV141" s="206"/>
      <c r="AW141" s="206"/>
      <c r="AX141" s="206"/>
      <c r="AY141" s="206"/>
      <c r="AZ141" s="206"/>
      <c r="BA141" s="206"/>
      <c r="BB141" s="206"/>
      <c r="BC141" s="206"/>
      <c r="BD141" s="206"/>
      <c r="BE141" s="206"/>
      <c r="BF141" s="206"/>
      <c r="BG141" s="206"/>
      <c r="BH141" s="206"/>
      <c r="BI141" s="206"/>
      <c r="BJ141" s="206"/>
      <c r="BK141" s="206"/>
      <c r="BL141" s="206"/>
      <c r="BM141" s="206"/>
      <c r="BN141" s="206"/>
      <c r="BO141" s="206"/>
      <c r="BP141" s="206"/>
      <c r="BQ141" s="206"/>
      <c r="BR141" s="206"/>
      <c r="BS141" s="206"/>
      <c r="BT141" s="206"/>
      <c r="BU141" s="206"/>
      <c r="BV141" s="206"/>
      <c r="BW141" s="206"/>
      <c r="BX141" s="206"/>
      <c r="BY141" s="206"/>
      <c r="BZ141" s="206"/>
      <c r="CA141" s="206"/>
      <c r="CB141" s="206"/>
      <c r="CC141" s="206"/>
      <c r="CD141" s="206"/>
      <c r="CE141" s="206"/>
      <c r="CF141" s="206"/>
      <c r="CG141" s="206"/>
      <c r="CH141" s="206"/>
      <c r="CI141" s="206"/>
      <c r="CJ141" s="206"/>
      <c r="CK141" s="206"/>
      <c r="CL141" s="206"/>
      <c r="CM141" s="206"/>
      <c r="CN141" s="206"/>
      <c r="CO141" s="206"/>
      <c r="CP141" s="206"/>
      <c r="CQ141" s="206"/>
      <c r="CR141" s="206"/>
      <c r="CS141" s="206"/>
      <c r="CT141" s="206"/>
      <c r="CU141" s="206"/>
      <c r="CV141" s="206"/>
      <c r="CW141" s="206"/>
      <c r="CX141" s="206"/>
      <c r="CY141" s="206"/>
      <c r="CZ141" s="206"/>
      <c r="DA141" s="206"/>
      <c r="DB141" s="206"/>
      <c r="DC141" s="206"/>
      <c r="DD141" s="206"/>
    </row>
    <row r="142" spans="1:108" x14ac:dyDescent="0.25">
      <c r="A142" s="303"/>
      <c r="B142" s="303"/>
      <c r="C142" s="303"/>
      <c r="D142" s="206"/>
      <c r="E142" s="206"/>
      <c r="F142" s="206"/>
      <c r="G142" s="206"/>
      <c r="H142" s="206"/>
      <c r="I142" s="206"/>
      <c r="J142" s="206"/>
      <c r="K142" s="206"/>
      <c r="L142" s="206"/>
      <c r="M142" s="206"/>
      <c r="N142" s="206"/>
      <c r="O142" s="206"/>
      <c r="P142" s="206"/>
      <c r="Q142" s="206"/>
      <c r="R142" s="206"/>
      <c r="S142" s="206"/>
      <c r="T142" s="206"/>
      <c r="U142" s="206"/>
      <c r="V142" s="206"/>
      <c r="W142" s="206"/>
      <c r="X142" s="206"/>
      <c r="Y142" s="206"/>
      <c r="Z142" s="206"/>
      <c r="AA142" s="206"/>
      <c r="AB142" s="206"/>
      <c r="AC142" s="206"/>
      <c r="AD142" s="206"/>
      <c r="AE142" s="206"/>
      <c r="AF142" s="206"/>
      <c r="AG142" s="206"/>
      <c r="AH142" s="206"/>
      <c r="AI142" s="206"/>
      <c r="AJ142" s="206"/>
      <c r="AK142" s="206"/>
      <c r="AL142" s="206"/>
      <c r="AM142" s="206"/>
      <c r="AN142" s="206"/>
      <c r="AO142" s="206"/>
      <c r="AP142" s="206"/>
      <c r="AQ142" s="206"/>
      <c r="AR142" s="206"/>
      <c r="AS142" s="206"/>
      <c r="AT142" s="206"/>
      <c r="AU142" s="206"/>
      <c r="AV142" s="206"/>
      <c r="AW142" s="206"/>
      <c r="AX142" s="206"/>
      <c r="AY142" s="206"/>
      <c r="AZ142" s="206"/>
      <c r="BA142" s="206"/>
      <c r="BB142" s="206"/>
      <c r="BC142" s="206"/>
      <c r="BD142" s="206"/>
      <c r="BE142" s="206"/>
      <c r="BF142" s="206"/>
      <c r="BG142" s="206"/>
      <c r="BH142" s="206"/>
      <c r="BI142" s="206"/>
      <c r="BJ142" s="206"/>
      <c r="BK142" s="206"/>
      <c r="BL142" s="206"/>
      <c r="BM142" s="206"/>
      <c r="BN142" s="206"/>
      <c r="BO142" s="206"/>
      <c r="BP142" s="206"/>
      <c r="BQ142" s="206"/>
      <c r="BR142" s="206"/>
      <c r="BS142" s="206"/>
      <c r="BT142" s="206"/>
      <c r="BU142" s="206"/>
      <c r="BV142" s="206"/>
      <c r="BW142" s="206"/>
      <c r="BX142" s="206"/>
      <c r="BY142" s="206"/>
      <c r="BZ142" s="206"/>
      <c r="CA142" s="206"/>
      <c r="CB142" s="206"/>
      <c r="CC142" s="206"/>
      <c r="CD142" s="206"/>
      <c r="CE142" s="206"/>
      <c r="CF142" s="206"/>
      <c r="CG142" s="206"/>
      <c r="CH142" s="206"/>
      <c r="CI142" s="206"/>
      <c r="CJ142" s="206"/>
      <c r="CK142" s="206"/>
      <c r="CL142" s="206"/>
      <c r="CM142" s="206"/>
      <c r="CN142" s="206"/>
      <c r="CO142" s="206"/>
      <c r="CP142" s="206"/>
      <c r="CQ142" s="206"/>
      <c r="CR142" s="206"/>
      <c r="CS142" s="206"/>
      <c r="CT142" s="206"/>
      <c r="CU142" s="206"/>
      <c r="CV142" s="206"/>
      <c r="CW142" s="206"/>
      <c r="CX142" s="206"/>
      <c r="CY142" s="206"/>
      <c r="CZ142" s="206"/>
      <c r="DA142" s="206"/>
      <c r="DB142" s="206"/>
      <c r="DC142" s="206"/>
      <c r="DD142" s="206"/>
    </row>
    <row r="143" spans="1:108" x14ac:dyDescent="0.25">
      <c r="A143" s="303"/>
      <c r="B143" s="303"/>
      <c r="C143" s="303"/>
      <c r="D143" s="206"/>
      <c r="E143" s="206"/>
      <c r="F143" s="206"/>
      <c r="G143" s="206"/>
      <c r="H143" s="206"/>
      <c r="I143" s="206"/>
      <c r="J143" s="206"/>
      <c r="K143" s="206"/>
      <c r="L143" s="206"/>
      <c r="M143" s="206"/>
      <c r="N143" s="206"/>
      <c r="O143" s="206"/>
      <c r="P143" s="206"/>
      <c r="Q143" s="206"/>
      <c r="R143" s="206"/>
      <c r="S143" s="206"/>
      <c r="T143" s="206"/>
      <c r="U143" s="206"/>
      <c r="V143" s="206"/>
      <c r="W143" s="206"/>
      <c r="X143" s="206"/>
      <c r="Y143" s="206"/>
      <c r="Z143" s="206"/>
      <c r="AA143" s="206"/>
      <c r="AB143" s="206"/>
      <c r="AC143" s="206"/>
      <c r="AD143" s="206"/>
      <c r="AE143" s="206"/>
      <c r="AF143" s="206"/>
      <c r="AG143" s="206"/>
      <c r="AH143" s="206"/>
      <c r="AI143" s="206"/>
      <c r="AJ143" s="206"/>
      <c r="AK143" s="206"/>
      <c r="AL143" s="206"/>
      <c r="AM143" s="206"/>
      <c r="AN143" s="206"/>
      <c r="AO143" s="206"/>
      <c r="AP143" s="206"/>
      <c r="AQ143" s="206"/>
      <c r="AR143" s="206"/>
      <c r="AS143" s="206"/>
      <c r="AT143" s="206"/>
      <c r="AU143" s="206"/>
      <c r="AV143" s="206"/>
      <c r="AW143" s="206"/>
      <c r="AX143" s="206"/>
      <c r="AY143" s="206"/>
      <c r="AZ143" s="206"/>
      <c r="BA143" s="206"/>
      <c r="BB143" s="206"/>
      <c r="BC143" s="206"/>
      <c r="BD143" s="206"/>
      <c r="BE143" s="206"/>
      <c r="BF143" s="206"/>
      <c r="BG143" s="206"/>
      <c r="BH143" s="206"/>
      <c r="BI143" s="206"/>
      <c r="BJ143" s="206"/>
      <c r="BK143" s="206"/>
      <c r="BL143" s="206"/>
      <c r="BM143" s="206"/>
      <c r="BN143" s="206"/>
      <c r="BO143" s="206"/>
      <c r="BP143" s="206"/>
      <c r="BQ143" s="206"/>
      <c r="BR143" s="206"/>
      <c r="BS143" s="206"/>
      <c r="BT143" s="206"/>
      <c r="BU143" s="206"/>
      <c r="BV143" s="206"/>
      <c r="BW143" s="206"/>
      <c r="BX143" s="206"/>
      <c r="BY143" s="206"/>
      <c r="BZ143" s="206"/>
      <c r="CA143" s="206"/>
      <c r="CB143" s="206"/>
      <c r="CC143" s="206"/>
      <c r="CD143" s="206"/>
      <c r="CE143" s="206"/>
      <c r="CF143" s="206"/>
      <c r="CG143" s="206"/>
      <c r="CH143" s="206"/>
      <c r="CI143" s="206"/>
      <c r="CJ143" s="206"/>
      <c r="CK143" s="206"/>
      <c r="CL143" s="206"/>
      <c r="CM143" s="206"/>
      <c r="CN143" s="206"/>
      <c r="CO143" s="206"/>
      <c r="CP143" s="206"/>
      <c r="CQ143" s="206"/>
      <c r="CR143" s="206"/>
      <c r="CS143" s="206"/>
      <c r="CT143" s="206"/>
      <c r="CU143" s="206"/>
      <c r="CV143" s="206"/>
      <c r="CW143" s="206"/>
      <c r="CX143" s="206"/>
      <c r="CY143" s="206"/>
      <c r="CZ143" s="206"/>
      <c r="DA143" s="206"/>
      <c r="DB143" s="206"/>
      <c r="DC143" s="206"/>
      <c r="DD143" s="206"/>
    </row>
    <row r="144" spans="1:108" x14ac:dyDescent="0.25">
      <c r="A144" s="303"/>
      <c r="B144" s="303"/>
      <c r="C144" s="303"/>
      <c r="D144" s="206"/>
      <c r="E144" s="206"/>
      <c r="F144" s="206"/>
      <c r="G144" s="206"/>
      <c r="H144" s="206"/>
      <c r="I144" s="206"/>
      <c r="J144" s="206"/>
      <c r="K144" s="206"/>
      <c r="L144" s="206"/>
      <c r="M144" s="206"/>
      <c r="N144" s="206"/>
      <c r="O144" s="206"/>
      <c r="P144" s="206"/>
      <c r="Q144" s="206"/>
      <c r="R144" s="206"/>
      <c r="S144" s="206"/>
      <c r="T144" s="206"/>
      <c r="U144" s="206"/>
      <c r="V144" s="206"/>
      <c r="W144" s="206"/>
      <c r="X144" s="206"/>
      <c r="Y144" s="206"/>
      <c r="Z144" s="206"/>
      <c r="AA144" s="206"/>
      <c r="AB144" s="206"/>
      <c r="AC144" s="206"/>
      <c r="AD144" s="206"/>
      <c r="AE144" s="206"/>
      <c r="AF144" s="206"/>
      <c r="AG144" s="206"/>
      <c r="AH144" s="206"/>
      <c r="AI144" s="206"/>
      <c r="AJ144" s="206"/>
      <c r="AK144" s="206"/>
      <c r="AL144" s="206"/>
      <c r="AM144" s="206"/>
      <c r="AN144" s="206"/>
      <c r="AO144" s="206"/>
      <c r="AP144" s="206"/>
      <c r="AQ144" s="206"/>
      <c r="AR144" s="206"/>
      <c r="AS144" s="206"/>
      <c r="AT144" s="206"/>
      <c r="AU144" s="206"/>
      <c r="AV144" s="206"/>
      <c r="AW144" s="206"/>
      <c r="AX144" s="206"/>
      <c r="AY144" s="206"/>
      <c r="AZ144" s="206"/>
      <c r="BA144" s="206"/>
      <c r="BB144" s="206"/>
      <c r="BC144" s="206"/>
      <c r="BD144" s="206"/>
      <c r="BE144" s="206"/>
      <c r="BF144" s="206"/>
      <c r="BG144" s="206"/>
      <c r="BH144" s="206"/>
      <c r="BI144" s="206"/>
      <c r="BJ144" s="206"/>
      <c r="BK144" s="206"/>
      <c r="BL144" s="206"/>
      <c r="BM144" s="206"/>
      <c r="BN144" s="206"/>
      <c r="BO144" s="206"/>
      <c r="BP144" s="206"/>
      <c r="BQ144" s="206"/>
      <c r="BR144" s="206"/>
      <c r="BS144" s="206"/>
      <c r="BT144" s="206"/>
      <c r="BU144" s="206"/>
      <c r="BV144" s="206"/>
      <c r="BW144" s="206"/>
      <c r="BX144" s="206"/>
      <c r="BY144" s="206"/>
      <c r="BZ144" s="206"/>
      <c r="CA144" s="206"/>
      <c r="CB144" s="206"/>
      <c r="CC144" s="206"/>
      <c r="CD144" s="206"/>
      <c r="CE144" s="206"/>
      <c r="CF144" s="206"/>
      <c r="CG144" s="206"/>
      <c r="CH144" s="206"/>
      <c r="CI144" s="206"/>
      <c r="CJ144" s="206"/>
      <c r="CK144" s="206"/>
      <c r="CL144" s="206"/>
      <c r="CM144" s="206"/>
      <c r="CN144" s="206"/>
      <c r="CO144" s="206"/>
      <c r="CP144" s="206"/>
      <c r="CQ144" s="206"/>
      <c r="CR144" s="206"/>
      <c r="CS144" s="206"/>
      <c r="CT144" s="206"/>
      <c r="CU144" s="206"/>
      <c r="CV144" s="206"/>
      <c r="CW144" s="206"/>
      <c r="CX144" s="206"/>
      <c r="CY144" s="206"/>
      <c r="CZ144" s="206"/>
      <c r="DA144" s="206"/>
      <c r="DB144" s="206"/>
      <c r="DC144" s="206"/>
      <c r="DD144" s="206"/>
    </row>
    <row r="145" spans="1:108" x14ac:dyDescent="0.25">
      <c r="A145" s="303"/>
      <c r="B145" s="303"/>
      <c r="C145" s="303"/>
      <c r="D145" s="206"/>
      <c r="E145" s="206"/>
      <c r="F145" s="206"/>
      <c r="G145" s="206"/>
      <c r="H145" s="206"/>
      <c r="I145" s="206"/>
      <c r="J145" s="206"/>
      <c r="K145" s="206"/>
      <c r="L145" s="206"/>
      <c r="M145" s="206"/>
      <c r="N145" s="206"/>
      <c r="O145" s="206"/>
      <c r="P145" s="206"/>
      <c r="Q145" s="206"/>
      <c r="R145" s="206"/>
      <c r="S145" s="206"/>
      <c r="T145" s="206"/>
      <c r="U145" s="206"/>
      <c r="V145" s="206"/>
      <c r="W145" s="206"/>
      <c r="X145" s="206"/>
      <c r="Y145" s="206"/>
      <c r="Z145" s="206"/>
      <c r="AA145" s="206"/>
      <c r="AB145" s="206"/>
      <c r="AC145" s="206"/>
      <c r="AD145" s="206"/>
      <c r="AE145" s="206"/>
      <c r="AF145" s="206"/>
      <c r="AG145" s="206"/>
      <c r="AH145" s="206"/>
      <c r="AI145" s="206"/>
      <c r="AJ145" s="206"/>
      <c r="AK145" s="206"/>
      <c r="AL145" s="206"/>
      <c r="AM145" s="206"/>
      <c r="AN145" s="206"/>
      <c r="AO145" s="206"/>
      <c r="AP145" s="206"/>
      <c r="AQ145" s="206"/>
      <c r="AR145" s="206"/>
      <c r="AS145" s="206"/>
      <c r="AT145" s="206"/>
      <c r="AU145" s="206"/>
      <c r="AV145" s="206"/>
      <c r="AW145" s="206"/>
      <c r="AX145" s="206"/>
      <c r="AY145" s="206"/>
      <c r="AZ145" s="206"/>
      <c r="BA145" s="206"/>
      <c r="BB145" s="206"/>
      <c r="BC145" s="206"/>
      <c r="BD145" s="206"/>
      <c r="BE145" s="206"/>
      <c r="BF145" s="206"/>
      <c r="BG145" s="206"/>
      <c r="BH145" s="206"/>
      <c r="BI145" s="206"/>
      <c r="BJ145" s="206"/>
      <c r="BK145" s="206"/>
      <c r="BL145" s="206"/>
      <c r="BM145" s="206"/>
      <c r="BN145" s="206"/>
      <c r="BO145" s="206"/>
      <c r="BP145" s="206"/>
      <c r="BQ145" s="206"/>
      <c r="BR145" s="206"/>
      <c r="BS145" s="206"/>
      <c r="BT145" s="206"/>
      <c r="BU145" s="206"/>
      <c r="BV145" s="206"/>
      <c r="BW145" s="206"/>
      <c r="BX145" s="206"/>
      <c r="BY145" s="206"/>
      <c r="BZ145" s="206"/>
      <c r="CA145" s="206"/>
      <c r="CB145" s="206"/>
      <c r="CC145" s="206"/>
      <c r="CD145" s="206"/>
      <c r="CE145" s="206"/>
      <c r="CF145" s="206"/>
      <c r="CG145" s="206"/>
      <c r="CH145" s="206"/>
      <c r="CI145" s="206"/>
      <c r="CJ145" s="206"/>
      <c r="CK145" s="206"/>
      <c r="CL145" s="206"/>
      <c r="CM145" s="206"/>
      <c r="CN145" s="206"/>
      <c r="CO145" s="206"/>
      <c r="CP145" s="206"/>
      <c r="CQ145" s="206"/>
      <c r="CR145" s="206"/>
      <c r="CS145" s="206"/>
      <c r="CT145" s="206"/>
      <c r="CU145" s="206"/>
      <c r="CV145" s="206"/>
      <c r="CW145" s="206"/>
      <c r="CX145" s="206"/>
      <c r="CY145" s="206"/>
      <c r="CZ145" s="206"/>
      <c r="DA145" s="206"/>
      <c r="DB145" s="206"/>
      <c r="DC145" s="206"/>
      <c r="DD145" s="206"/>
    </row>
    <row r="146" spans="1:108" x14ac:dyDescent="0.25">
      <c r="A146" s="303"/>
      <c r="B146" s="303"/>
      <c r="C146" s="303"/>
      <c r="D146" s="206"/>
      <c r="E146" s="206"/>
      <c r="F146" s="206"/>
      <c r="G146" s="206"/>
      <c r="H146" s="206"/>
      <c r="I146" s="206"/>
      <c r="J146" s="206"/>
      <c r="K146" s="206"/>
      <c r="L146" s="206"/>
      <c r="M146" s="206"/>
      <c r="N146" s="206"/>
      <c r="O146" s="206"/>
      <c r="P146" s="206"/>
      <c r="Q146" s="206"/>
      <c r="R146" s="206"/>
      <c r="S146" s="206"/>
      <c r="T146" s="206"/>
      <c r="U146" s="206"/>
      <c r="V146" s="206"/>
      <c r="W146" s="206"/>
      <c r="X146" s="206"/>
      <c r="Y146" s="206"/>
      <c r="Z146" s="206"/>
      <c r="AA146" s="206"/>
      <c r="AB146" s="206"/>
      <c r="AC146" s="206"/>
      <c r="AD146" s="206"/>
      <c r="AE146" s="206"/>
      <c r="AF146" s="206"/>
      <c r="AG146" s="206"/>
      <c r="AH146" s="206"/>
      <c r="AI146" s="206"/>
      <c r="AJ146" s="206"/>
      <c r="AK146" s="206"/>
      <c r="AL146" s="206"/>
      <c r="AM146" s="206"/>
      <c r="AN146" s="206"/>
      <c r="AO146" s="206"/>
      <c r="AP146" s="206"/>
      <c r="AQ146" s="206"/>
      <c r="AR146" s="206"/>
      <c r="AS146" s="206"/>
      <c r="AT146" s="206"/>
      <c r="AU146" s="206"/>
      <c r="AV146" s="206"/>
      <c r="AW146" s="206"/>
      <c r="AX146" s="206"/>
      <c r="AY146" s="206"/>
      <c r="AZ146" s="206"/>
      <c r="BA146" s="206"/>
      <c r="BB146" s="206"/>
      <c r="BC146" s="206"/>
      <c r="BD146" s="206"/>
      <c r="BE146" s="206"/>
      <c r="BF146" s="206"/>
      <c r="BG146" s="206"/>
      <c r="BH146" s="206"/>
      <c r="BI146" s="206"/>
      <c r="BJ146" s="206"/>
      <c r="BK146" s="206"/>
      <c r="BL146" s="206"/>
      <c r="BM146" s="206"/>
      <c r="BN146" s="206"/>
      <c r="BO146" s="206"/>
      <c r="BP146" s="206"/>
      <c r="BQ146" s="206"/>
      <c r="BR146" s="206"/>
      <c r="BS146" s="206"/>
      <c r="BT146" s="206"/>
      <c r="BU146" s="206"/>
      <c r="BV146" s="206"/>
      <c r="BW146" s="206"/>
      <c r="BX146" s="206"/>
      <c r="BY146" s="206"/>
      <c r="BZ146" s="206"/>
      <c r="CA146" s="206"/>
      <c r="CB146" s="206"/>
      <c r="CC146" s="206"/>
      <c r="CD146" s="206"/>
      <c r="CE146" s="206"/>
      <c r="CF146" s="206"/>
      <c r="CG146" s="206"/>
      <c r="CH146" s="206"/>
      <c r="CI146" s="206"/>
      <c r="CJ146" s="206"/>
      <c r="CK146" s="206"/>
      <c r="CL146" s="206"/>
      <c r="CM146" s="206"/>
      <c r="CN146" s="206"/>
      <c r="CO146" s="206"/>
      <c r="CP146" s="206"/>
      <c r="CQ146" s="206"/>
      <c r="CR146" s="206"/>
      <c r="CS146" s="206"/>
      <c r="CT146" s="206"/>
      <c r="CU146" s="206"/>
      <c r="CV146" s="206"/>
      <c r="CW146" s="206"/>
      <c r="CX146" s="206"/>
      <c r="CY146" s="206"/>
      <c r="CZ146" s="206"/>
      <c r="DA146" s="206"/>
      <c r="DB146" s="206"/>
      <c r="DC146" s="206"/>
      <c r="DD146" s="206"/>
    </row>
    <row r="147" spans="1:108" x14ac:dyDescent="0.25">
      <c r="A147" s="303"/>
      <c r="B147" s="303"/>
      <c r="C147" s="303"/>
      <c r="D147" s="206"/>
      <c r="E147" s="206"/>
      <c r="F147" s="206"/>
      <c r="G147" s="206"/>
      <c r="H147" s="206"/>
      <c r="I147" s="206"/>
      <c r="J147" s="206"/>
      <c r="K147" s="206"/>
      <c r="L147" s="206"/>
      <c r="M147" s="206"/>
      <c r="N147" s="206"/>
      <c r="O147" s="206"/>
      <c r="P147" s="206"/>
      <c r="Q147" s="206"/>
      <c r="R147" s="206"/>
      <c r="S147" s="206"/>
      <c r="T147" s="206"/>
      <c r="U147" s="206"/>
      <c r="V147" s="206"/>
      <c r="W147" s="206"/>
      <c r="X147" s="206"/>
      <c r="Y147" s="206"/>
      <c r="Z147" s="206"/>
      <c r="AA147" s="206"/>
      <c r="AB147" s="206"/>
      <c r="AC147" s="206"/>
      <c r="AD147" s="206"/>
      <c r="AE147" s="206"/>
      <c r="AF147" s="206"/>
      <c r="AG147" s="206"/>
      <c r="AH147" s="206"/>
      <c r="AI147" s="206"/>
      <c r="AJ147" s="206"/>
      <c r="AK147" s="206"/>
      <c r="AL147" s="206"/>
      <c r="AM147" s="206"/>
      <c r="AN147" s="206"/>
      <c r="AO147" s="206"/>
      <c r="AP147" s="206"/>
      <c r="AQ147" s="206"/>
      <c r="AR147" s="206"/>
      <c r="AS147" s="206"/>
      <c r="AT147" s="206"/>
      <c r="AU147" s="206"/>
      <c r="AV147" s="206"/>
      <c r="AW147" s="206"/>
      <c r="AX147" s="206"/>
      <c r="AY147" s="206"/>
      <c r="AZ147" s="206"/>
      <c r="BA147" s="206"/>
      <c r="BB147" s="206"/>
      <c r="BC147" s="206"/>
      <c r="BD147" s="206"/>
      <c r="BE147" s="206"/>
      <c r="BF147" s="206"/>
      <c r="BG147" s="206"/>
      <c r="BH147" s="206"/>
      <c r="BI147" s="206"/>
      <c r="BJ147" s="206"/>
      <c r="BK147" s="206"/>
      <c r="BL147" s="206"/>
      <c r="BM147" s="206"/>
      <c r="BN147" s="206"/>
      <c r="BO147" s="206"/>
      <c r="BP147" s="206"/>
      <c r="BQ147" s="206"/>
      <c r="BR147" s="206"/>
      <c r="BS147" s="206"/>
      <c r="BT147" s="206"/>
      <c r="BU147" s="206"/>
      <c r="BV147" s="206"/>
      <c r="BW147" s="206"/>
      <c r="BX147" s="206"/>
      <c r="BY147" s="206"/>
      <c r="BZ147" s="206"/>
      <c r="CA147" s="206"/>
      <c r="CB147" s="206"/>
      <c r="CC147" s="206"/>
      <c r="CD147" s="206"/>
      <c r="CE147" s="206"/>
      <c r="CF147" s="206"/>
      <c r="CG147" s="206"/>
      <c r="CH147" s="206"/>
      <c r="CI147" s="206"/>
      <c r="CJ147" s="206"/>
      <c r="CK147" s="206"/>
      <c r="CL147" s="206"/>
      <c r="CM147" s="206"/>
      <c r="CN147" s="206"/>
      <c r="CO147" s="206"/>
      <c r="CP147" s="206"/>
      <c r="CQ147" s="206"/>
      <c r="CR147" s="206"/>
      <c r="CS147" s="206"/>
      <c r="CT147" s="206"/>
      <c r="CU147" s="206"/>
      <c r="CV147" s="206"/>
      <c r="CW147" s="206"/>
      <c r="CX147" s="206"/>
      <c r="CY147" s="206"/>
      <c r="CZ147" s="206"/>
      <c r="DA147" s="206"/>
      <c r="DB147" s="206"/>
      <c r="DC147" s="206"/>
      <c r="DD147" s="206"/>
    </row>
    <row r="148" spans="1:108" x14ac:dyDescent="0.25">
      <c r="A148" s="303"/>
      <c r="B148" s="303"/>
      <c r="C148" s="303"/>
      <c r="D148" s="206"/>
      <c r="E148" s="206"/>
      <c r="F148" s="206"/>
      <c r="G148" s="206"/>
      <c r="H148" s="206"/>
      <c r="I148" s="206"/>
      <c r="J148" s="206"/>
      <c r="K148" s="206"/>
      <c r="L148" s="206"/>
      <c r="M148" s="206"/>
      <c r="N148" s="206"/>
      <c r="O148" s="206"/>
      <c r="P148" s="206"/>
      <c r="Q148" s="206"/>
      <c r="R148" s="206"/>
      <c r="S148" s="206"/>
      <c r="T148" s="206"/>
      <c r="U148" s="206"/>
      <c r="V148" s="206"/>
      <c r="W148" s="206"/>
      <c r="X148" s="206"/>
      <c r="Y148" s="206"/>
      <c r="Z148" s="206"/>
      <c r="AA148" s="206"/>
      <c r="AB148" s="206"/>
      <c r="AC148" s="206"/>
      <c r="AD148" s="206"/>
      <c r="AE148" s="206"/>
      <c r="AF148" s="206"/>
      <c r="AG148" s="206"/>
      <c r="AH148" s="206"/>
      <c r="AI148" s="206"/>
      <c r="AJ148" s="206"/>
      <c r="AK148" s="206"/>
      <c r="AL148" s="206"/>
      <c r="AM148" s="206"/>
      <c r="AN148" s="206"/>
      <c r="AO148" s="206"/>
      <c r="AP148" s="206"/>
      <c r="AQ148" s="206"/>
      <c r="AR148" s="206"/>
      <c r="AS148" s="206"/>
      <c r="AT148" s="206"/>
      <c r="AU148" s="206"/>
      <c r="AV148" s="206"/>
      <c r="AW148" s="206"/>
      <c r="AX148" s="206"/>
      <c r="AY148" s="206"/>
      <c r="AZ148" s="206"/>
      <c r="BA148" s="206"/>
      <c r="BB148" s="206"/>
      <c r="BC148" s="206"/>
      <c r="BD148" s="206"/>
      <c r="BE148" s="206"/>
      <c r="BF148" s="206"/>
      <c r="BG148" s="206"/>
      <c r="BH148" s="206"/>
      <c r="BI148" s="206"/>
      <c r="BJ148" s="206"/>
      <c r="BK148" s="206"/>
      <c r="BL148" s="206"/>
      <c r="BM148" s="206"/>
      <c r="BN148" s="206"/>
      <c r="BO148" s="206"/>
      <c r="BP148" s="206"/>
      <c r="BQ148" s="206"/>
      <c r="BR148" s="206"/>
      <c r="BS148" s="206"/>
      <c r="BT148" s="206"/>
      <c r="BU148" s="206"/>
      <c r="BV148" s="206"/>
      <c r="BW148" s="206"/>
      <c r="BX148" s="206"/>
      <c r="BY148" s="206"/>
      <c r="BZ148" s="206"/>
      <c r="CA148" s="206"/>
      <c r="CB148" s="206"/>
      <c r="CC148" s="206"/>
      <c r="CD148" s="206"/>
      <c r="CE148" s="206"/>
      <c r="CF148" s="206"/>
      <c r="CG148" s="206"/>
      <c r="CH148" s="206"/>
      <c r="CI148" s="206"/>
      <c r="CJ148" s="206"/>
      <c r="CK148" s="206"/>
      <c r="CL148" s="206"/>
      <c r="CM148" s="206"/>
      <c r="CN148" s="206"/>
      <c r="CO148" s="206"/>
      <c r="CP148" s="206"/>
      <c r="CQ148" s="206"/>
      <c r="CR148" s="206"/>
      <c r="CS148" s="206"/>
      <c r="CT148" s="206"/>
      <c r="CU148" s="206"/>
      <c r="CV148" s="206"/>
      <c r="CW148" s="206"/>
      <c r="CX148" s="206"/>
      <c r="CY148" s="206"/>
      <c r="CZ148" s="206"/>
      <c r="DA148" s="206"/>
      <c r="DB148" s="206"/>
      <c r="DC148" s="206"/>
      <c r="DD148" s="206"/>
    </row>
    <row r="149" spans="1:108" x14ac:dyDescent="0.25">
      <c r="A149" s="303"/>
      <c r="B149" s="303"/>
      <c r="C149" s="303"/>
      <c r="D149" s="206"/>
      <c r="E149" s="206"/>
      <c r="F149" s="206"/>
      <c r="G149" s="206"/>
      <c r="H149" s="206"/>
      <c r="I149" s="206"/>
      <c r="J149" s="206"/>
      <c r="K149" s="206"/>
      <c r="L149" s="206"/>
      <c r="M149" s="206"/>
      <c r="N149" s="206"/>
      <c r="O149" s="206"/>
      <c r="P149" s="206"/>
      <c r="Q149" s="206"/>
      <c r="R149" s="206"/>
      <c r="S149" s="206"/>
      <c r="T149" s="206"/>
      <c r="U149" s="206"/>
      <c r="V149" s="206"/>
      <c r="W149" s="206"/>
      <c r="X149" s="206"/>
      <c r="Y149" s="206"/>
      <c r="Z149" s="206"/>
      <c r="AA149" s="206"/>
      <c r="AB149" s="206"/>
      <c r="AC149" s="206"/>
      <c r="AD149" s="206"/>
      <c r="AE149" s="206"/>
      <c r="AF149" s="206"/>
      <c r="AG149" s="206"/>
      <c r="AH149" s="206"/>
      <c r="AI149" s="206"/>
      <c r="AJ149" s="206"/>
      <c r="AK149" s="206"/>
      <c r="AL149" s="206"/>
      <c r="AM149" s="206"/>
      <c r="AN149" s="206"/>
      <c r="AO149" s="206"/>
      <c r="AP149" s="206"/>
      <c r="AQ149" s="206"/>
      <c r="AR149" s="206"/>
      <c r="AS149" s="206"/>
      <c r="AT149" s="206"/>
      <c r="AU149" s="206"/>
      <c r="AV149" s="206"/>
      <c r="AW149" s="206"/>
      <c r="AX149" s="206"/>
      <c r="AY149" s="206"/>
      <c r="AZ149" s="206"/>
      <c r="BA149" s="206"/>
      <c r="BB149" s="206"/>
      <c r="BC149" s="206"/>
      <c r="BD149" s="206"/>
      <c r="BE149" s="206"/>
      <c r="BF149" s="206"/>
      <c r="BG149" s="206"/>
      <c r="BH149" s="206"/>
      <c r="BI149" s="206"/>
      <c r="BJ149" s="206"/>
      <c r="BK149" s="206"/>
      <c r="BL149" s="206"/>
      <c r="BM149" s="206"/>
      <c r="BN149" s="206"/>
      <c r="BO149" s="206"/>
      <c r="BP149" s="206"/>
      <c r="BQ149" s="206"/>
      <c r="BR149" s="206"/>
      <c r="BS149" s="206"/>
      <c r="BT149" s="206"/>
      <c r="BU149" s="206"/>
      <c r="BV149" s="206"/>
      <c r="BW149" s="206"/>
      <c r="BX149" s="206"/>
      <c r="BY149" s="206"/>
      <c r="BZ149" s="206"/>
      <c r="CA149" s="206"/>
      <c r="CB149" s="206"/>
      <c r="CC149" s="206"/>
      <c r="CD149" s="206"/>
      <c r="CE149" s="206"/>
      <c r="CF149" s="206"/>
      <c r="CG149" s="206"/>
      <c r="CH149" s="206"/>
      <c r="CI149" s="206"/>
      <c r="CJ149" s="206"/>
      <c r="CK149" s="206"/>
      <c r="CL149" s="206"/>
      <c r="CM149" s="206"/>
      <c r="CN149" s="206"/>
      <c r="CO149" s="206"/>
      <c r="CP149" s="206"/>
      <c r="CQ149" s="206"/>
      <c r="CR149" s="206"/>
      <c r="CS149" s="206"/>
      <c r="CT149" s="206"/>
      <c r="CU149" s="206"/>
      <c r="CV149" s="206"/>
      <c r="CW149" s="206"/>
      <c r="CX149" s="206"/>
      <c r="CY149" s="206"/>
      <c r="CZ149" s="206"/>
      <c r="DA149" s="206"/>
      <c r="DB149" s="206"/>
      <c r="DC149" s="206"/>
      <c r="DD149" s="206"/>
    </row>
    <row r="150" spans="1:108" x14ac:dyDescent="0.25">
      <c r="A150" s="303"/>
      <c r="B150" s="303"/>
      <c r="C150" s="303"/>
      <c r="D150" s="206"/>
      <c r="E150" s="206"/>
      <c r="F150" s="206"/>
      <c r="G150" s="206"/>
      <c r="H150" s="206"/>
      <c r="I150" s="206"/>
      <c r="J150" s="206"/>
      <c r="K150" s="206"/>
      <c r="L150" s="206"/>
      <c r="M150" s="206"/>
      <c r="N150" s="206"/>
      <c r="O150" s="206"/>
      <c r="P150" s="206"/>
      <c r="Q150" s="206"/>
      <c r="R150" s="206"/>
      <c r="S150" s="206"/>
      <c r="T150" s="206"/>
      <c r="U150" s="206"/>
      <c r="V150" s="206"/>
      <c r="W150" s="206"/>
      <c r="X150" s="206"/>
      <c r="Y150" s="206"/>
      <c r="Z150" s="206"/>
      <c r="AA150" s="206"/>
      <c r="AB150" s="206"/>
      <c r="AC150" s="206"/>
      <c r="AD150" s="206"/>
      <c r="AE150" s="206"/>
      <c r="AF150" s="206"/>
      <c r="AG150" s="206"/>
      <c r="AH150" s="206"/>
      <c r="AI150" s="206"/>
      <c r="AJ150" s="206"/>
      <c r="AK150" s="206"/>
      <c r="AL150" s="206"/>
      <c r="AM150" s="206"/>
      <c r="AN150" s="206"/>
      <c r="AO150" s="206"/>
      <c r="AP150" s="206"/>
      <c r="AQ150" s="206"/>
      <c r="AR150" s="206"/>
      <c r="AS150" s="206"/>
      <c r="AT150" s="206"/>
      <c r="AU150" s="206"/>
      <c r="AV150" s="206"/>
      <c r="AW150" s="206"/>
      <c r="AX150" s="206"/>
      <c r="AY150" s="206"/>
      <c r="AZ150" s="206"/>
      <c r="BA150" s="206"/>
      <c r="BB150" s="206"/>
      <c r="BC150" s="206"/>
      <c r="BD150" s="206"/>
      <c r="BE150" s="206"/>
      <c r="BF150" s="206"/>
      <c r="BG150" s="206"/>
      <c r="BH150" s="206"/>
      <c r="BI150" s="206"/>
      <c r="BJ150" s="206"/>
      <c r="BK150" s="206"/>
      <c r="BL150" s="206"/>
      <c r="BM150" s="206"/>
      <c r="BN150" s="206"/>
      <c r="BO150" s="206"/>
      <c r="BP150" s="206"/>
      <c r="BQ150" s="206"/>
      <c r="BR150" s="206"/>
      <c r="BS150" s="206"/>
      <c r="BT150" s="206"/>
      <c r="BU150" s="206"/>
      <c r="BV150" s="206"/>
      <c r="BW150" s="206"/>
      <c r="BX150" s="206"/>
      <c r="BY150" s="206"/>
      <c r="BZ150" s="206"/>
      <c r="CA150" s="206"/>
      <c r="CB150" s="206"/>
      <c r="CC150" s="206"/>
      <c r="CD150" s="206"/>
      <c r="CE150" s="206"/>
      <c r="CF150" s="206"/>
      <c r="CG150" s="206"/>
      <c r="CH150" s="206"/>
      <c r="CI150" s="206"/>
      <c r="CJ150" s="206"/>
      <c r="CK150" s="206"/>
      <c r="CL150" s="206"/>
      <c r="CM150" s="206"/>
      <c r="CN150" s="206"/>
      <c r="CO150" s="206"/>
      <c r="CP150" s="206"/>
      <c r="CQ150" s="206"/>
      <c r="CR150" s="206"/>
      <c r="CS150" s="206"/>
      <c r="CT150" s="206"/>
      <c r="CU150" s="206"/>
      <c r="CV150" s="206"/>
      <c r="CW150" s="206"/>
      <c r="CX150" s="206"/>
      <c r="CY150" s="206"/>
      <c r="CZ150" s="206"/>
      <c r="DA150" s="206"/>
      <c r="DB150" s="206"/>
      <c r="DC150" s="206"/>
      <c r="DD150" s="206"/>
    </row>
    <row r="151" spans="1:108" x14ac:dyDescent="0.25">
      <c r="A151" s="303"/>
      <c r="B151" s="303"/>
      <c r="C151" s="303"/>
      <c r="D151" s="206"/>
      <c r="E151" s="206"/>
      <c r="F151" s="206"/>
      <c r="G151" s="206"/>
      <c r="H151" s="206"/>
      <c r="I151" s="206"/>
      <c r="J151" s="206"/>
      <c r="K151" s="206"/>
      <c r="L151" s="206"/>
      <c r="M151" s="206"/>
      <c r="N151" s="206"/>
      <c r="O151" s="206"/>
      <c r="P151" s="206"/>
      <c r="Q151" s="206"/>
      <c r="R151" s="206"/>
      <c r="S151" s="206"/>
      <c r="T151" s="206"/>
      <c r="U151" s="206"/>
      <c r="V151" s="206"/>
      <c r="W151" s="206"/>
      <c r="X151" s="206"/>
      <c r="Y151" s="206"/>
      <c r="Z151" s="206"/>
      <c r="AA151" s="206"/>
      <c r="AB151" s="206"/>
      <c r="AC151" s="206"/>
      <c r="AD151" s="206"/>
      <c r="AE151" s="206"/>
      <c r="AF151" s="206"/>
      <c r="AG151" s="206"/>
      <c r="AH151" s="206"/>
      <c r="AI151" s="206"/>
      <c r="AJ151" s="206"/>
      <c r="AK151" s="206"/>
      <c r="AL151" s="206"/>
      <c r="AM151" s="206"/>
      <c r="AN151" s="206"/>
      <c r="AO151" s="206"/>
      <c r="AP151" s="206"/>
      <c r="AQ151" s="206"/>
      <c r="AR151" s="206"/>
      <c r="AS151" s="206"/>
      <c r="AT151" s="206"/>
      <c r="AU151" s="206"/>
      <c r="AV151" s="206"/>
      <c r="AW151" s="206"/>
      <c r="AX151" s="206"/>
      <c r="AY151" s="206"/>
      <c r="AZ151" s="206"/>
      <c r="BA151" s="206"/>
      <c r="BB151" s="206"/>
      <c r="BC151" s="206"/>
      <c r="BD151" s="206"/>
      <c r="BE151" s="206"/>
      <c r="BF151" s="206"/>
      <c r="BG151" s="206"/>
      <c r="BH151" s="206"/>
      <c r="BI151" s="206"/>
      <c r="BJ151" s="206"/>
      <c r="BK151" s="206"/>
      <c r="BL151" s="206"/>
      <c r="BM151" s="206"/>
      <c r="BN151" s="206"/>
      <c r="BO151" s="206"/>
      <c r="BP151" s="206"/>
      <c r="BQ151" s="206"/>
      <c r="BR151" s="206"/>
      <c r="BS151" s="206"/>
      <c r="BT151" s="206"/>
      <c r="BU151" s="206"/>
      <c r="BV151" s="206"/>
      <c r="BW151" s="206"/>
      <c r="BX151" s="206"/>
      <c r="BY151" s="206"/>
      <c r="BZ151" s="206"/>
      <c r="CA151" s="206"/>
      <c r="CB151" s="206"/>
      <c r="CC151" s="206"/>
      <c r="CD151" s="206"/>
      <c r="CE151" s="206"/>
      <c r="CF151" s="206"/>
      <c r="CG151" s="206"/>
      <c r="CH151" s="206"/>
      <c r="CI151" s="206"/>
      <c r="CJ151" s="206"/>
      <c r="CK151" s="206"/>
      <c r="CL151" s="206"/>
      <c r="CM151" s="206"/>
      <c r="CN151" s="206"/>
      <c r="CO151" s="206"/>
      <c r="CP151" s="206"/>
      <c r="CQ151" s="206"/>
      <c r="CR151" s="206"/>
      <c r="CS151" s="206"/>
      <c r="CT151" s="206"/>
      <c r="CU151" s="206"/>
      <c r="CV151" s="206"/>
      <c r="CW151" s="206"/>
      <c r="CX151" s="206"/>
      <c r="CY151" s="206"/>
      <c r="CZ151" s="206"/>
      <c r="DA151" s="206"/>
      <c r="DB151" s="206"/>
      <c r="DC151" s="206"/>
      <c r="DD151" s="206"/>
    </row>
    <row r="152" spans="1:108" x14ac:dyDescent="0.25">
      <c r="A152" s="303"/>
      <c r="B152" s="303"/>
      <c r="C152" s="303"/>
      <c r="D152" s="206"/>
      <c r="E152" s="206"/>
      <c r="F152" s="206"/>
      <c r="G152" s="206"/>
      <c r="H152" s="206"/>
      <c r="I152" s="206"/>
      <c r="J152" s="206"/>
      <c r="K152" s="206"/>
      <c r="L152" s="206"/>
      <c r="M152" s="206"/>
      <c r="N152" s="206"/>
      <c r="O152" s="206"/>
      <c r="P152" s="206"/>
      <c r="Q152" s="206"/>
      <c r="R152" s="206"/>
      <c r="S152" s="206"/>
      <c r="T152" s="206"/>
      <c r="U152" s="206"/>
      <c r="V152" s="206"/>
      <c r="W152" s="206"/>
      <c r="X152" s="206"/>
      <c r="Y152" s="206"/>
      <c r="Z152" s="206"/>
      <c r="AA152" s="206"/>
      <c r="AB152" s="206"/>
      <c r="AC152" s="206"/>
      <c r="AD152" s="206"/>
      <c r="AE152" s="206"/>
      <c r="AF152" s="206"/>
      <c r="AG152" s="206"/>
      <c r="AH152" s="206"/>
      <c r="AI152" s="206"/>
      <c r="AJ152" s="206"/>
      <c r="AK152" s="206"/>
      <c r="AL152" s="206"/>
      <c r="AM152" s="206"/>
      <c r="AN152" s="206"/>
      <c r="AO152" s="206"/>
      <c r="AP152" s="206"/>
      <c r="AQ152" s="206"/>
      <c r="AR152" s="206"/>
      <c r="AS152" s="206"/>
      <c r="AT152" s="206"/>
      <c r="AU152" s="206"/>
      <c r="AV152" s="206"/>
      <c r="AW152" s="206"/>
      <c r="AX152" s="206"/>
      <c r="AY152" s="206"/>
      <c r="AZ152" s="206"/>
      <c r="BA152" s="206"/>
      <c r="BB152" s="206"/>
      <c r="BC152" s="206"/>
      <c r="BD152" s="206"/>
      <c r="BE152" s="206"/>
      <c r="BF152" s="206"/>
      <c r="BG152" s="206"/>
      <c r="BH152" s="206"/>
      <c r="BI152" s="206"/>
      <c r="BJ152" s="206"/>
      <c r="BK152" s="206"/>
      <c r="BL152" s="206"/>
      <c r="BM152" s="206"/>
      <c r="BN152" s="206"/>
      <c r="BO152" s="206"/>
      <c r="BP152" s="206"/>
      <c r="BQ152" s="206"/>
      <c r="BR152" s="206"/>
      <c r="BS152" s="206"/>
      <c r="BT152" s="206"/>
      <c r="BU152" s="206"/>
      <c r="BV152" s="206"/>
      <c r="BW152" s="206"/>
      <c r="BX152" s="206"/>
      <c r="BY152" s="206"/>
      <c r="BZ152" s="206"/>
      <c r="CA152" s="206"/>
      <c r="CB152" s="206"/>
      <c r="CC152" s="206"/>
      <c r="CD152" s="206"/>
      <c r="CE152" s="206"/>
      <c r="CF152" s="206"/>
      <c r="CG152" s="206"/>
      <c r="CH152" s="206"/>
      <c r="CI152" s="206"/>
      <c r="CJ152" s="206"/>
      <c r="CK152" s="206"/>
      <c r="CL152" s="206"/>
      <c r="CM152" s="206"/>
      <c r="CN152" s="206"/>
      <c r="CO152" s="206"/>
      <c r="CP152" s="206"/>
      <c r="CQ152" s="206"/>
      <c r="CR152" s="206"/>
      <c r="CS152" s="206"/>
      <c r="CT152" s="206"/>
      <c r="CU152" s="206"/>
      <c r="CV152" s="206"/>
      <c r="CW152" s="206"/>
      <c r="CX152" s="206"/>
      <c r="CY152" s="206"/>
      <c r="CZ152" s="206"/>
      <c r="DA152" s="206"/>
      <c r="DB152" s="206"/>
      <c r="DC152" s="206"/>
      <c r="DD152" s="206"/>
    </row>
    <row r="153" spans="1:108" x14ac:dyDescent="0.25">
      <c r="A153" s="303"/>
      <c r="B153" s="303"/>
      <c r="C153" s="303"/>
      <c r="D153" s="206"/>
      <c r="E153" s="206"/>
      <c r="F153" s="206"/>
      <c r="G153" s="206"/>
      <c r="H153" s="206"/>
      <c r="I153" s="206"/>
      <c r="J153" s="206"/>
      <c r="K153" s="206"/>
      <c r="L153" s="206"/>
      <c r="M153" s="206"/>
      <c r="N153" s="206"/>
      <c r="O153" s="206"/>
      <c r="P153" s="206"/>
      <c r="Q153" s="206"/>
      <c r="R153" s="206"/>
      <c r="S153" s="206"/>
      <c r="T153" s="206"/>
      <c r="U153" s="206"/>
      <c r="V153" s="206"/>
      <c r="W153" s="206"/>
      <c r="X153" s="206"/>
      <c r="Y153" s="206"/>
      <c r="Z153" s="206"/>
      <c r="AA153" s="206"/>
      <c r="AB153" s="206"/>
      <c r="AC153" s="206"/>
      <c r="AD153" s="206"/>
      <c r="AE153" s="206"/>
      <c r="AF153" s="206"/>
      <c r="AG153" s="206"/>
      <c r="AH153" s="206"/>
      <c r="AI153" s="206"/>
      <c r="AJ153" s="206"/>
      <c r="AK153" s="206"/>
      <c r="AL153" s="206"/>
      <c r="AM153" s="206"/>
      <c r="AN153" s="206"/>
      <c r="AO153" s="206"/>
      <c r="AP153" s="206"/>
      <c r="AQ153" s="206"/>
      <c r="AR153" s="206"/>
      <c r="AS153" s="206"/>
      <c r="AT153" s="206"/>
      <c r="AU153" s="206"/>
      <c r="AV153" s="206"/>
      <c r="AW153" s="206"/>
      <c r="AX153" s="206"/>
      <c r="AY153" s="206"/>
      <c r="AZ153" s="206"/>
      <c r="BA153" s="206"/>
      <c r="BB153" s="206"/>
      <c r="BC153" s="206"/>
      <c r="BD153" s="206"/>
      <c r="BE153" s="206"/>
      <c r="BF153" s="206"/>
      <c r="BG153" s="206"/>
      <c r="BH153" s="206"/>
      <c r="BI153" s="206"/>
      <c r="BJ153" s="206"/>
      <c r="BK153" s="206"/>
      <c r="BL153" s="206"/>
      <c r="BM153" s="206"/>
      <c r="BN153" s="206"/>
      <c r="BO153" s="206"/>
      <c r="BP153" s="206"/>
      <c r="BQ153" s="206"/>
      <c r="BR153" s="206"/>
      <c r="BS153" s="206"/>
      <c r="BT153" s="206"/>
      <c r="BU153" s="206"/>
      <c r="BV153" s="206"/>
      <c r="BW153" s="206"/>
      <c r="BX153" s="206"/>
      <c r="BY153" s="206"/>
      <c r="BZ153" s="206"/>
      <c r="CA153" s="206"/>
      <c r="CB153" s="206"/>
      <c r="CC153" s="206"/>
      <c r="CD153" s="206"/>
      <c r="CE153" s="206"/>
      <c r="CF153" s="206"/>
      <c r="CG153" s="206"/>
      <c r="CH153" s="206"/>
      <c r="CI153" s="206"/>
      <c r="CJ153" s="206"/>
      <c r="CK153" s="206"/>
      <c r="CL153" s="206"/>
      <c r="CM153" s="206"/>
      <c r="CN153" s="206"/>
      <c r="CO153" s="206"/>
      <c r="CP153" s="206"/>
      <c r="CQ153" s="206"/>
      <c r="CR153" s="206"/>
      <c r="CS153" s="206"/>
      <c r="CT153" s="206"/>
      <c r="CU153" s="206"/>
      <c r="CV153" s="206"/>
      <c r="CW153" s="206"/>
      <c r="CX153" s="206"/>
      <c r="CY153" s="206"/>
      <c r="CZ153" s="206"/>
      <c r="DA153" s="206"/>
      <c r="DB153" s="206"/>
      <c r="DC153" s="206"/>
      <c r="DD153" s="206"/>
    </row>
    <row r="154" spans="1:108" x14ac:dyDescent="0.25">
      <c r="A154" s="303"/>
      <c r="B154" s="303"/>
      <c r="C154" s="303"/>
      <c r="D154" s="206"/>
      <c r="E154" s="206"/>
      <c r="F154" s="206"/>
      <c r="G154" s="206"/>
      <c r="H154" s="206"/>
      <c r="I154" s="206"/>
      <c r="J154" s="206"/>
      <c r="K154" s="206"/>
      <c r="L154" s="206"/>
      <c r="M154" s="206"/>
      <c r="N154" s="206"/>
      <c r="O154" s="206"/>
      <c r="P154" s="206"/>
      <c r="Q154" s="206"/>
      <c r="R154" s="206"/>
      <c r="S154" s="206"/>
      <c r="T154" s="206"/>
      <c r="U154" s="206"/>
      <c r="V154" s="206"/>
      <c r="W154" s="206"/>
      <c r="X154" s="206"/>
      <c r="Y154" s="206"/>
      <c r="Z154" s="206"/>
      <c r="AA154" s="206"/>
      <c r="AB154" s="206"/>
      <c r="AC154" s="206"/>
      <c r="AD154" s="206"/>
      <c r="AE154" s="206"/>
      <c r="AF154" s="206"/>
      <c r="AG154" s="206"/>
      <c r="AH154" s="206"/>
      <c r="AI154" s="206"/>
      <c r="AJ154" s="206"/>
      <c r="AK154" s="206"/>
      <c r="AL154" s="206"/>
      <c r="AM154" s="206"/>
      <c r="AN154" s="206"/>
      <c r="AO154" s="206"/>
      <c r="AP154" s="206"/>
      <c r="AQ154" s="206"/>
      <c r="AR154" s="206"/>
      <c r="AS154" s="206"/>
      <c r="AT154" s="206"/>
      <c r="AU154" s="206"/>
      <c r="AV154" s="206"/>
      <c r="AW154" s="206"/>
      <c r="AX154" s="206"/>
      <c r="AY154" s="206"/>
      <c r="AZ154" s="206"/>
      <c r="BA154" s="206"/>
      <c r="BB154" s="206"/>
      <c r="BC154" s="206"/>
      <c r="BD154" s="206"/>
      <c r="BE154" s="206"/>
      <c r="BF154" s="206"/>
      <c r="BG154" s="206"/>
      <c r="BH154" s="206"/>
      <c r="BI154" s="206"/>
      <c r="BJ154" s="206"/>
      <c r="BK154" s="206"/>
      <c r="BL154" s="206"/>
      <c r="BM154" s="206"/>
      <c r="BN154" s="206"/>
      <c r="BO154" s="206"/>
      <c r="BP154" s="206"/>
      <c r="BQ154" s="206"/>
      <c r="BR154" s="206"/>
      <c r="BS154" s="206"/>
      <c r="BT154" s="206"/>
      <c r="BU154" s="206"/>
      <c r="BV154" s="206"/>
      <c r="BW154" s="206"/>
      <c r="BX154" s="206"/>
      <c r="BY154" s="206"/>
      <c r="BZ154" s="206"/>
      <c r="CA154" s="206"/>
      <c r="CB154" s="206"/>
      <c r="CC154" s="206"/>
      <c r="CD154" s="206"/>
      <c r="CE154" s="206"/>
      <c r="CF154" s="206"/>
      <c r="CG154" s="206"/>
      <c r="CH154" s="206"/>
      <c r="CI154" s="206"/>
      <c r="CJ154" s="206"/>
      <c r="CK154" s="206"/>
      <c r="CL154" s="206"/>
      <c r="CM154" s="206"/>
      <c r="CN154" s="206"/>
      <c r="CO154" s="206"/>
      <c r="CP154" s="206"/>
      <c r="CQ154" s="206"/>
      <c r="CR154" s="206"/>
      <c r="CS154" s="206"/>
      <c r="CT154" s="206"/>
      <c r="CU154" s="206"/>
      <c r="CV154" s="206"/>
      <c r="CW154" s="206"/>
      <c r="CX154" s="206"/>
      <c r="CY154" s="206"/>
      <c r="CZ154" s="206"/>
      <c r="DA154" s="206"/>
      <c r="DB154" s="206"/>
      <c r="DC154" s="206"/>
      <c r="DD154" s="206"/>
    </row>
    <row r="155" spans="1:108" x14ac:dyDescent="0.25">
      <c r="A155" s="303"/>
      <c r="B155" s="303"/>
      <c r="C155" s="303"/>
      <c r="D155" s="206"/>
      <c r="E155" s="206"/>
      <c r="F155" s="206"/>
      <c r="G155" s="206"/>
      <c r="H155" s="206"/>
      <c r="I155" s="206"/>
      <c r="J155" s="206"/>
      <c r="K155" s="206"/>
      <c r="L155" s="206"/>
      <c r="M155" s="206"/>
      <c r="N155" s="206"/>
      <c r="O155" s="206"/>
      <c r="P155" s="206"/>
      <c r="Q155" s="206"/>
      <c r="R155" s="206"/>
      <c r="S155" s="206"/>
      <c r="T155" s="206"/>
      <c r="U155" s="206"/>
      <c r="V155" s="206"/>
      <c r="W155" s="206"/>
      <c r="X155" s="206"/>
      <c r="Y155" s="206"/>
      <c r="Z155" s="206"/>
      <c r="AA155" s="206"/>
      <c r="AB155" s="206"/>
      <c r="AC155" s="206"/>
      <c r="AD155" s="206"/>
      <c r="AE155" s="206"/>
      <c r="AF155" s="206"/>
      <c r="AG155" s="206"/>
      <c r="AH155" s="206"/>
      <c r="AI155" s="206"/>
      <c r="AJ155" s="206"/>
      <c r="AK155" s="206"/>
      <c r="AL155" s="206"/>
      <c r="AM155" s="206"/>
      <c r="AN155" s="206"/>
      <c r="AO155" s="206"/>
      <c r="AP155" s="206"/>
      <c r="AQ155" s="206"/>
      <c r="AR155" s="206"/>
      <c r="AS155" s="206"/>
      <c r="AT155" s="206"/>
      <c r="AU155" s="206"/>
      <c r="AV155" s="206"/>
      <c r="AW155" s="206"/>
      <c r="AX155" s="206"/>
      <c r="AY155" s="206"/>
      <c r="AZ155" s="206"/>
      <c r="BA155" s="206"/>
      <c r="BB155" s="206"/>
      <c r="BC155" s="206"/>
      <c r="BD155" s="206"/>
      <c r="BE155" s="206"/>
      <c r="BF155" s="206"/>
      <c r="BG155" s="206"/>
      <c r="BH155" s="206"/>
      <c r="BI155" s="206"/>
      <c r="BJ155" s="206"/>
      <c r="BK155" s="206"/>
      <c r="BL155" s="206"/>
      <c r="BM155" s="206"/>
      <c r="BN155" s="206"/>
      <c r="BO155" s="206"/>
      <c r="BP155" s="206"/>
      <c r="BQ155" s="206"/>
      <c r="BR155" s="206"/>
      <c r="BS155" s="206"/>
      <c r="BT155" s="206"/>
      <c r="BU155" s="206"/>
      <c r="BV155" s="206"/>
      <c r="BW155" s="206"/>
      <c r="BX155" s="206"/>
      <c r="BY155" s="206"/>
      <c r="BZ155" s="206"/>
      <c r="CA155" s="206"/>
      <c r="CB155" s="206"/>
      <c r="CC155" s="206"/>
      <c r="CD155" s="206"/>
      <c r="CE155" s="206"/>
      <c r="CF155" s="206"/>
      <c r="CG155" s="206"/>
      <c r="CH155" s="206"/>
      <c r="CI155" s="206"/>
      <c r="CJ155" s="206"/>
      <c r="CK155" s="206"/>
      <c r="CL155" s="206"/>
      <c r="CM155" s="206"/>
      <c r="CN155" s="206"/>
      <c r="CO155" s="206"/>
      <c r="CP155" s="206"/>
      <c r="CQ155" s="206"/>
      <c r="CR155" s="206"/>
      <c r="CS155" s="206"/>
      <c r="CT155" s="206"/>
      <c r="CU155" s="206"/>
      <c r="CV155" s="206"/>
      <c r="CW155" s="206"/>
      <c r="CX155" s="206"/>
      <c r="CY155" s="206"/>
      <c r="CZ155" s="206"/>
      <c r="DA155" s="206"/>
      <c r="DB155" s="206"/>
      <c r="DC155" s="206"/>
      <c r="DD155" s="206"/>
    </row>
    <row r="156" spans="1:108" x14ac:dyDescent="0.25">
      <c r="A156" s="303"/>
      <c r="B156" s="303"/>
      <c r="C156" s="303"/>
      <c r="D156" s="206"/>
      <c r="E156" s="206"/>
      <c r="F156" s="206"/>
      <c r="G156" s="206"/>
      <c r="H156" s="206"/>
      <c r="I156" s="206"/>
      <c r="J156" s="206"/>
      <c r="K156" s="206"/>
      <c r="L156" s="206"/>
      <c r="M156" s="206"/>
      <c r="N156" s="206"/>
      <c r="O156" s="206"/>
      <c r="P156" s="206"/>
      <c r="Q156" s="206"/>
      <c r="R156" s="206"/>
      <c r="S156" s="206"/>
      <c r="T156" s="206"/>
      <c r="U156" s="206"/>
      <c r="V156" s="206"/>
      <c r="W156" s="206"/>
      <c r="X156" s="206"/>
      <c r="Y156" s="206"/>
      <c r="Z156" s="206"/>
      <c r="AA156" s="206"/>
      <c r="AB156" s="206"/>
      <c r="AC156" s="206"/>
      <c r="AD156" s="206"/>
      <c r="AE156" s="206"/>
      <c r="AF156" s="206"/>
      <c r="AG156" s="206"/>
      <c r="AH156" s="206"/>
      <c r="AI156" s="206"/>
      <c r="AJ156" s="206"/>
      <c r="AK156" s="206"/>
      <c r="AL156" s="206"/>
      <c r="AM156" s="206"/>
      <c r="AN156" s="206"/>
      <c r="AO156" s="206"/>
      <c r="AP156" s="206"/>
      <c r="AQ156" s="206"/>
      <c r="AR156" s="206"/>
      <c r="AS156" s="206"/>
      <c r="AT156" s="206"/>
      <c r="AU156" s="206"/>
      <c r="AV156" s="206"/>
      <c r="AW156" s="206"/>
      <c r="AX156" s="206"/>
      <c r="AY156" s="206"/>
      <c r="AZ156" s="206"/>
      <c r="BA156" s="206"/>
      <c r="BB156" s="206"/>
      <c r="BC156" s="206"/>
      <c r="BD156" s="206"/>
      <c r="BE156" s="206"/>
      <c r="BF156" s="206"/>
      <c r="BG156" s="206"/>
      <c r="BH156" s="206"/>
      <c r="BI156" s="206"/>
      <c r="BJ156" s="206"/>
      <c r="BK156" s="206"/>
      <c r="BL156" s="206"/>
      <c r="BM156" s="206"/>
      <c r="BN156" s="206"/>
      <c r="BO156" s="206"/>
      <c r="BP156" s="206"/>
      <c r="BQ156" s="206"/>
      <c r="BR156" s="206"/>
      <c r="BS156" s="206"/>
      <c r="BT156" s="206"/>
      <c r="BU156" s="206"/>
      <c r="BV156" s="206"/>
      <c r="BW156" s="206"/>
      <c r="BX156" s="206"/>
      <c r="BY156" s="206"/>
      <c r="BZ156" s="206"/>
      <c r="CA156" s="206"/>
      <c r="CB156" s="206"/>
      <c r="CC156" s="206"/>
      <c r="CD156" s="206"/>
      <c r="CE156" s="206"/>
      <c r="CF156" s="206"/>
      <c r="CG156" s="206"/>
      <c r="CH156" s="206"/>
      <c r="CI156" s="206"/>
      <c r="CJ156" s="206"/>
      <c r="CK156" s="206"/>
      <c r="CL156" s="206"/>
      <c r="CM156" s="206"/>
      <c r="CN156" s="206"/>
      <c r="CO156" s="206"/>
      <c r="CP156" s="206"/>
      <c r="CQ156" s="206"/>
      <c r="CR156" s="206"/>
      <c r="CS156" s="206"/>
      <c r="CT156" s="206"/>
      <c r="CU156" s="206"/>
      <c r="CV156" s="206"/>
      <c r="CW156" s="206"/>
      <c r="CX156" s="206"/>
      <c r="CY156" s="206"/>
      <c r="CZ156" s="206"/>
      <c r="DA156" s="206"/>
      <c r="DB156" s="206"/>
      <c r="DC156" s="206"/>
      <c r="DD156" s="206"/>
    </row>
    <row r="157" spans="1:108" x14ac:dyDescent="0.25">
      <c r="A157" s="303"/>
      <c r="B157" s="303"/>
      <c r="C157" s="303"/>
      <c r="D157" s="206"/>
      <c r="E157" s="206"/>
      <c r="F157" s="206"/>
      <c r="G157" s="206"/>
      <c r="H157" s="206"/>
      <c r="I157" s="206"/>
      <c r="J157" s="206"/>
      <c r="K157" s="206"/>
      <c r="L157" s="206"/>
      <c r="M157" s="206"/>
      <c r="N157" s="206"/>
      <c r="O157" s="206"/>
      <c r="P157" s="206"/>
      <c r="Q157" s="206"/>
      <c r="R157" s="206"/>
      <c r="S157" s="206"/>
      <c r="T157" s="206"/>
      <c r="U157" s="206"/>
      <c r="V157" s="206"/>
      <c r="W157" s="206"/>
      <c r="X157" s="206"/>
      <c r="Y157" s="206"/>
      <c r="Z157" s="206"/>
      <c r="AA157" s="206"/>
      <c r="AB157" s="206"/>
      <c r="AC157" s="206"/>
      <c r="AD157" s="206"/>
      <c r="AE157" s="206"/>
      <c r="AF157" s="206"/>
      <c r="AG157" s="206"/>
      <c r="AH157" s="206"/>
      <c r="AI157" s="206"/>
      <c r="AJ157" s="206"/>
      <c r="AK157" s="206"/>
      <c r="AL157" s="206"/>
      <c r="AM157" s="206"/>
      <c r="AN157" s="206"/>
      <c r="AO157" s="206"/>
      <c r="AP157" s="206"/>
      <c r="AQ157" s="206"/>
      <c r="AR157" s="206"/>
      <c r="AS157" s="206"/>
      <c r="AT157" s="206"/>
      <c r="AU157" s="206"/>
      <c r="AV157" s="206"/>
      <c r="AW157" s="206"/>
      <c r="AX157" s="206"/>
      <c r="AY157" s="206"/>
      <c r="AZ157" s="206"/>
      <c r="BA157" s="206"/>
      <c r="BB157" s="206"/>
      <c r="BC157" s="206"/>
      <c r="BD157" s="206"/>
      <c r="BE157" s="206"/>
      <c r="BF157" s="206"/>
      <c r="BG157" s="206"/>
      <c r="BH157" s="206"/>
      <c r="BI157" s="206"/>
      <c r="BJ157" s="206"/>
      <c r="BK157" s="206"/>
      <c r="BL157" s="206"/>
      <c r="BM157" s="206"/>
      <c r="BN157" s="206"/>
      <c r="BO157" s="206"/>
      <c r="BP157" s="206"/>
      <c r="BQ157" s="206"/>
      <c r="BR157" s="206"/>
      <c r="BS157" s="206"/>
      <c r="BT157" s="206"/>
      <c r="BU157" s="206"/>
      <c r="BV157" s="206"/>
      <c r="BW157" s="206"/>
      <c r="BX157" s="206"/>
      <c r="BY157" s="206"/>
      <c r="BZ157" s="206"/>
      <c r="CA157" s="206"/>
      <c r="CB157" s="206"/>
      <c r="CC157" s="206"/>
      <c r="CD157" s="206"/>
      <c r="CE157" s="206"/>
      <c r="CF157" s="206"/>
      <c r="CG157" s="206"/>
      <c r="CH157" s="206"/>
      <c r="CI157" s="206"/>
      <c r="CJ157" s="206"/>
      <c r="CK157" s="206"/>
      <c r="CL157" s="206"/>
      <c r="CM157" s="206"/>
      <c r="CN157" s="206"/>
      <c r="CO157" s="206"/>
      <c r="CP157" s="206"/>
      <c r="CQ157" s="206"/>
      <c r="CR157" s="206"/>
      <c r="CS157" s="206"/>
      <c r="CT157" s="206"/>
      <c r="CU157" s="206"/>
      <c r="CV157" s="206"/>
      <c r="CW157" s="206"/>
      <c r="CX157" s="206"/>
      <c r="CY157" s="206"/>
      <c r="CZ157" s="206"/>
      <c r="DA157" s="206"/>
      <c r="DB157" s="206"/>
      <c r="DC157" s="206"/>
      <c r="DD157" s="206"/>
    </row>
    <row r="158" spans="1:108" x14ac:dyDescent="0.25">
      <c r="A158" s="303"/>
      <c r="B158" s="303"/>
      <c r="C158" s="303"/>
      <c r="D158" s="206"/>
      <c r="E158" s="206"/>
      <c r="F158" s="206"/>
      <c r="G158" s="206"/>
      <c r="H158" s="206"/>
      <c r="I158" s="206"/>
      <c r="J158" s="206"/>
      <c r="K158" s="206"/>
      <c r="L158" s="206"/>
      <c r="M158" s="206"/>
      <c r="N158" s="206"/>
      <c r="O158" s="206"/>
      <c r="P158" s="206"/>
      <c r="Q158" s="206"/>
      <c r="R158" s="206"/>
      <c r="S158" s="206"/>
      <c r="T158" s="206"/>
      <c r="U158" s="206"/>
      <c r="V158" s="206"/>
      <c r="W158" s="206"/>
      <c r="X158" s="206"/>
      <c r="Y158" s="206"/>
      <c r="Z158" s="206"/>
      <c r="AA158" s="206"/>
      <c r="AB158" s="206"/>
      <c r="AC158" s="206"/>
      <c r="AD158" s="206"/>
      <c r="AE158" s="206"/>
      <c r="AF158" s="206"/>
      <c r="AG158" s="206"/>
      <c r="AH158" s="206"/>
      <c r="AI158" s="206"/>
      <c r="AJ158" s="206"/>
      <c r="AK158" s="206"/>
      <c r="AL158" s="206"/>
      <c r="AM158" s="206"/>
      <c r="AN158" s="206"/>
      <c r="AO158" s="206"/>
      <c r="AP158" s="206"/>
      <c r="AQ158" s="206"/>
      <c r="AR158" s="206"/>
      <c r="AS158" s="206"/>
      <c r="AT158" s="206"/>
      <c r="AU158" s="206"/>
      <c r="AV158" s="206"/>
      <c r="AW158" s="206"/>
      <c r="AX158" s="206"/>
      <c r="AY158" s="206"/>
      <c r="AZ158" s="206"/>
      <c r="BA158" s="206"/>
      <c r="BB158" s="206"/>
      <c r="BC158" s="206"/>
      <c r="BD158" s="206"/>
      <c r="BE158" s="206"/>
      <c r="BF158" s="206"/>
      <c r="BG158" s="206"/>
      <c r="BH158" s="206"/>
      <c r="BI158" s="206"/>
      <c r="BJ158" s="206"/>
      <c r="BK158" s="206"/>
      <c r="BL158" s="206"/>
      <c r="BM158" s="206"/>
      <c r="BN158" s="206"/>
      <c r="BO158" s="206"/>
      <c r="BP158" s="206"/>
      <c r="BQ158" s="206"/>
      <c r="BR158" s="206"/>
      <c r="BS158" s="206"/>
      <c r="BT158" s="206"/>
      <c r="BU158" s="206"/>
      <c r="BV158" s="206"/>
      <c r="BW158" s="206"/>
      <c r="BX158" s="206"/>
      <c r="BY158" s="206"/>
      <c r="BZ158" s="206"/>
      <c r="CA158" s="206"/>
      <c r="CB158" s="206"/>
      <c r="CC158" s="206"/>
      <c r="CD158" s="206"/>
      <c r="CE158" s="206"/>
      <c r="CF158" s="206"/>
      <c r="CG158" s="206"/>
      <c r="CH158" s="206"/>
      <c r="CI158" s="206"/>
      <c r="CJ158" s="206"/>
      <c r="CK158" s="206"/>
      <c r="CL158" s="206"/>
      <c r="CM158" s="206"/>
      <c r="CN158" s="206"/>
      <c r="CO158" s="206"/>
      <c r="CP158" s="206"/>
      <c r="CQ158" s="206"/>
      <c r="CR158" s="206"/>
      <c r="CS158" s="206"/>
      <c r="CT158" s="206"/>
      <c r="CU158" s="206"/>
      <c r="CV158" s="206"/>
      <c r="CW158" s="206"/>
      <c r="CX158" s="206"/>
      <c r="CY158" s="206"/>
      <c r="CZ158" s="206"/>
      <c r="DA158" s="206"/>
      <c r="DB158" s="206"/>
      <c r="DC158" s="206"/>
      <c r="DD158" s="206"/>
    </row>
    <row r="159" spans="1:108" x14ac:dyDescent="0.25">
      <c r="A159" s="303"/>
      <c r="B159" s="303"/>
      <c r="C159" s="303"/>
      <c r="D159" s="206"/>
      <c r="E159" s="206"/>
      <c r="F159" s="206"/>
      <c r="G159" s="206"/>
      <c r="H159" s="206"/>
      <c r="I159" s="206"/>
      <c r="J159" s="206"/>
      <c r="K159" s="206"/>
      <c r="L159" s="206"/>
      <c r="M159" s="206"/>
      <c r="N159" s="206"/>
      <c r="O159" s="206"/>
      <c r="P159" s="206"/>
      <c r="Q159" s="206"/>
      <c r="R159" s="206"/>
      <c r="S159" s="206"/>
      <c r="T159" s="206"/>
      <c r="U159" s="206"/>
      <c r="V159" s="206"/>
      <c r="W159" s="206"/>
      <c r="X159" s="206"/>
      <c r="Y159" s="206"/>
      <c r="Z159" s="206"/>
      <c r="AA159" s="206"/>
      <c r="AB159" s="206"/>
      <c r="AC159" s="206"/>
      <c r="AD159" s="206"/>
      <c r="AE159" s="206"/>
      <c r="AF159" s="206"/>
      <c r="AG159" s="206"/>
      <c r="AH159" s="206"/>
      <c r="AI159" s="206"/>
      <c r="AJ159" s="206"/>
      <c r="AK159" s="206"/>
      <c r="AL159" s="206"/>
      <c r="AM159" s="206"/>
      <c r="AN159" s="206"/>
      <c r="AO159" s="206"/>
      <c r="AP159" s="206"/>
      <c r="AQ159" s="206"/>
      <c r="AR159" s="206"/>
      <c r="AS159" s="206"/>
      <c r="AT159" s="206"/>
      <c r="AU159" s="206"/>
      <c r="AV159" s="206"/>
      <c r="AW159" s="206"/>
      <c r="AX159" s="206"/>
      <c r="AY159" s="206"/>
      <c r="AZ159" s="206"/>
      <c r="BA159" s="206"/>
      <c r="BB159" s="206"/>
      <c r="BC159" s="206"/>
      <c r="BD159" s="206"/>
      <c r="BE159" s="206"/>
      <c r="BF159" s="206"/>
      <c r="BG159" s="206"/>
      <c r="BH159" s="206"/>
      <c r="BI159" s="206"/>
      <c r="BJ159" s="206"/>
      <c r="BK159" s="206"/>
      <c r="BL159" s="206"/>
      <c r="BM159" s="206"/>
      <c r="BN159" s="206"/>
      <c r="BO159" s="206"/>
      <c r="BP159" s="206"/>
      <c r="BQ159" s="206"/>
      <c r="BR159" s="206"/>
      <c r="BS159" s="206"/>
      <c r="BT159" s="206"/>
      <c r="BU159" s="206"/>
      <c r="BV159" s="206"/>
      <c r="BW159" s="206"/>
      <c r="BX159" s="206"/>
      <c r="BY159" s="206"/>
      <c r="BZ159" s="206"/>
      <c r="CA159" s="206"/>
      <c r="CB159" s="206"/>
      <c r="CC159" s="206"/>
      <c r="CD159" s="206"/>
      <c r="CE159" s="206"/>
      <c r="CF159" s="206"/>
      <c r="CG159" s="206"/>
      <c r="CH159" s="206"/>
      <c r="CI159" s="206"/>
      <c r="CJ159" s="206"/>
      <c r="CK159" s="206"/>
      <c r="CL159" s="206"/>
      <c r="CM159" s="206"/>
      <c r="CN159" s="206"/>
      <c r="CO159" s="206"/>
      <c r="CP159" s="206"/>
      <c r="CQ159" s="206"/>
      <c r="CR159" s="206"/>
      <c r="CS159" s="206"/>
      <c r="CT159" s="206"/>
      <c r="CU159" s="206"/>
      <c r="CV159" s="206"/>
      <c r="CW159" s="206"/>
      <c r="CX159" s="206"/>
      <c r="CY159" s="206"/>
      <c r="CZ159" s="206"/>
      <c r="DA159" s="206"/>
      <c r="DB159" s="206"/>
      <c r="DC159" s="206"/>
      <c r="DD159" s="206"/>
    </row>
    <row r="160" spans="1:108" x14ac:dyDescent="0.25">
      <c r="A160" s="303"/>
      <c r="B160" s="303"/>
      <c r="C160" s="303"/>
      <c r="D160" s="206"/>
      <c r="E160" s="206"/>
      <c r="F160" s="206"/>
      <c r="G160" s="206"/>
      <c r="H160" s="206"/>
      <c r="I160" s="206"/>
      <c r="J160" s="206"/>
      <c r="K160" s="206"/>
      <c r="L160" s="206"/>
      <c r="M160" s="206"/>
      <c r="N160" s="206"/>
      <c r="O160" s="206"/>
      <c r="P160" s="206"/>
      <c r="Q160" s="206"/>
      <c r="R160" s="206"/>
      <c r="S160" s="206"/>
      <c r="T160" s="206"/>
      <c r="U160" s="206"/>
      <c r="V160" s="206"/>
      <c r="W160" s="206"/>
      <c r="X160" s="206"/>
      <c r="Y160" s="206"/>
      <c r="Z160" s="206"/>
      <c r="AA160" s="206"/>
      <c r="AB160" s="206"/>
      <c r="AC160" s="206"/>
      <c r="AD160" s="206"/>
      <c r="AE160" s="206"/>
      <c r="AF160" s="206"/>
      <c r="AG160" s="206"/>
      <c r="AH160" s="206"/>
      <c r="AI160" s="206"/>
      <c r="AJ160" s="206"/>
      <c r="AK160" s="206"/>
      <c r="AL160" s="206"/>
      <c r="AM160" s="206"/>
      <c r="AN160" s="206"/>
      <c r="AO160" s="206"/>
      <c r="AP160" s="206"/>
      <c r="AQ160" s="206"/>
      <c r="AR160" s="206"/>
      <c r="AS160" s="206"/>
      <c r="AT160" s="206"/>
      <c r="AU160" s="206"/>
      <c r="AV160" s="206"/>
      <c r="AW160" s="206"/>
      <c r="AX160" s="206"/>
      <c r="AY160" s="206"/>
      <c r="AZ160" s="206"/>
      <c r="BA160" s="206"/>
      <c r="BB160" s="206"/>
      <c r="BC160" s="206"/>
      <c r="BD160" s="206"/>
      <c r="BE160" s="206"/>
      <c r="BF160" s="206"/>
      <c r="BG160" s="206"/>
      <c r="BH160" s="206"/>
      <c r="BI160" s="206"/>
      <c r="BJ160" s="206"/>
      <c r="BK160" s="206"/>
      <c r="BL160" s="206"/>
      <c r="BM160" s="206"/>
      <c r="BN160" s="206"/>
      <c r="BO160" s="206"/>
      <c r="BP160" s="206"/>
      <c r="BQ160" s="206"/>
      <c r="BR160" s="206"/>
      <c r="BS160" s="206"/>
      <c r="BT160" s="206"/>
      <c r="BU160" s="206"/>
      <c r="BV160" s="206"/>
      <c r="BW160" s="206"/>
      <c r="BX160" s="206"/>
      <c r="BY160" s="206"/>
      <c r="BZ160" s="206"/>
      <c r="CA160" s="206"/>
      <c r="CB160" s="206"/>
      <c r="CC160" s="206"/>
      <c r="CD160" s="206"/>
      <c r="CE160" s="206"/>
      <c r="CF160" s="206"/>
      <c r="CG160" s="206"/>
      <c r="CH160" s="206"/>
      <c r="CI160" s="206"/>
      <c r="CJ160" s="206"/>
      <c r="CK160" s="206"/>
      <c r="CL160" s="206"/>
      <c r="CM160" s="206"/>
      <c r="CN160" s="206"/>
      <c r="CO160" s="206"/>
      <c r="CP160" s="206"/>
      <c r="CQ160" s="206"/>
      <c r="CR160" s="206"/>
      <c r="CS160" s="206"/>
      <c r="CT160" s="206"/>
      <c r="CU160" s="206"/>
      <c r="CV160" s="206"/>
      <c r="CW160" s="206"/>
      <c r="CX160" s="206"/>
      <c r="CY160" s="206"/>
      <c r="CZ160" s="206"/>
      <c r="DA160" s="206"/>
      <c r="DB160" s="206"/>
      <c r="DC160" s="206"/>
      <c r="DD160" s="206"/>
    </row>
    <row r="161" spans="1:108" x14ac:dyDescent="0.25">
      <c r="A161" s="303"/>
      <c r="B161" s="303"/>
      <c r="C161" s="303"/>
      <c r="D161" s="206"/>
      <c r="E161" s="206"/>
      <c r="F161" s="206"/>
      <c r="G161" s="206"/>
      <c r="H161" s="206"/>
      <c r="I161" s="206"/>
      <c r="J161" s="206"/>
      <c r="K161" s="206"/>
      <c r="L161" s="206"/>
      <c r="M161" s="206"/>
      <c r="N161" s="206"/>
      <c r="O161" s="206"/>
      <c r="P161" s="206"/>
      <c r="Q161" s="206"/>
      <c r="R161" s="206"/>
      <c r="S161" s="206"/>
      <c r="T161" s="206"/>
      <c r="U161" s="206"/>
      <c r="V161" s="206"/>
      <c r="W161" s="206"/>
      <c r="X161" s="206"/>
      <c r="Y161" s="206"/>
      <c r="Z161" s="206"/>
      <c r="AA161" s="206"/>
      <c r="AB161" s="206"/>
      <c r="AC161" s="206"/>
      <c r="AD161" s="206"/>
      <c r="AE161" s="206"/>
      <c r="AF161" s="206"/>
      <c r="AG161" s="206"/>
      <c r="AH161" s="206"/>
      <c r="AI161" s="206"/>
      <c r="AJ161" s="206"/>
      <c r="AK161" s="206"/>
      <c r="AL161" s="206"/>
      <c r="AM161" s="206"/>
      <c r="AN161" s="206"/>
      <c r="AO161" s="206"/>
      <c r="AP161" s="206"/>
      <c r="AQ161" s="206"/>
      <c r="AR161" s="206"/>
      <c r="AS161" s="206"/>
      <c r="AT161" s="206"/>
      <c r="AU161" s="206"/>
      <c r="AV161" s="206"/>
      <c r="AW161" s="206"/>
      <c r="AX161" s="206"/>
      <c r="AY161" s="206"/>
      <c r="AZ161" s="206"/>
      <c r="BA161" s="206"/>
      <c r="BB161" s="206"/>
      <c r="BC161" s="206"/>
      <c r="BD161" s="206"/>
      <c r="BE161" s="206"/>
      <c r="BF161" s="206"/>
      <c r="BG161" s="206"/>
      <c r="BH161" s="206"/>
      <c r="BI161" s="206"/>
      <c r="BJ161" s="206"/>
      <c r="BK161" s="206"/>
      <c r="BL161" s="206"/>
      <c r="BM161" s="206"/>
      <c r="BN161" s="206"/>
      <c r="BO161" s="206"/>
      <c r="BP161" s="206"/>
      <c r="BQ161" s="206"/>
      <c r="BR161" s="206"/>
      <c r="BS161" s="206"/>
      <c r="BT161" s="206"/>
      <c r="BU161" s="206"/>
      <c r="BV161" s="206"/>
      <c r="BW161" s="206"/>
      <c r="BX161" s="206"/>
      <c r="BY161" s="206"/>
      <c r="BZ161" s="206"/>
      <c r="CA161" s="206"/>
      <c r="CB161" s="206"/>
      <c r="CC161" s="206"/>
      <c r="CD161" s="206"/>
      <c r="CE161" s="206"/>
      <c r="CF161" s="206"/>
      <c r="CG161" s="206"/>
      <c r="CH161" s="206"/>
      <c r="CI161" s="206"/>
      <c r="CJ161" s="206"/>
      <c r="CK161" s="206"/>
      <c r="CL161" s="206"/>
      <c r="CM161" s="206"/>
      <c r="CN161" s="206"/>
      <c r="CO161" s="206"/>
      <c r="CP161" s="206"/>
      <c r="CQ161" s="206"/>
      <c r="CR161" s="206"/>
      <c r="CS161" s="206"/>
      <c r="CT161" s="206"/>
      <c r="CU161" s="206"/>
      <c r="CV161" s="206"/>
      <c r="CW161" s="206"/>
      <c r="CX161" s="206"/>
      <c r="CY161" s="206"/>
      <c r="CZ161" s="206"/>
      <c r="DA161" s="206"/>
      <c r="DB161" s="206"/>
      <c r="DC161" s="206"/>
      <c r="DD161" s="206"/>
    </row>
    <row r="162" spans="1:108" x14ac:dyDescent="0.25">
      <c r="A162" s="303"/>
      <c r="B162" s="303"/>
      <c r="C162" s="303"/>
      <c r="D162" s="206"/>
      <c r="E162" s="206"/>
      <c r="F162" s="206"/>
      <c r="G162" s="206"/>
      <c r="H162" s="206"/>
      <c r="I162" s="206"/>
      <c r="J162" s="206"/>
      <c r="K162" s="206"/>
      <c r="L162" s="206"/>
      <c r="M162" s="206"/>
      <c r="N162" s="206"/>
      <c r="O162" s="206"/>
      <c r="P162" s="206"/>
      <c r="Q162" s="206"/>
      <c r="R162" s="206"/>
      <c r="S162" s="206"/>
      <c r="T162" s="206"/>
      <c r="U162" s="206"/>
      <c r="V162" s="206"/>
      <c r="W162" s="206"/>
      <c r="X162" s="206"/>
      <c r="Y162" s="206"/>
      <c r="Z162" s="206"/>
      <c r="AA162" s="206"/>
      <c r="AB162" s="206"/>
      <c r="AC162" s="206"/>
      <c r="AD162" s="206"/>
      <c r="AE162" s="206"/>
      <c r="AF162" s="206"/>
      <c r="AG162" s="206"/>
      <c r="AH162" s="206"/>
      <c r="AI162" s="206"/>
      <c r="AJ162" s="206"/>
      <c r="AK162" s="206"/>
      <c r="AL162" s="206"/>
      <c r="AM162" s="206"/>
      <c r="AN162" s="206"/>
      <c r="AO162" s="206"/>
      <c r="AP162" s="206"/>
      <c r="AQ162" s="206"/>
      <c r="AR162" s="206"/>
      <c r="AS162" s="206"/>
      <c r="AT162" s="206"/>
      <c r="AU162" s="206"/>
      <c r="AV162" s="206"/>
      <c r="AW162" s="206"/>
      <c r="AX162" s="206"/>
      <c r="AY162" s="206"/>
      <c r="AZ162" s="206"/>
      <c r="BA162" s="206"/>
      <c r="BB162" s="206"/>
      <c r="BC162" s="206"/>
      <c r="BD162" s="206"/>
      <c r="BE162" s="206"/>
      <c r="BF162" s="206"/>
      <c r="BG162" s="206"/>
      <c r="BH162" s="206"/>
      <c r="BI162" s="206"/>
      <c r="BJ162" s="206"/>
      <c r="BK162" s="206"/>
      <c r="BL162" s="206"/>
      <c r="BM162" s="206"/>
      <c r="BN162" s="206"/>
      <c r="BO162" s="206"/>
      <c r="BP162" s="206"/>
      <c r="BQ162" s="206"/>
      <c r="BR162" s="206"/>
      <c r="BS162" s="206"/>
      <c r="BT162" s="206"/>
      <c r="BU162" s="206"/>
      <c r="BV162" s="206"/>
      <c r="BW162" s="206"/>
      <c r="BX162" s="206"/>
      <c r="BY162" s="206"/>
      <c r="BZ162" s="206"/>
      <c r="CA162" s="206"/>
      <c r="CB162" s="206"/>
      <c r="CC162" s="206"/>
      <c r="CD162" s="206"/>
      <c r="CE162" s="206"/>
      <c r="CF162" s="206"/>
      <c r="CG162" s="206"/>
      <c r="CH162" s="206"/>
      <c r="CI162" s="206"/>
      <c r="CJ162" s="206"/>
      <c r="CK162" s="206"/>
      <c r="CL162" s="206"/>
      <c r="CM162" s="206"/>
      <c r="CN162" s="206"/>
      <c r="CO162" s="206"/>
      <c r="CP162" s="206"/>
      <c r="CQ162" s="206"/>
      <c r="CR162" s="206"/>
      <c r="CS162" s="206"/>
      <c r="CT162" s="206"/>
      <c r="CU162" s="206"/>
      <c r="CV162" s="206"/>
      <c r="CW162" s="206"/>
      <c r="CX162" s="206"/>
      <c r="CY162" s="206"/>
      <c r="CZ162" s="206"/>
      <c r="DA162" s="206"/>
      <c r="DB162" s="206"/>
      <c r="DC162" s="206"/>
      <c r="DD162" s="206"/>
    </row>
    <row r="163" spans="1:108" x14ac:dyDescent="0.25">
      <c r="A163" s="303"/>
      <c r="B163" s="303"/>
      <c r="C163" s="303"/>
      <c r="D163" s="206"/>
      <c r="E163" s="206"/>
      <c r="F163" s="206"/>
      <c r="G163" s="206"/>
      <c r="H163" s="206"/>
      <c r="I163" s="206"/>
      <c r="J163" s="206"/>
      <c r="K163" s="206"/>
      <c r="L163" s="206"/>
      <c r="M163" s="206"/>
      <c r="N163" s="206"/>
      <c r="O163" s="206"/>
      <c r="P163" s="206"/>
      <c r="Q163" s="206"/>
      <c r="R163" s="206"/>
      <c r="S163" s="206"/>
      <c r="T163" s="206"/>
      <c r="U163" s="206"/>
      <c r="V163" s="206"/>
      <c r="W163" s="206"/>
      <c r="X163" s="206"/>
      <c r="Y163" s="206"/>
      <c r="Z163" s="206"/>
      <c r="AA163" s="206"/>
      <c r="AB163" s="206"/>
      <c r="AC163" s="206"/>
      <c r="AD163" s="206"/>
      <c r="AE163" s="206"/>
      <c r="AF163" s="206"/>
      <c r="AG163" s="206"/>
      <c r="AH163" s="206"/>
      <c r="AI163" s="206"/>
      <c r="AJ163" s="206"/>
      <c r="AK163" s="206"/>
      <c r="AL163" s="206"/>
      <c r="AM163" s="206"/>
      <c r="AN163" s="206"/>
      <c r="AO163" s="206"/>
      <c r="AP163" s="206"/>
      <c r="AQ163" s="206"/>
      <c r="AR163" s="206"/>
      <c r="AS163" s="206"/>
      <c r="AT163" s="206"/>
      <c r="AU163" s="206"/>
      <c r="AV163" s="206"/>
      <c r="AW163" s="206"/>
      <c r="AX163" s="206"/>
      <c r="AY163" s="206"/>
      <c r="AZ163" s="206"/>
      <c r="BA163" s="206"/>
      <c r="BB163" s="206"/>
      <c r="BC163" s="206"/>
      <c r="BD163" s="206"/>
      <c r="BE163" s="206"/>
      <c r="BF163" s="206"/>
      <c r="BG163" s="206"/>
      <c r="BH163" s="206"/>
      <c r="BI163" s="206"/>
      <c r="BJ163" s="206"/>
      <c r="BK163" s="206"/>
      <c r="BL163" s="206"/>
      <c r="BM163" s="206"/>
      <c r="BN163" s="206"/>
      <c r="BO163" s="206"/>
      <c r="BP163" s="206"/>
      <c r="BQ163" s="206"/>
      <c r="BR163" s="206"/>
      <c r="BS163" s="206"/>
      <c r="BT163" s="206"/>
      <c r="BU163" s="206"/>
      <c r="BV163" s="206"/>
      <c r="BW163" s="206"/>
      <c r="BX163" s="206"/>
      <c r="BY163" s="206"/>
      <c r="BZ163" s="206"/>
      <c r="CA163" s="206"/>
      <c r="CB163" s="206"/>
      <c r="CC163" s="206"/>
      <c r="CD163" s="206"/>
      <c r="CE163" s="206"/>
      <c r="CF163" s="206"/>
      <c r="CG163" s="206"/>
      <c r="CH163" s="206"/>
      <c r="CI163" s="206"/>
      <c r="CJ163" s="206"/>
      <c r="CK163" s="206"/>
      <c r="CL163" s="206"/>
      <c r="CM163" s="206"/>
      <c r="CN163" s="206"/>
      <c r="CO163" s="206"/>
      <c r="CP163" s="206"/>
      <c r="CQ163" s="206"/>
      <c r="CR163" s="206"/>
      <c r="CS163" s="206"/>
      <c r="CT163" s="206"/>
      <c r="CU163" s="206"/>
      <c r="CV163" s="206"/>
      <c r="CW163" s="206"/>
      <c r="CX163" s="206"/>
      <c r="CY163" s="206"/>
      <c r="CZ163" s="206"/>
      <c r="DA163" s="206"/>
      <c r="DB163" s="206"/>
      <c r="DC163" s="206"/>
      <c r="DD163" s="206"/>
    </row>
  </sheetData>
  <mergeCells count="45">
    <mergeCell ref="HA7:HC7"/>
    <mergeCell ref="HE7:HG7"/>
    <mergeCell ref="HI7:HK7"/>
    <mergeCell ref="HM7:HO7"/>
    <mergeCell ref="HQ7:HS7"/>
    <mergeCell ref="FZ7:GB7"/>
    <mergeCell ref="GC7:GE7"/>
    <mergeCell ref="GG7:GI7"/>
    <mergeCell ref="GO7:GQ7"/>
    <mergeCell ref="GR7:GS7"/>
    <mergeCell ref="GW7:GY7"/>
    <mergeCell ref="FC7:FE7"/>
    <mergeCell ref="FG7:FI7"/>
    <mergeCell ref="FK7:FM7"/>
    <mergeCell ref="FO7:FQ7"/>
    <mergeCell ref="FR7:FT7"/>
    <mergeCell ref="FV7:FX7"/>
    <mergeCell ref="EF7:EH7"/>
    <mergeCell ref="EJ7:EL7"/>
    <mergeCell ref="EN7:EP7"/>
    <mergeCell ref="EQ7:ES7"/>
    <mergeCell ref="EU7:EW7"/>
    <mergeCell ref="EY7:FA7"/>
    <mergeCell ref="DH7:DJ7"/>
    <mergeCell ref="DL7:DN7"/>
    <mergeCell ref="DP7:DR7"/>
    <mergeCell ref="DT7:DV7"/>
    <mergeCell ref="DX7:DZ7"/>
    <mergeCell ref="EB7:ED7"/>
    <mergeCell ref="CF7:CH7"/>
    <mergeCell ref="CJ7:CL7"/>
    <mergeCell ref="CN7:CP7"/>
    <mergeCell ref="CR7:CT7"/>
    <mergeCell ref="CV7:CX7"/>
    <mergeCell ref="CZ7:DB7"/>
    <mergeCell ref="B4:AN4"/>
    <mergeCell ref="A5:T5"/>
    <mergeCell ref="DC5:DD5"/>
    <mergeCell ref="D6:F6"/>
    <mergeCell ref="AJ6:AL6"/>
    <mergeCell ref="AF7:AH7"/>
    <mergeCell ref="AJ7:AL7"/>
    <mergeCell ref="BL7:BN7"/>
    <mergeCell ref="BT7:BV7"/>
    <mergeCell ref="BX7:BZ7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F154"/>
  <sheetViews>
    <sheetView topLeftCell="BT1" workbookViewId="0">
      <selection activeCell="BX5" sqref="BX5"/>
    </sheetView>
  </sheetViews>
  <sheetFormatPr defaultColWidth="15.42578125" defaultRowHeight="15.75" x14ac:dyDescent="0.25"/>
  <cols>
    <col min="1" max="1" width="8.42578125" style="203" customWidth="1"/>
    <col min="2" max="2" width="62.42578125" style="203" customWidth="1"/>
    <col min="3" max="3" width="14.85546875" style="203" customWidth="1"/>
    <col min="4" max="4" width="21.5703125" style="204" customWidth="1"/>
    <col min="5" max="5" width="21.7109375" style="204" customWidth="1"/>
    <col min="6" max="6" width="19.28515625" style="204" customWidth="1"/>
    <col min="7" max="7" width="5" style="204" customWidth="1"/>
    <col min="8" max="8" width="19.5703125" style="204" customWidth="1"/>
    <col min="9" max="9" width="19.42578125" style="204" customWidth="1"/>
    <col min="10" max="10" width="15.85546875" style="204" bestFit="1" customWidth="1"/>
    <col min="11" max="11" width="7.42578125" style="204" customWidth="1"/>
    <col min="12" max="13" width="17.28515625" style="204" bestFit="1" customWidth="1"/>
    <col min="14" max="14" width="16.5703125" style="204" bestFit="1" customWidth="1"/>
    <col min="15" max="15" width="15.85546875" style="204" bestFit="1" customWidth="1"/>
    <col min="16" max="17" width="19.140625" style="204" bestFit="1" customWidth="1"/>
    <col min="18" max="18" width="16.85546875" style="204" bestFit="1" customWidth="1"/>
    <col min="19" max="19" width="17.140625" style="204" bestFit="1" customWidth="1"/>
    <col min="20" max="20" width="19.85546875" style="204" customWidth="1"/>
    <col min="21" max="21" width="18.5703125" style="204" customWidth="1"/>
    <col min="22" max="22" width="17.7109375" style="204" customWidth="1"/>
    <col min="23" max="23" width="18.7109375" style="204" bestFit="1" customWidth="1"/>
    <col min="24" max="24" width="17.5703125" style="204" customWidth="1"/>
    <col min="25" max="25" width="18" style="204" customWidth="1"/>
    <col min="26" max="26" width="18.42578125" style="204" customWidth="1"/>
    <col min="27" max="27" width="3.85546875" style="204" customWidth="1"/>
    <col min="28" max="29" width="17.28515625" style="204" bestFit="1" customWidth="1"/>
    <col min="30" max="30" width="15.85546875" style="204" bestFit="1" customWidth="1"/>
    <col min="31" max="31" width="5.85546875" style="204" customWidth="1"/>
    <col min="32" max="32" width="19" style="204" bestFit="1" customWidth="1"/>
    <col min="33" max="33" width="17.5703125" style="204" customWidth="1"/>
    <col min="34" max="34" width="17.28515625" style="204" customWidth="1"/>
    <col min="35" max="35" width="5.140625" style="204" customWidth="1"/>
    <col min="36" max="36" width="17.7109375" style="204" customWidth="1"/>
    <col min="37" max="37" width="17.85546875" style="204" customWidth="1"/>
    <col min="38" max="38" width="16.42578125" style="204" bestFit="1" customWidth="1"/>
    <col min="39" max="39" width="7.7109375" style="204" customWidth="1"/>
    <col min="40" max="41" width="20.140625" style="204" customWidth="1"/>
    <col min="42" max="42" width="16" style="204" bestFit="1" customWidth="1"/>
    <col min="43" max="43" width="6.42578125" style="204" customWidth="1"/>
    <col min="44" max="44" width="20" style="204" customWidth="1"/>
    <col min="45" max="45" width="19.28515625" style="204" customWidth="1"/>
    <col min="46" max="46" width="17.140625" style="204" bestFit="1" customWidth="1"/>
    <col min="47" max="47" width="4.7109375" style="204" customWidth="1"/>
    <col min="48" max="48" width="20" style="204" customWidth="1"/>
    <col min="49" max="49" width="19.28515625" style="204" customWidth="1"/>
    <col min="50" max="50" width="19.5703125" style="204" customWidth="1"/>
    <col min="51" max="51" width="3.85546875" style="204" customWidth="1"/>
    <col min="52" max="52" width="19" style="204" customWidth="1"/>
    <col min="53" max="53" width="19.28515625" style="204" customWidth="1"/>
    <col min="54" max="54" width="18.140625" style="204" customWidth="1"/>
    <col min="55" max="55" width="3" style="204" customWidth="1"/>
    <col min="56" max="56" width="18.28515625" style="204" customWidth="1"/>
    <col min="57" max="57" width="21.28515625" style="204" customWidth="1"/>
    <col min="58" max="58" width="19.140625" style="204" customWidth="1"/>
    <col min="59" max="59" width="7.42578125" style="204" customWidth="1"/>
    <col min="60" max="60" width="22.5703125" style="204" customWidth="1"/>
    <col min="61" max="61" width="19.140625" style="204" customWidth="1"/>
    <col min="62" max="62" width="19.42578125" style="204" customWidth="1"/>
    <col min="63" max="63" width="3.7109375" style="204" customWidth="1"/>
    <col min="64" max="64" width="20.7109375" style="204" customWidth="1"/>
    <col min="65" max="65" width="21.140625" style="204" customWidth="1"/>
    <col min="66" max="66" width="20.140625" style="204" customWidth="1"/>
    <col min="67" max="67" width="3.42578125" style="204" customWidth="1"/>
    <col min="68" max="68" width="19" style="204" customWidth="1"/>
    <col min="69" max="69" width="19.85546875" style="204" customWidth="1"/>
    <col min="70" max="70" width="21.42578125" style="204" customWidth="1"/>
    <col min="71" max="71" width="4.42578125" style="204" customWidth="1"/>
    <col min="72" max="72" width="19.42578125" style="204" customWidth="1"/>
    <col min="73" max="73" width="19.5703125" style="204" customWidth="1"/>
    <col min="74" max="74" width="21" style="204" customWidth="1"/>
    <col min="75" max="75" width="4.7109375" style="204" customWidth="1"/>
    <col min="76" max="76" width="22" style="204" customWidth="1"/>
    <col min="77" max="77" width="21.28515625" style="204" customWidth="1"/>
    <col min="78" max="78" width="18.140625" style="204" customWidth="1"/>
    <col min="79" max="79" width="4.7109375" style="204" customWidth="1"/>
    <col min="80" max="80" width="19.7109375" style="204" customWidth="1"/>
    <col min="81" max="81" width="19.5703125" style="204" customWidth="1"/>
    <col min="82" max="82" width="22.28515625" style="204" customWidth="1"/>
    <col min="83" max="83" width="4.28515625" style="204" customWidth="1"/>
    <col min="84" max="84" width="19.42578125" style="204" customWidth="1"/>
    <col min="85" max="85" width="19.28515625" style="204" customWidth="1"/>
    <col min="86" max="86" width="20.140625" style="204" customWidth="1"/>
    <col min="87" max="87" width="2.7109375" style="204" customWidth="1"/>
    <col min="88" max="89" width="19.140625" style="204" customWidth="1"/>
    <col min="90" max="90" width="19.28515625" style="204" customWidth="1"/>
    <col min="91" max="91" width="3.42578125" style="204" customWidth="1"/>
    <col min="92" max="92" width="19.28515625" style="204" customWidth="1"/>
    <col min="93" max="93" width="19.5703125" style="204" customWidth="1"/>
    <col min="94" max="94" width="20.5703125" style="204" customWidth="1"/>
    <col min="95" max="95" width="2.28515625" style="204" customWidth="1"/>
    <col min="96" max="96" width="19.5703125" style="204" customWidth="1"/>
    <col min="97" max="97" width="18.42578125" style="204" customWidth="1"/>
    <col min="98" max="98" width="19.42578125" style="204" customWidth="1"/>
    <col min="99" max="99" width="3.85546875" style="204" customWidth="1"/>
    <col min="100" max="100" width="21.28515625" style="204" customWidth="1"/>
    <col min="101" max="101" width="20.5703125" style="204" customWidth="1"/>
    <col min="102" max="102" width="20.85546875" style="204" customWidth="1"/>
    <col min="103" max="103" width="4.28515625" style="204" customWidth="1"/>
    <col min="104" max="104" width="20.5703125" style="204" customWidth="1"/>
    <col min="105" max="106" width="21.85546875" style="204" customWidth="1"/>
    <col min="107" max="107" width="7.28515625" style="204" customWidth="1"/>
    <col min="108" max="108" width="20" style="204" customWidth="1"/>
    <col min="109" max="109" width="23.140625" style="206" customWidth="1"/>
    <col min="110" max="110" width="18.140625" style="206" customWidth="1"/>
    <col min="111" max="111" width="4.140625" style="206" customWidth="1"/>
    <col min="112" max="112" width="21" style="206" customWidth="1"/>
    <col min="113" max="114" width="20.85546875" style="206" customWidth="1"/>
    <col min="115" max="115" width="3.140625" style="206" customWidth="1"/>
    <col min="116" max="118" width="20.85546875" style="206" customWidth="1"/>
    <col min="119" max="119" width="3.28515625" style="206" customWidth="1"/>
    <col min="120" max="122" width="20.85546875" style="206" customWidth="1"/>
    <col min="123" max="123" width="1.7109375" style="206" customWidth="1"/>
    <col min="124" max="126" width="20.85546875" style="206" customWidth="1"/>
    <col min="127" max="127" width="2.42578125" style="206" customWidth="1"/>
    <col min="128" max="130" width="20.85546875" style="206" customWidth="1"/>
    <col min="131" max="131" width="4.140625" style="206" customWidth="1"/>
    <col min="132" max="132" width="19" style="206" customWidth="1"/>
    <col min="133" max="133" width="17.85546875" style="206" customWidth="1"/>
    <col min="134" max="134" width="19.140625" style="206" customWidth="1"/>
    <col min="135" max="135" width="6.140625" style="206" customWidth="1"/>
    <col min="136" max="138" width="17.85546875" style="206" customWidth="1"/>
    <col min="139" max="139" width="5.42578125" style="206" customWidth="1"/>
    <col min="140" max="142" width="17.85546875" style="206" customWidth="1"/>
    <col min="143" max="143" width="6.5703125" style="206" customWidth="1"/>
    <col min="144" max="149" width="17.85546875" style="206" customWidth="1"/>
    <col min="150" max="150" width="6.42578125" style="206" customWidth="1"/>
    <col min="151" max="151" width="20.28515625" style="206" customWidth="1"/>
    <col min="152" max="152" width="17.85546875" style="206" customWidth="1"/>
    <col min="153" max="153" width="19.7109375" style="206" customWidth="1"/>
    <col min="154" max="154" width="7" style="206" customWidth="1"/>
    <col min="155" max="157" width="17.85546875" style="206" customWidth="1"/>
    <col min="158" max="158" width="7.5703125" style="206" customWidth="1"/>
    <col min="159" max="161" width="17.85546875" style="206" customWidth="1"/>
    <col min="162" max="162" width="7.7109375" style="206" customWidth="1"/>
    <col min="163" max="165" width="17.85546875" style="206" customWidth="1"/>
    <col min="166" max="166" width="7.7109375" style="206" customWidth="1"/>
    <col min="167" max="169" width="17.85546875" style="206" customWidth="1"/>
    <col min="170" max="170" width="7.5703125" style="206" customWidth="1"/>
    <col min="171" max="171" width="19.42578125" style="206" customWidth="1"/>
    <col min="172" max="172" width="17.28515625" style="206" customWidth="1"/>
    <col min="173" max="173" width="19.85546875" style="206" customWidth="1"/>
    <col min="174" max="174" width="21" style="206" customWidth="1"/>
    <col min="175" max="175" width="22.7109375" style="206" customWidth="1"/>
    <col min="176" max="176" width="20.42578125" style="206" customWidth="1"/>
    <col min="177" max="177" width="7.5703125" style="206" customWidth="1"/>
    <col min="178" max="178" width="18.5703125" style="206" customWidth="1"/>
    <col min="179" max="179" width="17.140625" style="206" customWidth="1"/>
    <col min="180" max="180" width="18.5703125" style="206" customWidth="1"/>
    <col min="181" max="181" width="7.5703125" style="206" customWidth="1"/>
    <col min="182" max="182" width="19.42578125" style="206" customWidth="1"/>
    <col min="183" max="183" width="18.140625" style="206" customWidth="1"/>
    <col min="184" max="184" width="24.7109375" style="206" customWidth="1"/>
    <col min="185" max="185" width="19.5703125" style="206" customWidth="1"/>
    <col min="186" max="187" width="19.7109375" style="206" customWidth="1"/>
    <col min="188" max="188" width="7.5703125" style="206" customWidth="1"/>
    <col min="189" max="190" width="19.85546875" style="206" customWidth="1"/>
    <col min="191" max="191" width="20.28515625" style="206" customWidth="1"/>
    <col min="192" max="192" width="7.5703125" style="206" customWidth="1"/>
    <col min="193" max="193" width="21.85546875" style="206" customWidth="1"/>
    <col min="194" max="194" width="21.7109375" style="206" customWidth="1"/>
    <col min="195" max="195" width="20.85546875" style="206" customWidth="1"/>
    <col min="196" max="196" width="5.28515625" style="206" customWidth="1"/>
    <col min="197" max="197" width="27.5703125" style="206" customWidth="1"/>
    <col min="198" max="198" width="20.7109375" style="206" customWidth="1"/>
    <col min="199" max="199" width="22.140625" style="206" customWidth="1"/>
    <col min="200" max="200" width="17.28515625" style="206" customWidth="1"/>
    <col min="201" max="201" width="18.85546875" style="206" customWidth="1"/>
    <col min="202" max="202" width="19.85546875" style="206" customWidth="1"/>
    <col min="203" max="203" width="5" style="206" customWidth="1"/>
    <col min="204" max="204" width="2" style="206" customWidth="1"/>
    <col min="205" max="205" width="20.28515625" style="206" customWidth="1"/>
    <col min="206" max="206" width="22.7109375" style="206" customWidth="1"/>
    <col min="207" max="207" width="18.42578125" style="206" customWidth="1"/>
    <col min="208" max="208" width="5.140625" style="206" customWidth="1"/>
    <col min="209" max="215" width="20.85546875" style="206" customWidth="1"/>
    <col min="216" max="216" width="7.28515625" style="206" customWidth="1"/>
    <col min="217" max="217" width="22.7109375" style="206" customWidth="1"/>
    <col min="218" max="218" width="21.5703125" style="206" customWidth="1"/>
    <col min="219" max="219" width="20.140625" style="206" customWidth="1"/>
    <col min="220" max="220" width="9.42578125" style="206" customWidth="1"/>
    <col min="221" max="221" width="21" style="206" customWidth="1"/>
    <col min="222" max="222" width="20.7109375" style="206" customWidth="1"/>
    <col min="223" max="223" width="22.42578125" style="206" customWidth="1"/>
    <col min="224" max="224" width="15.42578125" style="206"/>
    <col min="225" max="225" width="20.7109375" style="206" customWidth="1"/>
    <col min="226" max="226" width="19.7109375" style="206" customWidth="1"/>
    <col min="227" max="227" width="22.5703125" style="206" customWidth="1"/>
    <col min="228" max="16384" width="15.42578125" style="206"/>
  </cols>
  <sheetData>
    <row r="1" spans="1:214" s="211" customFormat="1" x14ac:dyDescent="0.25">
      <c r="A1" s="208" t="s">
        <v>148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  <c r="Q1" s="209"/>
      <c r="R1" s="209"/>
      <c r="S1" s="209"/>
      <c r="T1" s="210"/>
      <c r="U1" s="210"/>
      <c r="V1" s="210"/>
      <c r="W1" s="210"/>
      <c r="X1" s="210"/>
      <c r="Y1" s="210"/>
      <c r="Z1" s="210"/>
      <c r="AA1" s="210"/>
      <c r="AB1" s="210"/>
      <c r="AC1" s="210"/>
      <c r="AD1" s="210"/>
      <c r="AE1" s="210"/>
      <c r="AF1" s="210"/>
      <c r="AG1" s="210"/>
      <c r="AH1" s="210"/>
      <c r="AI1" s="210"/>
      <c r="AJ1" s="210"/>
      <c r="AK1" s="210"/>
      <c r="AL1" s="210"/>
      <c r="AM1" s="210"/>
      <c r="AN1" s="210"/>
      <c r="AO1" s="210"/>
      <c r="AP1" s="210"/>
      <c r="AQ1" s="210"/>
      <c r="AR1" s="210"/>
      <c r="AS1" s="210"/>
      <c r="AT1" s="210"/>
      <c r="AU1" s="210"/>
      <c r="AV1" s="210"/>
      <c r="AW1" s="210"/>
      <c r="AX1" s="210"/>
      <c r="AY1" s="210"/>
      <c r="AZ1" s="210"/>
      <c r="BA1" s="210"/>
      <c r="BB1" s="210"/>
      <c r="BC1" s="210"/>
      <c r="BD1" s="210"/>
      <c r="BE1" s="210"/>
      <c r="BF1" s="210"/>
      <c r="BG1" s="210"/>
      <c r="BH1" s="210"/>
      <c r="BI1" s="210"/>
      <c r="BJ1" s="210"/>
      <c r="BK1" s="210"/>
      <c r="BL1" s="205"/>
      <c r="BM1" s="205"/>
      <c r="BN1" s="205"/>
      <c r="BO1" s="205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209"/>
      <c r="CC1" s="209"/>
      <c r="CD1" s="209"/>
      <c r="CE1" s="209"/>
      <c r="CF1" s="304"/>
      <c r="CG1" s="304"/>
      <c r="CH1" s="304"/>
      <c r="CI1" s="304"/>
      <c r="CJ1" s="206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5"/>
      <c r="DD1" s="265"/>
      <c r="GT1" s="265"/>
      <c r="GU1" s="265"/>
      <c r="GV1" s="265"/>
      <c r="GW1" s="265"/>
    </row>
    <row r="2" spans="1:214" x14ac:dyDescent="0.25">
      <c r="A2" s="273"/>
      <c r="B2" s="306"/>
      <c r="C2" s="307"/>
      <c r="D2" s="208" t="s">
        <v>266</v>
      </c>
      <c r="E2" s="208"/>
      <c r="F2" s="208"/>
      <c r="G2" s="208"/>
      <c r="H2" s="208"/>
      <c r="I2" s="209"/>
      <c r="J2" s="209"/>
      <c r="K2" s="209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9"/>
      <c r="AP2" s="309"/>
      <c r="AQ2" s="309"/>
      <c r="AR2" s="309"/>
      <c r="AS2" s="309"/>
      <c r="AT2" s="309"/>
      <c r="AU2" s="309"/>
      <c r="AV2" s="205"/>
      <c r="AW2" s="205"/>
      <c r="AX2" s="205"/>
      <c r="AY2" s="205"/>
      <c r="AZ2" s="205"/>
      <c r="BA2" s="205"/>
      <c r="BB2" s="205"/>
      <c r="BC2" s="205"/>
      <c r="BL2" s="206"/>
      <c r="BM2" s="206"/>
      <c r="BN2" s="206"/>
      <c r="BO2" s="206"/>
      <c r="BP2" s="206"/>
      <c r="BQ2" s="206"/>
      <c r="BR2" s="206"/>
      <c r="BS2" s="206"/>
      <c r="BT2" s="206"/>
      <c r="BU2" s="206"/>
      <c r="BV2" s="206"/>
      <c r="BW2" s="206"/>
      <c r="BX2" s="206"/>
      <c r="BY2" s="206"/>
      <c r="BZ2" s="206"/>
      <c r="CA2" s="206"/>
      <c r="CB2" s="206"/>
      <c r="CC2" s="206"/>
      <c r="CD2" s="206"/>
      <c r="CE2" s="206"/>
      <c r="CF2" s="206"/>
      <c r="CG2" s="206"/>
      <c r="CH2" s="206"/>
      <c r="CI2" s="206"/>
      <c r="CJ2" s="206"/>
      <c r="CK2" s="206"/>
      <c r="CL2" s="206"/>
      <c r="CM2" s="206"/>
      <c r="CN2" s="206"/>
      <c r="CO2" s="206"/>
      <c r="CP2" s="206"/>
      <c r="CQ2" s="206"/>
      <c r="CR2" s="206"/>
      <c r="CS2" s="206"/>
      <c r="CT2" s="206"/>
      <c r="CU2" s="206"/>
      <c r="CV2" s="206"/>
      <c r="CW2" s="206"/>
      <c r="CX2" s="206"/>
      <c r="CY2" s="206"/>
      <c r="CZ2" s="206"/>
      <c r="DA2" s="310"/>
      <c r="DB2" s="310"/>
      <c r="DC2" s="211"/>
      <c r="DD2" s="265"/>
      <c r="GT2" s="248"/>
      <c r="GU2" s="248"/>
      <c r="GV2" s="248"/>
      <c r="GW2" s="248"/>
    </row>
    <row r="3" spans="1:214" x14ac:dyDescent="0.25">
      <c r="A3" s="273"/>
      <c r="B3" s="306" t="s">
        <v>2</v>
      </c>
      <c r="C3" s="306"/>
      <c r="D3" s="275">
        <v>1500000</v>
      </c>
      <c r="E3" s="275"/>
      <c r="F3" s="275"/>
      <c r="G3" s="275"/>
      <c r="H3" s="275">
        <v>1500000</v>
      </c>
      <c r="I3" s="275"/>
      <c r="J3" s="275"/>
      <c r="K3" s="275"/>
      <c r="L3" s="275">
        <v>1500000</v>
      </c>
      <c r="M3" s="275"/>
      <c r="N3" s="275"/>
      <c r="O3" s="275"/>
      <c r="P3" s="275">
        <v>1500000</v>
      </c>
      <c r="Q3" s="275"/>
      <c r="R3" s="275"/>
      <c r="S3" s="275"/>
      <c r="T3" s="275">
        <v>2500000</v>
      </c>
      <c r="U3" s="275"/>
      <c r="V3" s="275"/>
      <c r="W3" s="275"/>
      <c r="X3" s="275">
        <v>2000000</v>
      </c>
      <c r="Y3" s="275"/>
      <c r="Z3" s="275"/>
      <c r="AA3" s="275"/>
      <c r="AB3" s="275">
        <v>2600000</v>
      </c>
      <c r="AC3" s="205"/>
      <c r="AD3" s="205"/>
      <c r="AE3" s="205"/>
      <c r="AF3" s="204">
        <v>5000000</v>
      </c>
      <c r="AJ3" s="275">
        <v>5000000</v>
      </c>
      <c r="AK3" s="275"/>
      <c r="AL3" s="275"/>
      <c r="AM3" s="275"/>
      <c r="AN3" s="275">
        <v>10000000</v>
      </c>
      <c r="AO3" s="205"/>
      <c r="AP3" s="205"/>
      <c r="AQ3" s="205"/>
      <c r="AR3" s="214"/>
      <c r="AS3" s="214"/>
      <c r="AT3" s="214"/>
      <c r="AU3" s="214"/>
      <c r="AV3" s="214"/>
      <c r="AW3" s="214"/>
      <c r="AX3" s="214"/>
      <c r="AY3" s="214"/>
      <c r="AZ3" s="206"/>
      <c r="BA3" s="206"/>
      <c r="BB3" s="206"/>
      <c r="BC3" s="214"/>
      <c r="BL3" s="311"/>
      <c r="BM3" s="311"/>
      <c r="BN3" s="311"/>
      <c r="BO3" s="310"/>
      <c r="BP3" s="312">
        <v>2017</v>
      </c>
      <c r="BQ3" s="312"/>
      <c r="BR3" s="312"/>
      <c r="BS3" s="206"/>
      <c r="BT3" s="206"/>
      <c r="BU3" s="206"/>
      <c r="BV3" s="206"/>
      <c r="BW3" s="206"/>
      <c r="BX3" s="312" t="s">
        <v>299</v>
      </c>
      <c r="BY3" s="312"/>
      <c r="BZ3" s="312"/>
      <c r="CA3" s="206"/>
      <c r="CB3" s="206"/>
      <c r="CC3" s="206"/>
      <c r="CD3" s="206"/>
      <c r="CE3" s="206"/>
      <c r="CF3" s="206"/>
      <c r="CG3" s="206"/>
      <c r="CH3" s="206"/>
      <c r="CI3" s="206"/>
      <c r="CJ3" s="272"/>
      <c r="CK3" s="206"/>
      <c r="CL3" s="206"/>
      <c r="CM3" s="206"/>
      <c r="CN3" s="206"/>
      <c r="CO3" s="206"/>
      <c r="CP3" s="206"/>
      <c r="CQ3" s="206"/>
      <c r="CR3" s="206"/>
      <c r="CS3" s="206"/>
      <c r="CT3" s="206"/>
      <c r="CU3" s="206"/>
      <c r="CV3" s="206"/>
      <c r="CW3" s="206"/>
      <c r="CX3" s="206"/>
      <c r="CY3" s="206"/>
      <c r="CZ3" s="206"/>
      <c r="DA3" s="206"/>
      <c r="DB3" s="206"/>
      <c r="DC3" s="211"/>
      <c r="DD3" s="265"/>
      <c r="GT3" s="265"/>
      <c r="GU3" s="265"/>
      <c r="GV3" s="265"/>
      <c r="GW3" s="265"/>
    </row>
    <row r="4" spans="1:214" s="203" customFormat="1" x14ac:dyDescent="0.25">
      <c r="A4" s="273" t="s">
        <v>267</v>
      </c>
      <c r="B4" s="306"/>
      <c r="C4" s="313"/>
      <c r="D4" s="232">
        <v>2001</v>
      </c>
      <c r="E4" s="233"/>
      <c r="F4" s="234"/>
      <c r="G4" s="306"/>
      <c r="H4" s="232">
        <v>2002</v>
      </c>
      <c r="I4" s="233"/>
      <c r="J4" s="234"/>
      <c r="K4" s="306"/>
      <c r="L4" s="232">
        <v>2003</v>
      </c>
      <c r="M4" s="233"/>
      <c r="N4" s="234"/>
      <c r="O4" s="306"/>
      <c r="P4" s="232">
        <v>2004</v>
      </c>
      <c r="Q4" s="233"/>
      <c r="R4" s="234"/>
      <c r="S4" s="306"/>
      <c r="T4" s="232">
        <v>2005</v>
      </c>
      <c r="U4" s="233"/>
      <c r="V4" s="234"/>
      <c r="W4" s="306"/>
      <c r="X4" s="232">
        <v>2006</v>
      </c>
      <c r="Y4" s="233"/>
      <c r="Z4" s="234"/>
      <c r="AA4" s="306"/>
      <c r="AB4" s="232">
        <v>2007</v>
      </c>
      <c r="AC4" s="233"/>
      <c r="AD4" s="234"/>
      <c r="AE4" s="306"/>
      <c r="AF4" s="232">
        <v>2008</v>
      </c>
      <c r="AG4" s="233"/>
      <c r="AH4" s="234"/>
      <c r="AI4" s="306"/>
      <c r="AJ4" s="232">
        <v>2009</v>
      </c>
      <c r="AK4" s="233"/>
      <c r="AL4" s="234"/>
      <c r="AM4" s="306"/>
      <c r="AN4" s="314">
        <v>2010</v>
      </c>
      <c r="AO4" s="315"/>
      <c r="AP4" s="315"/>
      <c r="AQ4" s="307"/>
      <c r="AR4" s="316">
        <v>2011</v>
      </c>
      <c r="AS4" s="316"/>
      <c r="AT4" s="316"/>
      <c r="AU4" s="317"/>
      <c r="AV4" s="318">
        <v>2012</v>
      </c>
      <c r="AW4" s="318"/>
      <c r="AX4" s="318"/>
      <c r="AY4" s="207"/>
      <c r="AZ4" s="319"/>
      <c r="BA4" s="229">
        <v>2013</v>
      </c>
      <c r="BB4" s="319"/>
      <c r="BC4" s="207"/>
      <c r="BD4" s="303"/>
      <c r="BE4" s="303">
        <v>2014</v>
      </c>
      <c r="BF4" s="303"/>
      <c r="BG4" s="303"/>
      <c r="BH4" s="320">
        <v>2015</v>
      </c>
      <c r="BI4" s="320"/>
      <c r="BJ4" s="320"/>
      <c r="BK4" s="303"/>
      <c r="BL4" s="255">
        <v>2016</v>
      </c>
      <c r="BM4" s="255"/>
      <c r="BN4" s="255"/>
      <c r="BP4" s="321"/>
      <c r="BQ4" s="321"/>
      <c r="BR4" s="321"/>
      <c r="BT4" s="255">
        <v>2018</v>
      </c>
      <c r="BU4" s="255"/>
      <c r="BV4" s="255"/>
      <c r="BX4" s="321"/>
      <c r="BY4" s="321"/>
      <c r="BZ4" s="321"/>
      <c r="CJ4" s="322"/>
      <c r="DD4" s="265"/>
      <c r="GT4" s="248"/>
      <c r="GU4" s="248"/>
      <c r="GV4" s="248"/>
      <c r="GW4" s="248"/>
    </row>
    <row r="5" spans="1:214" ht="31.5" x14ac:dyDescent="0.25">
      <c r="A5" s="273"/>
      <c r="B5" s="306" t="s">
        <v>52</v>
      </c>
      <c r="C5" s="306"/>
      <c r="D5" s="267" t="s">
        <v>54</v>
      </c>
      <c r="E5" s="267" t="s">
        <v>55</v>
      </c>
      <c r="F5" s="267" t="s">
        <v>56</v>
      </c>
      <c r="G5" s="267"/>
      <c r="H5" s="267" t="s">
        <v>54</v>
      </c>
      <c r="I5" s="267" t="s">
        <v>55</v>
      </c>
      <c r="J5" s="267" t="s">
        <v>56</v>
      </c>
      <c r="K5" s="267"/>
      <c r="L5" s="267" t="s">
        <v>54</v>
      </c>
      <c r="M5" s="267" t="s">
        <v>55</v>
      </c>
      <c r="N5" s="267" t="s">
        <v>56</v>
      </c>
      <c r="O5" s="267"/>
      <c r="P5" s="267" t="s">
        <v>54</v>
      </c>
      <c r="Q5" s="267" t="s">
        <v>55</v>
      </c>
      <c r="R5" s="267" t="s">
        <v>56</v>
      </c>
      <c r="S5" s="267"/>
      <c r="T5" s="267" t="s">
        <v>54</v>
      </c>
      <c r="U5" s="267" t="s">
        <v>55</v>
      </c>
      <c r="V5" s="267" t="s">
        <v>56</v>
      </c>
      <c r="W5" s="267"/>
      <c r="X5" s="267" t="s">
        <v>54</v>
      </c>
      <c r="Y5" s="267" t="s">
        <v>55</v>
      </c>
      <c r="Z5" s="267" t="s">
        <v>56</v>
      </c>
      <c r="AA5" s="267"/>
      <c r="AB5" s="267" t="s">
        <v>54</v>
      </c>
      <c r="AC5" s="267" t="s">
        <v>55</v>
      </c>
      <c r="AD5" s="267" t="s">
        <v>56</v>
      </c>
      <c r="AE5" s="267"/>
      <c r="AF5" s="267" t="s">
        <v>54</v>
      </c>
      <c r="AG5" s="267" t="s">
        <v>55</v>
      </c>
      <c r="AH5" s="267" t="s">
        <v>56</v>
      </c>
      <c r="AI5" s="267"/>
      <c r="AJ5" s="267" t="s">
        <v>54</v>
      </c>
      <c r="AK5" s="267" t="s">
        <v>55</v>
      </c>
      <c r="AL5" s="267" t="s">
        <v>56</v>
      </c>
      <c r="AM5" s="267"/>
      <c r="AN5" s="267" t="s">
        <v>54</v>
      </c>
      <c r="AO5" s="267" t="s">
        <v>55</v>
      </c>
      <c r="AP5" s="267" t="s">
        <v>56</v>
      </c>
      <c r="AQ5" s="210"/>
      <c r="AR5" s="267" t="s">
        <v>54</v>
      </c>
      <c r="AS5" s="267" t="s">
        <v>55</v>
      </c>
      <c r="AT5" s="267" t="s">
        <v>56</v>
      </c>
      <c r="AU5" s="210"/>
      <c r="AV5" s="267" t="s">
        <v>54</v>
      </c>
      <c r="AW5" s="267" t="s">
        <v>55</v>
      </c>
      <c r="AX5" s="267" t="s">
        <v>56</v>
      </c>
      <c r="AY5" s="205"/>
      <c r="AZ5" s="267" t="s">
        <v>54</v>
      </c>
      <c r="BA5" s="267" t="s">
        <v>55</v>
      </c>
      <c r="BB5" s="267" t="s">
        <v>56</v>
      </c>
      <c r="BC5" s="323"/>
      <c r="BD5" s="267" t="s">
        <v>54</v>
      </c>
      <c r="BE5" s="267" t="s">
        <v>55</v>
      </c>
      <c r="BF5" s="267" t="s">
        <v>56</v>
      </c>
      <c r="BG5" s="323"/>
      <c r="BH5" s="270" t="s">
        <v>54</v>
      </c>
      <c r="BI5" s="270" t="s">
        <v>55</v>
      </c>
      <c r="BJ5" s="270" t="s">
        <v>56</v>
      </c>
      <c r="BL5" s="267" t="s">
        <v>54</v>
      </c>
      <c r="BM5" s="267" t="s">
        <v>55</v>
      </c>
      <c r="BN5" s="267" t="s">
        <v>56</v>
      </c>
      <c r="BP5" s="267" t="s">
        <v>54</v>
      </c>
      <c r="BQ5" s="267" t="s">
        <v>55</v>
      </c>
      <c r="BR5" s="267" t="s">
        <v>56</v>
      </c>
      <c r="BT5" s="267" t="s">
        <v>54</v>
      </c>
      <c r="BU5" s="267" t="s">
        <v>55</v>
      </c>
      <c r="BV5" s="267" t="s">
        <v>56</v>
      </c>
      <c r="BX5" s="263" t="s">
        <v>268</v>
      </c>
      <c r="BY5" s="287" t="s">
        <v>269</v>
      </c>
      <c r="BZ5" s="264" t="s">
        <v>270</v>
      </c>
      <c r="CB5" s="211"/>
      <c r="CC5" s="211"/>
      <c r="CD5" s="211"/>
      <c r="CE5" s="211"/>
      <c r="CF5" s="211"/>
      <c r="CG5" s="211"/>
      <c r="CH5" s="211"/>
      <c r="CI5" s="211"/>
      <c r="CJ5" s="211"/>
      <c r="CK5" s="211"/>
      <c r="CL5" s="211"/>
      <c r="CM5" s="211"/>
      <c r="CN5" s="211"/>
      <c r="CO5" s="211"/>
      <c r="CP5" s="211"/>
      <c r="CQ5" s="211"/>
      <c r="CR5" s="211"/>
      <c r="CS5" s="211"/>
      <c r="CT5" s="211"/>
      <c r="CU5" s="211"/>
      <c r="CV5" s="211"/>
      <c r="CW5" s="211"/>
      <c r="CX5" s="211"/>
      <c r="CY5" s="211"/>
      <c r="CZ5" s="211"/>
      <c r="DA5" s="211"/>
      <c r="DB5" s="211"/>
      <c r="DC5" s="211"/>
      <c r="DD5" s="211"/>
      <c r="DE5" s="211"/>
      <c r="DF5" s="211"/>
      <c r="DG5" s="211"/>
      <c r="DH5" s="211"/>
      <c r="DI5" s="211"/>
      <c r="DJ5" s="211"/>
      <c r="DK5" s="211"/>
      <c r="DL5" s="211"/>
      <c r="DM5" s="211"/>
      <c r="DN5" s="211"/>
      <c r="DO5" s="205"/>
      <c r="DP5" s="265"/>
      <c r="HA5" s="265"/>
      <c r="HB5" s="265"/>
      <c r="HC5" s="265"/>
      <c r="HD5" s="265"/>
      <c r="HE5" s="265"/>
      <c r="HF5" s="265"/>
    </row>
    <row r="6" spans="1:214" x14ac:dyDescent="0.25">
      <c r="A6" s="273">
        <v>1</v>
      </c>
      <c r="B6" s="273" t="s">
        <v>200</v>
      </c>
      <c r="C6" s="273"/>
      <c r="D6" s="275">
        <v>1500000</v>
      </c>
      <c r="E6" s="275">
        <f>'[1]POLY LIB. 2019'!C12</f>
        <v>1500000</v>
      </c>
      <c r="F6" s="275">
        <f>D6-E6</f>
        <v>0</v>
      </c>
      <c r="G6" s="275"/>
      <c r="H6" s="275">
        <v>1275000</v>
      </c>
      <c r="I6" s="275">
        <f>'[1]POLY LIB. 2019'!D12</f>
        <v>1275000</v>
      </c>
      <c r="J6" s="275">
        <f>H6-I6</f>
        <v>0</v>
      </c>
      <c r="K6" s="275"/>
      <c r="L6" s="275">
        <v>1500000</v>
      </c>
      <c r="M6" s="275">
        <f>'[1]POLY LIB. 2019'!E12</f>
        <v>1500000</v>
      </c>
      <c r="N6" s="275">
        <f>L6-M6</f>
        <v>0</v>
      </c>
      <c r="O6" s="275"/>
      <c r="P6" s="275">
        <v>1500000</v>
      </c>
      <c r="Q6" s="275">
        <f>'[1]POLY LIB. 2019'!F12</f>
        <v>1500000</v>
      </c>
      <c r="R6" s="275">
        <f>P6-Q6</f>
        <v>0</v>
      </c>
      <c r="S6" s="275"/>
      <c r="T6" s="275">
        <v>2500000</v>
      </c>
      <c r="U6" s="275">
        <f>'[1]POLY LIB. 2019'!G12</f>
        <v>2500000</v>
      </c>
      <c r="V6" s="275">
        <f>T6-U6</f>
        <v>0</v>
      </c>
      <c r="W6" s="275"/>
      <c r="X6" s="275">
        <v>2000000</v>
      </c>
      <c r="Y6" s="324">
        <f>'[1]POLY LIB. 2019'!$H$12</f>
        <v>2000000</v>
      </c>
      <c r="Z6" s="275">
        <f>X6-Y6</f>
        <v>0</v>
      </c>
      <c r="AA6" s="275"/>
      <c r="AB6" s="275">
        <v>2600000</v>
      </c>
      <c r="AC6" s="275">
        <f>'[1]POLY LIB. 2019'!I12</f>
        <v>2600000</v>
      </c>
      <c r="AD6" s="275">
        <f>AB6-AC6</f>
        <v>0</v>
      </c>
      <c r="AE6" s="275"/>
      <c r="AF6" s="275">
        <v>5000000</v>
      </c>
      <c r="AG6" s="275">
        <f>'[1]POLY LIB. 2019'!J12</f>
        <v>5000000</v>
      </c>
      <c r="AH6" s="275">
        <f>AF6-AG6</f>
        <v>0</v>
      </c>
      <c r="AI6" s="275"/>
      <c r="AJ6" s="275">
        <v>5000000</v>
      </c>
      <c r="AK6" s="275">
        <f>'[1]POLY LIB. 2019'!K12</f>
        <v>5000000</v>
      </c>
      <c r="AL6" s="275">
        <f>AJ6-AK6</f>
        <v>0</v>
      </c>
      <c r="AM6" s="275"/>
      <c r="AN6" s="275">
        <v>10000000</v>
      </c>
      <c r="AO6" s="324">
        <f>'[1]POLY LIB. 2019'!L12</f>
        <v>10000000</v>
      </c>
      <c r="AP6" s="275">
        <f>AN6-AO6</f>
        <v>0</v>
      </c>
      <c r="AQ6" s="205"/>
      <c r="AR6" s="275">
        <v>10000000</v>
      </c>
      <c r="AS6" s="294">
        <f>'[1]POLY LIB. 2019'!M12</f>
        <v>10000000</v>
      </c>
      <c r="AT6" s="275">
        <f>AR6-AS6</f>
        <v>0</v>
      </c>
      <c r="AU6" s="205"/>
      <c r="AV6" s="275">
        <v>30000000</v>
      </c>
      <c r="AW6" s="275">
        <f>'[1]POLY LIB. 2019'!N12</f>
        <v>30000000</v>
      </c>
      <c r="AX6" s="275">
        <f>AV6-AW6</f>
        <v>0</v>
      </c>
      <c r="AY6" s="205"/>
      <c r="AZ6" s="275">
        <f>'[1]POLY commited funds to date'!P90</f>
        <v>50000000</v>
      </c>
      <c r="BA6" s="275">
        <f>'[1]POLY LIB. 2019'!O12</f>
        <v>50000000</v>
      </c>
      <c r="BB6" s="275">
        <f>AZ6-BA6</f>
        <v>0</v>
      </c>
      <c r="BC6" s="205"/>
      <c r="BD6" s="275">
        <v>70000000</v>
      </c>
      <c r="BE6" s="275">
        <f>'[1]POLY LIB. 2019'!P12</f>
        <v>70000000</v>
      </c>
      <c r="BF6" s="275">
        <f>BD6-BE6</f>
        <v>0</v>
      </c>
      <c r="BG6" s="205"/>
      <c r="BH6" s="275">
        <v>40000000</v>
      </c>
      <c r="BI6" s="275">
        <f>'[1]POLY LIB. 2019'!Q12</f>
        <v>0</v>
      </c>
      <c r="BJ6" s="275">
        <f>BH6-BI6</f>
        <v>40000000</v>
      </c>
      <c r="BL6" s="275">
        <f>'[1]POLY commited funds to date'!S90</f>
        <v>30000000</v>
      </c>
      <c r="BM6" s="275">
        <f>'[1]POLY LIB. 2019'!R12</f>
        <v>0</v>
      </c>
      <c r="BN6" s="275">
        <f>BL6-BM6</f>
        <v>30000000</v>
      </c>
      <c r="BP6" s="275">
        <f>'[1]POLY commited funds to date'!T90</f>
        <v>25000000</v>
      </c>
      <c r="BQ6" s="275">
        <f>'[1]POLY LIB. 2019'!S12</f>
        <v>0</v>
      </c>
      <c r="BR6" s="275">
        <f>BP6-BQ6</f>
        <v>25000000</v>
      </c>
      <c r="BT6" s="275">
        <f>'[1]POLY commited funds to date'!U90</f>
        <v>15000000</v>
      </c>
      <c r="BU6" s="275">
        <f>'[1]POLY LIB. 2019'!T12</f>
        <v>0</v>
      </c>
      <c r="BV6" s="275">
        <f>BT6-BU6</f>
        <v>15000000</v>
      </c>
      <c r="BX6" s="275">
        <f>D6+H6+L6+P6+T6+X6+AB6+AF6+AJ6+AN6+AR6+AV6+AZ6+BD6+BH6+BL6+BP6+BT6</f>
        <v>302875000</v>
      </c>
      <c r="BY6" s="275">
        <f>E6+I6+M6+Q6+U6+Y6+AC6+AG6+AK6+AO6+AS6+AW6+BA6+BE6+BI6+BM6+BQ6+BU6</f>
        <v>192875000</v>
      </c>
      <c r="BZ6" s="275">
        <f>BX6-BY6</f>
        <v>110000000</v>
      </c>
      <c r="CB6" s="205"/>
      <c r="CC6" s="325"/>
      <c r="CD6" s="211"/>
      <c r="CE6" s="211"/>
      <c r="CF6" s="211"/>
      <c r="CG6" s="211"/>
      <c r="CH6" s="211"/>
      <c r="CI6" s="211"/>
      <c r="CJ6" s="211"/>
      <c r="CK6" s="211"/>
      <c r="CL6" s="211"/>
      <c r="CM6" s="211"/>
      <c r="CN6" s="211"/>
      <c r="CO6" s="211"/>
      <c r="CP6" s="211"/>
      <c r="CQ6" s="211"/>
      <c r="CR6" s="211"/>
      <c r="CS6" s="211"/>
      <c r="CT6" s="211"/>
      <c r="CU6" s="211"/>
      <c r="CV6" s="211"/>
      <c r="CW6" s="211"/>
      <c r="CX6" s="211"/>
      <c r="CY6" s="211"/>
      <c r="CZ6" s="211"/>
      <c r="DA6" s="211"/>
      <c r="DB6" s="211"/>
      <c r="DC6" s="211"/>
      <c r="DD6" s="211"/>
      <c r="DE6" s="211"/>
      <c r="DF6" s="211"/>
      <c r="DG6" s="211"/>
      <c r="DH6" s="211"/>
      <c r="DI6" s="211"/>
      <c r="DJ6" s="211"/>
      <c r="DK6" s="211"/>
      <c r="DL6" s="211"/>
      <c r="DM6" s="211"/>
      <c r="DN6" s="211"/>
      <c r="DO6" s="205"/>
      <c r="DP6" s="265"/>
      <c r="HA6" s="248"/>
      <c r="HB6" s="248"/>
      <c r="HC6" s="248"/>
      <c r="HD6" s="248"/>
      <c r="HE6" s="248"/>
      <c r="HF6" s="248"/>
    </row>
    <row r="7" spans="1:214" x14ac:dyDescent="0.25">
      <c r="A7" s="273">
        <v>2</v>
      </c>
      <c r="B7" s="273" t="s">
        <v>201</v>
      </c>
      <c r="C7" s="273"/>
      <c r="D7" s="275">
        <v>1500000</v>
      </c>
      <c r="E7" s="275">
        <f>'[1]POLY LIB. 2019'!C13</f>
        <v>1500000</v>
      </c>
      <c r="F7" s="275">
        <f t="shared" ref="F7:F68" si="0">D7-E7</f>
        <v>0</v>
      </c>
      <c r="G7" s="275"/>
      <c r="H7" s="275">
        <v>1500000</v>
      </c>
      <c r="I7" s="275">
        <f>'[1]POLY LIB. 2019'!D13</f>
        <v>1500000</v>
      </c>
      <c r="J7" s="275">
        <f t="shared" ref="J7:J68" si="1">H7-I7</f>
        <v>0</v>
      </c>
      <c r="K7" s="275"/>
      <c r="L7" s="275">
        <v>1500000</v>
      </c>
      <c r="M7" s="275">
        <f>'[1]POLY LIB. 2019'!E13</f>
        <v>1500000</v>
      </c>
      <c r="N7" s="275">
        <f t="shared" ref="N7:N68" si="2">L7-M7</f>
        <v>0</v>
      </c>
      <c r="O7" s="275"/>
      <c r="P7" s="275">
        <v>1500000</v>
      </c>
      <c r="Q7" s="275">
        <f>'[1]POLY LIB. 2019'!F13</f>
        <v>1500000</v>
      </c>
      <c r="R7" s="275">
        <f t="shared" ref="R7:R68" si="3">P7-Q7</f>
        <v>0</v>
      </c>
      <c r="S7" s="275"/>
      <c r="T7" s="275">
        <v>2500000</v>
      </c>
      <c r="U7" s="275">
        <f>'[1]POLY LIB. 2019'!G13</f>
        <v>2500000</v>
      </c>
      <c r="V7" s="275">
        <f t="shared" ref="V7:V68" si="4">T7-U7</f>
        <v>0</v>
      </c>
      <c r="W7" s="275"/>
      <c r="X7" s="275">
        <v>2000000</v>
      </c>
      <c r="Y7" s="324">
        <v>2000000</v>
      </c>
      <c r="Z7" s="275">
        <f t="shared" ref="Z7:Z68" si="5">X7-Y7</f>
        <v>0</v>
      </c>
      <c r="AA7" s="275"/>
      <c r="AB7" s="275">
        <v>2210000</v>
      </c>
      <c r="AC7" s="275">
        <f>'[1]POLY LIB. 2019'!I13</f>
        <v>2210000</v>
      </c>
      <c r="AD7" s="275">
        <f t="shared" ref="AD7:AD68" si="6">AB7-AC7</f>
        <v>0</v>
      </c>
      <c r="AE7" s="275"/>
      <c r="AF7" s="275">
        <v>5000000</v>
      </c>
      <c r="AG7" s="275">
        <f>'[1]POLY LIB. 2019'!J13</f>
        <v>5000000</v>
      </c>
      <c r="AH7" s="275">
        <f t="shared" ref="AH7:AH68" si="7">AF7-AG7</f>
        <v>0</v>
      </c>
      <c r="AI7" s="275"/>
      <c r="AJ7" s="275">
        <v>5000000</v>
      </c>
      <c r="AK7" s="275">
        <f>'[1]POLY LIB. 2019'!K13</f>
        <v>5000000</v>
      </c>
      <c r="AL7" s="275">
        <f t="shared" ref="AL7:AL68" si="8">AJ7-AK7</f>
        <v>0</v>
      </c>
      <c r="AM7" s="275"/>
      <c r="AN7" s="275">
        <v>10000000</v>
      </c>
      <c r="AO7" s="324">
        <f>'[1]POLY LIB. 2019'!L13</f>
        <v>10000000</v>
      </c>
      <c r="AP7" s="275">
        <f t="shared" ref="AP7:AP68" si="9">AN7-AO7</f>
        <v>0</v>
      </c>
      <c r="AQ7" s="205"/>
      <c r="AR7" s="275">
        <v>10000000</v>
      </c>
      <c r="AS7" s="294">
        <f>'[1]POLY LIB. 2019'!M13</f>
        <v>10000000</v>
      </c>
      <c r="AT7" s="275">
        <f t="shared" ref="AT7:AT68" si="10">AR7-AS7</f>
        <v>0</v>
      </c>
      <c r="AU7" s="205"/>
      <c r="AV7" s="275">
        <v>30000000</v>
      </c>
      <c r="AW7" s="275">
        <f>'[1]POLY LIB. 2019'!N13</f>
        <v>30000000</v>
      </c>
      <c r="AX7" s="275">
        <f t="shared" ref="AX7:AX68" si="11">AV7-AW7</f>
        <v>0</v>
      </c>
      <c r="AY7" s="205"/>
      <c r="AZ7" s="275">
        <f>'[1]POLY commited funds to date'!P91</f>
        <v>50000000</v>
      </c>
      <c r="BA7" s="275">
        <f>'[1]POLY LIB. 2019'!O13</f>
        <v>50000000</v>
      </c>
      <c r="BB7" s="275">
        <f t="shared" ref="BB7:BB68" si="12">AZ7-BA7</f>
        <v>0</v>
      </c>
      <c r="BC7" s="205"/>
      <c r="BD7" s="275">
        <v>70000000</v>
      </c>
      <c r="BE7" s="275">
        <f>'[1]POLY LIB. 2019'!P13</f>
        <v>70000000</v>
      </c>
      <c r="BF7" s="275">
        <f t="shared" ref="BF7:BF69" si="13">BD7-BE7</f>
        <v>0</v>
      </c>
      <c r="BG7" s="205"/>
      <c r="BH7" s="275">
        <v>40000000</v>
      </c>
      <c r="BI7" s="275">
        <f>'[1]POLY LIB. 2019'!Q13</f>
        <v>0</v>
      </c>
      <c r="BJ7" s="275">
        <f t="shared" ref="BJ7:BJ69" si="14">BH7-BI7</f>
        <v>40000000</v>
      </c>
      <c r="BL7" s="275">
        <f>'[1]POLY commited funds to date'!S91</f>
        <v>30000000</v>
      </c>
      <c r="BM7" s="275">
        <f>'[1]POLY LIB. 2019'!R13</f>
        <v>0</v>
      </c>
      <c r="BN7" s="275">
        <f t="shared" ref="BN7:BN71" si="15">BL7-BM7</f>
        <v>30000000</v>
      </c>
      <c r="BP7" s="275">
        <f>'[1]POLY commited funds to date'!T91</f>
        <v>25000000</v>
      </c>
      <c r="BQ7" s="275">
        <f>'[1]POLY LIB. 2019'!S13</f>
        <v>0</v>
      </c>
      <c r="BR7" s="275">
        <f t="shared" ref="BR7:BR71" si="16">BP7-BQ7</f>
        <v>25000000</v>
      </c>
      <c r="BT7" s="275">
        <f>'[1]POLY commited funds to date'!U91</f>
        <v>15000000</v>
      </c>
      <c r="BU7" s="275">
        <f>'[1]POLY LIB. 2019'!T13</f>
        <v>0</v>
      </c>
      <c r="BV7" s="275">
        <f t="shared" ref="BV7:BV71" si="17">BT7-BU7</f>
        <v>15000000</v>
      </c>
      <c r="BX7" s="275">
        <f t="shared" ref="BX7:BY71" si="18">D7+H7+L7+P7+T7+X7+AB7+AF7+AJ7+AN7+AR7+AV7+AZ7+BD7+BH7+BL7+BP7+BT7</f>
        <v>302710000</v>
      </c>
      <c r="BY7" s="275">
        <f t="shared" si="18"/>
        <v>192710000</v>
      </c>
      <c r="BZ7" s="275">
        <f t="shared" ref="BZ7:BZ71" si="19">BX7-BY7</f>
        <v>110000000</v>
      </c>
      <c r="CB7" s="205"/>
      <c r="CC7" s="325"/>
      <c r="CD7" s="211"/>
      <c r="CE7" s="211"/>
      <c r="CF7" s="211"/>
      <c r="CG7" s="211"/>
      <c r="CH7" s="211"/>
      <c r="CI7" s="211"/>
      <c r="CJ7" s="211"/>
      <c r="CK7" s="211"/>
      <c r="CL7" s="211"/>
      <c r="CM7" s="211"/>
      <c r="CN7" s="211"/>
      <c r="CO7" s="211"/>
      <c r="CP7" s="211"/>
      <c r="CQ7" s="211"/>
      <c r="CR7" s="211"/>
      <c r="CS7" s="211"/>
      <c r="CT7" s="211"/>
      <c r="CU7" s="211"/>
      <c r="CV7" s="211"/>
      <c r="CW7" s="211"/>
      <c r="CX7" s="211"/>
      <c r="CY7" s="211"/>
      <c r="CZ7" s="211"/>
      <c r="DA7" s="211"/>
      <c r="DB7" s="211"/>
      <c r="DC7" s="211"/>
      <c r="DD7" s="211"/>
      <c r="DE7" s="211"/>
      <c r="DF7" s="211"/>
      <c r="DG7" s="211"/>
      <c r="DH7" s="211"/>
      <c r="DI7" s="211"/>
      <c r="DJ7" s="211"/>
      <c r="DK7" s="211"/>
      <c r="DL7" s="211"/>
      <c r="DM7" s="211"/>
      <c r="DN7" s="211"/>
      <c r="DO7" s="205"/>
      <c r="DP7" s="265"/>
      <c r="HA7" s="265"/>
      <c r="HB7" s="265"/>
      <c r="HC7" s="265"/>
      <c r="HD7" s="265"/>
      <c r="HE7" s="265"/>
      <c r="HF7" s="265"/>
    </row>
    <row r="8" spans="1:214" x14ac:dyDescent="0.25">
      <c r="A8" s="273">
        <v>3</v>
      </c>
      <c r="B8" s="273" t="s">
        <v>202</v>
      </c>
      <c r="C8" s="273"/>
      <c r="D8" s="275">
        <v>1500000</v>
      </c>
      <c r="E8" s="275">
        <f>'[1]POLY LIB. 2019'!C14</f>
        <v>1500000</v>
      </c>
      <c r="F8" s="275">
        <f t="shared" si="0"/>
        <v>0</v>
      </c>
      <c r="G8" s="275"/>
      <c r="H8" s="275">
        <v>1275000</v>
      </c>
      <c r="I8" s="275">
        <f>'[1]POLY LIB. 2019'!D14</f>
        <v>1275000</v>
      </c>
      <c r="J8" s="275">
        <f t="shared" si="1"/>
        <v>0</v>
      </c>
      <c r="K8" s="275"/>
      <c r="L8" s="275">
        <v>1500000</v>
      </c>
      <c r="M8" s="275">
        <f>'[1]POLY LIB. 2019'!E14</f>
        <v>1500000</v>
      </c>
      <c r="N8" s="275">
        <f t="shared" si="2"/>
        <v>0</v>
      </c>
      <c r="O8" s="275"/>
      <c r="P8" s="275">
        <v>1500000</v>
      </c>
      <c r="Q8" s="275">
        <f>'[1]POLY LIB. 2019'!F14</f>
        <v>1500000</v>
      </c>
      <c r="R8" s="275">
        <f t="shared" si="3"/>
        <v>0</v>
      </c>
      <c r="S8" s="275"/>
      <c r="T8" s="275">
        <v>2500000</v>
      </c>
      <c r="U8" s="275">
        <f>'[1]POLY LIB. 2019'!G14</f>
        <v>2500000</v>
      </c>
      <c r="V8" s="275">
        <f t="shared" si="4"/>
        <v>0</v>
      </c>
      <c r="W8" s="275"/>
      <c r="X8" s="275">
        <v>2000000</v>
      </c>
      <c r="Y8" s="324">
        <v>2000000</v>
      </c>
      <c r="Z8" s="275">
        <f t="shared" si="5"/>
        <v>0</v>
      </c>
      <c r="AA8" s="275"/>
      <c r="AB8" s="275">
        <v>2600000</v>
      </c>
      <c r="AC8" s="275">
        <f>'[1]POLY LIB. 2019'!I14</f>
        <v>2600000</v>
      </c>
      <c r="AD8" s="275">
        <f t="shared" si="6"/>
        <v>0</v>
      </c>
      <c r="AE8" s="275"/>
      <c r="AF8" s="275">
        <v>5000000</v>
      </c>
      <c r="AG8" s="275">
        <f>'[1]POLY LIB. 2019'!J14</f>
        <v>5000000</v>
      </c>
      <c r="AH8" s="275">
        <f t="shared" si="7"/>
        <v>0</v>
      </c>
      <c r="AI8" s="275"/>
      <c r="AJ8" s="275">
        <v>4250000</v>
      </c>
      <c r="AK8" s="275">
        <f>'[1]POLY LIB. 2019'!K14</f>
        <v>4250000</v>
      </c>
      <c r="AL8" s="275">
        <f t="shared" si="8"/>
        <v>0</v>
      </c>
      <c r="AM8" s="275"/>
      <c r="AN8" s="275">
        <v>8500000</v>
      </c>
      <c r="AO8" s="324">
        <f>'[1]POLY LIB. 2019'!L14</f>
        <v>8500000</v>
      </c>
      <c r="AP8" s="275">
        <f t="shared" si="9"/>
        <v>0</v>
      </c>
      <c r="AQ8" s="205"/>
      <c r="AR8" s="275">
        <v>10000000</v>
      </c>
      <c r="AS8" s="294">
        <f>'[1]POLY LIB. 2019'!M14</f>
        <v>8500000</v>
      </c>
      <c r="AT8" s="275">
        <f t="shared" si="10"/>
        <v>1500000</v>
      </c>
      <c r="AU8" s="205"/>
      <c r="AV8" s="275">
        <v>30000000</v>
      </c>
      <c r="AW8" s="275">
        <f>'[1]POLY LIB. 2019'!N14</f>
        <v>25500000</v>
      </c>
      <c r="AX8" s="275">
        <f t="shared" si="11"/>
        <v>4500000</v>
      </c>
      <c r="AY8" s="205"/>
      <c r="AZ8" s="275">
        <f>'[1]POLY commited funds to date'!P92</f>
        <v>50000000</v>
      </c>
      <c r="BA8" s="275">
        <f>'[1]POLY LIB. 2019'!O14</f>
        <v>42500000</v>
      </c>
      <c r="BB8" s="275">
        <f t="shared" si="12"/>
        <v>7500000</v>
      </c>
      <c r="BC8" s="205"/>
      <c r="BD8" s="275">
        <v>70000000</v>
      </c>
      <c r="BE8" s="275">
        <f>'[1]POLY LIB. 2019'!P14</f>
        <v>59500000</v>
      </c>
      <c r="BF8" s="275">
        <f t="shared" si="13"/>
        <v>10500000</v>
      </c>
      <c r="BG8" s="205"/>
      <c r="BH8" s="275">
        <v>40000000</v>
      </c>
      <c r="BI8" s="275">
        <f>'[1]POLY LIB. 2019'!Q14</f>
        <v>0</v>
      </c>
      <c r="BJ8" s="275">
        <f t="shared" si="14"/>
        <v>40000000</v>
      </c>
      <c r="BL8" s="275">
        <f>'[1]POLY commited funds to date'!S92</f>
        <v>30000000</v>
      </c>
      <c r="BM8" s="275">
        <f>'[1]POLY LIB. 2019'!R14</f>
        <v>0</v>
      </c>
      <c r="BN8" s="275">
        <f t="shared" si="15"/>
        <v>30000000</v>
      </c>
      <c r="BP8" s="275">
        <f>'[1]POLY commited funds to date'!T92</f>
        <v>25000000</v>
      </c>
      <c r="BQ8" s="275">
        <f>'[1]POLY LIB. 2019'!S14</f>
        <v>0</v>
      </c>
      <c r="BR8" s="275">
        <f t="shared" si="16"/>
        <v>25000000</v>
      </c>
      <c r="BT8" s="275">
        <f>'[1]POLY commited funds to date'!U92</f>
        <v>15000000</v>
      </c>
      <c r="BU8" s="275">
        <f>'[1]POLY LIB. 2019'!T14</f>
        <v>0</v>
      </c>
      <c r="BV8" s="275">
        <f t="shared" si="17"/>
        <v>15000000</v>
      </c>
      <c r="BX8" s="275">
        <f t="shared" si="18"/>
        <v>300625000</v>
      </c>
      <c r="BY8" s="275">
        <f t="shared" si="18"/>
        <v>166625000</v>
      </c>
      <c r="BZ8" s="275">
        <f t="shared" si="19"/>
        <v>134000000</v>
      </c>
      <c r="CB8" s="205"/>
      <c r="CC8" s="325"/>
      <c r="CD8" s="211"/>
      <c r="CE8" s="211"/>
      <c r="CF8" s="211"/>
      <c r="CG8" s="211"/>
      <c r="CH8" s="211"/>
      <c r="CI8" s="211"/>
      <c r="CJ8" s="211"/>
      <c r="CK8" s="211"/>
      <c r="CL8" s="211"/>
      <c r="CM8" s="211"/>
      <c r="CN8" s="211"/>
      <c r="CO8" s="211"/>
      <c r="CP8" s="211"/>
      <c r="CQ8" s="211"/>
      <c r="CR8" s="211"/>
      <c r="CS8" s="211"/>
      <c r="CT8" s="211"/>
      <c r="CU8" s="211"/>
      <c r="CV8" s="211"/>
      <c r="CW8" s="211"/>
      <c r="CX8" s="211"/>
      <c r="CY8" s="211"/>
      <c r="CZ8" s="211"/>
      <c r="DA8" s="211"/>
      <c r="DB8" s="211"/>
      <c r="DC8" s="211"/>
      <c r="DD8" s="211"/>
      <c r="DE8" s="211"/>
      <c r="DF8" s="211"/>
      <c r="DG8" s="211"/>
      <c r="DH8" s="211"/>
      <c r="DI8" s="211"/>
      <c r="DJ8" s="211"/>
      <c r="DK8" s="211"/>
      <c r="DL8" s="211"/>
      <c r="DM8" s="211"/>
      <c r="DN8" s="211"/>
      <c r="DO8" s="205"/>
      <c r="DP8" s="265"/>
      <c r="HA8" s="248"/>
      <c r="HB8" s="248"/>
      <c r="HC8" s="248"/>
      <c r="HD8" s="248"/>
      <c r="HE8" s="248"/>
      <c r="HF8" s="248"/>
    </row>
    <row r="9" spans="1:214" x14ac:dyDescent="0.25">
      <c r="A9" s="273">
        <v>4</v>
      </c>
      <c r="B9" s="273" t="s">
        <v>271</v>
      </c>
      <c r="C9" s="273"/>
      <c r="D9" s="275">
        <v>1500000</v>
      </c>
      <c r="E9" s="275">
        <f>'[1]POLY LIB. 2019'!C15</f>
        <v>1500000</v>
      </c>
      <c r="F9" s="275">
        <f t="shared" si="0"/>
        <v>0</v>
      </c>
      <c r="G9" s="275"/>
      <c r="H9" s="275">
        <v>1500000</v>
      </c>
      <c r="I9" s="275">
        <f>'[1]POLY LIB. 2019'!D15</f>
        <v>1500000</v>
      </c>
      <c r="J9" s="275">
        <f t="shared" si="1"/>
        <v>0</v>
      </c>
      <c r="K9" s="275"/>
      <c r="L9" s="275">
        <v>1500000</v>
      </c>
      <c r="M9" s="275">
        <f>'[1]POLY LIB. 2019'!E15</f>
        <v>1500000</v>
      </c>
      <c r="N9" s="275">
        <f t="shared" si="2"/>
        <v>0</v>
      </c>
      <c r="O9" s="275"/>
      <c r="P9" s="275">
        <v>1500000</v>
      </c>
      <c r="Q9" s="275">
        <f>'[1]POLY LIB. 2019'!F15</f>
        <v>1500000</v>
      </c>
      <c r="R9" s="275">
        <f t="shared" si="3"/>
        <v>0</v>
      </c>
      <c r="S9" s="275"/>
      <c r="T9" s="275">
        <v>2500000</v>
      </c>
      <c r="U9" s="275">
        <f>'[1]POLY LIB. 2019'!G15</f>
        <v>2500000</v>
      </c>
      <c r="V9" s="275">
        <f t="shared" si="4"/>
        <v>0</v>
      </c>
      <c r="W9" s="275"/>
      <c r="X9" s="275">
        <v>2000000</v>
      </c>
      <c r="Y9" s="324">
        <v>2000000</v>
      </c>
      <c r="Z9" s="275">
        <f t="shared" si="5"/>
        <v>0</v>
      </c>
      <c r="AA9" s="275"/>
      <c r="AB9" s="275">
        <v>2600000</v>
      </c>
      <c r="AC9" s="275">
        <f>'[1]POLY LIB. 2019'!I15</f>
        <v>2600000</v>
      </c>
      <c r="AD9" s="275">
        <f t="shared" si="6"/>
        <v>0</v>
      </c>
      <c r="AE9" s="275"/>
      <c r="AF9" s="275">
        <v>5000000</v>
      </c>
      <c r="AG9" s="275">
        <f>'[1]POLY LIB. 2019'!J15</f>
        <v>5000000</v>
      </c>
      <c r="AH9" s="275">
        <f t="shared" si="7"/>
        <v>0</v>
      </c>
      <c r="AI9" s="275"/>
      <c r="AJ9" s="275">
        <v>5000000</v>
      </c>
      <c r="AK9" s="275">
        <f>'[1]POLY LIB. 2019'!K15</f>
        <v>5000000</v>
      </c>
      <c r="AL9" s="275">
        <f t="shared" si="8"/>
        <v>0</v>
      </c>
      <c r="AM9" s="275"/>
      <c r="AN9" s="275">
        <v>10000000</v>
      </c>
      <c r="AO9" s="324">
        <f>'[1]POLY LIB. 2019'!L15</f>
        <v>10000000</v>
      </c>
      <c r="AP9" s="275">
        <f t="shared" si="9"/>
        <v>0</v>
      </c>
      <c r="AQ9" s="205"/>
      <c r="AR9" s="275">
        <v>10000000</v>
      </c>
      <c r="AS9" s="294">
        <f>'[1]POLY LIB. 2019'!M15</f>
        <v>10000000</v>
      </c>
      <c r="AT9" s="275">
        <f t="shared" si="10"/>
        <v>0</v>
      </c>
      <c r="AU9" s="205"/>
      <c r="AV9" s="275">
        <v>30000000</v>
      </c>
      <c r="AW9" s="275">
        <f>'[1]POLY LIB. 2019'!N15</f>
        <v>30000000</v>
      </c>
      <c r="AX9" s="275">
        <f t="shared" si="11"/>
        <v>0</v>
      </c>
      <c r="AY9" s="205"/>
      <c r="AZ9" s="275">
        <f>'[1]POLY commited funds to date'!P93</f>
        <v>50000000</v>
      </c>
      <c r="BA9" s="275">
        <f>'[1]POLY LIB. 2019'!O15</f>
        <v>50000000</v>
      </c>
      <c r="BB9" s="275">
        <f t="shared" si="12"/>
        <v>0</v>
      </c>
      <c r="BC9" s="205"/>
      <c r="BD9" s="275">
        <v>70000000</v>
      </c>
      <c r="BE9" s="275">
        <f>'[1]POLY LIB. 2019'!P15</f>
        <v>70000000</v>
      </c>
      <c r="BF9" s="275">
        <f t="shared" si="13"/>
        <v>0</v>
      </c>
      <c r="BG9" s="205"/>
      <c r="BH9" s="275">
        <v>40000000</v>
      </c>
      <c r="BI9" s="275">
        <f>'[1]POLY LIB. 2019'!Q15</f>
        <v>0</v>
      </c>
      <c r="BJ9" s="275">
        <f t="shared" si="14"/>
        <v>40000000</v>
      </c>
      <c r="BL9" s="275">
        <f>'[1]POLY commited funds to date'!S93</f>
        <v>30000000</v>
      </c>
      <c r="BM9" s="275">
        <f>'[1]POLY LIB. 2019'!R15</f>
        <v>0</v>
      </c>
      <c r="BN9" s="275">
        <f t="shared" si="15"/>
        <v>30000000</v>
      </c>
      <c r="BP9" s="275">
        <f>'[1]POLY commited funds to date'!T93</f>
        <v>25000000</v>
      </c>
      <c r="BQ9" s="275">
        <f>'[1]POLY LIB. 2019'!S15</f>
        <v>0</v>
      </c>
      <c r="BR9" s="275">
        <f t="shared" si="16"/>
        <v>25000000</v>
      </c>
      <c r="BT9" s="275">
        <f>'[1]POLY commited funds to date'!U93</f>
        <v>15000000</v>
      </c>
      <c r="BU9" s="275">
        <f>'[1]POLY LIB. 2019'!T15</f>
        <v>0</v>
      </c>
      <c r="BV9" s="275">
        <f t="shared" si="17"/>
        <v>15000000</v>
      </c>
      <c r="BX9" s="275">
        <f t="shared" si="18"/>
        <v>303100000</v>
      </c>
      <c r="BY9" s="275">
        <f t="shared" si="18"/>
        <v>193100000</v>
      </c>
      <c r="BZ9" s="275">
        <f t="shared" si="19"/>
        <v>110000000</v>
      </c>
      <c r="CB9" s="205"/>
      <c r="CC9" s="325"/>
      <c r="CD9" s="211"/>
      <c r="CE9" s="211"/>
      <c r="CF9" s="211"/>
      <c r="CG9" s="211"/>
      <c r="CH9" s="211"/>
      <c r="CI9" s="211"/>
      <c r="CJ9" s="211"/>
      <c r="CK9" s="211"/>
      <c r="CL9" s="211"/>
      <c r="CM9" s="211"/>
      <c r="CN9" s="211"/>
      <c r="CO9" s="211"/>
      <c r="CP9" s="211"/>
      <c r="CQ9" s="211"/>
      <c r="CR9" s="211"/>
      <c r="CS9" s="211"/>
      <c r="CT9" s="211"/>
      <c r="CU9" s="211"/>
      <c r="CV9" s="211"/>
      <c r="CW9" s="211"/>
      <c r="CX9" s="211"/>
      <c r="CY9" s="211"/>
      <c r="CZ9" s="211"/>
      <c r="DA9" s="211"/>
      <c r="DB9" s="211"/>
      <c r="DC9" s="211"/>
      <c r="DD9" s="211"/>
      <c r="DE9" s="211"/>
      <c r="DF9" s="211"/>
      <c r="DG9" s="211"/>
      <c r="DH9" s="211"/>
      <c r="DI9" s="211"/>
      <c r="DJ9" s="211"/>
      <c r="DK9" s="211"/>
      <c r="DL9" s="211"/>
      <c r="DM9" s="211"/>
      <c r="DN9" s="211"/>
      <c r="DO9" s="205"/>
      <c r="DP9" s="265"/>
      <c r="HA9" s="265"/>
      <c r="HB9" s="265"/>
      <c r="HC9" s="265"/>
      <c r="HD9" s="265"/>
      <c r="HE9" s="265"/>
      <c r="HF9" s="265"/>
    </row>
    <row r="10" spans="1:214" x14ac:dyDescent="0.25">
      <c r="A10" s="273">
        <v>5</v>
      </c>
      <c r="B10" s="273" t="s">
        <v>272</v>
      </c>
      <c r="C10" s="273"/>
      <c r="D10" s="275">
        <v>1500000</v>
      </c>
      <c r="E10" s="275">
        <f>'[1]POLY LIB. 2019'!C16</f>
        <v>1500000</v>
      </c>
      <c r="F10" s="275">
        <f t="shared" si="0"/>
        <v>0</v>
      </c>
      <c r="G10" s="275"/>
      <c r="H10" s="275">
        <v>1500000</v>
      </c>
      <c r="I10" s="275">
        <f>'[1]POLY LIB. 2019'!D16</f>
        <v>1500000</v>
      </c>
      <c r="J10" s="275">
        <f t="shared" si="1"/>
        <v>0</v>
      </c>
      <c r="K10" s="275"/>
      <c r="L10" s="275">
        <v>1500000</v>
      </c>
      <c r="M10" s="275">
        <f>'[1]POLY LIB. 2019'!E16</f>
        <v>1500000</v>
      </c>
      <c r="N10" s="275">
        <f t="shared" si="2"/>
        <v>0</v>
      </c>
      <c r="O10" s="275"/>
      <c r="P10" s="275">
        <v>1500000</v>
      </c>
      <c r="Q10" s="275">
        <f>'[1]POLY LIB. 2019'!F16</f>
        <v>1500000</v>
      </c>
      <c r="R10" s="275">
        <f t="shared" si="3"/>
        <v>0</v>
      </c>
      <c r="S10" s="275"/>
      <c r="T10" s="275">
        <v>2500000</v>
      </c>
      <c r="U10" s="275">
        <f>'[1]POLY LIB. 2019'!G16</f>
        <v>2500000</v>
      </c>
      <c r="V10" s="275">
        <f t="shared" si="4"/>
        <v>0</v>
      </c>
      <c r="W10" s="275"/>
      <c r="X10" s="275">
        <v>2000000</v>
      </c>
      <c r="Y10" s="324">
        <v>2000000</v>
      </c>
      <c r="Z10" s="275">
        <f t="shared" si="5"/>
        <v>0</v>
      </c>
      <c r="AA10" s="275"/>
      <c r="AB10" s="275">
        <v>2600000</v>
      </c>
      <c r="AC10" s="275">
        <f>'[1]POLY LIB. 2019'!I16</f>
        <v>2600000</v>
      </c>
      <c r="AD10" s="275">
        <f t="shared" si="6"/>
        <v>0</v>
      </c>
      <c r="AE10" s="275"/>
      <c r="AF10" s="275">
        <v>5000000</v>
      </c>
      <c r="AG10" s="275">
        <f>'[1]POLY LIB. 2019'!J16</f>
        <v>5000000</v>
      </c>
      <c r="AH10" s="275">
        <f t="shared" si="7"/>
        <v>0</v>
      </c>
      <c r="AI10" s="275"/>
      <c r="AJ10" s="275">
        <v>5000000</v>
      </c>
      <c r="AK10" s="275">
        <f>'[1]POLY LIB. 2019'!K16</f>
        <v>5000000</v>
      </c>
      <c r="AL10" s="275">
        <f t="shared" si="8"/>
        <v>0</v>
      </c>
      <c r="AM10" s="275"/>
      <c r="AN10" s="275">
        <v>10000000</v>
      </c>
      <c r="AO10" s="324">
        <f>'[1]POLY LIB. 2019'!L16</f>
        <v>10000000</v>
      </c>
      <c r="AP10" s="275">
        <f t="shared" si="9"/>
        <v>0</v>
      </c>
      <c r="AQ10" s="205"/>
      <c r="AR10" s="275">
        <v>10000000</v>
      </c>
      <c r="AS10" s="294">
        <f>'[1]POLY LIB. 2019'!M16</f>
        <v>10000000</v>
      </c>
      <c r="AT10" s="275">
        <f t="shared" si="10"/>
        <v>0</v>
      </c>
      <c r="AU10" s="205"/>
      <c r="AV10" s="275">
        <v>30000000</v>
      </c>
      <c r="AW10" s="275">
        <f>'[1]POLY LIB. 2019'!N16</f>
        <v>30000000</v>
      </c>
      <c r="AX10" s="275">
        <f t="shared" si="11"/>
        <v>0</v>
      </c>
      <c r="AY10" s="205"/>
      <c r="AZ10" s="275">
        <f>'[1]POLY commited funds to date'!P94</f>
        <v>50000000</v>
      </c>
      <c r="BA10" s="275">
        <f>'[1]POLY LIB. 2019'!O16</f>
        <v>50000000</v>
      </c>
      <c r="BB10" s="275">
        <f t="shared" si="12"/>
        <v>0</v>
      </c>
      <c r="BC10" s="205"/>
      <c r="BD10" s="275">
        <v>70000000</v>
      </c>
      <c r="BE10" s="275">
        <f>'[1]POLY LIB. 2019'!P16</f>
        <v>70000000</v>
      </c>
      <c r="BF10" s="275">
        <f t="shared" si="13"/>
        <v>0</v>
      </c>
      <c r="BG10" s="205"/>
      <c r="BH10" s="275">
        <v>40000000</v>
      </c>
      <c r="BI10" s="275">
        <f>'[1]POLY LIB. 2019'!Q16</f>
        <v>40000000</v>
      </c>
      <c r="BJ10" s="275">
        <f t="shared" si="14"/>
        <v>0</v>
      </c>
      <c r="BL10" s="275">
        <f>'[1]POLY commited funds to date'!S94</f>
        <v>30000000</v>
      </c>
      <c r="BM10" s="275">
        <f>'[1]POLY LIB. 2019'!R16</f>
        <v>30000000</v>
      </c>
      <c r="BN10" s="275">
        <f t="shared" si="15"/>
        <v>0</v>
      </c>
      <c r="BP10" s="275">
        <f>'[1]POLY commited funds to date'!T94</f>
        <v>25000000</v>
      </c>
      <c r="BQ10" s="275">
        <f>'[1]POLY LIB. 2019'!S16</f>
        <v>0</v>
      </c>
      <c r="BR10" s="275">
        <f t="shared" si="16"/>
        <v>25000000</v>
      </c>
      <c r="BT10" s="275">
        <f>'[1]POLY commited funds to date'!U94</f>
        <v>15000000</v>
      </c>
      <c r="BU10" s="275">
        <f>'[1]POLY LIB. 2019'!T16</f>
        <v>0</v>
      </c>
      <c r="BV10" s="275">
        <f t="shared" si="17"/>
        <v>15000000</v>
      </c>
      <c r="BX10" s="275">
        <f t="shared" si="18"/>
        <v>303100000</v>
      </c>
      <c r="BY10" s="275">
        <f t="shared" si="18"/>
        <v>263100000</v>
      </c>
      <c r="BZ10" s="275">
        <f t="shared" si="19"/>
        <v>40000000</v>
      </c>
      <c r="CB10" s="205"/>
      <c r="CC10" s="325"/>
      <c r="CD10" s="211"/>
      <c r="CE10" s="211"/>
      <c r="CF10" s="211"/>
      <c r="CG10" s="211"/>
      <c r="CH10" s="211"/>
      <c r="CI10" s="211"/>
      <c r="CJ10" s="211"/>
      <c r="CK10" s="211"/>
      <c r="CL10" s="211"/>
      <c r="CM10" s="211"/>
      <c r="CN10" s="211"/>
      <c r="CO10" s="211"/>
      <c r="CP10" s="211"/>
      <c r="CQ10" s="211"/>
      <c r="CR10" s="211"/>
      <c r="CS10" s="211"/>
      <c r="CT10" s="211"/>
      <c r="CU10" s="211"/>
      <c r="CV10" s="211"/>
      <c r="CW10" s="211"/>
      <c r="CX10" s="211"/>
      <c r="CY10" s="211"/>
      <c r="CZ10" s="211"/>
      <c r="DA10" s="211"/>
      <c r="DB10" s="211"/>
      <c r="DC10" s="211"/>
      <c r="DD10" s="211"/>
      <c r="DE10" s="211"/>
      <c r="DF10" s="211"/>
      <c r="DG10" s="211"/>
      <c r="DH10" s="211"/>
      <c r="DI10" s="211"/>
      <c r="DJ10" s="211"/>
      <c r="DK10" s="211"/>
      <c r="DL10" s="211"/>
      <c r="DM10" s="211"/>
      <c r="DN10" s="211"/>
      <c r="DO10" s="205"/>
      <c r="DP10" s="265"/>
      <c r="HA10" s="248"/>
      <c r="HB10" s="248"/>
      <c r="HC10" s="248"/>
      <c r="HD10" s="248"/>
      <c r="HE10" s="248"/>
      <c r="HF10" s="248"/>
    </row>
    <row r="11" spans="1:214" x14ac:dyDescent="0.25">
      <c r="A11" s="273">
        <v>6</v>
      </c>
      <c r="B11" s="273" t="s">
        <v>205</v>
      </c>
      <c r="C11" s="273"/>
      <c r="D11" s="275">
        <v>1500000</v>
      </c>
      <c r="E11" s="275">
        <f>'[1]POLY LIB. 2019'!C17</f>
        <v>1500000</v>
      </c>
      <c r="F11" s="275">
        <f t="shared" si="0"/>
        <v>0</v>
      </c>
      <c r="G11" s="275"/>
      <c r="H11" s="275">
        <v>1500000</v>
      </c>
      <c r="I11" s="275">
        <f>'[1]POLY LIB. 2019'!D17</f>
        <v>1500000</v>
      </c>
      <c r="J11" s="275">
        <f t="shared" si="1"/>
        <v>0</v>
      </c>
      <c r="K11" s="275"/>
      <c r="L11" s="275">
        <v>1275000</v>
      </c>
      <c r="M11" s="275">
        <f>'[1]POLY LIB. 2019'!E17</f>
        <v>1275000</v>
      </c>
      <c r="N11" s="275">
        <f t="shared" si="2"/>
        <v>0</v>
      </c>
      <c r="O11" s="275"/>
      <c r="P11" s="275">
        <v>1500000</v>
      </c>
      <c r="Q11" s="275">
        <f>'[1]POLY LIB. 2019'!F17</f>
        <v>1500000</v>
      </c>
      <c r="R11" s="275">
        <f t="shared" si="3"/>
        <v>0</v>
      </c>
      <c r="S11" s="275"/>
      <c r="T11" s="275">
        <v>2500000</v>
      </c>
      <c r="U11" s="275">
        <f>'[1]POLY LIB. 2019'!G17</f>
        <v>2500000</v>
      </c>
      <c r="V11" s="275">
        <f t="shared" si="4"/>
        <v>0</v>
      </c>
      <c r="W11" s="275"/>
      <c r="X11" s="275">
        <v>2000000</v>
      </c>
      <c r="Y11" s="324">
        <v>2000000</v>
      </c>
      <c r="Z11" s="275">
        <f t="shared" si="5"/>
        <v>0</v>
      </c>
      <c r="AA11" s="275"/>
      <c r="AB11" s="275">
        <v>2210000</v>
      </c>
      <c r="AC11" s="275">
        <f>'[1]POLY LIB. 2019'!I17</f>
        <v>2210000</v>
      </c>
      <c r="AD11" s="275">
        <f t="shared" si="6"/>
        <v>0</v>
      </c>
      <c r="AE11" s="275"/>
      <c r="AF11" s="275">
        <v>4250000</v>
      </c>
      <c r="AG11" s="275">
        <f>'[1]POLY LIB. 2019'!J17</f>
        <v>4250000</v>
      </c>
      <c r="AH11" s="275">
        <f t="shared" si="7"/>
        <v>0</v>
      </c>
      <c r="AI11" s="275"/>
      <c r="AJ11" s="275">
        <v>5000000</v>
      </c>
      <c r="AK11" s="275">
        <f>'[1]POLY LIB. 2019'!K17</f>
        <v>5000000</v>
      </c>
      <c r="AL11" s="275">
        <f t="shared" si="8"/>
        <v>0</v>
      </c>
      <c r="AM11" s="275"/>
      <c r="AN11" s="275">
        <v>10000000</v>
      </c>
      <c r="AO11" s="324">
        <f>'[1]POLY LIB. 2019'!L17</f>
        <v>10000000</v>
      </c>
      <c r="AP11" s="275">
        <f t="shared" si="9"/>
        <v>0</v>
      </c>
      <c r="AQ11" s="205"/>
      <c r="AR11" s="275">
        <v>10000000</v>
      </c>
      <c r="AS11" s="294">
        <f>'[1]POLY LIB. 2019'!M17</f>
        <v>10000000</v>
      </c>
      <c r="AT11" s="275">
        <f t="shared" si="10"/>
        <v>0</v>
      </c>
      <c r="AU11" s="205"/>
      <c r="AV11" s="275">
        <v>30000000</v>
      </c>
      <c r="AW11" s="275">
        <f>'[1]POLY LIB. 2019'!N17</f>
        <v>30000000</v>
      </c>
      <c r="AX11" s="275">
        <f t="shared" si="11"/>
        <v>0</v>
      </c>
      <c r="AY11" s="205"/>
      <c r="AZ11" s="275">
        <f>'[1]POLY commited funds to date'!P95</f>
        <v>50000000</v>
      </c>
      <c r="BA11" s="275">
        <f>'[1]POLY LIB. 2019'!O17</f>
        <v>50000000</v>
      </c>
      <c r="BB11" s="275">
        <f t="shared" si="12"/>
        <v>0</v>
      </c>
      <c r="BC11" s="205"/>
      <c r="BD11" s="275">
        <v>70000000</v>
      </c>
      <c r="BE11" s="275">
        <f>'[1]POLY LIB. 2019'!P17</f>
        <v>70000000</v>
      </c>
      <c r="BF11" s="275">
        <f t="shared" si="13"/>
        <v>0</v>
      </c>
      <c r="BG11" s="205"/>
      <c r="BH11" s="275">
        <v>40000000</v>
      </c>
      <c r="BI11" s="275">
        <f>'[1]POLY LIB. 2019'!Q17</f>
        <v>40000000</v>
      </c>
      <c r="BJ11" s="275">
        <f t="shared" si="14"/>
        <v>0</v>
      </c>
      <c r="BL11" s="275">
        <f>'[1]POLY commited funds to date'!S95</f>
        <v>30000000</v>
      </c>
      <c r="BM11" s="275">
        <f>'[1]POLY LIB. 2019'!R17</f>
        <v>0</v>
      </c>
      <c r="BN11" s="275">
        <f t="shared" si="15"/>
        <v>30000000</v>
      </c>
      <c r="BP11" s="275">
        <f>'[1]POLY commited funds to date'!T95</f>
        <v>25000000</v>
      </c>
      <c r="BQ11" s="275">
        <f>'[1]POLY LIB. 2019'!S17</f>
        <v>0</v>
      </c>
      <c r="BR11" s="275">
        <f t="shared" si="16"/>
        <v>25000000</v>
      </c>
      <c r="BT11" s="275">
        <f>'[1]POLY commited funds to date'!U95</f>
        <v>15000000</v>
      </c>
      <c r="BU11" s="275">
        <f>'[1]POLY LIB. 2019'!T17</f>
        <v>0</v>
      </c>
      <c r="BV11" s="275">
        <f t="shared" si="17"/>
        <v>15000000</v>
      </c>
      <c r="BX11" s="275">
        <f t="shared" si="18"/>
        <v>301735000</v>
      </c>
      <c r="BY11" s="275">
        <f t="shared" si="18"/>
        <v>231735000</v>
      </c>
      <c r="BZ11" s="275">
        <f t="shared" si="19"/>
        <v>70000000</v>
      </c>
      <c r="CB11" s="205"/>
      <c r="CC11" s="325"/>
      <c r="CD11" s="211"/>
      <c r="CE11" s="211"/>
      <c r="CF11" s="211"/>
      <c r="CG11" s="211"/>
      <c r="CH11" s="211"/>
      <c r="CI11" s="211"/>
      <c r="CJ11" s="211"/>
      <c r="CK11" s="211"/>
      <c r="CL11" s="211"/>
      <c r="CM11" s="211"/>
      <c r="CN11" s="211"/>
      <c r="CO11" s="211"/>
      <c r="CP11" s="211"/>
      <c r="CQ11" s="211"/>
      <c r="CR11" s="211"/>
      <c r="CS11" s="211"/>
      <c r="CT11" s="211"/>
      <c r="CU11" s="211"/>
      <c r="CV11" s="211"/>
      <c r="CW11" s="211"/>
      <c r="CX11" s="211"/>
      <c r="CY11" s="211"/>
      <c r="CZ11" s="211"/>
      <c r="DA11" s="211"/>
      <c r="DB11" s="211"/>
      <c r="DC11" s="211"/>
      <c r="DD11" s="211"/>
      <c r="DE11" s="211"/>
      <c r="DF11" s="211"/>
      <c r="DG11" s="211"/>
      <c r="DH11" s="211"/>
      <c r="DI11" s="211"/>
      <c r="DJ11" s="211"/>
      <c r="DK11" s="211"/>
      <c r="DL11" s="211"/>
      <c r="DM11" s="211"/>
      <c r="DN11" s="211"/>
      <c r="DO11" s="205"/>
      <c r="DP11" s="265"/>
      <c r="HA11" s="265"/>
      <c r="HB11" s="265"/>
      <c r="HC11" s="265"/>
      <c r="HD11" s="265"/>
      <c r="HE11" s="265"/>
      <c r="HF11" s="265"/>
    </row>
    <row r="12" spans="1:214" x14ac:dyDescent="0.25">
      <c r="A12" s="273">
        <v>7</v>
      </c>
      <c r="B12" s="273" t="s">
        <v>273</v>
      </c>
      <c r="C12" s="273"/>
      <c r="D12" s="275">
        <v>1500000</v>
      </c>
      <c r="E12" s="275">
        <f>'[1]POLY LIB. 2019'!C18</f>
        <v>1500000</v>
      </c>
      <c r="F12" s="275">
        <f t="shared" si="0"/>
        <v>0</v>
      </c>
      <c r="G12" s="275"/>
      <c r="H12" s="275">
        <v>1500000</v>
      </c>
      <c r="I12" s="275">
        <f>'[1]POLY LIB. 2019'!D18</f>
        <v>1500000</v>
      </c>
      <c r="J12" s="275">
        <f t="shared" si="1"/>
        <v>0</v>
      </c>
      <c r="K12" s="275"/>
      <c r="L12" s="275">
        <v>1500000</v>
      </c>
      <c r="M12" s="275">
        <f>'[1]POLY LIB. 2019'!E18</f>
        <v>1500000</v>
      </c>
      <c r="N12" s="275">
        <f t="shared" si="2"/>
        <v>0</v>
      </c>
      <c r="O12" s="275"/>
      <c r="P12" s="275">
        <v>1500000</v>
      </c>
      <c r="Q12" s="275">
        <f>'[1]POLY LIB. 2019'!F18</f>
        <v>1500000</v>
      </c>
      <c r="R12" s="275">
        <f t="shared" si="3"/>
        <v>0</v>
      </c>
      <c r="S12" s="275"/>
      <c r="T12" s="275">
        <v>2500000</v>
      </c>
      <c r="U12" s="275">
        <f>'[1]POLY LIB. 2019'!G18</f>
        <v>2500000</v>
      </c>
      <c r="V12" s="275">
        <f t="shared" si="4"/>
        <v>0</v>
      </c>
      <c r="W12" s="275"/>
      <c r="X12" s="275">
        <v>2000000</v>
      </c>
      <c r="Y12" s="324">
        <v>2000000</v>
      </c>
      <c r="Z12" s="275">
        <f t="shared" si="5"/>
        <v>0</v>
      </c>
      <c r="AA12" s="275"/>
      <c r="AB12" s="275">
        <v>2600000</v>
      </c>
      <c r="AC12" s="275">
        <f>'[1]POLY LIB. 2019'!I18</f>
        <v>2600000</v>
      </c>
      <c r="AD12" s="275">
        <f t="shared" si="6"/>
        <v>0</v>
      </c>
      <c r="AE12" s="275"/>
      <c r="AF12" s="275">
        <v>5000000</v>
      </c>
      <c r="AG12" s="275">
        <f>'[1]POLY LIB. 2019'!J18</f>
        <v>5000000</v>
      </c>
      <c r="AH12" s="275">
        <f t="shared" si="7"/>
        <v>0</v>
      </c>
      <c r="AI12" s="275"/>
      <c r="AJ12" s="275">
        <v>5000000</v>
      </c>
      <c r="AK12" s="275">
        <f>'[1]POLY LIB. 2019'!K18</f>
        <v>5000000</v>
      </c>
      <c r="AL12" s="275">
        <f t="shared" si="8"/>
        <v>0</v>
      </c>
      <c r="AM12" s="275"/>
      <c r="AN12" s="275">
        <v>10000000</v>
      </c>
      <c r="AO12" s="324">
        <f>'[1]POLY LIB. 2019'!L18</f>
        <v>10000000</v>
      </c>
      <c r="AP12" s="275">
        <f t="shared" si="9"/>
        <v>0</v>
      </c>
      <c r="AQ12" s="205"/>
      <c r="AR12" s="275">
        <v>10000000</v>
      </c>
      <c r="AS12" s="294">
        <f>'[1]POLY LIB. 2019'!M18</f>
        <v>10000000</v>
      </c>
      <c r="AT12" s="275">
        <f t="shared" si="10"/>
        <v>0</v>
      </c>
      <c r="AU12" s="205"/>
      <c r="AV12" s="275">
        <v>30000000</v>
      </c>
      <c r="AW12" s="275">
        <f>'[1]POLY LIB. 2019'!N18</f>
        <v>30000000</v>
      </c>
      <c r="AX12" s="275">
        <f t="shared" si="11"/>
        <v>0</v>
      </c>
      <c r="AY12" s="205"/>
      <c r="AZ12" s="275">
        <f>'[1]POLY commited funds to date'!P96</f>
        <v>50000000</v>
      </c>
      <c r="BA12" s="275">
        <f>'[1]POLY LIB. 2019'!O18</f>
        <v>50000000</v>
      </c>
      <c r="BB12" s="275">
        <f t="shared" si="12"/>
        <v>0</v>
      </c>
      <c r="BC12" s="205"/>
      <c r="BD12" s="275">
        <v>70000000</v>
      </c>
      <c r="BE12" s="275">
        <f>'[1]POLY LIB. 2019'!P18</f>
        <v>59500000</v>
      </c>
      <c r="BF12" s="275">
        <f t="shared" si="13"/>
        <v>10500000</v>
      </c>
      <c r="BG12" s="205"/>
      <c r="BH12" s="275">
        <v>40000000</v>
      </c>
      <c r="BI12" s="275">
        <f>'[1]POLY LIB. 2019'!Q18</f>
        <v>34000000</v>
      </c>
      <c r="BJ12" s="275">
        <f t="shared" si="14"/>
        <v>6000000</v>
      </c>
      <c r="BL12" s="275">
        <f>'[1]POLY commited funds to date'!S96</f>
        <v>30000000</v>
      </c>
      <c r="BM12" s="275">
        <f>'[1]POLY LIB. 2019'!R18</f>
        <v>0</v>
      </c>
      <c r="BN12" s="275">
        <f t="shared" si="15"/>
        <v>30000000</v>
      </c>
      <c r="BP12" s="275">
        <f>'[1]POLY commited funds to date'!T96</f>
        <v>25000000</v>
      </c>
      <c r="BQ12" s="275">
        <f>'[1]POLY LIB. 2019'!S18</f>
        <v>0</v>
      </c>
      <c r="BR12" s="275">
        <f t="shared" si="16"/>
        <v>25000000</v>
      </c>
      <c r="BT12" s="275">
        <f>'[1]POLY commited funds to date'!U96</f>
        <v>15000000</v>
      </c>
      <c r="BU12" s="275">
        <f>'[1]POLY LIB. 2019'!T18</f>
        <v>0</v>
      </c>
      <c r="BV12" s="275">
        <f t="shared" si="17"/>
        <v>15000000</v>
      </c>
      <c r="BX12" s="275">
        <f t="shared" si="18"/>
        <v>303100000</v>
      </c>
      <c r="BY12" s="275">
        <f t="shared" si="18"/>
        <v>216600000</v>
      </c>
      <c r="BZ12" s="275">
        <f t="shared" si="19"/>
        <v>86500000</v>
      </c>
      <c r="CB12" s="205"/>
      <c r="CC12" s="325"/>
      <c r="CD12" s="211"/>
      <c r="CE12" s="211"/>
      <c r="CF12" s="211"/>
      <c r="CG12" s="211"/>
      <c r="CH12" s="211"/>
      <c r="CI12" s="211"/>
      <c r="CJ12" s="211"/>
      <c r="CK12" s="211"/>
      <c r="CL12" s="211"/>
      <c r="CM12" s="211"/>
      <c r="CN12" s="211"/>
      <c r="CO12" s="211"/>
      <c r="CP12" s="211"/>
      <c r="CQ12" s="211"/>
      <c r="CR12" s="211"/>
      <c r="CS12" s="211"/>
      <c r="CT12" s="211"/>
      <c r="CU12" s="211"/>
      <c r="CV12" s="211"/>
      <c r="CW12" s="211"/>
      <c r="CX12" s="211"/>
      <c r="CY12" s="211"/>
      <c r="CZ12" s="211"/>
      <c r="DA12" s="211"/>
      <c r="DB12" s="211"/>
      <c r="DC12" s="211"/>
      <c r="DD12" s="211"/>
      <c r="DE12" s="211"/>
      <c r="DF12" s="211"/>
      <c r="DG12" s="211"/>
      <c r="DH12" s="211"/>
      <c r="DI12" s="211"/>
      <c r="DJ12" s="211"/>
      <c r="DK12" s="211"/>
      <c r="DL12" s="211"/>
      <c r="DM12" s="211"/>
      <c r="DN12" s="211"/>
      <c r="DO12" s="205"/>
      <c r="DP12" s="265"/>
      <c r="HA12" s="248"/>
      <c r="HB12" s="248"/>
      <c r="HC12" s="248"/>
      <c r="HD12" s="248"/>
      <c r="HE12" s="248"/>
      <c r="HF12" s="248"/>
    </row>
    <row r="13" spans="1:214" x14ac:dyDescent="0.25">
      <c r="A13" s="273">
        <v>8</v>
      </c>
      <c r="B13" s="273" t="s">
        <v>274</v>
      </c>
      <c r="C13" s="273"/>
      <c r="D13" s="275">
        <v>1500000</v>
      </c>
      <c r="E13" s="275">
        <f>'[1]POLY LIB. 2019'!C19</f>
        <v>1500000</v>
      </c>
      <c r="F13" s="275">
        <f t="shared" si="0"/>
        <v>0</v>
      </c>
      <c r="G13" s="275"/>
      <c r="H13" s="275">
        <v>1500000</v>
      </c>
      <c r="I13" s="275">
        <f>'[1]POLY LIB. 2019'!D19</f>
        <v>1500000</v>
      </c>
      <c r="J13" s="275">
        <f t="shared" si="1"/>
        <v>0</v>
      </c>
      <c r="K13" s="275"/>
      <c r="L13" s="275">
        <v>1500000</v>
      </c>
      <c r="M13" s="275">
        <f>'[1]POLY LIB. 2019'!E19</f>
        <v>1500000</v>
      </c>
      <c r="N13" s="275">
        <f t="shared" si="2"/>
        <v>0</v>
      </c>
      <c r="O13" s="275"/>
      <c r="P13" s="275">
        <v>1500000</v>
      </c>
      <c r="Q13" s="275">
        <f>'[1]POLY LIB. 2019'!F19</f>
        <v>1500000</v>
      </c>
      <c r="R13" s="275">
        <f t="shared" si="3"/>
        <v>0</v>
      </c>
      <c r="S13" s="275"/>
      <c r="T13" s="275">
        <v>2500000</v>
      </c>
      <c r="U13" s="275">
        <f>'[1]POLY LIB. 2019'!G19</f>
        <v>2500000</v>
      </c>
      <c r="V13" s="275">
        <f t="shared" si="4"/>
        <v>0</v>
      </c>
      <c r="W13" s="275"/>
      <c r="X13" s="275">
        <v>2000000</v>
      </c>
      <c r="Y13" s="324">
        <v>2000000</v>
      </c>
      <c r="Z13" s="275">
        <f t="shared" si="5"/>
        <v>0</v>
      </c>
      <c r="AA13" s="275"/>
      <c r="AB13" s="275">
        <v>2210000</v>
      </c>
      <c r="AC13" s="275">
        <f>'[1]POLY LIB. 2019'!I19</f>
        <v>2210000</v>
      </c>
      <c r="AD13" s="275">
        <f t="shared" si="6"/>
        <v>0</v>
      </c>
      <c r="AE13" s="275"/>
      <c r="AF13" s="275">
        <v>5000000</v>
      </c>
      <c r="AG13" s="275">
        <f>'[1]POLY LIB. 2019'!J19</f>
        <v>5000000</v>
      </c>
      <c r="AH13" s="275">
        <f t="shared" si="7"/>
        <v>0</v>
      </c>
      <c r="AI13" s="275"/>
      <c r="AJ13" s="275">
        <v>5000000</v>
      </c>
      <c r="AK13" s="275">
        <f>'[1]POLY LIB. 2019'!K19</f>
        <v>5000000</v>
      </c>
      <c r="AL13" s="275">
        <f t="shared" si="8"/>
        <v>0</v>
      </c>
      <c r="AM13" s="275"/>
      <c r="AN13" s="275">
        <v>10000000</v>
      </c>
      <c r="AO13" s="324">
        <f>'[1]POLY LIB. 2019'!L19</f>
        <v>10000000</v>
      </c>
      <c r="AP13" s="275">
        <f t="shared" si="9"/>
        <v>0</v>
      </c>
      <c r="AQ13" s="205"/>
      <c r="AR13" s="275">
        <v>10000000</v>
      </c>
      <c r="AS13" s="294">
        <f>'[1]POLY LIB. 2019'!M19</f>
        <v>10000000</v>
      </c>
      <c r="AT13" s="275">
        <f t="shared" si="10"/>
        <v>0</v>
      </c>
      <c r="AU13" s="205"/>
      <c r="AV13" s="275">
        <v>30000000</v>
      </c>
      <c r="AW13" s="275">
        <f>'[1]POLY LIB. 2019'!N19</f>
        <v>30000000</v>
      </c>
      <c r="AX13" s="275">
        <f t="shared" si="11"/>
        <v>0</v>
      </c>
      <c r="AY13" s="205"/>
      <c r="AZ13" s="275">
        <f>'[1]POLY commited funds to date'!P97</f>
        <v>50000000</v>
      </c>
      <c r="BA13" s="275">
        <f>'[1]POLY LIB. 2019'!O19</f>
        <v>42500000</v>
      </c>
      <c r="BB13" s="275">
        <f t="shared" si="12"/>
        <v>7500000</v>
      </c>
      <c r="BC13" s="205"/>
      <c r="BD13" s="275">
        <v>70000000</v>
      </c>
      <c r="BE13" s="275">
        <f>'[1]POLY LIB. 2019'!P19</f>
        <v>59500000</v>
      </c>
      <c r="BF13" s="275">
        <f t="shared" si="13"/>
        <v>10500000</v>
      </c>
      <c r="BG13" s="205"/>
      <c r="BH13" s="275">
        <v>40000000</v>
      </c>
      <c r="BI13" s="275">
        <f>'[1]POLY LIB. 2019'!Q19</f>
        <v>34000000</v>
      </c>
      <c r="BJ13" s="275">
        <f t="shared" si="14"/>
        <v>6000000</v>
      </c>
      <c r="BL13" s="275">
        <f>'[1]POLY commited funds to date'!S97</f>
        <v>30000000</v>
      </c>
      <c r="BM13" s="275">
        <f>'[1]POLY LIB. 2019'!R19</f>
        <v>25500000</v>
      </c>
      <c r="BN13" s="275">
        <f t="shared" si="15"/>
        <v>4500000</v>
      </c>
      <c r="BP13" s="275">
        <f>'[1]POLY commited funds to date'!T97</f>
        <v>25000000</v>
      </c>
      <c r="BQ13" s="275">
        <f>'[1]POLY LIB. 2019'!S19</f>
        <v>0</v>
      </c>
      <c r="BR13" s="275">
        <f t="shared" si="16"/>
        <v>25000000</v>
      </c>
      <c r="BT13" s="275">
        <f>'[1]POLY commited funds to date'!U97</f>
        <v>15000000</v>
      </c>
      <c r="BU13" s="275">
        <f>'[1]POLY LIB. 2019'!T19</f>
        <v>0</v>
      </c>
      <c r="BV13" s="275">
        <f t="shared" si="17"/>
        <v>15000000</v>
      </c>
      <c r="BX13" s="275">
        <f t="shared" si="18"/>
        <v>302710000</v>
      </c>
      <c r="BY13" s="275">
        <f t="shared" si="18"/>
        <v>234210000</v>
      </c>
      <c r="BZ13" s="275">
        <f t="shared" si="19"/>
        <v>68500000</v>
      </c>
      <c r="CB13" s="205"/>
      <c r="CC13" s="325"/>
      <c r="CD13" s="211"/>
      <c r="CE13" s="211"/>
      <c r="CF13" s="211"/>
      <c r="CG13" s="211"/>
      <c r="CH13" s="211"/>
      <c r="CI13" s="211"/>
      <c r="CJ13" s="211"/>
      <c r="CK13" s="211"/>
      <c r="CL13" s="211"/>
      <c r="CM13" s="211"/>
      <c r="CN13" s="211"/>
      <c r="CO13" s="211"/>
      <c r="CP13" s="211"/>
      <c r="CQ13" s="211"/>
      <c r="CR13" s="211"/>
      <c r="CS13" s="211"/>
      <c r="CT13" s="211"/>
      <c r="CU13" s="211"/>
      <c r="CV13" s="211"/>
      <c r="CW13" s="211"/>
      <c r="CX13" s="211"/>
      <c r="CY13" s="211"/>
      <c r="CZ13" s="211"/>
      <c r="DA13" s="211"/>
      <c r="DB13" s="211"/>
      <c r="DC13" s="211"/>
      <c r="DD13" s="211"/>
      <c r="DE13" s="211"/>
      <c r="DF13" s="211"/>
      <c r="DG13" s="211"/>
      <c r="DH13" s="211"/>
      <c r="DI13" s="211"/>
      <c r="DJ13" s="211"/>
      <c r="DK13" s="211"/>
      <c r="DL13" s="211"/>
      <c r="DM13" s="211"/>
      <c r="DN13" s="211"/>
      <c r="DO13" s="205"/>
      <c r="DP13" s="265"/>
      <c r="HA13" s="265"/>
      <c r="HB13" s="265"/>
      <c r="HC13" s="265"/>
      <c r="HD13" s="265"/>
      <c r="HE13" s="265"/>
      <c r="HF13" s="265"/>
    </row>
    <row r="14" spans="1:214" x14ac:dyDescent="0.25">
      <c r="A14" s="273">
        <v>9</v>
      </c>
      <c r="B14" s="273" t="s">
        <v>275</v>
      </c>
      <c r="C14" s="273"/>
      <c r="D14" s="275">
        <v>1500000</v>
      </c>
      <c r="E14" s="275">
        <f>'[1]POLY LIB. 2019'!C20</f>
        <v>1500000</v>
      </c>
      <c r="F14" s="275">
        <f t="shared" si="0"/>
        <v>0</v>
      </c>
      <c r="G14" s="275"/>
      <c r="H14" s="275">
        <v>1500000</v>
      </c>
      <c r="I14" s="275">
        <f>'[1]POLY LIB. 2019'!D20</f>
        <v>1500000</v>
      </c>
      <c r="J14" s="275">
        <f t="shared" si="1"/>
        <v>0</v>
      </c>
      <c r="K14" s="275"/>
      <c r="L14" s="275">
        <v>1500000</v>
      </c>
      <c r="M14" s="275">
        <f>'[1]POLY LIB. 2019'!E20</f>
        <v>1500000</v>
      </c>
      <c r="N14" s="275">
        <f t="shared" si="2"/>
        <v>0</v>
      </c>
      <c r="O14" s="275"/>
      <c r="P14" s="275">
        <v>1500000</v>
      </c>
      <c r="Q14" s="275">
        <f>'[1]POLY LIB. 2019'!F20</f>
        <v>1500000</v>
      </c>
      <c r="R14" s="275">
        <f t="shared" si="3"/>
        <v>0</v>
      </c>
      <c r="S14" s="275"/>
      <c r="T14" s="275">
        <v>2000000</v>
      </c>
      <c r="U14" s="275">
        <f>'[1]POLY LIB. 2019'!G20</f>
        <v>2000000</v>
      </c>
      <c r="V14" s="275">
        <f t="shared" si="4"/>
        <v>0</v>
      </c>
      <c r="W14" s="275"/>
      <c r="X14" s="275">
        <v>2000000</v>
      </c>
      <c r="Y14" s="324">
        <v>2000000</v>
      </c>
      <c r="Z14" s="275">
        <f t="shared" si="5"/>
        <v>0</v>
      </c>
      <c r="AA14" s="275"/>
      <c r="AB14" s="275">
        <v>2600000</v>
      </c>
      <c r="AC14" s="275">
        <f>'[1]POLY LIB. 2019'!I20</f>
        <v>2600000</v>
      </c>
      <c r="AD14" s="275">
        <f t="shared" si="6"/>
        <v>0</v>
      </c>
      <c r="AE14" s="275"/>
      <c r="AF14" s="275">
        <v>4250000</v>
      </c>
      <c r="AG14" s="275">
        <f>'[1]POLY LIB. 2019'!J20</f>
        <v>4250000</v>
      </c>
      <c r="AH14" s="275">
        <f t="shared" si="7"/>
        <v>0</v>
      </c>
      <c r="AI14" s="275"/>
      <c r="AJ14" s="275">
        <f>5000000-5000000</f>
        <v>0</v>
      </c>
      <c r="AK14" s="275">
        <f>'[1]POLY LIB. 2019'!K20</f>
        <v>0</v>
      </c>
      <c r="AL14" s="275">
        <f t="shared" si="8"/>
        <v>0</v>
      </c>
      <c r="AM14" s="275"/>
      <c r="AN14" s="275">
        <f>10000000-10000000</f>
        <v>0</v>
      </c>
      <c r="AO14" s="324">
        <f>'[1]POLY LIB. 2019'!L20</f>
        <v>0</v>
      </c>
      <c r="AP14" s="275">
        <f t="shared" si="9"/>
        <v>0</v>
      </c>
      <c r="AQ14" s="205"/>
      <c r="AR14" s="275">
        <v>10000000</v>
      </c>
      <c r="AS14" s="294">
        <f>'[1]POLY LIB. 2019'!M20</f>
        <v>10000000</v>
      </c>
      <c r="AT14" s="275">
        <f t="shared" si="10"/>
        <v>0</v>
      </c>
      <c r="AU14" s="205"/>
      <c r="AV14" s="275">
        <v>30000000</v>
      </c>
      <c r="AW14" s="275">
        <f>'[1]POLY LIB. 2019'!N20</f>
        <v>30000000</v>
      </c>
      <c r="AX14" s="275">
        <f t="shared" si="11"/>
        <v>0</v>
      </c>
      <c r="AY14" s="205"/>
      <c r="AZ14" s="275">
        <f>'[1]POLY commited funds to date'!P98</f>
        <v>50000000</v>
      </c>
      <c r="BA14" s="275">
        <f>'[1]POLY LIB. 2019'!O20</f>
        <v>50000000</v>
      </c>
      <c r="BB14" s="275">
        <f t="shared" si="12"/>
        <v>0</v>
      </c>
      <c r="BC14" s="205"/>
      <c r="BD14" s="275">
        <v>70000000</v>
      </c>
      <c r="BE14" s="275">
        <f>'[1]POLY LIB. 2019'!P20</f>
        <v>70000000</v>
      </c>
      <c r="BF14" s="275">
        <f t="shared" si="13"/>
        <v>0</v>
      </c>
      <c r="BG14" s="205"/>
      <c r="BH14" s="275">
        <v>40000000</v>
      </c>
      <c r="BI14" s="275">
        <f>'[1]POLY LIB. 2019'!Q20</f>
        <v>40000000</v>
      </c>
      <c r="BJ14" s="275">
        <f t="shared" si="14"/>
        <v>0</v>
      </c>
      <c r="BL14" s="275">
        <f>'[1]POLY commited funds to date'!S98</f>
        <v>30000000</v>
      </c>
      <c r="BM14" s="275">
        <f>'[1]POLY LIB. 2019'!R20</f>
        <v>30000000</v>
      </c>
      <c r="BN14" s="275">
        <f t="shared" si="15"/>
        <v>0</v>
      </c>
      <c r="BP14" s="275">
        <f>'[1]POLY commited funds to date'!T98</f>
        <v>25000000</v>
      </c>
      <c r="BQ14" s="275">
        <f>'[1]POLY LIB. 2019'!S20</f>
        <v>0</v>
      </c>
      <c r="BR14" s="275">
        <f t="shared" si="16"/>
        <v>25000000</v>
      </c>
      <c r="BT14" s="275">
        <f>'[1]POLY commited funds to date'!U98</f>
        <v>15000000</v>
      </c>
      <c r="BU14" s="275">
        <f>'[1]POLY LIB. 2019'!T20</f>
        <v>0</v>
      </c>
      <c r="BV14" s="275">
        <f t="shared" si="17"/>
        <v>15000000</v>
      </c>
      <c r="BX14" s="275">
        <f t="shared" si="18"/>
        <v>286850000</v>
      </c>
      <c r="BY14" s="275">
        <f t="shared" si="18"/>
        <v>246850000</v>
      </c>
      <c r="BZ14" s="275">
        <f t="shared" si="19"/>
        <v>40000000</v>
      </c>
      <c r="CB14" s="205"/>
      <c r="CC14" s="325"/>
      <c r="CD14" s="211"/>
      <c r="CE14" s="211"/>
      <c r="CF14" s="211"/>
      <c r="CG14" s="211"/>
      <c r="CH14" s="211"/>
      <c r="CI14" s="211"/>
      <c r="CJ14" s="211"/>
      <c r="CK14" s="211"/>
      <c r="CL14" s="211"/>
      <c r="CM14" s="211"/>
      <c r="CN14" s="211"/>
      <c r="CO14" s="211"/>
      <c r="CP14" s="211"/>
      <c r="CQ14" s="211"/>
      <c r="CR14" s="211"/>
      <c r="CS14" s="211"/>
      <c r="CT14" s="211"/>
      <c r="CU14" s="211"/>
      <c r="CV14" s="211"/>
      <c r="CW14" s="211"/>
      <c r="CX14" s="211"/>
      <c r="CY14" s="211"/>
      <c r="CZ14" s="211"/>
      <c r="DA14" s="211"/>
      <c r="DB14" s="211"/>
      <c r="DC14" s="211"/>
      <c r="DD14" s="211"/>
      <c r="DE14" s="211"/>
      <c r="DF14" s="211"/>
      <c r="DG14" s="211"/>
      <c r="DH14" s="211"/>
      <c r="DI14" s="211"/>
      <c r="DJ14" s="211"/>
      <c r="DK14" s="211"/>
      <c r="DL14" s="211"/>
      <c r="DM14" s="211"/>
      <c r="DN14" s="211"/>
      <c r="DO14" s="205"/>
      <c r="DP14" s="265"/>
      <c r="HA14" s="248"/>
      <c r="HB14" s="248"/>
      <c r="HC14" s="248"/>
      <c r="HD14" s="248"/>
      <c r="HE14" s="248"/>
      <c r="HF14" s="248"/>
    </row>
    <row r="15" spans="1:214" x14ac:dyDescent="0.25">
      <c r="A15" s="273">
        <v>10</v>
      </c>
      <c r="B15" s="273" t="s">
        <v>276</v>
      </c>
      <c r="C15" s="273"/>
      <c r="D15" s="275">
        <v>1500000</v>
      </c>
      <c r="E15" s="275">
        <f>'[1]POLY LIB. 2019'!C21</f>
        <v>1500000</v>
      </c>
      <c r="F15" s="275">
        <f t="shared" si="0"/>
        <v>0</v>
      </c>
      <c r="G15" s="275"/>
      <c r="H15" s="275">
        <v>1500000</v>
      </c>
      <c r="I15" s="275">
        <f>'[1]POLY LIB. 2019'!D21</f>
        <v>1500000</v>
      </c>
      <c r="J15" s="275">
        <f t="shared" si="1"/>
        <v>0</v>
      </c>
      <c r="K15" s="275"/>
      <c r="L15" s="275">
        <v>1500000</v>
      </c>
      <c r="M15" s="275">
        <f>'[1]POLY LIB. 2019'!E21</f>
        <v>1500000</v>
      </c>
      <c r="N15" s="275">
        <f t="shared" si="2"/>
        <v>0</v>
      </c>
      <c r="O15" s="275"/>
      <c r="P15" s="275">
        <v>1500000</v>
      </c>
      <c r="Q15" s="275">
        <f>'[1]POLY LIB. 2019'!F21</f>
        <v>1500000</v>
      </c>
      <c r="R15" s="275">
        <f t="shared" si="3"/>
        <v>0</v>
      </c>
      <c r="S15" s="275"/>
      <c r="T15" s="275">
        <v>2500000</v>
      </c>
      <c r="U15" s="275">
        <f>'[1]POLY LIB. 2019'!G21</f>
        <v>2500000</v>
      </c>
      <c r="V15" s="275">
        <f t="shared" si="4"/>
        <v>0</v>
      </c>
      <c r="W15" s="275"/>
      <c r="X15" s="275">
        <v>2000000</v>
      </c>
      <c r="Y15" s="324">
        <v>2000000</v>
      </c>
      <c r="Z15" s="275">
        <f t="shared" si="5"/>
        <v>0</v>
      </c>
      <c r="AA15" s="275"/>
      <c r="AB15" s="275">
        <v>2210000</v>
      </c>
      <c r="AC15" s="275">
        <f>'[1]POLY LIB. 2019'!I21</f>
        <v>2210000</v>
      </c>
      <c r="AD15" s="275">
        <f t="shared" si="6"/>
        <v>0</v>
      </c>
      <c r="AE15" s="275"/>
      <c r="AF15" s="275">
        <v>4250000</v>
      </c>
      <c r="AG15" s="275">
        <f>'[1]POLY LIB. 2019'!J21</f>
        <v>4250000</v>
      </c>
      <c r="AH15" s="275">
        <f t="shared" si="7"/>
        <v>0</v>
      </c>
      <c r="AI15" s="275"/>
      <c r="AJ15" s="275">
        <v>4250000</v>
      </c>
      <c r="AK15" s="275">
        <f>'[1]POLY LIB. 2019'!K21</f>
        <v>4250000</v>
      </c>
      <c r="AL15" s="275">
        <f t="shared" si="8"/>
        <v>0</v>
      </c>
      <c r="AM15" s="275"/>
      <c r="AN15" s="275">
        <v>8500000</v>
      </c>
      <c r="AO15" s="324">
        <f>'[1]POLY LIB. 2019'!L21</f>
        <v>8500000</v>
      </c>
      <c r="AP15" s="275">
        <f t="shared" si="9"/>
        <v>0</v>
      </c>
      <c r="AQ15" s="205"/>
      <c r="AR15" s="275">
        <v>10000000</v>
      </c>
      <c r="AS15" s="294">
        <f>'[1]POLY LIB. 2019'!M21</f>
        <v>10000000</v>
      </c>
      <c r="AT15" s="275">
        <f t="shared" si="10"/>
        <v>0</v>
      </c>
      <c r="AU15" s="205"/>
      <c r="AV15" s="275">
        <v>30000000</v>
      </c>
      <c r="AW15" s="275">
        <f>'[1]POLY LIB. 2019'!N21</f>
        <v>30000000</v>
      </c>
      <c r="AX15" s="275">
        <f t="shared" si="11"/>
        <v>0</v>
      </c>
      <c r="AY15" s="205"/>
      <c r="AZ15" s="275">
        <f>'[1]POLY commited funds to date'!P99</f>
        <v>50000000</v>
      </c>
      <c r="BA15" s="275">
        <f>'[1]POLY LIB. 2019'!O21</f>
        <v>50000000</v>
      </c>
      <c r="BB15" s="275">
        <f t="shared" si="12"/>
        <v>0</v>
      </c>
      <c r="BC15" s="205"/>
      <c r="BD15" s="275">
        <v>70000000</v>
      </c>
      <c r="BE15" s="275">
        <f>'[1]POLY LIB. 2019'!P21</f>
        <v>70000000</v>
      </c>
      <c r="BF15" s="275">
        <f t="shared" si="13"/>
        <v>0</v>
      </c>
      <c r="BG15" s="205"/>
      <c r="BH15" s="275">
        <v>40000000</v>
      </c>
      <c r="BI15" s="275">
        <f>'[1]POLY LIB. 2019'!Q21</f>
        <v>0</v>
      </c>
      <c r="BJ15" s="275">
        <f t="shared" si="14"/>
        <v>40000000</v>
      </c>
      <c r="BL15" s="275">
        <f>'[1]POLY commited funds to date'!S99</f>
        <v>30000000</v>
      </c>
      <c r="BM15" s="275">
        <f>'[1]POLY LIB. 2019'!R21</f>
        <v>0</v>
      </c>
      <c r="BN15" s="275">
        <f t="shared" si="15"/>
        <v>30000000</v>
      </c>
      <c r="BP15" s="275">
        <f>'[1]POLY commited funds to date'!T99</f>
        <v>25000000</v>
      </c>
      <c r="BQ15" s="275">
        <f>'[1]POLY LIB. 2019'!S21</f>
        <v>0</v>
      </c>
      <c r="BR15" s="275">
        <f t="shared" si="16"/>
        <v>25000000</v>
      </c>
      <c r="BT15" s="275">
        <f>'[1]POLY commited funds to date'!U99</f>
        <v>15000000</v>
      </c>
      <c r="BU15" s="275">
        <f>'[1]POLY LIB. 2019'!T21</f>
        <v>0</v>
      </c>
      <c r="BV15" s="275">
        <f t="shared" si="17"/>
        <v>15000000</v>
      </c>
      <c r="BX15" s="275">
        <f t="shared" si="18"/>
        <v>299710000</v>
      </c>
      <c r="BY15" s="275">
        <f t="shared" si="18"/>
        <v>189710000</v>
      </c>
      <c r="BZ15" s="275">
        <f t="shared" si="19"/>
        <v>110000000</v>
      </c>
      <c r="CB15" s="205"/>
      <c r="CC15" s="325"/>
      <c r="CD15" s="211"/>
      <c r="CE15" s="211"/>
      <c r="CF15" s="211"/>
      <c r="CG15" s="211"/>
      <c r="CH15" s="211"/>
      <c r="CI15" s="211"/>
      <c r="CJ15" s="211"/>
      <c r="CK15" s="211"/>
      <c r="CL15" s="211"/>
      <c r="CM15" s="211"/>
      <c r="CN15" s="211"/>
      <c r="CO15" s="211"/>
      <c r="CP15" s="211"/>
      <c r="CQ15" s="211"/>
      <c r="CR15" s="211"/>
      <c r="CS15" s="211"/>
      <c r="CT15" s="211"/>
      <c r="CU15" s="211"/>
      <c r="CV15" s="211"/>
      <c r="CW15" s="211"/>
      <c r="CX15" s="211"/>
      <c r="CY15" s="211"/>
      <c r="CZ15" s="211"/>
      <c r="DA15" s="211"/>
      <c r="DB15" s="211"/>
      <c r="DC15" s="211"/>
      <c r="DD15" s="211"/>
      <c r="DE15" s="211"/>
      <c r="DF15" s="211"/>
      <c r="DG15" s="211"/>
      <c r="DH15" s="211"/>
      <c r="DI15" s="211"/>
      <c r="DJ15" s="211"/>
      <c r="DK15" s="211"/>
      <c r="DL15" s="211"/>
      <c r="DM15" s="211"/>
      <c r="DN15" s="211"/>
      <c r="DO15" s="205"/>
      <c r="DP15" s="265"/>
      <c r="HA15" s="265"/>
      <c r="HB15" s="265"/>
      <c r="HC15" s="265"/>
      <c r="HD15" s="265"/>
      <c r="HE15" s="265"/>
      <c r="HF15" s="265"/>
    </row>
    <row r="16" spans="1:214" x14ac:dyDescent="0.25">
      <c r="A16" s="273">
        <v>11</v>
      </c>
      <c r="B16" s="273" t="s">
        <v>277</v>
      </c>
      <c r="C16" s="273"/>
      <c r="D16" s="275">
        <v>1500000</v>
      </c>
      <c r="E16" s="275">
        <f>'[1]POLY LIB. 2019'!C22</f>
        <v>1500000</v>
      </c>
      <c r="F16" s="275">
        <f t="shared" si="0"/>
        <v>0</v>
      </c>
      <c r="G16" s="275"/>
      <c r="H16" s="275">
        <v>1500000</v>
      </c>
      <c r="I16" s="275">
        <f>'[1]POLY LIB. 2019'!D22</f>
        <v>1500000</v>
      </c>
      <c r="J16" s="275">
        <f t="shared" si="1"/>
        <v>0</v>
      </c>
      <c r="K16" s="275"/>
      <c r="L16" s="275">
        <v>1275000</v>
      </c>
      <c r="M16" s="275">
        <f>'[1]POLY LIB. 2019'!E22</f>
        <v>1275000</v>
      </c>
      <c r="N16" s="275">
        <f t="shared" si="2"/>
        <v>0</v>
      </c>
      <c r="O16" s="275"/>
      <c r="P16" s="275">
        <v>1275000</v>
      </c>
      <c r="Q16" s="275">
        <f>'[1]POLY LIB. 2019'!F22</f>
        <v>1275000</v>
      </c>
      <c r="R16" s="275">
        <f t="shared" si="3"/>
        <v>0</v>
      </c>
      <c r="S16" s="275"/>
      <c r="T16" s="275">
        <v>2125000</v>
      </c>
      <c r="U16" s="275">
        <f>'[1]POLY LIB. 2019'!G22</f>
        <v>2125000</v>
      </c>
      <c r="V16" s="275">
        <f t="shared" si="4"/>
        <v>0</v>
      </c>
      <c r="W16" s="275"/>
      <c r="X16" s="275">
        <v>1700000</v>
      </c>
      <c r="Y16" s="324">
        <v>1700000</v>
      </c>
      <c r="Z16" s="275">
        <f t="shared" si="5"/>
        <v>0</v>
      </c>
      <c r="AA16" s="275"/>
      <c r="AB16" s="275">
        <v>2500000</v>
      </c>
      <c r="AC16" s="275">
        <f>'[1]POLY LIB. 2019'!I22</f>
        <v>2500000</v>
      </c>
      <c r="AD16" s="275">
        <f t="shared" si="6"/>
        <v>0</v>
      </c>
      <c r="AE16" s="275"/>
      <c r="AF16" s="275">
        <v>5000000</v>
      </c>
      <c r="AG16" s="275">
        <f>'[1]POLY LIB. 2019'!J22</f>
        <v>5000000</v>
      </c>
      <c r="AH16" s="275">
        <f t="shared" si="7"/>
        <v>0</v>
      </c>
      <c r="AI16" s="275"/>
      <c r="AJ16" s="275">
        <v>5000000</v>
      </c>
      <c r="AK16" s="275">
        <f>'[1]POLY LIB. 2019'!K22</f>
        <v>5000000</v>
      </c>
      <c r="AL16" s="275">
        <f t="shared" si="8"/>
        <v>0</v>
      </c>
      <c r="AM16" s="275"/>
      <c r="AN16" s="275">
        <v>10000000</v>
      </c>
      <c r="AO16" s="324">
        <f>'[1]POLY LIB. 2019'!L22</f>
        <v>10000000</v>
      </c>
      <c r="AP16" s="275">
        <f t="shared" si="9"/>
        <v>0</v>
      </c>
      <c r="AQ16" s="205"/>
      <c r="AR16" s="275">
        <v>10000000</v>
      </c>
      <c r="AS16" s="294">
        <f>'[1]POLY LIB. 2019'!M22</f>
        <v>10000000</v>
      </c>
      <c r="AT16" s="275">
        <f t="shared" si="10"/>
        <v>0</v>
      </c>
      <c r="AU16" s="205"/>
      <c r="AV16" s="275">
        <v>30000000</v>
      </c>
      <c r="AW16" s="275">
        <f>'[1]POLY LIB. 2019'!N22</f>
        <v>30000000</v>
      </c>
      <c r="AX16" s="275">
        <f t="shared" si="11"/>
        <v>0</v>
      </c>
      <c r="AY16" s="205"/>
      <c r="AZ16" s="275">
        <f>'[1]POLY commited funds to date'!P100</f>
        <v>50000000</v>
      </c>
      <c r="BA16" s="275">
        <f>'[1]POLY LIB. 2019'!O22</f>
        <v>50000000</v>
      </c>
      <c r="BB16" s="275">
        <f t="shared" si="12"/>
        <v>0</v>
      </c>
      <c r="BC16" s="205"/>
      <c r="BD16" s="275">
        <v>70000000</v>
      </c>
      <c r="BE16" s="275">
        <f>'[1]POLY LIB. 2019'!P22</f>
        <v>70000000</v>
      </c>
      <c r="BF16" s="275">
        <f t="shared" si="13"/>
        <v>0</v>
      </c>
      <c r="BG16" s="205"/>
      <c r="BH16" s="275">
        <v>40000000</v>
      </c>
      <c r="BI16" s="275">
        <f>'[1]POLY LIB. 2019'!Q22</f>
        <v>40000000</v>
      </c>
      <c r="BJ16" s="275">
        <f t="shared" si="14"/>
        <v>0</v>
      </c>
      <c r="BL16" s="275">
        <f>'[1]POLY commited funds to date'!S100</f>
        <v>30000000</v>
      </c>
      <c r="BM16" s="275">
        <f>'[1]POLY LIB. 2019'!R22</f>
        <v>30000000</v>
      </c>
      <c r="BN16" s="275">
        <f t="shared" si="15"/>
        <v>0</v>
      </c>
      <c r="BP16" s="275">
        <f>'[1]POLY commited funds to date'!T100</f>
        <v>25000000</v>
      </c>
      <c r="BQ16" s="275">
        <f>'[1]POLY LIB. 2019'!S22</f>
        <v>0</v>
      </c>
      <c r="BR16" s="275">
        <f t="shared" si="16"/>
        <v>25000000</v>
      </c>
      <c r="BT16" s="275">
        <f>'[1]POLY commited funds to date'!U100</f>
        <v>15000000</v>
      </c>
      <c r="BU16" s="275">
        <f>'[1]POLY LIB. 2019'!T22</f>
        <v>0</v>
      </c>
      <c r="BV16" s="275">
        <f t="shared" si="17"/>
        <v>15000000</v>
      </c>
      <c r="BX16" s="275">
        <f t="shared" si="18"/>
        <v>301875000</v>
      </c>
      <c r="BY16" s="275">
        <f t="shared" si="18"/>
        <v>261875000</v>
      </c>
      <c r="BZ16" s="275">
        <f t="shared" si="19"/>
        <v>40000000</v>
      </c>
      <c r="CB16" s="205"/>
      <c r="CC16" s="325"/>
      <c r="CD16" s="211"/>
      <c r="CE16" s="211"/>
      <c r="CF16" s="211"/>
      <c r="CG16" s="211"/>
      <c r="CH16" s="211"/>
      <c r="CI16" s="211"/>
      <c r="CJ16" s="211"/>
      <c r="CK16" s="211"/>
      <c r="CL16" s="211"/>
      <c r="CM16" s="211"/>
      <c r="CN16" s="211"/>
      <c r="CO16" s="211"/>
      <c r="CP16" s="211"/>
      <c r="CQ16" s="211"/>
      <c r="CR16" s="211"/>
      <c r="CS16" s="211"/>
      <c r="CT16" s="211"/>
      <c r="CU16" s="211"/>
      <c r="CV16" s="211"/>
      <c r="CW16" s="211"/>
      <c r="CX16" s="211"/>
      <c r="CY16" s="211"/>
      <c r="CZ16" s="211"/>
      <c r="DA16" s="211"/>
      <c r="DB16" s="211"/>
      <c r="DC16" s="211"/>
      <c r="DD16" s="211"/>
      <c r="DE16" s="211"/>
      <c r="DF16" s="211"/>
      <c r="DG16" s="211"/>
      <c r="DH16" s="211"/>
      <c r="DI16" s="211"/>
      <c r="DJ16" s="211"/>
      <c r="DK16" s="211"/>
      <c r="DL16" s="211"/>
      <c r="DM16" s="211"/>
      <c r="DN16" s="211"/>
      <c r="DO16" s="205"/>
      <c r="DP16" s="265"/>
      <c r="HA16" s="248"/>
      <c r="HB16" s="248"/>
      <c r="HC16" s="248"/>
      <c r="HD16" s="248"/>
      <c r="HE16" s="248"/>
      <c r="HF16" s="248"/>
    </row>
    <row r="17" spans="1:214" x14ac:dyDescent="0.25">
      <c r="A17" s="273">
        <v>12</v>
      </c>
      <c r="B17" s="273" t="s">
        <v>278</v>
      </c>
      <c r="C17" s="273"/>
      <c r="D17" s="275">
        <v>1500000</v>
      </c>
      <c r="E17" s="275">
        <f>'[1]POLY LIB. 2019'!C23</f>
        <v>1500000</v>
      </c>
      <c r="F17" s="275">
        <f t="shared" si="0"/>
        <v>0</v>
      </c>
      <c r="G17" s="275"/>
      <c r="H17" s="275">
        <v>1500000</v>
      </c>
      <c r="I17" s="275">
        <f>'[1]POLY LIB. 2019'!D23</f>
        <v>1500000</v>
      </c>
      <c r="J17" s="275">
        <f t="shared" si="1"/>
        <v>0</v>
      </c>
      <c r="K17" s="275"/>
      <c r="L17" s="275">
        <v>1500000</v>
      </c>
      <c r="M17" s="275">
        <f>'[1]POLY LIB. 2019'!E23</f>
        <v>1500000</v>
      </c>
      <c r="N17" s="275">
        <f t="shared" si="2"/>
        <v>0</v>
      </c>
      <c r="O17" s="275"/>
      <c r="P17" s="275">
        <v>1500000</v>
      </c>
      <c r="Q17" s="275">
        <f>'[1]POLY LIB. 2019'!F23</f>
        <v>1500000</v>
      </c>
      <c r="R17" s="275">
        <f t="shared" si="3"/>
        <v>0</v>
      </c>
      <c r="S17" s="275"/>
      <c r="T17" s="275">
        <v>2500000</v>
      </c>
      <c r="U17" s="275">
        <f>'[1]POLY LIB. 2019'!G23</f>
        <v>2500000</v>
      </c>
      <c r="V17" s="275">
        <f t="shared" si="4"/>
        <v>0</v>
      </c>
      <c r="W17" s="275"/>
      <c r="X17" s="275">
        <v>2000000</v>
      </c>
      <c r="Y17" s="324">
        <v>2000000</v>
      </c>
      <c r="Z17" s="275">
        <f t="shared" si="5"/>
        <v>0</v>
      </c>
      <c r="AA17" s="275"/>
      <c r="AB17" s="275">
        <v>2600000</v>
      </c>
      <c r="AC17" s="275">
        <f>'[1]POLY LIB. 2019'!I23</f>
        <v>2600000</v>
      </c>
      <c r="AD17" s="275">
        <f t="shared" si="6"/>
        <v>0</v>
      </c>
      <c r="AE17" s="275"/>
      <c r="AF17" s="275">
        <v>5000000</v>
      </c>
      <c r="AG17" s="275">
        <f>'[1]POLY LIB. 2019'!J23</f>
        <v>5000000</v>
      </c>
      <c r="AH17" s="275">
        <f t="shared" si="7"/>
        <v>0</v>
      </c>
      <c r="AI17" s="275"/>
      <c r="AJ17" s="275">
        <v>5000000</v>
      </c>
      <c r="AK17" s="275">
        <f>'[1]POLY LIB. 2019'!K23</f>
        <v>5000000</v>
      </c>
      <c r="AL17" s="275">
        <f t="shared" si="8"/>
        <v>0</v>
      </c>
      <c r="AM17" s="275"/>
      <c r="AN17" s="275">
        <v>10000000</v>
      </c>
      <c r="AO17" s="324">
        <f>'[1]POLY LIB. 2019'!L23</f>
        <v>10000000</v>
      </c>
      <c r="AP17" s="275">
        <f t="shared" si="9"/>
        <v>0</v>
      </c>
      <c r="AQ17" s="205"/>
      <c r="AR17" s="275">
        <v>10000000</v>
      </c>
      <c r="AS17" s="294">
        <f>'[1]POLY LIB. 2019'!M23</f>
        <v>10000000</v>
      </c>
      <c r="AT17" s="275">
        <f t="shared" si="10"/>
        <v>0</v>
      </c>
      <c r="AU17" s="205"/>
      <c r="AV17" s="275">
        <v>30000000</v>
      </c>
      <c r="AW17" s="275">
        <f>'[1]POLY LIB. 2019'!N23</f>
        <v>30000000</v>
      </c>
      <c r="AX17" s="275">
        <f t="shared" si="11"/>
        <v>0</v>
      </c>
      <c r="AY17" s="205"/>
      <c r="AZ17" s="275">
        <f>'[1]POLY commited funds to date'!P101</f>
        <v>50000000</v>
      </c>
      <c r="BA17" s="275">
        <f>'[1]POLY LIB. 2019'!O23</f>
        <v>50000000</v>
      </c>
      <c r="BB17" s="275">
        <f t="shared" si="12"/>
        <v>0</v>
      </c>
      <c r="BC17" s="205"/>
      <c r="BD17" s="275">
        <v>70000000</v>
      </c>
      <c r="BE17" s="275">
        <f>'[1]POLY LIB. 2019'!P23</f>
        <v>59500000</v>
      </c>
      <c r="BF17" s="275">
        <f t="shared" si="13"/>
        <v>10500000</v>
      </c>
      <c r="BG17" s="205"/>
      <c r="BH17" s="275">
        <v>40000000</v>
      </c>
      <c r="BI17" s="275">
        <f>'[1]POLY LIB. 2019'!Q23</f>
        <v>34000000</v>
      </c>
      <c r="BJ17" s="275">
        <f t="shared" si="14"/>
        <v>6000000</v>
      </c>
      <c r="BL17" s="275">
        <f>'[1]POLY commited funds to date'!S101</f>
        <v>30000000</v>
      </c>
      <c r="BM17" s="275">
        <f>'[1]POLY LIB. 2019'!R23</f>
        <v>0</v>
      </c>
      <c r="BN17" s="275">
        <f t="shared" si="15"/>
        <v>30000000</v>
      </c>
      <c r="BP17" s="275">
        <f>'[1]POLY commited funds to date'!T101</f>
        <v>25000000</v>
      </c>
      <c r="BQ17" s="275">
        <f>'[1]POLY LIB. 2019'!S23</f>
        <v>0</v>
      </c>
      <c r="BR17" s="275">
        <f t="shared" si="16"/>
        <v>25000000</v>
      </c>
      <c r="BT17" s="275">
        <f>'[1]POLY commited funds to date'!U101</f>
        <v>15000000</v>
      </c>
      <c r="BU17" s="275">
        <f>'[1]POLY LIB. 2019'!T23</f>
        <v>0</v>
      </c>
      <c r="BV17" s="275">
        <f t="shared" si="17"/>
        <v>15000000</v>
      </c>
      <c r="BX17" s="275">
        <f t="shared" si="18"/>
        <v>303100000</v>
      </c>
      <c r="BY17" s="275">
        <f t="shared" si="18"/>
        <v>216600000</v>
      </c>
      <c r="BZ17" s="275">
        <f t="shared" si="19"/>
        <v>86500000</v>
      </c>
      <c r="CB17" s="205"/>
      <c r="CC17" s="325"/>
      <c r="CD17" s="211"/>
      <c r="CE17" s="211"/>
      <c r="CF17" s="211"/>
      <c r="CG17" s="211"/>
      <c r="CH17" s="211"/>
      <c r="CI17" s="211"/>
      <c r="CJ17" s="211"/>
      <c r="CK17" s="211"/>
      <c r="CL17" s="211"/>
      <c r="CM17" s="211"/>
      <c r="CN17" s="211"/>
      <c r="CO17" s="211"/>
      <c r="CP17" s="211"/>
      <c r="CQ17" s="211"/>
      <c r="CR17" s="211"/>
      <c r="CS17" s="211"/>
      <c r="CT17" s="211"/>
      <c r="CU17" s="211"/>
      <c r="CV17" s="211"/>
      <c r="CW17" s="211"/>
      <c r="CX17" s="211"/>
      <c r="CY17" s="211"/>
      <c r="CZ17" s="211"/>
      <c r="DA17" s="211"/>
      <c r="DB17" s="211"/>
      <c r="DC17" s="211"/>
      <c r="DD17" s="211"/>
      <c r="DE17" s="211"/>
      <c r="DF17" s="211"/>
      <c r="DG17" s="211"/>
      <c r="DH17" s="211"/>
      <c r="DI17" s="211"/>
      <c r="DJ17" s="211"/>
      <c r="DK17" s="211"/>
      <c r="DL17" s="211"/>
      <c r="DM17" s="211"/>
      <c r="DN17" s="211"/>
      <c r="DO17" s="205"/>
      <c r="DP17" s="265"/>
      <c r="HA17" s="265"/>
      <c r="HB17" s="265"/>
      <c r="HC17" s="265"/>
      <c r="HD17" s="265"/>
      <c r="HE17" s="265"/>
      <c r="HF17" s="265"/>
    </row>
    <row r="18" spans="1:214" x14ac:dyDescent="0.25">
      <c r="A18" s="273">
        <v>13</v>
      </c>
      <c r="B18" s="273" t="s">
        <v>279</v>
      </c>
      <c r="C18" s="273"/>
      <c r="D18" s="275">
        <v>1500000</v>
      </c>
      <c r="E18" s="275">
        <f>'[1]POLY LIB. 2019'!C24</f>
        <v>1500000</v>
      </c>
      <c r="F18" s="275">
        <f t="shared" si="0"/>
        <v>0</v>
      </c>
      <c r="G18" s="275"/>
      <c r="H18" s="275">
        <v>1500000</v>
      </c>
      <c r="I18" s="275">
        <f>'[1]POLY LIB. 2019'!D24</f>
        <v>1500000</v>
      </c>
      <c r="J18" s="275">
        <f t="shared" si="1"/>
        <v>0</v>
      </c>
      <c r="K18" s="275"/>
      <c r="L18" s="275">
        <v>1500000</v>
      </c>
      <c r="M18" s="275">
        <f>'[1]POLY LIB. 2019'!E24</f>
        <v>1500000</v>
      </c>
      <c r="N18" s="275">
        <f t="shared" si="2"/>
        <v>0</v>
      </c>
      <c r="O18" s="275"/>
      <c r="P18" s="275">
        <v>1500000</v>
      </c>
      <c r="Q18" s="275">
        <f>'[1]POLY LIB. 2019'!F24</f>
        <v>1500000</v>
      </c>
      <c r="R18" s="275">
        <f t="shared" si="3"/>
        <v>0</v>
      </c>
      <c r="S18" s="275"/>
      <c r="T18" s="275">
        <v>2500000</v>
      </c>
      <c r="U18" s="275">
        <f>'[1]POLY LIB. 2019'!G24</f>
        <v>2500000</v>
      </c>
      <c r="V18" s="275">
        <f t="shared" si="4"/>
        <v>0</v>
      </c>
      <c r="W18" s="275"/>
      <c r="X18" s="275">
        <v>2000000</v>
      </c>
      <c r="Y18" s="324">
        <v>2000000</v>
      </c>
      <c r="Z18" s="275">
        <f t="shared" si="5"/>
        <v>0</v>
      </c>
      <c r="AA18" s="275"/>
      <c r="AB18" s="275">
        <v>2600000</v>
      </c>
      <c r="AC18" s="275">
        <f>'[1]POLY LIB. 2019'!I24</f>
        <v>2600000</v>
      </c>
      <c r="AD18" s="275">
        <f t="shared" si="6"/>
        <v>0</v>
      </c>
      <c r="AE18" s="275"/>
      <c r="AF18" s="275">
        <v>5000000</v>
      </c>
      <c r="AG18" s="275">
        <f>'[1]POLY LIB. 2019'!J24</f>
        <v>5000000</v>
      </c>
      <c r="AH18" s="275">
        <f t="shared" si="7"/>
        <v>0</v>
      </c>
      <c r="AI18" s="275"/>
      <c r="AJ18" s="275">
        <v>5000000</v>
      </c>
      <c r="AK18" s="275">
        <f>'[1]POLY LIB. 2019'!K24</f>
        <v>5000000</v>
      </c>
      <c r="AL18" s="275">
        <f t="shared" si="8"/>
        <v>0</v>
      </c>
      <c r="AM18" s="275"/>
      <c r="AN18" s="275">
        <v>10000000</v>
      </c>
      <c r="AO18" s="324">
        <f>'[1]POLY LIB. 2019'!L24</f>
        <v>10000000</v>
      </c>
      <c r="AP18" s="275">
        <f t="shared" si="9"/>
        <v>0</v>
      </c>
      <c r="AQ18" s="205"/>
      <c r="AR18" s="275">
        <v>10000000</v>
      </c>
      <c r="AS18" s="294">
        <f>'[1]POLY LIB. 2019'!M24</f>
        <v>10000000</v>
      </c>
      <c r="AT18" s="275">
        <f t="shared" si="10"/>
        <v>0</v>
      </c>
      <c r="AU18" s="205"/>
      <c r="AV18" s="275">
        <v>30000000</v>
      </c>
      <c r="AW18" s="275">
        <f>'[1]POLY LIB. 2019'!N24</f>
        <v>30000000</v>
      </c>
      <c r="AX18" s="275">
        <f t="shared" si="11"/>
        <v>0</v>
      </c>
      <c r="AY18" s="205"/>
      <c r="AZ18" s="275">
        <f>'[1]POLY commited funds to date'!P102</f>
        <v>50000000</v>
      </c>
      <c r="BA18" s="275">
        <f>'[1]POLY LIB. 2019'!O24</f>
        <v>36500000</v>
      </c>
      <c r="BB18" s="275">
        <f t="shared" si="12"/>
        <v>13500000</v>
      </c>
      <c r="BC18" s="205"/>
      <c r="BD18" s="275">
        <v>70000000</v>
      </c>
      <c r="BE18" s="275">
        <f>'[1]POLY LIB. 2019'!P24</f>
        <v>0</v>
      </c>
      <c r="BF18" s="275">
        <f t="shared" si="13"/>
        <v>70000000</v>
      </c>
      <c r="BG18" s="205"/>
      <c r="BH18" s="275">
        <v>40000000</v>
      </c>
      <c r="BI18" s="275">
        <f>'[1]POLY LIB. 2019'!Q24</f>
        <v>0</v>
      </c>
      <c r="BJ18" s="275">
        <f t="shared" si="14"/>
        <v>40000000</v>
      </c>
      <c r="BL18" s="275">
        <f>'[1]POLY commited funds to date'!S102</f>
        <v>30000000</v>
      </c>
      <c r="BM18" s="275">
        <f>'[1]POLY LIB. 2019'!R24</f>
        <v>0</v>
      </c>
      <c r="BN18" s="275">
        <f t="shared" si="15"/>
        <v>30000000</v>
      </c>
      <c r="BP18" s="275">
        <f>'[1]POLY commited funds to date'!T102</f>
        <v>25000000</v>
      </c>
      <c r="BQ18" s="275">
        <f>'[1]POLY LIB. 2019'!S24</f>
        <v>0</v>
      </c>
      <c r="BR18" s="275">
        <f t="shared" si="16"/>
        <v>25000000</v>
      </c>
      <c r="BT18" s="275">
        <f>'[1]POLY commited funds to date'!U102</f>
        <v>15000000</v>
      </c>
      <c r="BU18" s="275">
        <f>'[1]POLY LIB. 2019'!T24</f>
        <v>0</v>
      </c>
      <c r="BV18" s="275">
        <f t="shared" si="17"/>
        <v>15000000</v>
      </c>
      <c r="BX18" s="275">
        <f t="shared" si="18"/>
        <v>303100000</v>
      </c>
      <c r="BY18" s="275">
        <f t="shared" si="18"/>
        <v>109600000</v>
      </c>
      <c r="BZ18" s="275">
        <f t="shared" si="19"/>
        <v>193500000</v>
      </c>
      <c r="CB18" s="205"/>
      <c r="CC18" s="325"/>
      <c r="CD18" s="211"/>
      <c r="CE18" s="211"/>
      <c r="CF18" s="211"/>
      <c r="CG18" s="211"/>
      <c r="CH18" s="211"/>
      <c r="CI18" s="211"/>
      <c r="CJ18" s="211"/>
      <c r="CK18" s="211"/>
      <c r="CL18" s="211"/>
      <c r="CM18" s="211"/>
      <c r="CN18" s="211"/>
      <c r="CO18" s="211"/>
      <c r="CP18" s="211"/>
      <c r="CQ18" s="211"/>
      <c r="CR18" s="211"/>
      <c r="CS18" s="211"/>
      <c r="CT18" s="211"/>
      <c r="CU18" s="211"/>
      <c r="CV18" s="211"/>
      <c r="CW18" s="211"/>
      <c r="CX18" s="211"/>
      <c r="CY18" s="211"/>
      <c r="CZ18" s="211"/>
      <c r="DA18" s="211"/>
      <c r="DB18" s="211"/>
      <c r="DC18" s="211"/>
      <c r="DD18" s="211"/>
      <c r="DE18" s="211"/>
      <c r="DF18" s="211"/>
      <c r="DG18" s="211"/>
      <c r="DH18" s="211"/>
      <c r="DI18" s="211"/>
      <c r="DJ18" s="211"/>
      <c r="DK18" s="211"/>
      <c r="DL18" s="211"/>
      <c r="DM18" s="211"/>
      <c r="DN18" s="211"/>
      <c r="DO18" s="205"/>
      <c r="DP18" s="265"/>
      <c r="HA18" s="248"/>
      <c r="HB18" s="248"/>
      <c r="HC18" s="248"/>
      <c r="HD18" s="248"/>
      <c r="HE18" s="248"/>
      <c r="HF18" s="248"/>
    </row>
    <row r="19" spans="1:214" x14ac:dyDescent="0.25">
      <c r="A19" s="273">
        <v>14</v>
      </c>
      <c r="B19" s="273" t="s">
        <v>280</v>
      </c>
      <c r="C19" s="273"/>
      <c r="D19" s="275">
        <v>1500000</v>
      </c>
      <c r="E19" s="275">
        <f>'[1]POLY LIB. 2019'!C25</f>
        <v>1500000</v>
      </c>
      <c r="F19" s="275">
        <f t="shared" si="0"/>
        <v>0</v>
      </c>
      <c r="G19" s="275"/>
      <c r="H19" s="275">
        <v>1500000</v>
      </c>
      <c r="I19" s="275">
        <f>'[1]POLY LIB. 2019'!D25</f>
        <v>1500000</v>
      </c>
      <c r="J19" s="275">
        <f t="shared" si="1"/>
        <v>0</v>
      </c>
      <c r="K19" s="275"/>
      <c r="L19" s="275">
        <v>1275000</v>
      </c>
      <c r="M19" s="275">
        <f>'[1]POLY LIB. 2019'!E25</f>
        <v>1275000</v>
      </c>
      <c r="N19" s="275">
        <f t="shared" si="2"/>
        <v>0</v>
      </c>
      <c r="O19" s="275"/>
      <c r="P19" s="275">
        <v>1500000</v>
      </c>
      <c r="Q19" s="275">
        <f>'[1]POLY LIB. 2019'!F25</f>
        <v>1500000</v>
      </c>
      <c r="R19" s="275">
        <f t="shared" si="3"/>
        <v>0</v>
      </c>
      <c r="S19" s="275"/>
      <c r="T19" s="275">
        <v>2500000</v>
      </c>
      <c r="U19" s="275">
        <f>'[1]POLY LIB. 2019'!G25</f>
        <v>2500000</v>
      </c>
      <c r="V19" s="275">
        <f t="shared" si="4"/>
        <v>0</v>
      </c>
      <c r="W19" s="275"/>
      <c r="X19" s="275">
        <v>2000000</v>
      </c>
      <c r="Y19" s="324">
        <v>2000000</v>
      </c>
      <c r="Z19" s="275">
        <f t="shared" si="5"/>
        <v>0</v>
      </c>
      <c r="AA19" s="275"/>
      <c r="AB19" s="275">
        <v>2600000</v>
      </c>
      <c r="AC19" s="275">
        <f>'[1]POLY LIB. 2019'!I25</f>
        <v>2600000</v>
      </c>
      <c r="AD19" s="275">
        <f t="shared" si="6"/>
        <v>0</v>
      </c>
      <c r="AE19" s="275"/>
      <c r="AF19" s="275">
        <v>5000000</v>
      </c>
      <c r="AG19" s="275">
        <f>'[1]POLY LIB. 2019'!J25</f>
        <v>5000000</v>
      </c>
      <c r="AH19" s="275">
        <f t="shared" si="7"/>
        <v>0</v>
      </c>
      <c r="AI19" s="275"/>
      <c r="AJ19" s="275">
        <v>5000000</v>
      </c>
      <c r="AK19" s="275">
        <f>'[1]POLY LIB. 2019'!K25</f>
        <v>5000000</v>
      </c>
      <c r="AL19" s="275">
        <f t="shared" si="8"/>
        <v>0</v>
      </c>
      <c r="AM19" s="275"/>
      <c r="AN19" s="275">
        <v>10000000</v>
      </c>
      <c r="AO19" s="324">
        <f>'[1]POLY LIB. 2019'!L25</f>
        <v>10000000</v>
      </c>
      <c r="AP19" s="275">
        <f t="shared" si="9"/>
        <v>0</v>
      </c>
      <c r="AQ19" s="205"/>
      <c r="AR19" s="275">
        <v>10000000</v>
      </c>
      <c r="AS19" s="294">
        <f>'[1]POLY LIB. 2019'!M25</f>
        <v>10000000</v>
      </c>
      <c r="AT19" s="275">
        <f t="shared" si="10"/>
        <v>0</v>
      </c>
      <c r="AU19" s="205"/>
      <c r="AV19" s="275">
        <v>30000000</v>
      </c>
      <c r="AW19" s="275">
        <f>'[1]POLY LIB. 2019'!N25</f>
        <v>30000000</v>
      </c>
      <c r="AX19" s="275">
        <f t="shared" si="11"/>
        <v>0</v>
      </c>
      <c r="AY19" s="205"/>
      <c r="AZ19" s="275">
        <f>'[1]POLY commited funds to date'!P103</f>
        <v>50000000</v>
      </c>
      <c r="BA19" s="275">
        <f>'[1]POLY LIB. 2019'!O25</f>
        <v>47500000</v>
      </c>
      <c r="BB19" s="275">
        <f t="shared" si="12"/>
        <v>2500000</v>
      </c>
      <c r="BC19" s="205"/>
      <c r="BD19" s="275">
        <v>70000000</v>
      </c>
      <c r="BE19" s="275">
        <f>'[1]POLY LIB. 2019'!P25</f>
        <v>59500000</v>
      </c>
      <c r="BF19" s="275">
        <f t="shared" si="13"/>
        <v>10500000</v>
      </c>
      <c r="BG19" s="205"/>
      <c r="BH19" s="275">
        <v>40000000</v>
      </c>
      <c r="BI19" s="275">
        <f>'[1]POLY LIB. 2019'!Q25</f>
        <v>34000000</v>
      </c>
      <c r="BJ19" s="275">
        <f t="shared" si="14"/>
        <v>6000000</v>
      </c>
      <c r="BL19" s="275">
        <f>'[1]POLY commited funds to date'!S103</f>
        <v>30000000</v>
      </c>
      <c r="BM19" s="275">
        <f>'[1]POLY LIB. 2019'!R25</f>
        <v>0</v>
      </c>
      <c r="BN19" s="275">
        <f t="shared" si="15"/>
        <v>30000000</v>
      </c>
      <c r="BP19" s="275">
        <f>'[1]POLY commited funds to date'!T103</f>
        <v>25000000</v>
      </c>
      <c r="BQ19" s="275">
        <f>'[1]POLY LIB. 2019'!S25</f>
        <v>0</v>
      </c>
      <c r="BR19" s="275">
        <f t="shared" si="16"/>
        <v>25000000</v>
      </c>
      <c r="BT19" s="275">
        <f>'[1]POLY commited funds to date'!U103</f>
        <v>15000000</v>
      </c>
      <c r="BU19" s="275">
        <f>'[1]POLY LIB. 2019'!T25</f>
        <v>0</v>
      </c>
      <c r="BV19" s="275">
        <f t="shared" si="17"/>
        <v>15000000</v>
      </c>
      <c r="BX19" s="275">
        <f t="shared" si="18"/>
        <v>302875000</v>
      </c>
      <c r="BY19" s="275">
        <f t="shared" si="18"/>
        <v>213875000</v>
      </c>
      <c r="BZ19" s="275">
        <f t="shared" si="19"/>
        <v>89000000</v>
      </c>
      <c r="CB19" s="205"/>
      <c r="CC19" s="325"/>
      <c r="CD19" s="211"/>
      <c r="CE19" s="211"/>
      <c r="CF19" s="211"/>
      <c r="CG19" s="211"/>
      <c r="CH19" s="211"/>
      <c r="CI19" s="211"/>
      <c r="CJ19" s="211"/>
      <c r="CK19" s="211"/>
      <c r="CL19" s="211"/>
      <c r="CM19" s="211"/>
      <c r="CN19" s="211"/>
      <c r="CO19" s="211"/>
      <c r="CP19" s="211"/>
      <c r="CQ19" s="211"/>
      <c r="CR19" s="211"/>
      <c r="CS19" s="211"/>
      <c r="CT19" s="211"/>
      <c r="CU19" s="211"/>
      <c r="CV19" s="211"/>
      <c r="CW19" s="211"/>
      <c r="CX19" s="211"/>
      <c r="CY19" s="211"/>
      <c r="CZ19" s="211"/>
      <c r="DA19" s="211"/>
      <c r="DB19" s="211"/>
      <c r="DC19" s="211"/>
      <c r="DD19" s="211"/>
      <c r="DE19" s="211"/>
      <c r="DF19" s="211"/>
      <c r="DG19" s="211"/>
      <c r="DH19" s="211"/>
      <c r="DI19" s="211"/>
      <c r="DJ19" s="211"/>
      <c r="DK19" s="211"/>
      <c r="DL19" s="211"/>
      <c r="DM19" s="211"/>
      <c r="DN19" s="211"/>
      <c r="DO19" s="205"/>
      <c r="DP19" s="265"/>
      <c r="HA19" s="265"/>
      <c r="HB19" s="265"/>
      <c r="HC19" s="265"/>
      <c r="HD19" s="265"/>
      <c r="HE19" s="265"/>
      <c r="HF19" s="265"/>
    </row>
    <row r="20" spans="1:214" x14ac:dyDescent="0.25">
      <c r="A20" s="273">
        <v>15</v>
      </c>
      <c r="B20" s="273" t="s">
        <v>281</v>
      </c>
      <c r="C20" s="273"/>
      <c r="D20" s="275">
        <v>1500000</v>
      </c>
      <c r="E20" s="275">
        <f>'[1]POLY LIB. 2019'!C26</f>
        <v>1500000</v>
      </c>
      <c r="F20" s="275">
        <f t="shared" si="0"/>
        <v>0</v>
      </c>
      <c r="G20" s="275"/>
      <c r="H20" s="275">
        <v>1500000</v>
      </c>
      <c r="I20" s="275">
        <f>'[1]POLY LIB. 2019'!D26</f>
        <v>1500000</v>
      </c>
      <c r="J20" s="275">
        <f t="shared" si="1"/>
        <v>0</v>
      </c>
      <c r="K20" s="275"/>
      <c r="L20" s="275">
        <v>1500000</v>
      </c>
      <c r="M20" s="275">
        <f>'[1]POLY LIB. 2019'!E26</f>
        <v>1500000</v>
      </c>
      <c r="N20" s="275">
        <f t="shared" si="2"/>
        <v>0</v>
      </c>
      <c r="O20" s="275"/>
      <c r="P20" s="275">
        <v>1500000</v>
      </c>
      <c r="Q20" s="275">
        <f>'[1]POLY LIB. 2019'!F26</f>
        <v>1500000</v>
      </c>
      <c r="R20" s="275">
        <f t="shared" si="3"/>
        <v>0</v>
      </c>
      <c r="S20" s="275"/>
      <c r="T20" s="275">
        <v>2500000</v>
      </c>
      <c r="U20" s="275">
        <f>'[1]POLY LIB. 2019'!G26</f>
        <v>2500000</v>
      </c>
      <c r="V20" s="275">
        <f t="shared" si="4"/>
        <v>0</v>
      </c>
      <c r="W20" s="275"/>
      <c r="X20" s="275">
        <v>2000000</v>
      </c>
      <c r="Y20" s="324">
        <v>2000000</v>
      </c>
      <c r="Z20" s="275">
        <f t="shared" si="5"/>
        <v>0</v>
      </c>
      <c r="AA20" s="275"/>
      <c r="AB20" s="275">
        <v>2600000</v>
      </c>
      <c r="AC20" s="275">
        <f>'[1]POLY LIB. 2019'!I26</f>
        <v>2600000</v>
      </c>
      <c r="AD20" s="275">
        <f t="shared" si="6"/>
        <v>0</v>
      </c>
      <c r="AE20" s="275"/>
      <c r="AF20" s="275">
        <v>5000000</v>
      </c>
      <c r="AG20" s="275">
        <f>'[1]POLY LIB. 2019'!J26</f>
        <v>5000000</v>
      </c>
      <c r="AH20" s="275">
        <f t="shared" si="7"/>
        <v>0</v>
      </c>
      <c r="AI20" s="275"/>
      <c r="AJ20" s="275">
        <v>5000000</v>
      </c>
      <c r="AK20" s="275">
        <f>'[1]POLY LIB. 2019'!K26</f>
        <v>5000000</v>
      </c>
      <c r="AL20" s="275">
        <f t="shared" si="8"/>
        <v>0</v>
      </c>
      <c r="AM20" s="275"/>
      <c r="AN20" s="275">
        <v>10000000</v>
      </c>
      <c r="AO20" s="324">
        <f>'[1]POLY LIB. 2019'!L26</f>
        <v>10000000</v>
      </c>
      <c r="AP20" s="275">
        <f t="shared" si="9"/>
        <v>0</v>
      </c>
      <c r="AQ20" s="205"/>
      <c r="AR20" s="275">
        <v>10000000</v>
      </c>
      <c r="AS20" s="294">
        <f>'[1]POLY LIB. 2019'!M26</f>
        <v>10000000</v>
      </c>
      <c r="AT20" s="275">
        <f t="shared" si="10"/>
        <v>0</v>
      </c>
      <c r="AU20" s="205"/>
      <c r="AV20" s="275">
        <v>30000000</v>
      </c>
      <c r="AW20" s="275">
        <f>'[1]POLY LIB. 2019'!N26</f>
        <v>30000000</v>
      </c>
      <c r="AX20" s="275">
        <f t="shared" si="11"/>
        <v>0</v>
      </c>
      <c r="AY20" s="205"/>
      <c r="AZ20" s="275">
        <f>'[1]POLY commited funds to date'!P104</f>
        <v>50000000</v>
      </c>
      <c r="BA20" s="275">
        <f>'[1]POLY LIB. 2019'!O26</f>
        <v>0</v>
      </c>
      <c r="BB20" s="275">
        <f t="shared" si="12"/>
        <v>50000000</v>
      </c>
      <c r="BC20" s="205"/>
      <c r="BD20" s="275">
        <v>70000000</v>
      </c>
      <c r="BE20" s="275">
        <f>'[1]POLY LIB. 2019'!P26</f>
        <v>0</v>
      </c>
      <c r="BF20" s="275">
        <f t="shared" si="13"/>
        <v>70000000</v>
      </c>
      <c r="BG20" s="205"/>
      <c r="BH20" s="275">
        <v>40000000</v>
      </c>
      <c r="BI20" s="275">
        <f>'[1]POLY LIB. 2019'!Q26</f>
        <v>0</v>
      </c>
      <c r="BJ20" s="275">
        <f t="shared" si="14"/>
        <v>40000000</v>
      </c>
      <c r="BL20" s="275">
        <f>'[1]POLY commited funds to date'!S104</f>
        <v>30000000</v>
      </c>
      <c r="BM20" s="275">
        <f>'[1]POLY LIB. 2019'!R26</f>
        <v>0</v>
      </c>
      <c r="BN20" s="275">
        <f t="shared" si="15"/>
        <v>30000000</v>
      </c>
      <c r="BP20" s="275">
        <f>'[1]POLY commited funds to date'!T104</f>
        <v>25000000</v>
      </c>
      <c r="BQ20" s="275">
        <f>'[1]POLY LIB. 2019'!S26</f>
        <v>0</v>
      </c>
      <c r="BR20" s="275">
        <f t="shared" si="16"/>
        <v>25000000</v>
      </c>
      <c r="BT20" s="275">
        <f>'[1]POLY commited funds to date'!U104</f>
        <v>15000000</v>
      </c>
      <c r="BU20" s="275">
        <f>'[1]POLY LIB. 2019'!T26</f>
        <v>0</v>
      </c>
      <c r="BV20" s="275">
        <f t="shared" si="17"/>
        <v>15000000</v>
      </c>
      <c r="BX20" s="275">
        <f t="shared" si="18"/>
        <v>303100000</v>
      </c>
      <c r="BY20" s="275">
        <f t="shared" si="18"/>
        <v>73100000</v>
      </c>
      <c r="BZ20" s="275">
        <f t="shared" si="19"/>
        <v>230000000</v>
      </c>
      <c r="CB20" s="205"/>
      <c r="CC20" s="325"/>
      <c r="CD20" s="211"/>
      <c r="CE20" s="211"/>
      <c r="CF20" s="211"/>
      <c r="CG20" s="211"/>
      <c r="CH20" s="211"/>
      <c r="CI20" s="211"/>
      <c r="CJ20" s="211"/>
      <c r="CK20" s="211"/>
      <c r="CL20" s="211"/>
      <c r="CM20" s="211"/>
      <c r="CN20" s="211"/>
      <c r="CO20" s="211"/>
      <c r="CP20" s="211"/>
      <c r="CQ20" s="211"/>
      <c r="CR20" s="211"/>
      <c r="CS20" s="211"/>
      <c r="CT20" s="211"/>
      <c r="CU20" s="211"/>
      <c r="CV20" s="211"/>
      <c r="CW20" s="211"/>
      <c r="CX20" s="211"/>
      <c r="CY20" s="211"/>
      <c r="CZ20" s="211"/>
      <c r="DA20" s="211"/>
      <c r="DB20" s="211"/>
      <c r="DC20" s="211"/>
      <c r="DD20" s="211"/>
      <c r="DE20" s="211"/>
      <c r="DF20" s="211"/>
      <c r="DG20" s="211"/>
      <c r="DH20" s="211"/>
      <c r="DI20" s="211"/>
      <c r="DJ20" s="211"/>
      <c r="DK20" s="211"/>
      <c r="DL20" s="211"/>
      <c r="DM20" s="211"/>
      <c r="DN20" s="211"/>
      <c r="DO20" s="205"/>
      <c r="DP20" s="265"/>
      <c r="HA20" s="248"/>
      <c r="HB20" s="248"/>
      <c r="HC20" s="248"/>
      <c r="HD20" s="248"/>
      <c r="HE20" s="248"/>
      <c r="HF20" s="248"/>
    </row>
    <row r="21" spans="1:214" x14ac:dyDescent="0.25">
      <c r="A21" s="273">
        <v>16</v>
      </c>
      <c r="B21" s="273" t="s">
        <v>215</v>
      </c>
      <c r="C21" s="273"/>
      <c r="D21" s="275">
        <v>1500000</v>
      </c>
      <c r="E21" s="275">
        <f>'[1]POLY LIB. 2019'!C27</f>
        <v>1500000</v>
      </c>
      <c r="F21" s="275">
        <f t="shared" si="0"/>
        <v>0</v>
      </c>
      <c r="G21" s="275"/>
      <c r="H21" s="275">
        <v>1500000</v>
      </c>
      <c r="I21" s="275">
        <f>'[1]POLY LIB. 2019'!D27</f>
        <v>1500000</v>
      </c>
      <c r="J21" s="275">
        <f t="shared" si="1"/>
        <v>0</v>
      </c>
      <c r="K21" s="275"/>
      <c r="L21" s="275">
        <v>1500000</v>
      </c>
      <c r="M21" s="275">
        <f>'[1]POLY LIB. 2019'!E27</f>
        <v>1500000</v>
      </c>
      <c r="N21" s="275">
        <f t="shared" si="2"/>
        <v>0</v>
      </c>
      <c r="O21" s="275"/>
      <c r="P21" s="275">
        <v>1500000</v>
      </c>
      <c r="Q21" s="275">
        <f>'[1]POLY LIB. 2019'!F27</f>
        <v>1500000</v>
      </c>
      <c r="R21" s="275">
        <f t="shared" si="3"/>
        <v>0</v>
      </c>
      <c r="S21" s="275"/>
      <c r="T21" s="275">
        <v>2500000</v>
      </c>
      <c r="U21" s="275">
        <f>'[1]POLY LIB. 2019'!G27</f>
        <v>2500000</v>
      </c>
      <c r="V21" s="275">
        <f t="shared" si="4"/>
        <v>0</v>
      </c>
      <c r="W21" s="275"/>
      <c r="X21" s="275">
        <v>2000000</v>
      </c>
      <c r="Y21" s="324">
        <v>2000000</v>
      </c>
      <c r="Z21" s="275">
        <f t="shared" si="5"/>
        <v>0</v>
      </c>
      <c r="AA21" s="275"/>
      <c r="AB21" s="275">
        <v>2600000</v>
      </c>
      <c r="AC21" s="275">
        <f>'[1]POLY LIB. 2019'!I27</f>
        <v>2600000</v>
      </c>
      <c r="AD21" s="275">
        <f t="shared" si="6"/>
        <v>0</v>
      </c>
      <c r="AE21" s="275"/>
      <c r="AF21" s="275">
        <v>5000000</v>
      </c>
      <c r="AG21" s="275">
        <f>'[1]POLY LIB. 2019'!J27</f>
        <v>5000000</v>
      </c>
      <c r="AH21" s="275">
        <f t="shared" si="7"/>
        <v>0</v>
      </c>
      <c r="AI21" s="275"/>
      <c r="AJ21" s="275">
        <v>5000000</v>
      </c>
      <c r="AK21" s="275">
        <f>'[1]POLY LIB. 2019'!K27</f>
        <v>5000000</v>
      </c>
      <c r="AL21" s="275">
        <f t="shared" si="8"/>
        <v>0</v>
      </c>
      <c r="AM21" s="275"/>
      <c r="AN21" s="275">
        <v>10000000</v>
      </c>
      <c r="AO21" s="324">
        <f>'[1]POLY LIB. 2019'!L27</f>
        <v>10000000</v>
      </c>
      <c r="AP21" s="275">
        <f t="shared" si="9"/>
        <v>0</v>
      </c>
      <c r="AQ21" s="205"/>
      <c r="AR21" s="275">
        <v>10000000</v>
      </c>
      <c r="AS21" s="294">
        <f>'[1]POLY LIB. 2019'!M27</f>
        <v>10000000</v>
      </c>
      <c r="AT21" s="275">
        <f t="shared" si="10"/>
        <v>0</v>
      </c>
      <c r="AU21" s="205"/>
      <c r="AV21" s="275">
        <v>30000000</v>
      </c>
      <c r="AW21" s="275">
        <f>'[1]POLY LIB. 2019'!N27</f>
        <v>30000000</v>
      </c>
      <c r="AX21" s="275">
        <f t="shared" si="11"/>
        <v>0</v>
      </c>
      <c r="AY21" s="205"/>
      <c r="AZ21" s="275">
        <f>'[1]POLY commited funds to date'!P105</f>
        <v>50000000</v>
      </c>
      <c r="BA21" s="275">
        <f>'[1]POLY LIB. 2019'!O27</f>
        <v>50000000</v>
      </c>
      <c r="BB21" s="275">
        <f t="shared" si="12"/>
        <v>0</v>
      </c>
      <c r="BC21" s="205"/>
      <c r="BD21" s="275">
        <v>70000000</v>
      </c>
      <c r="BE21" s="275">
        <f>'[1]POLY LIB. 2019'!P27</f>
        <v>59500000</v>
      </c>
      <c r="BF21" s="275">
        <f t="shared" si="13"/>
        <v>10500000</v>
      </c>
      <c r="BG21" s="205"/>
      <c r="BH21" s="275">
        <v>40000000</v>
      </c>
      <c r="BI21" s="275">
        <f>'[1]POLY LIB. 2019'!Q27</f>
        <v>34000000</v>
      </c>
      <c r="BJ21" s="275">
        <f t="shared" si="14"/>
        <v>6000000</v>
      </c>
      <c r="BL21" s="275">
        <f>'[1]POLY commited funds to date'!S105</f>
        <v>30000000</v>
      </c>
      <c r="BM21" s="275">
        <f>'[1]POLY LIB. 2019'!R27</f>
        <v>25500000</v>
      </c>
      <c r="BN21" s="275">
        <f t="shared" si="15"/>
        <v>4500000</v>
      </c>
      <c r="BP21" s="275">
        <f>'[1]POLY commited funds to date'!T105</f>
        <v>25000000</v>
      </c>
      <c r="BQ21" s="275">
        <f>'[1]POLY LIB. 2019'!S27</f>
        <v>0</v>
      </c>
      <c r="BR21" s="275">
        <f t="shared" si="16"/>
        <v>25000000</v>
      </c>
      <c r="BT21" s="275">
        <f>'[1]POLY commited funds to date'!U105</f>
        <v>15000000</v>
      </c>
      <c r="BU21" s="275">
        <f>'[1]POLY LIB. 2019'!T27</f>
        <v>0</v>
      </c>
      <c r="BV21" s="275">
        <f t="shared" si="17"/>
        <v>15000000</v>
      </c>
      <c r="BX21" s="275">
        <f t="shared" si="18"/>
        <v>303100000</v>
      </c>
      <c r="BY21" s="275">
        <f t="shared" si="18"/>
        <v>242100000</v>
      </c>
      <c r="BZ21" s="275">
        <f t="shared" si="19"/>
        <v>61000000</v>
      </c>
      <c r="CB21" s="205"/>
      <c r="CC21" s="325"/>
      <c r="CD21" s="211"/>
      <c r="CE21" s="211"/>
      <c r="CF21" s="211"/>
      <c r="CG21" s="211"/>
      <c r="CH21" s="211"/>
      <c r="CI21" s="211"/>
      <c r="CJ21" s="211"/>
      <c r="CK21" s="211"/>
      <c r="CL21" s="211"/>
      <c r="CM21" s="211"/>
      <c r="CN21" s="211"/>
      <c r="CO21" s="211"/>
      <c r="CP21" s="211"/>
      <c r="CQ21" s="211"/>
      <c r="CR21" s="211"/>
      <c r="CS21" s="211"/>
      <c r="CT21" s="211"/>
      <c r="CU21" s="211"/>
      <c r="CV21" s="211"/>
      <c r="CW21" s="211"/>
      <c r="CX21" s="211"/>
      <c r="CY21" s="211"/>
      <c r="CZ21" s="211"/>
      <c r="DA21" s="211"/>
      <c r="DB21" s="211"/>
      <c r="DC21" s="211"/>
      <c r="DD21" s="211"/>
      <c r="DE21" s="211"/>
      <c r="DF21" s="211"/>
      <c r="DG21" s="211"/>
      <c r="DH21" s="211"/>
      <c r="DI21" s="211"/>
      <c r="DJ21" s="211"/>
      <c r="DK21" s="211"/>
      <c r="DL21" s="211"/>
      <c r="DM21" s="211"/>
      <c r="DN21" s="211"/>
      <c r="DO21" s="205"/>
      <c r="DP21" s="265"/>
      <c r="HA21" s="265"/>
      <c r="HB21" s="265"/>
      <c r="HC21" s="265"/>
      <c r="HD21" s="265"/>
      <c r="HE21" s="265"/>
      <c r="HF21" s="265"/>
    </row>
    <row r="22" spans="1:214" x14ac:dyDescent="0.25">
      <c r="A22" s="273">
        <v>17</v>
      </c>
      <c r="B22" s="273" t="s">
        <v>216</v>
      </c>
      <c r="C22" s="273"/>
      <c r="D22" s="275">
        <v>1500000</v>
      </c>
      <c r="E22" s="275">
        <f>'[1]POLY LIB. 2019'!C28</f>
        <v>1500000</v>
      </c>
      <c r="F22" s="275">
        <f t="shared" si="0"/>
        <v>0</v>
      </c>
      <c r="G22" s="275"/>
      <c r="H22" s="275">
        <v>1500000</v>
      </c>
      <c r="I22" s="275">
        <f>'[1]POLY LIB. 2019'!D28</f>
        <v>1500000</v>
      </c>
      <c r="J22" s="275">
        <f t="shared" si="1"/>
        <v>0</v>
      </c>
      <c r="K22" s="275"/>
      <c r="L22" s="275">
        <v>1500000</v>
      </c>
      <c r="M22" s="275">
        <f>'[1]POLY LIB. 2019'!E28</f>
        <v>1500000</v>
      </c>
      <c r="N22" s="275">
        <f t="shared" si="2"/>
        <v>0</v>
      </c>
      <c r="O22" s="275"/>
      <c r="P22" s="275">
        <v>1500000</v>
      </c>
      <c r="Q22" s="275">
        <f>'[1]POLY LIB. 2019'!F28</f>
        <v>1500000</v>
      </c>
      <c r="R22" s="275">
        <f t="shared" si="3"/>
        <v>0</v>
      </c>
      <c r="S22" s="275"/>
      <c r="T22" s="275">
        <v>2500000</v>
      </c>
      <c r="U22" s="275">
        <f>'[1]POLY LIB. 2019'!G28</f>
        <v>2500000</v>
      </c>
      <c r="V22" s="275">
        <f t="shared" si="4"/>
        <v>0</v>
      </c>
      <c r="W22" s="275"/>
      <c r="X22" s="275">
        <v>2000000</v>
      </c>
      <c r="Y22" s="324">
        <v>2000000</v>
      </c>
      <c r="Z22" s="275">
        <f t="shared" si="5"/>
        <v>0</v>
      </c>
      <c r="AA22" s="275"/>
      <c r="AB22" s="275">
        <v>2600000</v>
      </c>
      <c r="AC22" s="275">
        <f>'[1]POLY LIB. 2019'!I28</f>
        <v>2600000</v>
      </c>
      <c r="AD22" s="275">
        <f t="shared" si="6"/>
        <v>0</v>
      </c>
      <c r="AE22" s="275"/>
      <c r="AF22" s="275">
        <v>5000000</v>
      </c>
      <c r="AG22" s="275">
        <f>'[1]POLY LIB. 2019'!J28</f>
        <v>5000000</v>
      </c>
      <c r="AH22" s="275">
        <f t="shared" si="7"/>
        <v>0</v>
      </c>
      <c r="AI22" s="275"/>
      <c r="AJ22" s="275">
        <v>5000000</v>
      </c>
      <c r="AK22" s="275">
        <f>'[1]POLY LIB. 2019'!K28</f>
        <v>5000000</v>
      </c>
      <c r="AL22" s="275">
        <f t="shared" si="8"/>
        <v>0</v>
      </c>
      <c r="AM22" s="275"/>
      <c r="AN22" s="275">
        <v>10000000</v>
      </c>
      <c r="AO22" s="324">
        <f>'[1]POLY LIB. 2019'!L28</f>
        <v>10000000</v>
      </c>
      <c r="AP22" s="275">
        <f t="shared" si="9"/>
        <v>0</v>
      </c>
      <c r="AQ22" s="205"/>
      <c r="AR22" s="275">
        <v>10000000</v>
      </c>
      <c r="AS22" s="294">
        <f>'[1]POLY LIB. 2019'!M28</f>
        <v>10000000</v>
      </c>
      <c r="AT22" s="275">
        <f t="shared" si="10"/>
        <v>0</v>
      </c>
      <c r="AU22" s="205"/>
      <c r="AV22" s="275">
        <v>30000000</v>
      </c>
      <c r="AW22" s="275">
        <f>'[1]POLY LIB. 2019'!N28</f>
        <v>30000000</v>
      </c>
      <c r="AX22" s="275">
        <f t="shared" si="11"/>
        <v>0</v>
      </c>
      <c r="AY22" s="205"/>
      <c r="AZ22" s="275">
        <f>'[1]POLY commited funds to date'!P106</f>
        <v>50000000</v>
      </c>
      <c r="BA22" s="275">
        <f>'[1]POLY LIB. 2019'!O28</f>
        <v>50000000</v>
      </c>
      <c r="BB22" s="275">
        <f t="shared" si="12"/>
        <v>0</v>
      </c>
      <c r="BC22" s="205"/>
      <c r="BD22" s="275">
        <v>70000000</v>
      </c>
      <c r="BE22" s="275">
        <f>'[1]POLY LIB. 2019'!P28</f>
        <v>70000000</v>
      </c>
      <c r="BF22" s="275">
        <f t="shared" si="13"/>
        <v>0</v>
      </c>
      <c r="BG22" s="205"/>
      <c r="BH22" s="275">
        <v>40000000</v>
      </c>
      <c r="BI22" s="275">
        <f>'[1]POLY LIB. 2019'!Q28</f>
        <v>40000000</v>
      </c>
      <c r="BJ22" s="275">
        <f t="shared" si="14"/>
        <v>0</v>
      </c>
      <c r="BL22" s="275">
        <f>'[1]POLY commited funds to date'!S106</f>
        <v>30000000</v>
      </c>
      <c r="BM22" s="275">
        <f>'[1]POLY LIB. 2019'!R28</f>
        <v>0</v>
      </c>
      <c r="BN22" s="275">
        <f t="shared" si="15"/>
        <v>30000000</v>
      </c>
      <c r="BP22" s="275">
        <f>'[1]POLY commited funds to date'!T106</f>
        <v>25000000</v>
      </c>
      <c r="BQ22" s="275">
        <f>'[1]POLY LIB. 2019'!S28</f>
        <v>0</v>
      </c>
      <c r="BR22" s="275">
        <f t="shared" si="16"/>
        <v>25000000</v>
      </c>
      <c r="BT22" s="275">
        <f>'[1]POLY commited funds to date'!U106</f>
        <v>15000000</v>
      </c>
      <c r="BU22" s="275">
        <f>'[1]POLY LIB. 2019'!T28</f>
        <v>0</v>
      </c>
      <c r="BV22" s="275">
        <f t="shared" si="17"/>
        <v>15000000</v>
      </c>
      <c r="BX22" s="275">
        <f t="shared" si="18"/>
        <v>303100000</v>
      </c>
      <c r="BY22" s="275">
        <f t="shared" si="18"/>
        <v>233100000</v>
      </c>
      <c r="BZ22" s="275">
        <f t="shared" si="19"/>
        <v>70000000</v>
      </c>
      <c r="CB22" s="205"/>
      <c r="CC22" s="325"/>
      <c r="CD22" s="211"/>
      <c r="CE22" s="211"/>
      <c r="CF22" s="211"/>
      <c r="CG22" s="211"/>
      <c r="CH22" s="211"/>
      <c r="CI22" s="211"/>
      <c r="CJ22" s="211"/>
      <c r="CK22" s="211"/>
      <c r="CL22" s="211"/>
      <c r="CM22" s="211"/>
      <c r="CN22" s="211"/>
      <c r="CO22" s="211"/>
      <c r="CP22" s="211"/>
      <c r="CQ22" s="211"/>
      <c r="CR22" s="211"/>
      <c r="CS22" s="211"/>
      <c r="CT22" s="211"/>
      <c r="CU22" s="211"/>
      <c r="CV22" s="211"/>
      <c r="CW22" s="211"/>
      <c r="CX22" s="211"/>
      <c r="CY22" s="211"/>
      <c r="CZ22" s="211"/>
      <c r="DA22" s="211"/>
      <c r="DB22" s="211"/>
      <c r="DC22" s="211"/>
      <c r="DD22" s="211"/>
      <c r="DE22" s="211"/>
      <c r="DF22" s="211"/>
      <c r="DG22" s="211"/>
      <c r="DH22" s="211"/>
      <c r="DI22" s="211"/>
      <c r="DJ22" s="211"/>
      <c r="DK22" s="211"/>
      <c r="DL22" s="211"/>
      <c r="DM22" s="211"/>
      <c r="DN22" s="211"/>
      <c r="DO22" s="205"/>
      <c r="DP22" s="265"/>
      <c r="HA22" s="248"/>
      <c r="HB22" s="248"/>
      <c r="HC22" s="248"/>
      <c r="HD22" s="248"/>
      <c r="HE22" s="248"/>
      <c r="HF22" s="248"/>
    </row>
    <row r="23" spans="1:214" x14ac:dyDescent="0.25">
      <c r="A23" s="273">
        <v>18</v>
      </c>
      <c r="B23" s="273" t="s">
        <v>217</v>
      </c>
      <c r="C23" s="273"/>
      <c r="D23" s="275">
        <v>1500000</v>
      </c>
      <c r="E23" s="275">
        <f>'[1]POLY LIB. 2019'!C29</f>
        <v>1500000</v>
      </c>
      <c r="F23" s="275">
        <f t="shared" si="0"/>
        <v>0</v>
      </c>
      <c r="G23" s="275"/>
      <c r="H23" s="275">
        <v>1275000</v>
      </c>
      <c r="I23" s="275">
        <f>'[1]POLY LIB. 2019'!D29</f>
        <v>1275000</v>
      </c>
      <c r="J23" s="275">
        <f t="shared" si="1"/>
        <v>0</v>
      </c>
      <c r="K23" s="275"/>
      <c r="L23" s="275">
        <v>1500000</v>
      </c>
      <c r="M23" s="275">
        <f>'[1]POLY LIB. 2019'!E29</f>
        <v>1500000</v>
      </c>
      <c r="N23" s="275">
        <f t="shared" si="2"/>
        <v>0</v>
      </c>
      <c r="O23" s="275"/>
      <c r="P23" s="275">
        <v>1500000</v>
      </c>
      <c r="Q23" s="275">
        <f>'[1]POLY LIB. 2019'!F29</f>
        <v>1500000</v>
      </c>
      <c r="R23" s="275">
        <f t="shared" si="3"/>
        <v>0</v>
      </c>
      <c r="S23" s="275"/>
      <c r="T23" s="275">
        <v>2500000</v>
      </c>
      <c r="U23" s="275">
        <f>'[1]POLY LIB. 2019'!G29</f>
        <v>2500000</v>
      </c>
      <c r="V23" s="275">
        <f t="shared" si="4"/>
        <v>0</v>
      </c>
      <c r="W23" s="275"/>
      <c r="X23" s="275">
        <v>2000000</v>
      </c>
      <c r="Y23" s="324">
        <v>2000000</v>
      </c>
      <c r="Z23" s="275">
        <f t="shared" si="5"/>
        <v>0</v>
      </c>
      <c r="AA23" s="275"/>
      <c r="AB23" s="275">
        <v>2600000</v>
      </c>
      <c r="AC23" s="275">
        <f>'[1]POLY LIB. 2019'!I29</f>
        <v>2600000</v>
      </c>
      <c r="AD23" s="275">
        <f t="shared" si="6"/>
        <v>0</v>
      </c>
      <c r="AE23" s="275"/>
      <c r="AF23" s="275">
        <v>5000000</v>
      </c>
      <c r="AG23" s="275">
        <f>'[1]POLY LIB. 2019'!J29</f>
        <v>5000000</v>
      </c>
      <c r="AH23" s="275">
        <f t="shared" si="7"/>
        <v>0</v>
      </c>
      <c r="AI23" s="275"/>
      <c r="AJ23" s="275">
        <v>5000000</v>
      </c>
      <c r="AK23" s="275">
        <f>'[1]POLY LIB. 2019'!K29</f>
        <v>5000000</v>
      </c>
      <c r="AL23" s="275">
        <f t="shared" si="8"/>
        <v>0</v>
      </c>
      <c r="AM23" s="275"/>
      <c r="AN23" s="275">
        <v>10000000</v>
      </c>
      <c r="AO23" s="324">
        <f>'[1]POLY LIB. 2019'!L29</f>
        <v>10000000</v>
      </c>
      <c r="AP23" s="275">
        <f t="shared" si="9"/>
        <v>0</v>
      </c>
      <c r="AQ23" s="205"/>
      <c r="AR23" s="275">
        <v>10000000</v>
      </c>
      <c r="AS23" s="294">
        <f>'[1]POLY LIB. 2019'!M29</f>
        <v>10000000</v>
      </c>
      <c r="AT23" s="275">
        <f t="shared" si="10"/>
        <v>0</v>
      </c>
      <c r="AU23" s="205"/>
      <c r="AV23" s="275">
        <v>30000000</v>
      </c>
      <c r="AW23" s="275">
        <f>'[1]POLY LIB. 2019'!N29</f>
        <v>30000000</v>
      </c>
      <c r="AX23" s="275">
        <f t="shared" si="11"/>
        <v>0</v>
      </c>
      <c r="AY23" s="205"/>
      <c r="AZ23" s="275">
        <f>'[1]POLY commited funds to date'!P107</f>
        <v>50000000</v>
      </c>
      <c r="BA23" s="275">
        <f>'[1]POLY LIB. 2019'!O29</f>
        <v>50000000</v>
      </c>
      <c r="BB23" s="275">
        <f t="shared" si="12"/>
        <v>0</v>
      </c>
      <c r="BC23" s="205"/>
      <c r="BD23" s="275">
        <v>70000000</v>
      </c>
      <c r="BE23" s="275">
        <f>'[1]POLY LIB. 2019'!P29</f>
        <v>70000000</v>
      </c>
      <c r="BF23" s="275">
        <f t="shared" si="13"/>
        <v>0</v>
      </c>
      <c r="BG23" s="205"/>
      <c r="BH23" s="275">
        <v>40000000</v>
      </c>
      <c r="BI23" s="275">
        <f>'[1]POLY LIB. 2019'!Q29</f>
        <v>34000000</v>
      </c>
      <c r="BJ23" s="275">
        <f t="shared" si="14"/>
        <v>6000000</v>
      </c>
      <c r="BL23" s="275">
        <f>'[1]POLY commited funds to date'!S107</f>
        <v>30000000</v>
      </c>
      <c r="BM23" s="275">
        <f>'[1]POLY LIB. 2019'!R29</f>
        <v>25500000</v>
      </c>
      <c r="BN23" s="275">
        <f t="shared" si="15"/>
        <v>4500000</v>
      </c>
      <c r="BP23" s="275">
        <f>'[1]POLY commited funds to date'!T107</f>
        <v>25000000</v>
      </c>
      <c r="BQ23" s="275">
        <f>'[1]POLY LIB. 2019'!S29</f>
        <v>0</v>
      </c>
      <c r="BR23" s="275">
        <f t="shared" si="16"/>
        <v>25000000</v>
      </c>
      <c r="BT23" s="275">
        <f>'[1]POLY commited funds to date'!U107</f>
        <v>15000000</v>
      </c>
      <c r="BU23" s="275">
        <f>'[1]POLY LIB. 2019'!T29</f>
        <v>0</v>
      </c>
      <c r="BV23" s="275">
        <f t="shared" si="17"/>
        <v>15000000</v>
      </c>
      <c r="BX23" s="275">
        <f t="shared" si="18"/>
        <v>302875000</v>
      </c>
      <c r="BY23" s="275">
        <f t="shared" si="18"/>
        <v>252375000</v>
      </c>
      <c r="BZ23" s="275">
        <f t="shared" si="19"/>
        <v>50500000</v>
      </c>
      <c r="CB23" s="205"/>
      <c r="CC23" s="325"/>
      <c r="CD23" s="211"/>
      <c r="CE23" s="211"/>
      <c r="CF23" s="211"/>
      <c r="CG23" s="211"/>
      <c r="CH23" s="211"/>
      <c r="CI23" s="211"/>
      <c r="CJ23" s="211"/>
      <c r="CK23" s="211"/>
      <c r="CL23" s="211"/>
      <c r="CM23" s="211"/>
      <c r="CN23" s="211"/>
      <c r="CO23" s="211"/>
      <c r="CP23" s="211"/>
      <c r="CQ23" s="211"/>
      <c r="CR23" s="211"/>
      <c r="CS23" s="211"/>
      <c r="CT23" s="211"/>
      <c r="CU23" s="211"/>
      <c r="CV23" s="211"/>
      <c r="CW23" s="211"/>
      <c r="CX23" s="211"/>
      <c r="CY23" s="211"/>
      <c r="CZ23" s="211"/>
      <c r="DA23" s="211"/>
      <c r="DB23" s="211"/>
      <c r="DC23" s="211"/>
      <c r="DD23" s="211"/>
      <c r="DE23" s="211"/>
      <c r="DF23" s="211"/>
      <c r="DG23" s="211"/>
      <c r="DH23" s="211"/>
      <c r="DI23" s="211"/>
      <c r="DJ23" s="211"/>
      <c r="DK23" s="211"/>
      <c r="DL23" s="211"/>
      <c r="DM23" s="211"/>
      <c r="DN23" s="211"/>
      <c r="DO23" s="205"/>
      <c r="DP23" s="265"/>
      <c r="HA23" s="265"/>
      <c r="HB23" s="265"/>
      <c r="HC23" s="265"/>
      <c r="HD23" s="265"/>
      <c r="HE23" s="265"/>
      <c r="HF23" s="265"/>
    </row>
    <row r="24" spans="1:214" x14ac:dyDescent="0.25">
      <c r="A24" s="273">
        <v>19</v>
      </c>
      <c r="B24" s="273" t="s">
        <v>218</v>
      </c>
      <c r="C24" s="273"/>
      <c r="D24" s="275">
        <v>1500000</v>
      </c>
      <c r="E24" s="275">
        <f>'[1]POLY LIB. 2019'!C30</f>
        <v>1500000</v>
      </c>
      <c r="F24" s="275">
        <f t="shared" si="0"/>
        <v>0</v>
      </c>
      <c r="G24" s="275"/>
      <c r="H24" s="275">
        <v>1500000</v>
      </c>
      <c r="I24" s="275">
        <f>'[1]POLY LIB. 2019'!D30</f>
        <v>1500000</v>
      </c>
      <c r="J24" s="275">
        <f t="shared" si="1"/>
        <v>0</v>
      </c>
      <c r="K24" s="275"/>
      <c r="L24" s="275">
        <v>1500000</v>
      </c>
      <c r="M24" s="275">
        <f>'[1]POLY LIB. 2019'!E30</f>
        <v>1500000</v>
      </c>
      <c r="N24" s="275">
        <f t="shared" si="2"/>
        <v>0</v>
      </c>
      <c r="O24" s="275"/>
      <c r="P24" s="275">
        <v>1500000</v>
      </c>
      <c r="Q24" s="275">
        <f>'[1]POLY LIB. 2019'!F30</f>
        <v>1500000</v>
      </c>
      <c r="R24" s="275">
        <f t="shared" si="3"/>
        <v>0</v>
      </c>
      <c r="S24" s="275"/>
      <c r="T24" s="275">
        <v>2500000</v>
      </c>
      <c r="U24" s="275">
        <f>'[1]POLY LIB. 2019'!G30</f>
        <v>2500000</v>
      </c>
      <c r="V24" s="275">
        <f t="shared" si="4"/>
        <v>0</v>
      </c>
      <c r="W24" s="275"/>
      <c r="X24" s="275">
        <v>2000000</v>
      </c>
      <c r="Y24" s="324">
        <v>2000000</v>
      </c>
      <c r="Z24" s="275">
        <f t="shared" si="5"/>
        <v>0</v>
      </c>
      <c r="AA24" s="275"/>
      <c r="AB24" s="275">
        <v>2600000</v>
      </c>
      <c r="AC24" s="275">
        <f>'[1]POLY LIB. 2019'!I30</f>
        <v>2600000</v>
      </c>
      <c r="AD24" s="275">
        <f t="shared" si="6"/>
        <v>0</v>
      </c>
      <c r="AE24" s="275"/>
      <c r="AF24" s="275">
        <v>5000000</v>
      </c>
      <c r="AG24" s="275">
        <f>'[1]POLY LIB. 2019'!J30</f>
        <v>5000000</v>
      </c>
      <c r="AH24" s="275">
        <f t="shared" si="7"/>
        <v>0</v>
      </c>
      <c r="AI24" s="275"/>
      <c r="AJ24" s="275">
        <v>5000000</v>
      </c>
      <c r="AK24" s="275">
        <f>'[1]POLY LIB. 2019'!K30</f>
        <v>5000000</v>
      </c>
      <c r="AL24" s="275">
        <f t="shared" si="8"/>
        <v>0</v>
      </c>
      <c r="AM24" s="275"/>
      <c r="AN24" s="275">
        <v>10000000</v>
      </c>
      <c r="AO24" s="324">
        <f>'[1]POLY LIB. 2019'!L30</f>
        <v>10000000</v>
      </c>
      <c r="AP24" s="275">
        <f t="shared" si="9"/>
        <v>0</v>
      </c>
      <c r="AQ24" s="205"/>
      <c r="AR24" s="275">
        <v>10000000</v>
      </c>
      <c r="AS24" s="294">
        <f>'[1]POLY LIB. 2019'!M30</f>
        <v>10000000</v>
      </c>
      <c r="AT24" s="275">
        <f t="shared" si="10"/>
        <v>0</v>
      </c>
      <c r="AU24" s="205"/>
      <c r="AV24" s="275">
        <v>30000000</v>
      </c>
      <c r="AW24" s="275">
        <f>'[1]POLY LIB. 2019'!N30</f>
        <v>30000000</v>
      </c>
      <c r="AX24" s="275">
        <f t="shared" si="11"/>
        <v>0</v>
      </c>
      <c r="AY24" s="205"/>
      <c r="AZ24" s="275">
        <f>'[1]POLY commited funds to date'!P108</f>
        <v>50000000</v>
      </c>
      <c r="BA24" s="275">
        <f>'[1]POLY LIB. 2019'!O30</f>
        <v>50000000</v>
      </c>
      <c r="BB24" s="275">
        <f t="shared" si="12"/>
        <v>0</v>
      </c>
      <c r="BC24" s="205"/>
      <c r="BD24" s="275">
        <v>70000000</v>
      </c>
      <c r="BE24" s="275">
        <f>'[1]POLY LIB. 2019'!P30</f>
        <v>70000000</v>
      </c>
      <c r="BF24" s="275">
        <f t="shared" si="13"/>
        <v>0</v>
      </c>
      <c r="BG24" s="205"/>
      <c r="BH24" s="275">
        <v>40000000</v>
      </c>
      <c r="BI24" s="275">
        <f>'[1]POLY LIB. 2019'!Q30</f>
        <v>40000000</v>
      </c>
      <c r="BJ24" s="275">
        <f t="shared" si="14"/>
        <v>0</v>
      </c>
      <c r="BL24" s="275">
        <f>'[1]POLY commited funds to date'!S108</f>
        <v>30000000</v>
      </c>
      <c r="BM24" s="275">
        <f>'[1]POLY LIB. 2019'!R30</f>
        <v>25500000</v>
      </c>
      <c r="BN24" s="275">
        <f t="shared" si="15"/>
        <v>4500000</v>
      </c>
      <c r="BP24" s="275">
        <f>'[1]POLY commited funds to date'!T108</f>
        <v>25000000</v>
      </c>
      <c r="BQ24" s="275">
        <f>'[1]POLY LIB. 2019'!S30</f>
        <v>0</v>
      </c>
      <c r="BR24" s="275">
        <f t="shared" si="16"/>
        <v>25000000</v>
      </c>
      <c r="BT24" s="275">
        <f>'[1]POLY commited funds to date'!U108</f>
        <v>15000000</v>
      </c>
      <c r="BU24" s="275">
        <f>'[1]POLY LIB. 2019'!T30</f>
        <v>0</v>
      </c>
      <c r="BV24" s="275">
        <f t="shared" si="17"/>
        <v>15000000</v>
      </c>
      <c r="BX24" s="275">
        <f t="shared" si="18"/>
        <v>303100000</v>
      </c>
      <c r="BY24" s="275">
        <f t="shared" si="18"/>
        <v>258600000</v>
      </c>
      <c r="BZ24" s="275">
        <f t="shared" si="19"/>
        <v>44500000</v>
      </c>
      <c r="CB24" s="205"/>
      <c r="CC24" s="325"/>
      <c r="CD24" s="211"/>
      <c r="CE24" s="211"/>
      <c r="CF24" s="211"/>
      <c r="CG24" s="211"/>
      <c r="CH24" s="211"/>
      <c r="CI24" s="211"/>
      <c r="CJ24" s="211"/>
      <c r="CK24" s="211"/>
      <c r="CL24" s="211"/>
      <c r="CM24" s="211"/>
      <c r="CN24" s="211"/>
      <c r="CO24" s="211"/>
      <c r="CP24" s="211"/>
      <c r="CQ24" s="211"/>
      <c r="CR24" s="211"/>
      <c r="CS24" s="211"/>
      <c r="CT24" s="211"/>
      <c r="CU24" s="211"/>
      <c r="CV24" s="211"/>
      <c r="CW24" s="211"/>
      <c r="CX24" s="211"/>
      <c r="CY24" s="211"/>
      <c r="CZ24" s="211"/>
      <c r="DA24" s="211"/>
      <c r="DB24" s="211"/>
      <c r="DC24" s="211"/>
      <c r="DD24" s="211"/>
      <c r="DE24" s="211"/>
      <c r="DF24" s="211"/>
      <c r="DG24" s="211"/>
      <c r="DH24" s="211"/>
      <c r="DI24" s="211"/>
      <c r="DJ24" s="211"/>
      <c r="DK24" s="211"/>
      <c r="DL24" s="211"/>
      <c r="DM24" s="211"/>
      <c r="DN24" s="211"/>
      <c r="DO24" s="205"/>
      <c r="DP24" s="265"/>
      <c r="HA24" s="248"/>
      <c r="HB24" s="248"/>
      <c r="HC24" s="248"/>
      <c r="HD24" s="248"/>
      <c r="HE24" s="248"/>
      <c r="HF24" s="248"/>
    </row>
    <row r="25" spans="1:214" x14ac:dyDescent="0.25">
      <c r="A25" s="273">
        <v>20</v>
      </c>
      <c r="B25" s="273" t="s">
        <v>282</v>
      </c>
      <c r="C25" s="273"/>
      <c r="D25" s="275">
        <v>1500000</v>
      </c>
      <c r="E25" s="275">
        <f>'[1]POLY LIB. 2019'!C31</f>
        <v>1500000</v>
      </c>
      <c r="F25" s="275">
        <f t="shared" si="0"/>
        <v>0</v>
      </c>
      <c r="G25" s="275"/>
      <c r="H25" s="275">
        <v>1500000</v>
      </c>
      <c r="I25" s="275">
        <f>'[1]POLY LIB. 2019'!D31</f>
        <v>1500000</v>
      </c>
      <c r="J25" s="275">
        <f t="shared" si="1"/>
        <v>0</v>
      </c>
      <c r="K25" s="275"/>
      <c r="L25" s="275">
        <v>1500000</v>
      </c>
      <c r="M25" s="275">
        <f>'[1]POLY LIB. 2019'!E31</f>
        <v>1500000</v>
      </c>
      <c r="N25" s="275">
        <f t="shared" si="2"/>
        <v>0</v>
      </c>
      <c r="O25" s="275"/>
      <c r="P25" s="275">
        <v>1500000</v>
      </c>
      <c r="Q25" s="275">
        <f>'[1]POLY LIB. 2019'!F31</f>
        <v>1500000</v>
      </c>
      <c r="R25" s="275">
        <f t="shared" si="3"/>
        <v>0</v>
      </c>
      <c r="S25" s="275"/>
      <c r="T25" s="275">
        <v>2500000</v>
      </c>
      <c r="U25" s="275">
        <f>'[1]POLY LIB. 2019'!G31</f>
        <v>2500000</v>
      </c>
      <c r="V25" s="275">
        <f t="shared" si="4"/>
        <v>0</v>
      </c>
      <c r="W25" s="275"/>
      <c r="X25" s="275">
        <v>2000000</v>
      </c>
      <c r="Y25" s="324">
        <v>2000000</v>
      </c>
      <c r="Z25" s="275">
        <f t="shared" si="5"/>
        <v>0</v>
      </c>
      <c r="AA25" s="275"/>
      <c r="AB25" s="275">
        <v>2600000</v>
      </c>
      <c r="AC25" s="275">
        <f>'[1]POLY LIB. 2019'!I31</f>
        <v>2600000</v>
      </c>
      <c r="AD25" s="275">
        <f t="shared" si="6"/>
        <v>0</v>
      </c>
      <c r="AE25" s="275"/>
      <c r="AF25" s="275">
        <v>5000000</v>
      </c>
      <c r="AG25" s="275">
        <f>'[1]POLY LIB. 2019'!J31</f>
        <v>5000000</v>
      </c>
      <c r="AH25" s="275">
        <f t="shared" si="7"/>
        <v>0</v>
      </c>
      <c r="AI25" s="275"/>
      <c r="AJ25" s="275">
        <v>5000000</v>
      </c>
      <c r="AK25" s="275">
        <f>'[1]POLY LIB. 2019'!K31</f>
        <v>5000000</v>
      </c>
      <c r="AL25" s="275">
        <f t="shared" si="8"/>
        <v>0</v>
      </c>
      <c r="AM25" s="275"/>
      <c r="AN25" s="275">
        <v>10000000</v>
      </c>
      <c r="AO25" s="324">
        <f>'[1]POLY LIB. 2019'!L31</f>
        <v>10000000</v>
      </c>
      <c r="AP25" s="275">
        <f t="shared" si="9"/>
        <v>0</v>
      </c>
      <c r="AQ25" s="205"/>
      <c r="AR25" s="275">
        <v>10000000</v>
      </c>
      <c r="AS25" s="294">
        <f>'[1]POLY LIB. 2019'!M31</f>
        <v>10000000</v>
      </c>
      <c r="AT25" s="275">
        <f t="shared" si="10"/>
        <v>0</v>
      </c>
      <c r="AU25" s="205"/>
      <c r="AV25" s="275">
        <v>30000000</v>
      </c>
      <c r="AW25" s="275">
        <f>'[1]POLY LIB. 2019'!N31</f>
        <v>30000000</v>
      </c>
      <c r="AX25" s="275">
        <f t="shared" si="11"/>
        <v>0</v>
      </c>
      <c r="AY25" s="205"/>
      <c r="AZ25" s="275">
        <f>'[1]POLY commited funds to date'!P109</f>
        <v>50000000</v>
      </c>
      <c r="BA25" s="275">
        <f>'[1]POLY LIB. 2019'!O31</f>
        <v>50000000</v>
      </c>
      <c r="BB25" s="275">
        <f t="shared" si="12"/>
        <v>0</v>
      </c>
      <c r="BC25" s="205"/>
      <c r="BD25" s="275">
        <v>70000000</v>
      </c>
      <c r="BE25" s="275">
        <f>'[1]POLY LIB. 2019'!P31</f>
        <v>59500000</v>
      </c>
      <c r="BF25" s="275">
        <f t="shared" si="13"/>
        <v>10500000</v>
      </c>
      <c r="BG25" s="205"/>
      <c r="BH25" s="275">
        <v>40000000</v>
      </c>
      <c r="BI25" s="275">
        <f>'[1]POLY LIB. 2019'!Q31</f>
        <v>34000000</v>
      </c>
      <c r="BJ25" s="275">
        <f t="shared" si="14"/>
        <v>6000000</v>
      </c>
      <c r="BL25" s="275">
        <f>'[1]POLY commited funds to date'!S109</f>
        <v>30000000</v>
      </c>
      <c r="BM25" s="275">
        <f>'[1]POLY LIB. 2019'!R31</f>
        <v>25500000</v>
      </c>
      <c r="BN25" s="275">
        <f t="shared" si="15"/>
        <v>4500000</v>
      </c>
      <c r="BP25" s="275">
        <f>'[1]POLY commited funds to date'!T109</f>
        <v>25000000</v>
      </c>
      <c r="BQ25" s="275">
        <f>'[1]POLY LIB. 2019'!S31</f>
        <v>0</v>
      </c>
      <c r="BR25" s="275">
        <f t="shared" si="16"/>
        <v>25000000</v>
      </c>
      <c r="BT25" s="275">
        <f>'[1]POLY commited funds to date'!U109</f>
        <v>15000000</v>
      </c>
      <c r="BU25" s="275">
        <f>'[1]POLY LIB. 2019'!T31</f>
        <v>0</v>
      </c>
      <c r="BV25" s="275">
        <f t="shared" si="17"/>
        <v>15000000</v>
      </c>
      <c r="BX25" s="275">
        <f t="shared" si="18"/>
        <v>303100000</v>
      </c>
      <c r="BY25" s="275">
        <f t="shared" si="18"/>
        <v>242100000</v>
      </c>
      <c r="BZ25" s="275">
        <f t="shared" si="19"/>
        <v>61000000</v>
      </c>
      <c r="CB25" s="205"/>
      <c r="CC25" s="325"/>
      <c r="CD25" s="211"/>
      <c r="CE25" s="211"/>
      <c r="CF25" s="211"/>
      <c r="CG25" s="211"/>
      <c r="CH25" s="211"/>
      <c r="CI25" s="211"/>
      <c r="CJ25" s="211"/>
      <c r="CK25" s="211"/>
      <c r="CL25" s="211"/>
      <c r="CM25" s="211"/>
      <c r="CN25" s="211"/>
      <c r="CO25" s="211"/>
      <c r="CP25" s="211"/>
      <c r="CQ25" s="211"/>
      <c r="CR25" s="211"/>
      <c r="CS25" s="211"/>
      <c r="CT25" s="211"/>
      <c r="CU25" s="211"/>
      <c r="CV25" s="211"/>
      <c r="CW25" s="211"/>
      <c r="CX25" s="211"/>
      <c r="CY25" s="211"/>
      <c r="CZ25" s="211"/>
      <c r="DA25" s="211"/>
      <c r="DB25" s="211"/>
      <c r="DC25" s="211"/>
      <c r="DD25" s="211"/>
      <c r="DE25" s="211"/>
      <c r="DF25" s="211"/>
      <c r="DG25" s="211"/>
      <c r="DH25" s="211"/>
      <c r="DI25" s="211"/>
      <c r="DJ25" s="211"/>
      <c r="DK25" s="211"/>
      <c r="DL25" s="211"/>
      <c r="DM25" s="211"/>
      <c r="DN25" s="211"/>
      <c r="DO25" s="205"/>
      <c r="DP25" s="265"/>
      <c r="HA25" s="265"/>
      <c r="HB25" s="265"/>
      <c r="HC25" s="265"/>
      <c r="HD25" s="265"/>
      <c r="HE25" s="265"/>
      <c r="HF25" s="265"/>
    </row>
    <row r="26" spans="1:214" x14ac:dyDescent="0.25">
      <c r="A26" s="273">
        <v>21</v>
      </c>
      <c r="B26" s="273" t="s">
        <v>220</v>
      </c>
      <c r="C26" s="273"/>
      <c r="D26" s="275">
        <v>1500000</v>
      </c>
      <c r="E26" s="275">
        <f>'[1]POLY LIB. 2019'!C32</f>
        <v>1500000</v>
      </c>
      <c r="F26" s="275">
        <f t="shared" si="0"/>
        <v>0</v>
      </c>
      <c r="G26" s="275"/>
      <c r="H26" s="275">
        <v>1500000</v>
      </c>
      <c r="I26" s="275">
        <f>'[1]POLY LIB. 2019'!D32</f>
        <v>1500000</v>
      </c>
      <c r="J26" s="275">
        <f t="shared" si="1"/>
        <v>0</v>
      </c>
      <c r="K26" s="275"/>
      <c r="L26" s="275">
        <v>1500000</v>
      </c>
      <c r="M26" s="275">
        <f>'[1]POLY LIB. 2019'!E32</f>
        <v>1500000</v>
      </c>
      <c r="N26" s="275">
        <f t="shared" si="2"/>
        <v>0</v>
      </c>
      <c r="O26" s="275"/>
      <c r="P26" s="275">
        <v>1500000</v>
      </c>
      <c r="Q26" s="275">
        <f>'[1]POLY LIB. 2019'!F32</f>
        <v>1500000</v>
      </c>
      <c r="R26" s="275">
        <f t="shared" si="3"/>
        <v>0</v>
      </c>
      <c r="S26" s="275"/>
      <c r="T26" s="275">
        <v>2500000</v>
      </c>
      <c r="U26" s="275">
        <f>'[1]POLY LIB. 2019'!G32</f>
        <v>2500000</v>
      </c>
      <c r="V26" s="275">
        <f t="shared" si="4"/>
        <v>0</v>
      </c>
      <c r="W26" s="275"/>
      <c r="X26" s="275">
        <v>2000000</v>
      </c>
      <c r="Y26" s="324">
        <v>2000000</v>
      </c>
      <c r="Z26" s="275">
        <f t="shared" si="5"/>
        <v>0</v>
      </c>
      <c r="AA26" s="275"/>
      <c r="AB26" s="275">
        <v>2600000</v>
      </c>
      <c r="AC26" s="275">
        <f>'[1]POLY LIB. 2019'!I32</f>
        <v>2600000</v>
      </c>
      <c r="AD26" s="275">
        <f t="shared" si="6"/>
        <v>0</v>
      </c>
      <c r="AE26" s="275"/>
      <c r="AF26" s="275">
        <v>5000000</v>
      </c>
      <c r="AG26" s="275">
        <f>'[1]POLY LIB. 2019'!J32</f>
        <v>5000000</v>
      </c>
      <c r="AH26" s="275">
        <f t="shared" si="7"/>
        <v>0</v>
      </c>
      <c r="AI26" s="275"/>
      <c r="AJ26" s="275">
        <v>5000000</v>
      </c>
      <c r="AK26" s="275">
        <f>'[1]POLY LIB. 2019'!K32</f>
        <v>5000000</v>
      </c>
      <c r="AL26" s="275">
        <f t="shared" si="8"/>
        <v>0</v>
      </c>
      <c r="AM26" s="275"/>
      <c r="AN26" s="275">
        <v>10000000</v>
      </c>
      <c r="AO26" s="324">
        <f>'[1]POLY LIB. 2019'!L32</f>
        <v>10000000</v>
      </c>
      <c r="AP26" s="275">
        <f t="shared" si="9"/>
        <v>0</v>
      </c>
      <c r="AQ26" s="205"/>
      <c r="AR26" s="275">
        <v>10000000</v>
      </c>
      <c r="AS26" s="294">
        <f>'[1]POLY LIB. 2019'!M32</f>
        <v>10000000</v>
      </c>
      <c r="AT26" s="275">
        <f t="shared" si="10"/>
        <v>0</v>
      </c>
      <c r="AU26" s="205"/>
      <c r="AV26" s="275">
        <v>30000000</v>
      </c>
      <c r="AW26" s="275">
        <f>'[1]POLY LIB. 2019'!N32</f>
        <v>30000000</v>
      </c>
      <c r="AX26" s="275">
        <f t="shared" si="11"/>
        <v>0</v>
      </c>
      <c r="AY26" s="205"/>
      <c r="AZ26" s="275">
        <f>'[1]POLY commited funds to date'!P110</f>
        <v>50000000</v>
      </c>
      <c r="BA26" s="275">
        <f>'[1]POLY LIB. 2019'!O32</f>
        <v>50000000</v>
      </c>
      <c r="BB26" s="275">
        <f t="shared" si="12"/>
        <v>0</v>
      </c>
      <c r="BC26" s="205"/>
      <c r="BD26" s="275">
        <v>70000000</v>
      </c>
      <c r="BE26" s="275">
        <f>'[1]POLY LIB. 2019'!P32</f>
        <v>70000000</v>
      </c>
      <c r="BF26" s="275">
        <f t="shared" si="13"/>
        <v>0</v>
      </c>
      <c r="BG26" s="205"/>
      <c r="BH26" s="275">
        <v>40000000</v>
      </c>
      <c r="BI26" s="275">
        <f>'[1]POLY LIB. 2019'!Q32</f>
        <v>40000000</v>
      </c>
      <c r="BJ26" s="275">
        <f t="shared" si="14"/>
        <v>0</v>
      </c>
      <c r="BL26" s="275">
        <f>'[1]POLY commited funds to date'!S110</f>
        <v>30000000</v>
      </c>
      <c r="BM26" s="275">
        <f>'[1]POLY LIB. 2019'!R32</f>
        <v>0</v>
      </c>
      <c r="BN26" s="275">
        <f t="shared" si="15"/>
        <v>30000000</v>
      </c>
      <c r="BP26" s="275">
        <f>'[1]POLY commited funds to date'!T110</f>
        <v>25000000</v>
      </c>
      <c r="BQ26" s="275">
        <f>'[1]POLY LIB. 2019'!S32</f>
        <v>0</v>
      </c>
      <c r="BR26" s="275">
        <f t="shared" si="16"/>
        <v>25000000</v>
      </c>
      <c r="BT26" s="275">
        <f>'[1]POLY commited funds to date'!U110</f>
        <v>15000000</v>
      </c>
      <c r="BU26" s="275">
        <f>'[1]POLY LIB. 2019'!T32</f>
        <v>0</v>
      </c>
      <c r="BV26" s="275">
        <f t="shared" si="17"/>
        <v>15000000</v>
      </c>
      <c r="BX26" s="275">
        <f t="shared" si="18"/>
        <v>303100000</v>
      </c>
      <c r="BY26" s="275">
        <f t="shared" si="18"/>
        <v>233100000</v>
      </c>
      <c r="BZ26" s="275">
        <f t="shared" si="19"/>
        <v>70000000</v>
      </c>
      <c r="CB26" s="205"/>
      <c r="CC26" s="325"/>
      <c r="CD26" s="211"/>
      <c r="CE26" s="211"/>
      <c r="CF26" s="211"/>
      <c r="CG26" s="211"/>
      <c r="CH26" s="211"/>
      <c r="CI26" s="211"/>
      <c r="CJ26" s="211"/>
      <c r="CK26" s="211"/>
      <c r="CL26" s="211"/>
      <c r="CM26" s="211"/>
      <c r="CN26" s="211"/>
      <c r="CO26" s="211"/>
      <c r="CP26" s="211"/>
      <c r="CQ26" s="211"/>
      <c r="CR26" s="211"/>
      <c r="CS26" s="211"/>
      <c r="CT26" s="211"/>
      <c r="CU26" s="211"/>
      <c r="CV26" s="211"/>
      <c r="CW26" s="211"/>
      <c r="CX26" s="211"/>
      <c r="CY26" s="211"/>
      <c r="CZ26" s="211"/>
      <c r="DA26" s="211"/>
      <c r="DB26" s="211"/>
      <c r="DC26" s="211"/>
      <c r="DD26" s="211"/>
      <c r="DE26" s="211"/>
      <c r="DF26" s="211"/>
      <c r="DG26" s="211"/>
      <c r="DH26" s="211"/>
      <c r="DI26" s="211"/>
      <c r="DJ26" s="211"/>
      <c r="DK26" s="211"/>
      <c r="DL26" s="211"/>
      <c r="DM26" s="211"/>
      <c r="DN26" s="211"/>
      <c r="DO26" s="205"/>
      <c r="DP26" s="265"/>
      <c r="HA26" s="248"/>
      <c r="HB26" s="248"/>
      <c r="HC26" s="248"/>
      <c r="HD26" s="248"/>
      <c r="HE26" s="248"/>
      <c r="HF26" s="248"/>
    </row>
    <row r="27" spans="1:214" x14ac:dyDescent="0.25">
      <c r="A27" s="273">
        <v>22</v>
      </c>
      <c r="B27" s="273" t="s">
        <v>283</v>
      </c>
      <c r="C27" s="273"/>
      <c r="D27" s="275">
        <v>1500000</v>
      </c>
      <c r="E27" s="275">
        <f>'[1]POLY LIB. 2019'!C33</f>
        <v>1500000</v>
      </c>
      <c r="F27" s="275">
        <f t="shared" si="0"/>
        <v>0</v>
      </c>
      <c r="G27" s="275"/>
      <c r="H27" s="275">
        <v>1500000</v>
      </c>
      <c r="I27" s="275">
        <f>'[1]POLY LIB. 2019'!D33</f>
        <v>1500000</v>
      </c>
      <c r="J27" s="275">
        <f t="shared" si="1"/>
        <v>0</v>
      </c>
      <c r="K27" s="275"/>
      <c r="L27" s="275">
        <v>1500000</v>
      </c>
      <c r="M27" s="275">
        <f>'[1]POLY LIB. 2019'!E33</f>
        <v>1500000</v>
      </c>
      <c r="N27" s="275">
        <f t="shared" si="2"/>
        <v>0</v>
      </c>
      <c r="O27" s="275"/>
      <c r="P27" s="275">
        <v>1275000</v>
      </c>
      <c r="Q27" s="275">
        <f>'[1]POLY LIB. 2019'!F33</f>
        <v>1275000</v>
      </c>
      <c r="R27" s="275">
        <f t="shared" si="3"/>
        <v>0</v>
      </c>
      <c r="S27" s="275"/>
      <c r="T27" s="275">
        <v>2125000</v>
      </c>
      <c r="U27" s="275">
        <f>'[1]POLY LIB. 2019'!G33</f>
        <v>2125000</v>
      </c>
      <c r="V27" s="275">
        <f t="shared" si="4"/>
        <v>0</v>
      </c>
      <c r="W27" s="275"/>
      <c r="X27" s="275">
        <f>2000000-2000000</f>
        <v>0</v>
      </c>
      <c r="Y27" s="324"/>
      <c r="Z27" s="275">
        <f t="shared" si="5"/>
        <v>0</v>
      </c>
      <c r="AA27" s="275"/>
      <c r="AB27" s="275">
        <v>2600000</v>
      </c>
      <c r="AC27" s="275">
        <f>'[1]POLY LIB. 2019'!I33</f>
        <v>2600000</v>
      </c>
      <c r="AD27" s="275">
        <f t="shared" si="6"/>
        <v>0</v>
      </c>
      <c r="AE27" s="275"/>
      <c r="AF27" s="275">
        <v>5000000</v>
      </c>
      <c r="AG27" s="275">
        <f>'[1]POLY LIB. 2019'!J33</f>
        <v>5000000</v>
      </c>
      <c r="AH27" s="275">
        <f t="shared" si="7"/>
        <v>0</v>
      </c>
      <c r="AI27" s="275"/>
      <c r="AJ27" s="275">
        <v>5000000</v>
      </c>
      <c r="AK27" s="275">
        <f>'[1]POLY LIB. 2019'!K33</f>
        <v>5000000</v>
      </c>
      <c r="AL27" s="275">
        <f t="shared" si="8"/>
        <v>0</v>
      </c>
      <c r="AM27" s="275"/>
      <c r="AN27" s="275">
        <v>10000000</v>
      </c>
      <c r="AO27" s="324">
        <f>'[1]POLY LIB. 2019'!L33</f>
        <v>10000000</v>
      </c>
      <c r="AP27" s="275">
        <f t="shared" si="9"/>
        <v>0</v>
      </c>
      <c r="AQ27" s="205"/>
      <c r="AR27" s="275">
        <v>10000000</v>
      </c>
      <c r="AS27" s="294">
        <f>'[1]POLY LIB. 2019'!M33</f>
        <v>10000000</v>
      </c>
      <c r="AT27" s="275">
        <f t="shared" si="10"/>
        <v>0</v>
      </c>
      <c r="AU27" s="205"/>
      <c r="AV27" s="275">
        <v>30000000</v>
      </c>
      <c r="AW27" s="275">
        <f>'[1]POLY LIB. 2019'!N33</f>
        <v>30000000</v>
      </c>
      <c r="AX27" s="275">
        <f t="shared" si="11"/>
        <v>0</v>
      </c>
      <c r="AY27" s="205"/>
      <c r="AZ27" s="275">
        <f>'[1]POLY commited funds to date'!P111</f>
        <v>50000000</v>
      </c>
      <c r="BA27" s="275">
        <f>'[1]POLY LIB. 2019'!O33</f>
        <v>50000000</v>
      </c>
      <c r="BB27" s="275">
        <f t="shared" si="12"/>
        <v>0</v>
      </c>
      <c r="BC27" s="205"/>
      <c r="BD27" s="275">
        <v>70000000</v>
      </c>
      <c r="BE27" s="275">
        <f>'[1]POLY LIB. 2019'!P33</f>
        <v>70000000</v>
      </c>
      <c r="BF27" s="275">
        <f t="shared" si="13"/>
        <v>0</v>
      </c>
      <c r="BG27" s="205"/>
      <c r="BH27" s="275">
        <v>40000000</v>
      </c>
      <c r="BI27" s="275">
        <f>'[1]POLY LIB. 2019'!Q33</f>
        <v>0</v>
      </c>
      <c r="BJ27" s="275">
        <f t="shared" si="14"/>
        <v>40000000</v>
      </c>
      <c r="BL27" s="275">
        <f>'[1]POLY commited funds to date'!S111</f>
        <v>30000000</v>
      </c>
      <c r="BM27" s="275">
        <f>'[1]POLY LIB. 2019'!R33</f>
        <v>0</v>
      </c>
      <c r="BN27" s="275">
        <f t="shared" si="15"/>
        <v>30000000</v>
      </c>
      <c r="BP27" s="275">
        <f>'[1]POLY commited funds to date'!T111</f>
        <v>25000000</v>
      </c>
      <c r="BQ27" s="275">
        <f>'[1]POLY LIB. 2019'!S33</f>
        <v>0</v>
      </c>
      <c r="BR27" s="275">
        <f t="shared" si="16"/>
        <v>25000000</v>
      </c>
      <c r="BT27" s="275">
        <f>'[1]POLY commited funds to date'!U111</f>
        <v>15000000</v>
      </c>
      <c r="BU27" s="275">
        <f>'[1]POLY LIB. 2019'!T33</f>
        <v>0</v>
      </c>
      <c r="BV27" s="275">
        <f t="shared" si="17"/>
        <v>15000000</v>
      </c>
      <c r="BX27" s="275">
        <f t="shared" si="18"/>
        <v>300500000</v>
      </c>
      <c r="BY27" s="275">
        <f t="shared" si="18"/>
        <v>190500000</v>
      </c>
      <c r="BZ27" s="275">
        <f t="shared" si="19"/>
        <v>110000000</v>
      </c>
      <c r="CB27" s="205"/>
      <c r="CC27" s="325"/>
      <c r="CD27" s="211"/>
      <c r="CE27" s="211"/>
      <c r="CF27" s="211"/>
      <c r="CG27" s="211"/>
      <c r="CH27" s="211"/>
      <c r="CI27" s="211"/>
      <c r="CJ27" s="211"/>
      <c r="CK27" s="211"/>
      <c r="CL27" s="211"/>
      <c r="CM27" s="211"/>
      <c r="CN27" s="211"/>
      <c r="CO27" s="211"/>
      <c r="CP27" s="211"/>
      <c r="CQ27" s="211"/>
      <c r="CR27" s="211"/>
      <c r="CS27" s="211"/>
      <c r="CT27" s="211"/>
      <c r="CU27" s="211"/>
      <c r="CV27" s="211"/>
      <c r="CW27" s="211"/>
      <c r="CX27" s="211"/>
      <c r="CY27" s="211"/>
      <c r="CZ27" s="211"/>
      <c r="DA27" s="211"/>
      <c r="DB27" s="211"/>
      <c r="DC27" s="211"/>
      <c r="DD27" s="211"/>
      <c r="DE27" s="211"/>
      <c r="DF27" s="211"/>
      <c r="DG27" s="211"/>
      <c r="DH27" s="211"/>
      <c r="DI27" s="211"/>
      <c r="DJ27" s="211"/>
      <c r="DK27" s="211"/>
      <c r="DL27" s="211"/>
      <c r="DM27" s="211"/>
      <c r="DN27" s="211"/>
      <c r="DO27" s="205"/>
      <c r="DP27" s="265"/>
      <c r="HA27" s="265"/>
      <c r="HB27" s="265"/>
      <c r="HC27" s="265"/>
      <c r="HD27" s="265"/>
      <c r="HE27" s="265"/>
      <c r="HF27" s="265"/>
    </row>
    <row r="28" spans="1:214" x14ac:dyDescent="0.25">
      <c r="A28" s="273">
        <v>23</v>
      </c>
      <c r="B28" s="273" t="s">
        <v>222</v>
      </c>
      <c r="C28" s="273"/>
      <c r="D28" s="275">
        <v>1500000</v>
      </c>
      <c r="E28" s="275">
        <f>'[1]POLY LIB. 2019'!C34</f>
        <v>1500000</v>
      </c>
      <c r="F28" s="275">
        <f t="shared" si="0"/>
        <v>0</v>
      </c>
      <c r="G28" s="275"/>
      <c r="H28" s="275">
        <v>1500000</v>
      </c>
      <c r="I28" s="275">
        <f>'[1]POLY LIB. 2019'!D34</f>
        <v>1500000</v>
      </c>
      <c r="J28" s="275">
        <f t="shared" si="1"/>
        <v>0</v>
      </c>
      <c r="K28" s="275"/>
      <c r="L28" s="275">
        <v>1500000</v>
      </c>
      <c r="M28" s="275">
        <f>'[1]POLY LIB. 2019'!E34</f>
        <v>1500000</v>
      </c>
      <c r="N28" s="275">
        <f t="shared" si="2"/>
        <v>0</v>
      </c>
      <c r="O28" s="275"/>
      <c r="P28" s="275">
        <v>1275000</v>
      </c>
      <c r="Q28" s="275">
        <f>'[1]POLY LIB. 2019'!F34</f>
        <v>1275000</v>
      </c>
      <c r="R28" s="275">
        <f t="shared" si="3"/>
        <v>0</v>
      </c>
      <c r="S28" s="275"/>
      <c r="T28" s="275">
        <v>2125000</v>
      </c>
      <c r="U28" s="275">
        <f>'[1]POLY LIB. 2019'!G34</f>
        <v>2125000</v>
      </c>
      <c r="V28" s="275">
        <f t="shared" si="4"/>
        <v>0</v>
      </c>
      <c r="W28" s="275"/>
      <c r="X28" s="275">
        <v>2000000</v>
      </c>
      <c r="Y28" s="324">
        <v>2000000</v>
      </c>
      <c r="Z28" s="275">
        <f t="shared" si="5"/>
        <v>0</v>
      </c>
      <c r="AA28" s="275"/>
      <c r="AB28" s="275">
        <v>2600000</v>
      </c>
      <c r="AC28" s="275">
        <f>'[1]POLY LIB. 2019'!I34</f>
        <v>2600000</v>
      </c>
      <c r="AD28" s="275">
        <f t="shared" si="6"/>
        <v>0</v>
      </c>
      <c r="AE28" s="275"/>
      <c r="AF28" s="275">
        <v>5000000</v>
      </c>
      <c r="AG28" s="275">
        <f>'[1]POLY LIB. 2019'!J34</f>
        <v>5000000</v>
      </c>
      <c r="AH28" s="275">
        <f t="shared" si="7"/>
        <v>0</v>
      </c>
      <c r="AI28" s="275"/>
      <c r="AJ28" s="275">
        <f>5000000-5000000</f>
        <v>0</v>
      </c>
      <c r="AK28" s="275">
        <f>'[1]POLY LIB. 2019'!K34</f>
        <v>0</v>
      </c>
      <c r="AL28" s="275">
        <f t="shared" si="8"/>
        <v>0</v>
      </c>
      <c r="AM28" s="275"/>
      <c r="AN28" s="275">
        <f>10000000-10000000</f>
        <v>0</v>
      </c>
      <c r="AO28" s="324">
        <f>'[1]POLY LIB. 2019'!L34</f>
        <v>0</v>
      </c>
      <c r="AP28" s="275">
        <f t="shared" si="9"/>
        <v>0</v>
      </c>
      <c r="AQ28" s="205"/>
      <c r="AR28" s="275">
        <v>10000000</v>
      </c>
      <c r="AS28" s="294">
        <f>'[1]POLY LIB. 2019'!M34</f>
        <v>10000000</v>
      </c>
      <c r="AT28" s="275">
        <f t="shared" si="10"/>
        <v>0</v>
      </c>
      <c r="AU28" s="205"/>
      <c r="AV28" s="275">
        <v>30000000</v>
      </c>
      <c r="AW28" s="275">
        <f>'[1]POLY LIB. 2019'!N34</f>
        <v>30000000</v>
      </c>
      <c r="AX28" s="275">
        <f t="shared" si="11"/>
        <v>0</v>
      </c>
      <c r="AY28" s="205"/>
      <c r="AZ28" s="275">
        <f>'[1]POLY commited funds to date'!P112</f>
        <v>50000000</v>
      </c>
      <c r="BA28" s="275">
        <f>'[1]POLY LIB. 2019'!O34</f>
        <v>50000000</v>
      </c>
      <c r="BB28" s="275">
        <f t="shared" si="12"/>
        <v>0</v>
      </c>
      <c r="BC28" s="205"/>
      <c r="BD28" s="275">
        <v>70000000</v>
      </c>
      <c r="BE28" s="275">
        <f>'[1]POLY LIB. 2019'!P34</f>
        <v>70000000</v>
      </c>
      <c r="BF28" s="275">
        <f t="shared" si="13"/>
        <v>0</v>
      </c>
      <c r="BG28" s="205"/>
      <c r="BH28" s="275">
        <v>40000000</v>
      </c>
      <c r="BI28" s="275">
        <f>'[1]POLY LIB. 2019'!Q34</f>
        <v>34000000</v>
      </c>
      <c r="BJ28" s="275">
        <f t="shared" si="14"/>
        <v>6000000</v>
      </c>
      <c r="BL28" s="275">
        <f>'[1]POLY commited funds to date'!S112</f>
        <v>30000000</v>
      </c>
      <c r="BM28" s="275">
        <f>'[1]POLY LIB. 2019'!R34</f>
        <v>25500000</v>
      </c>
      <c r="BN28" s="275">
        <f t="shared" si="15"/>
        <v>4500000</v>
      </c>
      <c r="BP28" s="275">
        <f>'[1]POLY commited funds to date'!T112</f>
        <v>25000000</v>
      </c>
      <c r="BQ28" s="275">
        <f>'[1]POLY LIB. 2019'!S34</f>
        <v>0</v>
      </c>
      <c r="BR28" s="275">
        <f t="shared" si="16"/>
        <v>25000000</v>
      </c>
      <c r="BT28" s="275">
        <f>'[1]POLY commited funds to date'!U112</f>
        <v>15000000</v>
      </c>
      <c r="BU28" s="275">
        <f>'[1]POLY LIB. 2019'!T34</f>
        <v>0</v>
      </c>
      <c r="BV28" s="275">
        <f t="shared" si="17"/>
        <v>15000000</v>
      </c>
      <c r="BX28" s="275">
        <f t="shared" si="18"/>
        <v>287500000</v>
      </c>
      <c r="BY28" s="275">
        <f t="shared" si="18"/>
        <v>237000000</v>
      </c>
      <c r="BZ28" s="275">
        <f t="shared" si="19"/>
        <v>50500000</v>
      </c>
      <c r="CB28" s="205"/>
      <c r="CC28" s="325"/>
      <c r="CD28" s="211"/>
      <c r="CE28" s="211"/>
      <c r="CF28" s="211"/>
      <c r="CG28" s="211"/>
      <c r="CH28" s="211"/>
      <c r="CI28" s="211"/>
      <c r="CJ28" s="211"/>
      <c r="CK28" s="211"/>
      <c r="CL28" s="211"/>
      <c r="CM28" s="211"/>
      <c r="CN28" s="211"/>
      <c r="CO28" s="211"/>
      <c r="CP28" s="211"/>
      <c r="CQ28" s="211"/>
      <c r="CR28" s="211"/>
      <c r="CS28" s="211"/>
      <c r="CT28" s="211"/>
      <c r="CU28" s="211"/>
      <c r="CV28" s="211"/>
      <c r="CW28" s="211"/>
      <c r="CX28" s="211"/>
      <c r="CY28" s="211"/>
      <c r="CZ28" s="211"/>
      <c r="DA28" s="211"/>
      <c r="DB28" s="211"/>
      <c r="DC28" s="211"/>
      <c r="DD28" s="211"/>
      <c r="DE28" s="211"/>
      <c r="DF28" s="211"/>
      <c r="DG28" s="211"/>
      <c r="DH28" s="211"/>
      <c r="DI28" s="211"/>
      <c r="DJ28" s="211"/>
      <c r="DK28" s="211"/>
      <c r="DL28" s="211"/>
      <c r="DM28" s="211"/>
      <c r="DN28" s="211"/>
      <c r="DO28" s="205"/>
      <c r="DP28" s="265"/>
      <c r="HA28" s="248"/>
      <c r="HB28" s="248"/>
      <c r="HC28" s="248"/>
      <c r="HD28" s="248"/>
      <c r="HE28" s="248"/>
      <c r="HF28" s="248"/>
    </row>
    <row r="29" spans="1:214" x14ac:dyDescent="0.25">
      <c r="A29" s="273">
        <v>24</v>
      </c>
      <c r="B29" s="273" t="s">
        <v>223</v>
      </c>
      <c r="C29" s="273"/>
      <c r="D29" s="275">
        <v>1500000</v>
      </c>
      <c r="E29" s="275">
        <f>'[1]POLY LIB. 2019'!C35</f>
        <v>1500000</v>
      </c>
      <c r="F29" s="275">
        <f t="shared" si="0"/>
        <v>0</v>
      </c>
      <c r="G29" s="275"/>
      <c r="H29" s="275">
        <v>1500000</v>
      </c>
      <c r="I29" s="275">
        <f>'[1]POLY LIB. 2019'!D35</f>
        <v>1500000</v>
      </c>
      <c r="J29" s="275">
        <f t="shared" si="1"/>
        <v>0</v>
      </c>
      <c r="K29" s="275"/>
      <c r="L29" s="275">
        <v>1500000</v>
      </c>
      <c r="M29" s="275">
        <f>'[1]POLY LIB. 2019'!E35</f>
        <v>1500000</v>
      </c>
      <c r="N29" s="275">
        <f t="shared" si="2"/>
        <v>0</v>
      </c>
      <c r="O29" s="275"/>
      <c r="P29" s="275">
        <v>1500000</v>
      </c>
      <c r="Q29" s="275">
        <f>'[1]POLY LIB. 2019'!F35</f>
        <v>1500000</v>
      </c>
      <c r="R29" s="275">
        <f t="shared" si="3"/>
        <v>0</v>
      </c>
      <c r="S29" s="275"/>
      <c r="T29" s="275">
        <v>2500000</v>
      </c>
      <c r="U29" s="275">
        <f>'[1]POLY LIB. 2019'!G35</f>
        <v>2500000</v>
      </c>
      <c r="V29" s="275">
        <f t="shared" si="4"/>
        <v>0</v>
      </c>
      <c r="W29" s="275"/>
      <c r="X29" s="275">
        <v>2000000</v>
      </c>
      <c r="Y29" s="324">
        <v>2000000</v>
      </c>
      <c r="Z29" s="275">
        <f t="shared" si="5"/>
        <v>0</v>
      </c>
      <c r="AA29" s="275"/>
      <c r="AB29" s="275">
        <v>2210000</v>
      </c>
      <c r="AC29" s="275">
        <f>'[1]POLY LIB. 2019'!I35</f>
        <v>2210000</v>
      </c>
      <c r="AD29" s="275">
        <f t="shared" si="6"/>
        <v>0</v>
      </c>
      <c r="AE29" s="275"/>
      <c r="AF29" s="275">
        <v>5000000</v>
      </c>
      <c r="AG29" s="275">
        <f>'[1]POLY LIB. 2019'!J35</f>
        <v>5000000</v>
      </c>
      <c r="AH29" s="275">
        <f t="shared" si="7"/>
        <v>0</v>
      </c>
      <c r="AI29" s="275"/>
      <c r="AJ29" s="275">
        <v>5000000</v>
      </c>
      <c r="AK29" s="275">
        <f>'[1]POLY LIB. 2019'!K35</f>
        <v>5000000</v>
      </c>
      <c r="AL29" s="275">
        <f t="shared" si="8"/>
        <v>0</v>
      </c>
      <c r="AM29" s="275"/>
      <c r="AN29" s="275">
        <v>10000000</v>
      </c>
      <c r="AO29" s="324">
        <f>'[1]POLY LIB. 2019'!L35</f>
        <v>10000000</v>
      </c>
      <c r="AP29" s="275">
        <f t="shared" si="9"/>
        <v>0</v>
      </c>
      <c r="AQ29" s="205"/>
      <c r="AR29" s="275">
        <v>10000000</v>
      </c>
      <c r="AS29" s="294">
        <f>'[1]POLY LIB. 2019'!M35</f>
        <v>8500000</v>
      </c>
      <c r="AT29" s="275">
        <f t="shared" si="10"/>
        <v>1500000</v>
      </c>
      <c r="AU29" s="205"/>
      <c r="AV29" s="275">
        <v>30000000</v>
      </c>
      <c r="AW29" s="275">
        <f>'[1]POLY LIB. 2019'!N35</f>
        <v>25500000</v>
      </c>
      <c r="AX29" s="275">
        <f t="shared" si="11"/>
        <v>4500000</v>
      </c>
      <c r="AY29" s="205"/>
      <c r="AZ29" s="275">
        <f>'[1]POLY commited funds to date'!P113</f>
        <v>50000000</v>
      </c>
      <c r="BA29" s="275">
        <f>'[1]POLY LIB. 2019'!O35</f>
        <v>42500000</v>
      </c>
      <c r="BB29" s="275">
        <f t="shared" si="12"/>
        <v>7500000</v>
      </c>
      <c r="BC29" s="205"/>
      <c r="BD29" s="275">
        <v>70000000</v>
      </c>
      <c r="BE29" s="275">
        <f>'[1]POLY LIB. 2019'!P35</f>
        <v>59500000</v>
      </c>
      <c r="BF29" s="275">
        <f t="shared" si="13"/>
        <v>10500000</v>
      </c>
      <c r="BG29" s="205"/>
      <c r="BH29" s="275">
        <v>40000000</v>
      </c>
      <c r="BI29" s="275">
        <f>'[1]POLY LIB. 2019'!Q35</f>
        <v>0</v>
      </c>
      <c r="BJ29" s="275">
        <f t="shared" si="14"/>
        <v>40000000</v>
      </c>
      <c r="BL29" s="275">
        <f>'[1]POLY commited funds to date'!S113</f>
        <v>30000000</v>
      </c>
      <c r="BM29" s="275">
        <f>'[1]POLY LIB. 2019'!R35</f>
        <v>0</v>
      </c>
      <c r="BN29" s="275">
        <f t="shared" si="15"/>
        <v>30000000</v>
      </c>
      <c r="BP29" s="275">
        <f>'[1]POLY commited funds to date'!T113</f>
        <v>25000000</v>
      </c>
      <c r="BQ29" s="275">
        <f>'[1]POLY LIB. 2019'!S35</f>
        <v>0</v>
      </c>
      <c r="BR29" s="275">
        <f t="shared" si="16"/>
        <v>25000000</v>
      </c>
      <c r="BT29" s="275">
        <f>'[1]POLY commited funds to date'!U113</f>
        <v>15000000</v>
      </c>
      <c r="BU29" s="275">
        <f>'[1]POLY LIB. 2019'!T35</f>
        <v>0</v>
      </c>
      <c r="BV29" s="275">
        <f t="shared" si="17"/>
        <v>15000000</v>
      </c>
      <c r="BX29" s="275">
        <f t="shared" si="18"/>
        <v>302710000</v>
      </c>
      <c r="BY29" s="275">
        <f t="shared" si="18"/>
        <v>168710000</v>
      </c>
      <c r="BZ29" s="275">
        <f t="shared" si="19"/>
        <v>134000000</v>
      </c>
      <c r="CB29" s="205"/>
      <c r="CC29" s="325"/>
      <c r="CD29" s="211"/>
      <c r="CE29" s="211"/>
      <c r="CF29" s="211"/>
      <c r="CG29" s="211"/>
      <c r="CH29" s="211"/>
      <c r="CI29" s="211"/>
      <c r="CJ29" s="211"/>
      <c r="CK29" s="211"/>
      <c r="CL29" s="211"/>
      <c r="CM29" s="211"/>
      <c r="CN29" s="211"/>
      <c r="CO29" s="211"/>
      <c r="CP29" s="211"/>
      <c r="CQ29" s="211"/>
      <c r="CR29" s="211"/>
      <c r="CS29" s="211"/>
      <c r="CT29" s="211"/>
      <c r="CU29" s="211"/>
      <c r="CV29" s="211"/>
      <c r="CW29" s="211"/>
      <c r="CX29" s="211"/>
      <c r="CY29" s="211"/>
      <c r="CZ29" s="211"/>
      <c r="DA29" s="211"/>
      <c r="DB29" s="211"/>
      <c r="DC29" s="211"/>
      <c r="DD29" s="211"/>
      <c r="DE29" s="211"/>
      <c r="DF29" s="211"/>
      <c r="DG29" s="211"/>
      <c r="DH29" s="211"/>
      <c r="DI29" s="211"/>
      <c r="DJ29" s="211"/>
      <c r="DK29" s="211"/>
      <c r="DL29" s="211"/>
      <c r="DM29" s="211"/>
      <c r="DN29" s="211"/>
      <c r="DO29" s="205"/>
      <c r="DP29" s="265"/>
      <c r="HA29" s="265"/>
      <c r="HB29" s="265"/>
      <c r="HC29" s="265"/>
      <c r="HD29" s="265"/>
      <c r="HE29" s="265"/>
      <c r="HF29" s="265"/>
    </row>
    <row r="30" spans="1:214" x14ac:dyDescent="0.25">
      <c r="A30" s="273">
        <v>25</v>
      </c>
      <c r="B30" s="273" t="s">
        <v>224</v>
      </c>
      <c r="C30" s="273"/>
      <c r="D30" s="275">
        <v>1500000</v>
      </c>
      <c r="E30" s="275">
        <f>'[1]POLY LIB. 2019'!C36</f>
        <v>1500000</v>
      </c>
      <c r="F30" s="275">
        <f t="shared" si="0"/>
        <v>0</v>
      </c>
      <c r="G30" s="275"/>
      <c r="H30" s="275">
        <v>1500000</v>
      </c>
      <c r="I30" s="275">
        <f>'[1]POLY LIB. 2019'!D36</f>
        <v>1500000</v>
      </c>
      <c r="J30" s="275">
        <f t="shared" si="1"/>
        <v>0</v>
      </c>
      <c r="K30" s="275"/>
      <c r="L30" s="275">
        <v>1500000</v>
      </c>
      <c r="M30" s="275">
        <f>'[1]POLY LIB. 2019'!E36</f>
        <v>1500000</v>
      </c>
      <c r="N30" s="275">
        <f t="shared" si="2"/>
        <v>0</v>
      </c>
      <c r="O30" s="275"/>
      <c r="P30" s="275">
        <v>1500000</v>
      </c>
      <c r="Q30" s="275">
        <f>'[1]POLY LIB. 2019'!F36</f>
        <v>1500000</v>
      </c>
      <c r="R30" s="275">
        <f t="shared" si="3"/>
        <v>0</v>
      </c>
      <c r="S30" s="275"/>
      <c r="T30" s="275">
        <v>2500000</v>
      </c>
      <c r="U30" s="275">
        <f>'[1]POLY LIB. 2019'!G36</f>
        <v>2500000</v>
      </c>
      <c r="V30" s="275">
        <f t="shared" si="4"/>
        <v>0</v>
      </c>
      <c r="W30" s="275"/>
      <c r="X30" s="275">
        <v>2000000</v>
      </c>
      <c r="Y30" s="324">
        <v>2000000</v>
      </c>
      <c r="Z30" s="275">
        <f t="shared" si="5"/>
        <v>0</v>
      </c>
      <c r="AA30" s="275"/>
      <c r="AB30" s="275">
        <v>2600000</v>
      </c>
      <c r="AC30" s="275">
        <f>'[1]POLY LIB. 2019'!I36</f>
        <v>2600000</v>
      </c>
      <c r="AD30" s="275">
        <f t="shared" si="6"/>
        <v>0</v>
      </c>
      <c r="AE30" s="275"/>
      <c r="AF30" s="275">
        <v>5000000</v>
      </c>
      <c r="AG30" s="275">
        <f>'[1]POLY LIB. 2019'!J36</f>
        <v>5000000</v>
      </c>
      <c r="AH30" s="275">
        <f t="shared" si="7"/>
        <v>0</v>
      </c>
      <c r="AI30" s="275"/>
      <c r="AJ30" s="275">
        <v>5000000</v>
      </c>
      <c r="AK30" s="275">
        <f>'[1]POLY LIB. 2019'!K36</f>
        <v>5000000</v>
      </c>
      <c r="AL30" s="275">
        <f t="shared" si="8"/>
        <v>0</v>
      </c>
      <c r="AM30" s="275"/>
      <c r="AN30" s="275">
        <v>10000000</v>
      </c>
      <c r="AO30" s="324">
        <f>'[1]POLY LIB. 2019'!L36</f>
        <v>10000000</v>
      </c>
      <c r="AP30" s="275">
        <f t="shared" si="9"/>
        <v>0</v>
      </c>
      <c r="AQ30" s="205"/>
      <c r="AR30" s="275">
        <v>10000000</v>
      </c>
      <c r="AS30" s="294">
        <f>'[1]POLY LIB. 2019'!M36</f>
        <v>10000000</v>
      </c>
      <c r="AT30" s="275">
        <f t="shared" si="10"/>
        <v>0</v>
      </c>
      <c r="AU30" s="205"/>
      <c r="AV30" s="275">
        <v>30000000</v>
      </c>
      <c r="AW30" s="275">
        <f>'[1]POLY LIB. 2019'!N36</f>
        <v>30000000</v>
      </c>
      <c r="AX30" s="275">
        <f t="shared" si="11"/>
        <v>0</v>
      </c>
      <c r="AY30" s="205"/>
      <c r="AZ30" s="275">
        <f>'[1]POLY commited funds to date'!P114</f>
        <v>50000000</v>
      </c>
      <c r="BA30" s="275">
        <f>'[1]POLY LIB. 2019'!O36</f>
        <v>50000000</v>
      </c>
      <c r="BB30" s="275">
        <f t="shared" si="12"/>
        <v>0</v>
      </c>
      <c r="BC30" s="205"/>
      <c r="BD30" s="275">
        <v>70000000</v>
      </c>
      <c r="BE30" s="275">
        <f>'[1]POLY LIB. 2019'!P36</f>
        <v>70000000</v>
      </c>
      <c r="BF30" s="275">
        <f t="shared" si="13"/>
        <v>0</v>
      </c>
      <c r="BG30" s="205"/>
      <c r="BH30" s="275">
        <v>40000000</v>
      </c>
      <c r="BI30" s="275">
        <f>'[1]POLY LIB. 2019'!Q36</f>
        <v>40000000</v>
      </c>
      <c r="BJ30" s="275">
        <f t="shared" si="14"/>
        <v>0</v>
      </c>
      <c r="BL30" s="275">
        <f>'[1]POLY commited funds to date'!S114</f>
        <v>30000000</v>
      </c>
      <c r="BM30" s="275">
        <f>'[1]POLY LIB. 2019'!R36</f>
        <v>25500000</v>
      </c>
      <c r="BN30" s="275">
        <f t="shared" si="15"/>
        <v>4500000</v>
      </c>
      <c r="BP30" s="275">
        <f>'[1]POLY commited funds to date'!T114</f>
        <v>25000000</v>
      </c>
      <c r="BQ30" s="275">
        <f>'[1]POLY LIB. 2019'!S36</f>
        <v>0</v>
      </c>
      <c r="BR30" s="275">
        <f t="shared" si="16"/>
        <v>25000000</v>
      </c>
      <c r="BT30" s="275">
        <f>'[1]POLY commited funds to date'!U114</f>
        <v>15000000</v>
      </c>
      <c r="BU30" s="275">
        <f>'[1]POLY LIB. 2019'!T36</f>
        <v>0</v>
      </c>
      <c r="BV30" s="275">
        <f t="shared" si="17"/>
        <v>15000000</v>
      </c>
      <c r="BX30" s="275">
        <f t="shared" si="18"/>
        <v>303100000</v>
      </c>
      <c r="BY30" s="275">
        <f t="shared" si="18"/>
        <v>258600000</v>
      </c>
      <c r="BZ30" s="275">
        <f t="shared" si="19"/>
        <v>44500000</v>
      </c>
      <c r="CB30" s="205"/>
      <c r="CC30" s="325"/>
      <c r="CD30" s="211"/>
      <c r="CE30" s="211"/>
      <c r="CF30" s="211"/>
      <c r="CG30" s="211"/>
      <c r="CH30" s="211"/>
      <c r="CI30" s="211"/>
      <c r="CJ30" s="211"/>
      <c r="CK30" s="211"/>
      <c r="CL30" s="211"/>
      <c r="CM30" s="211"/>
      <c r="CN30" s="211"/>
      <c r="CO30" s="211"/>
      <c r="CP30" s="211"/>
      <c r="CQ30" s="211"/>
      <c r="CR30" s="211"/>
      <c r="CS30" s="211"/>
      <c r="CT30" s="211"/>
      <c r="CU30" s="211"/>
      <c r="CV30" s="211"/>
      <c r="CW30" s="211"/>
      <c r="CX30" s="211"/>
      <c r="CY30" s="211"/>
      <c r="CZ30" s="211"/>
      <c r="DA30" s="211"/>
      <c r="DB30" s="211"/>
      <c r="DC30" s="211"/>
      <c r="DD30" s="211"/>
      <c r="DE30" s="211"/>
      <c r="DF30" s="211"/>
      <c r="DG30" s="211"/>
      <c r="DH30" s="211"/>
      <c r="DI30" s="211"/>
      <c r="DJ30" s="211"/>
      <c r="DK30" s="211"/>
      <c r="DL30" s="211"/>
      <c r="DM30" s="211"/>
      <c r="DN30" s="211"/>
      <c r="DO30" s="205"/>
      <c r="DP30" s="265"/>
      <c r="HA30" s="248"/>
      <c r="HB30" s="248"/>
      <c r="HC30" s="248"/>
      <c r="HD30" s="248"/>
      <c r="HE30" s="248"/>
      <c r="HF30" s="248"/>
    </row>
    <row r="31" spans="1:214" x14ac:dyDescent="0.25">
      <c r="A31" s="273">
        <v>26</v>
      </c>
      <c r="B31" s="273" t="s">
        <v>225</v>
      </c>
      <c r="C31" s="273"/>
      <c r="D31" s="275">
        <v>1500000</v>
      </c>
      <c r="E31" s="275">
        <f>'[1]POLY LIB. 2019'!C37</f>
        <v>1500000</v>
      </c>
      <c r="F31" s="275">
        <f t="shared" si="0"/>
        <v>0</v>
      </c>
      <c r="G31" s="275"/>
      <c r="H31" s="275">
        <v>1275000</v>
      </c>
      <c r="I31" s="275">
        <f>'[1]POLY LIB. 2019'!D37</f>
        <v>1275000</v>
      </c>
      <c r="J31" s="275">
        <f t="shared" si="1"/>
        <v>0</v>
      </c>
      <c r="K31" s="275"/>
      <c r="L31" s="275">
        <v>1275000</v>
      </c>
      <c r="M31" s="275">
        <f>'[1]POLY LIB. 2019'!E37</f>
        <v>1275000</v>
      </c>
      <c r="N31" s="275">
        <f t="shared" si="2"/>
        <v>0</v>
      </c>
      <c r="O31" s="275"/>
      <c r="P31" s="275">
        <v>1500000</v>
      </c>
      <c r="Q31" s="275">
        <f>'[1]POLY LIB. 2019'!F37</f>
        <v>1500000</v>
      </c>
      <c r="R31" s="275">
        <f t="shared" si="3"/>
        <v>0</v>
      </c>
      <c r="S31" s="275"/>
      <c r="T31" s="275">
        <v>2500000</v>
      </c>
      <c r="U31" s="275">
        <f>'[1]POLY LIB. 2019'!G37</f>
        <v>2500000</v>
      </c>
      <c r="V31" s="275">
        <f t="shared" si="4"/>
        <v>0</v>
      </c>
      <c r="W31" s="275"/>
      <c r="X31" s="275">
        <v>2000000</v>
      </c>
      <c r="Y31" s="324">
        <v>2000000</v>
      </c>
      <c r="Z31" s="275">
        <f t="shared" si="5"/>
        <v>0</v>
      </c>
      <c r="AA31" s="275"/>
      <c r="AB31" s="275">
        <v>2600000</v>
      </c>
      <c r="AC31" s="275">
        <f>'[1]POLY LIB. 2019'!I37</f>
        <v>2600000</v>
      </c>
      <c r="AD31" s="275">
        <f t="shared" si="6"/>
        <v>0</v>
      </c>
      <c r="AE31" s="275"/>
      <c r="AF31" s="275">
        <v>5000000</v>
      </c>
      <c r="AG31" s="275">
        <f>'[1]POLY LIB. 2019'!J37</f>
        <v>5000000</v>
      </c>
      <c r="AH31" s="275">
        <f t="shared" si="7"/>
        <v>0</v>
      </c>
      <c r="AI31" s="275"/>
      <c r="AJ31" s="275">
        <v>5000000</v>
      </c>
      <c r="AK31" s="275">
        <f>'[1]POLY LIB. 2019'!K37</f>
        <v>5000000</v>
      </c>
      <c r="AL31" s="275">
        <f t="shared" si="8"/>
        <v>0</v>
      </c>
      <c r="AM31" s="275"/>
      <c r="AN31" s="275">
        <v>10000000</v>
      </c>
      <c r="AO31" s="324">
        <f>'[1]POLY LIB. 2019'!L37</f>
        <v>10000000</v>
      </c>
      <c r="AP31" s="275">
        <f t="shared" si="9"/>
        <v>0</v>
      </c>
      <c r="AQ31" s="205"/>
      <c r="AR31" s="275">
        <v>10000000</v>
      </c>
      <c r="AS31" s="294">
        <f>'[1]POLY LIB. 2019'!M37</f>
        <v>10000000</v>
      </c>
      <c r="AT31" s="275">
        <f t="shared" si="10"/>
        <v>0</v>
      </c>
      <c r="AU31" s="205"/>
      <c r="AV31" s="275">
        <v>30000000</v>
      </c>
      <c r="AW31" s="275">
        <f>'[1]POLY LIB. 2019'!N37</f>
        <v>30000000</v>
      </c>
      <c r="AX31" s="275">
        <f t="shared" si="11"/>
        <v>0</v>
      </c>
      <c r="AY31" s="205"/>
      <c r="AZ31" s="275">
        <f>'[1]POLY commited funds to date'!P115</f>
        <v>50000000</v>
      </c>
      <c r="BA31" s="275">
        <f>'[1]POLY LIB. 2019'!O37</f>
        <v>50000000</v>
      </c>
      <c r="BB31" s="275">
        <f t="shared" si="12"/>
        <v>0</v>
      </c>
      <c r="BC31" s="205"/>
      <c r="BD31" s="275">
        <v>70000000</v>
      </c>
      <c r="BE31" s="275">
        <f>'[1]POLY LIB. 2019'!P37</f>
        <v>0</v>
      </c>
      <c r="BF31" s="275">
        <f t="shared" si="13"/>
        <v>70000000</v>
      </c>
      <c r="BG31" s="205"/>
      <c r="BH31" s="275">
        <v>40000000</v>
      </c>
      <c r="BI31" s="275">
        <f>'[1]POLY LIB. 2019'!Q37</f>
        <v>0</v>
      </c>
      <c r="BJ31" s="275">
        <f t="shared" si="14"/>
        <v>40000000</v>
      </c>
      <c r="BL31" s="275">
        <f>'[1]POLY commited funds to date'!S115</f>
        <v>30000000</v>
      </c>
      <c r="BM31" s="275">
        <f>'[1]POLY LIB. 2019'!R37</f>
        <v>0</v>
      </c>
      <c r="BN31" s="275">
        <f t="shared" si="15"/>
        <v>30000000</v>
      </c>
      <c r="BP31" s="275">
        <f>'[1]POLY commited funds to date'!T115</f>
        <v>25000000</v>
      </c>
      <c r="BQ31" s="275">
        <f>'[1]POLY LIB. 2019'!S37</f>
        <v>0</v>
      </c>
      <c r="BR31" s="275">
        <f t="shared" si="16"/>
        <v>25000000</v>
      </c>
      <c r="BT31" s="275">
        <f>'[1]POLY commited funds to date'!U115</f>
        <v>15000000</v>
      </c>
      <c r="BU31" s="275">
        <f>'[1]POLY LIB. 2019'!T37</f>
        <v>0</v>
      </c>
      <c r="BV31" s="275">
        <f t="shared" si="17"/>
        <v>15000000</v>
      </c>
      <c r="BX31" s="275">
        <f t="shared" si="18"/>
        <v>302650000</v>
      </c>
      <c r="BY31" s="275">
        <f t="shared" si="18"/>
        <v>122650000</v>
      </c>
      <c r="BZ31" s="275">
        <f t="shared" si="19"/>
        <v>180000000</v>
      </c>
      <c r="CB31" s="205"/>
      <c r="CC31" s="325"/>
      <c r="CD31" s="211"/>
      <c r="CE31" s="211"/>
      <c r="CF31" s="211"/>
      <c r="CG31" s="211"/>
      <c r="CH31" s="211"/>
      <c r="CI31" s="211"/>
      <c r="CJ31" s="211"/>
      <c r="CK31" s="211"/>
      <c r="CL31" s="211"/>
      <c r="CM31" s="211"/>
      <c r="CN31" s="211"/>
      <c r="CO31" s="211"/>
      <c r="CP31" s="211"/>
      <c r="CQ31" s="211"/>
      <c r="CR31" s="211"/>
      <c r="CS31" s="211"/>
      <c r="CT31" s="211"/>
      <c r="CU31" s="211"/>
      <c r="CV31" s="211"/>
      <c r="CW31" s="211"/>
      <c r="CX31" s="211"/>
      <c r="CY31" s="211"/>
      <c r="CZ31" s="211"/>
      <c r="DA31" s="211"/>
      <c r="DB31" s="211"/>
      <c r="DC31" s="211"/>
      <c r="DD31" s="211"/>
      <c r="DE31" s="211"/>
      <c r="DF31" s="211"/>
      <c r="DG31" s="211"/>
      <c r="DH31" s="211"/>
      <c r="DI31" s="211"/>
      <c r="DJ31" s="211"/>
      <c r="DK31" s="211"/>
      <c r="DL31" s="211"/>
      <c r="DM31" s="211"/>
      <c r="DN31" s="211"/>
      <c r="DO31" s="205"/>
      <c r="DP31" s="265"/>
      <c r="HA31" s="265"/>
      <c r="HB31" s="265"/>
      <c r="HC31" s="265"/>
      <c r="HD31" s="265"/>
      <c r="HE31" s="265"/>
      <c r="HF31" s="265"/>
    </row>
    <row r="32" spans="1:214" x14ac:dyDescent="0.25">
      <c r="A32" s="273">
        <v>27</v>
      </c>
      <c r="B32" s="273" t="s">
        <v>226</v>
      </c>
      <c r="C32" s="273"/>
      <c r="D32" s="275">
        <v>1500000</v>
      </c>
      <c r="E32" s="275">
        <f>'[1]POLY LIB. 2019'!C38</f>
        <v>1500000</v>
      </c>
      <c r="F32" s="275">
        <f t="shared" si="0"/>
        <v>0</v>
      </c>
      <c r="G32" s="275"/>
      <c r="H32" s="275">
        <v>1500000</v>
      </c>
      <c r="I32" s="275">
        <f>'[1]POLY LIB. 2019'!D38</f>
        <v>1500000</v>
      </c>
      <c r="J32" s="275">
        <f t="shared" si="1"/>
        <v>0</v>
      </c>
      <c r="K32" s="275"/>
      <c r="L32" s="275">
        <v>1500000</v>
      </c>
      <c r="M32" s="275">
        <f>'[1]POLY LIB. 2019'!E38</f>
        <v>1500000</v>
      </c>
      <c r="N32" s="275">
        <f t="shared" si="2"/>
        <v>0</v>
      </c>
      <c r="O32" s="275"/>
      <c r="P32" s="275">
        <v>1500000</v>
      </c>
      <c r="Q32" s="275">
        <f>'[1]POLY LIB. 2019'!F38</f>
        <v>1500000</v>
      </c>
      <c r="R32" s="275">
        <f t="shared" si="3"/>
        <v>0</v>
      </c>
      <c r="S32" s="275"/>
      <c r="T32" s="275">
        <v>2500000</v>
      </c>
      <c r="U32" s="275">
        <f>'[1]POLY LIB. 2019'!G38</f>
        <v>2500000</v>
      </c>
      <c r="V32" s="275">
        <f t="shared" si="4"/>
        <v>0</v>
      </c>
      <c r="W32" s="275"/>
      <c r="X32" s="275">
        <v>2000000</v>
      </c>
      <c r="Y32" s="324">
        <v>2000000</v>
      </c>
      <c r="Z32" s="275">
        <f t="shared" si="5"/>
        <v>0</v>
      </c>
      <c r="AA32" s="275"/>
      <c r="AB32" s="275">
        <v>2600000</v>
      </c>
      <c r="AC32" s="275">
        <f>'[1]POLY LIB. 2019'!I38</f>
        <v>2600000</v>
      </c>
      <c r="AD32" s="275">
        <f t="shared" si="6"/>
        <v>0</v>
      </c>
      <c r="AE32" s="275"/>
      <c r="AF32" s="275">
        <v>5000000</v>
      </c>
      <c r="AG32" s="275">
        <f>'[1]POLY LIB. 2019'!J38</f>
        <v>5000000</v>
      </c>
      <c r="AH32" s="275">
        <f t="shared" si="7"/>
        <v>0</v>
      </c>
      <c r="AI32" s="275"/>
      <c r="AJ32" s="275">
        <v>5000000</v>
      </c>
      <c r="AK32" s="275">
        <f>'[1]POLY LIB. 2019'!K38</f>
        <v>5000000</v>
      </c>
      <c r="AL32" s="275">
        <f t="shared" si="8"/>
        <v>0</v>
      </c>
      <c r="AM32" s="275"/>
      <c r="AN32" s="275">
        <v>10000000</v>
      </c>
      <c r="AO32" s="324">
        <f>'[1]POLY LIB. 2019'!L38</f>
        <v>10000000</v>
      </c>
      <c r="AP32" s="275">
        <f t="shared" si="9"/>
        <v>0</v>
      </c>
      <c r="AQ32" s="205"/>
      <c r="AR32" s="275">
        <v>10000000</v>
      </c>
      <c r="AS32" s="294">
        <f>'[1]POLY LIB. 2019'!M38</f>
        <v>10000000</v>
      </c>
      <c r="AT32" s="275">
        <f t="shared" si="10"/>
        <v>0</v>
      </c>
      <c r="AU32" s="205"/>
      <c r="AV32" s="275">
        <v>30000000</v>
      </c>
      <c r="AW32" s="275">
        <f>'[1]POLY LIB. 2019'!N38</f>
        <v>30000000</v>
      </c>
      <c r="AX32" s="275">
        <f t="shared" si="11"/>
        <v>0</v>
      </c>
      <c r="AY32" s="205"/>
      <c r="AZ32" s="275">
        <f>'[1]POLY commited funds to date'!P116</f>
        <v>50000000</v>
      </c>
      <c r="BA32" s="275">
        <f>'[1]POLY LIB. 2019'!O38</f>
        <v>42500000</v>
      </c>
      <c r="BB32" s="275">
        <f t="shared" si="12"/>
        <v>7500000</v>
      </c>
      <c r="BC32" s="205"/>
      <c r="BD32" s="275">
        <v>70000000</v>
      </c>
      <c r="BE32" s="275">
        <f>'[1]POLY LIB. 2019'!P38</f>
        <v>59500000</v>
      </c>
      <c r="BF32" s="275">
        <f t="shared" si="13"/>
        <v>10500000</v>
      </c>
      <c r="BG32" s="205"/>
      <c r="BH32" s="275">
        <v>40000000</v>
      </c>
      <c r="BI32" s="275">
        <f>'[1]POLY LIB. 2019'!Q38</f>
        <v>40000000</v>
      </c>
      <c r="BJ32" s="275">
        <f t="shared" si="14"/>
        <v>0</v>
      </c>
      <c r="BL32" s="275">
        <f>'[1]POLY commited funds to date'!S116</f>
        <v>30000000</v>
      </c>
      <c r="BM32" s="275">
        <f>'[1]POLY LIB. 2019'!R38</f>
        <v>30000000</v>
      </c>
      <c r="BN32" s="275">
        <f t="shared" si="15"/>
        <v>0</v>
      </c>
      <c r="BP32" s="275">
        <f>'[1]POLY commited funds to date'!T116</f>
        <v>25000000</v>
      </c>
      <c r="BQ32" s="275">
        <f>'[1]POLY LIB. 2019'!S38</f>
        <v>0</v>
      </c>
      <c r="BR32" s="275">
        <f t="shared" si="16"/>
        <v>25000000</v>
      </c>
      <c r="BT32" s="275">
        <f>'[1]POLY commited funds to date'!U116</f>
        <v>15000000</v>
      </c>
      <c r="BU32" s="275">
        <f>'[1]POLY LIB. 2019'!T38</f>
        <v>0</v>
      </c>
      <c r="BV32" s="275">
        <f t="shared" si="17"/>
        <v>15000000</v>
      </c>
      <c r="BX32" s="275">
        <f t="shared" si="18"/>
        <v>303100000</v>
      </c>
      <c r="BY32" s="275">
        <f t="shared" si="18"/>
        <v>245100000</v>
      </c>
      <c r="BZ32" s="275">
        <f t="shared" si="19"/>
        <v>58000000</v>
      </c>
      <c r="CB32" s="205"/>
      <c r="CC32" s="325"/>
      <c r="CD32" s="211"/>
      <c r="CE32" s="211"/>
      <c r="CF32" s="211"/>
      <c r="CG32" s="211"/>
      <c r="CH32" s="211"/>
      <c r="CI32" s="211"/>
      <c r="CJ32" s="211"/>
      <c r="CK32" s="211"/>
      <c r="CL32" s="211"/>
      <c r="CM32" s="211"/>
      <c r="CN32" s="211"/>
      <c r="CO32" s="211"/>
      <c r="CP32" s="211"/>
      <c r="CQ32" s="211"/>
      <c r="CR32" s="211"/>
      <c r="CS32" s="211"/>
      <c r="CT32" s="211"/>
      <c r="CU32" s="211"/>
      <c r="CV32" s="211"/>
      <c r="CW32" s="211"/>
      <c r="CX32" s="211"/>
      <c r="CY32" s="211"/>
      <c r="CZ32" s="211"/>
      <c r="DA32" s="211"/>
      <c r="DB32" s="211"/>
      <c r="DC32" s="211"/>
      <c r="DD32" s="211"/>
      <c r="DE32" s="211"/>
      <c r="DF32" s="211"/>
      <c r="DG32" s="211"/>
      <c r="DH32" s="211"/>
      <c r="DI32" s="211"/>
      <c r="DJ32" s="211"/>
      <c r="DK32" s="211"/>
      <c r="DL32" s="211"/>
      <c r="DM32" s="211"/>
      <c r="DN32" s="211"/>
      <c r="DO32" s="205"/>
      <c r="DP32" s="265"/>
      <c r="HA32" s="248"/>
      <c r="HB32" s="248"/>
      <c r="HC32" s="248"/>
      <c r="HD32" s="248"/>
      <c r="HE32" s="248"/>
      <c r="HF32" s="248"/>
    </row>
    <row r="33" spans="1:214" x14ac:dyDescent="0.25">
      <c r="A33" s="273">
        <v>28</v>
      </c>
      <c r="B33" s="273" t="s">
        <v>284</v>
      </c>
      <c r="C33" s="273"/>
      <c r="D33" s="275">
        <v>1500000</v>
      </c>
      <c r="E33" s="275">
        <f>'[1]POLY LIB. 2019'!C39</f>
        <v>1500000</v>
      </c>
      <c r="F33" s="275">
        <f t="shared" si="0"/>
        <v>0</v>
      </c>
      <c r="G33" s="275"/>
      <c r="H33" s="275">
        <v>1500000</v>
      </c>
      <c r="I33" s="275">
        <f>'[1]POLY LIB. 2019'!D39</f>
        <v>1500000</v>
      </c>
      <c r="J33" s="275">
        <f t="shared" si="1"/>
        <v>0</v>
      </c>
      <c r="K33" s="275"/>
      <c r="L33" s="275">
        <v>1500000</v>
      </c>
      <c r="M33" s="275">
        <f>'[1]POLY LIB. 2019'!E39</f>
        <v>1500000</v>
      </c>
      <c r="N33" s="275">
        <f t="shared" si="2"/>
        <v>0</v>
      </c>
      <c r="O33" s="275"/>
      <c r="P33" s="275">
        <v>1500000</v>
      </c>
      <c r="Q33" s="275">
        <f>'[1]POLY LIB. 2019'!F39</f>
        <v>1500000</v>
      </c>
      <c r="R33" s="275">
        <f t="shared" si="3"/>
        <v>0</v>
      </c>
      <c r="S33" s="275"/>
      <c r="T33" s="275">
        <v>2500000</v>
      </c>
      <c r="U33" s="275">
        <f>'[1]POLY LIB. 2019'!G39</f>
        <v>2500000</v>
      </c>
      <c r="V33" s="275">
        <f t="shared" si="4"/>
        <v>0</v>
      </c>
      <c r="W33" s="275"/>
      <c r="X33" s="275">
        <v>2000000</v>
      </c>
      <c r="Y33" s="324">
        <v>2000000</v>
      </c>
      <c r="Z33" s="275">
        <f t="shared" si="5"/>
        <v>0</v>
      </c>
      <c r="AA33" s="275"/>
      <c r="AB33" s="275">
        <v>2600000</v>
      </c>
      <c r="AC33" s="275">
        <f>'[1]POLY LIB. 2019'!I39</f>
        <v>2600000</v>
      </c>
      <c r="AD33" s="275">
        <f t="shared" si="6"/>
        <v>0</v>
      </c>
      <c r="AE33" s="275"/>
      <c r="AF33" s="275">
        <v>5000000</v>
      </c>
      <c r="AG33" s="275">
        <f>'[1]POLY LIB. 2019'!J39</f>
        <v>5000000</v>
      </c>
      <c r="AH33" s="275">
        <f t="shared" si="7"/>
        <v>0</v>
      </c>
      <c r="AI33" s="275"/>
      <c r="AJ33" s="275">
        <v>5000000</v>
      </c>
      <c r="AK33" s="275">
        <f>'[1]POLY LIB. 2019'!K39</f>
        <v>5000000</v>
      </c>
      <c r="AL33" s="275">
        <f t="shared" si="8"/>
        <v>0</v>
      </c>
      <c r="AM33" s="275"/>
      <c r="AN33" s="275">
        <v>8500000</v>
      </c>
      <c r="AO33" s="324">
        <f>'[1]POLY LIB. 2019'!L39</f>
        <v>8500000</v>
      </c>
      <c r="AP33" s="275">
        <f t="shared" si="9"/>
        <v>0</v>
      </c>
      <c r="AQ33" s="205"/>
      <c r="AR33" s="275">
        <v>10000000</v>
      </c>
      <c r="AS33" s="294">
        <f>'[1]POLY LIB. 2019'!M39</f>
        <v>10000000</v>
      </c>
      <c r="AT33" s="275">
        <f t="shared" si="10"/>
        <v>0</v>
      </c>
      <c r="AU33" s="205"/>
      <c r="AV33" s="275">
        <v>30000000</v>
      </c>
      <c r="AW33" s="275">
        <f>'[1]POLY LIB. 2019'!N39</f>
        <v>30000000</v>
      </c>
      <c r="AX33" s="275">
        <f t="shared" si="11"/>
        <v>0</v>
      </c>
      <c r="AY33" s="205"/>
      <c r="AZ33" s="275">
        <f>'[1]POLY commited funds to date'!P117</f>
        <v>50000000</v>
      </c>
      <c r="BA33" s="275">
        <f>'[1]POLY LIB. 2019'!O39</f>
        <v>50000000</v>
      </c>
      <c r="BB33" s="275">
        <f t="shared" si="12"/>
        <v>0</v>
      </c>
      <c r="BC33" s="205"/>
      <c r="BD33" s="275">
        <v>70000000</v>
      </c>
      <c r="BE33" s="275">
        <f>'[1]POLY LIB. 2019'!P39</f>
        <v>70000000</v>
      </c>
      <c r="BF33" s="275">
        <f t="shared" si="13"/>
        <v>0</v>
      </c>
      <c r="BG33" s="205"/>
      <c r="BH33" s="275">
        <v>40000000</v>
      </c>
      <c r="BI33" s="275">
        <f>'[1]POLY LIB. 2019'!Q39</f>
        <v>34000000</v>
      </c>
      <c r="BJ33" s="275">
        <f t="shared" si="14"/>
        <v>6000000</v>
      </c>
      <c r="BL33" s="275">
        <f>'[1]POLY commited funds to date'!S117</f>
        <v>30000000</v>
      </c>
      <c r="BM33" s="275">
        <f>'[1]POLY LIB. 2019'!R39</f>
        <v>25500000</v>
      </c>
      <c r="BN33" s="275">
        <f t="shared" si="15"/>
        <v>4500000</v>
      </c>
      <c r="BP33" s="275">
        <f>'[1]POLY commited funds to date'!T117</f>
        <v>25000000</v>
      </c>
      <c r="BQ33" s="275">
        <f>'[1]POLY LIB. 2019'!S39</f>
        <v>0</v>
      </c>
      <c r="BR33" s="275">
        <f t="shared" si="16"/>
        <v>25000000</v>
      </c>
      <c r="BT33" s="275">
        <f>'[1]POLY commited funds to date'!U117</f>
        <v>15000000</v>
      </c>
      <c r="BU33" s="275">
        <f>'[1]POLY LIB. 2019'!T39</f>
        <v>0</v>
      </c>
      <c r="BV33" s="275">
        <f t="shared" si="17"/>
        <v>15000000</v>
      </c>
      <c r="BX33" s="275">
        <f t="shared" si="18"/>
        <v>301600000</v>
      </c>
      <c r="BY33" s="275">
        <f t="shared" si="18"/>
        <v>251100000</v>
      </c>
      <c r="BZ33" s="275">
        <f t="shared" si="19"/>
        <v>50500000</v>
      </c>
      <c r="CB33" s="205"/>
      <c r="CC33" s="325"/>
      <c r="CD33" s="211"/>
      <c r="CE33" s="211"/>
      <c r="CF33" s="211"/>
      <c r="CG33" s="211"/>
      <c r="CH33" s="211"/>
      <c r="CI33" s="211"/>
      <c r="CJ33" s="211"/>
      <c r="CK33" s="211"/>
      <c r="CL33" s="211"/>
      <c r="CM33" s="211"/>
      <c r="CN33" s="211"/>
      <c r="CO33" s="211"/>
      <c r="CP33" s="211"/>
      <c r="CQ33" s="211"/>
      <c r="CR33" s="211"/>
      <c r="CS33" s="211"/>
      <c r="CT33" s="211"/>
      <c r="CU33" s="211"/>
      <c r="CV33" s="211"/>
      <c r="CW33" s="211"/>
      <c r="CX33" s="211"/>
      <c r="CY33" s="211"/>
      <c r="CZ33" s="211"/>
      <c r="DA33" s="211"/>
      <c r="DB33" s="211"/>
      <c r="DC33" s="211"/>
      <c r="DD33" s="211"/>
      <c r="DE33" s="211"/>
      <c r="DF33" s="211"/>
      <c r="DG33" s="211"/>
      <c r="DH33" s="211"/>
      <c r="DI33" s="211"/>
      <c r="DJ33" s="211"/>
      <c r="DK33" s="211"/>
      <c r="DL33" s="211"/>
      <c r="DM33" s="211"/>
      <c r="DN33" s="211"/>
      <c r="DO33" s="205"/>
      <c r="DP33" s="265"/>
      <c r="HA33" s="265"/>
      <c r="HB33" s="265"/>
      <c r="HC33" s="265"/>
      <c r="HD33" s="265"/>
      <c r="HE33" s="265"/>
      <c r="HF33" s="265"/>
    </row>
    <row r="34" spans="1:214" x14ac:dyDescent="0.25">
      <c r="A34" s="273">
        <v>29</v>
      </c>
      <c r="B34" s="273" t="s">
        <v>228</v>
      </c>
      <c r="C34" s="273"/>
      <c r="D34" s="275">
        <v>1500000</v>
      </c>
      <c r="E34" s="326">
        <f>'[1]POLY LIB. 2019'!C40</f>
        <v>1500000</v>
      </c>
      <c r="F34" s="275">
        <f t="shared" si="0"/>
        <v>0</v>
      </c>
      <c r="G34" s="326"/>
      <c r="H34" s="326">
        <v>1500000</v>
      </c>
      <c r="I34" s="326">
        <f>'[1]POLY LIB. 2019'!D40</f>
        <v>1500000</v>
      </c>
      <c r="J34" s="275">
        <f t="shared" si="1"/>
        <v>0</v>
      </c>
      <c r="K34" s="326"/>
      <c r="L34" s="275">
        <v>1500000</v>
      </c>
      <c r="M34" s="275">
        <f>'[1]POLY LIB. 2019'!E40</f>
        <v>1500000</v>
      </c>
      <c r="N34" s="275">
        <f t="shared" si="2"/>
        <v>0</v>
      </c>
      <c r="O34" s="275"/>
      <c r="P34" s="275">
        <v>1500000</v>
      </c>
      <c r="Q34" s="275">
        <f>'[1]POLY LIB. 2019'!F40</f>
        <v>1500000</v>
      </c>
      <c r="R34" s="275">
        <f t="shared" si="3"/>
        <v>0</v>
      </c>
      <c r="S34" s="275"/>
      <c r="T34" s="275">
        <v>2500000</v>
      </c>
      <c r="U34" s="275">
        <f>'[1]POLY LIB. 2019'!G40</f>
        <v>2500000</v>
      </c>
      <c r="V34" s="275">
        <f t="shared" si="4"/>
        <v>0</v>
      </c>
      <c r="W34" s="275"/>
      <c r="X34" s="275">
        <v>2000000</v>
      </c>
      <c r="Y34" s="324">
        <v>2000000</v>
      </c>
      <c r="Z34" s="275">
        <f t="shared" si="5"/>
        <v>0</v>
      </c>
      <c r="AA34" s="275"/>
      <c r="AB34" s="275">
        <v>2600000</v>
      </c>
      <c r="AC34" s="275">
        <f>'[1]POLY LIB. 2019'!I40</f>
        <v>2600000</v>
      </c>
      <c r="AD34" s="275">
        <f t="shared" si="6"/>
        <v>0</v>
      </c>
      <c r="AE34" s="275"/>
      <c r="AF34" s="275">
        <v>5000000</v>
      </c>
      <c r="AG34" s="275">
        <f>'[1]POLY LIB. 2019'!J40</f>
        <v>5000000</v>
      </c>
      <c r="AH34" s="275">
        <f t="shared" si="7"/>
        <v>0</v>
      </c>
      <c r="AI34" s="275"/>
      <c r="AJ34" s="275">
        <v>5000000</v>
      </c>
      <c r="AK34" s="275">
        <f>'[1]POLY LIB. 2019'!K40</f>
        <v>5000000</v>
      </c>
      <c r="AL34" s="275">
        <f t="shared" si="8"/>
        <v>0</v>
      </c>
      <c r="AM34" s="275"/>
      <c r="AN34" s="275">
        <v>10000000</v>
      </c>
      <c r="AO34" s="324">
        <f>'[1]POLY LIB. 2019'!L40</f>
        <v>10000000</v>
      </c>
      <c r="AP34" s="275">
        <f t="shared" si="9"/>
        <v>0</v>
      </c>
      <c r="AQ34" s="205"/>
      <c r="AR34" s="275">
        <v>10000000</v>
      </c>
      <c r="AS34" s="294">
        <f>'[1]POLY LIB. 2019'!M40</f>
        <v>10000000</v>
      </c>
      <c r="AT34" s="275">
        <f t="shared" si="10"/>
        <v>0</v>
      </c>
      <c r="AU34" s="205"/>
      <c r="AV34" s="275">
        <v>30000000</v>
      </c>
      <c r="AW34" s="275">
        <f>'[1]POLY LIB. 2019'!N40</f>
        <v>25500000</v>
      </c>
      <c r="AX34" s="275">
        <f t="shared" si="11"/>
        <v>4500000</v>
      </c>
      <c r="AY34" s="205"/>
      <c r="AZ34" s="275">
        <f>'[1]POLY commited funds to date'!P118</f>
        <v>50000000</v>
      </c>
      <c r="BA34" s="275">
        <f>'[1]POLY LIB. 2019'!O40</f>
        <v>42500000</v>
      </c>
      <c r="BB34" s="275">
        <f t="shared" si="12"/>
        <v>7500000</v>
      </c>
      <c r="BC34" s="205"/>
      <c r="BD34" s="275">
        <v>70000000</v>
      </c>
      <c r="BE34" s="275">
        <f>'[1]POLY LIB. 2019'!P40</f>
        <v>59500000</v>
      </c>
      <c r="BF34" s="275">
        <f t="shared" si="13"/>
        <v>10500000</v>
      </c>
      <c r="BG34" s="205"/>
      <c r="BH34" s="275">
        <v>40000000</v>
      </c>
      <c r="BI34" s="275">
        <f>'[1]POLY LIB. 2019'!Q40</f>
        <v>34000000</v>
      </c>
      <c r="BJ34" s="275">
        <f t="shared" si="14"/>
        <v>6000000</v>
      </c>
      <c r="BL34" s="275">
        <f>'[1]POLY commited funds to date'!S118</f>
        <v>30000000</v>
      </c>
      <c r="BM34" s="275">
        <f>'[1]POLY LIB. 2019'!R40</f>
        <v>0</v>
      </c>
      <c r="BN34" s="275">
        <f t="shared" si="15"/>
        <v>30000000</v>
      </c>
      <c r="BP34" s="275">
        <f>'[1]POLY commited funds to date'!T118</f>
        <v>25000000</v>
      </c>
      <c r="BQ34" s="275">
        <f>'[1]POLY LIB. 2019'!S40</f>
        <v>0</v>
      </c>
      <c r="BR34" s="275">
        <f t="shared" si="16"/>
        <v>25000000</v>
      </c>
      <c r="BT34" s="275">
        <f>'[1]POLY commited funds to date'!U118</f>
        <v>15000000</v>
      </c>
      <c r="BU34" s="275">
        <f>'[1]POLY LIB. 2019'!T40</f>
        <v>0</v>
      </c>
      <c r="BV34" s="275">
        <f t="shared" si="17"/>
        <v>15000000</v>
      </c>
      <c r="BX34" s="275">
        <f t="shared" si="18"/>
        <v>303100000</v>
      </c>
      <c r="BY34" s="275">
        <f t="shared" si="18"/>
        <v>204600000</v>
      </c>
      <c r="BZ34" s="275">
        <f t="shared" si="19"/>
        <v>98500000</v>
      </c>
      <c r="CB34" s="205"/>
      <c r="CC34" s="325"/>
      <c r="CD34" s="211"/>
      <c r="CE34" s="211"/>
      <c r="CF34" s="211"/>
      <c r="CG34" s="211"/>
      <c r="CH34" s="211"/>
      <c r="CI34" s="211"/>
      <c r="CJ34" s="211"/>
      <c r="CK34" s="211"/>
      <c r="CL34" s="211"/>
      <c r="CM34" s="211"/>
      <c r="CN34" s="211"/>
      <c r="CO34" s="211"/>
      <c r="CP34" s="211"/>
      <c r="CQ34" s="211"/>
      <c r="CR34" s="211"/>
      <c r="CS34" s="211"/>
      <c r="CT34" s="211"/>
      <c r="CU34" s="211"/>
      <c r="CV34" s="211"/>
      <c r="CW34" s="211"/>
      <c r="CX34" s="211"/>
      <c r="CY34" s="211"/>
      <c r="CZ34" s="211"/>
      <c r="DA34" s="211"/>
      <c r="DB34" s="211"/>
      <c r="DC34" s="211"/>
      <c r="DD34" s="211"/>
      <c r="DE34" s="211"/>
      <c r="DF34" s="211"/>
      <c r="DG34" s="211"/>
      <c r="DH34" s="211"/>
      <c r="DI34" s="211"/>
      <c r="DJ34" s="211"/>
      <c r="DK34" s="211"/>
      <c r="DL34" s="211"/>
      <c r="DM34" s="211"/>
      <c r="DN34" s="211"/>
      <c r="DO34" s="205"/>
      <c r="DP34" s="265"/>
      <c r="HA34" s="248"/>
      <c r="HB34" s="248"/>
      <c r="HC34" s="248"/>
      <c r="HD34" s="248"/>
      <c r="HE34" s="248"/>
      <c r="HF34" s="248"/>
    </row>
    <row r="35" spans="1:214" x14ac:dyDescent="0.25">
      <c r="A35" s="273">
        <v>30</v>
      </c>
      <c r="B35" s="273" t="s">
        <v>285</v>
      </c>
      <c r="C35" s="327"/>
      <c r="D35" s="293">
        <v>1500000</v>
      </c>
      <c r="E35" s="293">
        <f>'[1]POLY LIB. 2019'!C41</f>
        <v>1500000</v>
      </c>
      <c r="F35" s="275">
        <f t="shared" si="0"/>
        <v>0</v>
      </c>
      <c r="G35" s="293"/>
      <c r="H35" s="275">
        <v>1500000</v>
      </c>
      <c r="I35" s="294">
        <f>'[1]POLY LIB. 2019'!D41</f>
        <v>1500000</v>
      </c>
      <c r="J35" s="275">
        <f t="shared" si="1"/>
        <v>0</v>
      </c>
      <c r="K35" s="294"/>
      <c r="L35" s="294">
        <v>1500000</v>
      </c>
      <c r="M35" s="294">
        <f>'[1]POLY LIB. 2019'!E41</f>
        <v>1500000</v>
      </c>
      <c r="N35" s="275">
        <f t="shared" si="2"/>
        <v>0</v>
      </c>
      <c r="O35" s="294"/>
      <c r="P35" s="275">
        <v>1500000</v>
      </c>
      <c r="Q35" s="275">
        <f>'[1]POLY LIB. 2019'!F41</f>
        <v>1500000</v>
      </c>
      <c r="R35" s="275">
        <f t="shared" si="3"/>
        <v>0</v>
      </c>
      <c r="S35" s="275"/>
      <c r="T35" s="275">
        <v>2500000</v>
      </c>
      <c r="U35" s="275">
        <f>'[1]POLY LIB. 2019'!G41</f>
        <v>2500000</v>
      </c>
      <c r="V35" s="275">
        <f t="shared" si="4"/>
        <v>0</v>
      </c>
      <c r="W35" s="275"/>
      <c r="X35" s="275">
        <v>2000000</v>
      </c>
      <c r="Y35" s="324">
        <v>2000000</v>
      </c>
      <c r="Z35" s="275">
        <f t="shared" si="5"/>
        <v>0</v>
      </c>
      <c r="AA35" s="275"/>
      <c r="AB35" s="275">
        <v>2600000</v>
      </c>
      <c r="AC35" s="275">
        <f>'[1]POLY LIB. 2019'!I41</f>
        <v>2600000</v>
      </c>
      <c r="AD35" s="275">
        <f t="shared" si="6"/>
        <v>0</v>
      </c>
      <c r="AE35" s="275"/>
      <c r="AF35" s="275">
        <v>5000000</v>
      </c>
      <c r="AG35" s="275">
        <f>'[1]POLY LIB. 2019'!J41</f>
        <v>5000000</v>
      </c>
      <c r="AH35" s="275">
        <f t="shared" si="7"/>
        <v>0</v>
      </c>
      <c r="AI35" s="275"/>
      <c r="AJ35" s="275">
        <v>5000000</v>
      </c>
      <c r="AK35" s="275">
        <f>'[1]POLY LIB. 2019'!K41</f>
        <v>5000000</v>
      </c>
      <c r="AL35" s="275">
        <f t="shared" si="8"/>
        <v>0</v>
      </c>
      <c r="AM35" s="275"/>
      <c r="AN35" s="275">
        <v>10000000</v>
      </c>
      <c r="AO35" s="324">
        <f>'[1]POLY LIB. 2019'!L41</f>
        <v>10000000</v>
      </c>
      <c r="AP35" s="275">
        <f t="shared" si="9"/>
        <v>0</v>
      </c>
      <c r="AQ35" s="205"/>
      <c r="AR35" s="275">
        <v>10000000</v>
      </c>
      <c r="AS35" s="294">
        <f>'[1]POLY LIB. 2019'!M41</f>
        <v>10000000</v>
      </c>
      <c r="AT35" s="275">
        <f t="shared" si="10"/>
        <v>0</v>
      </c>
      <c r="AU35" s="205"/>
      <c r="AV35" s="275">
        <v>30000000</v>
      </c>
      <c r="AW35" s="275">
        <f>'[1]POLY LIB. 2019'!N41</f>
        <v>30000000</v>
      </c>
      <c r="AX35" s="275">
        <f t="shared" si="11"/>
        <v>0</v>
      </c>
      <c r="AY35" s="205"/>
      <c r="AZ35" s="275">
        <f>'[1]POLY commited funds to date'!P119</f>
        <v>50000000</v>
      </c>
      <c r="BA35" s="275">
        <f>'[1]POLY LIB. 2019'!O41</f>
        <v>50000000</v>
      </c>
      <c r="BB35" s="275">
        <f t="shared" si="12"/>
        <v>0</v>
      </c>
      <c r="BC35" s="205"/>
      <c r="BD35" s="275">
        <v>70000000</v>
      </c>
      <c r="BE35" s="275">
        <f>'[1]POLY LIB. 2019'!P41</f>
        <v>70000000</v>
      </c>
      <c r="BF35" s="275">
        <f t="shared" si="13"/>
        <v>0</v>
      </c>
      <c r="BG35" s="205"/>
      <c r="BH35" s="275">
        <v>40000000</v>
      </c>
      <c r="BI35" s="275">
        <f>'[1]POLY LIB. 2019'!Q41</f>
        <v>40000000</v>
      </c>
      <c r="BJ35" s="275">
        <f t="shared" si="14"/>
        <v>0</v>
      </c>
      <c r="BL35" s="275">
        <f>'[1]POLY commited funds to date'!S119</f>
        <v>30000000</v>
      </c>
      <c r="BM35" s="275">
        <f>'[1]POLY LIB. 2019'!R41</f>
        <v>30000000</v>
      </c>
      <c r="BN35" s="275">
        <f t="shared" si="15"/>
        <v>0</v>
      </c>
      <c r="BP35" s="275">
        <f>'[1]POLY commited funds to date'!T119</f>
        <v>25000000</v>
      </c>
      <c r="BQ35" s="275">
        <f>'[1]POLY LIB. 2019'!S41</f>
        <v>0</v>
      </c>
      <c r="BR35" s="275">
        <f t="shared" si="16"/>
        <v>25000000</v>
      </c>
      <c r="BT35" s="275">
        <f>'[1]POLY commited funds to date'!U119</f>
        <v>15000000</v>
      </c>
      <c r="BU35" s="275">
        <f>'[1]POLY LIB. 2019'!T41</f>
        <v>0</v>
      </c>
      <c r="BV35" s="275">
        <f t="shared" si="17"/>
        <v>15000000</v>
      </c>
      <c r="BX35" s="275">
        <f t="shared" si="18"/>
        <v>303100000</v>
      </c>
      <c r="BY35" s="275">
        <f t="shared" si="18"/>
        <v>263100000</v>
      </c>
      <c r="BZ35" s="275">
        <f t="shared" si="19"/>
        <v>40000000</v>
      </c>
      <c r="CB35" s="205"/>
      <c r="CC35" s="325"/>
      <c r="CD35" s="211"/>
      <c r="CE35" s="211"/>
      <c r="CF35" s="211"/>
      <c r="CG35" s="211"/>
      <c r="CH35" s="211"/>
      <c r="CI35" s="211"/>
      <c r="CJ35" s="211"/>
      <c r="CK35" s="211"/>
      <c r="CL35" s="211"/>
      <c r="CM35" s="211"/>
      <c r="CN35" s="211"/>
      <c r="CO35" s="211"/>
      <c r="CP35" s="211"/>
      <c r="CQ35" s="211"/>
      <c r="CR35" s="211"/>
      <c r="CS35" s="211"/>
      <c r="CT35" s="211"/>
      <c r="CU35" s="211"/>
      <c r="CV35" s="211"/>
      <c r="CW35" s="211"/>
      <c r="CX35" s="211"/>
      <c r="CY35" s="211"/>
      <c r="CZ35" s="211"/>
      <c r="DA35" s="211"/>
      <c r="DB35" s="211"/>
      <c r="DC35" s="211"/>
      <c r="DD35" s="211"/>
      <c r="DE35" s="211"/>
      <c r="DF35" s="211"/>
      <c r="DG35" s="211"/>
      <c r="DH35" s="211"/>
      <c r="DI35" s="211"/>
      <c r="DJ35" s="211"/>
      <c r="DK35" s="211"/>
      <c r="DL35" s="211"/>
      <c r="DM35" s="211"/>
      <c r="DN35" s="211"/>
      <c r="DO35" s="205"/>
      <c r="DP35" s="265"/>
      <c r="HA35" s="265"/>
      <c r="HB35" s="265"/>
      <c r="HC35" s="265"/>
      <c r="HD35" s="265"/>
      <c r="HE35" s="265"/>
      <c r="HF35" s="265"/>
    </row>
    <row r="36" spans="1:214" x14ac:dyDescent="0.25">
      <c r="A36" s="273">
        <v>31</v>
      </c>
      <c r="B36" s="273" t="s">
        <v>230</v>
      </c>
      <c r="C36" s="327"/>
      <c r="D36" s="293">
        <v>1500000</v>
      </c>
      <c r="E36" s="293">
        <f>'[1]POLY LIB. 2019'!C42</f>
        <v>1500000</v>
      </c>
      <c r="F36" s="275">
        <f t="shared" si="0"/>
        <v>0</v>
      </c>
      <c r="G36" s="293"/>
      <c r="H36" s="275">
        <v>1500000</v>
      </c>
      <c r="I36" s="294">
        <f>'[1]POLY LIB. 2019'!D42</f>
        <v>1500000</v>
      </c>
      <c r="J36" s="275">
        <f t="shared" si="1"/>
        <v>0</v>
      </c>
      <c r="K36" s="294"/>
      <c r="L36" s="294">
        <v>1500000</v>
      </c>
      <c r="M36" s="294">
        <f>'[1]POLY LIB. 2019'!E42</f>
        <v>1500000</v>
      </c>
      <c r="N36" s="275">
        <f t="shared" si="2"/>
        <v>0</v>
      </c>
      <c r="O36" s="294"/>
      <c r="P36" s="275">
        <v>1500000</v>
      </c>
      <c r="Q36" s="275">
        <f>'[1]POLY LIB. 2019'!F42</f>
        <v>1500000</v>
      </c>
      <c r="R36" s="275">
        <f t="shared" si="3"/>
        <v>0</v>
      </c>
      <c r="S36" s="275"/>
      <c r="T36" s="275">
        <v>2500000</v>
      </c>
      <c r="U36" s="275">
        <f>'[1]POLY LIB. 2019'!G42</f>
        <v>2500000</v>
      </c>
      <c r="V36" s="275">
        <f t="shared" si="4"/>
        <v>0</v>
      </c>
      <c r="W36" s="275"/>
      <c r="X36" s="275">
        <v>1700000</v>
      </c>
      <c r="Y36" s="324">
        <v>1700000</v>
      </c>
      <c r="Z36" s="275">
        <f t="shared" si="5"/>
        <v>0</v>
      </c>
      <c r="AA36" s="275"/>
      <c r="AB36" s="275">
        <v>2600000</v>
      </c>
      <c r="AC36" s="275">
        <f>'[1]POLY LIB. 2019'!I42</f>
        <v>2600000</v>
      </c>
      <c r="AD36" s="275">
        <f t="shared" si="6"/>
        <v>0</v>
      </c>
      <c r="AE36" s="275"/>
      <c r="AF36" s="275">
        <v>5000000</v>
      </c>
      <c r="AG36" s="275">
        <f>'[1]POLY LIB. 2019'!J42</f>
        <v>5000000</v>
      </c>
      <c r="AH36" s="275">
        <f t="shared" si="7"/>
        <v>0</v>
      </c>
      <c r="AI36" s="275"/>
      <c r="AJ36" s="275">
        <v>4250000</v>
      </c>
      <c r="AK36" s="275">
        <f>'[1]POLY LIB. 2019'!K42</f>
        <v>4250000</v>
      </c>
      <c r="AL36" s="275">
        <f t="shared" si="8"/>
        <v>0</v>
      </c>
      <c r="AM36" s="275"/>
      <c r="AN36" s="275">
        <v>10000000</v>
      </c>
      <c r="AO36" s="324">
        <f>'[1]POLY LIB. 2019'!L42</f>
        <v>10000000</v>
      </c>
      <c r="AP36" s="275">
        <f t="shared" si="9"/>
        <v>0</v>
      </c>
      <c r="AQ36" s="205"/>
      <c r="AR36" s="275">
        <v>10000000</v>
      </c>
      <c r="AS36" s="294">
        <f>'[1]POLY LIB. 2019'!M42</f>
        <v>10000000</v>
      </c>
      <c r="AT36" s="275">
        <f t="shared" si="10"/>
        <v>0</v>
      </c>
      <c r="AU36" s="205"/>
      <c r="AV36" s="275">
        <v>30000000</v>
      </c>
      <c r="AW36" s="275">
        <f>'[1]POLY LIB. 2019'!N42</f>
        <v>25500000</v>
      </c>
      <c r="AX36" s="275">
        <f t="shared" si="11"/>
        <v>4500000</v>
      </c>
      <c r="AY36" s="205"/>
      <c r="AZ36" s="275">
        <f>'[1]POLY commited funds to date'!P120</f>
        <v>50000000</v>
      </c>
      <c r="BA36" s="275">
        <f>'[1]POLY LIB. 2019'!O42</f>
        <v>42500000</v>
      </c>
      <c r="BB36" s="275">
        <f t="shared" si="12"/>
        <v>7500000</v>
      </c>
      <c r="BC36" s="205"/>
      <c r="BD36" s="275">
        <v>70000000</v>
      </c>
      <c r="BE36" s="275">
        <f>'[1]POLY LIB. 2019'!P42</f>
        <v>0</v>
      </c>
      <c r="BF36" s="275">
        <f t="shared" si="13"/>
        <v>70000000</v>
      </c>
      <c r="BG36" s="205"/>
      <c r="BH36" s="275">
        <v>40000000</v>
      </c>
      <c r="BI36" s="275">
        <f>'[1]POLY LIB. 2019'!Q42</f>
        <v>0</v>
      </c>
      <c r="BJ36" s="275">
        <f t="shared" si="14"/>
        <v>40000000</v>
      </c>
      <c r="BL36" s="275">
        <f>'[1]POLY commited funds to date'!S120</f>
        <v>30000000</v>
      </c>
      <c r="BM36" s="275">
        <f>'[1]POLY LIB. 2019'!R42</f>
        <v>0</v>
      </c>
      <c r="BN36" s="275">
        <f t="shared" si="15"/>
        <v>30000000</v>
      </c>
      <c r="BP36" s="275">
        <f>'[1]POLY commited funds to date'!T120</f>
        <v>25000000</v>
      </c>
      <c r="BQ36" s="275">
        <f>'[1]POLY LIB. 2019'!S42</f>
        <v>0</v>
      </c>
      <c r="BR36" s="275">
        <f t="shared" si="16"/>
        <v>25000000</v>
      </c>
      <c r="BT36" s="275">
        <f>'[1]POLY commited funds to date'!U120</f>
        <v>15000000</v>
      </c>
      <c r="BU36" s="275">
        <f>'[1]POLY LIB. 2019'!T42</f>
        <v>0</v>
      </c>
      <c r="BV36" s="275">
        <f t="shared" si="17"/>
        <v>15000000</v>
      </c>
      <c r="BX36" s="275">
        <f t="shared" si="18"/>
        <v>302050000</v>
      </c>
      <c r="BY36" s="275">
        <f t="shared" si="18"/>
        <v>110050000</v>
      </c>
      <c r="BZ36" s="275">
        <f t="shared" si="19"/>
        <v>192000000</v>
      </c>
      <c r="CB36" s="205"/>
      <c r="CC36" s="325"/>
      <c r="CD36" s="211"/>
      <c r="CE36" s="211"/>
      <c r="CF36" s="211"/>
      <c r="CG36" s="211"/>
      <c r="CH36" s="211"/>
      <c r="CI36" s="211"/>
      <c r="CJ36" s="211"/>
      <c r="CK36" s="211"/>
      <c r="CL36" s="211"/>
      <c r="CM36" s="211"/>
      <c r="CN36" s="211"/>
      <c r="CO36" s="211"/>
      <c r="CP36" s="211"/>
      <c r="CQ36" s="211"/>
      <c r="CR36" s="211"/>
      <c r="CS36" s="211"/>
      <c r="CT36" s="211"/>
      <c r="CU36" s="211"/>
      <c r="CV36" s="211"/>
      <c r="CW36" s="211"/>
      <c r="CX36" s="211"/>
      <c r="CY36" s="211"/>
      <c r="CZ36" s="211"/>
      <c r="DA36" s="211"/>
      <c r="DB36" s="211"/>
      <c r="DC36" s="211"/>
      <c r="DD36" s="211"/>
      <c r="DE36" s="211"/>
      <c r="DF36" s="211"/>
      <c r="DG36" s="211"/>
      <c r="DH36" s="211"/>
      <c r="DI36" s="211"/>
      <c r="DJ36" s="211"/>
      <c r="DK36" s="211"/>
      <c r="DL36" s="211"/>
      <c r="DM36" s="211"/>
      <c r="DN36" s="211"/>
      <c r="DO36" s="205"/>
      <c r="DP36" s="265"/>
      <c r="HA36" s="248"/>
      <c r="HB36" s="248"/>
      <c r="HC36" s="248"/>
      <c r="HD36" s="248"/>
      <c r="HE36" s="248"/>
      <c r="HF36" s="248"/>
    </row>
    <row r="37" spans="1:214" x14ac:dyDescent="0.25">
      <c r="A37" s="273">
        <v>32</v>
      </c>
      <c r="B37" s="273" t="s">
        <v>231</v>
      </c>
      <c r="C37" s="273"/>
      <c r="D37" s="275">
        <v>1500000</v>
      </c>
      <c r="E37" s="328">
        <f>'[1]POLY LIB. 2019'!C43</f>
        <v>1500000</v>
      </c>
      <c r="F37" s="275">
        <f t="shared" si="0"/>
        <v>0</v>
      </c>
      <c r="G37" s="328"/>
      <c r="H37" s="328">
        <v>1500000</v>
      </c>
      <c r="I37" s="328">
        <f>'[1]POLY LIB. 2019'!D43</f>
        <v>1500000</v>
      </c>
      <c r="J37" s="275">
        <f t="shared" si="1"/>
        <v>0</v>
      </c>
      <c r="K37" s="328"/>
      <c r="L37" s="275">
        <v>1500000</v>
      </c>
      <c r="M37" s="275">
        <f>'[1]POLY LIB. 2019'!E43</f>
        <v>1500000</v>
      </c>
      <c r="N37" s="275">
        <f t="shared" si="2"/>
        <v>0</v>
      </c>
      <c r="O37" s="275"/>
      <c r="P37" s="275">
        <v>1500000</v>
      </c>
      <c r="Q37" s="275">
        <f>'[1]POLY LIB. 2019'!F43</f>
        <v>1500000</v>
      </c>
      <c r="R37" s="275">
        <f t="shared" si="3"/>
        <v>0</v>
      </c>
      <c r="S37" s="275"/>
      <c r="T37" s="275">
        <v>2500000</v>
      </c>
      <c r="U37" s="275">
        <f>'[1]POLY LIB. 2019'!G43</f>
        <v>2500000</v>
      </c>
      <c r="V37" s="275">
        <f t="shared" si="4"/>
        <v>0</v>
      </c>
      <c r="W37" s="275"/>
      <c r="X37" s="275">
        <v>2000000</v>
      </c>
      <c r="Y37" s="324">
        <v>2000000</v>
      </c>
      <c r="Z37" s="275">
        <f t="shared" si="5"/>
        <v>0</v>
      </c>
      <c r="AA37" s="275"/>
      <c r="AB37" s="276">
        <v>2600000</v>
      </c>
      <c r="AC37" s="276">
        <f>'[1]POLY LIB. 2019'!I43</f>
        <v>2600000</v>
      </c>
      <c r="AD37" s="275">
        <f t="shared" si="6"/>
        <v>0</v>
      </c>
      <c r="AE37" s="276"/>
      <c r="AF37" s="275">
        <v>5000000</v>
      </c>
      <c r="AG37" s="275">
        <f>'[1]POLY LIB. 2019'!J43</f>
        <v>5000000</v>
      </c>
      <c r="AH37" s="275">
        <f t="shared" si="7"/>
        <v>0</v>
      </c>
      <c r="AI37" s="275"/>
      <c r="AJ37" s="275">
        <v>5000000</v>
      </c>
      <c r="AK37" s="275">
        <f>'[1]POLY LIB. 2019'!K43</f>
        <v>5000000</v>
      </c>
      <c r="AL37" s="275">
        <f t="shared" si="8"/>
        <v>0</v>
      </c>
      <c r="AM37" s="275"/>
      <c r="AN37" s="275">
        <v>10000000</v>
      </c>
      <c r="AO37" s="324">
        <f>'[1]POLY LIB. 2019'!L43</f>
        <v>10000000</v>
      </c>
      <c r="AP37" s="275">
        <f t="shared" si="9"/>
        <v>0</v>
      </c>
      <c r="AQ37" s="205"/>
      <c r="AR37" s="275">
        <v>10000000</v>
      </c>
      <c r="AS37" s="294">
        <f>'[1]POLY LIB. 2019'!M43</f>
        <v>10000000</v>
      </c>
      <c r="AT37" s="275">
        <f t="shared" si="10"/>
        <v>0</v>
      </c>
      <c r="AU37" s="205"/>
      <c r="AV37" s="275">
        <v>30000000</v>
      </c>
      <c r="AW37" s="275">
        <f>'[1]POLY LIB. 2019'!N43</f>
        <v>30000000</v>
      </c>
      <c r="AX37" s="275">
        <f t="shared" si="11"/>
        <v>0</v>
      </c>
      <c r="AY37" s="205"/>
      <c r="AZ37" s="275">
        <f>'[1]POLY commited funds to date'!P121</f>
        <v>50000000</v>
      </c>
      <c r="BA37" s="275">
        <f>'[1]POLY LIB. 2019'!O43</f>
        <v>50000000</v>
      </c>
      <c r="BB37" s="275">
        <f t="shared" si="12"/>
        <v>0</v>
      </c>
      <c r="BC37" s="205"/>
      <c r="BD37" s="275">
        <v>70000000</v>
      </c>
      <c r="BE37" s="275">
        <f>'[1]POLY LIB. 2019'!P43</f>
        <v>70000000</v>
      </c>
      <c r="BF37" s="275">
        <f t="shared" si="13"/>
        <v>0</v>
      </c>
      <c r="BG37" s="205"/>
      <c r="BH37" s="275">
        <v>40000000</v>
      </c>
      <c r="BI37" s="275">
        <f>'[1]POLY LIB. 2019'!Q43</f>
        <v>40000000</v>
      </c>
      <c r="BJ37" s="275">
        <f t="shared" si="14"/>
        <v>0</v>
      </c>
      <c r="BL37" s="275">
        <f>'[1]POLY commited funds to date'!S121</f>
        <v>30000000</v>
      </c>
      <c r="BM37" s="275">
        <f>'[1]POLY LIB. 2019'!R43</f>
        <v>0</v>
      </c>
      <c r="BN37" s="275">
        <f t="shared" si="15"/>
        <v>30000000</v>
      </c>
      <c r="BP37" s="275">
        <f>'[1]POLY commited funds to date'!T121</f>
        <v>25000000</v>
      </c>
      <c r="BQ37" s="275">
        <f>'[1]POLY LIB. 2019'!S43</f>
        <v>0</v>
      </c>
      <c r="BR37" s="275">
        <f t="shared" si="16"/>
        <v>25000000</v>
      </c>
      <c r="BT37" s="275">
        <f>'[1]POLY commited funds to date'!U121</f>
        <v>15000000</v>
      </c>
      <c r="BU37" s="275">
        <f>'[1]POLY LIB. 2019'!T43</f>
        <v>0</v>
      </c>
      <c r="BV37" s="275">
        <f t="shared" si="17"/>
        <v>15000000</v>
      </c>
      <c r="BX37" s="275">
        <f t="shared" si="18"/>
        <v>303100000</v>
      </c>
      <c r="BY37" s="275">
        <f t="shared" si="18"/>
        <v>233100000</v>
      </c>
      <c r="BZ37" s="275">
        <f t="shared" si="19"/>
        <v>70000000</v>
      </c>
      <c r="CB37" s="205"/>
      <c r="CC37" s="325"/>
      <c r="CD37" s="211"/>
      <c r="CE37" s="211"/>
      <c r="CF37" s="211"/>
      <c r="CG37" s="211"/>
      <c r="CH37" s="211"/>
      <c r="CI37" s="211"/>
      <c r="CJ37" s="211"/>
      <c r="CK37" s="211"/>
      <c r="CL37" s="211"/>
      <c r="CM37" s="211"/>
      <c r="CN37" s="211"/>
      <c r="CO37" s="211"/>
      <c r="CP37" s="211"/>
      <c r="CQ37" s="211"/>
      <c r="CR37" s="211"/>
      <c r="CS37" s="211"/>
      <c r="CT37" s="211"/>
      <c r="CU37" s="211"/>
      <c r="CV37" s="211"/>
      <c r="CW37" s="211"/>
      <c r="CX37" s="211"/>
      <c r="CY37" s="211"/>
      <c r="CZ37" s="211"/>
      <c r="DA37" s="211"/>
      <c r="DB37" s="211"/>
      <c r="DC37" s="211"/>
      <c r="DD37" s="211"/>
      <c r="DE37" s="211"/>
      <c r="DF37" s="211"/>
      <c r="DG37" s="211"/>
      <c r="DH37" s="211"/>
      <c r="DI37" s="211"/>
      <c r="DJ37" s="211"/>
      <c r="DK37" s="211"/>
      <c r="DL37" s="211"/>
      <c r="DM37" s="211"/>
      <c r="DN37" s="211"/>
      <c r="DO37" s="205"/>
      <c r="DP37" s="265"/>
      <c r="HA37" s="265"/>
      <c r="HB37" s="265"/>
      <c r="HC37" s="265"/>
      <c r="HD37" s="265"/>
      <c r="HE37" s="265"/>
      <c r="HF37" s="265"/>
    </row>
    <row r="38" spans="1:214" x14ac:dyDescent="0.25">
      <c r="A38" s="273">
        <v>33</v>
      </c>
      <c r="B38" s="273" t="s">
        <v>232</v>
      </c>
      <c r="C38" s="273"/>
      <c r="D38" s="275">
        <v>1500000</v>
      </c>
      <c r="E38" s="275">
        <f>'[1]POLY LIB. 2019'!C44</f>
        <v>1500000</v>
      </c>
      <c r="F38" s="275">
        <f t="shared" si="0"/>
        <v>0</v>
      </c>
      <c r="G38" s="275"/>
      <c r="H38" s="275">
        <v>1500000</v>
      </c>
      <c r="I38" s="275">
        <f>'[1]POLY LIB. 2019'!D44</f>
        <v>1500000</v>
      </c>
      <c r="J38" s="275">
        <f t="shared" si="1"/>
        <v>0</v>
      </c>
      <c r="K38" s="275"/>
      <c r="L38" s="275">
        <v>1500000</v>
      </c>
      <c r="M38" s="275">
        <f>'[1]POLY LIB. 2019'!E44</f>
        <v>1500000</v>
      </c>
      <c r="N38" s="275">
        <f t="shared" si="2"/>
        <v>0</v>
      </c>
      <c r="O38" s="275"/>
      <c r="P38" s="275">
        <v>1500000</v>
      </c>
      <c r="Q38" s="275">
        <f>'[1]POLY LIB. 2019'!F44</f>
        <v>1500000</v>
      </c>
      <c r="R38" s="275">
        <f t="shared" si="3"/>
        <v>0</v>
      </c>
      <c r="S38" s="275"/>
      <c r="T38" s="275">
        <v>2500000</v>
      </c>
      <c r="U38" s="275">
        <f>'[1]POLY LIB. 2019'!G44</f>
        <v>2500000</v>
      </c>
      <c r="V38" s="275">
        <f t="shared" si="4"/>
        <v>0</v>
      </c>
      <c r="W38" s="275"/>
      <c r="X38" s="275">
        <v>2000000</v>
      </c>
      <c r="Y38" s="324">
        <v>2000000</v>
      </c>
      <c r="Z38" s="275">
        <f t="shared" si="5"/>
        <v>0</v>
      </c>
      <c r="AA38" s="275"/>
      <c r="AB38" s="276">
        <v>2600000</v>
      </c>
      <c r="AC38" s="276">
        <f>'[1]POLY LIB. 2019'!I44</f>
        <v>2600000</v>
      </c>
      <c r="AD38" s="275">
        <f t="shared" si="6"/>
        <v>0</v>
      </c>
      <c r="AE38" s="276"/>
      <c r="AF38" s="275">
        <v>5000000</v>
      </c>
      <c r="AG38" s="275">
        <f>'[1]POLY LIB. 2019'!J44</f>
        <v>5000000</v>
      </c>
      <c r="AH38" s="275">
        <f t="shared" si="7"/>
        <v>0</v>
      </c>
      <c r="AI38" s="275"/>
      <c r="AJ38" s="275">
        <v>5000000</v>
      </c>
      <c r="AK38" s="275">
        <f>'[1]POLY LIB. 2019'!K44</f>
        <v>5000000</v>
      </c>
      <c r="AL38" s="275">
        <f t="shared" si="8"/>
        <v>0</v>
      </c>
      <c r="AM38" s="275"/>
      <c r="AN38" s="275">
        <v>10000000</v>
      </c>
      <c r="AO38" s="324">
        <f>'[1]POLY LIB. 2019'!L44</f>
        <v>10000000</v>
      </c>
      <c r="AP38" s="275">
        <f t="shared" si="9"/>
        <v>0</v>
      </c>
      <c r="AQ38" s="205"/>
      <c r="AR38" s="275">
        <v>10000000</v>
      </c>
      <c r="AS38" s="294">
        <f>'[1]POLY LIB. 2019'!M44</f>
        <v>10000000</v>
      </c>
      <c r="AT38" s="275">
        <f t="shared" si="10"/>
        <v>0</v>
      </c>
      <c r="AU38" s="205"/>
      <c r="AV38" s="275">
        <v>30000000</v>
      </c>
      <c r="AW38" s="275">
        <f>'[1]POLY LIB. 2019'!N44</f>
        <v>30000000</v>
      </c>
      <c r="AX38" s="275">
        <f t="shared" si="11"/>
        <v>0</v>
      </c>
      <c r="AY38" s="205"/>
      <c r="AZ38" s="275">
        <f>'[1]POLY commited funds to date'!P122</f>
        <v>50000000</v>
      </c>
      <c r="BA38" s="275">
        <f>'[1]POLY LIB. 2019'!O44</f>
        <v>50000000</v>
      </c>
      <c r="BB38" s="275">
        <f t="shared" si="12"/>
        <v>0</v>
      </c>
      <c r="BC38" s="205"/>
      <c r="BD38" s="275">
        <v>70000000</v>
      </c>
      <c r="BE38" s="275">
        <f>'[1]POLY LIB. 2019'!P44</f>
        <v>70000000</v>
      </c>
      <c r="BF38" s="275">
        <f t="shared" si="13"/>
        <v>0</v>
      </c>
      <c r="BG38" s="205"/>
      <c r="BH38" s="275">
        <v>40000000</v>
      </c>
      <c r="BI38" s="275">
        <f>'[1]POLY LIB. 2019'!Q44</f>
        <v>34000000</v>
      </c>
      <c r="BJ38" s="275">
        <f t="shared" si="14"/>
        <v>6000000</v>
      </c>
      <c r="BL38" s="275">
        <f>'[1]POLY commited funds to date'!S122</f>
        <v>30000000</v>
      </c>
      <c r="BM38" s="275">
        <f>'[1]POLY LIB. 2019'!R44</f>
        <v>25500000</v>
      </c>
      <c r="BN38" s="275">
        <f t="shared" si="15"/>
        <v>4500000</v>
      </c>
      <c r="BP38" s="275">
        <f>'[1]POLY commited funds to date'!T122</f>
        <v>25000000</v>
      </c>
      <c r="BQ38" s="275">
        <f>'[1]POLY LIB. 2019'!S44</f>
        <v>0</v>
      </c>
      <c r="BR38" s="275">
        <f t="shared" si="16"/>
        <v>25000000</v>
      </c>
      <c r="BT38" s="275">
        <f>'[1]POLY commited funds to date'!U122</f>
        <v>15000000</v>
      </c>
      <c r="BU38" s="275">
        <f>'[1]POLY LIB. 2019'!T44</f>
        <v>0</v>
      </c>
      <c r="BV38" s="275">
        <f t="shared" si="17"/>
        <v>15000000</v>
      </c>
      <c r="BX38" s="275">
        <f t="shared" si="18"/>
        <v>303100000</v>
      </c>
      <c r="BY38" s="275">
        <f t="shared" si="18"/>
        <v>252600000</v>
      </c>
      <c r="BZ38" s="275">
        <f t="shared" si="19"/>
        <v>50500000</v>
      </c>
      <c r="CB38" s="205"/>
      <c r="CC38" s="325"/>
      <c r="CD38" s="211"/>
      <c r="CE38" s="211"/>
      <c r="CF38" s="211"/>
      <c r="CG38" s="211"/>
      <c r="CH38" s="211"/>
      <c r="CI38" s="211"/>
      <c r="CJ38" s="211"/>
      <c r="CK38" s="211"/>
      <c r="CL38" s="211"/>
      <c r="CM38" s="211"/>
      <c r="CN38" s="211"/>
      <c r="CO38" s="211"/>
      <c r="CP38" s="211"/>
      <c r="CQ38" s="211"/>
      <c r="CR38" s="211"/>
      <c r="CS38" s="211"/>
      <c r="CT38" s="211"/>
      <c r="CU38" s="211"/>
      <c r="CV38" s="211"/>
      <c r="CW38" s="211"/>
      <c r="CX38" s="211"/>
      <c r="CY38" s="211"/>
      <c r="CZ38" s="211"/>
      <c r="DA38" s="211"/>
      <c r="DB38" s="211"/>
      <c r="DC38" s="211"/>
      <c r="DD38" s="211"/>
      <c r="DE38" s="211"/>
      <c r="DF38" s="211"/>
      <c r="DG38" s="211"/>
      <c r="DH38" s="211"/>
      <c r="DI38" s="211"/>
      <c r="DJ38" s="211"/>
      <c r="DK38" s="211"/>
      <c r="DL38" s="211"/>
      <c r="DM38" s="211"/>
      <c r="DN38" s="211"/>
      <c r="DO38" s="205"/>
      <c r="DP38" s="265"/>
      <c r="HA38" s="248"/>
      <c r="HB38" s="248"/>
      <c r="HC38" s="248"/>
      <c r="HD38" s="248"/>
      <c r="HE38" s="248"/>
      <c r="HF38" s="248"/>
    </row>
    <row r="39" spans="1:214" x14ac:dyDescent="0.25">
      <c r="A39" s="273">
        <v>34</v>
      </c>
      <c r="B39" s="273" t="s">
        <v>233</v>
      </c>
      <c r="C39" s="273"/>
      <c r="D39" s="275">
        <v>1500000</v>
      </c>
      <c r="E39" s="275">
        <f>'[1]POLY LIB. 2019'!C45</f>
        <v>1500000</v>
      </c>
      <c r="F39" s="275">
        <f t="shared" si="0"/>
        <v>0</v>
      </c>
      <c r="G39" s="275"/>
      <c r="H39" s="275">
        <v>1275000</v>
      </c>
      <c r="I39" s="275">
        <f>'[1]POLY LIB. 2019'!D45</f>
        <v>1275000</v>
      </c>
      <c r="J39" s="275">
        <f t="shared" si="1"/>
        <v>0</v>
      </c>
      <c r="K39" s="275"/>
      <c r="L39" s="275">
        <v>1500000</v>
      </c>
      <c r="M39" s="275">
        <f>'[1]POLY LIB. 2019'!E45</f>
        <v>1500000</v>
      </c>
      <c r="N39" s="275">
        <f t="shared" si="2"/>
        <v>0</v>
      </c>
      <c r="O39" s="275"/>
      <c r="P39" s="275">
        <v>1500000</v>
      </c>
      <c r="Q39" s="275">
        <f>'[1]POLY LIB. 2019'!F45</f>
        <v>1500000</v>
      </c>
      <c r="R39" s="275">
        <f t="shared" si="3"/>
        <v>0</v>
      </c>
      <c r="S39" s="275"/>
      <c r="T39" s="275">
        <v>2500000</v>
      </c>
      <c r="U39" s="275">
        <f>'[1]POLY LIB. 2019'!G45</f>
        <v>2500000</v>
      </c>
      <c r="V39" s="275">
        <f t="shared" si="4"/>
        <v>0</v>
      </c>
      <c r="W39" s="275"/>
      <c r="X39" s="275">
        <v>2000000</v>
      </c>
      <c r="Y39" s="324">
        <v>2000000</v>
      </c>
      <c r="Z39" s="275">
        <f t="shared" si="5"/>
        <v>0</v>
      </c>
      <c r="AA39" s="275"/>
      <c r="AB39" s="276">
        <v>2600000</v>
      </c>
      <c r="AC39" s="276">
        <f>'[1]POLY LIB. 2019'!I45</f>
        <v>2600000</v>
      </c>
      <c r="AD39" s="275">
        <f t="shared" si="6"/>
        <v>0</v>
      </c>
      <c r="AE39" s="276"/>
      <c r="AF39" s="275">
        <v>5000000</v>
      </c>
      <c r="AG39" s="275">
        <f>'[1]POLY LIB. 2019'!J45</f>
        <v>5000000</v>
      </c>
      <c r="AH39" s="275">
        <f t="shared" si="7"/>
        <v>0</v>
      </c>
      <c r="AI39" s="275"/>
      <c r="AJ39" s="275">
        <v>5000000</v>
      </c>
      <c r="AK39" s="275">
        <f>'[1]POLY LIB. 2019'!K45</f>
        <v>5000000</v>
      </c>
      <c r="AL39" s="275">
        <f t="shared" si="8"/>
        <v>0</v>
      </c>
      <c r="AM39" s="275"/>
      <c r="AN39" s="275">
        <v>10000000</v>
      </c>
      <c r="AO39" s="324">
        <f>'[1]POLY LIB. 2019'!L45</f>
        <v>10000000</v>
      </c>
      <c r="AP39" s="275">
        <f t="shared" si="9"/>
        <v>0</v>
      </c>
      <c r="AQ39" s="205"/>
      <c r="AR39" s="275">
        <v>10000000</v>
      </c>
      <c r="AS39" s="294">
        <f>'[1]POLY LIB. 2019'!M45</f>
        <v>10000000</v>
      </c>
      <c r="AT39" s="275">
        <f t="shared" si="10"/>
        <v>0</v>
      </c>
      <c r="AU39" s="205"/>
      <c r="AV39" s="275">
        <v>30000000</v>
      </c>
      <c r="AW39" s="275">
        <f>'[1]POLY LIB. 2019'!N45</f>
        <v>30000000</v>
      </c>
      <c r="AX39" s="275">
        <f t="shared" si="11"/>
        <v>0</v>
      </c>
      <c r="AY39" s="205"/>
      <c r="AZ39" s="275">
        <f>'[1]POLY commited funds to date'!P123</f>
        <v>50000000</v>
      </c>
      <c r="BA39" s="275">
        <f>'[1]POLY LIB. 2019'!O45</f>
        <v>50000000</v>
      </c>
      <c r="BB39" s="275">
        <f t="shared" si="12"/>
        <v>0</v>
      </c>
      <c r="BC39" s="205"/>
      <c r="BD39" s="275">
        <v>70000000</v>
      </c>
      <c r="BE39" s="275">
        <f>'[1]POLY LIB. 2019'!P45</f>
        <v>70000000</v>
      </c>
      <c r="BF39" s="275">
        <f t="shared" si="13"/>
        <v>0</v>
      </c>
      <c r="BG39" s="205"/>
      <c r="BH39" s="275">
        <v>40000000</v>
      </c>
      <c r="BI39" s="275">
        <f>'[1]POLY LIB. 2019'!Q45</f>
        <v>0</v>
      </c>
      <c r="BJ39" s="275">
        <f t="shared" si="14"/>
        <v>40000000</v>
      </c>
      <c r="BL39" s="275">
        <f>'[1]POLY commited funds to date'!S123</f>
        <v>30000000</v>
      </c>
      <c r="BM39" s="275">
        <f>'[1]POLY LIB. 2019'!R45</f>
        <v>0</v>
      </c>
      <c r="BN39" s="275">
        <f t="shared" si="15"/>
        <v>30000000</v>
      </c>
      <c r="BP39" s="275">
        <f>'[1]POLY commited funds to date'!T123</f>
        <v>25000000</v>
      </c>
      <c r="BQ39" s="275">
        <f>'[1]POLY LIB. 2019'!S45</f>
        <v>0</v>
      </c>
      <c r="BR39" s="275">
        <f t="shared" si="16"/>
        <v>25000000</v>
      </c>
      <c r="BT39" s="275">
        <f>'[1]POLY commited funds to date'!U123</f>
        <v>15000000</v>
      </c>
      <c r="BU39" s="275">
        <f>'[1]POLY LIB. 2019'!T45</f>
        <v>0</v>
      </c>
      <c r="BV39" s="275">
        <f t="shared" si="17"/>
        <v>15000000</v>
      </c>
      <c r="BX39" s="275">
        <f t="shared" si="18"/>
        <v>302875000</v>
      </c>
      <c r="BY39" s="275">
        <f t="shared" si="18"/>
        <v>192875000</v>
      </c>
      <c r="BZ39" s="275">
        <f t="shared" si="19"/>
        <v>110000000</v>
      </c>
      <c r="CB39" s="205"/>
      <c r="CC39" s="325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  <c r="CX39" s="211"/>
      <c r="CY39" s="211"/>
      <c r="CZ39" s="211"/>
      <c r="DA39" s="211"/>
      <c r="DB39" s="211"/>
      <c r="DC39" s="211"/>
      <c r="DD39" s="211"/>
      <c r="DE39" s="211"/>
      <c r="DF39" s="211"/>
      <c r="DG39" s="211"/>
      <c r="DH39" s="211"/>
      <c r="DI39" s="211"/>
      <c r="DJ39" s="211"/>
      <c r="DK39" s="211"/>
      <c r="DL39" s="211"/>
      <c r="DM39" s="211"/>
      <c r="DN39" s="211"/>
      <c r="DO39" s="205"/>
      <c r="DP39" s="265"/>
      <c r="HA39" s="265"/>
      <c r="HB39" s="265"/>
      <c r="HC39" s="265"/>
      <c r="HD39" s="265"/>
      <c r="HE39" s="265"/>
      <c r="HF39" s="265"/>
    </row>
    <row r="40" spans="1:214" x14ac:dyDescent="0.25">
      <c r="A40" s="273">
        <v>35</v>
      </c>
      <c r="B40" s="273" t="s">
        <v>234</v>
      </c>
      <c r="C40" s="273"/>
      <c r="D40" s="275">
        <v>1500000</v>
      </c>
      <c r="E40" s="275">
        <f>'[1]POLY LIB. 2019'!C46</f>
        <v>1500000</v>
      </c>
      <c r="F40" s="275">
        <f t="shared" si="0"/>
        <v>0</v>
      </c>
      <c r="G40" s="275"/>
      <c r="H40" s="275">
        <v>1500000</v>
      </c>
      <c r="I40" s="275">
        <f>'[1]POLY LIB. 2019'!D46</f>
        <v>1500000</v>
      </c>
      <c r="J40" s="275">
        <f t="shared" si="1"/>
        <v>0</v>
      </c>
      <c r="K40" s="275"/>
      <c r="L40" s="275">
        <v>1500000</v>
      </c>
      <c r="M40" s="275">
        <f>'[1]POLY LIB. 2019'!E46</f>
        <v>1500000</v>
      </c>
      <c r="N40" s="275">
        <f t="shared" si="2"/>
        <v>0</v>
      </c>
      <c r="O40" s="275"/>
      <c r="P40" s="275">
        <v>1500000</v>
      </c>
      <c r="Q40" s="275">
        <f>'[1]POLY LIB. 2019'!F46</f>
        <v>1500000</v>
      </c>
      <c r="R40" s="275">
        <f t="shared" si="3"/>
        <v>0</v>
      </c>
      <c r="S40" s="275"/>
      <c r="T40" s="275">
        <v>2500000</v>
      </c>
      <c r="U40" s="275">
        <f>'[1]POLY LIB. 2019'!G46</f>
        <v>2500000</v>
      </c>
      <c r="V40" s="275">
        <f t="shared" si="4"/>
        <v>0</v>
      </c>
      <c r="W40" s="275"/>
      <c r="X40" s="275">
        <v>2000000</v>
      </c>
      <c r="Y40" s="324">
        <v>2000000</v>
      </c>
      <c r="Z40" s="275">
        <f t="shared" si="5"/>
        <v>0</v>
      </c>
      <c r="AA40" s="275"/>
      <c r="AB40" s="276">
        <v>2600000</v>
      </c>
      <c r="AC40" s="276">
        <f>'[1]POLY LIB. 2019'!I46</f>
        <v>2600000</v>
      </c>
      <c r="AD40" s="275">
        <f t="shared" si="6"/>
        <v>0</v>
      </c>
      <c r="AE40" s="276"/>
      <c r="AF40" s="275">
        <v>5000000</v>
      </c>
      <c r="AG40" s="275">
        <f>'[1]POLY LIB. 2019'!J46</f>
        <v>5000000</v>
      </c>
      <c r="AH40" s="275">
        <f t="shared" si="7"/>
        <v>0</v>
      </c>
      <c r="AI40" s="275"/>
      <c r="AJ40" s="275">
        <v>5000000</v>
      </c>
      <c r="AK40" s="275">
        <f>'[1]POLY LIB. 2019'!K46</f>
        <v>5000000</v>
      </c>
      <c r="AL40" s="275">
        <f t="shared" si="8"/>
        <v>0</v>
      </c>
      <c r="AM40" s="275"/>
      <c r="AN40" s="275">
        <v>10000000</v>
      </c>
      <c r="AO40" s="324">
        <f>'[1]POLY LIB. 2019'!L46</f>
        <v>10000000</v>
      </c>
      <c r="AP40" s="275">
        <f t="shared" si="9"/>
        <v>0</v>
      </c>
      <c r="AQ40" s="205"/>
      <c r="AR40" s="275">
        <v>10000000</v>
      </c>
      <c r="AS40" s="294">
        <f>'[1]POLY LIB. 2019'!M46</f>
        <v>10000000</v>
      </c>
      <c r="AT40" s="275">
        <f t="shared" si="10"/>
        <v>0</v>
      </c>
      <c r="AU40" s="205"/>
      <c r="AV40" s="275">
        <v>30000000</v>
      </c>
      <c r="AW40" s="275">
        <f>'[1]POLY LIB. 2019'!N46</f>
        <v>30000000</v>
      </c>
      <c r="AX40" s="275">
        <f t="shared" si="11"/>
        <v>0</v>
      </c>
      <c r="AY40" s="205"/>
      <c r="AZ40" s="275">
        <f>'[1]POLY commited funds to date'!P124</f>
        <v>50000000</v>
      </c>
      <c r="BA40" s="275">
        <f>'[1]POLY LIB. 2019'!O46</f>
        <v>42500000</v>
      </c>
      <c r="BB40" s="275">
        <f t="shared" si="12"/>
        <v>7500000</v>
      </c>
      <c r="BC40" s="205"/>
      <c r="BD40" s="275">
        <v>70000000</v>
      </c>
      <c r="BE40" s="275">
        <f>'[1]POLY LIB. 2019'!P46</f>
        <v>59500000</v>
      </c>
      <c r="BF40" s="275">
        <f t="shared" si="13"/>
        <v>10500000</v>
      </c>
      <c r="BG40" s="205"/>
      <c r="BH40" s="281">
        <v>0</v>
      </c>
      <c r="BI40" s="281">
        <f>'[1]POLY LIB. 2019'!Q46</f>
        <v>0</v>
      </c>
      <c r="BJ40" s="281">
        <f t="shared" si="14"/>
        <v>0</v>
      </c>
      <c r="BL40" s="275">
        <f>'[1]POLY commited funds to date'!S124</f>
        <v>30000000</v>
      </c>
      <c r="BM40" s="275">
        <f>'[1]POLY LIB. 2019'!R46</f>
        <v>0</v>
      </c>
      <c r="BN40" s="275">
        <f t="shared" si="15"/>
        <v>30000000</v>
      </c>
      <c r="BP40" s="275">
        <f>'[1]POLY commited funds to date'!T124</f>
        <v>0</v>
      </c>
      <c r="BQ40" s="275">
        <f>'[1]POLY LIB. 2019'!S46</f>
        <v>0</v>
      </c>
      <c r="BR40" s="275">
        <f t="shared" si="16"/>
        <v>0</v>
      </c>
      <c r="BT40" s="275">
        <f>'[1]POLY commited funds to date'!U124</f>
        <v>15000000</v>
      </c>
      <c r="BU40" s="275">
        <f>'[1]POLY LIB. 2019'!T46</f>
        <v>0</v>
      </c>
      <c r="BV40" s="275">
        <f t="shared" si="17"/>
        <v>15000000</v>
      </c>
      <c r="BX40" s="275">
        <f t="shared" si="18"/>
        <v>238100000</v>
      </c>
      <c r="BY40" s="275">
        <f t="shared" si="18"/>
        <v>175100000</v>
      </c>
      <c r="BZ40" s="275">
        <f t="shared" si="19"/>
        <v>63000000</v>
      </c>
      <c r="CB40" s="205"/>
      <c r="CC40" s="325"/>
      <c r="CD40" s="211"/>
      <c r="CE40" s="211"/>
      <c r="CF40" s="211"/>
      <c r="CG40" s="211"/>
      <c r="CH40" s="211"/>
      <c r="CI40" s="211"/>
      <c r="CJ40" s="211"/>
      <c r="CK40" s="211"/>
      <c r="CL40" s="211"/>
      <c r="CM40" s="211"/>
      <c r="CN40" s="211"/>
      <c r="CO40" s="211"/>
      <c r="CP40" s="211"/>
      <c r="CQ40" s="211"/>
      <c r="CR40" s="211"/>
      <c r="CS40" s="211"/>
      <c r="CT40" s="211"/>
      <c r="CU40" s="211"/>
      <c r="CV40" s="211"/>
      <c r="CW40" s="211"/>
      <c r="CX40" s="211"/>
      <c r="CY40" s="211"/>
      <c r="CZ40" s="211"/>
      <c r="DA40" s="211"/>
      <c r="DB40" s="211"/>
      <c r="DC40" s="211"/>
      <c r="DD40" s="211"/>
      <c r="DE40" s="211"/>
      <c r="DF40" s="211"/>
      <c r="DG40" s="211"/>
      <c r="DH40" s="211"/>
      <c r="DI40" s="211"/>
      <c r="DJ40" s="211"/>
      <c r="DK40" s="211"/>
      <c r="DL40" s="211"/>
      <c r="DM40" s="211"/>
      <c r="DN40" s="211"/>
      <c r="DO40" s="205"/>
      <c r="DP40" s="265"/>
      <c r="HA40" s="248"/>
      <c r="HB40" s="248"/>
      <c r="HC40" s="248"/>
      <c r="HD40" s="248"/>
      <c r="HE40" s="248"/>
      <c r="HF40" s="248"/>
    </row>
    <row r="41" spans="1:214" x14ac:dyDescent="0.25">
      <c r="A41" s="273">
        <v>36</v>
      </c>
      <c r="B41" s="273" t="s">
        <v>286</v>
      </c>
      <c r="C41" s="273"/>
      <c r="D41" s="275">
        <v>1500000</v>
      </c>
      <c r="E41" s="275">
        <f>'[1]POLY LIB. 2019'!C47</f>
        <v>1500000</v>
      </c>
      <c r="F41" s="275">
        <f t="shared" si="0"/>
        <v>0</v>
      </c>
      <c r="G41" s="275"/>
      <c r="H41" s="275">
        <v>1500000</v>
      </c>
      <c r="I41" s="275">
        <f>'[1]POLY LIB. 2019'!D47</f>
        <v>1500000</v>
      </c>
      <c r="J41" s="275">
        <f t="shared" si="1"/>
        <v>0</v>
      </c>
      <c r="K41" s="275"/>
      <c r="L41" s="275">
        <v>1500000</v>
      </c>
      <c r="M41" s="275">
        <f>'[1]POLY LIB. 2019'!E47</f>
        <v>1500000</v>
      </c>
      <c r="N41" s="275">
        <f t="shared" si="2"/>
        <v>0</v>
      </c>
      <c r="O41" s="275"/>
      <c r="P41" s="275">
        <v>1500000</v>
      </c>
      <c r="Q41" s="275">
        <f>'[1]POLY LIB. 2019'!F47</f>
        <v>1500000</v>
      </c>
      <c r="R41" s="275">
        <f t="shared" si="3"/>
        <v>0</v>
      </c>
      <c r="S41" s="275"/>
      <c r="T41" s="275">
        <v>2500000</v>
      </c>
      <c r="U41" s="275">
        <f>'[1]POLY LIB. 2019'!G47</f>
        <v>2500000</v>
      </c>
      <c r="V41" s="275">
        <f t="shared" si="4"/>
        <v>0</v>
      </c>
      <c r="W41" s="275"/>
      <c r="X41" s="275">
        <f>2000000-2000000</f>
        <v>0</v>
      </c>
      <c r="Y41" s="324">
        <v>0</v>
      </c>
      <c r="Z41" s="275">
        <f t="shared" si="5"/>
        <v>0</v>
      </c>
      <c r="AA41" s="275"/>
      <c r="AB41" s="276">
        <v>2210000</v>
      </c>
      <c r="AC41" s="276">
        <f>'[1]POLY LIB. 2019'!I47</f>
        <v>2210000</v>
      </c>
      <c r="AD41" s="275">
        <f t="shared" si="6"/>
        <v>0</v>
      </c>
      <c r="AE41" s="276"/>
      <c r="AF41" s="275">
        <v>4250000</v>
      </c>
      <c r="AG41" s="275">
        <f>'[1]POLY LIB. 2019'!J47</f>
        <v>4250000</v>
      </c>
      <c r="AH41" s="275">
        <f t="shared" si="7"/>
        <v>0</v>
      </c>
      <c r="AI41" s="275"/>
      <c r="AJ41" s="275">
        <v>5000000</v>
      </c>
      <c r="AK41" s="275">
        <f>'[1]POLY LIB. 2019'!K47</f>
        <v>5000000</v>
      </c>
      <c r="AL41" s="275">
        <f t="shared" si="8"/>
        <v>0</v>
      </c>
      <c r="AM41" s="275"/>
      <c r="AN41" s="275">
        <v>10000000</v>
      </c>
      <c r="AO41" s="324">
        <f>'[1]POLY LIB. 2019'!L47</f>
        <v>10000000</v>
      </c>
      <c r="AP41" s="275">
        <f t="shared" si="9"/>
        <v>0</v>
      </c>
      <c r="AQ41" s="205"/>
      <c r="AR41" s="275">
        <v>10000000</v>
      </c>
      <c r="AS41" s="294">
        <f>'[1]POLY LIB. 2019'!M47</f>
        <v>10000000</v>
      </c>
      <c r="AT41" s="275">
        <f t="shared" si="10"/>
        <v>0</v>
      </c>
      <c r="AU41" s="205"/>
      <c r="AV41" s="275">
        <v>30000000</v>
      </c>
      <c r="AW41" s="275">
        <f>'[1]POLY LIB. 2019'!N47</f>
        <v>30000000</v>
      </c>
      <c r="AX41" s="275">
        <f t="shared" si="11"/>
        <v>0</v>
      </c>
      <c r="AY41" s="205"/>
      <c r="AZ41" s="275">
        <f>'[1]POLY commited funds to date'!P125</f>
        <v>50000000</v>
      </c>
      <c r="BA41" s="275">
        <f>'[1]POLY LIB. 2019'!O47</f>
        <v>42500000</v>
      </c>
      <c r="BB41" s="275">
        <f t="shared" si="12"/>
        <v>7500000</v>
      </c>
      <c r="BC41" s="205"/>
      <c r="BD41" s="275">
        <v>70000000</v>
      </c>
      <c r="BE41" s="275">
        <f>'[1]POLY LIB. 2019'!P47</f>
        <v>59500000</v>
      </c>
      <c r="BF41" s="275">
        <f t="shared" si="13"/>
        <v>10500000</v>
      </c>
      <c r="BG41" s="205"/>
      <c r="BH41" s="275">
        <v>40000000</v>
      </c>
      <c r="BI41" s="275">
        <f>'[1]POLY LIB. 2019'!Q47</f>
        <v>0</v>
      </c>
      <c r="BJ41" s="275">
        <f t="shared" si="14"/>
        <v>40000000</v>
      </c>
      <c r="BL41" s="275">
        <f>'[1]POLY commited funds to date'!S125</f>
        <v>30000000</v>
      </c>
      <c r="BM41" s="275">
        <f>'[1]POLY LIB. 2019'!R47</f>
        <v>0</v>
      </c>
      <c r="BN41" s="275">
        <f t="shared" si="15"/>
        <v>30000000</v>
      </c>
      <c r="BP41" s="275">
        <f>'[1]POLY commited funds to date'!T125</f>
        <v>25000000</v>
      </c>
      <c r="BQ41" s="275">
        <f>'[1]POLY LIB. 2019'!S47</f>
        <v>0</v>
      </c>
      <c r="BR41" s="275">
        <f t="shared" si="16"/>
        <v>25000000</v>
      </c>
      <c r="BT41" s="275">
        <f>'[1]POLY commited funds to date'!U125</f>
        <v>15000000</v>
      </c>
      <c r="BU41" s="275">
        <f>'[1]POLY LIB. 2019'!T47</f>
        <v>0</v>
      </c>
      <c r="BV41" s="275">
        <f t="shared" si="17"/>
        <v>15000000</v>
      </c>
      <c r="BX41" s="275">
        <f t="shared" si="18"/>
        <v>299960000</v>
      </c>
      <c r="BY41" s="275">
        <f t="shared" si="18"/>
        <v>171960000</v>
      </c>
      <c r="BZ41" s="275">
        <f t="shared" si="19"/>
        <v>128000000</v>
      </c>
      <c r="CB41" s="205"/>
      <c r="CC41" s="325"/>
      <c r="CD41" s="211"/>
      <c r="CE41" s="211"/>
      <c r="CF41" s="211"/>
      <c r="CG41" s="211"/>
      <c r="CH41" s="211"/>
      <c r="CI41" s="211"/>
      <c r="CJ41" s="211"/>
      <c r="CK41" s="211"/>
      <c r="CL41" s="211"/>
      <c r="CM41" s="211"/>
      <c r="CN41" s="211"/>
      <c r="CO41" s="211"/>
      <c r="CP41" s="211"/>
      <c r="CQ41" s="211"/>
      <c r="CR41" s="211"/>
      <c r="CS41" s="211"/>
      <c r="CT41" s="211"/>
      <c r="CU41" s="211"/>
      <c r="CV41" s="211"/>
      <c r="CW41" s="211"/>
      <c r="CX41" s="211"/>
      <c r="CY41" s="211"/>
      <c r="CZ41" s="211"/>
      <c r="DA41" s="211"/>
      <c r="DB41" s="211"/>
      <c r="DC41" s="211"/>
      <c r="DD41" s="211"/>
      <c r="DE41" s="211"/>
      <c r="DF41" s="211"/>
      <c r="DG41" s="211"/>
      <c r="DH41" s="211"/>
      <c r="DI41" s="211"/>
      <c r="DJ41" s="211"/>
      <c r="DK41" s="211"/>
      <c r="DL41" s="211"/>
      <c r="DM41" s="211"/>
      <c r="DN41" s="211"/>
      <c r="DO41" s="205"/>
      <c r="DP41" s="265"/>
      <c r="HA41" s="265"/>
      <c r="HB41" s="265"/>
      <c r="HC41" s="265"/>
      <c r="HD41" s="265"/>
      <c r="HE41" s="265"/>
      <c r="HF41" s="265"/>
    </row>
    <row r="42" spans="1:214" x14ac:dyDescent="0.25">
      <c r="A42" s="273">
        <v>37</v>
      </c>
      <c r="B42" s="273" t="s">
        <v>236</v>
      </c>
      <c r="C42" s="273"/>
      <c r="D42" s="275">
        <v>1500000</v>
      </c>
      <c r="E42" s="275">
        <f>'[1]POLY LIB. 2019'!C48</f>
        <v>1500000</v>
      </c>
      <c r="F42" s="275">
        <f t="shared" si="0"/>
        <v>0</v>
      </c>
      <c r="G42" s="275"/>
      <c r="H42" s="275">
        <v>1500000</v>
      </c>
      <c r="I42" s="275">
        <f>'[1]POLY LIB. 2019'!D48</f>
        <v>1500000</v>
      </c>
      <c r="J42" s="275">
        <f t="shared" si="1"/>
        <v>0</v>
      </c>
      <c r="K42" s="275"/>
      <c r="L42" s="275">
        <v>1500000</v>
      </c>
      <c r="M42" s="275">
        <f>'[1]POLY LIB. 2019'!E48</f>
        <v>1500000</v>
      </c>
      <c r="N42" s="275">
        <f t="shared" si="2"/>
        <v>0</v>
      </c>
      <c r="O42" s="275"/>
      <c r="P42" s="275">
        <v>1500000</v>
      </c>
      <c r="Q42" s="275">
        <f>'[1]POLY LIB. 2019'!F48</f>
        <v>1500000</v>
      </c>
      <c r="R42" s="275">
        <f t="shared" si="3"/>
        <v>0</v>
      </c>
      <c r="S42" s="275"/>
      <c r="T42" s="275">
        <v>2500000</v>
      </c>
      <c r="U42" s="275">
        <f>'[1]POLY LIB. 2019'!G48</f>
        <v>2500000</v>
      </c>
      <c r="V42" s="275">
        <f t="shared" si="4"/>
        <v>0</v>
      </c>
      <c r="W42" s="275"/>
      <c r="X42" s="275">
        <v>2000000</v>
      </c>
      <c r="Y42" s="324">
        <v>2000000</v>
      </c>
      <c r="Z42" s="275">
        <f t="shared" si="5"/>
        <v>0</v>
      </c>
      <c r="AA42" s="275"/>
      <c r="AB42" s="276">
        <v>2600000</v>
      </c>
      <c r="AC42" s="276">
        <f>'[1]POLY LIB. 2019'!I48</f>
        <v>2600000</v>
      </c>
      <c r="AD42" s="275">
        <f t="shared" si="6"/>
        <v>0</v>
      </c>
      <c r="AE42" s="276"/>
      <c r="AF42" s="275">
        <v>5000000</v>
      </c>
      <c r="AG42" s="275">
        <f>'[1]POLY LIB. 2019'!J48</f>
        <v>5000000</v>
      </c>
      <c r="AH42" s="275">
        <f t="shared" si="7"/>
        <v>0</v>
      </c>
      <c r="AI42" s="275"/>
      <c r="AJ42" s="275">
        <v>5000000</v>
      </c>
      <c r="AK42" s="275">
        <f>'[1]POLY LIB. 2019'!K48</f>
        <v>5000000</v>
      </c>
      <c r="AL42" s="275">
        <f t="shared" si="8"/>
        <v>0</v>
      </c>
      <c r="AM42" s="275"/>
      <c r="AN42" s="275">
        <v>10000000</v>
      </c>
      <c r="AO42" s="324">
        <f>'[1]POLY LIB. 2019'!L48</f>
        <v>10000000</v>
      </c>
      <c r="AP42" s="275">
        <f t="shared" si="9"/>
        <v>0</v>
      </c>
      <c r="AQ42" s="205"/>
      <c r="AR42" s="275">
        <v>0</v>
      </c>
      <c r="AS42" s="294">
        <f>'[1]POLY LIB. 2019'!M48</f>
        <v>0</v>
      </c>
      <c r="AT42" s="275">
        <f t="shared" si="10"/>
        <v>0</v>
      </c>
      <c r="AU42" s="205"/>
      <c r="AV42" s="275">
        <v>30000000</v>
      </c>
      <c r="AW42" s="275">
        <f>'[1]POLY LIB. 2019'!N48</f>
        <v>25500000</v>
      </c>
      <c r="AX42" s="275">
        <f t="shared" si="11"/>
        <v>4500000</v>
      </c>
      <c r="AY42" s="205"/>
      <c r="AZ42" s="275">
        <f>'[1]POLY commited funds to date'!P126</f>
        <v>0</v>
      </c>
      <c r="BA42" s="275">
        <f>'[1]POLY LIB. 2019'!O48</f>
        <v>0</v>
      </c>
      <c r="BB42" s="275">
        <f t="shared" si="12"/>
        <v>0</v>
      </c>
      <c r="BC42" s="205"/>
      <c r="BD42" s="275">
        <v>70000000</v>
      </c>
      <c r="BE42" s="275">
        <f>'[1]POLY LIB. 2019'!P48</f>
        <v>70000000</v>
      </c>
      <c r="BF42" s="275">
        <f t="shared" si="13"/>
        <v>0</v>
      </c>
      <c r="BG42" s="205"/>
      <c r="BH42" s="275">
        <v>0</v>
      </c>
      <c r="BI42" s="275">
        <f>'[1]POLY LIB. 2019'!Q48</f>
        <v>0</v>
      </c>
      <c r="BJ42" s="275">
        <f t="shared" si="14"/>
        <v>0</v>
      </c>
      <c r="BL42" s="275">
        <f>'[1]POLY commited funds to date'!S126</f>
        <v>30000000</v>
      </c>
      <c r="BM42" s="275">
        <f>'[1]POLY LIB. 2019'!R48</f>
        <v>25500000</v>
      </c>
      <c r="BN42" s="275">
        <f t="shared" si="15"/>
        <v>4500000</v>
      </c>
      <c r="BP42" s="275">
        <f>'[1]POLY commited funds to date'!T126</f>
        <v>0</v>
      </c>
      <c r="BQ42" s="275">
        <f>'[1]POLY LIB. 2019'!S48</f>
        <v>0</v>
      </c>
      <c r="BR42" s="275">
        <f t="shared" si="16"/>
        <v>0</v>
      </c>
      <c r="BT42" s="275">
        <f>'[1]POLY commited funds to date'!U126</f>
        <v>15000000</v>
      </c>
      <c r="BU42" s="275">
        <f>'[1]POLY LIB. 2019'!T48</f>
        <v>0</v>
      </c>
      <c r="BV42" s="275">
        <f t="shared" si="17"/>
        <v>15000000</v>
      </c>
      <c r="BX42" s="275">
        <f t="shared" si="18"/>
        <v>178100000</v>
      </c>
      <c r="BY42" s="275">
        <f t="shared" si="18"/>
        <v>154100000</v>
      </c>
      <c r="BZ42" s="275">
        <f t="shared" si="19"/>
        <v>24000000</v>
      </c>
      <c r="CB42" s="205"/>
      <c r="CC42" s="325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  <c r="CX42" s="211"/>
      <c r="CY42" s="211"/>
      <c r="CZ42" s="211"/>
      <c r="DA42" s="211"/>
      <c r="DB42" s="211"/>
      <c r="DC42" s="211"/>
      <c r="DD42" s="211"/>
      <c r="DE42" s="211"/>
      <c r="DF42" s="211"/>
      <c r="DG42" s="211"/>
      <c r="DH42" s="211"/>
      <c r="DI42" s="211"/>
      <c r="DJ42" s="211"/>
      <c r="DK42" s="211"/>
      <c r="DL42" s="211"/>
      <c r="DM42" s="211"/>
      <c r="DN42" s="211"/>
      <c r="DO42" s="205"/>
      <c r="DP42" s="265"/>
      <c r="HA42" s="248"/>
      <c r="HB42" s="248"/>
      <c r="HC42" s="248"/>
      <c r="HD42" s="248"/>
      <c r="HE42" s="248"/>
      <c r="HF42" s="248"/>
    </row>
    <row r="43" spans="1:214" x14ac:dyDescent="0.25">
      <c r="A43" s="273">
        <v>38</v>
      </c>
      <c r="B43" s="273" t="s">
        <v>237</v>
      </c>
      <c r="C43" s="273"/>
      <c r="D43" s="275">
        <v>1500000</v>
      </c>
      <c r="E43" s="275">
        <f>'[1]POLY LIB. 2019'!C49</f>
        <v>1500000</v>
      </c>
      <c r="F43" s="275">
        <f t="shared" si="0"/>
        <v>0</v>
      </c>
      <c r="G43" s="275"/>
      <c r="H43" s="275">
        <v>1500000</v>
      </c>
      <c r="I43" s="275">
        <f>'[1]POLY LIB. 2019'!D49</f>
        <v>1500000</v>
      </c>
      <c r="J43" s="275">
        <f t="shared" si="1"/>
        <v>0</v>
      </c>
      <c r="K43" s="275"/>
      <c r="L43" s="275">
        <v>1500000</v>
      </c>
      <c r="M43" s="275">
        <f>'[1]POLY LIB. 2019'!E49</f>
        <v>1500000</v>
      </c>
      <c r="N43" s="275">
        <f t="shared" si="2"/>
        <v>0</v>
      </c>
      <c r="O43" s="275"/>
      <c r="P43" s="275">
        <v>1500000</v>
      </c>
      <c r="Q43" s="275">
        <f>'[1]POLY LIB. 2019'!F49</f>
        <v>1500000</v>
      </c>
      <c r="R43" s="275">
        <f t="shared" si="3"/>
        <v>0</v>
      </c>
      <c r="S43" s="275"/>
      <c r="T43" s="275">
        <v>2500000</v>
      </c>
      <c r="U43" s="275">
        <f>'[1]POLY LIB. 2019'!G49</f>
        <v>2500000</v>
      </c>
      <c r="V43" s="275">
        <f t="shared" si="4"/>
        <v>0</v>
      </c>
      <c r="W43" s="275"/>
      <c r="X43" s="275">
        <v>2000000</v>
      </c>
      <c r="Y43" s="324">
        <f>1700000+300000</f>
        <v>2000000</v>
      </c>
      <c r="Z43" s="275">
        <f t="shared" si="5"/>
        <v>0</v>
      </c>
      <c r="AA43" s="275"/>
      <c r="AB43" s="276">
        <v>2600000</v>
      </c>
      <c r="AC43" s="276">
        <f>'[1]POLY LIB. 2019'!I49</f>
        <v>2600000</v>
      </c>
      <c r="AD43" s="275">
        <f t="shared" si="6"/>
        <v>0</v>
      </c>
      <c r="AE43" s="276"/>
      <c r="AF43" s="275">
        <v>5000000</v>
      </c>
      <c r="AG43" s="275">
        <f>'[1]POLY LIB. 2019'!J49</f>
        <v>5000000</v>
      </c>
      <c r="AH43" s="275">
        <f t="shared" si="7"/>
        <v>0</v>
      </c>
      <c r="AI43" s="275"/>
      <c r="AJ43" s="275">
        <v>5000000</v>
      </c>
      <c r="AK43" s="275">
        <f>'[1]POLY LIB. 2019'!K49</f>
        <v>5000000</v>
      </c>
      <c r="AL43" s="275">
        <f t="shared" si="8"/>
        <v>0</v>
      </c>
      <c r="AM43" s="275"/>
      <c r="AN43" s="275">
        <v>0</v>
      </c>
      <c r="AO43" s="324">
        <f>'[1]POLY LIB. 2019'!L49</f>
        <v>0</v>
      </c>
      <c r="AP43" s="275">
        <f t="shared" si="9"/>
        <v>0</v>
      </c>
      <c r="AQ43" s="205"/>
      <c r="AR43" s="275">
        <v>10000000</v>
      </c>
      <c r="AS43" s="294">
        <f>'[1]POLY LIB. 2019'!M49</f>
        <v>10000000</v>
      </c>
      <c r="AT43" s="275">
        <f t="shared" si="10"/>
        <v>0</v>
      </c>
      <c r="AU43" s="205"/>
      <c r="AV43" s="275">
        <v>0</v>
      </c>
      <c r="AW43" s="275">
        <f>'[1]POLY LIB. 2019'!N49</f>
        <v>0</v>
      </c>
      <c r="AX43" s="275">
        <f t="shared" si="11"/>
        <v>0</v>
      </c>
      <c r="AY43" s="205"/>
      <c r="AZ43" s="275">
        <f>'[1]POLY commited funds to date'!P127</f>
        <v>50000000</v>
      </c>
      <c r="BA43" s="275">
        <f>'[1]POLY LIB. 2019'!O49</f>
        <v>50000000</v>
      </c>
      <c r="BB43" s="275">
        <f t="shared" si="12"/>
        <v>0</v>
      </c>
      <c r="BC43" s="205"/>
      <c r="BD43" s="275">
        <v>0</v>
      </c>
      <c r="BE43" s="275">
        <v>0</v>
      </c>
      <c r="BF43" s="275">
        <f t="shared" si="13"/>
        <v>0</v>
      </c>
      <c r="BG43" s="205"/>
      <c r="BH43" s="275">
        <v>40000000</v>
      </c>
      <c r="BI43" s="275">
        <f>'[1]POLY LIB. 2019'!Q49</f>
        <v>40000000</v>
      </c>
      <c r="BJ43" s="275">
        <f t="shared" si="14"/>
        <v>0</v>
      </c>
      <c r="BL43" s="275">
        <f>'[1]POLY commited funds to date'!S127</f>
        <v>0</v>
      </c>
      <c r="BM43" s="275">
        <f>'[1]POLY LIB. 2019'!R49</f>
        <v>0</v>
      </c>
      <c r="BN43" s="275">
        <f t="shared" si="15"/>
        <v>0</v>
      </c>
      <c r="BP43" s="275">
        <f>'[1]POLY commited funds to date'!T127</f>
        <v>25000000</v>
      </c>
      <c r="BQ43" s="275">
        <f>'[1]POLY LIB. 2019'!S49</f>
        <v>0</v>
      </c>
      <c r="BR43" s="275">
        <f t="shared" si="16"/>
        <v>25000000</v>
      </c>
      <c r="BT43" s="275">
        <f>'[1]POLY commited funds to date'!U127</f>
        <v>0</v>
      </c>
      <c r="BU43" s="275">
        <f>'[1]POLY LIB. 2019'!T49</f>
        <v>0</v>
      </c>
      <c r="BV43" s="275">
        <f t="shared" si="17"/>
        <v>0</v>
      </c>
      <c r="BX43" s="275">
        <f t="shared" si="18"/>
        <v>148100000</v>
      </c>
      <c r="BY43" s="275">
        <f t="shared" si="18"/>
        <v>123100000</v>
      </c>
      <c r="BZ43" s="275">
        <f t="shared" si="19"/>
        <v>25000000</v>
      </c>
      <c r="CB43" s="205"/>
      <c r="CC43" s="325"/>
      <c r="CD43" s="211"/>
      <c r="CE43" s="211"/>
      <c r="CF43" s="211"/>
      <c r="CG43" s="211"/>
      <c r="CH43" s="211"/>
      <c r="CI43" s="211"/>
      <c r="CJ43" s="211"/>
      <c r="CK43" s="211"/>
      <c r="CL43" s="211"/>
      <c r="CM43" s="211"/>
      <c r="CN43" s="211"/>
      <c r="CO43" s="211"/>
      <c r="CP43" s="211"/>
      <c r="CQ43" s="211"/>
      <c r="CR43" s="211"/>
      <c r="CS43" s="211"/>
      <c r="CT43" s="211"/>
      <c r="CU43" s="211"/>
      <c r="CV43" s="211"/>
      <c r="CW43" s="211"/>
      <c r="CX43" s="211"/>
      <c r="CY43" s="211"/>
      <c r="CZ43" s="211"/>
      <c r="DA43" s="211"/>
      <c r="DB43" s="211"/>
      <c r="DC43" s="211"/>
      <c r="DD43" s="211"/>
      <c r="DE43" s="211"/>
      <c r="DF43" s="211"/>
      <c r="DG43" s="211"/>
      <c r="DH43" s="211"/>
      <c r="DI43" s="211"/>
      <c r="DJ43" s="211"/>
      <c r="DK43" s="211"/>
      <c r="DL43" s="211"/>
      <c r="DM43" s="211"/>
      <c r="DN43" s="211"/>
      <c r="DO43" s="205"/>
      <c r="DP43" s="265"/>
      <c r="HA43" s="265"/>
      <c r="HB43" s="265"/>
      <c r="HC43" s="265"/>
      <c r="HD43" s="265"/>
      <c r="HE43" s="265"/>
      <c r="HF43" s="265"/>
    </row>
    <row r="44" spans="1:214" x14ac:dyDescent="0.25">
      <c r="A44" s="273">
        <v>39</v>
      </c>
      <c r="B44" s="273" t="s">
        <v>238</v>
      </c>
      <c r="C44" s="273"/>
      <c r="D44" s="275">
        <v>1500000</v>
      </c>
      <c r="E44" s="275">
        <f>'[1]POLY LIB. 2019'!C50</f>
        <v>1500000</v>
      </c>
      <c r="F44" s="275">
        <f t="shared" si="0"/>
        <v>0</v>
      </c>
      <c r="G44" s="275"/>
      <c r="H44" s="275">
        <v>1500000</v>
      </c>
      <c r="I44" s="275">
        <f>'[1]POLY LIB. 2019'!D50</f>
        <v>1500000</v>
      </c>
      <c r="J44" s="275">
        <f t="shared" si="1"/>
        <v>0</v>
      </c>
      <c r="K44" s="275"/>
      <c r="L44" s="275">
        <v>1500000</v>
      </c>
      <c r="M44" s="275">
        <f>'[1]POLY LIB. 2019'!E50</f>
        <v>1500000</v>
      </c>
      <c r="N44" s="275">
        <f t="shared" si="2"/>
        <v>0</v>
      </c>
      <c r="O44" s="275"/>
      <c r="P44" s="275">
        <v>1500000</v>
      </c>
      <c r="Q44" s="275">
        <f>'[1]POLY LIB. 2019'!F50</f>
        <v>1500000</v>
      </c>
      <c r="R44" s="275">
        <f t="shared" si="3"/>
        <v>0</v>
      </c>
      <c r="S44" s="275"/>
      <c r="T44" s="275">
        <v>2500000</v>
      </c>
      <c r="U44" s="275">
        <f>'[1]POLY LIB. 2019'!G50</f>
        <v>2500000</v>
      </c>
      <c r="V44" s="275">
        <f t="shared" si="4"/>
        <v>0</v>
      </c>
      <c r="W44" s="275"/>
      <c r="X44" s="275">
        <v>2000000</v>
      </c>
      <c r="Y44" s="324">
        <v>2000000</v>
      </c>
      <c r="Z44" s="275">
        <f t="shared" si="5"/>
        <v>0</v>
      </c>
      <c r="AA44" s="275"/>
      <c r="AB44" s="276">
        <v>2600000</v>
      </c>
      <c r="AC44" s="276">
        <f>'[1]POLY LIB. 2019'!I50</f>
        <v>2600000</v>
      </c>
      <c r="AD44" s="275">
        <f t="shared" si="6"/>
        <v>0</v>
      </c>
      <c r="AE44" s="276"/>
      <c r="AF44" s="275">
        <v>5000000</v>
      </c>
      <c r="AG44" s="275">
        <f>'[1]POLY LIB. 2019'!J50</f>
        <v>5000000</v>
      </c>
      <c r="AH44" s="275">
        <f t="shared" si="7"/>
        <v>0</v>
      </c>
      <c r="AI44" s="275"/>
      <c r="AJ44" s="275">
        <v>5000000</v>
      </c>
      <c r="AK44" s="275">
        <f>'[1]POLY LIB. 2019'!K50</f>
        <v>6700000</v>
      </c>
      <c r="AL44" s="275">
        <f t="shared" si="8"/>
        <v>-1700000</v>
      </c>
      <c r="AM44" s="275"/>
      <c r="AN44" s="275">
        <v>10000000</v>
      </c>
      <c r="AO44" s="324">
        <f>'[1]POLY LIB. 2019'!L50</f>
        <v>10000000</v>
      </c>
      <c r="AP44" s="275">
        <f t="shared" si="9"/>
        <v>0</v>
      </c>
      <c r="AQ44" s="205"/>
      <c r="AR44" s="275">
        <v>10000000</v>
      </c>
      <c r="AS44" s="294">
        <f>'[1]POLY LIB. 2019'!M50</f>
        <v>10000000</v>
      </c>
      <c r="AT44" s="275">
        <f t="shared" si="10"/>
        <v>0</v>
      </c>
      <c r="AU44" s="205"/>
      <c r="AV44" s="275">
        <v>30000000</v>
      </c>
      <c r="AW44" s="275">
        <f>'[1]POLY LIB. 2019'!N50</f>
        <v>30000000</v>
      </c>
      <c r="AX44" s="275">
        <f t="shared" si="11"/>
        <v>0</v>
      </c>
      <c r="AY44" s="205"/>
      <c r="AZ44" s="275">
        <f>'[1]POLY commited funds to date'!P128</f>
        <v>50000000</v>
      </c>
      <c r="BA44" s="275">
        <f>'[1]POLY LIB. 2019'!O50</f>
        <v>50000000</v>
      </c>
      <c r="BB44" s="275">
        <f t="shared" si="12"/>
        <v>0</v>
      </c>
      <c r="BC44" s="205"/>
      <c r="BD44" s="275">
        <v>70000000</v>
      </c>
      <c r="BE44" s="275">
        <f>'[1]POLY LIB. 2019'!P50</f>
        <v>70000000</v>
      </c>
      <c r="BF44" s="275">
        <f t="shared" si="13"/>
        <v>0</v>
      </c>
      <c r="BG44" s="205"/>
      <c r="BH44" s="275">
        <v>40000000</v>
      </c>
      <c r="BI44" s="275">
        <f>'[1]POLY LIB. 2019'!Q50</f>
        <v>40000000</v>
      </c>
      <c r="BJ44" s="275">
        <f t="shared" si="14"/>
        <v>0</v>
      </c>
      <c r="BL44" s="275">
        <f>'[1]POLY commited funds to date'!S128</f>
        <v>30000000</v>
      </c>
      <c r="BM44" s="275">
        <f>'[1]POLY LIB. 2019'!R50</f>
        <v>25500000</v>
      </c>
      <c r="BN44" s="275">
        <f t="shared" si="15"/>
        <v>4500000</v>
      </c>
      <c r="BP44" s="275">
        <f>'[1]POLY commited funds to date'!T128</f>
        <v>25000000</v>
      </c>
      <c r="BQ44" s="275">
        <f>'[1]POLY LIB. 2019'!S50</f>
        <v>21250000</v>
      </c>
      <c r="BR44" s="275">
        <f t="shared" si="16"/>
        <v>3750000</v>
      </c>
      <c r="BT44" s="275">
        <f>'[1]POLY commited funds to date'!U128</f>
        <v>15000000</v>
      </c>
      <c r="BU44" s="275">
        <f>'[1]POLY LIB. 2019'!T50</f>
        <v>0</v>
      </c>
      <c r="BV44" s="275">
        <f t="shared" si="17"/>
        <v>15000000</v>
      </c>
      <c r="BX44" s="275">
        <f t="shared" si="18"/>
        <v>303100000</v>
      </c>
      <c r="BY44" s="275">
        <f t="shared" si="18"/>
        <v>281550000</v>
      </c>
      <c r="BZ44" s="275">
        <f t="shared" si="19"/>
        <v>21550000</v>
      </c>
      <c r="CB44" s="205"/>
      <c r="CC44" s="325"/>
      <c r="CD44" s="211"/>
      <c r="CE44" s="211"/>
      <c r="CF44" s="211"/>
      <c r="CG44" s="211"/>
      <c r="CH44" s="211"/>
      <c r="CI44" s="211"/>
      <c r="CJ44" s="211"/>
      <c r="CK44" s="211"/>
      <c r="CL44" s="211"/>
      <c r="CM44" s="211"/>
      <c r="CN44" s="211"/>
      <c r="CO44" s="211"/>
      <c r="CP44" s="211"/>
      <c r="CQ44" s="211"/>
      <c r="CR44" s="211"/>
      <c r="CS44" s="211"/>
      <c r="CT44" s="211"/>
      <c r="CU44" s="211"/>
      <c r="CV44" s="211"/>
      <c r="CW44" s="211"/>
      <c r="CX44" s="211"/>
      <c r="CY44" s="211"/>
      <c r="CZ44" s="211"/>
      <c r="DA44" s="211"/>
      <c r="DB44" s="211"/>
      <c r="DC44" s="211"/>
      <c r="DD44" s="211"/>
      <c r="DE44" s="211"/>
      <c r="DF44" s="211"/>
      <c r="DG44" s="211"/>
      <c r="DH44" s="211"/>
      <c r="DI44" s="211"/>
      <c r="DJ44" s="211"/>
      <c r="DK44" s="211"/>
      <c r="DL44" s="211"/>
      <c r="DM44" s="211"/>
      <c r="DN44" s="211"/>
      <c r="DO44" s="205"/>
      <c r="DP44" s="265"/>
      <c r="HA44" s="248"/>
      <c r="HB44" s="248"/>
      <c r="HC44" s="248"/>
      <c r="HD44" s="248"/>
      <c r="HE44" s="248"/>
      <c r="HF44" s="248"/>
    </row>
    <row r="45" spans="1:214" x14ac:dyDescent="0.25">
      <c r="A45" s="273">
        <v>40</v>
      </c>
      <c r="B45" s="273" t="s">
        <v>287</v>
      </c>
      <c r="C45" s="273"/>
      <c r="D45" s="275">
        <v>1500000</v>
      </c>
      <c r="E45" s="275">
        <f>'[1]POLY LIB. 2019'!C51</f>
        <v>1500000</v>
      </c>
      <c r="F45" s="275">
        <f t="shared" si="0"/>
        <v>0</v>
      </c>
      <c r="G45" s="275"/>
      <c r="H45" s="275">
        <v>1500000</v>
      </c>
      <c r="I45" s="275">
        <f>'[1]POLY LIB. 2019'!D51</f>
        <v>1500000</v>
      </c>
      <c r="J45" s="275">
        <f t="shared" si="1"/>
        <v>0</v>
      </c>
      <c r="K45" s="275"/>
      <c r="L45" s="275">
        <v>1500000</v>
      </c>
      <c r="M45" s="275">
        <f>'[1]POLY LIB. 2019'!E51</f>
        <v>1500000</v>
      </c>
      <c r="N45" s="275">
        <f t="shared" si="2"/>
        <v>0</v>
      </c>
      <c r="O45" s="275"/>
      <c r="P45" s="275">
        <v>1500000</v>
      </c>
      <c r="Q45" s="275">
        <f>'[1]POLY LIB. 2019'!F51</f>
        <v>1500000</v>
      </c>
      <c r="R45" s="275">
        <f t="shared" si="3"/>
        <v>0</v>
      </c>
      <c r="S45" s="275"/>
      <c r="T45" s="275">
        <v>2500000</v>
      </c>
      <c r="U45" s="275">
        <f>'[1]POLY LIB. 2019'!G51</f>
        <v>2500000</v>
      </c>
      <c r="V45" s="275">
        <f t="shared" si="4"/>
        <v>0</v>
      </c>
      <c r="W45" s="275"/>
      <c r="X45" s="275">
        <v>2000000</v>
      </c>
      <c r="Y45" s="324">
        <v>2000000</v>
      </c>
      <c r="Z45" s="275">
        <f t="shared" si="5"/>
        <v>0</v>
      </c>
      <c r="AA45" s="275"/>
      <c r="AB45" s="276">
        <v>2600000</v>
      </c>
      <c r="AC45" s="276">
        <f>'[1]POLY LIB. 2019'!I51</f>
        <v>2600000</v>
      </c>
      <c r="AD45" s="275">
        <f t="shared" si="6"/>
        <v>0</v>
      </c>
      <c r="AE45" s="276"/>
      <c r="AF45" s="275">
        <v>5000000</v>
      </c>
      <c r="AG45" s="275">
        <f>'[1]POLY LIB. 2019'!J51</f>
        <v>5000000</v>
      </c>
      <c r="AH45" s="275">
        <f t="shared" si="7"/>
        <v>0</v>
      </c>
      <c r="AI45" s="275"/>
      <c r="AJ45" s="275">
        <v>5000000</v>
      </c>
      <c r="AK45" s="275">
        <f>'[1]POLY LIB. 2019'!K51</f>
        <v>5000000</v>
      </c>
      <c r="AL45" s="275">
        <f t="shared" si="8"/>
        <v>0</v>
      </c>
      <c r="AM45" s="275"/>
      <c r="AN45" s="275">
        <v>10000000</v>
      </c>
      <c r="AO45" s="324">
        <f>'[1]POLY LIB. 2019'!L51</f>
        <v>10000000</v>
      </c>
      <c r="AP45" s="275">
        <f t="shared" si="9"/>
        <v>0</v>
      </c>
      <c r="AQ45" s="205"/>
      <c r="AR45" s="275">
        <v>10000000</v>
      </c>
      <c r="AS45" s="294">
        <f>'[1]POLY LIB. 2019'!M51</f>
        <v>10000000</v>
      </c>
      <c r="AT45" s="275">
        <f t="shared" si="10"/>
        <v>0</v>
      </c>
      <c r="AU45" s="205"/>
      <c r="AV45" s="275">
        <v>30000000</v>
      </c>
      <c r="AW45" s="275">
        <f>'[1]POLY LIB. 2019'!N51</f>
        <v>30000000</v>
      </c>
      <c r="AX45" s="275">
        <f t="shared" si="11"/>
        <v>0</v>
      </c>
      <c r="AY45" s="205"/>
      <c r="AZ45" s="275">
        <f>'[1]POLY commited funds to date'!P129</f>
        <v>50000000</v>
      </c>
      <c r="BA45" s="275">
        <f>'[1]POLY LIB. 2019'!O51</f>
        <v>50000000</v>
      </c>
      <c r="BB45" s="275">
        <f t="shared" si="12"/>
        <v>0</v>
      </c>
      <c r="BC45" s="205"/>
      <c r="BD45" s="275">
        <v>70000000</v>
      </c>
      <c r="BE45" s="275">
        <f>'[1]POLY LIB. 2019'!P51</f>
        <v>0</v>
      </c>
      <c r="BF45" s="275">
        <f t="shared" si="13"/>
        <v>70000000</v>
      </c>
      <c r="BG45" s="205"/>
      <c r="BH45" s="275">
        <v>40000000</v>
      </c>
      <c r="BI45" s="275">
        <f>'[1]POLY LIB. 2019'!Q51</f>
        <v>0</v>
      </c>
      <c r="BJ45" s="275">
        <f t="shared" si="14"/>
        <v>40000000</v>
      </c>
      <c r="BL45" s="275">
        <f>'[1]POLY commited funds to date'!S129</f>
        <v>30000000</v>
      </c>
      <c r="BM45" s="275">
        <f>'[1]POLY LIB. 2019'!R51</f>
        <v>0</v>
      </c>
      <c r="BN45" s="275">
        <f t="shared" si="15"/>
        <v>30000000</v>
      </c>
      <c r="BP45" s="275">
        <f>'[1]POLY commited funds to date'!T129</f>
        <v>25000000</v>
      </c>
      <c r="BQ45" s="275">
        <f>'[1]POLY LIB. 2019'!S51</f>
        <v>0</v>
      </c>
      <c r="BR45" s="275">
        <f t="shared" si="16"/>
        <v>25000000</v>
      </c>
      <c r="BT45" s="275">
        <f>'[1]POLY commited funds to date'!U129</f>
        <v>15000000</v>
      </c>
      <c r="BU45" s="275">
        <f>'[1]POLY LIB. 2019'!T51</f>
        <v>0</v>
      </c>
      <c r="BV45" s="275">
        <f t="shared" si="17"/>
        <v>15000000</v>
      </c>
      <c r="BX45" s="275">
        <f t="shared" si="18"/>
        <v>303100000</v>
      </c>
      <c r="BY45" s="275">
        <f t="shared" si="18"/>
        <v>123100000</v>
      </c>
      <c r="BZ45" s="275">
        <f t="shared" si="19"/>
        <v>180000000</v>
      </c>
      <c r="CB45" s="205"/>
      <c r="CC45" s="325"/>
      <c r="CD45" s="211"/>
      <c r="CE45" s="211"/>
      <c r="CF45" s="211"/>
      <c r="CG45" s="211"/>
      <c r="CH45" s="211"/>
      <c r="CI45" s="211"/>
      <c r="CJ45" s="211"/>
      <c r="CK45" s="211"/>
      <c r="CL45" s="211"/>
      <c r="CM45" s="211"/>
      <c r="CN45" s="211"/>
      <c r="CO45" s="211"/>
      <c r="CP45" s="211"/>
      <c r="CQ45" s="211"/>
      <c r="CR45" s="211"/>
      <c r="CS45" s="211"/>
      <c r="CT45" s="211"/>
      <c r="CU45" s="211"/>
      <c r="CV45" s="211"/>
      <c r="CW45" s="211"/>
      <c r="CX45" s="211"/>
      <c r="CY45" s="211"/>
      <c r="CZ45" s="211"/>
      <c r="DA45" s="211"/>
      <c r="DB45" s="211"/>
      <c r="DC45" s="211"/>
      <c r="DD45" s="211"/>
      <c r="DE45" s="211"/>
      <c r="DF45" s="211"/>
      <c r="DG45" s="211"/>
      <c r="DH45" s="211"/>
      <c r="DI45" s="211"/>
      <c r="DJ45" s="211"/>
      <c r="DK45" s="211"/>
      <c r="DL45" s="211"/>
      <c r="DM45" s="211"/>
      <c r="DN45" s="211"/>
      <c r="DO45" s="205"/>
      <c r="DP45" s="265"/>
      <c r="HA45" s="265"/>
      <c r="HB45" s="265"/>
      <c r="HC45" s="265"/>
      <c r="HD45" s="265"/>
      <c r="HE45" s="265"/>
      <c r="HF45" s="265"/>
    </row>
    <row r="46" spans="1:214" x14ac:dyDescent="0.25">
      <c r="A46" s="273">
        <v>41</v>
      </c>
      <c r="B46" s="107" t="s">
        <v>240</v>
      </c>
      <c r="C46" s="107"/>
      <c r="D46" s="275">
        <v>0</v>
      </c>
      <c r="E46" s="275">
        <f>'[1]POLY LIB. 2019'!C52</f>
        <v>0</v>
      </c>
      <c r="F46" s="275">
        <f>D46-E46</f>
        <v>0</v>
      </c>
      <c r="G46" s="275"/>
      <c r="H46" s="275">
        <v>0</v>
      </c>
      <c r="I46" s="275">
        <f>'[1]POLY LIB. 2019'!D52</f>
        <v>0</v>
      </c>
      <c r="J46" s="275">
        <f>H46-I46</f>
        <v>0</v>
      </c>
      <c r="K46" s="275"/>
      <c r="L46" s="275">
        <v>1500000</v>
      </c>
      <c r="M46" s="275">
        <f>'[1]POLY LIB. 2019'!E52</f>
        <v>1500000</v>
      </c>
      <c r="N46" s="275">
        <f>L46-M46</f>
        <v>0</v>
      </c>
      <c r="O46" s="275"/>
      <c r="P46" s="275">
        <v>1500000</v>
      </c>
      <c r="Q46" s="275">
        <f>'[1]POLY LIB. 2019'!F52</f>
        <v>1500000</v>
      </c>
      <c r="R46" s="275">
        <f>P46-Q46</f>
        <v>0</v>
      </c>
      <c r="S46" s="275"/>
      <c r="T46" s="275">
        <v>2500000</v>
      </c>
      <c r="U46" s="275">
        <f>'[1]POLY LIB. 2019'!G52</f>
        <v>2500000</v>
      </c>
      <c r="V46" s="275">
        <f>T46-U46</f>
        <v>0</v>
      </c>
      <c r="W46" s="275"/>
      <c r="X46" s="275">
        <v>2000000</v>
      </c>
      <c r="Y46" s="324">
        <v>2000000</v>
      </c>
      <c r="Z46" s="275">
        <f>X46-Y46</f>
        <v>0</v>
      </c>
      <c r="AA46" s="275"/>
      <c r="AB46" s="275">
        <v>2600000</v>
      </c>
      <c r="AC46" s="275">
        <f>'[1]POLY LIB. 2019'!I52</f>
        <v>2600000</v>
      </c>
      <c r="AD46" s="275">
        <f>AB46-AC46</f>
        <v>0</v>
      </c>
      <c r="AE46" s="275"/>
      <c r="AF46" s="275">
        <v>5000000</v>
      </c>
      <c r="AG46" s="275">
        <f>'[1]POLY LIB. 2019'!J52</f>
        <v>5000000</v>
      </c>
      <c r="AH46" s="275">
        <f>AF46-AG46</f>
        <v>0</v>
      </c>
      <c r="AI46" s="275"/>
      <c r="AJ46" s="275">
        <v>5000000</v>
      </c>
      <c r="AK46" s="275">
        <f>'[1]POLY LIB. 2019'!K52</f>
        <v>5000000</v>
      </c>
      <c r="AL46" s="275">
        <f>AJ46-AK46</f>
        <v>0</v>
      </c>
      <c r="AM46" s="275"/>
      <c r="AN46" s="275">
        <v>10000000</v>
      </c>
      <c r="AO46" s="324">
        <f>'[1]POLY LIB. 2019'!L52</f>
        <v>10000000</v>
      </c>
      <c r="AP46" s="275">
        <f>AN46-AO46</f>
        <v>0</v>
      </c>
      <c r="AQ46" s="205"/>
      <c r="AR46" s="275">
        <v>10000000</v>
      </c>
      <c r="AS46" s="294">
        <f>'[1]POLY LIB. 2019'!M52</f>
        <v>10000000</v>
      </c>
      <c r="AT46" s="275">
        <f>AR46-AS46</f>
        <v>0</v>
      </c>
      <c r="AU46" s="205"/>
      <c r="AV46" s="275">
        <v>30000000</v>
      </c>
      <c r="AW46" s="275">
        <f>'[1]POLY LIB. 2019'!N52</f>
        <v>30000000</v>
      </c>
      <c r="AX46" s="275">
        <f>AV46-AW46</f>
        <v>0</v>
      </c>
      <c r="AY46" s="205"/>
      <c r="AZ46" s="275">
        <f>'[1]POLY commited funds to date'!P130</f>
        <v>50000000</v>
      </c>
      <c r="BA46" s="275">
        <f>'[1]POLY LIB. 2019'!O52</f>
        <v>50000000</v>
      </c>
      <c r="BB46" s="275">
        <f>AZ46-BA46</f>
        <v>0</v>
      </c>
      <c r="BC46" s="205"/>
      <c r="BD46" s="275">
        <v>70000000</v>
      </c>
      <c r="BE46" s="275">
        <f>'[1]POLY LIB. 2019'!P52</f>
        <v>70000000</v>
      </c>
      <c r="BF46" s="275">
        <f t="shared" si="13"/>
        <v>0</v>
      </c>
      <c r="BG46" s="205"/>
      <c r="BH46" s="275">
        <v>40000000</v>
      </c>
      <c r="BI46" s="275">
        <f>'[1]POLY LIB. 2019'!Q52</f>
        <v>40000000</v>
      </c>
      <c r="BJ46" s="275">
        <f t="shared" si="14"/>
        <v>0</v>
      </c>
      <c r="BL46" s="275">
        <f>'[1]POLY commited funds to date'!S130</f>
        <v>30000000</v>
      </c>
      <c r="BM46" s="275">
        <f>'[1]POLY LIB. 2019'!R52</f>
        <v>0</v>
      </c>
      <c r="BN46" s="275">
        <f t="shared" si="15"/>
        <v>30000000</v>
      </c>
      <c r="BP46" s="275">
        <f>'[1]POLY commited funds to date'!T130</f>
        <v>25000000</v>
      </c>
      <c r="BQ46" s="275">
        <f>'[1]POLY LIB. 2019'!S52</f>
        <v>0</v>
      </c>
      <c r="BR46" s="275">
        <f t="shared" si="16"/>
        <v>25000000</v>
      </c>
      <c r="BT46" s="275">
        <f>'[1]POLY commited funds to date'!U130</f>
        <v>15000000</v>
      </c>
      <c r="BU46" s="275">
        <f>'[1]POLY LIB. 2019'!T52</f>
        <v>0</v>
      </c>
      <c r="BV46" s="275">
        <f t="shared" si="17"/>
        <v>15000000</v>
      </c>
      <c r="BX46" s="275">
        <f t="shared" si="18"/>
        <v>300100000</v>
      </c>
      <c r="BY46" s="275">
        <f t="shared" si="18"/>
        <v>230100000</v>
      </c>
      <c r="BZ46" s="275">
        <f t="shared" si="19"/>
        <v>70000000</v>
      </c>
      <c r="CB46" s="205"/>
      <c r="CC46" s="325"/>
      <c r="CD46" s="211"/>
      <c r="CE46" s="211"/>
      <c r="CF46" s="211"/>
      <c r="CG46" s="211"/>
      <c r="CH46" s="211"/>
      <c r="CI46" s="211"/>
      <c r="CJ46" s="211"/>
      <c r="CK46" s="211"/>
      <c r="CL46" s="211"/>
      <c r="CM46" s="211"/>
      <c r="CN46" s="211"/>
      <c r="CO46" s="211"/>
      <c r="CP46" s="211"/>
      <c r="CQ46" s="211"/>
      <c r="CR46" s="211"/>
      <c r="CS46" s="211"/>
      <c r="CT46" s="211"/>
      <c r="CU46" s="211"/>
      <c r="CV46" s="211"/>
      <c r="CW46" s="211"/>
      <c r="CX46" s="211"/>
      <c r="CY46" s="211"/>
      <c r="CZ46" s="211"/>
      <c r="DA46" s="211"/>
      <c r="DB46" s="211"/>
      <c r="DC46" s="211"/>
      <c r="DD46" s="211"/>
      <c r="DE46" s="211"/>
      <c r="DF46" s="211"/>
      <c r="DG46" s="211"/>
      <c r="DH46" s="211"/>
      <c r="DI46" s="211"/>
      <c r="DJ46" s="211"/>
      <c r="DK46" s="211"/>
      <c r="DL46" s="211"/>
      <c r="DM46" s="211"/>
      <c r="DN46" s="211"/>
      <c r="DO46" s="205"/>
      <c r="DP46" s="265"/>
      <c r="HA46" s="248"/>
      <c r="HB46" s="248"/>
      <c r="HC46" s="248"/>
      <c r="HD46" s="248"/>
      <c r="HE46" s="248"/>
      <c r="HF46" s="248"/>
    </row>
    <row r="47" spans="1:214" x14ac:dyDescent="0.25">
      <c r="A47" s="273">
        <v>42</v>
      </c>
      <c r="B47" s="273" t="s">
        <v>288</v>
      </c>
      <c r="C47" s="273"/>
      <c r="D47" s="275">
        <v>0</v>
      </c>
      <c r="E47" s="275">
        <f>'[1]POLY LIB. 2019'!C53</f>
        <v>0</v>
      </c>
      <c r="F47" s="275">
        <f>D47-E47</f>
        <v>0</v>
      </c>
      <c r="G47" s="275"/>
      <c r="H47" s="275">
        <v>0</v>
      </c>
      <c r="I47" s="275">
        <f>'[1]POLY LIB. 2019'!D53</f>
        <v>0</v>
      </c>
      <c r="J47" s="275">
        <f>H47-I47</f>
        <v>0</v>
      </c>
      <c r="K47" s="275"/>
      <c r="L47" s="275">
        <v>0</v>
      </c>
      <c r="M47" s="275">
        <f>'[1]POLY LIB. 2019'!E53</f>
        <v>0</v>
      </c>
      <c r="N47" s="275">
        <f>L47-M47</f>
        <v>0</v>
      </c>
      <c r="O47" s="275"/>
      <c r="P47" s="275">
        <v>1500000</v>
      </c>
      <c r="Q47" s="275">
        <f>'[1]POLY LIB. 2019'!F53</f>
        <v>1500000</v>
      </c>
      <c r="R47" s="275">
        <f>P47-Q47</f>
        <v>0</v>
      </c>
      <c r="S47" s="275"/>
      <c r="T47" s="275">
        <v>2500000</v>
      </c>
      <c r="U47" s="275">
        <f>'[1]POLY LIB. 2019'!G53</f>
        <v>2500000</v>
      </c>
      <c r="V47" s="275">
        <f>T47-U47</f>
        <v>0</v>
      </c>
      <c r="W47" s="275"/>
      <c r="X47" s="275">
        <v>2000000</v>
      </c>
      <c r="Y47" s="324">
        <v>2000000</v>
      </c>
      <c r="Z47" s="275">
        <f>X47-Y47</f>
        <v>0</v>
      </c>
      <c r="AA47" s="275"/>
      <c r="AB47" s="275">
        <v>2600000</v>
      </c>
      <c r="AC47" s="275">
        <f>'[1]POLY LIB. 2019'!I53</f>
        <v>2600000</v>
      </c>
      <c r="AD47" s="275">
        <f>AB47-AC47</f>
        <v>0</v>
      </c>
      <c r="AE47" s="275"/>
      <c r="AF47" s="275">
        <v>5000000</v>
      </c>
      <c r="AG47" s="275">
        <f>'[1]POLY LIB. 2019'!J53</f>
        <v>5000000</v>
      </c>
      <c r="AH47" s="275">
        <f>AF47-AG47</f>
        <v>0</v>
      </c>
      <c r="AI47" s="275"/>
      <c r="AJ47" s="275">
        <v>5000000</v>
      </c>
      <c r="AK47" s="275">
        <f>'[1]POLY LIB. 2019'!K53</f>
        <v>5000000</v>
      </c>
      <c r="AL47" s="275">
        <f>AJ47-AK47</f>
        <v>0</v>
      </c>
      <c r="AM47" s="275"/>
      <c r="AN47" s="275">
        <v>10000000</v>
      </c>
      <c r="AO47" s="324">
        <f>'[1]POLY LIB. 2019'!L53</f>
        <v>10000000</v>
      </c>
      <c r="AP47" s="275">
        <f>AN47-AO47</f>
        <v>0</v>
      </c>
      <c r="AQ47" s="205"/>
      <c r="AR47" s="275">
        <v>10000000</v>
      </c>
      <c r="AS47" s="294">
        <f>'[1]POLY LIB. 2019'!M53</f>
        <v>10000000</v>
      </c>
      <c r="AT47" s="275">
        <f>AR47-AS47</f>
        <v>0</v>
      </c>
      <c r="AU47" s="205"/>
      <c r="AV47" s="275">
        <v>30000000</v>
      </c>
      <c r="AW47" s="275">
        <f>'[1]POLY LIB. 2019'!N53</f>
        <v>30000000</v>
      </c>
      <c r="AX47" s="275">
        <f>AV47-AW47</f>
        <v>0</v>
      </c>
      <c r="AY47" s="205"/>
      <c r="AZ47" s="275">
        <f>'[1]POLY commited funds to date'!P131</f>
        <v>50000000</v>
      </c>
      <c r="BA47" s="275">
        <f>'[1]POLY LIB. 2019'!O53</f>
        <v>50000000</v>
      </c>
      <c r="BB47" s="275">
        <f>AZ47-BA47</f>
        <v>0</v>
      </c>
      <c r="BC47" s="205"/>
      <c r="BD47" s="275">
        <v>70000000</v>
      </c>
      <c r="BE47" s="275">
        <f>'[1]POLY LIB. 2019'!P53</f>
        <v>70000000</v>
      </c>
      <c r="BF47" s="275">
        <f t="shared" si="13"/>
        <v>0</v>
      </c>
      <c r="BG47" s="205"/>
      <c r="BH47" s="275">
        <v>40000000</v>
      </c>
      <c r="BI47" s="275">
        <f>'[1]POLY LIB. 2019'!Q53</f>
        <v>34000000</v>
      </c>
      <c r="BJ47" s="275">
        <f t="shared" si="14"/>
        <v>6000000</v>
      </c>
      <c r="BL47" s="275">
        <f>'[1]POLY commited funds to date'!S131</f>
        <v>30000000</v>
      </c>
      <c r="BM47" s="275">
        <f>'[1]POLY LIB. 2019'!R53</f>
        <v>25500000</v>
      </c>
      <c r="BN47" s="275">
        <f t="shared" si="15"/>
        <v>4500000</v>
      </c>
      <c r="BP47" s="275">
        <f>'[1]POLY commited funds to date'!T131</f>
        <v>25000000</v>
      </c>
      <c r="BQ47" s="275">
        <f>'[1]POLY LIB. 2019'!S53</f>
        <v>0</v>
      </c>
      <c r="BR47" s="275">
        <f t="shared" si="16"/>
        <v>25000000</v>
      </c>
      <c r="BT47" s="275">
        <f>'[1]POLY commited funds to date'!U131</f>
        <v>15000000</v>
      </c>
      <c r="BU47" s="275">
        <f>'[1]POLY LIB. 2019'!T53</f>
        <v>0</v>
      </c>
      <c r="BV47" s="275">
        <f t="shared" si="17"/>
        <v>15000000</v>
      </c>
      <c r="BX47" s="275">
        <f t="shared" si="18"/>
        <v>298600000</v>
      </c>
      <c r="BY47" s="275">
        <f t="shared" si="18"/>
        <v>248100000</v>
      </c>
      <c r="BZ47" s="275">
        <f t="shared" si="19"/>
        <v>50500000</v>
      </c>
      <c r="CB47" s="205"/>
      <c r="CC47" s="325"/>
      <c r="CD47" s="211"/>
      <c r="CE47" s="211"/>
      <c r="CF47" s="211"/>
      <c r="CG47" s="211"/>
      <c r="CH47" s="211"/>
      <c r="CI47" s="211"/>
      <c r="CJ47" s="211"/>
      <c r="CK47" s="211"/>
      <c r="CL47" s="211"/>
      <c r="CM47" s="211"/>
      <c r="CN47" s="211"/>
      <c r="CO47" s="211"/>
      <c r="CP47" s="211"/>
      <c r="CQ47" s="211"/>
      <c r="CR47" s="211"/>
      <c r="CS47" s="211"/>
      <c r="CT47" s="211"/>
      <c r="CU47" s="211"/>
      <c r="CV47" s="211"/>
      <c r="CW47" s="211"/>
      <c r="CX47" s="211"/>
      <c r="CY47" s="211"/>
      <c r="CZ47" s="211"/>
      <c r="DA47" s="211"/>
      <c r="DB47" s="211"/>
      <c r="DC47" s="211"/>
      <c r="DD47" s="211"/>
      <c r="DE47" s="211"/>
      <c r="DF47" s="211"/>
      <c r="DG47" s="211"/>
      <c r="DH47" s="211"/>
      <c r="DI47" s="211"/>
      <c r="DJ47" s="211"/>
      <c r="DK47" s="211"/>
      <c r="DL47" s="211"/>
      <c r="DM47" s="211"/>
      <c r="DN47" s="211"/>
      <c r="DO47" s="205"/>
      <c r="DP47" s="265"/>
    </row>
    <row r="48" spans="1:214" x14ac:dyDescent="0.25">
      <c r="A48" s="273">
        <v>43</v>
      </c>
      <c r="B48" s="273" t="s">
        <v>242</v>
      </c>
      <c r="C48" s="273"/>
      <c r="D48" s="275">
        <v>1500000</v>
      </c>
      <c r="E48" s="275">
        <f>'[1]POLY LIB. 2019'!C54</f>
        <v>1500000</v>
      </c>
      <c r="F48" s="275">
        <f t="shared" si="0"/>
        <v>0</v>
      </c>
      <c r="G48" s="275"/>
      <c r="H48" s="275">
        <v>1500000</v>
      </c>
      <c r="I48" s="275">
        <f>'[1]POLY LIB. 2019'!D54</f>
        <v>1500000</v>
      </c>
      <c r="J48" s="275">
        <f t="shared" si="1"/>
        <v>0</v>
      </c>
      <c r="K48" s="275"/>
      <c r="L48" s="275">
        <v>1500000</v>
      </c>
      <c r="M48" s="275">
        <f>'[1]POLY LIB. 2019'!E54</f>
        <v>1500000</v>
      </c>
      <c r="N48" s="275">
        <f t="shared" si="2"/>
        <v>0</v>
      </c>
      <c r="O48" s="275"/>
      <c r="P48" s="275">
        <v>1500000</v>
      </c>
      <c r="Q48" s="275">
        <f>'[1]POLY LIB. 2019'!F54</f>
        <v>1500000</v>
      </c>
      <c r="R48" s="275">
        <f t="shared" si="3"/>
        <v>0</v>
      </c>
      <c r="S48" s="275"/>
      <c r="T48" s="275">
        <v>2500000</v>
      </c>
      <c r="U48" s="275">
        <f>'[1]POLY LIB. 2019'!G54</f>
        <v>2500000</v>
      </c>
      <c r="V48" s="275">
        <f t="shared" si="4"/>
        <v>0</v>
      </c>
      <c r="W48" s="275"/>
      <c r="X48" s="275">
        <v>2000000</v>
      </c>
      <c r="Y48" s="324">
        <v>2000000</v>
      </c>
      <c r="Z48" s="275">
        <f t="shared" si="5"/>
        <v>0</v>
      </c>
      <c r="AA48" s="275"/>
      <c r="AB48" s="275">
        <v>2600000</v>
      </c>
      <c r="AC48" s="275">
        <f>'[1]POLY LIB. 2019'!I54</f>
        <v>2600000</v>
      </c>
      <c r="AD48" s="275">
        <f t="shared" si="6"/>
        <v>0</v>
      </c>
      <c r="AE48" s="275"/>
      <c r="AF48" s="275">
        <v>5000000</v>
      </c>
      <c r="AG48" s="275">
        <f>'[1]POLY LIB. 2019'!J54</f>
        <v>5000000</v>
      </c>
      <c r="AH48" s="275">
        <f t="shared" si="7"/>
        <v>0</v>
      </c>
      <c r="AI48" s="275"/>
      <c r="AJ48" s="275">
        <v>5000000</v>
      </c>
      <c r="AK48" s="275">
        <f>'[1]POLY LIB. 2019'!K54</f>
        <v>5000000</v>
      </c>
      <c r="AL48" s="275">
        <f t="shared" si="8"/>
        <v>0</v>
      </c>
      <c r="AM48" s="275"/>
      <c r="AN48" s="275">
        <v>10000000</v>
      </c>
      <c r="AO48" s="324">
        <f>'[1]POLY LIB. 2019'!L54</f>
        <v>10000000</v>
      </c>
      <c r="AP48" s="275">
        <f t="shared" si="9"/>
        <v>0</v>
      </c>
      <c r="AQ48" s="205"/>
      <c r="AR48" s="275">
        <v>10000000</v>
      </c>
      <c r="AS48" s="294">
        <f>'[1]POLY LIB. 2019'!M54</f>
        <v>10000000</v>
      </c>
      <c r="AT48" s="275">
        <f t="shared" si="10"/>
        <v>0</v>
      </c>
      <c r="AU48" s="205"/>
      <c r="AV48" s="275">
        <v>30000000</v>
      </c>
      <c r="AW48" s="275">
        <f>'[1]POLY LIB. 2019'!N54</f>
        <v>30000000</v>
      </c>
      <c r="AX48" s="275">
        <f t="shared" si="11"/>
        <v>0</v>
      </c>
      <c r="AY48" s="205"/>
      <c r="AZ48" s="275">
        <f>'[1]POLY commited funds to date'!P132</f>
        <v>50000000</v>
      </c>
      <c r="BA48" s="275">
        <f>'[1]POLY LIB. 2019'!O54</f>
        <v>50000000</v>
      </c>
      <c r="BB48" s="275">
        <f t="shared" si="12"/>
        <v>0</v>
      </c>
      <c r="BC48" s="205"/>
      <c r="BD48" s="275">
        <v>70000000</v>
      </c>
      <c r="BE48" s="275">
        <f>'[1]POLY LIB. 2019'!P54</f>
        <v>70000000</v>
      </c>
      <c r="BF48" s="275">
        <f t="shared" si="13"/>
        <v>0</v>
      </c>
      <c r="BG48" s="205"/>
      <c r="BH48" s="275">
        <v>40000000</v>
      </c>
      <c r="BI48" s="279">
        <f>'[1]POLY LIB. 2019'!Q54</f>
        <v>34000000</v>
      </c>
      <c r="BJ48" s="275">
        <f t="shared" si="14"/>
        <v>6000000</v>
      </c>
      <c r="BL48" s="275">
        <f>'[1]POLY commited funds to date'!S132</f>
        <v>30000000</v>
      </c>
      <c r="BM48" s="275">
        <f>'[1]POLY LIB. 2019'!R54</f>
        <v>25500000</v>
      </c>
      <c r="BN48" s="275">
        <f t="shared" si="15"/>
        <v>4500000</v>
      </c>
      <c r="BP48" s="275">
        <f>'[1]POLY commited funds to date'!T132</f>
        <v>25000000</v>
      </c>
      <c r="BQ48" s="275">
        <f>'[1]POLY LIB. 2019'!S54</f>
        <v>0</v>
      </c>
      <c r="BR48" s="275">
        <f t="shared" si="16"/>
        <v>25000000</v>
      </c>
      <c r="BT48" s="275">
        <f>'[1]POLY commited funds to date'!U132</f>
        <v>15000000</v>
      </c>
      <c r="BU48" s="275">
        <f>'[1]POLY LIB. 2019'!T54</f>
        <v>0</v>
      </c>
      <c r="BV48" s="275">
        <f t="shared" si="17"/>
        <v>15000000</v>
      </c>
      <c r="BX48" s="275">
        <f t="shared" si="18"/>
        <v>303100000</v>
      </c>
      <c r="BY48" s="275">
        <f t="shared" si="18"/>
        <v>252600000</v>
      </c>
      <c r="BZ48" s="275">
        <f t="shared" si="19"/>
        <v>50500000</v>
      </c>
      <c r="CB48" s="205"/>
      <c r="CC48" s="325"/>
      <c r="CD48" s="211"/>
      <c r="CE48" s="211"/>
      <c r="CF48" s="211"/>
      <c r="CG48" s="211"/>
      <c r="CH48" s="211"/>
      <c r="CI48" s="211"/>
      <c r="CJ48" s="211"/>
      <c r="CK48" s="211"/>
      <c r="CL48" s="211"/>
      <c r="CM48" s="211"/>
      <c r="CN48" s="211"/>
      <c r="CO48" s="211"/>
      <c r="CP48" s="211"/>
      <c r="CQ48" s="211"/>
      <c r="CR48" s="211"/>
      <c r="CS48" s="211"/>
      <c r="CT48" s="211"/>
      <c r="CU48" s="211"/>
      <c r="CV48" s="211"/>
      <c r="CW48" s="211"/>
      <c r="CX48" s="211"/>
      <c r="CY48" s="211"/>
      <c r="CZ48" s="211"/>
      <c r="DA48" s="211"/>
      <c r="DB48" s="211"/>
      <c r="DC48" s="211"/>
      <c r="DD48" s="211"/>
      <c r="DE48" s="211"/>
      <c r="DF48" s="211"/>
      <c r="DG48" s="211"/>
      <c r="DH48" s="211"/>
      <c r="DI48" s="211"/>
      <c r="DJ48" s="211"/>
      <c r="DK48" s="211"/>
      <c r="DL48" s="211"/>
      <c r="DM48" s="211"/>
      <c r="DN48" s="211"/>
      <c r="DO48" s="205"/>
      <c r="DP48" s="265"/>
    </row>
    <row r="49" spans="1:120" x14ac:dyDescent="0.25">
      <c r="A49" s="273">
        <v>44</v>
      </c>
      <c r="B49" s="273" t="s">
        <v>243</v>
      </c>
      <c r="C49" s="273"/>
      <c r="D49" s="275">
        <v>1500000</v>
      </c>
      <c r="E49" s="275">
        <f>'[1]POLY LIB. 2019'!C55</f>
        <v>1500000</v>
      </c>
      <c r="F49" s="275">
        <f t="shared" si="0"/>
        <v>0</v>
      </c>
      <c r="G49" s="275"/>
      <c r="H49" s="275">
        <v>1500000</v>
      </c>
      <c r="I49" s="275">
        <f>'[1]POLY LIB. 2019'!D55</f>
        <v>1500000</v>
      </c>
      <c r="J49" s="275">
        <f t="shared" si="1"/>
        <v>0</v>
      </c>
      <c r="K49" s="275"/>
      <c r="L49" s="275">
        <v>1500000</v>
      </c>
      <c r="M49" s="275">
        <f>'[1]POLY LIB. 2019'!E55</f>
        <v>1500000</v>
      </c>
      <c r="N49" s="275">
        <f t="shared" si="2"/>
        <v>0</v>
      </c>
      <c r="O49" s="275"/>
      <c r="P49" s="275">
        <v>1500000</v>
      </c>
      <c r="Q49" s="275">
        <f>'[1]POLY LIB. 2019'!F55</f>
        <v>1500000</v>
      </c>
      <c r="R49" s="275">
        <f t="shared" si="3"/>
        <v>0</v>
      </c>
      <c r="S49" s="275"/>
      <c r="T49" s="275">
        <v>2500000</v>
      </c>
      <c r="U49" s="275">
        <f>'[1]POLY LIB. 2019'!G55</f>
        <v>2500000</v>
      </c>
      <c r="V49" s="275">
        <f t="shared" si="4"/>
        <v>0</v>
      </c>
      <c r="W49" s="275"/>
      <c r="X49" s="275">
        <v>2000000</v>
      </c>
      <c r="Y49" s="324">
        <v>2000000</v>
      </c>
      <c r="Z49" s="275">
        <f t="shared" si="5"/>
        <v>0</v>
      </c>
      <c r="AA49" s="275"/>
      <c r="AB49" s="275">
        <v>2600000</v>
      </c>
      <c r="AC49" s="275">
        <f>'[1]POLY LIB. 2019'!I55</f>
        <v>2600000</v>
      </c>
      <c r="AD49" s="275">
        <f t="shared" si="6"/>
        <v>0</v>
      </c>
      <c r="AE49" s="275"/>
      <c r="AF49" s="275">
        <v>5000000</v>
      </c>
      <c r="AG49" s="275">
        <f>'[1]POLY LIB. 2019'!J55</f>
        <v>5000000</v>
      </c>
      <c r="AH49" s="275">
        <f t="shared" si="7"/>
        <v>0</v>
      </c>
      <c r="AI49" s="275"/>
      <c r="AJ49" s="275">
        <v>5000000</v>
      </c>
      <c r="AK49" s="275">
        <f>'[1]POLY LIB. 2019'!K55</f>
        <v>5000000</v>
      </c>
      <c r="AL49" s="275">
        <f t="shared" si="8"/>
        <v>0</v>
      </c>
      <c r="AM49" s="275"/>
      <c r="AN49" s="275">
        <v>10000000</v>
      </c>
      <c r="AO49" s="324">
        <f>'[1]POLY LIB. 2019'!L55</f>
        <v>10000000</v>
      </c>
      <c r="AP49" s="275">
        <f t="shared" si="9"/>
        <v>0</v>
      </c>
      <c r="AQ49" s="205"/>
      <c r="AR49" s="275">
        <v>10000000</v>
      </c>
      <c r="AS49" s="294">
        <f>'[1]POLY LIB. 2019'!M55</f>
        <v>10000000</v>
      </c>
      <c r="AT49" s="275">
        <f t="shared" si="10"/>
        <v>0</v>
      </c>
      <c r="AU49" s="205"/>
      <c r="AV49" s="275">
        <v>30000000</v>
      </c>
      <c r="AW49" s="275">
        <f>'[1]POLY LIB. 2019'!N55</f>
        <v>30000000</v>
      </c>
      <c r="AX49" s="275">
        <f t="shared" si="11"/>
        <v>0</v>
      </c>
      <c r="AY49" s="205"/>
      <c r="AZ49" s="275">
        <f>'[1]POLY commited funds to date'!P133</f>
        <v>50000000</v>
      </c>
      <c r="BA49" s="275">
        <f>'[1]POLY LIB. 2019'!O55</f>
        <v>50000000</v>
      </c>
      <c r="BB49" s="275">
        <f t="shared" si="12"/>
        <v>0</v>
      </c>
      <c r="BC49" s="205"/>
      <c r="BD49" s="275">
        <v>70000000</v>
      </c>
      <c r="BE49" s="275">
        <f>'[1]POLY LIB. 2019'!P55</f>
        <v>70000000</v>
      </c>
      <c r="BF49" s="275">
        <f t="shared" si="13"/>
        <v>0</v>
      </c>
      <c r="BG49" s="205"/>
      <c r="BH49" s="275">
        <v>40000000</v>
      </c>
      <c r="BI49" s="275">
        <f>'[1]POLY LIB. 2019'!Q55</f>
        <v>40000000</v>
      </c>
      <c r="BJ49" s="275">
        <f t="shared" si="14"/>
        <v>0</v>
      </c>
      <c r="BL49" s="275">
        <f>'[1]POLY commited funds to date'!S133</f>
        <v>30000000</v>
      </c>
      <c r="BM49" s="275">
        <f>'[1]POLY LIB. 2019'!R55</f>
        <v>30000000</v>
      </c>
      <c r="BN49" s="275">
        <f t="shared" si="15"/>
        <v>0</v>
      </c>
      <c r="BP49" s="275">
        <f>'[1]POLY commited funds to date'!T133</f>
        <v>25000000</v>
      </c>
      <c r="BQ49" s="275">
        <f>'[1]POLY LIB. 2019'!S55</f>
        <v>0</v>
      </c>
      <c r="BR49" s="275">
        <f t="shared" si="16"/>
        <v>25000000</v>
      </c>
      <c r="BT49" s="275">
        <f>'[1]POLY commited funds to date'!U133</f>
        <v>15000000</v>
      </c>
      <c r="BU49" s="275">
        <f>'[1]POLY LIB. 2019'!T55</f>
        <v>0</v>
      </c>
      <c r="BV49" s="275">
        <f t="shared" si="17"/>
        <v>15000000</v>
      </c>
      <c r="BX49" s="275">
        <f t="shared" si="18"/>
        <v>303100000</v>
      </c>
      <c r="BY49" s="275">
        <f t="shared" si="18"/>
        <v>263100000</v>
      </c>
      <c r="BZ49" s="275">
        <f t="shared" si="19"/>
        <v>40000000</v>
      </c>
      <c r="CB49" s="205"/>
      <c r="CC49" s="325"/>
      <c r="CD49" s="211"/>
      <c r="CE49" s="211"/>
      <c r="CF49" s="211"/>
      <c r="CG49" s="211"/>
      <c r="CH49" s="211"/>
      <c r="CI49" s="211"/>
      <c r="CJ49" s="211"/>
      <c r="CK49" s="211"/>
      <c r="CL49" s="211"/>
      <c r="CM49" s="211"/>
      <c r="CN49" s="211"/>
      <c r="CO49" s="211"/>
      <c r="CP49" s="211"/>
      <c r="CQ49" s="211"/>
      <c r="CR49" s="211"/>
      <c r="CS49" s="211"/>
      <c r="CT49" s="211"/>
      <c r="CU49" s="211"/>
      <c r="CV49" s="211"/>
      <c r="CW49" s="211"/>
      <c r="CX49" s="211"/>
      <c r="CY49" s="211"/>
      <c r="CZ49" s="211"/>
      <c r="DA49" s="211"/>
      <c r="DB49" s="211"/>
      <c r="DC49" s="211"/>
      <c r="DD49" s="211"/>
      <c r="DE49" s="211"/>
      <c r="DF49" s="211"/>
      <c r="DG49" s="211"/>
      <c r="DH49" s="211"/>
      <c r="DI49" s="211"/>
      <c r="DJ49" s="211"/>
      <c r="DK49" s="211"/>
      <c r="DL49" s="211"/>
      <c r="DM49" s="205"/>
      <c r="DN49" s="205"/>
      <c r="DO49" s="205"/>
      <c r="DP49" s="265"/>
    </row>
    <row r="50" spans="1:120" x14ac:dyDescent="0.25">
      <c r="A50" s="273">
        <v>45</v>
      </c>
      <c r="B50" s="273" t="s">
        <v>289</v>
      </c>
      <c r="C50" s="273"/>
      <c r="D50" s="275">
        <v>0</v>
      </c>
      <c r="E50" s="275">
        <f>'[1]POLY LIB. 2019'!C56</f>
        <v>0</v>
      </c>
      <c r="F50" s="275">
        <f t="shared" si="0"/>
        <v>0</v>
      </c>
      <c r="G50" s="275"/>
      <c r="H50" s="275">
        <v>0</v>
      </c>
      <c r="I50" s="275">
        <f>'[1]POLY LIB. 2019'!D56</f>
        <v>0</v>
      </c>
      <c r="J50" s="275">
        <f t="shared" si="1"/>
        <v>0</v>
      </c>
      <c r="K50" s="275"/>
      <c r="L50" s="275">
        <v>0</v>
      </c>
      <c r="M50" s="275">
        <f>'[1]POLY LIB. 2019'!E56</f>
        <v>0</v>
      </c>
      <c r="N50" s="275">
        <f t="shared" si="2"/>
        <v>0</v>
      </c>
      <c r="O50" s="275"/>
      <c r="P50" s="275">
        <v>1500000</v>
      </c>
      <c r="Q50" s="275">
        <f>'[1]POLY LIB. 2019'!F56</f>
        <v>1500000</v>
      </c>
      <c r="R50" s="275">
        <f t="shared" si="3"/>
        <v>0</v>
      </c>
      <c r="S50" s="275"/>
      <c r="T50" s="275">
        <v>2500000</v>
      </c>
      <c r="U50" s="275">
        <f>'[1]POLY LIB. 2019'!G56</f>
        <v>2500000</v>
      </c>
      <c r="V50" s="275">
        <f t="shared" si="4"/>
        <v>0</v>
      </c>
      <c r="W50" s="275"/>
      <c r="X50" s="275">
        <v>2000000</v>
      </c>
      <c r="Y50" s="324">
        <v>2000000</v>
      </c>
      <c r="Z50" s="275">
        <f t="shared" si="5"/>
        <v>0</v>
      </c>
      <c r="AA50" s="275"/>
      <c r="AB50" s="275">
        <v>2600000</v>
      </c>
      <c r="AC50" s="275">
        <f>'[1]POLY LIB. 2019'!I56</f>
        <v>2600000</v>
      </c>
      <c r="AD50" s="275">
        <f t="shared" si="6"/>
        <v>0</v>
      </c>
      <c r="AE50" s="275"/>
      <c r="AF50" s="275">
        <v>5000000</v>
      </c>
      <c r="AG50" s="275">
        <f>'[1]POLY LIB. 2019'!J56</f>
        <v>5000000</v>
      </c>
      <c r="AH50" s="275">
        <f t="shared" si="7"/>
        <v>0</v>
      </c>
      <c r="AI50" s="275"/>
      <c r="AJ50" s="275">
        <v>4250000</v>
      </c>
      <c r="AK50" s="275">
        <f>'[1]POLY LIB. 2019'!K56</f>
        <v>4250000</v>
      </c>
      <c r="AL50" s="275">
        <f t="shared" si="8"/>
        <v>0</v>
      </c>
      <c r="AM50" s="275"/>
      <c r="AN50" s="275">
        <v>8500000</v>
      </c>
      <c r="AO50" s="324">
        <f>'[1]POLY LIB. 2019'!L56</f>
        <v>8500000</v>
      </c>
      <c r="AP50" s="275">
        <f t="shared" si="9"/>
        <v>0</v>
      </c>
      <c r="AQ50" s="205"/>
      <c r="AR50" s="275">
        <v>0</v>
      </c>
      <c r="AS50" s="294">
        <f>'[1]POLY LIB. 2019'!M56</f>
        <v>0</v>
      </c>
      <c r="AT50" s="275">
        <f t="shared" si="10"/>
        <v>0</v>
      </c>
      <c r="AU50" s="205"/>
      <c r="AV50" s="275">
        <v>0</v>
      </c>
      <c r="AW50" s="275">
        <f>'[1]POLY LIB. 2019'!N56</f>
        <v>0</v>
      </c>
      <c r="AX50" s="275">
        <f t="shared" si="11"/>
        <v>0</v>
      </c>
      <c r="AY50" s="205"/>
      <c r="AZ50" s="275">
        <f>'[1]POLY commited funds to date'!P134</f>
        <v>50000000</v>
      </c>
      <c r="BA50" s="275">
        <f>'[1]POLY LIB. 2019'!O56</f>
        <v>50000000</v>
      </c>
      <c r="BB50" s="275">
        <f t="shared" si="12"/>
        <v>0</v>
      </c>
      <c r="BC50" s="205"/>
      <c r="BD50" s="275">
        <v>0</v>
      </c>
      <c r="BE50" s="275">
        <f>'[1]POLY LIB. 2019'!P56</f>
        <v>0</v>
      </c>
      <c r="BF50" s="275">
        <f t="shared" si="13"/>
        <v>0</v>
      </c>
      <c r="BG50" s="205"/>
      <c r="BH50" s="275">
        <v>0</v>
      </c>
      <c r="BI50" s="275">
        <f>'[1]POLY LIB. 2019'!Q56</f>
        <v>0</v>
      </c>
      <c r="BJ50" s="275">
        <f t="shared" si="14"/>
        <v>0</v>
      </c>
      <c r="BL50" s="275">
        <f>'[1]POLY commited funds to date'!S134</f>
        <v>30000000</v>
      </c>
      <c r="BM50" s="275">
        <f>'[1]POLY LIB. 2019'!R56</f>
        <v>0</v>
      </c>
      <c r="BN50" s="275">
        <f t="shared" si="15"/>
        <v>30000000</v>
      </c>
      <c r="BP50" s="275">
        <f>'[1]POLY commited funds to date'!T134</f>
        <v>0</v>
      </c>
      <c r="BQ50" s="275">
        <f>'[1]POLY LIB. 2019'!S56</f>
        <v>0</v>
      </c>
      <c r="BR50" s="275">
        <f t="shared" si="16"/>
        <v>0</v>
      </c>
      <c r="BT50" s="275">
        <f>'[1]POLY commited funds to date'!U134</f>
        <v>0</v>
      </c>
      <c r="BU50" s="275">
        <f>'[1]POLY LIB. 2019'!T56</f>
        <v>0</v>
      </c>
      <c r="BV50" s="275">
        <f t="shared" si="17"/>
        <v>0</v>
      </c>
      <c r="BX50" s="275">
        <f t="shared" si="18"/>
        <v>106350000</v>
      </c>
      <c r="BY50" s="275">
        <f t="shared" si="18"/>
        <v>76350000</v>
      </c>
      <c r="BZ50" s="275">
        <f t="shared" si="19"/>
        <v>30000000</v>
      </c>
      <c r="CB50" s="205"/>
      <c r="CC50" s="325"/>
      <c r="CD50" s="211"/>
      <c r="CE50" s="211"/>
      <c r="CF50" s="211"/>
      <c r="CG50" s="211"/>
      <c r="CH50" s="211"/>
      <c r="CI50" s="211"/>
      <c r="CJ50" s="211"/>
      <c r="CK50" s="211"/>
      <c r="CL50" s="211"/>
      <c r="CM50" s="211"/>
      <c r="CN50" s="211"/>
      <c r="CO50" s="211"/>
      <c r="CP50" s="211"/>
      <c r="CQ50" s="211"/>
      <c r="CR50" s="211"/>
      <c r="CS50" s="211"/>
      <c r="CT50" s="211"/>
      <c r="CU50" s="211"/>
      <c r="CV50" s="211"/>
      <c r="CW50" s="211"/>
      <c r="CX50" s="211"/>
      <c r="CY50" s="211"/>
      <c r="CZ50" s="211"/>
      <c r="DA50" s="211"/>
      <c r="DB50" s="211"/>
      <c r="DC50" s="211"/>
      <c r="DD50" s="211"/>
      <c r="DE50" s="211"/>
      <c r="DF50" s="211"/>
      <c r="DG50" s="211"/>
      <c r="DH50" s="211"/>
      <c r="DI50" s="211"/>
      <c r="DJ50" s="211"/>
      <c r="DK50" s="211"/>
      <c r="DL50" s="211"/>
      <c r="DM50" s="211"/>
      <c r="DN50" s="211"/>
      <c r="DO50" s="205"/>
      <c r="DP50" s="265"/>
    </row>
    <row r="51" spans="1:120" x14ac:dyDescent="0.25">
      <c r="A51" s="273">
        <v>46</v>
      </c>
      <c r="B51" s="273" t="s">
        <v>290</v>
      </c>
      <c r="C51" s="273"/>
      <c r="D51" s="275">
        <v>0</v>
      </c>
      <c r="E51" s="275">
        <f>'[1]POLY LIB. 2019'!C57</f>
        <v>0</v>
      </c>
      <c r="F51" s="275">
        <f t="shared" si="0"/>
        <v>0</v>
      </c>
      <c r="G51" s="275"/>
      <c r="H51" s="275">
        <v>0</v>
      </c>
      <c r="I51" s="275">
        <f>'[1]POLY LIB. 2019'!D57</f>
        <v>0</v>
      </c>
      <c r="J51" s="275">
        <f t="shared" si="1"/>
        <v>0</v>
      </c>
      <c r="K51" s="275"/>
      <c r="L51" s="275">
        <v>0</v>
      </c>
      <c r="M51" s="275">
        <f>'[1]POLY LIB. 2019'!E57</f>
        <v>0</v>
      </c>
      <c r="N51" s="275">
        <f t="shared" si="2"/>
        <v>0</v>
      </c>
      <c r="O51" s="275"/>
      <c r="P51" s="275">
        <v>0</v>
      </c>
      <c r="Q51" s="275">
        <f>'[1]POLY LIB. 2019'!F57</f>
        <v>0</v>
      </c>
      <c r="R51" s="275">
        <f t="shared" si="3"/>
        <v>0</v>
      </c>
      <c r="S51" s="275"/>
      <c r="T51" s="275">
        <v>2500000</v>
      </c>
      <c r="U51" s="275">
        <f>'[1]POLY LIB. 2019'!G57</f>
        <v>2500000</v>
      </c>
      <c r="V51" s="275">
        <f t="shared" si="4"/>
        <v>0</v>
      </c>
      <c r="W51" s="275"/>
      <c r="X51" s="275">
        <v>2000000</v>
      </c>
      <c r="Y51" s="324">
        <v>2000000</v>
      </c>
      <c r="Z51" s="275">
        <f>X51-Y51</f>
        <v>0</v>
      </c>
      <c r="AA51" s="275"/>
      <c r="AB51" s="275">
        <v>2600000</v>
      </c>
      <c r="AC51" s="275">
        <f>'[1]POLY LIB. 2019'!I57</f>
        <v>2600000</v>
      </c>
      <c r="AD51" s="275">
        <f t="shared" si="6"/>
        <v>0</v>
      </c>
      <c r="AE51" s="275"/>
      <c r="AF51" s="275">
        <f>5000000-5000000</f>
        <v>0</v>
      </c>
      <c r="AG51" s="275">
        <f>'[1]POLY LIB. 2019'!J57</f>
        <v>0</v>
      </c>
      <c r="AH51" s="275">
        <f t="shared" si="7"/>
        <v>0</v>
      </c>
      <c r="AI51" s="275"/>
      <c r="AJ51" s="275">
        <f>5000000-5000000</f>
        <v>0</v>
      </c>
      <c r="AK51" s="275">
        <f>'[1]POLY LIB. 2019'!K57</f>
        <v>0</v>
      </c>
      <c r="AL51" s="275">
        <f t="shared" si="8"/>
        <v>0</v>
      </c>
      <c r="AM51" s="275"/>
      <c r="AN51" s="275">
        <v>0</v>
      </c>
      <c r="AO51" s="324">
        <f>'[1]POLY LIB. 2019'!L57</f>
        <v>0</v>
      </c>
      <c r="AP51" s="275">
        <f t="shared" si="9"/>
        <v>0</v>
      </c>
      <c r="AQ51" s="205"/>
      <c r="AR51" s="275">
        <v>10000000</v>
      </c>
      <c r="AS51" s="294">
        <f>'[1]POLY LIB. 2019'!M57</f>
        <v>10000000</v>
      </c>
      <c r="AT51" s="275">
        <f t="shared" si="10"/>
        <v>0</v>
      </c>
      <c r="AU51" s="205"/>
      <c r="AV51" s="275">
        <v>0</v>
      </c>
      <c r="AW51" s="275">
        <f>'[1]POLY LIB. 2019'!N57</f>
        <v>0</v>
      </c>
      <c r="AX51" s="275">
        <f t="shared" si="11"/>
        <v>0</v>
      </c>
      <c r="AY51" s="205"/>
      <c r="AZ51" s="275">
        <f>'[1]POLY commited funds to date'!P135</f>
        <v>0</v>
      </c>
      <c r="BA51" s="275">
        <f>'[1]POLY LIB. 2019'!O57</f>
        <v>0</v>
      </c>
      <c r="BB51" s="275">
        <f t="shared" si="12"/>
        <v>0</v>
      </c>
      <c r="BC51" s="205"/>
      <c r="BD51" s="275">
        <v>70000000</v>
      </c>
      <c r="BE51" s="275">
        <f>'[1]POLY LIB. 2019'!P57</f>
        <v>70000000</v>
      </c>
      <c r="BF51" s="275">
        <f t="shared" si="13"/>
        <v>0</v>
      </c>
      <c r="BG51" s="205"/>
      <c r="BH51" s="275">
        <v>0</v>
      </c>
      <c r="BI51" s="275">
        <f>'[1]POLY LIB. 2019'!Q57</f>
        <v>0</v>
      </c>
      <c r="BJ51" s="275">
        <f t="shared" si="14"/>
        <v>0</v>
      </c>
      <c r="BL51" s="275">
        <f>'[1]POLY commited funds to date'!S135</f>
        <v>0</v>
      </c>
      <c r="BM51" s="275">
        <f>'[1]POLY LIB. 2019'!R57</f>
        <v>0</v>
      </c>
      <c r="BN51" s="275">
        <f t="shared" si="15"/>
        <v>0</v>
      </c>
      <c r="BP51" s="275">
        <f>'[1]POLY commited funds to date'!T135</f>
        <v>25000000</v>
      </c>
      <c r="BQ51" s="275">
        <f>'[1]POLY LIB. 2019'!S57</f>
        <v>0</v>
      </c>
      <c r="BR51" s="275">
        <f t="shared" si="16"/>
        <v>25000000</v>
      </c>
      <c r="BT51" s="275">
        <f>'[1]POLY commited funds to date'!U135</f>
        <v>0</v>
      </c>
      <c r="BU51" s="275">
        <f>'[1]POLY LIB. 2019'!T57</f>
        <v>0</v>
      </c>
      <c r="BV51" s="275">
        <f t="shared" si="17"/>
        <v>0</v>
      </c>
      <c r="BX51" s="275">
        <f t="shared" si="18"/>
        <v>112100000</v>
      </c>
      <c r="BY51" s="275">
        <f t="shared" si="18"/>
        <v>87100000</v>
      </c>
      <c r="BZ51" s="275">
        <f t="shared" si="19"/>
        <v>25000000</v>
      </c>
      <c r="CB51" s="205"/>
      <c r="CC51" s="325"/>
      <c r="CD51" s="211"/>
      <c r="CE51" s="211"/>
      <c r="CF51" s="211"/>
      <c r="CG51" s="211"/>
      <c r="CH51" s="211"/>
      <c r="CI51" s="211"/>
      <c r="CJ51" s="211"/>
      <c r="CK51" s="211"/>
      <c r="CL51" s="211"/>
      <c r="CM51" s="211"/>
      <c r="CN51" s="211"/>
      <c r="CO51" s="211"/>
      <c r="CP51" s="211"/>
      <c r="CQ51" s="211"/>
      <c r="CR51" s="211"/>
      <c r="CS51" s="211"/>
      <c r="CT51" s="211"/>
      <c r="CU51" s="211"/>
      <c r="CV51" s="211"/>
      <c r="CW51" s="211"/>
      <c r="CX51" s="211"/>
      <c r="CY51" s="211"/>
      <c r="CZ51" s="211"/>
      <c r="DA51" s="211"/>
      <c r="DB51" s="211"/>
      <c r="DC51" s="211"/>
      <c r="DD51" s="211"/>
      <c r="DE51" s="211"/>
      <c r="DF51" s="211"/>
      <c r="DG51" s="211"/>
      <c r="DH51" s="211"/>
      <c r="DI51" s="211"/>
      <c r="DJ51" s="211"/>
      <c r="DK51" s="211"/>
      <c r="DL51" s="211"/>
      <c r="DM51" s="211"/>
      <c r="DN51" s="211"/>
      <c r="DO51" s="205"/>
      <c r="DP51" s="265"/>
    </row>
    <row r="52" spans="1:120" x14ac:dyDescent="0.25">
      <c r="A52" s="273">
        <v>47</v>
      </c>
      <c r="B52" s="273" t="s">
        <v>291</v>
      </c>
      <c r="C52" s="273"/>
      <c r="D52" s="275">
        <v>0</v>
      </c>
      <c r="E52" s="275">
        <f>'[1]POLY LIB. 2019'!C58</f>
        <v>0</v>
      </c>
      <c r="F52" s="275">
        <f t="shared" si="0"/>
        <v>0</v>
      </c>
      <c r="G52" s="275"/>
      <c r="H52" s="275">
        <v>0</v>
      </c>
      <c r="I52" s="275">
        <f>'[1]POLY LIB. 2019'!D58</f>
        <v>0</v>
      </c>
      <c r="J52" s="275">
        <f t="shared" si="1"/>
        <v>0</v>
      </c>
      <c r="K52" s="275"/>
      <c r="L52" s="275">
        <v>0</v>
      </c>
      <c r="M52" s="275">
        <f>'[1]POLY LIB. 2019'!E58</f>
        <v>0</v>
      </c>
      <c r="N52" s="275">
        <f t="shared" si="2"/>
        <v>0</v>
      </c>
      <c r="O52" s="275"/>
      <c r="P52" s="275">
        <v>0</v>
      </c>
      <c r="Q52" s="275">
        <f>'[1]POLY LIB. 2019'!F58</f>
        <v>0</v>
      </c>
      <c r="R52" s="275">
        <f t="shared" si="3"/>
        <v>0</v>
      </c>
      <c r="S52" s="275"/>
      <c r="T52" s="275">
        <v>2500000</v>
      </c>
      <c r="U52" s="275">
        <f>'[1]POLY LIB. 2019'!G58</f>
        <v>2500000</v>
      </c>
      <c r="V52" s="275">
        <f t="shared" si="4"/>
        <v>0</v>
      </c>
      <c r="W52" s="275"/>
      <c r="X52" s="275">
        <v>2000000</v>
      </c>
      <c r="Y52" s="324">
        <v>2000000</v>
      </c>
      <c r="Z52" s="275">
        <f t="shared" si="5"/>
        <v>0</v>
      </c>
      <c r="AA52" s="275"/>
      <c r="AB52" s="275">
        <v>2210000</v>
      </c>
      <c r="AC52" s="275">
        <f>'[1]POLY LIB. 2019'!I58</f>
        <v>2210000</v>
      </c>
      <c r="AD52" s="275">
        <f t="shared" si="6"/>
        <v>0</v>
      </c>
      <c r="AE52" s="275"/>
      <c r="AF52" s="275">
        <v>5000000</v>
      </c>
      <c r="AG52" s="275">
        <f>'[1]POLY LIB. 2019'!J58</f>
        <v>5000000</v>
      </c>
      <c r="AH52" s="275">
        <f t="shared" si="7"/>
        <v>0</v>
      </c>
      <c r="AI52" s="275"/>
      <c r="AJ52" s="275">
        <v>5000000</v>
      </c>
      <c r="AK52" s="275">
        <f>'[1]POLY LIB. 2019'!K58</f>
        <v>5000000</v>
      </c>
      <c r="AL52" s="275">
        <f t="shared" si="8"/>
        <v>0</v>
      </c>
      <c r="AM52" s="275"/>
      <c r="AN52" s="275">
        <v>0</v>
      </c>
      <c r="AO52" s="324">
        <f>'[1]POLY LIB. 2019'!L58</f>
        <v>0</v>
      </c>
      <c r="AP52" s="275">
        <f t="shared" si="9"/>
        <v>0</v>
      </c>
      <c r="AQ52" s="205"/>
      <c r="AR52" s="275">
        <v>0</v>
      </c>
      <c r="AS52" s="294">
        <f>'[1]POLY LIB. 2019'!M58</f>
        <v>0</v>
      </c>
      <c r="AT52" s="275">
        <f>AR52-AS52</f>
        <v>0</v>
      </c>
      <c r="AU52" s="205"/>
      <c r="AV52" s="275">
        <v>30000000</v>
      </c>
      <c r="AW52" s="275">
        <f>'[1]POLY LIB. 2019'!N58</f>
        <v>30000000</v>
      </c>
      <c r="AX52" s="275">
        <f t="shared" si="11"/>
        <v>0</v>
      </c>
      <c r="AY52" s="205"/>
      <c r="AZ52" s="275">
        <f>'[1]POLY commited funds to date'!P136</f>
        <v>0</v>
      </c>
      <c r="BA52" s="275">
        <f>'[1]POLY LIB. 2019'!O58</f>
        <v>0</v>
      </c>
      <c r="BB52" s="275">
        <f t="shared" si="12"/>
        <v>0</v>
      </c>
      <c r="BC52" s="205"/>
      <c r="BD52" s="275">
        <v>0</v>
      </c>
      <c r="BE52" s="294">
        <f>'[1]POLY LIB. 2019'!AB58</f>
        <v>0</v>
      </c>
      <c r="BF52" s="275">
        <f t="shared" si="13"/>
        <v>0</v>
      </c>
      <c r="BG52" s="205"/>
      <c r="BH52" s="275">
        <v>40000000</v>
      </c>
      <c r="BI52" s="275">
        <f>'[1]POLY LIB. 2019'!Q58</f>
        <v>40000000</v>
      </c>
      <c r="BJ52" s="275">
        <f t="shared" si="14"/>
        <v>0</v>
      </c>
      <c r="BL52" s="275">
        <f>'[1]POLY commited funds to date'!S136</f>
        <v>0</v>
      </c>
      <c r="BM52" s="275">
        <f>'[1]POLY LIB. 2019'!R58</f>
        <v>0</v>
      </c>
      <c r="BN52" s="275">
        <f t="shared" si="15"/>
        <v>0</v>
      </c>
      <c r="BP52" s="275">
        <f>'[1]POLY commited funds to date'!T136</f>
        <v>0</v>
      </c>
      <c r="BQ52" s="275">
        <f>'[1]POLY LIB. 2019'!S58</f>
        <v>0</v>
      </c>
      <c r="BR52" s="275">
        <f t="shared" si="16"/>
        <v>0</v>
      </c>
      <c r="BT52" s="275">
        <f>'[1]POLY commited funds to date'!U136</f>
        <v>15000000</v>
      </c>
      <c r="BU52" s="275">
        <f>'[1]POLY LIB. 2019'!T58</f>
        <v>0</v>
      </c>
      <c r="BV52" s="275">
        <f t="shared" si="17"/>
        <v>15000000</v>
      </c>
      <c r="BX52" s="275">
        <f t="shared" si="18"/>
        <v>101710000</v>
      </c>
      <c r="BY52" s="275">
        <f t="shared" si="18"/>
        <v>86710000</v>
      </c>
      <c r="BZ52" s="275">
        <f t="shared" si="19"/>
        <v>15000000</v>
      </c>
      <c r="CB52" s="205"/>
      <c r="CC52" s="325"/>
      <c r="CD52" s="211"/>
      <c r="CE52" s="211"/>
      <c r="CF52" s="211"/>
      <c r="CG52" s="211"/>
      <c r="CH52" s="211"/>
      <c r="CI52" s="211"/>
      <c r="CJ52" s="211"/>
      <c r="CK52" s="211"/>
      <c r="CL52" s="211"/>
      <c r="CM52" s="211"/>
      <c r="CN52" s="211"/>
      <c r="CO52" s="211"/>
      <c r="CP52" s="211"/>
      <c r="CQ52" s="211"/>
      <c r="CR52" s="211"/>
      <c r="CS52" s="211"/>
      <c r="CT52" s="211"/>
      <c r="CU52" s="211"/>
      <c r="CV52" s="319"/>
      <c r="CW52" s="211"/>
      <c r="CX52" s="211"/>
      <c r="CY52" s="211"/>
      <c r="CZ52" s="211"/>
      <c r="DA52" s="211"/>
      <c r="DB52" s="211"/>
      <c r="DC52" s="211"/>
      <c r="DD52" s="211"/>
      <c r="DE52" s="211"/>
      <c r="DF52" s="211"/>
      <c r="DG52" s="211"/>
      <c r="DH52" s="211"/>
      <c r="DI52" s="211"/>
      <c r="DJ52" s="211"/>
      <c r="DK52" s="211"/>
      <c r="DL52" s="211"/>
      <c r="DM52" s="211"/>
      <c r="DN52" s="211"/>
      <c r="DO52" s="205"/>
      <c r="DP52" s="265"/>
    </row>
    <row r="53" spans="1:120" x14ac:dyDescent="0.25">
      <c r="A53" s="273">
        <v>48</v>
      </c>
      <c r="B53" s="329" t="s">
        <v>292</v>
      </c>
      <c r="C53" s="329"/>
      <c r="D53" s="275">
        <v>0</v>
      </c>
      <c r="E53" s="275">
        <f>'[1]POLY LIB. 2019'!C59</f>
        <v>0</v>
      </c>
      <c r="F53" s="275">
        <f t="shared" si="0"/>
        <v>0</v>
      </c>
      <c r="G53" s="275"/>
      <c r="H53" s="275">
        <v>0</v>
      </c>
      <c r="I53" s="275">
        <f>'[1]POLY LIB. 2019'!D59</f>
        <v>0</v>
      </c>
      <c r="J53" s="275">
        <f t="shared" si="1"/>
        <v>0</v>
      </c>
      <c r="K53" s="275"/>
      <c r="L53" s="275">
        <v>0</v>
      </c>
      <c r="M53" s="275">
        <f>'[1]POLY LIB. 2019'!E59</f>
        <v>0</v>
      </c>
      <c r="N53" s="275">
        <f t="shared" si="2"/>
        <v>0</v>
      </c>
      <c r="O53" s="275"/>
      <c r="P53" s="275">
        <v>0</v>
      </c>
      <c r="Q53" s="275">
        <f>'[1]POLY LIB. 2019'!F59</f>
        <v>0</v>
      </c>
      <c r="R53" s="275">
        <f t="shared" si="3"/>
        <v>0</v>
      </c>
      <c r="S53" s="275"/>
      <c r="T53" s="275">
        <v>0</v>
      </c>
      <c r="U53" s="275">
        <f>'[1]POLY LIB. 2019'!G59</f>
        <v>0</v>
      </c>
      <c r="V53" s="275">
        <f t="shared" si="4"/>
        <v>0</v>
      </c>
      <c r="W53" s="275"/>
      <c r="X53" s="275">
        <v>0</v>
      </c>
      <c r="Y53" s="324">
        <v>0</v>
      </c>
      <c r="Z53" s="275">
        <f t="shared" si="5"/>
        <v>0</v>
      </c>
      <c r="AA53" s="275"/>
      <c r="AB53" s="275">
        <v>0</v>
      </c>
      <c r="AC53" s="275">
        <f>'[1]POLY LIB. 2019'!I59</f>
        <v>0</v>
      </c>
      <c r="AD53" s="275">
        <f t="shared" si="6"/>
        <v>0</v>
      </c>
      <c r="AE53" s="275"/>
      <c r="AF53" s="276">
        <v>5000000</v>
      </c>
      <c r="AG53" s="276">
        <f>'[1]POLY LIB. 2019'!J59</f>
        <v>5000000</v>
      </c>
      <c r="AH53" s="275">
        <f t="shared" si="7"/>
        <v>0</v>
      </c>
      <c r="AI53" s="276"/>
      <c r="AJ53" s="276">
        <v>5000000</v>
      </c>
      <c r="AK53" s="276">
        <f>'[1]POLY LIB. 2019'!K59</f>
        <v>5000000</v>
      </c>
      <c r="AL53" s="275">
        <f t="shared" si="8"/>
        <v>0</v>
      </c>
      <c r="AM53" s="276"/>
      <c r="AN53" s="275">
        <v>10000000</v>
      </c>
      <c r="AO53" s="324">
        <f>'[1]POLY LIB. 2019'!L59</f>
        <v>10000000</v>
      </c>
      <c r="AP53" s="275">
        <f t="shared" si="9"/>
        <v>0</v>
      </c>
      <c r="AQ53" s="205"/>
      <c r="AR53" s="275">
        <v>10000000</v>
      </c>
      <c r="AS53" s="294">
        <f>'[1]POLY LIB. 2019'!M59</f>
        <v>10000000</v>
      </c>
      <c r="AT53" s="275">
        <f t="shared" si="10"/>
        <v>0</v>
      </c>
      <c r="AU53" s="205"/>
      <c r="AV53" s="275">
        <v>30000000</v>
      </c>
      <c r="AW53" s="275">
        <f>'[1]POLY LIB. 2019'!N59</f>
        <v>30000000</v>
      </c>
      <c r="AX53" s="275">
        <f t="shared" si="11"/>
        <v>0</v>
      </c>
      <c r="AY53" s="205"/>
      <c r="AZ53" s="275">
        <f>'[1]POLY commited funds to date'!P137</f>
        <v>50000000</v>
      </c>
      <c r="BA53" s="275">
        <f>'[1]POLY LIB. 2019'!O59</f>
        <v>50000000</v>
      </c>
      <c r="BB53" s="275">
        <f t="shared" si="12"/>
        <v>0</v>
      </c>
      <c r="BC53" s="205"/>
      <c r="BD53" s="275">
        <v>70000000</v>
      </c>
      <c r="BE53" s="275">
        <f>'[1]POLY LIB. 2019'!P59</f>
        <v>70000000</v>
      </c>
      <c r="BF53" s="275">
        <f t="shared" si="13"/>
        <v>0</v>
      </c>
      <c r="BG53" s="205"/>
      <c r="BH53" s="275">
        <v>40000000</v>
      </c>
      <c r="BI53" s="275">
        <f>'[1]POLY LIB. 2019'!Q59</f>
        <v>34000000</v>
      </c>
      <c r="BJ53" s="275">
        <f t="shared" si="14"/>
        <v>6000000</v>
      </c>
      <c r="BL53" s="275">
        <f>'[1]POLY commited funds to date'!S137</f>
        <v>30000000</v>
      </c>
      <c r="BM53" s="275">
        <f>'[1]POLY LIB. 2019'!R59</f>
        <v>25500000</v>
      </c>
      <c r="BN53" s="275">
        <f t="shared" si="15"/>
        <v>4500000</v>
      </c>
      <c r="BP53" s="275">
        <f>'[1]POLY commited funds to date'!T137</f>
        <v>25000000</v>
      </c>
      <c r="BQ53" s="275">
        <f>'[1]POLY LIB. 2019'!S59</f>
        <v>0</v>
      </c>
      <c r="BR53" s="275">
        <f t="shared" si="16"/>
        <v>25000000</v>
      </c>
      <c r="BT53" s="275">
        <f>'[1]POLY commited funds to date'!U137</f>
        <v>15000000</v>
      </c>
      <c r="BU53" s="275">
        <f>'[1]POLY LIB. 2019'!T59</f>
        <v>0</v>
      </c>
      <c r="BV53" s="275">
        <f t="shared" si="17"/>
        <v>15000000</v>
      </c>
      <c r="BX53" s="275">
        <f t="shared" si="18"/>
        <v>290000000</v>
      </c>
      <c r="BY53" s="275">
        <f t="shared" si="18"/>
        <v>239500000</v>
      </c>
      <c r="BZ53" s="275">
        <f t="shared" si="19"/>
        <v>50500000</v>
      </c>
      <c r="CB53" s="214"/>
      <c r="CC53" s="325"/>
      <c r="CD53" s="211"/>
      <c r="CE53" s="211"/>
      <c r="CF53" s="211"/>
      <c r="CG53" s="211"/>
      <c r="CH53" s="211"/>
      <c r="CI53" s="211"/>
      <c r="CJ53" s="211"/>
      <c r="CK53" s="211"/>
      <c r="CL53" s="211"/>
      <c r="CM53" s="211"/>
      <c r="CN53" s="211"/>
      <c r="CO53" s="211"/>
      <c r="CP53" s="211"/>
      <c r="CQ53" s="211"/>
      <c r="CR53" s="211"/>
      <c r="CS53" s="211"/>
      <c r="CT53" s="211"/>
      <c r="CU53" s="211"/>
      <c r="CV53" s="211"/>
      <c r="CW53" s="319"/>
      <c r="CX53" s="319"/>
      <c r="CY53" s="319"/>
      <c r="CZ53" s="319"/>
      <c r="DA53" s="319"/>
      <c r="DB53" s="319"/>
      <c r="DC53" s="319"/>
      <c r="DD53" s="319"/>
      <c r="DE53" s="319"/>
      <c r="DF53" s="319"/>
      <c r="DG53" s="319"/>
      <c r="DH53" s="319"/>
      <c r="DI53" s="319"/>
      <c r="DJ53" s="319"/>
      <c r="DK53" s="319"/>
      <c r="DL53" s="319"/>
      <c r="DM53" s="211"/>
      <c r="DN53" s="211"/>
      <c r="DO53" s="205"/>
      <c r="DP53" s="265"/>
    </row>
    <row r="54" spans="1:120" x14ac:dyDescent="0.25">
      <c r="A54" s="273">
        <v>49</v>
      </c>
      <c r="B54" s="284" t="s">
        <v>248</v>
      </c>
      <c r="C54" s="284"/>
      <c r="D54" s="275">
        <v>0</v>
      </c>
      <c r="E54" s="275">
        <f>'[1]POLY LIB. 2019'!C60</f>
        <v>0</v>
      </c>
      <c r="F54" s="275">
        <f t="shared" si="0"/>
        <v>0</v>
      </c>
      <c r="G54" s="275"/>
      <c r="H54" s="275">
        <v>0</v>
      </c>
      <c r="I54" s="275">
        <f>'[1]POLY LIB. 2019'!D60</f>
        <v>0</v>
      </c>
      <c r="J54" s="275">
        <f t="shared" si="1"/>
        <v>0</v>
      </c>
      <c r="K54" s="275"/>
      <c r="L54" s="275">
        <v>0</v>
      </c>
      <c r="M54" s="275">
        <f>'[1]POLY LIB. 2019'!E60</f>
        <v>0</v>
      </c>
      <c r="N54" s="275">
        <f t="shared" si="2"/>
        <v>0</v>
      </c>
      <c r="O54" s="275"/>
      <c r="P54" s="275">
        <v>0</v>
      </c>
      <c r="Q54" s="275">
        <f>'[1]POLY LIB. 2019'!F60</f>
        <v>0</v>
      </c>
      <c r="R54" s="275">
        <f t="shared" si="3"/>
        <v>0</v>
      </c>
      <c r="S54" s="275"/>
      <c r="T54" s="275">
        <v>0</v>
      </c>
      <c r="U54" s="275">
        <f>'[1]POLY LIB. 2019'!G60</f>
        <v>0</v>
      </c>
      <c r="V54" s="275">
        <f t="shared" si="4"/>
        <v>0</v>
      </c>
      <c r="W54" s="275"/>
      <c r="X54" s="275">
        <v>0</v>
      </c>
      <c r="Y54" s="324">
        <v>0</v>
      </c>
      <c r="Z54" s="275">
        <f t="shared" si="5"/>
        <v>0</v>
      </c>
      <c r="AA54" s="275"/>
      <c r="AB54" s="275">
        <v>0</v>
      </c>
      <c r="AC54" s="275">
        <f>'[1]POLY LIB. 2019'!I60</f>
        <v>0</v>
      </c>
      <c r="AD54" s="275">
        <f t="shared" si="6"/>
        <v>0</v>
      </c>
      <c r="AE54" s="275"/>
      <c r="AF54" s="275">
        <v>0</v>
      </c>
      <c r="AG54" s="275">
        <f>'[1]POLY LIB. 2019'!J60</f>
        <v>0</v>
      </c>
      <c r="AH54" s="275">
        <f t="shared" si="7"/>
        <v>0</v>
      </c>
      <c r="AI54" s="275"/>
      <c r="AJ54" s="276">
        <v>5000000</v>
      </c>
      <c r="AK54" s="276">
        <f>'[1]POLY LIB. 2019'!K60</f>
        <v>5000000</v>
      </c>
      <c r="AL54" s="275">
        <f t="shared" si="8"/>
        <v>0</v>
      </c>
      <c r="AM54" s="276"/>
      <c r="AN54" s="275">
        <v>10000000</v>
      </c>
      <c r="AO54" s="324">
        <f>'[1]POLY LIB. 2019'!L60</f>
        <v>10000000</v>
      </c>
      <c r="AP54" s="275">
        <f t="shared" si="9"/>
        <v>0</v>
      </c>
      <c r="AQ54" s="205"/>
      <c r="AR54" s="275">
        <v>10000000</v>
      </c>
      <c r="AS54" s="294">
        <f>'[1]POLY LIB. 2019'!M60</f>
        <v>10000000</v>
      </c>
      <c r="AT54" s="275">
        <f t="shared" si="10"/>
        <v>0</v>
      </c>
      <c r="AU54" s="205"/>
      <c r="AV54" s="275">
        <v>30000000</v>
      </c>
      <c r="AW54" s="275">
        <f>'[1]POLY LIB. 2019'!N60</f>
        <v>30000000</v>
      </c>
      <c r="AX54" s="275">
        <f t="shared" si="11"/>
        <v>0</v>
      </c>
      <c r="AY54" s="205"/>
      <c r="AZ54" s="275">
        <f>'[1]POLY commited funds to date'!P138</f>
        <v>50000000</v>
      </c>
      <c r="BA54" s="275">
        <f>'[1]POLY LIB. 2019'!O60</f>
        <v>50000000</v>
      </c>
      <c r="BB54" s="275">
        <f t="shared" si="12"/>
        <v>0</v>
      </c>
      <c r="BC54" s="205"/>
      <c r="BD54" s="275">
        <v>70000000</v>
      </c>
      <c r="BE54" s="275">
        <f>'[1]POLY LIB. 2019'!P60</f>
        <v>59500000</v>
      </c>
      <c r="BF54" s="275">
        <f t="shared" si="13"/>
        <v>10500000</v>
      </c>
      <c r="BG54" s="205"/>
      <c r="BH54" s="275">
        <v>40000000</v>
      </c>
      <c r="BI54" s="275">
        <f>'[1]POLY LIB. 2019'!Q60</f>
        <v>34000000</v>
      </c>
      <c r="BJ54" s="275">
        <f t="shared" si="14"/>
        <v>6000000</v>
      </c>
      <c r="BL54" s="275">
        <f>'[1]POLY commited funds to date'!S138</f>
        <v>30000000</v>
      </c>
      <c r="BM54" s="275">
        <f>'[1]POLY LIB. 2019'!R60</f>
        <v>25500000</v>
      </c>
      <c r="BN54" s="275">
        <f t="shared" si="15"/>
        <v>4500000</v>
      </c>
      <c r="BP54" s="275">
        <f>'[1]POLY commited funds to date'!T138</f>
        <v>25000000</v>
      </c>
      <c r="BQ54" s="275">
        <f>'[1]POLY LIB. 2019'!S60</f>
        <v>0</v>
      </c>
      <c r="BR54" s="275">
        <f t="shared" si="16"/>
        <v>25000000</v>
      </c>
      <c r="BT54" s="275">
        <f>'[1]POLY commited funds to date'!U138</f>
        <v>15000000</v>
      </c>
      <c r="BU54" s="275">
        <f>'[1]POLY LIB. 2019'!T60</f>
        <v>0</v>
      </c>
      <c r="BV54" s="275">
        <f t="shared" si="17"/>
        <v>15000000</v>
      </c>
      <c r="BX54" s="275">
        <f t="shared" si="18"/>
        <v>285000000</v>
      </c>
      <c r="BY54" s="275">
        <f t="shared" si="18"/>
        <v>224000000</v>
      </c>
      <c r="BZ54" s="275">
        <f t="shared" si="19"/>
        <v>61000000</v>
      </c>
      <c r="CB54" s="205"/>
      <c r="CC54" s="325"/>
      <c r="CD54" s="211"/>
      <c r="CE54" s="211"/>
      <c r="CF54" s="211"/>
      <c r="CG54" s="211"/>
      <c r="CH54" s="211"/>
      <c r="CI54" s="211"/>
      <c r="CJ54" s="211"/>
      <c r="CK54" s="211"/>
      <c r="CL54" s="211"/>
      <c r="CM54" s="211"/>
      <c r="CN54" s="211"/>
      <c r="CO54" s="211"/>
      <c r="CP54" s="211"/>
      <c r="CQ54" s="211"/>
      <c r="CR54" s="211"/>
      <c r="CS54" s="211"/>
      <c r="CT54" s="211"/>
      <c r="CU54" s="211"/>
      <c r="CV54" s="211"/>
      <c r="CW54" s="211"/>
      <c r="CX54" s="211"/>
      <c r="CY54" s="211"/>
      <c r="CZ54" s="211"/>
      <c r="DA54" s="211"/>
      <c r="DB54" s="211"/>
      <c r="DC54" s="211"/>
      <c r="DD54" s="211"/>
      <c r="DE54" s="211"/>
      <c r="DF54" s="211"/>
      <c r="DG54" s="211"/>
      <c r="DH54" s="211"/>
      <c r="DI54" s="211"/>
      <c r="DJ54" s="211"/>
      <c r="DK54" s="211"/>
      <c r="DL54" s="207"/>
      <c r="DM54" s="211"/>
      <c r="DN54" s="211"/>
      <c r="DO54" s="205"/>
      <c r="DP54" s="205"/>
    </row>
    <row r="55" spans="1:120" x14ac:dyDescent="0.25">
      <c r="A55" s="273">
        <v>50</v>
      </c>
      <c r="B55" s="273" t="s">
        <v>293</v>
      </c>
      <c r="C55" s="273"/>
      <c r="D55" s="275">
        <v>0</v>
      </c>
      <c r="E55" s="275">
        <f>'[1]POLY LIB. 2019'!C61</f>
        <v>0</v>
      </c>
      <c r="F55" s="275">
        <f t="shared" si="0"/>
        <v>0</v>
      </c>
      <c r="G55" s="275"/>
      <c r="H55" s="275">
        <v>0</v>
      </c>
      <c r="I55" s="275">
        <f>'[1]POLY LIB. 2019'!D61</f>
        <v>0</v>
      </c>
      <c r="J55" s="275">
        <f t="shared" si="1"/>
        <v>0</v>
      </c>
      <c r="K55" s="275"/>
      <c r="L55" s="275">
        <v>0</v>
      </c>
      <c r="M55" s="326">
        <f>'[1]POLY LIB. 2019'!E61</f>
        <v>0</v>
      </c>
      <c r="N55" s="275">
        <f t="shared" si="2"/>
        <v>0</v>
      </c>
      <c r="O55" s="326"/>
      <c r="P55" s="326">
        <v>0</v>
      </c>
      <c r="Q55" s="326">
        <f>'[1]POLY LIB. 2019'!F61</f>
        <v>0</v>
      </c>
      <c r="R55" s="275">
        <f t="shared" si="3"/>
        <v>0</v>
      </c>
      <c r="S55" s="326"/>
      <c r="T55" s="326">
        <v>0</v>
      </c>
      <c r="U55" s="326">
        <f>'[1]POLY LIB. 2019'!G61</f>
        <v>0</v>
      </c>
      <c r="V55" s="275">
        <f t="shared" si="4"/>
        <v>0</v>
      </c>
      <c r="W55" s="326"/>
      <c r="X55" s="275">
        <v>0</v>
      </c>
      <c r="Y55" s="324">
        <v>0</v>
      </c>
      <c r="Z55" s="275">
        <f t="shared" si="5"/>
        <v>0</v>
      </c>
      <c r="AA55" s="275"/>
      <c r="AB55" s="275">
        <v>0</v>
      </c>
      <c r="AC55" s="275">
        <f>'[1]POLY LIB. 2019'!I61</f>
        <v>0</v>
      </c>
      <c r="AD55" s="275">
        <f t="shared" si="6"/>
        <v>0</v>
      </c>
      <c r="AE55" s="275"/>
      <c r="AF55" s="275">
        <v>4000000</v>
      </c>
      <c r="AG55" s="275">
        <f>'[1]POLY LIB. 2019'!J61</f>
        <v>4000000</v>
      </c>
      <c r="AH55" s="275">
        <f t="shared" si="7"/>
        <v>0</v>
      </c>
      <c r="AI55" s="275"/>
      <c r="AJ55" s="275">
        <v>4000000</v>
      </c>
      <c r="AK55" s="275">
        <f>'[1]POLY LIB. 2019'!K61</f>
        <v>4000000</v>
      </c>
      <c r="AL55" s="275">
        <f t="shared" si="8"/>
        <v>0</v>
      </c>
      <c r="AM55" s="275"/>
      <c r="AN55" s="275">
        <v>4000000</v>
      </c>
      <c r="AO55" s="324">
        <f>'[1]POLY LIB. 2019'!L61</f>
        <v>4000000</v>
      </c>
      <c r="AP55" s="275">
        <f t="shared" si="9"/>
        <v>0</v>
      </c>
      <c r="AQ55" s="205"/>
      <c r="AR55" s="275">
        <v>10000000</v>
      </c>
      <c r="AS55" s="294">
        <f>'[1]POLY LIB. 2019'!M61</f>
        <v>10000000</v>
      </c>
      <c r="AT55" s="275">
        <f t="shared" si="10"/>
        <v>0</v>
      </c>
      <c r="AU55" s="205"/>
      <c r="AV55" s="275">
        <v>30000000</v>
      </c>
      <c r="AW55" s="275">
        <f>'[1]POLY LIB. 2019'!N61</f>
        <v>30000000</v>
      </c>
      <c r="AX55" s="275">
        <f t="shared" si="11"/>
        <v>0</v>
      </c>
      <c r="AY55" s="205"/>
      <c r="AZ55" s="275">
        <f>'[1]POLY commited funds to date'!P139</f>
        <v>50000000</v>
      </c>
      <c r="BA55" s="275">
        <f>'[1]POLY LIB. 2019'!O61</f>
        <v>50000000</v>
      </c>
      <c r="BB55" s="275">
        <f t="shared" si="12"/>
        <v>0</v>
      </c>
      <c r="BC55" s="205"/>
      <c r="BD55" s="275">
        <v>70000000</v>
      </c>
      <c r="BE55" s="275">
        <f>'[1]POLY LIB. 2019'!P61</f>
        <v>70000000</v>
      </c>
      <c r="BF55" s="275">
        <f t="shared" si="13"/>
        <v>0</v>
      </c>
      <c r="BG55" s="205"/>
      <c r="BH55" s="275">
        <v>40000000</v>
      </c>
      <c r="BI55" s="275">
        <f>'[1]POLY LIB. 2019'!Q61</f>
        <v>40000000</v>
      </c>
      <c r="BJ55" s="275">
        <f t="shared" si="14"/>
        <v>0</v>
      </c>
      <c r="BL55" s="275">
        <f>'[1]POLY commited funds to date'!S139</f>
        <v>30000000</v>
      </c>
      <c r="BM55" s="275">
        <f>'[1]POLY LIB. 2019'!R61</f>
        <v>25500000</v>
      </c>
      <c r="BN55" s="275">
        <f t="shared" si="15"/>
        <v>4500000</v>
      </c>
      <c r="BP55" s="275">
        <f>'[1]POLY commited funds to date'!T139</f>
        <v>25000000</v>
      </c>
      <c r="BQ55" s="275">
        <f>'[1]POLY LIB. 2019'!S61</f>
        <v>0</v>
      </c>
      <c r="BR55" s="275">
        <f t="shared" si="16"/>
        <v>25000000</v>
      </c>
      <c r="BT55" s="275">
        <f>'[1]POLY commited funds to date'!U139</f>
        <v>15000000</v>
      </c>
      <c r="BU55" s="275">
        <f>'[1]POLY LIB. 2019'!T61</f>
        <v>0</v>
      </c>
      <c r="BV55" s="275">
        <f t="shared" si="17"/>
        <v>15000000</v>
      </c>
      <c r="BX55" s="275">
        <f t="shared" si="18"/>
        <v>282000000</v>
      </c>
      <c r="BY55" s="275">
        <f t="shared" si="18"/>
        <v>237500000</v>
      </c>
      <c r="BZ55" s="275">
        <f t="shared" si="19"/>
        <v>44500000</v>
      </c>
      <c r="CB55" s="205"/>
      <c r="CC55" s="325"/>
      <c r="CD55" s="211"/>
      <c r="CE55" s="211"/>
      <c r="CF55" s="211"/>
      <c r="CG55" s="211"/>
      <c r="CH55" s="211"/>
      <c r="CI55" s="211"/>
      <c r="CJ55" s="211"/>
      <c r="CK55" s="211"/>
      <c r="CL55" s="211"/>
      <c r="CM55" s="211"/>
      <c r="CN55" s="211"/>
      <c r="CO55" s="211"/>
      <c r="CP55" s="211"/>
      <c r="CQ55" s="211"/>
      <c r="CR55" s="211"/>
      <c r="CS55" s="211"/>
      <c r="CT55" s="211"/>
      <c r="CU55" s="211"/>
      <c r="CV55" s="211"/>
      <c r="CW55" s="211"/>
      <c r="CX55" s="211"/>
      <c r="CY55" s="211"/>
      <c r="CZ55" s="211"/>
      <c r="DA55" s="211"/>
      <c r="DB55" s="211"/>
      <c r="DC55" s="211"/>
      <c r="DD55" s="211"/>
      <c r="DE55" s="211"/>
      <c r="DF55" s="211"/>
      <c r="DG55" s="211"/>
      <c r="DH55" s="211"/>
      <c r="DI55" s="211"/>
      <c r="DJ55" s="211"/>
      <c r="DK55" s="211"/>
      <c r="DL55" s="211"/>
      <c r="DM55" s="211"/>
      <c r="DN55" s="211"/>
      <c r="DO55" s="205"/>
      <c r="DP55" s="205"/>
    </row>
    <row r="56" spans="1:120" x14ac:dyDescent="0.25">
      <c r="A56" s="273">
        <v>51</v>
      </c>
      <c r="B56" s="287" t="s">
        <v>294</v>
      </c>
      <c r="C56" s="287"/>
      <c r="D56" s="275">
        <v>0</v>
      </c>
      <c r="E56" s="275">
        <f>'[1]POLY LIB. 2019'!C62</f>
        <v>0</v>
      </c>
      <c r="F56" s="275">
        <f>D56-E56</f>
        <v>0</v>
      </c>
      <c r="H56" s="275">
        <v>0</v>
      </c>
      <c r="I56" s="275">
        <f>'[1]POLY LIB. 2019'!D62</f>
        <v>0</v>
      </c>
      <c r="J56" s="275">
        <f>H56-I56</f>
        <v>0</v>
      </c>
      <c r="L56" s="275">
        <v>0</v>
      </c>
      <c r="M56" s="275">
        <f>'[1]POLY LIB. 2019'!E62</f>
        <v>0</v>
      </c>
      <c r="N56" s="275">
        <f>L56-M56</f>
        <v>0</v>
      </c>
      <c r="P56" s="275">
        <v>0</v>
      </c>
      <c r="Q56" s="275">
        <f>'[1]POLY LIB. 2019'!F62</f>
        <v>0</v>
      </c>
      <c r="R56" s="275">
        <f>P56-Q56</f>
        <v>0</v>
      </c>
      <c r="T56" s="275">
        <v>0</v>
      </c>
      <c r="U56" s="275">
        <f>'[1]POLY LIB. 2019'!G62</f>
        <v>0</v>
      </c>
      <c r="V56" s="275">
        <f>T56-U56</f>
        <v>0</v>
      </c>
      <c r="X56" s="275">
        <v>0</v>
      </c>
      <c r="Y56" s="324">
        <v>0</v>
      </c>
      <c r="Z56" s="275">
        <f>X56-Y56</f>
        <v>0</v>
      </c>
      <c r="AB56" s="275">
        <v>0</v>
      </c>
      <c r="AC56" s="275">
        <f>'[1]POLY LIB. 2019'!I62</f>
        <v>0</v>
      </c>
      <c r="AD56" s="275">
        <f>AB56-AC56</f>
        <v>0</v>
      </c>
      <c r="AF56" s="275">
        <v>0</v>
      </c>
      <c r="AG56" s="275">
        <f>'[1]POLY LIB. 2019'!J62</f>
        <v>0</v>
      </c>
      <c r="AH56" s="275">
        <f>AF56-AG56</f>
        <v>0</v>
      </c>
      <c r="AJ56" s="275">
        <v>0</v>
      </c>
      <c r="AK56" s="275">
        <f>'[1]POLY LIB. 2019'!K62</f>
        <v>0</v>
      </c>
      <c r="AL56" s="275">
        <f>AJ56-AK56</f>
        <v>0</v>
      </c>
      <c r="AN56" s="275">
        <v>0</v>
      </c>
      <c r="AO56" s="324">
        <f>'[1]POLY LIB. 2019'!L62</f>
        <v>0</v>
      </c>
      <c r="AP56" s="275">
        <f>AN56-AO56</f>
        <v>0</v>
      </c>
      <c r="AR56" s="275">
        <v>10000000</v>
      </c>
      <c r="AS56" s="294">
        <f>'[1]POLY LIB. 2019'!M62</f>
        <v>10000000</v>
      </c>
      <c r="AT56" s="275">
        <f>AR56-AS56</f>
        <v>0</v>
      </c>
      <c r="AV56" s="275">
        <v>30000000</v>
      </c>
      <c r="AW56" s="275">
        <f>'[1]POLY LIB. 2019'!N62</f>
        <v>30000000</v>
      </c>
      <c r="AX56" s="275">
        <f>AV56-AW56</f>
        <v>0</v>
      </c>
      <c r="AY56" s="205"/>
      <c r="AZ56" s="275">
        <f>'[1]POLY commited funds to date'!P140</f>
        <v>50000000</v>
      </c>
      <c r="BA56" s="275">
        <f>'[1]POLY LIB. 2019'!O62</f>
        <v>50000000</v>
      </c>
      <c r="BB56" s="275">
        <f>AZ56-BA56</f>
        <v>0</v>
      </c>
      <c r="BC56" s="205"/>
      <c r="BD56" s="275">
        <v>70000000</v>
      </c>
      <c r="BE56" s="275">
        <f>'[1]POLY LIB. 2019'!P62</f>
        <v>70000000</v>
      </c>
      <c r="BF56" s="275">
        <f>BD56-BE56</f>
        <v>0</v>
      </c>
      <c r="BG56" s="205"/>
      <c r="BH56" s="275">
        <v>40000000</v>
      </c>
      <c r="BI56" s="275">
        <f>'[1]POLY LIB. 2019'!Q62</f>
        <v>40000000</v>
      </c>
      <c r="BJ56" s="275">
        <f>BH56-BI56</f>
        <v>0</v>
      </c>
      <c r="BK56" s="205"/>
      <c r="BL56" s="275">
        <f>'[1]POLY commited funds to date'!S140</f>
        <v>30000000</v>
      </c>
      <c r="BM56" s="275">
        <f>'[1]POLY LIB. 2019'!R62</f>
        <v>30000000</v>
      </c>
      <c r="BN56" s="275">
        <f t="shared" si="15"/>
        <v>0</v>
      </c>
      <c r="BO56" s="205"/>
      <c r="BP56" s="275">
        <f>'[1]POLY commited funds to date'!T140</f>
        <v>25000000</v>
      </c>
      <c r="BQ56" s="275">
        <f>'[1]POLY LIB. 2019'!S62</f>
        <v>0</v>
      </c>
      <c r="BR56" s="275">
        <f t="shared" si="16"/>
        <v>25000000</v>
      </c>
      <c r="BT56" s="275">
        <f>'[1]POLY commited funds to date'!U140</f>
        <v>15000000</v>
      </c>
      <c r="BU56" s="275">
        <f>'[1]POLY LIB. 2019'!T62</f>
        <v>0</v>
      </c>
      <c r="BV56" s="275">
        <f t="shared" si="17"/>
        <v>15000000</v>
      </c>
      <c r="BX56" s="275">
        <f t="shared" si="18"/>
        <v>270000000</v>
      </c>
      <c r="BY56" s="275">
        <f t="shared" si="18"/>
        <v>230000000</v>
      </c>
      <c r="BZ56" s="275">
        <f t="shared" si="19"/>
        <v>40000000</v>
      </c>
      <c r="CB56" s="205"/>
      <c r="CC56" s="325"/>
      <c r="CD56" s="325"/>
      <c r="CE56" s="325"/>
      <c r="CF56" s="325"/>
      <c r="CG56" s="325"/>
      <c r="CH56" s="325"/>
      <c r="CI56" s="325"/>
      <c r="CJ56" s="325"/>
      <c r="CK56" s="325"/>
      <c r="CL56" s="325"/>
      <c r="CM56" s="325"/>
      <c r="CN56" s="325"/>
      <c r="CO56" s="325"/>
      <c r="CP56" s="325"/>
      <c r="CQ56" s="325"/>
      <c r="CR56" s="310"/>
      <c r="CS56" s="310"/>
      <c r="CT56" s="310"/>
      <c r="CU56" s="310"/>
      <c r="CV56" s="310"/>
      <c r="CW56" s="211"/>
      <c r="CX56" s="211"/>
      <c r="CY56" s="211"/>
      <c r="CZ56" s="211"/>
      <c r="DA56" s="211"/>
      <c r="DB56" s="211"/>
      <c r="DC56" s="211"/>
      <c r="DD56" s="211"/>
      <c r="DE56" s="211"/>
      <c r="DF56" s="211"/>
      <c r="DG56" s="211"/>
      <c r="DH56" s="211"/>
      <c r="DI56" s="211"/>
      <c r="DJ56" s="211"/>
      <c r="DK56" s="211"/>
      <c r="DL56" s="211"/>
      <c r="DM56" s="325"/>
      <c r="DN56" s="325"/>
      <c r="DO56" s="205"/>
      <c r="DP56" s="205"/>
    </row>
    <row r="57" spans="1:120" x14ac:dyDescent="0.25">
      <c r="A57" s="273">
        <v>52</v>
      </c>
      <c r="B57" s="330" t="s">
        <v>295</v>
      </c>
      <c r="C57" s="330"/>
      <c r="D57" s="275">
        <v>0</v>
      </c>
      <c r="E57" s="275">
        <f>'[1]POLY LIB. 2019'!C63</f>
        <v>0</v>
      </c>
      <c r="F57" s="275">
        <f>D57-E57</f>
        <v>0</v>
      </c>
      <c r="G57" s="275"/>
      <c r="H57" s="275">
        <v>0</v>
      </c>
      <c r="I57" s="275">
        <f>'[1]POLY LIB. 2019'!D63</f>
        <v>0</v>
      </c>
      <c r="J57" s="275">
        <f>H57-I57</f>
        <v>0</v>
      </c>
      <c r="K57" s="275"/>
      <c r="L57" s="275">
        <v>0</v>
      </c>
      <c r="M57" s="275">
        <f>'[1]POLY LIB. 2019'!E63</f>
        <v>0</v>
      </c>
      <c r="N57" s="275">
        <f>L57-M57</f>
        <v>0</v>
      </c>
      <c r="O57" s="275"/>
      <c r="P57" s="275">
        <v>0</v>
      </c>
      <c r="Q57" s="275">
        <f>'[1]POLY LIB. 2019'!F63</f>
        <v>0</v>
      </c>
      <c r="R57" s="275">
        <f>P57-Q57</f>
        <v>0</v>
      </c>
      <c r="S57" s="275"/>
      <c r="T57" s="275">
        <v>0</v>
      </c>
      <c r="U57" s="275">
        <f>'[1]POLY LIB. 2019'!G63</f>
        <v>0</v>
      </c>
      <c r="V57" s="275">
        <f>T57-U57</f>
        <v>0</v>
      </c>
      <c r="W57" s="275"/>
      <c r="X57" s="275">
        <v>0</v>
      </c>
      <c r="Y57" s="324">
        <v>0</v>
      </c>
      <c r="Z57" s="275">
        <f>X57-Y57</f>
        <v>0</v>
      </c>
      <c r="AA57" s="275"/>
      <c r="AB57" s="275">
        <v>0</v>
      </c>
      <c r="AC57" s="275">
        <f>'[1]POLY LIB. 2019'!I63</f>
        <v>0</v>
      </c>
      <c r="AD57" s="275">
        <f>AB57-AC57</f>
        <v>0</v>
      </c>
      <c r="AE57" s="275"/>
      <c r="AF57" s="275">
        <v>0</v>
      </c>
      <c r="AG57" s="275">
        <f>'[1]POLY LIB. 2019'!J63</f>
        <v>0</v>
      </c>
      <c r="AH57" s="275">
        <f>AF57-AG57</f>
        <v>0</v>
      </c>
      <c r="AI57" s="275"/>
      <c r="AJ57" s="275">
        <v>0</v>
      </c>
      <c r="AK57" s="275">
        <f>'[1]POLY LIB. 2019'!K63</f>
        <v>0</v>
      </c>
      <c r="AL57" s="275">
        <f>AJ57-AK57</f>
        <v>0</v>
      </c>
      <c r="AM57" s="275"/>
      <c r="AN57" s="275">
        <v>0</v>
      </c>
      <c r="AO57" s="324">
        <f>'[1]POLY LIB. 2019'!L63</f>
        <v>0</v>
      </c>
      <c r="AP57" s="275">
        <f>AN57-AO57</f>
        <v>0</v>
      </c>
      <c r="AQ57" s="205"/>
      <c r="AR57" s="275">
        <v>10000000</v>
      </c>
      <c r="AS57" s="294">
        <f>'[1]POLY LIB. 2019'!M63</f>
        <v>10000000</v>
      </c>
      <c r="AT57" s="275">
        <f>AR57-AS57</f>
        <v>0</v>
      </c>
      <c r="AU57" s="205"/>
      <c r="AV57" s="275">
        <v>30000000</v>
      </c>
      <c r="AW57" s="275">
        <f>'[1]POLY LIB. 2019'!N63</f>
        <v>30000000</v>
      </c>
      <c r="AX57" s="275">
        <f>AV57-AW57</f>
        <v>0</v>
      </c>
      <c r="AY57" s="205"/>
      <c r="AZ57" s="275">
        <f>'[1]POLY commited funds to date'!P141</f>
        <v>50000000</v>
      </c>
      <c r="BA57" s="275">
        <f>'[1]POLY LIB. 2019'!O63</f>
        <v>50000000</v>
      </c>
      <c r="BB57" s="275">
        <f>AZ57-BA57</f>
        <v>0</v>
      </c>
      <c r="BC57" s="205"/>
      <c r="BD57" s="275">
        <v>70000000</v>
      </c>
      <c r="BE57" s="275">
        <f>'[1]POLY LIB. 2019'!P63</f>
        <v>70000000</v>
      </c>
      <c r="BF57" s="275">
        <f>BD57-BE57</f>
        <v>0</v>
      </c>
      <c r="BG57" s="205"/>
      <c r="BH57" s="275">
        <v>40000000</v>
      </c>
      <c r="BI57" s="275">
        <f>'[1]POLY LIB. 2019'!Q63</f>
        <v>40000000</v>
      </c>
      <c r="BJ57" s="275">
        <f>BH57-BI57</f>
        <v>0</v>
      </c>
      <c r="BL57" s="275">
        <f>'[1]POLY commited funds to date'!S141</f>
        <v>30000000</v>
      </c>
      <c r="BM57" s="275">
        <f>'[1]POLY LIB. 2019'!R63</f>
        <v>25500000</v>
      </c>
      <c r="BN57" s="275">
        <f t="shared" si="15"/>
        <v>4500000</v>
      </c>
      <c r="BP57" s="275">
        <f>'[1]POLY commited funds to date'!T141</f>
        <v>25000000</v>
      </c>
      <c r="BQ57" s="275">
        <f>'[1]POLY LIB. 2019'!S63</f>
        <v>0</v>
      </c>
      <c r="BR57" s="275">
        <f t="shared" si="16"/>
        <v>25000000</v>
      </c>
      <c r="BT57" s="275">
        <f>'[1]POLY commited funds to date'!U141</f>
        <v>15000000</v>
      </c>
      <c r="BU57" s="275">
        <f>'[1]POLY LIB. 2019'!T63</f>
        <v>0</v>
      </c>
      <c r="BV57" s="275">
        <f t="shared" si="17"/>
        <v>15000000</v>
      </c>
      <c r="BX57" s="275">
        <f t="shared" si="18"/>
        <v>270000000</v>
      </c>
      <c r="BY57" s="275">
        <f t="shared" si="18"/>
        <v>225500000</v>
      </c>
      <c r="BZ57" s="275">
        <f t="shared" si="19"/>
        <v>44500000</v>
      </c>
      <c r="CB57" s="205"/>
      <c r="CC57" s="325"/>
      <c r="CD57" s="211"/>
      <c r="CE57" s="211"/>
      <c r="CF57" s="211"/>
      <c r="CG57" s="211"/>
      <c r="CH57" s="211"/>
      <c r="CI57" s="211"/>
      <c r="CJ57" s="211"/>
      <c r="CK57" s="211"/>
      <c r="CL57" s="211"/>
      <c r="CM57" s="211"/>
      <c r="CN57" s="211"/>
      <c r="CO57" s="211"/>
      <c r="CP57" s="211"/>
      <c r="CQ57" s="211"/>
      <c r="CR57" s="211"/>
      <c r="CS57" s="211"/>
      <c r="CT57" s="211"/>
      <c r="CU57" s="211"/>
      <c r="CV57" s="319"/>
      <c r="CW57" s="211"/>
      <c r="CX57" s="211"/>
      <c r="CY57" s="211"/>
      <c r="CZ57" s="211"/>
      <c r="DA57" s="211"/>
      <c r="DB57" s="211"/>
      <c r="DC57" s="211"/>
      <c r="DD57" s="211"/>
      <c r="DE57" s="211"/>
      <c r="DF57" s="211"/>
      <c r="DG57" s="211"/>
      <c r="DH57" s="211"/>
      <c r="DI57" s="211"/>
      <c r="DJ57" s="211"/>
      <c r="DK57" s="211"/>
      <c r="DL57" s="211"/>
      <c r="DM57" s="205"/>
      <c r="DN57" s="205"/>
      <c r="DO57" s="205"/>
      <c r="DP57" s="205"/>
    </row>
    <row r="58" spans="1:120" x14ac:dyDescent="0.25">
      <c r="A58" s="273">
        <v>53</v>
      </c>
      <c r="B58" s="330" t="s">
        <v>252</v>
      </c>
      <c r="C58" s="330"/>
      <c r="D58" s="275">
        <v>0</v>
      </c>
      <c r="E58" s="275">
        <f>'[1]POLY LIB. 2019'!C64</f>
        <v>0</v>
      </c>
      <c r="F58" s="275">
        <f>D58-E58</f>
        <v>0</v>
      </c>
      <c r="G58" s="275"/>
      <c r="H58" s="275">
        <v>0</v>
      </c>
      <c r="I58" s="275">
        <f>'[1]POLY LIB. 2019'!D64</f>
        <v>0</v>
      </c>
      <c r="J58" s="275">
        <f>H58-I58</f>
        <v>0</v>
      </c>
      <c r="K58" s="275"/>
      <c r="L58" s="275">
        <v>0</v>
      </c>
      <c r="M58" s="275">
        <f>'[1]POLY LIB. 2019'!E64</f>
        <v>0</v>
      </c>
      <c r="N58" s="275">
        <f>L58-M58</f>
        <v>0</v>
      </c>
      <c r="O58" s="275"/>
      <c r="P58" s="275">
        <v>0</v>
      </c>
      <c r="Q58" s="275">
        <f>'[1]POLY LIB. 2019'!F64</f>
        <v>0</v>
      </c>
      <c r="R58" s="275">
        <f>P58-Q58</f>
        <v>0</v>
      </c>
      <c r="S58" s="275"/>
      <c r="T58" s="275">
        <v>0</v>
      </c>
      <c r="U58" s="275">
        <f>'[1]POLY LIB. 2019'!G64</f>
        <v>0</v>
      </c>
      <c r="V58" s="275">
        <f>T58-U58</f>
        <v>0</v>
      </c>
      <c r="W58" s="275"/>
      <c r="X58" s="275">
        <v>0</v>
      </c>
      <c r="Y58" s="324">
        <v>0</v>
      </c>
      <c r="Z58" s="275">
        <f>X58-Y58</f>
        <v>0</v>
      </c>
      <c r="AA58" s="275"/>
      <c r="AB58" s="275">
        <v>0</v>
      </c>
      <c r="AC58" s="275">
        <f>'[1]POLY LIB. 2019'!I64</f>
        <v>0</v>
      </c>
      <c r="AD58" s="275">
        <f>AB58-AC58</f>
        <v>0</v>
      </c>
      <c r="AE58" s="275"/>
      <c r="AF58" s="275">
        <v>0</v>
      </c>
      <c r="AG58" s="275">
        <f>'[1]POLY LIB. 2019'!J64</f>
        <v>0</v>
      </c>
      <c r="AH58" s="275">
        <f>AF58-AG58</f>
        <v>0</v>
      </c>
      <c r="AI58" s="275"/>
      <c r="AJ58" s="275">
        <v>0</v>
      </c>
      <c r="AK58" s="275">
        <f>'[1]POLY LIB. 2019'!K64</f>
        <v>0</v>
      </c>
      <c r="AL58" s="275">
        <f>AJ58-AK58</f>
        <v>0</v>
      </c>
      <c r="AM58" s="275"/>
      <c r="AN58" s="275">
        <v>0</v>
      </c>
      <c r="AO58" s="324">
        <f>'[1]POLY LIB. 2019'!L64</f>
        <v>0</v>
      </c>
      <c r="AP58" s="275">
        <f>AN58-AO58</f>
        <v>0</v>
      </c>
      <c r="AQ58" s="205"/>
      <c r="AR58" s="275">
        <v>10000000</v>
      </c>
      <c r="AS58" s="294">
        <f>'[1]POLY LIB. 2019'!M64</f>
        <v>10000000</v>
      </c>
      <c r="AT58" s="275">
        <f>AR58-AS58</f>
        <v>0</v>
      </c>
      <c r="AU58" s="205"/>
      <c r="AV58" s="275">
        <v>30000000</v>
      </c>
      <c r="AW58" s="275">
        <f>'[1]POLY LIB. 2019'!N64</f>
        <v>30000000</v>
      </c>
      <c r="AX58" s="275">
        <f>AV58-AW58</f>
        <v>0</v>
      </c>
      <c r="AY58" s="205"/>
      <c r="AZ58" s="275">
        <f>'[1]POLY commited funds to date'!P142</f>
        <v>50000000</v>
      </c>
      <c r="BA58" s="275">
        <f>'[1]POLY LIB. 2019'!O64</f>
        <v>50000000</v>
      </c>
      <c r="BB58" s="275">
        <f>AZ58-BA58</f>
        <v>0</v>
      </c>
      <c r="BC58" s="205"/>
      <c r="BD58" s="275">
        <v>70000000</v>
      </c>
      <c r="BE58" s="275">
        <f>'[1]POLY LIB. 2019'!P64</f>
        <v>70000000</v>
      </c>
      <c r="BF58" s="275">
        <f>BD58-BE58</f>
        <v>0</v>
      </c>
      <c r="BG58" s="205"/>
      <c r="BH58" s="275">
        <v>40000000</v>
      </c>
      <c r="BI58" s="275">
        <f>'[1]POLY LIB. 2019'!Q64</f>
        <v>40000000</v>
      </c>
      <c r="BJ58" s="275">
        <f>BH58-BI58</f>
        <v>0</v>
      </c>
      <c r="BL58" s="275">
        <f>'[1]POLY commited funds to date'!S142</f>
        <v>30000000</v>
      </c>
      <c r="BM58" s="275">
        <f>'[1]POLY LIB. 2019'!R64</f>
        <v>30000000</v>
      </c>
      <c r="BN58" s="275">
        <f t="shared" si="15"/>
        <v>0</v>
      </c>
      <c r="BP58" s="275">
        <f>'[1]POLY commited funds to date'!T142</f>
        <v>25000000</v>
      </c>
      <c r="BQ58" s="275">
        <f>'[1]POLY LIB. 2019'!S64</f>
        <v>0</v>
      </c>
      <c r="BR58" s="275">
        <f t="shared" si="16"/>
        <v>25000000</v>
      </c>
      <c r="BT58" s="275">
        <f>'[1]POLY commited funds to date'!U142</f>
        <v>15000000</v>
      </c>
      <c r="BU58" s="275">
        <f>'[1]POLY LIB. 2019'!T64</f>
        <v>0</v>
      </c>
      <c r="BV58" s="275">
        <f t="shared" si="17"/>
        <v>15000000</v>
      </c>
      <c r="BX58" s="275">
        <f t="shared" si="18"/>
        <v>270000000</v>
      </c>
      <c r="BY58" s="275">
        <f t="shared" si="18"/>
        <v>230000000</v>
      </c>
      <c r="BZ58" s="275">
        <f t="shared" si="19"/>
        <v>40000000</v>
      </c>
      <c r="CB58" s="214"/>
      <c r="CC58" s="325"/>
      <c r="CD58" s="319"/>
      <c r="CE58" s="319"/>
      <c r="CF58" s="319"/>
      <c r="CG58" s="319"/>
      <c r="CH58" s="319"/>
      <c r="CI58" s="319"/>
      <c r="CJ58" s="319"/>
      <c r="CK58" s="319"/>
      <c r="CL58" s="319"/>
      <c r="CM58" s="319"/>
      <c r="CN58" s="319"/>
      <c r="CO58" s="319"/>
      <c r="CP58" s="319"/>
      <c r="CQ58" s="319"/>
      <c r="CR58" s="319"/>
      <c r="CS58" s="319"/>
      <c r="CT58" s="319"/>
      <c r="CU58" s="319"/>
      <c r="CV58" s="211"/>
      <c r="CW58" s="319"/>
      <c r="CX58" s="319"/>
      <c r="CY58" s="319"/>
      <c r="CZ58" s="319"/>
      <c r="DA58" s="319"/>
      <c r="DB58" s="319"/>
      <c r="DC58" s="319"/>
      <c r="DD58" s="319"/>
      <c r="DE58" s="319"/>
      <c r="DF58" s="319"/>
      <c r="DG58" s="319"/>
      <c r="DH58" s="319"/>
      <c r="DI58" s="319"/>
      <c r="DJ58" s="319"/>
      <c r="DK58" s="319"/>
      <c r="DL58" s="319"/>
      <c r="DM58" s="211"/>
      <c r="DN58" s="211"/>
      <c r="DO58" s="205"/>
      <c r="DP58" s="205"/>
    </row>
    <row r="59" spans="1:120" x14ac:dyDescent="0.25">
      <c r="A59" s="273">
        <v>54</v>
      </c>
      <c r="B59" s="287" t="s">
        <v>253</v>
      </c>
      <c r="C59" s="287"/>
      <c r="D59" s="275"/>
      <c r="E59" s="275"/>
      <c r="F59" s="275"/>
      <c r="H59" s="275"/>
      <c r="I59" s="275"/>
      <c r="J59" s="275"/>
      <c r="L59" s="275"/>
      <c r="M59" s="275"/>
      <c r="N59" s="275"/>
      <c r="P59" s="275"/>
      <c r="Q59" s="275"/>
      <c r="R59" s="275"/>
      <c r="T59" s="275"/>
      <c r="U59" s="275"/>
      <c r="V59" s="275"/>
      <c r="X59" s="275"/>
      <c r="Y59" s="324"/>
      <c r="Z59" s="275"/>
      <c r="AB59" s="275"/>
      <c r="AC59" s="275"/>
      <c r="AD59" s="275"/>
      <c r="AF59" s="275"/>
      <c r="AG59" s="275"/>
      <c r="AH59" s="275"/>
      <c r="AJ59" s="275"/>
      <c r="AK59" s="275"/>
      <c r="AL59" s="275"/>
      <c r="AN59" s="275"/>
      <c r="AO59" s="324"/>
      <c r="AP59" s="275"/>
      <c r="AR59" s="275"/>
      <c r="AS59" s="294"/>
      <c r="AT59" s="275"/>
      <c r="AV59" s="275"/>
      <c r="AW59" s="275"/>
      <c r="AX59" s="275"/>
      <c r="AY59" s="205"/>
      <c r="AZ59" s="275"/>
      <c r="BA59" s="275"/>
      <c r="BB59" s="275"/>
      <c r="BC59" s="205"/>
      <c r="BD59" s="275"/>
      <c r="BE59" s="275"/>
      <c r="BF59" s="275"/>
      <c r="BG59" s="205"/>
      <c r="BH59" s="275">
        <v>0</v>
      </c>
      <c r="BI59" s="275">
        <f>'[1]POLY LIB. 2019'!Q65</f>
        <v>0</v>
      </c>
      <c r="BJ59" s="275">
        <f>BH59-BI59</f>
        <v>0</v>
      </c>
      <c r="BK59" s="205"/>
      <c r="BL59" s="275">
        <f>'[1]POLY commited funds to date'!S143</f>
        <v>30000000</v>
      </c>
      <c r="BM59" s="275">
        <f>'[1]POLY LIB. 2019'!R65</f>
        <v>0</v>
      </c>
      <c r="BN59" s="275">
        <f t="shared" si="15"/>
        <v>30000000</v>
      </c>
      <c r="BO59" s="205"/>
      <c r="BP59" s="275">
        <f>'[1]POLY commited funds to date'!T143</f>
        <v>25000000</v>
      </c>
      <c r="BQ59" s="275">
        <f>'[1]POLY LIB. 2019'!S65</f>
        <v>0</v>
      </c>
      <c r="BR59" s="275">
        <f t="shared" si="16"/>
        <v>25000000</v>
      </c>
      <c r="BT59" s="275">
        <f>'[1]POLY commited funds to date'!U143</f>
        <v>15000000</v>
      </c>
      <c r="BU59" s="275">
        <f>'[1]POLY LIB. 2019'!T65</f>
        <v>0</v>
      </c>
      <c r="BV59" s="275">
        <f t="shared" si="17"/>
        <v>15000000</v>
      </c>
      <c r="BX59" s="275">
        <f t="shared" si="18"/>
        <v>70000000</v>
      </c>
      <c r="BY59" s="275">
        <f t="shared" si="18"/>
        <v>0</v>
      </c>
      <c r="BZ59" s="275">
        <f t="shared" si="19"/>
        <v>70000000</v>
      </c>
      <c r="CB59" s="205"/>
      <c r="CC59" s="325"/>
      <c r="CD59" s="325"/>
      <c r="CE59" s="325"/>
      <c r="CF59" s="325"/>
      <c r="CG59" s="325"/>
      <c r="CH59" s="325"/>
      <c r="CI59" s="325"/>
      <c r="CJ59" s="325"/>
      <c r="CK59" s="325"/>
      <c r="CL59" s="325"/>
      <c r="CM59" s="325"/>
      <c r="CN59" s="325"/>
      <c r="CO59" s="325"/>
      <c r="CP59" s="325"/>
      <c r="CQ59" s="325"/>
      <c r="CR59" s="310"/>
      <c r="CS59" s="310"/>
      <c r="CT59" s="310"/>
      <c r="CU59" s="310"/>
      <c r="CV59" s="310"/>
      <c r="CW59" s="211"/>
      <c r="CX59" s="211"/>
      <c r="CY59" s="211"/>
      <c r="CZ59" s="211"/>
      <c r="DA59" s="211"/>
      <c r="DB59" s="211"/>
      <c r="DC59" s="211"/>
      <c r="DD59" s="211"/>
      <c r="DE59" s="211"/>
      <c r="DF59" s="211"/>
      <c r="DG59" s="211"/>
      <c r="DH59" s="211"/>
      <c r="DI59" s="211"/>
      <c r="DJ59" s="211"/>
      <c r="DK59" s="211"/>
      <c r="DL59" s="211"/>
      <c r="DM59" s="325"/>
      <c r="DN59" s="325"/>
      <c r="DO59" s="205"/>
      <c r="DP59" s="205"/>
    </row>
    <row r="60" spans="1:120" x14ac:dyDescent="0.25">
      <c r="A60" s="273">
        <v>55</v>
      </c>
      <c r="B60" s="203" t="s">
        <v>254</v>
      </c>
      <c r="D60" s="326"/>
      <c r="E60" s="326"/>
      <c r="F60" s="326"/>
      <c r="H60" s="326"/>
      <c r="I60" s="326"/>
      <c r="J60" s="326"/>
      <c r="L60" s="326"/>
      <c r="M60" s="326"/>
      <c r="N60" s="326"/>
      <c r="P60" s="326"/>
      <c r="Q60" s="326"/>
      <c r="R60" s="326"/>
      <c r="T60" s="326"/>
      <c r="U60" s="326"/>
      <c r="V60" s="326"/>
      <c r="X60" s="326"/>
      <c r="Y60" s="331"/>
      <c r="Z60" s="326"/>
      <c r="AB60" s="326"/>
      <c r="AC60" s="326"/>
      <c r="AD60" s="326"/>
      <c r="AF60" s="326"/>
      <c r="AG60" s="326"/>
      <c r="AH60" s="326"/>
      <c r="AJ60" s="326"/>
      <c r="AK60" s="326"/>
      <c r="AL60" s="326"/>
      <c r="AN60" s="326"/>
      <c r="AO60" s="331"/>
      <c r="AP60" s="326"/>
      <c r="AR60" s="326"/>
      <c r="AS60" s="332"/>
      <c r="AT60" s="326"/>
      <c r="AV60" s="326"/>
      <c r="AW60" s="326"/>
      <c r="AX60" s="326"/>
      <c r="AY60" s="205"/>
      <c r="AZ60" s="326"/>
      <c r="BA60" s="326"/>
      <c r="BB60" s="326"/>
      <c r="BC60" s="205"/>
      <c r="BD60" s="326"/>
      <c r="BE60" s="326"/>
      <c r="BF60" s="326"/>
      <c r="BG60" s="205"/>
      <c r="BH60" s="326">
        <v>0</v>
      </c>
      <c r="BI60" s="326">
        <f>'[1]POLY LIB. 2019'!Q66</f>
        <v>0</v>
      </c>
      <c r="BJ60" s="326">
        <f>BH60-BI60</f>
        <v>0</v>
      </c>
      <c r="BK60" s="205"/>
      <c r="BL60" s="275">
        <f>'[1]POLY commited funds to date'!S144</f>
        <v>30000000</v>
      </c>
      <c r="BM60" s="275">
        <f>'[1]POLY LIB. 2019'!R66</f>
        <v>0</v>
      </c>
      <c r="BN60" s="275">
        <f t="shared" si="15"/>
        <v>30000000</v>
      </c>
      <c r="BO60" s="205"/>
      <c r="BP60" s="275">
        <f>'[1]POLY commited funds to date'!T144</f>
        <v>25000000</v>
      </c>
      <c r="BQ60" s="275">
        <f>'[1]POLY LIB. 2019'!S66</f>
        <v>0</v>
      </c>
      <c r="BR60" s="275">
        <f t="shared" si="16"/>
        <v>25000000</v>
      </c>
      <c r="BT60" s="275">
        <f>'[1]POLY commited funds to date'!U144</f>
        <v>15000000</v>
      </c>
      <c r="BU60" s="275">
        <f>'[1]POLY LIB. 2019'!T66</f>
        <v>0</v>
      </c>
      <c r="BV60" s="275">
        <f t="shared" si="17"/>
        <v>15000000</v>
      </c>
      <c r="BX60" s="275">
        <f t="shared" si="18"/>
        <v>70000000</v>
      </c>
      <c r="BY60" s="275">
        <f t="shared" si="18"/>
        <v>0</v>
      </c>
      <c r="BZ60" s="275">
        <f t="shared" si="19"/>
        <v>70000000</v>
      </c>
      <c r="CB60" s="205"/>
      <c r="CC60" s="325"/>
      <c r="CD60" s="325"/>
      <c r="CE60" s="325"/>
      <c r="CF60" s="325"/>
      <c r="CG60" s="325"/>
      <c r="CH60" s="325"/>
      <c r="CI60" s="325"/>
      <c r="CJ60" s="325"/>
      <c r="CK60" s="325"/>
      <c r="CL60" s="325"/>
      <c r="CM60" s="325"/>
      <c r="CN60" s="325"/>
      <c r="CO60" s="325"/>
      <c r="CP60" s="325"/>
      <c r="CQ60" s="325"/>
      <c r="CR60" s="310"/>
      <c r="CS60" s="310"/>
      <c r="CT60" s="310"/>
      <c r="CU60" s="310"/>
      <c r="CV60" s="310"/>
      <c r="CW60" s="211"/>
      <c r="CX60" s="211"/>
      <c r="CY60" s="211"/>
      <c r="CZ60" s="211"/>
      <c r="DA60" s="211"/>
      <c r="DB60" s="211"/>
      <c r="DC60" s="211"/>
      <c r="DD60" s="211"/>
      <c r="DE60" s="211"/>
      <c r="DF60" s="211"/>
      <c r="DG60" s="211"/>
      <c r="DH60" s="211"/>
      <c r="DI60" s="211"/>
      <c r="DJ60" s="211"/>
      <c r="DK60" s="211"/>
      <c r="DL60" s="211"/>
      <c r="DM60" s="325"/>
      <c r="DN60" s="325"/>
      <c r="DO60" s="205"/>
      <c r="DP60" s="205"/>
    </row>
    <row r="61" spans="1:120" ht="31.5" x14ac:dyDescent="0.25">
      <c r="A61" s="273">
        <v>56</v>
      </c>
      <c r="B61" s="284" t="s">
        <v>255</v>
      </c>
      <c r="C61" s="284"/>
      <c r="D61" s="275"/>
      <c r="E61" s="275"/>
      <c r="F61" s="275"/>
      <c r="G61" s="275"/>
      <c r="H61" s="275"/>
      <c r="I61" s="275"/>
      <c r="J61" s="275"/>
      <c r="K61" s="275"/>
      <c r="L61" s="275"/>
      <c r="M61" s="275"/>
      <c r="N61" s="275"/>
      <c r="O61" s="275"/>
      <c r="P61" s="275"/>
      <c r="Q61" s="275"/>
      <c r="R61" s="275"/>
      <c r="S61" s="275"/>
      <c r="T61" s="275"/>
      <c r="U61" s="275"/>
      <c r="V61" s="275"/>
      <c r="W61" s="275"/>
      <c r="X61" s="275"/>
      <c r="Y61" s="275"/>
      <c r="Z61" s="275"/>
      <c r="AA61" s="275"/>
      <c r="AB61" s="275"/>
      <c r="AC61" s="275"/>
      <c r="AD61" s="275"/>
      <c r="AE61" s="275"/>
      <c r="AF61" s="275"/>
      <c r="AG61" s="275"/>
      <c r="AH61" s="275"/>
      <c r="AI61" s="275"/>
      <c r="AJ61" s="275"/>
      <c r="AK61" s="275"/>
      <c r="AL61" s="275"/>
      <c r="AM61" s="275"/>
      <c r="AN61" s="275"/>
      <c r="AO61" s="275"/>
      <c r="AP61" s="275"/>
      <c r="AQ61" s="275"/>
      <c r="AR61" s="275"/>
      <c r="AS61" s="275"/>
      <c r="AT61" s="275"/>
      <c r="AU61" s="275"/>
      <c r="AV61" s="275"/>
      <c r="AW61" s="275"/>
      <c r="AX61" s="275"/>
      <c r="AY61" s="275"/>
      <c r="AZ61" s="275"/>
      <c r="BA61" s="275"/>
      <c r="BB61" s="275"/>
      <c r="BC61" s="275"/>
      <c r="BD61" s="275"/>
      <c r="BE61" s="275"/>
      <c r="BF61" s="275"/>
      <c r="BG61" s="275"/>
      <c r="BH61" s="275"/>
      <c r="BI61" s="275">
        <f>'[1]POLY LIB. 2019'!Q67</f>
        <v>0</v>
      </c>
      <c r="BJ61" s="275"/>
      <c r="BK61" s="293"/>
      <c r="BL61" s="275">
        <f>'[1]POLY commited funds to date'!S145</f>
        <v>30000000</v>
      </c>
      <c r="BM61" s="275">
        <f>'[1]POLY LIB. 2019'!R67</f>
        <v>0</v>
      </c>
      <c r="BN61" s="275">
        <f t="shared" si="15"/>
        <v>30000000</v>
      </c>
      <c r="BO61" s="333"/>
      <c r="BP61" s="275">
        <f>'[1]POLY commited funds to date'!T145</f>
        <v>0</v>
      </c>
      <c r="BQ61" s="275">
        <f>'[1]POLY LIB. 2019'!S67</f>
        <v>0</v>
      </c>
      <c r="BR61" s="275">
        <f t="shared" si="16"/>
        <v>0</v>
      </c>
      <c r="BT61" s="275">
        <f>'[1]POLY commited funds to date'!U145</f>
        <v>15000000</v>
      </c>
      <c r="BU61" s="275">
        <f>'[1]POLY LIB. 2019'!T67</f>
        <v>0</v>
      </c>
      <c r="BV61" s="275">
        <f t="shared" si="17"/>
        <v>15000000</v>
      </c>
      <c r="BX61" s="275">
        <f t="shared" si="18"/>
        <v>45000000</v>
      </c>
      <c r="BY61" s="275">
        <f t="shared" si="18"/>
        <v>0</v>
      </c>
      <c r="BZ61" s="275">
        <f t="shared" si="19"/>
        <v>45000000</v>
      </c>
      <c r="DE61" s="204"/>
      <c r="DF61" s="204"/>
      <c r="DG61" s="204"/>
      <c r="DH61" s="204"/>
      <c r="DI61" s="204"/>
      <c r="DJ61" s="204"/>
      <c r="DK61" s="204"/>
      <c r="DL61" s="204"/>
    </row>
    <row r="62" spans="1:120" x14ac:dyDescent="0.25">
      <c r="A62" s="273">
        <v>57</v>
      </c>
      <c r="B62" s="334" t="s">
        <v>256</v>
      </c>
      <c r="C62" s="334"/>
      <c r="D62" s="275"/>
      <c r="E62" s="275"/>
      <c r="F62" s="275"/>
      <c r="G62" s="275"/>
      <c r="H62" s="275"/>
      <c r="I62" s="275"/>
      <c r="J62" s="275"/>
      <c r="K62" s="275"/>
      <c r="L62" s="275"/>
      <c r="M62" s="275"/>
      <c r="N62" s="275"/>
      <c r="O62" s="275"/>
      <c r="P62" s="275"/>
      <c r="Q62" s="275"/>
      <c r="R62" s="275"/>
      <c r="S62" s="275"/>
      <c r="T62" s="275"/>
      <c r="U62" s="275"/>
      <c r="V62" s="275"/>
      <c r="W62" s="275"/>
      <c r="X62" s="275"/>
      <c r="Y62" s="275"/>
      <c r="Z62" s="275"/>
      <c r="AA62" s="275"/>
      <c r="AB62" s="275"/>
      <c r="AC62" s="275"/>
      <c r="AD62" s="275"/>
      <c r="AE62" s="275"/>
      <c r="AF62" s="275"/>
      <c r="AG62" s="275"/>
      <c r="AH62" s="275"/>
      <c r="AI62" s="275"/>
      <c r="AJ62" s="275"/>
      <c r="AK62" s="275"/>
      <c r="AL62" s="275"/>
      <c r="AM62" s="275"/>
      <c r="AN62" s="275"/>
      <c r="AO62" s="275"/>
      <c r="AP62" s="275"/>
      <c r="AQ62" s="275"/>
      <c r="AR62" s="275"/>
      <c r="AS62" s="275"/>
      <c r="AT62" s="275"/>
      <c r="AU62" s="275"/>
      <c r="AV62" s="275"/>
      <c r="AW62" s="275"/>
      <c r="AX62" s="275"/>
      <c r="AY62" s="275"/>
      <c r="AZ62" s="275"/>
      <c r="BA62" s="275"/>
      <c r="BB62" s="275"/>
      <c r="BC62" s="275"/>
      <c r="BD62" s="275"/>
      <c r="BE62" s="275"/>
      <c r="BF62" s="275"/>
      <c r="BG62" s="275"/>
      <c r="BH62" s="275"/>
      <c r="BI62" s="275">
        <f>'[1]POLY LIB. 2019'!Q68</f>
        <v>0</v>
      </c>
      <c r="BJ62" s="275"/>
      <c r="BK62" s="293"/>
      <c r="BL62" s="275">
        <f>'[1]POLY commited funds to date'!S146</f>
        <v>30000000</v>
      </c>
      <c r="BM62" s="275">
        <f>'[1]POLY LIB. 2019'!R68</f>
        <v>0</v>
      </c>
      <c r="BN62" s="275">
        <f t="shared" si="15"/>
        <v>30000000</v>
      </c>
      <c r="BO62" s="333"/>
      <c r="BP62" s="275">
        <f>'[1]POLY commited funds to date'!T146</f>
        <v>25000000</v>
      </c>
      <c r="BQ62" s="275">
        <f>'[1]POLY LIB. 2019'!S68</f>
        <v>0</v>
      </c>
      <c r="BR62" s="275">
        <f t="shared" si="16"/>
        <v>25000000</v>
      </c>
      <c r="BT62" s="275">
        <f>'[1]POLY commited funds to date'!U146</f>
        <v>15000000</v>
      </c>
      <c r="BU62" s="275">
        <f>'[1]POLY LIB. 2019'!T68</f>
        <v>0</v>
      </c>
      <c r="BV62" s="275">
        <f t="shared" si="17"/>
        <v>15000000</v>
      </c>
      <c r="BX62" s="275">
        <f t="shared" si="18"/>
        <v>70000000</v>
      </c>
      <c r="BY62" s="275">
        <f t="shared" si="18"/>
        <v>0</v>
      </c>
      <c r="BZ62" s="275">
        <f t="shared" si="19"/>
        <v>70000000</v>
      </c>
      <c r="DE62" s="204"/>
      <c r="DF62" s="204"/>
      <c r="DG62" s="204"/>
      <c r="DH62" s="204"/>
      <c r="DI62" s="204"/>
      <c r="DJ62" s="204"/>
      <c r="DK62" s="204"/>
      <c r="DL62" s="204"/>
    </row>
    <row r="63" spans="1:120" x14ac:dyDescent="0.25">
      <c r="A63" s="273">
        <v>58</v>
      </c>
      <c r="B63" s="335" t="s">
        <v>257</v>
      </c>
      <c r="C63" s="335"/>
      <c r="D63" s="275"/>
      <c r="E63" s="275"/>
      <c r="F63" s="275"/>
      <c r="G63" s="275"/>
      <c r="H63" s="275"/>
      <c r="I63" s="275"/>
      <c r="J63" s="275"/>
      <c r="K63" s="275"/>
      <c r="L63" s="275"/>
      <c r="M63" s="275"/>
      <c r="N63" s="275"/>
      <c r="O63" s="275"/>
      <c r="P63" s="275"/>
      <c r="Q63" s="275"/>
      <c r="R63" s="275"/>
      <c r="S63" s="275"/>
      <c r="T63" s="275"/>
      <c r="U63" s="275"/>
      <c r="V63" s="275"/>
      <c r="W63" s="275"/>
      <c r="X63" s="275"/>
      <c r="Y63" s="275"/>
      <c r="Z63" s="275"/>
      <c r="AA63" s="275"/>
      <c r="AB63" s="275"/>
      <c r="AC63" s="275"/>
      <c r="AD63" s="275"/>
      <c r="AE63" s="275"/>
      <c r="AF63" s="275"/>
      <c r="AG63" s="275"/>
      <c r="AH63" s="275"/>
      <c r="AI63" s="275"/>
      <c r="AJ63" s="275"/>
      <c r="AK63" s="275"/>
      <c r="AL63" s="275"/>
      <c r="AM63" s="275"/>
      <c r="AN63" s="275"/>
      <c r="AO63" s="275"/>
      <c r="AP63" s="275"/>
      <c r="AQ63" s="275"/>
      <c r="AR63" s="275"/>
      <c r="AS63" s="275"/>
      <c r="AT63" s="275"/>
      <c r="AU63" s="275"/>
      <c r="AV63" s="275"/>
      <c r="AW63" s="275"/>
      <c r="AX63" s="275"/>
      <c r="AY63" s="275"/>
      <c r="AZ63" s="275"/>
      <c r="BA63" s="275"/>
      <c r="BB63" s="275"/>
      <c r="BC63" s="275"/>
      <c r="BD63" s="275"/>
      <c r="BE63" s="275"/>
      <c r="BF63" s="275"/>
      <c r="BG63" s="275"/>
      <c r="BH63" s="275">
        <v>40000000</v>
      </c>
      <c r="BI63" s="275">
        <f>'[1]POLY LIB. 2019'!Q69</f>
        <v>34000000</v>
      </c>
      <c r="BJ63" s="275">
        <f>BH63-BI63</f>
        <v>6000000</v>
      </c>
      <c r="BK63" s="293"/>
      <c r="BL63" s="275">
        <f>'[1]POLY commited funds to date'!S147</f>
        <v>0</v>
      </c>
      <c r="BM63" s="275">
        <f>'[1]POLY LIB. 2019'!R69</f>
        <v>0</v>
      </c>
      <c r="BN63" s="275">
        <f t="shared" si="15"/>
        <v>0</v>
      </c>
      <c r="BO63" s="333"/>
      <c r="BP63" s="275">
        <f>'[1]POLY commited funds to date'!T147</f>
        <v>25000000</v>
      </c>
      <c r="BQ63" s="275">
        <f>'[1]POLY LIB. 2019'!S69</f>
        <v>0</v>
      </c>
      <c r="BR63" s="275">
        <f t="shared" si="16"/>
        <v>25000000</v>
      </c>
      <c r="BT63" s="275">
        <f>'[1]POLY commited funds to date'!U147</f>
        <v>0</v>
      </c>
      <c r="BU63" s="275">
        <f>'[1]POLY LIB. 2019'!T69</f>
        <v>0</v>
      </c>
      <c r="BV63" s="275">
        <f t="shared" si="17"/>
        <v>0</v>
      </c>
      <c r="BX63" s="275">
        <f t="shared" si="18"/>
        <v>65000000</v>
      </c>
      <c r="BY63" s="275">
        <f>E63+I63+M63+Q63+U63+Y63+AC63+AG63+AK63+AO63+AS63+AW63+BA63+BE63+BI63+BM63+BQ63+BU63</f>
        <v>34000000</v>
      </c>
      <c r="BZ63" s="275">
        <f t="shared" si="19"/>
        <v>31000000</v>
      </c>
      <c r="DE63" s="204"/>
      <c r="DF63" s="204"/>
      <c r="DG63" s="204"/>
      <c r="DH63" s="204"/>
      <c r="DI63" s="204"/>
      <c r="DJ63" s="204"/>
      <c r="DK63" s="204"/>
      <c r="DL63" s="204"/>
    </row>
    <row r="64" spans="1:120" x14ac:dyDescent="0.25">
      <c r="A64" s="273">
        <v>59</v>
      </c>
      <c r="B64" s="292" t="s">
        <v>258</v>
      </c>
      <c r="C64" s="336"/>
      <c r="D64" s="328"/>
      <c r="E64" s="328"/>
      <c r="F64" s="328"/>
      <c r="G64" s="328"/>
      <c r="H64" s="328"/>
      <c r="I64" s="337"/>
      <c r="J64" s="328"/>
      <c r="K64" s="337"/>
      <c r="L64" s="337"/>
      <c r="M64" s="337"/>
      <c r="N64" s="328"/>
      <c r="O64" s="337"/>
      <c r="P64" s="328"/>
      <c r="Q64" s="328"/>
      <c r="R64" s="328"/>
      <c r="S64" s="328"/>
      <c r="T64" s="328"/>
      <c r="U64" s="338"/>
      <c r="V64" s="328"/>
      <c r="W64" s="338"/>
      <c r="X64" s="338"/>
      <c r="Y64" s="328"/>
      <c r="Z64" s="328"/>
      <c r="AA64" s="338"/>
      <c r="AB64" s="328"/>
      <c r="AC64" s="328"/>
      <c r="AD64" s="328"/>
      <c r="AE64" s="328"/>
      <c r="AF64" s="328"/>
      <c r="AG64" s="328"/>
      <c r="AH64" s="328"/>
      <c r="AI64" s="328"/>
      <c r="AJ64" s="328"/>
      <c r="AK64" s="328"/>
      <c r="AL64" s="328"/>
      <c r="AM64" s="328"/>
      <c r="AN64" s="328"/>
      <c r="AO64" s="328"/>
      <c r="AP64" s="328"/>
      <c r="AQ64" s="205"/>
      <c r="AR64" s="328"/>
      <c r="AS64" s="338"/>
      <c r="AT64" s="328"/>
      <c r="AU64" s="205"/>
      <c r="AV64" s="328"/>
      <c r="AW64" s="328"/>
      <c r="AX64" s="328"/>
      <c r="AY64" s="205"/>
      <c r="AZ64" s="328"/>
      <c r="BA64" s="328"/>
      <c r="BB64" s="328"/>
      <c r="BC64" s="205"/>
      <c r="BD64" s="328"/>
      <c r="BE64" s="328"/>
      <c r="BF64" s="328"/>
      <c r="BG64" s="205"/>
      <c r="BH64" s="328"/>
      <c r="BI64" s="328"/>
      <c r="BJ64" s="328"/>
      <c r="BK64" s="205"/>
      <c r="BL64" s="275"/>
      <c r="BM64" s="275"/>
      <c r="BN64" s="275"/>
      <c r="BO64" s="205"/>
      <c r="BP64" s="275"/>
      <c r="BQ64" s="275"/>
      <c r="BR64" s="275"/>
      <c r="BT64" s="275"/>
      <c r="BU64" s="275"/>
      <c r="BV64" s="275"/>
      <c r="BX64" s="275">
        <f t="shared" si="18"/>
        <v>0</v>
      </c>
      <c r="BY64" s="275">
        <f>E64+I64+M64+Q64+U64+Y64+AC64+AG64+AK64+AO64+AS64+AW64+BA64+BE64+BI64+BM64+BQ64+BU64</f>
        <v>0</v>
      </c>
      <c r="BZ64" s="275">
        <f t="shared" si="19"/>
        <v>0</v>
      </c>
      <c r="DE64" s="204"/>
      <c r="DF64" s="204"/>
      <c r="DG64" s="204"/>
      <c r="DH64" s="204"/>
      <c r="DI64" s="204"/>
      <c r="DJ64" s="204"/>
      <c r="DK64" s="204"/>
      <c r="DL64" s="204"/>
    </row>
    <row r="65" spans="1:120" x14ac:dyDescent="0.25">
      <c r="A65" s="273">
        <v>60</v>
      </c>
      <c r="B65" s="273" t="s">
        <v>259</v>
      </c>
      <c r="C65" s="339"/>
      <c r="D65" s="328">
        <v>1500000</v>
      </c>
      <c r="E65" s="328">
        <f>'[1]POLY LIB. 2019'!C71</f>
        <v>1500000</v>
      </c>
      <c r="F65" s="328">
        <f t="shared" si="0"/>
        <v>0</v>
      </c>
      <c r="G65" s="328"/>
      <c r="H65" s="328">
        <v>1500000</v>
      </c>
      <c r="I65" s="337">
        <f>'[1]POLY LIB. 2019'!D71</f>
        <v>1500000</v>
      </c>
      <c r="J65" s="328">
        <f t="shared" si="1"/>
        <v>0</v>
      </c>
      <c r="K65" s="337"/>
      <c r="L65" s="337">
        <v>1500000</v>
      </c>
      <c r="M65" s="337">
        <f>'[1]POLY LIB. 2019'!E71</f>
        <v>1500000</v>
      </c>
      <c r="N65" s="328">
        <f t="shared" si="2"/>
        <v>0</v>
      </c>
      <c r="O65" s="337"/>
      <c r="P65" s="328">
        <v>1500000</v>
      </c>
      <c r="Q65" s="328">
        <f>'[1]POLY LIB. 2019'!F71</f>
        <v>1500000</v>
      </c>
      <c r="R65" s="328">
        <f t="shared" si="3"/>
        <v>0</v>
      </c>
      <c r="S65" s="328"/>
      <c r="T65" s="328">
        <v>0</v>
      </c>
      <c r="U65" s="338">
        <f>'[1]POLY LIB. 2019'!G71</f>
        <v>0</v>
      </c>
      <c r="V65" s="328">
        <f t="shared" si="4"/>
        <v>0</v>
      </c>
      <c r="W65" s="338"/>
      <c r="X65" s="338">
        <v>0</v>
      </c>
      <c r="Y65" s="340">
        <v>0</v>
      </c>
      <c r="Z65" s="328">
        <f t="shared" si="5"/>
        <v>0</v>
      </c>
      <c r="AA65" s="338"/>
      <c r="AB65" s="328">
        <v>0</v>
      </c>
      <c r="AC65" s="328">
        <f>'[1]POLY LIB. 2019'!I71</f>
        <v>0</v>
      </c>
      <c r="AD65" s="328">
        <f t="shared" si="6"/>
        <v>0</v>
      </c>
      <c r="AE65" s="328"/>
      <c r="AF65" s="328">
        <v>0</v>
      </c>
      <c r="AG65" s="328">
        <f>'[1]POLY LIB. 2019'!J71</f>
        <v>0</v>
      </c>
      <c r="AH65" s="328">
        <f t="shared" si="7"/>
        <v>0</v>
      </c>
      <c r="AI65" s="328"/>
      <c r="AJ65" s="328">
        <v>0</v>
      </c>
      <c r="AK65" s="328">
        <f>'[1]POLY LIB. 2019'!K71</f>
        <v>0</v>
      </c>
      <c r="AL65" s="328">
        <f t="shared" si="8"/>
        <v>0</v>
      </c>
      <c r="AM65" s="328"/>
      <c r="AN65" s="328">
        <v>0</v>
      </c>
      <c r="AO65" s="340">
        <f>'[1]POLY LIB. 2019'!L71</f>
        <v>0</v>
      </c>
      <c r="AP65" s="328">
        <f t="shared" si="9"/>
        <v>0</v>
      </c>
      <c r="AQ65" s="205"/>
      <c r="AR65" s="328">
        <v>0</v>
      </c>
      <c r="AS65" s="338">
        <f>'[1]POLY LIB. 2019'!M71</f>
        <v>0</v>
      </c>
      <c r="AT65" s="328">
        <f t="shared" si="10"/>
        <v>0</v>
      </c>
      <c r="AU65" s="205"/>
      <c r="AV65" s="328">
        <v>0</v>
      </c>
      <c r="AW65" s="328">
        <f>'[1]POLY LIB. 2019'!N71</f>
        <v>0</v>
      </c>
      <c r="AX65" s="328">
        <f t="shared" si="11"/>
        <v>0</v>
      </c>
      <c r="AY65" s="205"/>
      <c r="AZ65" s="328">
        <f>'[1]POLY commited funds to date'!P148</f>
        <v>0</v>
      </c>
      <c r="BA65" s="328">
        <f>'[1]POLY LIB. 2019'!O71</f>
        <v>0</v>
      </c>
      <c r="BB65" s="328">
        <f t="shared" si="12"/>
        <v>0</v>
      </c>
      <c r="BC65" s="205"/>
      <c r="BD65" s="328">
        <v>0</v>
      </c>
      <c r="BE65" s="328">
        <f>'[1]POLY LIB. 2019'!P71</f>
        <v>0</v>
      </c>
      <c r="BF65" s="328">
        <f t="shared" si="13"/>
        <v>0</v>
      </c>
      <c r="BG65" s="205"/>
      <c r="BH65" s="328">
        <v>0</v>
      </c>
      <c r="BI65" s="328">
        <f>'[1]POLY LIB. 2019'!Q71</f>
        <v>0</v>
      </c>
      <c r="BJ65" s="328">
        <f t="shared" si="14"/>
        <v>0</v>
      </c>
      <c r="BL65" s="275">
        <f>'[1]POLY commited funds to date'!S148</f>
        <v>0</v>
      </c>
      <c r="BM65" s="275">
        <f>'[1]POLY LIB. 2019'!R71</f>
        <v>0</v>
      </c>
      <c r="BN65" s="275">
        <f t="shared" si="15"/>
        <v>0</v>
      </c>
      <c r="BP65" s="275">
        <f>'[1]POLY commited funds to date'!T148</f>
        <v>0</v>
      </c>
      <c r="BQ65" s="275">
        <f>'[1]POLY LIB. 2019'!S71</f>
        <v>0</v>
      </c>
      <c r="BR65" s="275">
        <f t="shared" si="16"/>
        <v>0</v>
      </c>
      <c r="BT65" s="275">
        <f>'[1]POLY commited funds to date'!U148</f>
        <v>0</v>
      </c>
      <c r="BU65" s="275">
        <f>'[1]POLY LIB. 2019'!T71</f>
        <v>0</v>
      </c>
      <c r="BV65" s="275">
        <f t="shared" si="17"/>
        <v>0</v>
      </c>
      <c r="BX65" s="275">
        <f t="shared" si="18"/>
        <v>6000000</v>
      </c>
      <c r="BY65" s="275">
        <f t="shared" si="18"/>
        <v>6000000</v>
      </c>
      <c r="BZ65" s="275">
        <f t="shared" si="19"/>
        <v>0</v>
      </c>
      <c r="CB65" s="205"/>
      <c r="CC65" s="325"/>
      <c r="CD65" s="211"/>
      <c r="CE65" s="211"/>
      <c r="CF65" s="211"/>
      <c r="CG65" s="211"/>
      <c r="CH65" s="211"/>
      <c r="CI65" s="211"/>
      <c r="CJ65" s="211"/>
      <c r="CK65" s="211"/>
      <c r="CL65" s="211"/>
      <c r="CM65" s="211"/>
      <c r="CN65" s="211"/>
      <c r="CO65" s="211"/>
      <c r="CP65" s="211"/>
      <c r="CQ65" s="211"/>
      <c r="CR65" s="211"/>
      <c r="CS65" s="211"/>
      <c r="CT65" s="211"/>
      <c r="CU65" s="211"/>
      <c r="CV65" s="211"/>
      <c r="CW65" s="211"/>
      <c r="CX65" s="211"/>
      <c r="CY65" s="211"/>
      <c r="CZ65" s="211"/>
      <c r="DA65" s="211"/>
      <c r="DB65" s="211"/>
      <c r="DC65" s="211"/>
      <c r="DD65" s="211"/>
      <c r="DE65" s="211"/>
      <c r="DF65" s="211"/>
      <c r="DG65" s="211"/>
      <c r="DH65" s="211"/>
      <c r="DI65" s="211"/>
      <c r="DJ65" s="211"/>
      <c r="DK65" s="211"/>
      <c r="DL65" s="211"/>
      <c r="DM65" s="211"/>
      <c r="DN65" s="211"/>
      <c r="DO65" s="205"/>
      <c r="DP65" s="205"/>
    </row>
    <row r="66" spans="1:120" x14ac:dyDescent="0.25">
      <c r="A66" s="273">
        <v>61</v>
      </c>
      <c r="B66" s="273" t="s">
        <v>260</v>
      </c>
      <c r="C66" s="273"/>
      <c r="D66" s="275">
        <v>1500000</v>
      </c>
      <c r="E66" s="275">
        <f>'[1]POLY LIB. 2019'!C72</f>
        <v>1500000</v>
      </c>
      <c r="F66" s="275">
        <f t="shared" si="0"/>
        <v>0</v>
      </c>
      <c r="G66" s="275"/>
      <c r="H66" s="275">
        <v>1500000</v>
      </c>
      <c r="I66" s="293">
        <f>'[1]POLY LIB. 2019'!D72</f>
        <v>1500000</v>
      </c>
      <c r="J66" s="275">
        <f t="shared" si="1"/>
        <v>0</v>
      </c>
      <c r="K66" s="293"/>
      <c r="L66" s="293">
        <f>1500000-1500000</f>
        <v>0</v>
      </c>
      <c r="M66" s="293">
        <f>'[1]POLY LIB. 2019'!E72</f>
        <v>0</v>
      </c>
      <c r="N66" s="275">
        <f t="shared" si="2"/>
        <v>0</v>
      </c>
      <c r="O66" s="293"/>
      <c r="P66" s="275">
        <f>1500000-1500000</f>
        <v>0</v>
      </c>
      <c r="Q66" s="275">
        <f>'[1]POLY LIB. 2019'!F72</f>
        <v>0</v>
      </c>
      <c r="R66" s="275">
        <f t="shared" si="3"/>
        <v>0</v>
      </c>
      <c r="S66" s="275"/>
      <c r="T66" s="275">
        <f>2500000-2500000</f>
        <v>0</v>
      </c>
      <c r="U66" s="294">
        <f>'[1]POLY LIB. 2019'!G72</f>
        <v>0</v>
      </c>
      <c r="V66" s="275">
        <f t="shared" si="4"/>
        <v>0</v>
      </c>
      <c r="W66" s="294"/>
      <c r="X66" s="294">
        <f>2000000-2000000</f>
        <v>0</v>
      </c>
      <c r="Y66" s="324">
        <v>0</v>
      </c>
      <c r="Z66" s="275">
        <f t="shared" si="5"/>
        <v>0</v>
      </c>
      <c r="AA66" s="294"/>
      <c r="AB66" s="275">
        <v>0</v>
      </c>
      <c r="AC66" s="275">
        <f>'[1]POLY LIB. 2019'!I72</f>
        <v>0</v>
      </c>
      <c r="AD66" s="275">
        <f t="shared" si="6"/>
        <v>0</v>
      </c>
      <c r="AE66" s="275"/>
      <c r="AF66" s="275">
        <v>0</v>
      </c>
      <c r="AG66" s="275">
        <f>'[1]POLY LIB. 2019'!J72</f>
        <v>0</v>
      </c>
      <c r="AH66" s="275">
        <f t="shared" si="7"/>
        <v>0</v>
      </c>
      <c r="AI66" s="275"/>
      <c r="AJ66" s="275">
        <v>0</v>
      </c>
      <c r="AK66" s="275">
        <f>'[1]POLY LIB. 2019'!K72</f>
        <v>0</v>
      </c>
      <c r="AL66" s="275">
        <f t="shared" si="8"/>
        <v>0</v>
      </c>
      <c r="AM66" s="275"/>
      <c r="AN66" s="275">
        <v>0</v>
      </c>
      <c r="AO66" s="324">
        <f>'[1]POLY LIB. 2019'!L72</f>
        <v>0</v>
      </c>
      <c r="AP66" s="275">
        <f t="shared" si="9"/>
        <v>0</v>
      </c>
      <c r="AQ66" s="205"/>
      <c r="AR66" s="275">
        <v>0</v>
      </c>
      <c r="AS66" s="294">
        <f>'[1]POLY LIB. 2019'!M72</f>
        <v>0</v>
      </c>
      <c r="AT66" s="275">
        <f t="shared" si="10"/>
        <v>0</v>
      </c>
      <c r="AU66" s="205"/>
      <c r="AV66" s="275">
        <v>0</v>
      </c>
      <c r="AW66" s="275">
        <f>'[1]POLY LIB. 2019'!N72</f>
        <v>0</v>
      </c>
      <c r="AX66" s="275">
        <f t="shared" si="11"/>
        <v>0</v>
      </c>
      <c r="AY66" s="205"/>
      <c r="AZ66" s="275">
        <f>'[1]POLY commited funds to date'!P149</f>
        <v>0</v>
      </c>
      <c r="BA66" s="275">
        <f>'[1]POLY LIB. 2019'!O72</f>
        <v>0</v>
      </c>
      <c r="BB66" s="275">
        <f t="shared" si="12"/>
        <v>0</v>
      </c>
      <c r="BC66" s="205"/>
      <c r="BD66" s="275">
        <v>0</v>
      </c>
      <c r="BE66" s="275">
        <f>'[1]POLY LIB. 2019'!P72</f>
        <v>0</v>
      </c>
      <c r="BF66" s="275">
        <f t="shared" si="13"/>
        <v>0</v>
      </c>
      <c r="BG66" s="205"/>
      <c r="BH66" s="275">
        <v>0</v>
      </c>
      <c r="BI66" s="275">
        <f>'[1]POLY LIB. 2019'!Q72</f>
        <v>0</v>
      </c>
      <c r="BJ66" s="275">
        <f t="shared" si="14"/>
        <v>0</v>
      </c>
      <c r="BL66" s="275">
        <f>'[1]POLY commited funds to date'!S149</f>
        <v>0</v>
      </c>
      <c r="BM66" s="275">
        <f>'[1]POLY LIB. 2019'!R72</f>
        <v>0</v>
      </c>
      <c r="BN66" s="275">
        <f t="shared" si="15"/>
        <v>0</v>
      </c>
      <c r="BP66" s="275">
        <f>'[1]POLY commited funds to date'!T149</f>
        <v>0</v>
      </c>
      <c r="BQ66" s="275">
        <f>'[1]POLY LIB. 2019'!S72</f>
        <v>0</v>
      </c>
      <c r="BR66" s="275">
        <f t="shared" si="16"/>
        <v>0</v>
      </c>
      <c r="BT66" s="275">
        <f>'[1]POLY commited funds to date'!U149</f>
        <v>0</v>
      </c>
      <c r="BU66" s="275">
        <f>'[1]POLY LIB. 2019'!T72</f>
        <v>0</v>
      </c>
      <c r="BV66" s="275">
        <f t="shared" si="17"/>
        <v>0</v>
      </c>
      <c r="BX66" s="275">
        <f t="shared" si="18"/>
        <v>3000000</v>
      </c>
      <c r="BY66" s="275">
        <f t="shared" si="18"/>
        <v>3000000</v>
      </c>
      <c r="BZ66" s="275">
        <f t="shared" si="19"/>
        <v>0</v>
      </c>
      <c r="CB66" s="205"/>
      <c r="CC66" s="325"/>
      <c r="CD66" s="319"/>
      <c r="CE66" s="319"/>
      <c r="CF66" s="319"/>
      <c r="CG66" s="319"/>
      <c r="CH66" s="319"/>
      <c r="CI66" s="319"/>
      <c r="CJ66" s="319"/>
      <c r="CK66" s="319"/>
      <c r="CL66" s="319"/>
      <c r="CM66" s="319"/>
      <c r="CN66" s="319"/>
      <c r="CO66" s="319"/>
      <c r="CP66" s="319"/>
      <c r="CQ66" s="319"/>
      <c r="CR66" s="319"/>
      <c r="CS66" s="319"/>
      <c r="CT66" s="319"/>
      <c r="CU66" s="319"/>
      <c r="CV66" s="211"/>
      <c r="CW66" s="211"/>
      <c r="CX66" s="211"/>
      <c r="CY66" s="211"/>
      <c r="CZ66" s="211"/>
      <c r="DA66" s="211"/>
      <c r="DB66" s="211"/>
      <c r="DC66" s="211"/>
      <c r="DD66" s="211"/>
      <c r="DE66" s="211"/>
      <c r="DF66" s="211"/>
      <c r="DG66" s="211"/>
      <c r="DH66" s="211"/>
      <c r="DI66" s="211"/>
      <c r="DJ66" s="211"/>
      <c r="DK66" s="211"/>
      <c r="DL66" s="211"/>
      <c r="DM66" s="211"/>
      <c r="DN66" s="211"/>
      <c r="DO66" s="205"/>
      <c r="DP66" s="205"/>
    </row>
    <row r="67" spans="1:120" x14ac:dyDescent="0.25">
      <c r="A67" s="273">
        <v>62</v>
      </c>
      <c r="B67" s="273" t="s">
        <v>296</v>
      </c>
      <c r="C67" s="273"/>
      <c r="D67" s="275">
        <v>0</v>
      </c>
      <c r="E67" s="275">
        <f>'[1]POLY LIB. 2019'!C73</f>
        <v>0</v>
      </c>
      <c r="F67" s="275">
        <f t="shared" si="0"/>
        <v>0</v>
      </c>
      <c r="G67" s="309"/>
      <c r="H67" s="275">
        <v>0</v>
      </c>
      <c r="I67" s="275">
        <f>'[1]POLY LIB. 2019'!D73</f>
        <v>0</v>
      </c>
      <c r="J67" s="275">
        <f t="shared" si="1"/>
        <v>0</v>
      </c>
      <c r="K67" s="309"/>
      <c r="L67" s="275">
        <v>1500000</v>
      </c>
      <c r="M67" s="275">
        <f>'[1]POLY LIB. 2019'!E73</f>
        <v>1500000</v>
      </c>
      <c r="N67" s="275">
        <f t="shared" si="2"/>
        <v>0</v>
      </c>
      <c r="O67" s="309"/>
      <c r="P67" s="275">
        <v>1500000</v>
      </c>
      <c r="Q67" s="275">
        <f>'[1]POLY LIB. 2019'!F73</f>
        <v>1500000</v>
      </c>
      <c r="R67" s="275">
        <f t="shared" si="3"/>
        <v>0</v>
      </c>
      <c r="S67" s="309"/>
      <c r="T67" s="275">
        <v>2500000</v>
      </c>
      <c r="U67" s="275">
        <f>'[1]POLY LIB. 2019'!G73</f>
        <v>2500000</v>
      </c>
      <c r="V67" s="275">
        <f t="shared" si="4"/>
        <v>0</v>
      </c>
      <c r="W67" s="309"/>
      <c r="X67" s="275">
        <v>2000000</v>
      </c>
      <c r="Y67" s="324">
        <v>2000000</v>
      </c>
      <c r="Z67" s="275">
        <f t="shared" si="5"/>
        <v>0</v>
      </c>
      <c r="AA67" s="309"/>
      <c r="AB67" s="275">
        <v>2600000</v>
      </c>
      <c r="AC67" s="275">
        <f>'[1]POLY LIB. 2019'!I73</f>
        <v>2600000</v>
      </c>
      <c r="AD67" s="275">
        <f t="shared" si="6"/>
        <v>0</v>
      </c>
      <c r="AE67" s="309"/>
      <c r="AF67" s="275">
        <v>0</v>
      </c>
      <c r="AG67" s="275">
        <f>'[1]POLY LIB. 2019'!J73</f>
        <v>0</v>
      </c>
      <c r="AH67" s="275">
        <f t="shared" si="7"/>
        <v>0</v>
      </c>
      <c r="AI67" s="309"/>
      <c r="AJ67" s="275">
        <v>0</v>
      </c>
      <c r="AK67" s="275">
        <f>'[1]POLY LIB. 2019'!K73</f>
        <v>0</v>
      </c>
      <c r="AL67" s="275">
        <f t="shared" si="8"/>
        <v>0</v>
      </c>
      <c r="AM67" s="309"/>
      <c r="AN67" s="275">
        <v>0</v>
      </c>
      <c r="AO67" s="324">
        <f>'[1]POLY LIB. 2019'!L73</f>
        <v>0</v>
      </c>
      <c r="AP67" s="275">
        <f t="shared" si="9"/>
        <v>0</v>
      </c>
      <c r="AQ67" s="309"/>
      <c r="AR67" s="275">
        <v>0</v>
      </c>
      <c r="AS67" s="294">
        <f>'[1]POLY LIB. 2019'!M73</f>
        <v>0</v>
      </c>
      <c r="AT67" s="275">
        <f t="shared" si="10"/>
        <v>0</v>
      </c>
      <c r="AU67" s="309"/>
      <c r="AV67" s="275">
        <v>0</v>
      </c>
      <c r="AW67" s="275">
        <f>'[1]POLY LIB. 2019'!N73</f>
        <v>0</v>
      </c>
      <c r="AX67" s="275">
        <f t="shared" si="11"/>
        <v>0</v>
      </c>
      <c r="AY67" s="309"/>
      <c r="AZ67" s="275">
        <f>'[1]POLY commited funds to date'!P150</f>
        <v>0</v>
      </c>
      <c r="BA67" s="275">
        <f>'[1]POLY LIB. 2019'!O73</f>
        <v>0</v>
      </c>
      <c r="BB67" s="275">
        <f t="shared" si="12"/>
        <v>0</v>
      </c>
      <c r="BC67" s="309"/>
      <c r="BD67" s="275">
        <v>0</v>
      </c>
      <c r="BE67" s="275">
        <f>'[1]POLY LIB. 2019'!P73</f>
        <v>0</v>
      </c>
      <c r="BF67" s="275">
        <f t="shared" si="13"/>
        <v>0</v>
      </c>
      <c r="BG67" s="309"/>
      <c r="BH67" s="275">
        <v>0</v>
      </c>
      <c r="BI67" s="275">
        <f>'[1]POLY LIB. 2019'!Q73</f>
        <v>0</v>
      </c>
      <c r="BJ67" s="275">
        <f t="shared" si="14"/>
        <v>0</v>
      </c>
      <c r="BK67" s="205"/>
      <c r="BL67" s="275">
        <f>'[1]POLY commited funds to date'!S150</f>
        <v>0</v>
      </c>
      <c r="BM67" s="275">
        <f>'[1]POLY LIB. 2019'!R73</f>
        <v>0</v>
      </c>
      <c r="BN67" s="275">
        <f t="shared" si="15"/>
        <v>0</v>
      </c>
      <c r="BO67" s="205"/>
      <c r="BP67" s="275">
        <f>'[1]POLY commited funds to date'!T150</f>
        <v>0</v>
      </c>
      <c r="BQ67" s="275">
        <f>'[1]POLY LIB. 2019'!S73</f>
        <v>0</v>
      </c>
      <c r="BR67" s="275">
        <f t="shared" si="16"/>
        <v>0</v>
      </c>
      <c r="BT67" s="275">
        <f>'[1]POLY commited funds to date'!U150</f>
        <v>0</v>
      </c>
      <c r="BU67" s="275">
        <f>'[1]POLY LIB. 2019'!T73</f>
        <v>0</v>
      </c>
      <c r="BV67" s="275">
        <f t="shared" si="17"/>
        <v>0</v>
      </c>
      <c r="BX67" s="275">
        <f t="shared" si="18"/>
        <v>10100000</v>
      </c>
      <c r="BY67" s="275">
        <f t="shared" si="18"/>
        <v>10100000</v>
      </c>
      <c r="BZ67" s="275">
        <f t="shared" si="19"/>
        <v>0</v>
      </c>
      <c r="CA67" s="205"/>
      <c r="CC67" s="325"/>
      <c r="CD67" s="310"/>
      <c r="CE67" s="310"/>
      <c r="CF67" s="310"/>
      <c r="CG67" s="310"/>
      <c r="CH67" s="310"/>
      <c r="CI67" s="310"/>
      <c r="CJ67" s="310"/>
      <c r="CK67" s="310"/>
      <c r="CL67" s="310"/>
      <c r="CM67" s="310"/>
      <c r="CN67" s="310"/>
      <c r="CO67" s="310"/>
      <c r="CP67" s="310"/>
      <c r="CQ67" s="310"/>
      <c r="CR67" s="310"/>
      <c r="CS67" s="310"/>
      <c r="CT67" s="310"/>
      <c r="CU67" s="310"/>
      <c r="CW67" s="310"/>
      <c r="CX67" s="310"/>
      <c r="CY67" s="310"/>
      <c r="CZ67" s="310"/>
      <c r="DA67" s="310"/>
      <c r="DB67" s="310"/>
      <c r="DC67" s="310"/>
      <c r="DD67" s="310"/>
      <c r="DE67" s="310"/>
      <c r="DF67" s="310"/>
      <c r="DG67" s="310"/>
      <c r="DH67" s="310"/>
      <c r="DI67" s="310"/>
      <c r="DJ67" s="310"/>
      <c r="DK67" s="310"/>
      <c r="DL67" s="310"/>
      <c r="DM67" s="310"/>
      <c r="DN67" s="310"/>
      <c r="DO67" s="204"/>
      <c r="DP67" s="204"/>
    </row>
    <row r="68" spans="1:120" s="204" customFormat="1" x14ac:dyDescent="0.25">
      <c r="A68" s="273">
        <v>63</v>
      </c>
      <c r="B68" s="273" t="s">
        <v>297</v>
      </c>
      <c r="C68" s="273"/>
      <c r="D68" s="275">
        <v>0</v>
      </c>
      <c r="E68" s="275">
        <f>'[1]POLY LIB. 2019'!C74</f>
        <v>0</v>
      </c>
      <c r="F68" s="275">
        <f t="shared" si="0"/>
        <v>0</v>
      </c>
      <c r="H68" s="275">
        <v>0</v>
      </c>
      <c r="I68" s="275">
        <f>'[1]POLY LIB. 2019'!D74</f>
        <v>0</v>
      </c>
      <c r="J68" s="275">
        <f t="shared" si="1"/>
        <v>0</v>
      </c>
      <c r="L68" s="275">
        <v>0</v>
      </c>
      <c r="M68" s="275">
        <f>'[1]POLY LIB. 2019'!E74</f>
        <v>0</v>
      </c>
      <c r="N68" s="275">
        <f t="shared" si="2"/>
        <v>0</v>
      </c>
      <c r="O68" s="205"/>
      <c r="P68" s="275">
        <v>0</v>
      </c>
      <c r="Q68" s="275">
        <f>'[1]POLY LIB. 2019'!F74</f>
        <v>0</v>
      </c>
      <c r="R68" s="275">
        <f t="shared" si="3"/>
        <v>0</v>
      </c>
      <c r="S68" s="205"/>
      <c r="T68" s="275">
        <v>2500000</v>
      </c>
      <c r="U68" s="275">
        <f>'[1]POLY LIB. 2019'!G74</f>
        <v>2500000</v>
      </c>
      <c r="V68" s="275">
        <f t="shared" si="4"/>
        <v>0</v>
      </c>
      <c r="X68" s="275">
        <v>2000000</v>
      </c>
      <c r="Y68" s="324">
        <v>2000000</v>
      </c>
      <c r="Z68" s="275">
        <f t="shared" si="5"/>
        <v>0</v>
      </c>
      <c r="AA68" s="323"/>
      <c r="AB68" s="275">
        <v>2600000</v>
      </c>
      <c r="AC68" s="275">
        <f>'[1]POLY LIB. 2019'!I74</f>
        <v>2600000</v>
      </c>
      <c r="AD68" s="275">
        <f t="shared" si="6"/>
        <v>0</v>
      </c>
      <c r="AE68" s="205"/>
      <c r="AF68" s="275">
        <v>0</v>
      </c>
      <c r="AG68" s="275">
        <f>'[1]POLY LIB. 2019'!J74</f>
        <v>0</v>
      </c>
      <c r="AH68" s="275">
        <f t="shared" si="7"/>
        <v>0</v>
      </c>
      <c r="AI68" s="205"/>
      <c r="AJ68" s="275">
        <v>0</v>
      </c>
      <c r="AK68" s="275">
        <f>'[1]POLY LIB. 2019'!K74</f>
        <v>0</v>
      </c>
      <c r="AL68" s="275">
        <f t="shared" si="8"/>
        <v>0</v>
      </c>
      <c r="AM68" s="205"/>
      <c r="AN68" s="275">
        <v>0</v>
      </c>
      <c r="AO68" s="324">
        <f>'[1]POLY LIB. 2019'!L74</f>
        <v>0</v>
      </c>
      <c r="AP68" s="275">
        <f t="shared" si="9"/>
        <v>0</v>
      </c>
      <c r="AQ68" s="205"/>
      <c r="AR68" s="275">
        <v>0</v>
      </c>
      <c r="AS68" s="294">
        <f>'[1]POLY LIB. 2019'!M74</f>
        <v>0</v>
      </c>
      <c r="AT68" s="275">
        <f t="shared" si="10"/>
        <v>0</v>
      </c>
      <c r="AU68" s="205"/>
      <c r="AV68" s="275">
        <v>0</v>
      </c>
      <c r="AW68" s="275">
        <f>'[1]POLY LIB. 2019'!N74</f>
        <v>0</v>
      </c>
      <c r="AX68" s="275">
        <f t="shared" si="11"/>
        <v>0</v>
      </c>
      <c r="AY68" s="205"/>
      <c r="AZ68" s="275">
        <f>'[1]POLY commited funds to date'!P151</f>
        <v>0</v>
      </c>
      <c r="BA68" s="275">
        <f>'[1]POLY LIB. 2019'!O74</f>
        <v>0</v>
      </c>
      <c r="BB68" s="275">
        <f t="shared" si="12"/>
        <v>0</v>
      </c>
      <c r="BC68" s="205"/>
      <c r="BD68" s="275">
        <v>0</v>
      </c>
      <c r="BE68" s="275">
        <f>'[1]POLY LIB. 2019'!P74</f>
        <v>0</v>
      </c>
      <c r="BF68" s="275">
        <f t="shared" si="13"/>
        <v>0</v>
      </c>
      <c r="BG68" s="205"/>
      <c r="BH68" s="275">
        <v>0</v>
      </c>
      <c r="BI68" s="275">
        <f>'[1]POLY LIB. 2019'!Q74</f>
        <v>0</v>
      </c>
      <c r="BJ68" s="275">
        <f t="shared" si="14"/>
        <v>0</v>
      </c>
      <c r="BK68" s="205"/>
      <c r="BL68" s="275">
        <f>'[1]POLY commited funds to date'!S151</f>
        <v>0</v>
      </c>
      <c r="BM68" s="275">
        <f>'[1]POLY LIB. 2019'!R74</f>
        <v>0</v>
      </c>
      <c r="BN68" s="275">
        <f t="shared" si="15"/>
        <v>0</v>
      </c>
      <c r="BO68" s="205"/>
      <c r="BP68" s="275">
        <f>'[1]POLY commited funds to date'!T151</f>
        <v>0</v>
      </c>
      <c r="BQ68" s="275">
        <f>'[1]POLY LIB. 2019'!S74</f>
        <v>0</v>
      </c>
      <c r="BR68" s="275">
        <f t="shared" si="16"/>
        <v>0</v>
      </c>
      <c r="BT68" s="275">
        <f>'[1]POLY commited funds to date'!U151</f>
        <v>0</v>
      </c>
      <c r="BU68" s="275">
        <f>'[1]POLY LIB. 2019'!T74</f>
        <v>0</v>
      </c>
      <c r="BV68" s="275">
        <f t="shared" si="17"/>
        <v>0</v>
      </c>
      <c r="BX68" s="275">
        <f t="shared" si="18"/>
        <v>7100000</v>
      </c>
      <c r="BY68" s="275">
        <f t="shared" si="18"/>
        <v>7100000</v>
      </c>
      <c r="BZ68" s="275">
        <f t="shared" si="19"/>
        <v>0</v>
      </c>
      <c r="CA68" s="205"/>
      <c r="CC68" s="325"/>
      <c r="CV68" s="310"/>
    </row>
    <row r="69" spans="1:120" x14ac:dyDescent="0.25">
      <c r="A69" s="273">
        <v>64</v>
      </c>
      <c r="B69" s="273" t="s">
        <v>263</v>
      </c>
      <c r="C69" s="341"/>
      <c r="D69" s="326">
        <v>1500000</v>
      </c>
      <c r="E69" s="326">
        <f>'[1]POLY LIB. 2019'!C75</f>
        <v>1500000</v>
      </c>
      <c r="F69" s="326">
        <f>D69-E69</f>
        <v>0</v>
      </c>
      <c r="G69" s="326"/>
      <c r="H69" s="326">
        <v>1500000</v>
      </c>
      <c r="I69" s="326">
        <f>'[1]POLY LIB. 2019'!D75</f>
        <v>1500000</v>
      </c>
      <c r="J69" s="326">
        <f>H69-I69</f>
        <v>0</v>
      </c>
      <c r="K69" s="326"/>
      <c r="L69" s="326">
        <v>1500000</v>
      </c>
      <c r="M69" s="342">
        <f>'[1]POLY LIB. 2019'!E75</f>
        <v>1500000</v>
      </c>
      <c r="N69" s="326">
        <f>L69-M69</f>
        <v>0</v>
      </c>
      <c r="O69" s="342"/>
      <c r="P69" s="342">
        <v>1500000</v>
      </c>
      <c r="Q69" s="342">
        <f>'[1]POLY LIB. 2019'!F75</f>
        <v>1500000</v>
      </c>
      <c r="R69" s="326">
        <f>P69-Q69</f>
        <v>0</v>
      </c>
      <c r="S69" s="342"/>
      <c r="T69" s="342">
        <v>2500000</v>
      </c>
      <c r="U69" s="342">
        <f>'[1]POLY LIB. 2019'!G75</f>
        <v>2500000</v>
      </c>
      <c r="V69" s="326">
        <f>T69-U69</f>
        <v>0</v>
      </c>
      <c r="W69" s="342"/>
      <c r="X69" s="326">
        <v>2000000</v>
      </c>
      <c r="Y69" s="331">
        <v>2000000</v>
      </c>
      <c r="Z69" s="326">
        <f>X69-Y69</f>
        <v>0</v>
      </c>
      <c r="AA69" s="326"/>
      <c r="AB69" s="326">
        <v>2210000</v>
      </c>
      <c r="AC69" s="326">
        <f>'[1]POLY LIB. 2019'!I75</f>
        <v>2210000</v>
      </c>
      <c r="AD69" s="326">
        <f>AB69-AC69</f>
        <v>0</v>
      </c>
      <c r="AE69" s="326"/>
      <c r="AF69" s="326">
        <v>0</v>
      </c>
      <c r="AG69" s="326">
        <f>'[1]POLY LIB. 2019'!J75</f>
        <v>0</v>
      </c>
      <c r="AH69" s="326">
        <f>AF69-AG69</f>
        <v>0</v>
      </c>
      <c r="AI69" s="326"/>
      <c r="AJ69" s="326">
        <v>0</v>
      </c>
      <c r="AK69" s="326">
        <f>'[1]POLY LIB. 2019'!K75</f>
        <v>0</v>
      </c>
      <c r="AL69" s="326">
        <f>AJ69-AK69</f>
        <v>0</v>
      </c>
      <c r="AM69" s="326"/>
      <c r="AN69" s="326">
        <v>0</v>
      </c>
      <c r="AO69" s="331">
        <f>'[1]POLY LIB. 2019'!L75</f>
        <v>0</v>
      </c>
      <c r="AP69" s="326">
        <f>AN69-AO69</f>
        <v>0</v>
      </c>
      <c r="AQ69" s="205"/>
      <c r="AR69" s="326">
        <v>0</v>
      </c>
      <c r="AS69" s="332">
        <f>'[1]POLY LIB. 2019'!M75</f>
        <v>0</v>
      </c>
      <c r="AT69" s="326">
        <f>AR69-AS69</f>
        <v>0</v>
      </c>
      <c r="AU69" s="205"/>
      <c r="AV69" s="326">
        <v>0</v>
      </c>
      <c r="AW69" s="326">
        <f>'[1]POLY LIB. 2019'!N75</f>
        <v>0</v>
      </c>
      <c r="AX69" s="326">
        <f>AV69-AW69</f>
        <v>0</v>
      </c>
      <c r="AY69" s="205"/>
      <c r="AZ69" s="326">
        <f>'[1]POLY commited funds to date'!P152</f>
        <v>0</v>
      </c>
      <c r="BA69" s="326">
        <f>'[1]POLY LIB. 2019'!O75</f>
        <v>0</v>
      </c>
      <c r="BB69" s="326">
        <f>AZ69-BA69</f>
        <v>0</v>
      </c>
      <c r="BC69" s="205"/>
      <c r="BD69" s="326">
        <v>0</v>
      </c>
      <c r="BE69" s="326">
        <f>'[1]POLY LIB. 2019'!P75</f>
        <v>0</v>
      </c>
      <c r="BF69" s="326">
        <f t="shared" si="13"/>
        <v>0</v>
      </c>
      <c r="BG69" s="205"/>
      <c r="BH69" s="326">
        <v>0</v>
      </c>
      <c r="BI69" s="326">
        <f>'[1]POLY LIB. 2019'!Q75</f>
        <v>0</v>
      </c>
      <c r="BJ69" s="326">
        <f t="shared" si="14"/>
        <v>0</v>
      </c>
      <c r="BL69" s="275">
        <f>'[1]POLY commited funds to date'!S152</f>
        <v>0</v>
      </c>
      <c r="BM69" s="275">
        <f>'[1]POLY LIB. 2019'!R75</f>
        <v>0</v>
      </c>
      <c r="BN69" s="275">
        <f t="shared" si="15"/>
        <v>0</v>
      </c>
      <c r="BP69" s="275">
        <f>'[1]POLY commited funds to date'!T152</f>
        <v>0</v>
      </c>
      <c r="BQ69" s="275">
        <f>'[1]POLY LIB. 2019'!S75</f>
        <v>0</v>
      </c>
      <c r="BR69" s="275">
        <f t="shared" si="16"/>
        <v>0</v>
      </c>
      <c r="BT69" s="275">
        <f>'[1]POLY commited funds to date'!U152</f>
        <v>0</v>
      </c>
      <c r="BU69" s="275">
        <f>'[1]POLY LIB. 2019'!T75</f>
        <v>0</v>
      </c>
      <c r="BV69" s="275">
        <f t="shared" si="17"/>
        <v>0</v>
      </c>
      <c r="BX69" s="275">
        <f t="shared" si="18"/>
        <v>12710000</v>
      </c>
      <c r="BY69" s="275">
        <f t="shared" si="18"/>
        <v>12710000</v>
      </c>
      <c r="BZ69" s="275">
        <f t="shared" si="19"/>
        <v>0</v>
      </c>
      <c r="CB69" s="205"/>
      <c r="CC69" s="325"/>
      <c r="CD69" s="211"/>
      <c r="CE69" s="211"/>
      <c r="CF69" s="211"/>
      <c r="CG69" s="211"/>
      <c r="CH69" s="211"/>
      <c r="CI69" s="211"/>
      <c r="CJ69" s="211"/>
      <c r="CK69" s="211"/>
      <c r="CL69" s="211"/>
      <c r="CM69" s="211"/>
      <c r="CN69" s="211"/>
      <c r="CO69" s="211"/>
      <c r="CP69" s="211"/>
      <c r="CQ69" s="211"/>
      <c r="CR69" s="211"/>
      <c r="CS69" s="211"/>
      <c r="CT69" s="211"/>
      <c r="CU69" s="211"/>
      <c r="CV69" s="211"/>
      <c r="CW69" s="211"/>
      <c r="CX69" s="211"/>
      <c r="CY69" s="211"/>
      <c r="CZ69" s="211"/>
      <c r="DA69" s="211"/>
      <c r="DB69" s="211"/>
      <c r="DC69" s="211"/>
      <c r="DD69" s="211"/>
      <c r="DE69" s="211"/>
      <c r="DF69" s="211"/>
      <c r="DG69" s="211"/>
      <c r="DH69" s="211"/>
      <c r="DI69" s="211"/>
      <c r="DJ69" s="211"/>
      <c r="DK69" s="211"/>
      <c r="DL69" s="211"/>
      <c r="DM69" s="211"/>
      <c r="DN69" s="211"/>
      <c r="DO69" s="205"/>
      <c r="DP69" s="205"/>
    </row>
    <row r="70" spans="1:120" x14ac:dyDescent="0.25">
      <c r="A70" s="273">
        <v>65</v>
      </c>
      <c r="B70" s="284" t="s">
        <v>264</v>
      </c>
      <c r="C70" s="284"/>
      <c r="D70" s="275"/>
      <c r="E70" s="275"/>
      <c r="F70" s="275"/>
      <c r="G70" s="275"/>
      <c r="H70" s="275"/>
      <c r="I70" s="275"/>
      <c r="J70" s="275"/>
      <c r="K70" s="275"/>
      <c r="L70" s="275"/>
      <c r="M70" s="275"/>
      <c r="N70" s="275"/>
      <c r="O70" s="275"/>
      <c r="P70" s="275"/>
      <c r="Q70" s="275"/>
      <c r="R70" s="275"/>
      <c r="S70" s="275"/>
      <c r="T70" s="289"/>
      <c r="U70" s="289"/>
      <c r="V70" s="289"/>
      <c r="W70" s="289"/>
      <c r="X70" s="289"/>
      <c r="Y70" s="289"/>
      <c r="Z70" s="289"/>
      <c r="AA70" s="289"/>
      <c r="AB70" s="289"/>
      <c r="AC70" s="289"/>
      <c r="AD70" s="289"/>
      <c r="AE70" s="289"/>
      <c r="AF70" s="289"/>
      <c r="AG70" s="289"/>
      <c r="AH70" s="289"/>
      <c r="AI70" s="289"/>
      <c r="AJ70" s="289"/>
      <c r="AK70" s="289"/>
      <c r="AL70" s="289"/>
      <c r="AM70" s="289"/>
      <c r="AN70" s="289"/>
      <c r="AO70" s="289"/>
      <c r="AP70" s="289"/>
      <c r="AQ70" s="289"/>
      <c r="AR70" s="289"/>
      <c r="AS70" s="289"/>
      <c r="AT70" s="289"/>
      <c r="AU70" s="289"/>
      <c r="AV70" s="289"/>
      <c r="AW70" s="289"/>
      <c r="AX70" s="289"/>
      <c r="AY70" s="289"/>
      <c r="AZ70" s="289"/>
      <c r="BA70" s="289"/>
      <c r="BB70" s="289"/>
      <c r="BC70" s="289"/>
      <c r="BD70" s="289"/>
      <c r="BE70" s="289"/>
      <c r="BF70" s="289"/>
      <c r="BG70" s="289"/>
      <c r="BH70" s="289"/>
      <c r="BI70" s="279">
        <f>'[1]POLY LIB. 2019'!Q76</f>
        <v>0</v>
      </c>
      <c r="BJ70" s="289"/>
      <c r="BK70" s="343"/>
      <c r="BL70" s="279">
        <f>'[1]POLY commited funds to date'!S153</f>
        <v>0</v>
      </c>
      <c r="BM70" s="279">
        <f>'[1]POLY LIB. 2019'!R76</f>
        <v>0</v>
      </c>
      <c r="BN70" s="275">
        <f t="shared" si="15"/>
        <v>0</v>
      </c>
      <c r="BO70" s="344"/>
      <c r="BP70" s="275">
        <f>'[1]POLY commited funds to date'!T153</f>
        <v>0</v>
      </c>
      <c r="BQ70" s="275">
        <f>'[1]POLY LIB. 2019'!S76</f>
        <v>0</v>
      </c>
      <c r="BR70" s="275">
        <f t="shared" si="16"/>
        <v>0</v>
      </c>
      <c r="BT70" s="275">
        <f>'[1]POLY commited funds to date'!U153</f>
        <v>0</v>
      </c>
      <c r="BU70" s="275">
        <f>'[1]POLY LIB. 2019'!T76</f>
        <v>0</v>
      </c>
      <c r="BV70" s="275">
        <f t="shared" si="17"/>
        <v>0</v>
      </c>
      <c r="BX70" s="275">
        <f t="shared" si="18"/>
        <v>0</v>
      </c>
      <c r="BY70" s="275">
        <f t="shared" si="18"/>
        <v>0</v>
      </c>
      <c r="BZ70" s="275">
        <f t="shared" si="19"/>
        <v>0</v>
      </c>
      <c r="CA70" s="206"/>
      <c r="CB70" s="206"/>
      <c r="CC70" s="206"/>
      <c r="CD70" s="206"/>
      <c r="CE70" s="206"/>
      <c r="CF70" s="206"/>
      <c r="CG70" s="206"/>
      <c r="CH70" s="206"/>
      <c r="CI70" s="206"/>
      <c r="CJ70" s="206"/>
      <c r="CK70" s="206"/>
      <c r="CL70" s="206"/>
      <c r="CM70" s="206"/>
      <c r="CN70" s="206"/>
      <c r="CO70" s="206"/>
      <c r="CP70" s="206"/>
      <c r="CQ70" s="206"/>
      <c r="CR70" s="206"/>
      <c r="CS70" s="206"/>
      <c r="CT70" s="206"/>
      <c r="CU70" s="206"/>
      <c r="CV70" s="206"/>
      <c r="CW70" s="206"/>
      <c r="CX70" s="206"/>
      <c r="CY70" s="206"/>
      <c r="CZ70" s="206"/>
      <c r="DA70" s="206"/>
      <c r="DB70" s="206"/>
      <c r="DC70" s="206"/>
      <c r="DD70" s="206"/>
    </row>
    <row r="71" spans="1:120" x14ac:dyDescent="0.25">
      <c r="A71" s="273">
        <v>66</v>
      </c>
      <c r="B71" s="273" t="s">
        <v>265</v>
      </c>
      <c r="C71" s="273"/>
      <c r="D71" s="275"/>
      <c r="E71" s="275"/>
      <c r="F71" s="275"/>
      <c r="G71" s="275"/>
      <c r="H71" s="275"/>
      <c r="I71" s="275"/>
      <c r="J71" s="275"/>
      <c r="K71" s="275"/>
      <c r="L71" s="275"/>
      <c r="M71" s="275"/>
      <c r="N71" s="275"/>
      <c r="O71" s="275"/>
      <c r="P71" s="275"/>
      <c r="Q71" s="275"/>
      <c r="R71" s="275"/>
      <c r="S71" s="275"/>
      <c r="T71" s="289"/>
      <c r="U71" s="289"/>
      <c r="V71" s="289"/>
      <c r="W71" s="289"/>
      <c r="X71" s="289"/>
      <c r="Y71" s="289"/>
      <c r="Z71" s="289"/>
      <c r="AA71" s="289"/>
      <c r="AB71" s="289"/>
      <c r="AC71" s="289"/>
      <c r="AD71" s="289"/>
      <c r="AE71" s="289"/>
      <c r="AF71" s="289"/>
      <c r="AG71" s="289"/>
      <c r="AH71" s="289"/>
      <c r="AI71" s="289"/>
      <c r="AJ71" s="289"/>
      <c r="AK71" s="289"/>
      <c r="AL71" s="289"/>
      <c r="AM71" s="289"/>
      <c r="AN71" s="289"/>
      <c r="AO71" s="289"/>
      <c r="AP71" s="289"/>
      <c r="AQ71" s="289"/>
      <c r="AR71" s="289"/>
      <c r="AS71" s="289"/>
      <c r="AT71" s="289"/>
      <c r="AU71" s="289"/>
      <c r="AV71" s="289"/>
      <c r="AW71" s="289"/>
      <c r="AX71" s="289"/>
      <c r="AY71" s="289"/>
      <c r="AZ71" s="289"/>
      <c r="BA71" s="289"/>
      <c r="BB71" s="289"/>
      <c r="BC71" s="289"/>
      <c r="BD71" s="289"/>
      <c r="BE71" s="289"/>
      <c r="BF71" s="289"/>
      <c r="BG71" s="289"/>
      <c r="BH71" s="289"/>
      <c r="BI71" s="279">
        <f>'[1]POLY LIB. 2019'!Q77</f>
        <v>0</v>
      </c>
      <c r="BJ71" s="289"/>
      <c r="BK71" s="343"/>
      <c r="BL71" s="279">
        <f>'[1]POLY commited funds to date'!S154</f>
        <v>0</v>
      </c>
      <c r="BM71" s="279">
        <f>'[1]POLY LIB. 2019'!R77</f>
        <v>0</v>
      </c>
      <c r="BN71" s="275">
        <f t="shared" si="15"/>
        <v>0</v>
      </c>
      <c r="BO71" s="344"/>
      <c r="BP71" s="275">
        <f>'[1]POLY commited funds to date'!T154</f>
        <v>0</v>
      </c>
      <c r="BQ71" s="275">
        <f>'[1]POLY LIB. 2019'!S77</f>
        <v>0</v>
      </c>
      <c r="BR71" s="275">
        <f t="shared" si="16"/>
        <v>0</v>
      </c>
      <c r="BT71" s="275">
        <f>'[1]POLY commited funds to date'!U154</f>
        <v>0</v>
      </c>
      <c r="BU71" s="275">
        <f>'[1]POLY LIB. 2019'!T77</f>
        <v>0</v>
      </c>
      <c r="BV71" s="275">
        <f t="shared" si="17"/>
        <v>0</v>
      </c>
      <c r="BX71" s="275">
        <f t="shared" si="18"/>
        <v>0</v>
      </c>
      <c r="BY71" s="275">
        <f t="shared" si="18"/>
        <v>0</v>
      </c>
      <c r="BZ71" s="275">
        <f t="shared" si="19"/>
        <v>0</v>
      </c>
      <c r="CA71" s="206"/>
      <c r="CB71" s="206"/>
      <c r="CC71" s="206"/>
      <c r="CD71" s="206"/>
      <c r="CE71" s="206"/>
      <c r="CF71" s="206"/>
      <c r="CG71" s="206"/>
      <c r="CH71" s="206"/>
      <c r="CI71" s="206"/>
      <c r="CJ71" s="206"/>
      <c r="CK71" s="206"/>
      <c r="CL71" s="206"/>
      <c r="CM71" s="206"/>
      <c r="CN71" s="206"/>
      <c r="CO71" s="206"/>
      <c r="CP71" s="206"/>
      <c r="CQ71" s="206"/>
      <c r="CR71" s="206"/>
      <c r="CS71" s="206"/>
      <c r="CT71" s="206"/>
      <c r="CU71" s="206"/>
      <c r="CV71" s="206"/>
      <c r="CW71" s="206"/>
      <c r="CX71" s="206"/>
      <c r="CY71" s="206"/>
      <c r="CZ71" s="206"/>
      <c r="DA71" s="206"/>
      <c r="DB71" s="206"/>
      <c r="DC71" s="206"/>
      <c r="DD71" s="206"/>
    </row>
    <row r="72" spans="1:120" x14ac:dyDescent="0.25">
      <c r="A72" s="273"/>
      <c r="B72" s="273"/>
      <c r="C72" s="273"/>
      <c r="D72" s="275">
        <f t="shared" ref="D72:AI72" si="20">SUM(D6:D71)</f>
        <v>67500000</v>
      </c>
      <c r="E72" s="275">
        <f t="shared" si="20"/>
        <v>67500000</v>
      </c>
      <c r="F72" s="275">
        <f t="shared" si="20"/>
        <v>0</v>
      </c>
      <c r="G72" s="275">
        <f t="shared" si="20"/>
        <v>0</v>
      </c>
      <c r="H72" s="275">
        <f t="shared" si="20"/>
        <v>66375000</v>
      </c>
      <c r="I72" s="275">
        <f t="shared" si="20"/>
        <v>66375000</v>
      </c>
      <c r="J72" s="275">
        <f t="shared" si="20"/>
        <v>0</v>
      </c>
      <c r="K72" s="275">
        <f t="shared" si="20"/>
        <v>0</v>
      </c>
      <c r="L72" s="275">
        <f t="shared" si="20"/>
        <v>68100000</v>
      </c>
      <c r="M72" s="275">
        <f t="shared" si="20"/>
        <v>68100000</v>
      </c>
      <c r="N72" s="275">
        <f t="shared" si="20"/>
        <v>0</v>
      </c>
      <c r="O72" s="275">
        <f t="shared" si="20"/>
        <v>0</v>
      </c>
      <c r="P72" s="275">
        <f t="shared" si="20"/>
        <v>71325000</v>
      </c>
      <c r="Q72" s="275">
        <f t="shared" si="20"/>
        <v>71325000</v>
      </c>
      <c r="R72" s="275">
        <f t="shared" si="20"/>
        <v>0</v>
      </c>
      <c r="S72" s="275">
        <f t="shared" si="20"/>
        <v>0</v>
      </c>
      <c r="T72" s="275">
        <f t="shared" si="20"/>
        <v>123375000</v>
      </c>
      <c r="U72" s="275">
        <f t="shared" si="20"/>
        <v>123375000</v>
      </c>
      <c r="V72" s="275">
        <f t="shared" si="20"/>
        <v>0</v>
      </c>
      <c r="W72" s="275">
        <f t="shared" si="20"/>
        <v>0</v>
      </c>
      <c r="X72" s="275">
        <f t="shared" si="20"/>
        <v>95400000</v>
      </c>
      <c r="Y72" s="275">
        <f t="shared" si="20"/>
        <v>95400000</v>
      </c>
      <c r="Z72" s="275">
        <f t="shared" si="20"/>
        <v>0</v>
      </c>
      <c r="AA72" s="275">
        <f t="shared" si="20"/>
        <v>0</v>
      </c>
      <c r="AB72" s="275">
        <f t="shared" si="20"/>
        <v>126780000</v>
      </c>
      <c r="AC72" s="275">
        <f t="shared" si="20"/>
        <v>126780000</v>
      </c>
      <c r="AD72" s="275">
        <f t="shared" si="20"/>
        <v>0</v>
      </c>
      <c r="AE72" s="275">
        <f t="shared" si="20"/>
        <v>0</v>
      </c>
      <c r="AF72" s="275">
        <f t="shared" si="20"/>
        <v>236000000</v>
      </c>
      <c r="AG72" s="275">
        <f t="shared" si="20"/>
        <v>236000000</v>
      </c>
      <c r="AH72" s="275">
        <f t="shared" si="20"/>
        <v>0</v>
      </c>
      <c r="AI72" s="275">
        <f t="shared" si="20"/>
        <v>0</v>
      </c>
      <c r="AJ72" s="275">
        <f t="shared" ref="AJ72:BJ72" si="21">SUM(AJ6:AJ71)</f>
        <v>231000000</v>
      </c>
      <c r="AK72" s="275">
        <f t="shared" si="21"/>
        <v>232700000</v>
      </c>
      <c r="AL72" s="275">
        <f t="shared" si="21"/>
        <v>-1700000</v>
      </c>
      <c r="AM72" s="275">
        <f t="shared" si="21"/>
        <v>0</v>
      </c>
      <c r="AN72" s="275">
        <f t="shared" si="21"/>
        <v>438000000</v>
      </c>
      <c r="AO72" s="275">
        <f t="shared" si="21"/>
        <v>438000000</v>
      </c>
      <c r="AP72" s="275">
        <f t="shared" si="21"/>
        <v>0</v>
      </c>
      <c r="AQ72" s="275">
        <f t="shared" si="21"/>
        <v>0</v>
      </c>
      <c r="AR72" s="275">
        <f t="shared" si="21"/>
        <v>500000000</v>
      </c>
      <c r="AS72" s="275">
        <f t="shared" si="21"/>
        <v>497000000</v>
      </c>
      <c r="AT72" s="275">
        <f t="shared" si="21"/>
        <v>3000000</v>
      </c>
      <c r="AU72" s="275">
        <f t="shared" si="21"/>
        <v>0</v>
      </c>
      <c r="AV72" s="275">
        <f t="shared" si="21"/>
        <v>1500000000</v>
      </c>
      <c r="AW72" s="275">
        <f t="shared" si="21"/>
        <v>1477500000</v>
      </c>
      <c r="AX72" s="275">
        <f t="shared" si="21"/>
        <v>22500000</v>
      </c>
      <c r="AY72" s="275">
        <f t="shared" si="21"/>
        <v>0</v>
      </c>
      <c r="AZ72" s="275">
        <f t="shared" si="21"/>
        <v>2500000000</v>
      </c>
      <c r="BA72" s="275">
        <f t="shared" si="21"/>
        <v>2374000000</v>
      </c>
      <c r="BB72" s="275">
        <f t="shared" si="21"/>
        <v>126000000</v>
      </c>
      <c r="BC72" s="275">
        <f t="shared" si="21"/>
        <v>0</v>
      </c>
      <c r="BD72" s="275">
        <f t="shared" si="21"/>
        <v>3500000000</v>
      </c>
      <c r="BE72" s="275">
        <f t="shared" si="21"/>
        <v>3013500000</v>
      </c>
      <c r="BF72" s="275">
        <f t="shared" si="21"/>
        <v>486500000</v>
      </c>
      <c r="BG72" s="275">
        <f t="shared" si="21"/>
        <v>0</v>
      </c>
      <c r="BH72" s="275">
        <f t="shared" si="21"/>
        <v>2000000000</v>
      </c>
      <c r="BI72" s="275">
        <f t="shared" si="21"/>
        <v>1344000000</v>
      </c>
      <c r="BJ72" s="275">
        <f t="shared" si="21"/>
        <v>656000000</v>
      </c>
      <c r="BK72" s="275"/>
      <c r="BL72" s="275">
        <f>SUM(BL6:BL71)</f>
        <v>1620000000</v>
      </c>
      <c r="BM72" s="275">
        <f>SUM(BM6:BM71)</f>
        <v>673500000</v>
      </c>
      <c r="BN72" s="275">
        <f>SUM(BN6:BN71)</f>
        <v>946500000</v>
      </c>
      <c r="BO72" s="293"/>
      <c r="BP72" s="275">
        <f>SUM(BP6:BP71)</f>
        <v>1325000000</v>
      </c>
      <c r="BQ72" s="275">
        <f>SUM(BQ6:BQ71)</f>
        <v>21250000</v>
      </c>
      <c r="BR72" s="275">
        <f>SUM(BR6:BR71)</f>
        <v>1303750000</v>
      </c>
      <c r="BT72" s="275">
        <f>SUM(BT6:BT71)</f>
        <v>810000000</v>
      </c>
      <c r="BU72" s="275">
        <f>SUM(BU6:BU71)</f>
        <v>0</v>
      </c>
      <c r="BV72" s="275">
        <f t="shared" ref="BV72" si="22">BT72-BU72</f>
        <v>810000000</v>
      </c>
      <c r="BX72" s="275">
        <f>SUM(BX6:BX71)</f>
        <v>15278855000</v>
      </c>
      <c r="BY72" s="275">
        <f>SUM(BY6:BY71)</f>
        <v>10926305000</v>
      </c>
      <c r="BZ72" s="275">
        <f>BX72-BY72</f>
        <v>4352550000</v>
      </c>
      <c r="CA72" s="205"/>
      <c r="CC72" s="325"/>
      <c r="CD72" s="310"/>
      <c r="CE72" s="310"/>
      <c r="CF72" s="310"/>
      <c r="CG72" s="310"/>
      <c r="CH72" s="310"/>
      <c r="CI72" s="310"/>
      <c r="CJ72" s="310"/>
      <c r="CK72" s="310"/>
      <c r="CL72" s="310"/>
      <c r="CM72" s="310"/>
      <c r="CN72" s="310"/>
      <c r="CO72" s="310"/>
      <c r="CP72" s="310"/>
      <c r="CQ72" s="310"/>
      <c r="CR72" s="310"/>
      <c r="CS72" s="310"/>
      <c r="CT72" s="310"/>
      <c r="CU72" s="310"/>
      <c r="CV72" s="310"/>
      <c r="CW72" s="310"/>
      <c r="CX72" s="310"/>
      <c r="CY72" s="310"/>
      <c r="CZ72" s="310"/>
      <c r="DA72" s="310"/>
      <c r="DB72" s="310"/>
      <c r="DC72" s="310"/>
      <c r="DD72" s="310"/>
      <c r="DE72" s="310"/>
      <c r="DF72" s="310"/>
      <c r="DG72" s="310"/>
      <c r="DH72" s="310"/>
      <c r="DI72" s="310"/>
      <c r="DJ72" s="310"/>
      <c r="DK72" s="310"/>
      <c r="DL72" s="310"/>
      <c r="DM72" s="310"/>
      <c r="DN72" s="310"/>
    </row>
    <row r="73" spans="1:120" x14ac:dyDescent="0.25">
      <c r="A73" s="207"/>
      <c r="B73" s="303"/>
      <c r="C73" s="303"/>
      <c r="D73" s="205"/>
      <c r="E73" s="205">
        <v>67500000</v>
      </c>
      <c r="I73" s="205">
        <v>66375000</v>
      </c>
      <c r="Y73" s="205"/>
      <c r="Z73" s="205"/>
      <c r="AA73" s="205"/>
      <c r="AB73" s="205"/>
      <c r="AC73" s="205"/>
      <c r="AD73" s="205"/>
      <c r="AE73" s="205"/>
      <c r="AF73" s="205"/>
      <c r="AG73" s="205"/>
      <c r="AH73" s="205"/>
      <c r="AI73" s="205"/>
      <c r="AJ73" s="205"/>
      <c r="AK73" s="205"/>
      <c r="AL73" s="205"/>
      <c r="AM73" s="205"/>
      <c r="AN73" s="205"/>
      <c r="AO73" s="205"/>
      <c r="AP73" s="205"/>
      <c r="AQ73" s="205"/>
      <c r="AR73" s="205"/>
      <c r="AS73" s="205"/>
      <c r="AT73" s="205"/>
      <c r="AU73" s="205"/>
      <c r="AV73" s="205"/>
      <c r="AW73" s="205"/>
      <c r="AX73" s="205"/>
      <c r="AY73" s="205"/>
      <c r="AZ73" s="205"/>
      <c r="BA73" s="205"/>
      <c r="BB73" s="205"/>
      <c r="BC73" s="205"/>
      <c r="BD73" s="205"/>
      <c r="BE73" s="205"/>
      <c r="BF73" s="205"/>
      <c r="BG73" s="205"/>
      <c r="BH73" s="205"/>
      <c r="BI73" s="205"/>
      <c r="BJ73" s="205"/>
      <c r="BK73" s="205"/>
      <c r="BL73" s="310"/>
      <c r="BM73" s="310"/>
      <c r="BN73" s="310"/>
      <c r="BO73" s="310"/>
      <c r="BQ73" s="310"/>
      <c r="BR73" s="211"/>
      <c r="BS73" s="211"/>
      <c r="BT73" s="211"/>
      <c r="BU73" s="310"/>
      <c r="BV73" s="310"/>
      <c r="BW73" s="310"/>
      <c r="BX73" s="310"/>
      <c r="BY73" s="310"/>
      <c r="BZ73" s="310"/>
      <c r="CA73" s="310"/>
      <c r="CB73" s="310"/>
      <c r="CC73" s="310"/>
      <c r="CD73" s="310"/>
      <c r="CE73" s="310"/>
      <c r="CF73" s="310"/>
      <c r="CG73" s="310"/>
      <c r="CH73" s="310"/>
      <c r="CI73" s="310"/>
      <c r="CJ73" s="310"/>
      <c r="CK73" s="310"/>
      <c r="CL73" s="310"/>
      <c r="CM73" s="310"/>
      <c r="CN73" s="310"/>
      <c r="CO73" s="310"/>
      <c r="CP73" s="310"/>
      <c r="CQ73" s="310"/>
      <c r="CR73" s="310"/>
      <c r="CS73" s="310"/>
      <c r="CT73" s="310"/>
      <c r="CU73" s="310"/>
      <c r="CV73" s="310"/>
      <c r="CW73" s="310"/>
      <c r="CX73" s="310"/>
      <c r="CY73" s="310"/>
      <c r="CZ73" s="310"/>
      <c r="DA73" s="310"/>
      <c r="DB73" s="310"/>
      <c r="DC73" s="206"/>
      <c r="DD73" s="206"/>
    </row>
    <row r="74" spans="1:120" x14ac:dyDescent="0.25">
      <c r="A74" s="207"/>
      <c r="B74" s="345" t="s">
        <v>298</v>
      </c>
      <c r="C74" s="345"/>
      <c r="D74" s="205"/>
      <c r="E74" s="205"/>
      <c r="F74" s="205"/>
      <c r="G74" s="205"/>
      <c r="H74" s="205"/>
      <c r="I74" s="205"/>
      <c r="J74" s="205"/>
      <c r="K74" s="205"/>
      <c r="L74" s="205"/>
      <c r="M74" s="346">
        <v>68100000</v>
      </c>
      <c r="N74" s="205"/>
      <c r="O74" s="205"/>
      <c r="Q74" s="346">
        <v>71325000</v>
      </c>
      <c r="R74" s="205"/>
      <c r="S74" s="205"/>
      <c r="T74" s="205"/>
      <c r="U74" s="346">
        <v>123375000</v>
      </c>
      <c r="V74" s="205"/>
      <c r="W74" s="205"/>
      <c r="X74" s="205"/>
      <c r="Y74" s="346">
        <v>95400000</v>
      </c>
      <c r="Z74" s="205"/>
      <c r="AA74" s="205"/>
      <c r="AB74" s="205"/>
      <c r="AC74" s="346">
        <v>126780000</v>
      </c>
      <c r="AD74" s="205"/>
      <c r="AE74" s="205"/>
      <c r="AF74" s="205"/>
      <c r="AG74" s="346">
        <v>236000000</v>
      </c>
      <c r="AH74" s="205"/>
      <c r="AI74" s="205"/>
      <c r="AJ74" s="205"/>
      <c r="AK74" s="346">
        <v>232700000</v>
      </c>
      <c r="AL74" s="205"/>
      <c r="AM74" s="205"/>
      <c r="AN74" s="205"/>
      <c r="AO74" s="346">
        <v>438000000</v>
      </c>
      <c r="AP74" s="205"/>
      <c r="AQ74" s="205"/>
      <c r="AR74" s="205"/>
      <c r="AS74" s="346">
        <v>497000000</v>
      </c>
      <c r="AT74" s="205"/>
      <c r="AU74" s="205"/>
      <c r="AV74" s="205"/>
      <c r="AW74" s="346">
        <v>1473000000</v>
      </c>
      <c r="AX74" s="205"/>
      <c r="AY74" s="205"/>
      <c r="AZ74" s="205"/>
      <c r="BA74" s="346">
        <v>2351500000</v>
      </c>
      <c r="BB74" s="205"/>
      <c r="BC74" s="205"/>
      <c r="BD74" s="205"/>
      <c r="BE74" s="346">
        <v>2982000000</v>
      </c>
      <c r="BF74" s="205"/>
      <c r="BG74" s="205"/>
      <c r="BH74" s="205"/>
      <c r="BI74" s="346">
        <v>1308000000</v>
      </c>
      <c r="BJ74" s="205"/>
      <c r="BK74" s="205"/>
      <c r="BL74" s="310"/>
      <c r="BM74" s="346">
        <v>625500000</v>
      </c>
      <c r="BN74" s="310"/>
      <c r="BO74" s="310"/>
      <c r="BP74" s="206"/>
      <c r="BQ74" s="346">
        <v>21250000</v>
      </c>
      <c r="BS74" s="310"/>
      <c r="BT74" s="310"/>
      <c r="BU74" s="310"/>
      <c r="BV74" s="310"/>
      <c r="BW74" s="310"/>
      <c r="BX74" s="310"/>
      <c r="BY74" s="310"/>
      <c r="BZ74" s="310"/>
      <c r="CA74" s="310"/>
      <c r="CB74" s="310"/>
      <c r="CC74" s="310"/>
      <c r="CD74" s="310"/>
      <c r="CE74" s="310"/>
      <c r="CF74" s="310"/>
      <c r="CG74" s="310"/>
      <c r="CH74" s="310"/>
      <c r="CI74" s="310"/>
      <c r="CK74" s="310"/>
      <c r="CL74" s="310"/>
      <c r="CM74" s="310"/>
      <c r="CN74" s="310"/>
      <c r="CO74" s="310"/>
      <c r="CP74" s="310"/>
      <c r="CQ74" s="310"/>
      <c r="CR74" s="310"/>
      <c r="CS74" s="310"/>
      <c r="CT74" s="310"/>
      <c r="CU74" s="310"/>
      <c r="CV74" s="310"/>
      <c r="CW74" s="310"/>
      <c r="CX74" s="310"/>
      <c r="CY74" s="310"/>
      <c r="CZ74" s="310"/>
      <c r="DA74" s="310"/>
      <c r="DB74" s="310"/>
      <c r="DC74" s="206"/>
      <c r="DD74" s="206"/>
    </row>
    <row r="75" spans="1:120" x14ac:dyDescent="0.25">
      <c r="L75" s="346"/>
      <c r="M75" s="346"/>
      <c r="AC75" s="346">
        <v>0</v>
      </c>
      <c r="BI75" s="204">
        <f>BI74-BI72</f>
        <v>-36000000</v>
      </c>
    </row>
    <row r="76" spans="1:120" x14ac:dyDescent="0.25">
      <c r="AK76" s="206"/>
      <c r="AL76" s="206"/>
      <c r="AM76" s="206"/>
      <c r="AN76" s="206"/>
      <c r="AO76" s="206"/>
      <c r="AP76" s="206"/>
      <c r="AQ76" s="206"/>
      <c r="AR76" s="206"/>
      <c r="AS76" s="206"/>
      <c r="AT76" s="206"/>
      <c r="AU76" s="206"/>
    </row>
    <row r="77" spans="1:120" x14ac:dyDescent="0.25">
      <c r="A77" s="303"/>
      <c r="B77" s="303"/>
      <c r="C77" s="303"/>
      <c r="T77" s="206"/>
      <c r="U77" s="206"/>
      <c r="V77" s="206"/>
      <c r="W77" s="206"/>
      <c r="X77" s="206"/>
      <c r="Y77" s="206"/>
      <c r="Z77" s="206"/>
      <c r="AA77" s="206"/>
      <c r="AB77" s="206"/>
      <c r="AC77" s="206"/>
      <c r="AD77" s="206"/>
      <c r="AE77" s="206"/>
      <c r="AF77" s="206"/>
      <c r="AG77" s="206"/>
      <c r="AH77" s="206"/>
      <c r="AI77" s="206"/>
      <c r="AJ77" s="206"/>
      <c r="AK77" s="206"/>
      <c r="AL77" s="206"/>
      <c r="AM77" s="206"/>
      <c r="AN77" s="206"/>
      <c r="AO77" s="206"/>
      <c r="AP77" s="206"/>
      <c r="AQ77" s="206"/>
      <c r="AR77" s="206"/>
      <c r="AS77" s="206"/>
      <c r="AT77" s="206"/>
      <c r="AU77" s="206"/>
      <c r="AV77" s="206"/>
      <c r="AW77" s="206"/>
      <c r="AX77" s="206"/>
      <c r="AY77" s="206"/>
      <c r="AZ77" s="206"/>
      <c r="BA77" s="206"/>
      <c r="BB77" s="206"/>
      <c r="BC77" s="206"/>
      <c r="BD77" s="206"/>
      <c r="BG77" s="206"/>
      <c r="BH77" s="206"/>
      <c r="BI77" s="206"/>
      <c r="BJ77" s="206"/>
      <c r="BK77" s="206"/>
      <c r="BL77" s="206"/>
      <c r="BM77" s="206"/>
      <c r="BN77" s="206"/>
      <c r="BO77" s="206"/>
      <c r="BP77" s="206"/>
      <c r="BQ77" s="206"/>
      <c r="BR77" s="206"/>
      <c r="BS77" s="206"/>
      <c r="BT77" s="206"/>
      <c r="BU77" s="206"/>
      <c r="BV77" s="206"/>
      <c r="BW77" s="206"/>
      <c r="BX77" s="206"/>
      <c r="BY77" s="206"/>
      <c r="BZ77" s="206"/>
      <c r="CA77" s="206"/>
      <c r="CB77" s="206"/>
      <c r="CC77" s="206"/>
      <c r="CD77" s="206"/>
      <c r="CE77" s="206"/>
      <c r="CF77" s="206"/>
      <c r="CG77" s="206"/>
      <c r="CH77" s="206"/>
      <c r="CI77" s="206"/>
      <c r="CJ77" s="206"/>
      <c r="CK77" s="206"/>
      <c r="CL77" s="206"/>
      <c r="CM77" s="206"/>
      <c r="CN77" s="206"/>
      <c r="CO77" s="206"/>
      <c r="CP77" s="206"/>
      <c r="CQ77" s="206"/>
      <c r="CR77" s="206"/>
      <c r="CS77" s="206"/>
      <c r="CT77" s="206"/>
      <c r="CU77" s="206"/>
      <c r="CV77" s="206"/>
      <c r="CW77" s="206"/>
      <c r="CX77" s="206"/>
      <c r="CY77" s="206"/>
      <c r="CZ77" s="206"/>
      <c r="DA77" s="206"/>
      <c r="DB77" s="206"/>
      <c r="DC77" s="206"/>
      <c r="DD77" s="206"/>
    </row>
    <row r="78" spans="1:120" x14ac:dyDescent="0.25">
      <c r="A78" s="303"/>
      <c r="B78" s="303"/>
      <c r="C78" s="303"/>
      <c r="T78" s="206"/>
      <c r="U78" s="206"/>
      <c r="V78" s="206"/>
      <c r="W78" s="206"/>
      <c r="X78" s="206"/>
      <c r="Y78" s="206"/>
      <c r="Z78" s="206"/>
      <c r="AA78" s="206"/>
      <c r="AB78" s="206"/>
      <c r="AC78" s="206"/>
      <c r="AD78" s="206"/>
      <c r="AE78" s="206"/>
      <c r="AF78" s="206"/>
      <c r="AG78" s="206"/>
      <c r="AH78" s="206"/>
      <c r="AI78" s="206"/>
      <c r="AJ78" s="206"/>
      <c r="AK78" s="206"/>
      <c r="AL78" s="206"/>
      <c r="AM78" s="206"/>
      <c r="AN78" s="206"/>
      <c r="AO78" s="206"/>
      <c r="AP78" s="206"/>
      <c r="AQ78" s="206"/>
      <c r="AR78" s="206"/>
      <c r="AS78" s="206"/>
      <c r="AT78" s="206"/>
      <c r="AU78" s="206"/>
      <c r="AV78" s="206"/>
      <c r="AW78" s="206"/>
      <c r="AX78" s="206"/>
      <c r="AY78" s="206"/>
      <c r="AZ78" s="206"/>
      <c r="BA78" s="206"/>
      <c r="BB78" s="206"/>
      <c r="BC78" s="206"/>
      <c r="BD78" s="206"/>
      <c r="BE78" s="206"/>
      <c r="BF78" s="206"/>
      <c r="BG78" s="206"/>
      <c r="BH78" s="206"/>
      <c r="BI78" s="206"/>
      <c r="BJ78" s="206"/>
      <c r="BK78" s="206"/>
      <c r="BL78" s="206"/>
      <c r="BM78" s="206"/>
      <c r="BN78" s="206"/>
      <c r="BO78" s="206"/>
      <c r="BP78" s="206"/>
      <c r="BQ78" s="206"/>
      <c r="BR78" s="206"/>
      <c r="BS78" s="206"/>
      <c r="BT78" s="206"/>
      <c r="BU78" s="206"/>
      <c r="BV78" s="206"/>
      <c r="BW78" s="206"/>
      <c r="BX78" s="206"/>
      <c r="BY78" s="206"/>
      <c r="BZ78" s="206"/>
      <c r="CA78" s="206"/>
      <c r="CB78" s="206"/>
      <c r="CC78" s="206"/>
      <c r="CD78" s="206"/>
      <c r="CE78" s="206"/>
      <c r="CF78" s="206"/>
      <c r="CG78" s="206"/>
      <c r="CH78" s="206"/>
      <c r="CI78" s="206"/>
      <c r="CJ78" s="206"/>
      <c r="CK78" s="206"/>
      <c r="CL78" s="206"/>
      <c r="CM78" s="206"/>
      <c r="CN78" s="206"/>
      <c r="CO78" s="206"/>
      <c r="CP78" s="206"/>
      <c r="CQ78" s="206"/>
      <c r="CR78" s="206"/>
      <c r="CS78" s="206"/>
      <c r="CT78" s="206"/>
      <c r="CU78" s="206"/>
      <c r="CV78" s="206"/>
      <c r="CW78" s="206"/>
      <c r="CX78" s="206"/>
      <c r="CY78" s="206"/>
      <c r="CZ78" s="206"/>
      <c r="DA78" s="206"/>
      <c r="DB78" s="206"/>
      <c r="DC78" s="206"/>
      <c r="DD78" s="206"/>
    </row>
    <row r="79" spans="1:120" x14ac:dyDescent="0.25">
      <c r="A79" s="303"/>
      <c r="B79" s="303"/>
      <c r="C79" s="303"/>
      <c r="Q79" s="205">
        <v>236000000</v>
      </c>
      <c r="R79" s="205">
        <v>232700000</v>
      </c>
      <c r="S79" s="205">
        <v>438000000</v>
      </c>
      <c r="T79" s="205">
        <v>497000000</v>
      </c>
      <c r="U79" s="205">
        <v>1473000000</v>
      </c>
      <c r="V79" s="205">
        <v>2351500000</v>
      </c>
      <c r="W79" s="205">
        <v>2982000000</v>
      </c>
      <c r="X79" s="205">
        <v>1308000000</v>
      </c>
      <c r="Y79" s="205">
        <v>625500000</v>
      </c>
      <c r="Z79" s="205">
        <v>21250000</v>
      </c>
      <c r="AA79" s="206"/>
      <c r="AB79" s="206"/>
      <c r="AC79" s="206"/>
      <c r="AD79" s="206"/>
      <c r="AE79" s="206"/>
      <c r="AF79" s="206"/>
      <c r="AG79" s="206"/>
      <c r="AH79" s="206"/>
      <c r="AI79" s="206"/>
      <c r="AJ79" s="206"/>
      <c r="AK79" s="206"/>
      <c r="AL79" s="206"/>
      <c r="AM79" s="206"/>
      <c r="AN79" s="206"/>
      <c r="AO79" s="206"/>
      <c r="AP79" s="206"/>
      <c r="AQ79" s="206"/>
      <c r="AR79" s="206"/>
      <c r="AS79" s="206"/>
      <c r="AT79" s="206"/>
      <c r="AU79" s="206"/>
      <c r="AV79" s="206"/>
      <c r="AW79" s="206"/>
      <c r="AX79" s="206"/>
      <c r="AY79" s="206"/>
      <c r="AZ79" s="206"/>
      <c r="BA79" s="206"/>
      <c r="BB79" s="206"/>
      <c r="BC79" s="206"/>
      <c r="BD79" s="206"/>
      <c r="BE79" s="206"/>
      <c r="BF79" s="206"/>
      <c r="BG79" s="206"/>
      <c r="BH79" s="206"/>
      <c r="BI79" s="206"/>
      <c r="BJ79" s="206"/>
      <c r="BK79" s="206"/>
      <c r="BL79" s="206"/>
      <c r="BM79" s="206"/>
      <c r="BN79" s="206"/>
      <c r="BO79" s="206"/>
      <c r="BP79" s="206"/>
      <c r="BQ79" s="206"/>
      <c r="BR79" s="206"/>
      <c r="BS79" s="206"/>
      <c r="BT79" s="206"/>
      <c r="BU79" s="206"/>
      <c r="BV79" s="206"/>
      <c r="BW79" s="206"/>
      <c r="BX79" s="206"/>
      <c r="BY79" s="206"/>
      <c r="BZ79" s="206"/>
      <c r="CA79" s="206"/>
      <c r="CB79" s="206"/>
      <c r="CC79" s="206"/>
      <c r="CD79" s="206"/>
      <c r="CE79" s="206"/>
      <c r="CF79" s="206"/>
      <c r="CG79" s="206"/>
      <c r="CH79" s="206"/>
      <c r="CI79" s="206"/>
      <c r="CJ79" s="206"/>
      <c r="CK79" s="206"/>
      <c r="CL79" s="206"/>
      <c r="CM79" s="206"/>
      <c r="CN79" s="206"/>
      <c r="CO79" s="206"/>
      <c r="CP79" s="206"/>
      <c r="CQ79" s="206"/>
      <c r="CR79" s="206"/>
      <c r="CS79" s="206"/>
      <c r="CT79" s="206"/>
      <c r="CU79" s="206"/>
      <c r="CV79" s="206"/>
      <c r="CW79" s="206"/>
      <c r="CX79" s="206"/>
      <c r="CY79" s="206"/>
      <c r="CZ79" s="206"/>
      <c r="DA79" s="206"/>
      <c r="DB79" s="206"/>
      <c r="DC79" s="206"/>
      <c r="DD79" s="206"/>
    </row>
    <row r="80" spans="1:120" x14ac:dyDescent="0.25">
      <c r="A80" s="303"/>
      <c r="B80" s="303"/>
      <c r="C80" s="303"/>
      <c r="T80" s="206"/>
      <c r="U80" s="206"/>
      <c r="V80" s="206"/>
      <c r="W80" s="206"/>
      <c r="X80" s="206"/>
      <c r="Y80" s="206"/>
      <c r="Z80" s="206"/>
      <c r="AA80" s="206"/>
      <c r="AB80" s="206"/>
      <c r="AC80" s="206"/>
      <c r="AD80" s="206"/>
      <c r="AE80" s="206"/>
      <c r="AF80" s="206"/>
      <c r="AG80" s="206"/>
      <c r="AH80" s="206"/>
      <c r="AI80" s="206"/>
      <c r="AJ80" s="206"/>
      <c r="AK80" s="206"/>
      <c r="AL80" s="206"/>
      <c r="AM80" s="206"/>
      <c r="AN80" s="206"/>
      <c r="AO80" s="206"/>
      <c r="AP80" s="206"/>
      <c r="AQ80" s="206"/>
      <c r="AR80" s="206"/>
      <c r="AS80" s="206"/>
      <c r="AT80" s="206"/>
      <c r="AU80" s="206"/>
      <c r="AV80" s="206"/>
      <c r="AW80" s="206"/>
      <c r="AX80" s="206"/>
      <c r="AY80" s="206"/>
      <c r="AZ80" s="206"/>
      <c r="BA80" s="206"/>
      <c r="BB80" s="206"/>
      <c r="BC80" s="206"/>
      <c r="BD80" s="206"/>
      <c r="BE80" s="206"/>
      <c r="BF80" s="206"/>
      <c r="BG80" s="206"/>
      <c r="BH80" s="206"/>
      <c r="BI80" s="206"/>
      <c r="BJ80" s="206"/>
      <c r="BK80" s="206"/>
      <c r="BL80" s="206"/>
      <c r="BM80" s="206"/>
      <c r="BN80" s="206"/>
      <c r="BO80" s="206"/>
      <c r="BP80" s="206"/>
      <c r="BQ80" s="206"/>
      <c r="BR80" s="206"/>
      <c r="BS80" s="206"/>
      <c r="BT80" s="206"/>
      <c r="BU80" s="206"/>
      <c r="BV80" s="206"/>
      <c r="BW80" s="206"/>
      <c r="BX80" s="206"/>
      <c r="BY80" s="206"/>
      <c r="BZ80" s="206"/>
      <c r="CA80" s="206"/>
      <c r="CB80" s="206"/>
      <c r="CC80" s="206"/>
      <c r="CD80" s="206"/>
      <c r="CE80" s="206"/>
      <c r="CF80" s="206"/>
      <c r="CG80" s="206"/>
      <c r="CH80" s="206"/>
      <c r="CI80" s="206"/>
      <c r="CJ80" s="206"/>
      <c r="CK80" s="206"/>
      <c r="CL80" s="206"/>
      <c r="CM80" s="206"/>
      <c r="CN80" s="206"/>
      <c r="CO80" s="206"/>
      <c r="CP80" s="206"/>
      <c r="CQ80" s="206"/>
      <c r="CR80" s="206"/>
      <c r="CS80" s="206"/>
      <c r="CT80" s="206"/>
      <c r="CU80" s="206"/>
      <c r="CV80" s="206"/>
      <c r="CW80" s="206"/>
      <c r="CX80" s="206"/>
      <c r="CY80" s="206"/>
      <c r="CZ80" s="206"/>
      <c r="DA80" s="206"/>
      <c r="DB80" s="206"/>
      <c r="DC80" s="206"/>
      <c r="DD80" s="206"/>
    </row>
    <row r="81" spans="1:108" x14ac:dyDescent="0.25">
      <c r="A81" s="303"/>
      <c r="B81" s="303"/>
      <c r="C81" s="303"/>
      <c r="T81" s="206"/>
      <c r="U81" s="206"/>
      <c r="V81" s="206"/>
      <c r="W81" s="206"/>
      <c r="X81" s="206"/>
      <c r="Y81" s="206"/>
      <c r="Z81" s="206"/>
      <c r="AA81" s="206"/>
      <c r="AB81" s="206"/>
      <c r="AC81" s="206"/>
      <c r="AD81" s="206"/>
      <c r="AE81" s="206"/>
      <c r="AF81" s="206"/>
      <c r="AG81" s="206"/>
      <c r="AH81" s="206"/>
      <c r="AI81" s="206"/>
      <c r="AJ81" s="206"/>
      <c r="AK81" s="206"/>
      <c r="AL81" s="206"/>
      <c r="AM81" s="206"/>
      <c r="AN81" s="206"/>
      <c r="AO81" s="206"/>
      <c r="AP81" s="206"/>
      <c r="AQ81" s="206"/>
      <c r="AR81" s="206"/>
      <c r="AS81" s="206"/>
      <c r="AT81" s="206"/>
      <c r="AU81" s="206"/>
      <c r="AV81" s="206"/>
      <c r="AW81" s="206"/>
      <c r="AX81" s="206"/>
      <c r="AY81" s="206"/>
      <c r="AZ81" s="206"/>
      <c r="BA81" s="206"/>
      <c r="BB81" s="206"/>
      <c r="BC81" s="206"/>
      <c r="BD81" s="206"/>
      <c r="BE81" s="206"/>
      <c r="BF81" s="206"/>
      <c r="BG81" s="206"/>
      <c r="BH81" s="206"/>
      <c r="BI81" s="206"/>
      <c r="BJ81" s="206"/>
      <c r="BK81" s="206"/>
      <c r="BL81" s="206"/>
      <c r="BM81" s="206"/>
      <c r="BN81" s="206"/>
      <c r="BO81" s="206"/>
      <c r="BP81" s="206"/>
      <c r="BQ81" s="206"/>
      <c r="BR81" s="206"/>
      <c r="BS81" s="206"/>
      <c r="BT81" s="206"/>
      <c r="BU81" s="206"/>
      <c r="BV81" s="206"/>
      <c r="BW81" s="206"/>
      <c r="BX81" s="206"/>
      <c r="BY81" s="206"/>
      <c r="BZ81" s="206"/>
      <c r="CA81" s="206"/>
      <c r="CB81" s="206"/>
      <c r="CC81" s="206"/>
      <c r="CD81" s="206"/>
      <c r="CE81" s="206"/>
      <c r="CF81" s="206"/>
      <c r="CG81" s="206"/>
      <c r="CH81" s="206"/>
      <c r="CI81" s="206"/>
      <c r="CJ81" s="206"/>
      <c r="CK81" s="206"/>
      <c r="CL81" s="206"/>
      <c r="CM81" s="206"/>
      <c r="CN81" s="206"/>
      <c r="CO81" s="206"/>
      <c r="CP81" s="206"/>
      <c r="CQ81" s="206"/>
      <c r="CR81" s="206"/>
      <c r="CS81" s="206"/>
      <c r="CT81" s="206"/>
      <c r="CU81" s="206"/>
      <c r="CV81" s="206"/>
      <c r="CW81" s="206"/>
      <c r="CX81" s="206"/>
      <c r="CY81" s="206"/>
      <c r="CZ81" s="206"/>
      <c r="DA81" s="206"/>
      <c r="DB81" s="206"/>
      <c r="DC81" s="206"/>
      <c r="DD81" s="206"/>
    </row>
    <row r="82" spans="1:108" x14ac:dyDescent="0.25">
      <c r="A82" s="303"/>
      <c r="B82" s="303"/>
      <c r="C82" s="303"/>
      <c r="T82" s="206"/>
      <c r="U82" s="206"/>
      <c r="V82" s="206"/>
      <c r="W82" s="206"/>
      <c r="X82" s="206"/>
      <c r="Y82" s="206"/>
      <c r="Z82" s="206"/>
      <c r="AA82" s="206"/>
      <c r="AB82" s="206"/>
      <c r="AC82" s="206"/>
      <c r="AD82" s="206"/>
      <c r="AE82" s="206"/>
      <c r="AF82" s="206"/>
      <c r="AG82" s="206"/>
      <c r="AH82" s="206"/>
      <c r="AI82" s="206"/>
      <c r="AJ82" s="206"/>
      <c r="AK82" s="206"/>
      <c r="AL82" s="206"/>
      <c r="AM82" s="206"/>
      <c r="AN82" s="206"/>
      <c r="AO82" s="206"/>
      <c r="AP82" s="206"/>
      <c r="AQ82" s="206"/>
      <c r="AR82" s="206"/>
      <c r="AS82" s="206"/>
      <c r="AT82" s="206"/>
      <c r="AU82" s="206"/>
      <c r="AV82" s="206"/>
      <c r="AW82" s="206"/>
      <c r="AX82" s="206"/>
      <c r="AY82" s="206"/>
      <c r="AZ82" s="206"/>
      <c r="BA82" s="206"/>
      <c r="BB82" s="206"/>
      <c r="BC82" s="206"/>
      <c r="BD82" s="206"/>
      <c r="BE82" s="206"/>
      <c r="BF82" s="206"/>
      <c r="BG82" s="206"/>
      <c r="BH82" s="206"/>
      <c r="BI82" s="206"/>
      <c r="BJ82" s="206"/>
      <c r="BK82" s="206"/>
      <c r="BL82" s="206"/>
      <c r="BM82" s="206"/>
      <c r="BN82" s="206"/>
      <c r="BO82" s="206"/>
      <c r="BP82" s="206"/>
      <c r="BQ82" s="206"/>
      <c r="BR82" s="206"/>
      <c r="BS82" s="206"/>
      <c r="BT82" s="206"/>
      <c r="BU82" s="206"/>
      <c r="BV82" s="206"/>
      <c r="BW82" s="206"/>
      <c r="BX82" s="206"/>
      <c r="BY82" s="206"/>
      <c r="BZ82" s="206"/>
      <c r="CA82" s="206"/>
      <c r="CB82" s="206"/>
      <c r="CC82" s="206"/>
      <c r="CD82" s="206"/>
      <c r="CE82" s="206"/>
      <c r="CF82" s="206"/>
      <c r="CG82" s="206"/>
      <c r="CH82" s="206"/>
      <c r="CI82" s="206"/>
      <c r="CJ82" s="206"/>
      <c r="CK82" s="206"/>
      <c r="CL82" s="206"/>
      <c r="CM82" s="206"/>
      <c r="CN82" s="206"/>
      <c r="CO82" s="206"/>
      <c r="CP82" s="206"/>
      <c r="CQ82" s="206"/>
      <c r="CR82" s="206"/>
      <c r="CS82" s="206"/>
      <c r="CT82" s="206"/>
      <c r="CU82" s="206"/>
      <c r="CV82" s="206"/>
      <c r="CW82" s="206"/>
      <c r="CX82" s="206"/>
      <c r="CY82" s="206"/>
      <c r="CZ82" s="206"/>
      <c r="DA82" s="206"/>
      <c r="DB82" s="206"/>
      <c r="DC82" s="206"/>
      <c r="DD82" s="206"/>
    </row>
    <row r="83" spans="1:108" x14ac:dyDescent="0.25">
      <c r="A83" s="303"/>
      <c r="B83" s="303"/>
      <c r="C83" s="303"/>
      <c r="T83" s="206"/>
      <c r="U83" s="206"/>
      <c r="V83" s="206"/>
      <c r="W83" s="206"/>
      <c r="X83" s="206"/>
      <c r="Y83" s="206"/>
      <c r="Z83" s="206"/>
      <c r="AA83" s="206"/>
      <c r="AB83" s="206"/>
      <c r="AC83" s="206"/>
      <c r="AD83" s="206"/>
      <c r="AE83" s="206"/>
      <c r="AF83" s="206"/>
      <c r="AG83" s="206"/>
      <c r="AH83" s="206"/>
      <c r="AI83" s="206"/>
      <c r="AJ83" s="206"/>
      <c r="AK83" s="206"/>
      <c r="AL83" s="206"/>
      <c r="AM83" s="206"/>
      <c r="AN83" s="206"/>
      <c r="AO83" s="206"/>
      <c r="AP83" s="206"/>
      <c r="AQ83" s="206"/>
      <c r="AR83" s="206"/>
      <c r="AS83" s="206"/>
      <c r="AT83" s="206"/>
      <c r="AU83" s="206"/>
      <c r="AV83" s="206"/>
      <c r="AW83" s="206"/>
      <c r="AX83" s="206"/>
      <c r="AY83" s="206"/>
      <c r="AZ83" s="206"/>
      <c r="BA83" s="206"/>
      <c r="BB83" s="206"/>
      <c r="BC83" s="206"/>
      <c r="BD83" s="206"/>
      <c r="BE83" s="206"/>
      <c r="BF83" s="206"/>
      <c r="BG83" s="206"/>
      <c r="BH83" s="206"/>
      <c r="BI83" s="206"/>
      <c r="BJ83" s="206"/>
      <c r="BK83" s="206"/>
      <c r="BL83" s="206"/>
      <c r="BM83" s="206"/>
      <c r="BN83" s="206"/>
      <c r="BO83" s="206"/>
      <c r="BP83" s="206"/>
      <c r="BQ83" s="206"/>
      <c r="BR83" s="206"/>
      <c r="BS83" s="206"/>
      <c r="BT83" s="206"/>
      <c r="BU83" s="206"/>
      <c r="BV83" s="206"/>
      <c r="BW83" s="206"/>
      <c r="BX83" s="206"/>
      <c r="BY83" s="206"/>
      <c r="BZ83" s="206"/>
      <c r="CA83" s="206"/>
      <c r="CB83" s="206"/>
      <c r="CC83" s="206"/>
      <c r="CD83" s="206"/>
      <c r="CE83" s="206"/>
      <c r="CF83" s="206"/>
      <c r="CG83" s="206"/>
      <c r="CH83" s="206"/>
      <c r="CI83" s="206"/>
      <c r="CJ83" s="206"/>
      <c r="CK83" s="206"/>
      <c r="CL83" s="206"/>
      <c r="CM83" s="206"/>
      <c r="CN83" s="206"/>
      <c r="CO83" s="206"/>
      <c r="CP83" s="206"/>
      <c r="CQ83" s="206"/>
      <c r="CR83" s="206"/>
      <c r="CS83" s="206"/>
      <c r="CT83" s="206"/>
      <c r="CU83" s="206"/>
      <c r="CV83" s="206"/>
      <c r="CW83" s="206"/>
      <c r="CX83" s="206"/>
      <c r="CY83" s="206"/>
      <c r="CZ83" s="206"/>
      <c r="DA83" s="206"/>
      <c r="DB83" s="206"/>
      <c r="DC83" s="206"/>
      <c r="DD83" s="206"/>
    </row>
    <row r="84" spans="1:108" x14ac:dyDescent="0.25">
      <c r="A84" s="303"/>
      <c r="B84" s="303"/>
      <c r="C84" s="303"/>
      <c r="T84" s="206"/>
      <c r="U84" s="206"/>
      <c r="V84" s="206"/>
      <c r="W84" s="206"/>
      <c r="X84" s="206"/>
      <c r="Y84" s="206"/>
      <c r="Z84" s="206"/>
      <c r="AA84" s="206"/>
      <c r="AB84" s="206"/>
      <c r="AC84" s="206"/>
      <c r="AD84" s="206"/>
      <c r="AE84" s="206"/>
      <c r="AF84" s="206"/>
      <c r="AG84" s="206"/>
      <c r="AH84" s="206"/>
      <c r="AI84" s="206"/>
      <c r="AJ84" s="206"/>
      <c r="AK84" s="206"/>
      <c r="AL84" s="206"/>
      <c r="AM84" s="206"/>
      <c r="AN84" s="206"/>
      <c r="AO84" s="206"/>
      <c r="AP84" s="206"/>
      <c r="AQ84" s="206"/>
      <c r="AR84" s="206"/>
      <c r="AS84" s="206"/>
      <c r="AT84" s="206"/>
      <c r="AU84" s="206"/>
      <c r="AV84" s="206"/>
      <c r="AW84" s="206"/>
      <c r="AX84" s="206"/>
      <c r="AY84" s="206"/>
      <c r="AZ84" s="206"/>
      <c r="BA84" s="206"/>
      <c r="BB84" s="206"/>
      <c r="BC84" s="206"/>
      <c r="BD84" s="206"/>
      <c r="BE84" s="206"/>
      <c r="BF84" s="206"/>
      <c r="BG84" s="206"/>
      <c r="BH84" s="206"/>
      <c r="BI84" s="206"/>
      <c r="BJ84" s="206"/>
      <c r="BK84" s="206"/>
      <c r="BL84" s="206"/>
      <c r="BM84" s="206"/>
      <c r="BN84" s="206"/>
      <c r="BO84" s="206"/>
      <c r="BP84" s="206"/>
      <c r="BQ84" s="206"/>
      <c r="BR84" s="206"/>
      <c r="BS84" s="206"/>
      <c r="BT84" s="206"/>
      <c r="BU84" s="206"/>
      <c r="BV84" s="206"/>
      <c r="BW84" s="206"/>
      <c r="BX84" s="206"/>
      <c r="BY84" s="206"/>
      <c r="BZ84" s="206"/>
      <c r="CA84" s="206"/>
      <c r="CB84" s="206"/>
      <c r="CC84" s="206"/>
      <c r="CD84" s="206"/>
      <c r="CE84" s="206"/>
      <c r="CF84" s="206"/>
      <c r="CG84" s="206"/>
      <c r="CH84" s="206"/>
      <c r="CI84" s="206"/>
      <c r="CJ84" s="206"/>
      <c r="CK84" s="206"/>
      <c r="CL84" s="206"/>
      <c r="CM84" s="206"/>
      <c r="CN84" s="206"/>
      <c r="CO84" s="206"/>
      <c r="CP84" s="206"/>
      <c r="CQ84" s="206"/>
      <c r="CR84" s="206"/>
      <c r="CS84" s="206"/>
      <c r="CT84" s="206"/>
      <c r="CU84" s="206"/>
      <c r="CV84" s="206"/>
      <c r="CW84" s="206"/>
      <c r="CX84" s="206"/>
      <c r="CY84" s="206"/>
      <c r="CZ84" s="206"/>
      <c r="DA84" s="206"/>
      <c r="DB84" s="206"/>
      <c r="DC84" s="206"/>
      <c r="DD84" s="206"/>
    </row>
    <row r="85" spans="1:108" x14ac:dyDescent="0.25">
      <c r="A85" s="303"/>
      <c r="B85" s="303"/>
      <c r="C85" s="303"/>
      <c r="P85" s="275"/>
      <c r="Q85" s="205"/>
      <c r="R85" s="205"/>
      <c r="S85" s="205"/>
      <c r="T85" s="206"/>
      <c r="U85" s="206"/>
      <c r="V85" s="206"/>
      <c r="W85" s="206"/>
      <c r="X85" s="206"/>
      <c r="Y85" s="206"/>
      <c r="Z85" s="206"/>
      <c r="AA85" s="206"/>
      <c r="AB85" s="206"/>
      <c r="AC85" s="206"/>
      <c r="AD85" s="206"/>
      <c r="AE85" s="206"/>
      <c r="AF85" s="206"/>
      <c r="AG85" s="206"/>
      <c r="AH85" s="206"/>
      <c r="AI85" s="206"/>
      <c r="AJ85" s="206"/>
      <c r="AK85" s="206"/>
      <c r="AL85" s="206"/>
      <c r="AM85" s="206"/>
      <c r="AN85" s="206"/>
      <c r="AO85" s="206"/>
      <c r="AP85" s="206"/>
      <c r="AQ85" s="206"/>
      <c r="AR85" s="206"/>
      <c r="AS85" s="206"/>
      <c r="AT85" s="206"/>
      <c r="AU85" s="206"/>
      <c r="AV85" s="206"/>
      <c r="AW85" s="206"/>
      <c r="AX85" s="206"/>
      <c r="AY85" s="206"/>
      <c r="AZ85" s="206"/>
      <c r="BA85" s="206"/>
      <c r="BB85" s="206"/>
      <c r="BC85" s="206"/>
      <c r="BD85" s="206"/>
      <c r="BE85" s="206"/>
      <c r="BF85" s="206"/>
      <c r="BG85" s="206"/>
      <c r="BH85" s="206"/>
      <c r="BI85" s="206"/>
      <c r="BJ85" s="206"/>
      <c r="BK85" s="206"/>
      <c r="BL85" s="206"/>
      <c r="BM85" s="206"/>
      <c r="BN85" s="206"/>
      <c r="BO85" s="206"/>
      <c r="BP85" s="206"/>
      <c r="BQ85" s="206"/>
      <c r="BR85" s="206"/>
      <c r="BS85" s="206"/>
      <c r="BT85" s="206"/>
      <c r="BU85" s="206"/>
      <c r="BV85" s="206"/>
      <c r="BW85" s="206"/>
      <c r="BX85" s="206"/>
      <c r="BY85" s="206"/>
      <c r="BZ85" s="206"/>
      <c r="CA85" s="206"/>
      <c r="CB85" s="206"/>
      <c r="CC85" s="206"/>
      <c r="CD85" s="206"/>
      <c r="CE85" s="206"/>
      <c r="CF85" s="206"/>
      <c r="CG85" s="206"/>
      <c r="CH85" s="206"/>
      <c r="CI85" s="206"/>
      <c r="CJ85" s="206"/>
      <c r="CK85" s="206"/>
      <c r="CL85" s="206"/>
      <c r="CM85" s="206"/>
      <c r="CN85" s="206"/>
      <c r="CO85" s="206"/>
      <c r="CP85" s="206"/>
      <c r="CQ85" s="206"/>
      <c r="CR85" s="206"/>
      <c r="CS85" s="206"/>
      <c r="CT85" s="206"/>
      <c r="CU85" s="206"/>
      <c r="CV85" s="206"/>
      <c r="CW85" s="206"/>
      <c r="CX85" s="206"/>
      <c r="CY85" s="206"/>
      <c r="CZ85" s="206"/>
      <c r="DA85" s="206"/>
      <c r="DB85" s="206"/>
      <c r="DC85" s="206"/>
      <c r="DD85" s="206"/>
    </row>
    <row r="86" spans="1:108" x14ac:dyDescent="0.25">
      <c r="A86" s="303"/>
      <c r="B86" s="303"/>
      <c r="C86" s="303"/>
    </row>
    <row r="87" spans="1:108" x14ac:dyDescent="0.25">
      <c r="A87" s="297"/>
      <c r="B87" s="303"/>
      <c r="C87" s="303"/>
    </row>
    <row r="88" spans="1:108" x14ac:dyDescent="0.25">
      <c r="A88" s="303"/>
      <c r="B88" s="303"/>
      <c r="C88" s="303"/>
    </row>
    <row r="89" spans="1:108" x14ac:dyDescent="0.25">
      <c r="A89" s="303"/>
      <c r="B89" s="303"/>
      <c r="C89" s="303"/>
    </row>
    <row r="90" spans="1:108" x14ac:dyDescent="0.25">
      <c r="A90" s="303"/>
      <c r="B90" s="303"/>
      <c r="C90" s="303"/>
    </row>
    <row r="91" spans="1:108" x14ac:dyDescent="0.25">
      <c r="A91" s="303"/>
      <c r="B91" s="303"/>
      <c r="C91" s="303"/>
    </row>
    <row r="92" spans="1:108" x14ac:dyDescent="0.25">
      <c r="A92" s="303"/>
      <c r="B92" s="303"/>
      <c r="C92" s="303"/>
    </row>
    <row r="93" spans="1:108" x14ac:dyDescent="0.25">
      <c r="A93" s="303"/>
      <c r="B93" s="303"/>
      <c r="C93" s="303"/>
    </row>
    <row r="94" spans="1:108" x14ac:dyDescent="0.25">
      <c r="A94" s="303"/>
      <c r="B94" s="303"/>
      <c r="C94" s="303"/>
    </row>
    <row r="95" spans="1:108" x14ac:dyDescent="0.25">
      <c r="A95" s="303"/>
      <c r="B95" s="303"/>
      <c r="C95" s="303"/>
    </row>
    <row r="96" spans="1:108" x14ac:dyDescent="0.25">
      <c r="A96" s="303"/>
      <c r="B96" s="303"/>
      <c r="C96" s="303"/>
    </row>
    <row r="97" spans="1:108" x14ac:dyDescent="0.25">
      <c r="A97" s="303"/>
      <c r="B97" s="303"/>
      <c r="C97" s="303"/>
    </row>
    <row r="98" spans="1:108" x14ac:dyDescent="0.25">
      <c r="A98" s="303"/>
      <c r="B98" s="303"/>
      <c r="C98" s="303"/>
      <c r="CJ98" s="205"/>
    </row>
    <row r="99" spans="1:108" x14ac:dyDescent="0.25">
      <c r="A99" s="303"/>
      <c r="B99" s="303"/>
      <c r="C99" s="303"/>
      <c r="CK99" s="205"/>
      <c r="CL99" s="205"/>
      <c r="CM99" s="205"/>
      <c r="CN99" s="205"/>
      <c r="CO99" s="205"/>
      <c r="CP99" s="205"/>
      <c r="CQ99" s="205"/>
      <c r="CR99" s="205"/>
      <c r="CS99" s="205"/>
      <c r="CT99" s="205"/>
      <c r="CU99" s="205"/>
      <c r="CV99" s="205"/>
      <c r="CW99" s="205"/>
      <c r="CX99" s="205"/>
      <c r="CY99" s="205"/>
    </row>
    <row r="100" spans="1:108" x14ac:dyDescent="0.25">
      <c r="A100" s="303"/>
      <c r="B100" s="303"/>
      <c r="C100" s="303"/>
      <c r="CF100" s="205"/>
      <c r="CG100" s="205"/>
      <c r="CH100" s="205"/>
      <c r="CI100" s="205"/>
      <c r="DC100" s="205"/>
      <c r="DD100" s="205"/>
    </row>
    <row r="101" spans="1:108" x14ac:dyDescent="0.25">
      <c r="A101" s="303"/>
      <c r="B101" s="303"/>
      <c r="C101" s="303"/>
      <c r="CF101" s="205"/>
      <c r="CG101" s="205"/>
      <c r="CH101" s="205"/>
      <c r="CI101" s="205"/>
      <c r="CJ101" s="205"/>
      <c r="DC101" s="205"/>
      <c r="DD101" s="205"/>
    </row>
    <row r="102" spans="1:108" x14ac:dyDescent="0.25">
      <c r="A102" s="303"/>
      <c r="B102" s="303"/>
      <c r="C102" s="303"/>
      <c r="CJ102" s="205"/>
      <c r="CK102" s="205"/>
      <c r="CL102" s="205"/>
      <c r="CM102" s="205"/>
      <c r="CN102" s="205"/>
      <c r="CO102" s="205"/>
      <c r="CP102" s="205"/>
      <c r="CQ102" s="205"/>
      <c r="CR102" s="205"/>
      <c r="CS102" s="205"/>
      <c r="CT102" s="205"/>
      <c r="CU102" s="205"/>
      <c r="CV102" s="205"/>
      <c r="CW102" s="205"/>
      <c r="CX102" s="205"/>
      <c r="CY102" s="205"/>
    </row>
    <row r="103" spans="1:108" x14ac:dyDescent="0.25">
      <c r="A103" s="303"/>
      <c r="B103" s="303"/>
      <c r="C103" s="303"/>
      <c r="CJ103" s="205"/>
      <c r="CK103" s="205"/>
      <c r="CL103" s="205"/>
      <c r="CM103" s="205"/>
      <c r="CN103" s="205"/>
      <c r="CO103" s="205"/>
      <c r="CP103" s="205"/>
      <c r="CQ103" s="205"/>
      <c r="CR103" s="205"/>
      <c r="CS103" s="205"/>
      <c r="CT103" s="205"/>
      <c r="CU103" s="205"/>
      <c r="CV103" s="205"/>
      <c r="CW103" s="205"/>
      <c r="CX103" s="205"/>
      <c r="CY103" s="205"/>
    </row>
    <row r="104" spans="1:108" x14ac:dyDescent="0.25">
      <c r="A104" s="303"/>
      <c r="B104" s="303"/>
      <c r="C104" s="303"/>
      <c r="CJ104" s="205"/>
      <c r="CK104" s="205"/>
      <c r="CL104" s="205"/>
      <c r="CM104" s="205"/>
      <c r="CN104" s="205"/>
      <c r="CO104" s="205"/>
      <c r="CP104" s="205"/>
      <c r="CQ104" s="205"/>
      <c r="CR104" s="205"/>
      <c r="CS104" s="205"/>
      <c r="CT104" s="205"/>
      <c r="CU104" s="205"/>
      <c r="CV104" s="205"/>
      <c r="CW104" s="205"/>
      <c r="CX104" s="205"/>
      <c r="CY104" s="205"/>
    </row>
    <row r="105" spans="1:108" x14ac:dyDescent="0.25">
      <c r="A105" s="303"/>
      <c r="B105" s="303"/>
      <c r="C105" s="303"/>
      <c r="CJ105" s="205"/>
      <c r="CK105" s="205"/>
      <c r="CL105" s="205"/>
      <c r="CM105" s="205"/>
      <c r="CN105" s="205"/>
      <c r="CO105" s="205"/>
      <c r="CP105" s="205"/>
      <c r="CQ105" s="205"/>
      <c r="CR105" s="205"/>
      <c r="CS105" s="205"/>
      <c r="CT105" s="205"/>
      <c r="CU105" s="205"/>
      <c r="CV105" s="205"/>
      <c r="CW105" s="205"/>
      <c r="CX105" s="205"/>
      <c r="CY105" s="205"/>
    </row>
    <row r="106" spans="1:108" x14ac:dyDescent="0.25">
      <c r="A106" s="303"/>
      <c r="B106" s="303"/>
      <c r="C106" s="303"/>
      <c r="CJ106" s="205"/>
      <c r="CK106" s="205"/>
      <c r="CL106" s="205"/>
      <c r="CM106" s="205"/>
      <c r="CN106" s="205"/>
      <c r="CO106" s="205"/>
      <c r="CP106" s="205"/>
      <c r="CQ106" s="205"/>
      <c r="CR106" s="205"/>
      <c r="CS106" s="205"/>
      <c r="CT106" s="205"/>
      <c r="CU106" s="205"/>
      <c r="CV106" s="205"/>
      <c r="CW106" s="205"/>
      <c r="CX106" s="205"/>
      <c r="CY106" s="205"/>
    </row>
    <row r="107" spans="1:108" x14ac:dyDescent="0.25">
      <c r="A107" s="303"/>
      <c r="B107" s="303"/>
      <c r="C107" s="303"/>
      <c r="CK107" s="205"/>
      <c r="CL107" s="205"/>
      <c r="CM107" s="205"/>
      <c r="CN107" s="205"/>
      <c r="CO107" s="205"/>
      <c r="CP107" s="205"/>
      <c r="CQ107" s="205"/>
      <c r="CR107" s="205"/>
      <c r="CS107" s="205"/>
      <c r="CT107" s="205"/>
      <c r="CU107" s="205"/>
      <c r="CV107" s="205"/>
      <c r="CW107" s="205"/>
      <c r="CX107" s="205"/>
      <c r="CY107" s="205"/>
    </row>
    <row r="108" spans="1:108" x14ac:dyDescent="0.25">
      <c r="A108" s="303"/>
      <c r="B108" s="303"/>
      <c r="C108" s="303"/>
    </row>
    <row r="109" spans="1:108" x14ac:dyDescent="0.25">
      <c r="A109" s="303"/>
      <c r="B109" s="303"/>
      <c r="C109" s="303"/>
    </row>
    <row r="110" spans="1:108" x14ac:dyDescent="0.25">
      <c r="A110" s="303"/>
      <c r="B110" s="303"/>
      <c r="C110" s="303"/>
    </row>
    <row r="111" spans="1:108" x14ac:dyDescent="0.25">
      <c r="A111" s="303"/>
      <c r="B111" s="303"/>
      <c r="C111" s="303"/>
    </row>
    <row r="112" spans="1:108" x14ac:dyDescent="0.25">
      <c r="A112" s="303"/>
      <c r="B112" s="303"/>
      <c r="C112" s="303"/>
    </row>
    <row r="113" spans="1:108" x14ac:dyDescent="0.25">
      <c r="A113" s="303"/>
      <c r="B113" s="303"/>
      <c r="C113" s="303"/>
    </row>
    <row r="114" spans="1:108" x14ac:dyDescent="0.25">
      <c r="A114" s="303"/>
      <c r="B114" s="303"/>
      <c r="C114" s="303"/>
    </row>
    <row r="115" spans="1:108" x14ac:dyDescent="0.25">
      <c r="A115" s="303"/>
      <c r="B115" s="303"/>
      <c r="C115" s="303"/>
    </row>
    <row r="116" spans="1:108" x14ac:dyDescent="0.25">
      <c r="A116" s="303"/>
      <c r="B116" s="303"/>
      <c r="C116" s="303"/>
    </row>
    <row r="117" spans="1:108" x14ac:dyDescent="0.25">
      <c r="A117" s="303"/>
      <c r="B117" s="303"/>
      <c r="C117" s="303"/>
    </row>
    <row r="118" spans="1:108" x14ac:dyDescent="0.25">
      <c r="A118" s="303"/>
      <c r="B118" s="303"/>
      <c r="C118" s="303"/>
      <c r="D118" s="206"/>
      <c r="E118" s="206"/>
      <c r="F118" s="206"/>
      <c r="G118" s="206"/>
      <c r="H118" s="206"/>
      <c r="I118" s="206"/>
      <c r="J118" s="206"/>
      <c r="K118" s="206"/>
      <c r="L118" s="206"/>
      <c r="M118" s="206"/>
      <c r="N118" s="206"/>
      <c r="O118" s="206"/>
      <c r="P118" s="206"/>
      <c r="Q118" s="206"/>
      <c r="R118" s="206"/>
      <c r="S118" s="206"/>
      <c r="T118" s="206"/>
      <c r="U118" s="206"/>
      <c r="V118" s="206"/>
      <c r="W118" s="206"/>
      <c r="X118" s="206"/>
      <c r="Y118" s="206"/>
      <c r="Z118" s="206"/>
      <c r="AA118" s="206"/>
      <c r="AB118" s="206"/>
      <c r="AC118" s="206"/>
      <c r="AD118" s="206"/>
      <c r="AE118" s="206"/>
      <c r="AF118" s="206"/>
      <c r="AG118" s="206"/>
      <c r="AH118" s="206"/>
      <c r="AI118" s="206"/>
      <c r="AJ118" s="206"/>
      <c r="AK118" s="206"/>
      <c r="AL118" s="206"/>
      <c r="AM118" s="206"/>
      <c r="AN118" s="206"/>
      <c r="AO118" s="206"/>
      <c r="AP118" s="206"/>
      <c r="AQ118" s="206"/>
      <c r="AR118" s="206"/>
      <c r="AS118" s="206"/>
      <c r="AT118" s="206"/>
      <c r="AU118" s="206"/>
      <c r="AV118" s="206"/>
      <c r="AW118" s="206"/>
      <c r="AX118" s="206"/>
      <c r="AY118" s="206"/>
      <c r="AZ118" s="206"/>
      <c r="BA118" s="206"/>
      <c r="BB118" s="206"/>
      <c r="BC118" s="206"/>
      <c r="BD118" s="206"/>
      <c r="BE118" s="206"/>
      <c r="BF118" s="206"/>
      <c r="BG118" s="206"/>
      <c r="BH118" s="206"/>
      <c r="BI118" s="206"/>
      <c r="BJ118" s="206"/>
      <c r="BK118" s="206"/>
      <c r="BL118" s="206"/>
      <c r="BM118" s="206"/>
      <c r="BN118" s="206"/>
      <c r="BO118" s="206"/>
      <c r="BP118" s="206"/>
      <c r="BQ118" s="206"/>
      <c r="BR118" s="206"/>
      <c r="BS118" s="206"/>
      <c r="BT118" s="206"/>
      <c r="BU118" s="206"/>
      <c r="BV118" s="206"/>
      <c r="BW118" s="206"/>
      <c r="BX118" s="206"/>
      <c r="BY118" s="206"/>
      <c r="BZ118" s="206"/>
      <c r="CA118" s="206"/>
      <c r="CB118" s="206"/>
      <c r="CC118" s="206"/>
      <c r="CD118" s="206"/>
      <c r="CE118" s="206"/>
      <c r="CF118" s="206"/>
      <c r="CG118" s="206"/>
      <c r="CH118" s="206"/>
      <c r="CI118" s="206"/>
      <c r="CJ118" s="206"/>
      <c r="CK118" s="206"/>
      <c r="CL118" s="206"/>
      <c r="CM118" s="206"/>
      <c r="CN118" s="206"/>
      <c r="CO118" s="206"/>
      <c r="CP118" s="206"/>
      <c r="CQ118" s="206"/>
      <c r="CR118" s="206"/>
      <c r="CS118" s="206"/>
      <c r="CT118" s="206"/>
      <c r="CU118" s="206"/>
      <c r="CV118" s="206"/>
      <c r="CW118" s="206"/>
      <c r="CX118" s="206"/>
      <c r="CY118" s="206"/>
      <c r="CZ118" s="206"/>
      <c r="DA118" s="206"/>
      <c r="DB118" s="206"/>
      <c r="DC118" s="206"/>
      <c r="DD118" s="206"/>
    </row>
    <row r="119" spans="1:108" x14ac:dyDescent="0.25">
      <c r="A119" s="303"/>
      <c r="B119" s="303"/>
      <c r="C119" s="303"/>
      <c r="D119" s="206"/>
      <c r="E119" s="206"/>
      <c r="F119" s="206"/>
      <c r="G119" s="206"/>
      <c r="H119" s="206"/>
      <c r="I119" s="206"/>
      <c r="J119" s="206"/>
      <c r="K119" s="206"/>
      <c r="L119" s="206"/>
      <c r="M119" s="206"/>
      <c r="N119" s="206"/>
      <c r="O119" s="206"/>
      <c r="P119" s="206"/>
      <c r="Q119" s="206"/>
      <c r="R119" s="206"/>
      <c r="S119" s="206"/>
      <c r="T119" s="206"/>
      <c r="U119" s="206"/>
      <c r="V119" s="206"/>
      <c r="W119" s="206"/>
      <c r="X119" s="206"/>
      <c r="Y119" s="206"/>
      <c r="Z119" s="206"/>
      <c r="AA119" s="206"/>
      <c r="AB119" s="206"/>
      <c r="AC119" s="206"/>
      <c r="AD119" s="206"/>
      <c r="AE119" s="206"/>
      <c r="AF119" s="206"/>
      <c r="AG119" s="206"/>
      <c r="AH119" s="206"/>
      <c r="AI119" s="206"/>
      <c r="AJ119" s="206"/>
      <c r="AK119" s="206"/>
      <c r="AL119" s="206"/>
      <c r="AM119" s="206"/>
      <c r="AN119" s="206"/>
      <c r="AO119" s="206"/>
      <c r="AP119" s="206"/>
      <c r="AQ119" s="206"/>
      <c r="AR119" s="206"/>
      <c r="AS119" s="206"/>
      <c r="AT119" s="206"/>
      <c r="AU119" s="206"/>
      <c r="AV119" s="206"/>
      <c r="AW119" s="206"/>
      <c r="AX119" s="206"/>
      <c r="AY119" s="206"/>
      <c r="AZ119" s="206"/>
      <c r="BA119" s="206"/>
      <c r="BB119" s="206"/>
      <c r="BC119" s="206"/>
      <c r="BD119" s="206"/>
      <c r="BE119" s="206"/>
      <c r="BF119" s="206"/>
      <c r="BG119" s="206"/>
      <c r="BH119" s="206"/>
      <c r="BI119" s="206"/>
      <c r="BJ119" s="206"/>
      <c r="BK119" s="206"/>
      <c r="BL119" s="206"/>
      <c r="BM119" s="206"/>
      <c r="BN119" s="206"/>
      <c r="BO119" s="206"/>
      <c r="BP119" s="206"/>
      <c r="BQ119" s="206"/>
      <c r="BR119" s="206"/>
      <c r="BS119" s="206"/>
      <c r="BT119" s="206"/>
      <c r="BU119" s="206"/>
      <c r="BV119" s="206"/>
      <c r="BW119" s="206"/>
      <c r="BX119" s="206"/>
      <c r="BY119" s="206"/>
      <c r="BZ119" s="206"/>
      <c r="CA119" s="206"/>
      <c r="CB119" s="206"/>
      <c r="CC119" s="206"/>
      <c r="CD119" s="206"/>
      <c r="CE119" s="206"/>
      <c r="CF119" s="206"/>
      <c r="CG119" s="206"/>
      <c r="CH119" s="206"/>
      <c r="CI119" s="206"/>
      <c r="CJ119" s="206"/>
      <c r="CK119" s="206"/>
      <c r="CL119" s="206"/>
      <c r="CM119" s="206"/>
      <c r="CN119" s="206"/>
      <c r="CO119" s="206"/>
      <c r="CP119" s="206"/>
      <c r="CQ119" s="206"/>
      <c r="CR119" s="206"/>
      <c r="CS119" s="206"/>
      <c r="CT119" s="206"/>
      <c r="CU119" s="206"/>
      <c r="CV119" s="206"/>
      <c r="CW119" s="206"/>
      <c r="CX119" s="206"/>
      <c r="CY119" s="206"/>
      <c r="CZ119" s="206"/>
      <c r="DA119" s="206"/>
      <c r="DB119" s="206"/>
      <c r="DC119" s="206"/>
      <c r="DD119" s="206"/>
    </row>
    <row r="120" spans="1:108" x14ac:dyDescent="0.25">
      <c r="A120" s="303"/>
      <c r="B120" s="303"/>
      <c r="C120" s="303"/>
      <c r="D120" s="206"/>
      <c r="E120" s="206"/>
      <c r="F120" s="206"/>
      <c r="G120" s="206"/>
      <c r="H120" s="206"/>
      <c r="I120" s="206"/>
      <c r="J120" s="206"/>
      <c r="K120" s="206"/>
      <c r="L120" s="206"/>
      <c r="M120" s="206"/>
      <c r="N120" s="206"/>
      <c r="O120" s="206"/>
      <c r="P120" s="206"/>
      <c r="Q120" s="206"/>
      <c r="R120" s="206"/>
      <c r="S120" s="206"/>
      <c r="T120" s="206"/>
      <c r="U120" s="206"/>
      <c r="V120" s="206"/>
      <c r="W120" s="206"/>
      <c r="X120" s="206"/>
      <c r="Y120" s="206"/>
      <c r="Z120" s="206"/>
      <c r="AA120" s="206"/>
      <c r="AB120" s="206"/>
      <c r="AC120" s="206"/>
      <c r="AD120" s="206"/>
      <c r="AE120" s="206"/>
      <c r="AF120" s="206"/>
      <c r="AG120" s="206"/>
      <c r="AH120" s="206"/>
      <c r="AI120" s="206"/>
      <c r="AJ120" s="206"/>
      <c r="AK120" s="206"/>
      <c r="AL120" s="206"/>
      <c r="AM120" s="206"/>
      <c r="AN120" s="206"/>
      <c r="AO120" s="206"/>
      <c r="AP120" s="206"/>
      <c r="AQ120" s="206"/>
      <c r="AR120" s="206"/>
      <c r="AS120" s="206"/>
      <c r="AT120" s="206"/>
      <c r="AU120" s="206"/>
      <c r="AV120" s="206"/>
      <c r="AW120" s="206"/>
      <c r="AX120" s="206"/>
      <c r="AY120" s="206"/>
      <c r="AZ120" s="206"/>
      <c r="BA120" s="206"/>
      <c r="BB120" s="206"/>
      <c r="BC120" s="206"/>
      <c r="BD120" s="206"/>
      <c r="BE120" s="206"/>
      <c r="BF120" s="206"/>
      <c r="BG120" s="206"/>
      <c r="BH120" s="206"/>
      <c r="BI120" s="206"/>
      <c r="BJ120" s="206"/>
      <c r="BK120" s="206"/>
      <c r="BL120" s="206"/>
      <c r="BM120" s="206"/>
      <c r="BN120" s="206"/>
      <c r="BO120" s="206"/>
      <c r="BP120" s="206"/>
      <c r="BQ120" s="206"/>
      <c r="BR120" s="206"/>
      <c r="BS120" s="206"/>
      <c r="BT120" s="206"/>
      <c r="BU120" s="206"/>
      <c r="BV120" s="206"/>
      <c r="BW120" s="206"/>
      <c r="BX120" s="206"/>
      <c r="BY120" s="206"/>
      <c r="BZ120" s="206"/>
      <c r="CA120" s="206"/>
      <c r="CB120" s="206"/>
      <c r="CC120" s="206"/>
      <c r="CD120" s="206"/>
      <c r="CE120" s="206"/>
      <c r="CF120" s="206"/>
      <c r="CG120" s="206"/>
      <c r="CH120" s="206"/>
      <c r="CI120" s="206"/>
      <c r="CJ120" s="206"/>
      <c r="CK120" s="206"/>
      <c r="CL120" s="206"/>
      <c r="CM120" s="206"/>
      <c r="CN120" s="206"/>
      <c r="CO120" s="206"/>
      <c r="CP120" s="206"/>
      <c r="CQ120" s="206"/>
      <c r="CR120" s="206"/>
      <c r="CS120" s="206"/>
      <c r="CT120" s="206"/>
      <c r="CU120" s="206"/>
      <c r="CV120" s="206"/>
      <c r="CW120" s="206"/>
      <c r="CX120" s="206"/>
      <c r="CY120" s="206"/>
      <c r="CZ120" s="206"/>
      <c r="DA120" s="206"/>
      <c r="DB120" s="206"/>
      <c r="DC120" s="206"/>
      <c r="DD120" s="206"/>
    </row>
    <row r="121" spans="1:108" x14ac:dyDescent="0.25">
      <c r="A121" s="303"/>
      <c r="B121" s="303"/>
      <c r="C121" s="303"/>
      <c r="D121" s="206"/>
      <c r="E121" s="206"/>
      <c r="F121" s="206"/>
      <c r="G121" s="206"/>
      <c r="H121" s="206"/>
      <c r="I121" s="206"/>
      <c r="J121" s="206"/>
      <c r="K121" s="206"/>
      <c r="L121" s="206"/>
      <c r="M121" s="206"/>
      <c r="N121" s="206"/>
      <c r="O121" s="206"/>
      <c r="P121" s="206"/>
      <c r="Q121" s="206"/>
      <c r="R121" s="206"/>
      <c r="S121" s="206"/>
      <c r="T121" s="206"/>
      <c r="U121" s="206"/>
      <c r="V121" s="206"/>
      <c r="W121" s="206"/>
      <c r="X121" s="206"/>
      <c r="Y121" s="206"/>
      <c r="Z121" s="206"/>
      <c r="AA121" s="206"/>
      <c r="AB121" s="206"/>
      <c r="AC121" s="206"/>
      <c r="AD121" s="206"/>
      <c r="AE121" s="206"/>
      <c r="AF121" s="206"/>
      <c r="AG121" s="206"/>
      <c r="AH121" s="206"/>
      <c r="AI121" s="206"/>
      <c r="AJ121" s="206"/>
      <c r="AK121" s="206"/>
      <c r="AL121" s="206"/>
      <c r="AM121" s="206"/>
      <c r="AN121" s="206"/>
      <c r="AO121" s="206"/>
      <c r="AP121" s="206"/>
      <c r="AQ121" s="206"/>
      <c r="AR121" s="206"/>
      <c r="AS121" s="206"/>
      <c r="AT121" s="206"/>
      <c r="AU121" s="206"/>
      <c r="AV121" s="206"/>
      <c r="AW121" s="206"/>
      <c r="AX121" s="206"/>
      <c r="AY121" s="206"/>
      <c r="AZ121" s="206"/>
      <c r="BA121" s="206"/>
      <c r="BB121" s="206"/>
      <c r="BC121" s="206"/>
      <c r="BD121" s="206"/>
      <c r="BE121" s="206"/>
      <c r="BF121" s="206"/>
      <c r="BG121" s="206"/>
      <c r="BH121" s="206"/>
      <c r="BI121" s="206"/>
      <c r="BJ121" s="206"/>
      <c r="BK121" s="206"/>
      <c r="BL121" s="206"/>
      <c r="BM121" s="206"/>
      <c r="BN121" s="206"/>
      <c r="BO121" s="206"/>
      <c r="BP121" s="206"/>
      <c r="BQ121" s="206"/>
      <c r="BR121" s="206"/>
      <c r="BS121" s="206"/>
      <c r="BT121" s="206"/>
      <c r="BU121" s="206"/>
      <c r="BV121" s="206"/>
      <c r="BW121" s="206"/>
      <c r="BX121" s="206"/>
      <c r="BY121" s="206"/>
      <c r="BZ121" s="206"/>
      <c r="CA121" s="206"/>
      <c r="CB121" s="206"/>
      <c r="CC121" s="206"/>
      <c r="CD121" s="206"/>
      <c r="CE121" s="206"/>
      <c r="CF121" s="206"/>
      <c r="CG121" s="206"/>
      <c r="CH121" s="206"/>
      <c r="CI121" s="206"/>
      <c r="CJ121" s="206"/>
      <c r="CK121" s="206"/>
      <c r="CL121" s="206"/>
      <c r="CM121" s="206"/>
      <c r="CN121" s="206"/>
      <c r="CO121" s="206"/>
      <c r="CP121" s="206"/>
      <c r="CQ121" s="206"/>
      <c r="CR121" s="206"/>
      <c r="CS121" s="206"/>
      <c r="CT121" s="206"/>
      <c r="CU121" s="206"/>
      <c r="CV121" s="206"/>
      <c r="CW121" s="206"/>
      <c r="CX121" s="206"/>
      <c r="CY121" s="206"/>
      <c r="CZ121" s="206"/>
      <c r="DA121" s="206"/>
      <c r="DB121" s="206"/>
      <c r="DC121" s="206"/>
      <c r="DD121" s="206"/>
    </row>
    <row r="122" spans="1:108" x14ac:dyDescent="0.25">
      <c r="A122" s="303"/>
      <c r="B122" s="303"/>
      <c r="C122" s="303"/>
      <c r="D122" s="206"/>
      <c r="E122" s="206"/>
      <c r="F122" s="206"/>
      <c r="G122" s="206"/>
      <c r="H122" s="206"/>
      <c r="I122" s="206"/>
      <c r="J122" s="206"/>
      <c r="K122" s="206"/>
      <c r="L122" s="206"/>
      <c r="M122" s="206"/>
      <c r="N122" s="206"/>
      <c r="O122" s="206"/>
      <c r="P122" s="206"/>
      <c r="Q122" s="206"/>
      <c r="R122" s="206"/>
      <c r="S122" s="206"/>
      <c r="T122" s="206"/>
      <c r="U122" s="206"/>
      <c r="V122" s="206"/>
      <c r="W122" s="206"/>
      <c r="X122" s="206"/>
      <c r="Y122" s="206"/>
      <c r="Z122" s="206"/>
      <c r="AA122" s="206"/>
      <c r="AB122" s="206"/>
      <c r="AC122" s="206"/>
      <c r="AD122" s="206"/>
      <c r="AE122" s="206"/>
      <c r="AF122" s="206"/>
      <c r="AG122" s="206"/>
      <c r="AH122" s="206"/>
      <c r="AI122" s="206"/>
      <c r="AJ122" s="206"/>
      <c r="AK122" s="206"/>
      <c r="AL122" s="206"/>
      <c r="AM122" s="206"/>
      <c r="AN122" s="206"/>
      <c r="AO122" s="206"/>
      <c r="AP122" s="206"/>
      <c r="AQ122" s="206"/>
      <c r="AR122" s="206"/>
      <c r="AS122" s="206"/>
      <c r="AT122" s="206"/>
      <c r="AU122" s="206"/>
      <c r="AV122" s="206"/>
      <c r="AW122" s="206"/>
      <c r="AX122" s="206"/>
      <c r="AY122" s="206"/>
      <c r="AZ122" s="206"/>
      <c r="BA122" s="206"/>
      <c r="BB122" s="206"/>
      <c r="BC122" s="206"/>
      <c r="BD122" s="206"/>
      <c r="BE122" s="206"/>
      <c r="BF122" s="206"/>
      <c r="BG122" s="206"/>
      <c r="BH122" s="206"/>
      <c r="BI122" s="206"/>
      <c r="BJ122" s="206"/>
      <c r="BK122" s="206"/>
      <c r="BL122" s="206"/>
      <c r="BM122" s="206"/>
      <c r="BN122" s="206"/>
      <c r="BO122" s="206"/>
      <c r="BP122" s="206"/>
      <c r="BQ122" s="206"/>
      <c r="BR122" s="206"/>
      <c r="BS122" s="206"/>
      <c r="BT122" s="206"/>
      <c r="BU122" s="206"/>
      <c r="BV122" s="206"/>
      <c r="BW122" s="206"/>
      <c r="BX122" s="206"/>
      <c r="BY122" s="206"/>
      <c r="BZ122" s="206"/>
      <c r="CA122" s="206"/>
      <c r="CB122" s="206"/>
      <c r="CC122" s="206"/>
      <c r="CD122" s="206"/>
      <c r="CE122" s="206"/>
      <c r="CF122" s="206"/>
      <c r="CG122" s="206"/>
      <c r="CH122" s="206"/>
      <c r="CI122" s="206"/>
      <c r="CJ122" s="206"/>
      <c r="CK122" s="206"/>
      <c r="CL122" s="206"/>
      <c r="CM122" s="206"/>
      <c r="CN122" s="206"/>
      <c r="CO122" s="206"/>
      <c r="CP122" s="206"/>
      <c r="CQ122" s="206"/>
      <c r="CR122" s="206"/>
      <c r="CS122" s="206"/>
      <c r="CT122" s="206"/>
      <c r="CU122" s="206"/>
      <c r="CV122" s="206"/>
      <c r="CW122" s="206"/>
      <c r="CX122" s="206"/>
      <c r="CY122" s="206"/>
      <c r="CZ122" s="206"/>
      <c r="DA122" s="206"/>
      <c r="DB122" s="206"/>
      <c r="DC122" s="206"/>
      <c r="DD122" s="206"/>
    </row>
    <row r="123" spans="1:108" x14ac:dyDescent="0.25">
      <c r="A123" s="303"/>
      <c r="B123" s="303"/>
      <c r="C123" s="303"/>
      <c r="D123" s="206"/>
      <c r="E123" s="206"/>
      <c r="F123" s="206"/>
      <c r="G123" s="206"/>
      <c r="H123" s="206"/>
      <c r="I123" s="206"/>
      <c r="J123" s="206"/>
      <c r="K123" s="206"/>
      <c r="L123" s="206"/>
      <c r="M123" s="206"/>
      <c r="N123" s="206"/>
      <c r="O123" s="206"/>
      <c r="P123" s="206"/>
      <c r="Q123" s="206"/>
      <c r="R123" s="206"/>
      <c r="S123" s="206"/>
      <c r="T123" s="206"/>
      <c r="U123" s="206"/>
      <c r="V123" s="206"/>
      <c r="W123" s="206"/>
      <c r="X123" s="206"/>
      <c r="Y123" s="206"/>
      <c r="Z123" s="206"/>
      <c r="AA123" s="206"/>
      <c r="AB123" s="206"/>
      <c r="AC123" s="206"/>
      <c r="AD123" s="206"/>
      <c r="AE123" s="206"/>
      <c r="AF123" s="206"/>
      <c r="AG123" s="206"/>
      <c r="AH123" s="206"/>
      <c r="AI123" s="206"/>
      <c r="AJ123" s="206"/>
      <c r="AK123" s="206"/>
      <c r="AL123" s="206"/>
      <c r="AM123" s="206"/>
      <c r="AN123" s="206"/>
      <c r="AO123" s="206"/>
      <c r="AP123" s="206"/>
      <c r="AQ123" s="206"/>
      <c r="AR123" s="206"/>
      <c r="AS123" s="206"/>
      <c r="AT123" s="206"/>
      <c r="AU123" s="206"/>
      <c r="AV123" s="206"/>
      <c r="AW123" s="206"/>
      <c r="AX123" s="206"/>
      <c r="AY123" s="206"/>
      <c r="AZ123" s="206"/>
      <c r="BA123" s="206"/>
      <c r="BB123" s="206"/>
      <c r="BC123" s="206"/>
      <c r="BD123" s="206"/>
      <c r="BE123" s="206"/>
      <c r="BF123" s="206"/>
      <c r="BG123" s="206"/>
      <c r="BH123" s="206"/>
      <c r="BI123" s="206"/>
      <c r="BJ123" s="206"/>
      <c r="BK123" s="206"/>
      <c r="BL123" s="206"/>
      <c r="BM123" s="206"/>
      <c r="BN123" s="206"/>
      <c r="BO123" s="206"/>
      <c r="BP123" s="206"/>
      <c r="BQ123" s="206"/>
      <c r="BR123" s="206"/>
      <c r="BS123" s="206"/>
      <c r="BT123" s="206"/>
      <c r="BU123" s="206"/>
      <c r="BV123" s="206"/>
      <c r="BW123" s="206"/>
      <c r="BX123" s="206"/>
      <c r="BY123" s="206"/>
      <c r="BZ123" s="206"/>
      <c r="CA123" s="206"/>
      <c r="CB123" s="206"/>
      <c r="CC123" s="206"/>
      <c r="CD123" s="206"/>
      <c r="CE123" s="206"/>
      <c r="CF123" s="206"/>
      <c r="CG123" s="206"/>
      <c r="CH123" s="206"/>
      <c r="CI123" s="206"/>
      <c r="CJ123" s="206"/>
      <c r="CK123" s="206"/>
      <c r="CL123" s="206"/>
      <c r="CM123" s="206"/>
      <c r="CN123" s="206"/>
      <c r="CO123" s="206"/>
      <c r="CP123" s="206"/>
      <c r="CQ123" s="206"/>
      <c r="CR123" s="206"/>
      <c r="CS123" s="206"/>
      <c r="CT123" s="206"/>
      <c r="CU123" s="206"/>
      <c r="CV123" s="206"/>
      <c r="CW123" s="206"/>
      <c r="CX123" s="206"/>
      <c r="CY123" s="206"/>
      <c r="CZ123" s="206"/>
      <c r="DA123" s="206"/>
      <c r="DB123" s="206"/>
      <c r="DC123" s="206"/>
      <c r="DD123" s="206"/>
    </row>
    <row r="124" spans="1:108" x14ac:dyDescent="0.25">
      <c r="A124" s="303"/>
      <c r="B124" s="303"/>
      <c r="C124" s="303"/>
      <c r="D124" s="206"/>
      <c r="E124" s="206"/>
      <c r="F124" s="206"/>
      <c r="G124" s="206"/>
      <c r="H124" s="206"/>
      <c r="I124" s="206"/>
      <c r="J124" s="206"/>
      <c r="K124" s="206"/>
      <c r="L124" s="206"/>
      <c r="M124" s="206"/>
      <c r="N124" s="206"/>
      <c r="O124" s="206"/>
      <c r="P124" s="206"/>
      <c r="Q124" s="206"/>
      <c r="R124" s="206"/>
      <c r="S124" s="206"/>
      <c r="T124" s="206"/>
      <c r="U124" s="206"/>
      <c r="V124" s="206"/>
      <c r="W124" s="206"/>
      <c r="X124" s="206"/>
      <c r="Y124" s="206"/>
      <c r="Z124" s="206"/>
      <c r="AA124" s="206"/>
      <c r="AB124" s="206"/>
      <c r="AC124" s="206"/>
      <c r="AD124" s="206"/>
      <c r="AE124" s="206"/>
      <c r="AF124" s="206"/>
      <c r="AG124" s="206"/>
      <c r="AH124" s="206"/>
      <c r="AI124" s="206"/>
      <c r="AJ124" s="206"/>
      <c r="AK124" s="206"/>
      <c r="AL124" s="206"/>
      <c r="AM124" s="206"/>
      <c r="AN124" s="206"/>
      <c r="AO124" s="206"/>
      <c r="AP124" s="206"/>
      <c r="AQ124" s="206"/>
      <c r="AR124" s="206"/>
      <c r="AS124" s="206"/>
      <c r="AT124" s="206"/>
      <c r="AU124" s="206"/>
      <c r="AV124" s="206"/>
      <c r="AW124" s="206"/>
      <c r="AX124" s="206"/>
      <c r="AY124" s="206"/>
      <c r="AZ124" s="206"/>
      <c r="BA124" s="206"/>
      <c r="BB124" s="206"/>
      <c r="BC124" s="206"/>
      <c r="BD124" s="206"/>
      <c r="BE124" s="206"/>
      <c r="BF124" s="206"/>
      <c r="BG124" s="206"/>
      <c r="BH124" s="206"/>
      <c r="BI124" s="206"/>
      <c r="BJ124" s="206"/>
      <c r="BK124" s="206"/>
      <c r="BL124" s="206"/>
      <c r="BM124" s="206"/>
      <c r="BN124" s="206"/>
      <c r="BO124" s="206"/>
      <c r="BP124" s="206"/>
      <c r="BQ124" s="206"/>
      <c r="BR124" s="206"/>
      <c r="BS124" s="206"/>
      <c r="BT124" s="206"/>
      <c r="BU124" s="206"/>
      <c r="BV124" s="206"/>
      <c r="BW124" s="206"/>
      <c r="BX124" s="206"/>
      <c r="BY124" s="206"/>
      <c r="BZ124" s="206"/>
      <c r="CA124" s="206"/>
      <c r="CB124" s="206"/>
      <c r="CC124" s="206"/>
      <c r="CD124" s="206"/>
      <c r="CE124" s="206"/>
      <c r="CF124" s="206"/>
      <c r="CG124" s="206"/>
      <c r="CH124" s="206"/>
      <c r="CI124" s="206"/>
      <c r="CJ124" s="206"/>
      <c r="CK124" s="206"/>
      <c r="CL124" s="206"/>
      <c r="CM124" s="206"/>
      <c r="CN124" s="206"/>
      <c r="CO124" s="206"/>
      <c r="CP124" s="206"/>
      <c r="CQ124" s="206"/>
      <c r="CR124" s="206"/>
      <c r="CS124" s="206"/>
      <c r="CT124" s="206"/>
      <c r="CU124" s="206"/>
      <c r="CV124" s="206"/>
      <c r="CW124" s="206"/>
      <c r="CX124" s="206"/>
      <c r="CY124" s="206"/>
      <c r="CZ124" s="206"/>
      <c r="DA124" s="206"/>
      <c r="DB124" s="206"/>
      <c r="DC124" s="206"/>
      <c r="DD124" s="206"/>
    </row>
    <row r="125" spans="1:108" x14ac:dyDescent="0.25">
      <c r="A125" s="303"/>
      <c r="B125" s="303"/>
      <c r="C125" s="303"/>
      <c r="D125" s="206"/>
      <c r="E125" s="206"/>
      <c r="F125" s="206"/>
      <c r="G125" s="206"/>
      <c r="H125" s="206"/>
      <c r="I125" s="206"/>
      <c r="J125" s="206"/>
      <c r="K125" s="206"/>
      <c r="L125" s="206"/>
      <c r="M125" s="206"/>
      <c r="N125" s="206"/>
      <c r="O125" s="206"/>
      <c r="P125" s="206"/>
      <c r="Q125" s="206"/>
      <c r="R125" s="206"/>
      <c r="S125" s="206"/>
      <c r="T125" s="206"/>
      <c r="U125" s="206"/>
      <c r="V125" s="206"/>
      <c r="W125" s="206"/>
      <c r="X125" s="206"/>
      <c r="Y125" s="206"/>
      <c r="Z125" s="206"/>
      <c r="AA125" s="206"/>
      <c r="AB125" s="206"/>
      <c r="AC125" s="206"/>
      <c r="AD125" s="206"/>
      <c r="AE125" s="206"/>
      <c r="AF125" s="206"/>
      <c r="AG125" s="206"/>
      <c r="AH125" s="206"/>
      <c r="AI125" s="206"/>
      <c r="AJ125" s="206"/>
      <c r="AK125" s="206"/>
      <c r="AL125" s="206"/>
      <c r="AM125" s="206"/>
      <c r="AN125" s="206"/>
      <c r="AO125" s="206"/>
      <c r="AP125" s="206"/>
      <c r="AQ125" s="206"/>
      <c r="AR125" s="206"/>
      <c r="AS125" s="206"/>
      <c r="AT125" s="206"/>
      <c r="AU125" s="206"/>
      <c r="AV125" s="206"/>
      <c r="AW125" s="206"/>
      <c r="AX125" s="206"/>
      <c r="AY125" s="206"/>
      <c r="AZ125" s="206"/>
      <c r="BA125" s="206"/>
      <c r="BB125" s="206"/>
      <c r="BC125" s="206"/>
      <c r="BD125" s="206"/>
      <c r="BE125" s="206"/>
      <c r="BF125" s="206"/>
      <c r="BG125" s="206"/>
      <c r="BH125" s="206"/>
      <c r="BI125" s="206"/>
      <c r="BJ125" s="206"/>
      <c r="BK125" s="206"/>
      <c r="BL125" s="206"/>
      <c r="BM125" s="206"/>
      <c r="BN125" s="206"/>
      <c r="BO125" s="206"/>
      <c r="BP125" s="206"/>
      <c r="BQ125" s="206"/>
      <c r="BR125" s="206"/>
      <c r="BS125" s="206"/>
      <c r="BT125" s="206"/>
      <c r="BU125" s="206"/>
      <c r="BV125" s="206"/>
      <c r="BW125" s="206"/>
      <c r="BX125" s="206"/>
      <c r="BY125" s="206"/>
      <c r="BZ125" s="206"/>
      <c r="CA125" s="206"/>
      <c r="CB125" s="206"/>
      <c r="CC125" s="206"/>
      <c r="CD125" s="206"/>
      <c r="CE125" s="206"/>
      <c r="CF125" s="206"/>
      <c r="CG125" s="206"/>
      <c r="CH125" s="206"/>
      <c r="CI125" s="206"/>
      <c r="CJ125" s="206"/>
      <c r="CK125" s="206"/>
      <c r="CL125" s="206"/>
      <c r="CM125" s="206"/>
      <c r="CN125" s="206"/>
      <c r="CO125" s="206"/>
      <c r="CP125" s="206"/>
      <c r="CQ125" s="206"/>
      <c r="CR125" s="206"/>
      <c r="CS125" s="206"/>
      <c r="CT125" s="206"/>
      <c r="CU125" s="206"/>
      <c r="CV125" s="206"/>
      <c r="CW125" s="206"/>
      <c r="CX125" s="206"/>
      <c r="CY125" s="206"/>
      <c r="CZ125" s="206"/>
      <c r="DA125" s="206"/>
      <c r="DB125" s="206"/>
      <c r="DC125" s="206"/>
      <c r="DD125" s="206"/>
    </row>
    <row r="126" spans="1:108" x14ac:dyDescent="0.25">
      <c r="A126" s="303"/>
      <c r="B126" s="303"/>
      <c r="C126" s="303"/>
      <c r="D126" s="206"/>
      <c r="E126" s="206"/>
      <c r="F126" s="206"/>
      <c r="G126" s="206"/>
      <c r="H126" s="206"/>
      <c r="I126" s="206"/>
      <c r="J126" s="206"/>
      <c r="K126" s="206"/>
      <c r="L126" s="206"/>
      <c r="M126" s="206"/>
      <c r="N126" s="206"/>
      <c r="O126" s="206"/>
      <c r="P126" s="206"/>
      <c r="Q126" s="206"/>
      <c r="R126" s="206"/>
      <c r="S126" s="206"/>
      <c r="T126" s="206"/>
      <c r="U126" s="206"/>
      <c r="V126" s="206"/>
      <c r="W126" s="206"/>
      <c r="X126" s="206"/>
      <c r="Y126" s="206"/>
      <c r="Z126" s="206"/>
      <c r="AA126" s="206"/>
      <c r="AB126" s="206"/>
      <c r="AC126" s="206"/>
      <c r="AD126" s="206"/>
      <c r="AE126" s="206"/>
      <c r="AF126" s="206"/>
      <c r="AG126" s="206"/>
      <c r="AH126" s="206"/>
      <c r="AI126" s="206"/>
      <c r="AJ126" s="206"/>
      <c r="AK126" s="206"/>
      <c r="AL126" s="206"/>
      <c r="AM126" s="206"/>
      <c r="AN126" s="206"/>
      <c r="AO126" s="206"/>
      <c r="AP126" s="206"/>
      <c r="AQ126" s="206"/>
      <c r="AR126" s="206"/>
      <c r="AS126" s="206"/>
      <c r="AT126" s="206"/>
      <c r="AU126" s="206"/>
      <c r="AV126" s="206"/>
      <c r="AW126" s="206"/>
      <c r="AX126" s="206"/>
      <c r="AY126" s="206"/>
      <c r="AZ126" s="206"/>
      <c r="BA126" s="206"/>
      <c r="BB126" s="206"/>
      <c r="BC126" s="206"/>
      <c r="BD126" s="206"/>
      <c r="BE126" s="206"/>
      <c r="BF126" s="206"/>
      <c r="BG126" s="206"/>
      <c r="BH126" s="206"/>
      <c r="BI126" s="206"/>
      <c r="BJ126" s="206"/>
      <c r="BK126" s="206"/>
      <c r="BL126" s="206"/>
      <c r="BM126" s="206"/>
      <c r="BN126" s="206"/>
      <c r="BO126" s="206"/>
      <c r="BP126" s="206"/>
      <c r="BQ126" s="206"/>
      <c r="BR126" s="206"/>
      <c r="BS126" s="206"/>
      <c r="BT126" s="206"/>
      <c r="BU126" s="206"/>
      <c r="BV126" s="206"/>
      <c r="BW126" s="206"/>
      <c r="BX126" s="206"/>
      <c r="BY126" s="206"/>
      <c r="BZ126" s="206"/>
      <c r="CA126" s="206"/>
      <c r="CB126" s="206"/>
      <c r="CC126" s="206"/>
      <c r="CD126" s="206"/>
      <c r="CE126" s="206"/>
      <c r="CF126" s="206"/>
      <c r="CG126" s="206"/>
      <c r="CH126" s="206"/>
      <c r="CI126" s="206"/>
      <c r="CJ126" s="206"/>
      <c r="CK126" s="206"/>
      <c r="CL126" s="206"/>
      <c r="CM126" s="206"/>
      <c r="CN126" s="206"/>
      <c r="CO126" s="206"/>
      <c r="CP126" s="206"/>
      <c r="CQ126" s="206"/>
      <c r="CR126" s="206"/>
      <c r="CS126" s="206"/>
      <c r="CT126" s="206"/>
      <c r="CU126" s="206"/>
      <c r="CV126" s="206"/>
      <c r="CW126" s="206"/>
      <c r="CX126" s="206"/>
      <c r="CY126" s="206"/>
      <c r="CZ126" s="206"/>
      <c r="DA126" s="206"/>
      <c r="DB126" s="206"/>
      <c r="DC126" s="206"/>
      <c r="DD126" s="206"/>
    </row>
    <row r="127" spans="1:108" x14ac:dyDescent="0.25">
      <c r="A127" s="303"/>
      <c r="B127" s="303"/>
      <c r="C127" s="303"/>
      <c r="D127" s="206"/>
      <c r="E127" s="206"/>
      <c r="F127" s="206"/>
      <c r="G127" s="206"/>
      <c r="H127" s="206"/>
      <c r="I127" s="206"/>
      <c r="J127" s="206"/>
      <c r="K127" s="206"/>
      <c r="L127" s="206"/>
      <c r="M127" s="206"/>
      <c r="N127" s="206"/>
      <c r="O127" s="206"/>
      <c r="P127" s="206"/>
      <c r="Q127" s="206"/>
      <c r="R127" s="206"/>
      <c r="S127" s="206"/>
      <c r="T127" s="206"/>
      <c r="U127" s="206"/>
      <c r="V127" s="206"/>
      <c r="W127" s="206"/>
      <c r="X127" s="206"/>
      <c r="Y127" s="206"/>
      <c r="Z127" s="206"/>
      <c r="AA127" s="206"/>
      <c r="AB127" s="206"/>
      <c r="AC127" s="206"/>
      <c r="AD127" s="206"/>
      <c r="AE127" s="206"/>
      <c r="AF127" s="206"/>
      <c r="AG127" s="206"/>
      <c r="AH127" s="206"/>
      <c r="AI127" s="206"/>
      <c r="AJ127" s="206"/>
      <c r="AK127" s="206"/>
      <c r="AL127" s="206"/>
      <c r="AM127" s="206"/>
      <c r="AN127" s="206"/>
      <c r="AO127" s="206"/>
      <c r="AP127" s="206"/>
      <c r="AQ127" s="206"/>
      <c r="AR127" s="206"/>
      <c r="AS127" s="206"/>
      <c r="AT127" s="206"/>
      <c r="AU127" s="206"/>
      <c r="AV127" s="206"/>
      <c r="AW127" s="206"/>
      <c r="AX127" s="206"/>
      <c r="AY127" s="206"/>
      <c r="AZ127" s="206"/>
      <c r="BA127" s="206"/>
      <c r="BB127" s="206"/>
      <c r="BC127" s="206"/>
      <c r="BD127" s="206"/>
      <c r="BE127" s="206"/>
      <c r="BF127" s="206"/>
      <c r="BG127" s="206"/>
      <c r="BH127" s="206"/>
      <c r="BI127" s="206"/>
      <c r="BJ127" s="206"/>
      <c r="BK127" s="206"/>
      <c r="BL127" s="206"/>
      <c r="BM127" s="206"/>
      <c r="BN127" s="206"/>
      <c r="BO127" s="206"/>
      <c r="BP127" s="206"/>
      <c r="BQ127" s="206"/>
      <c r="BR127" s="206"/>
      <c r="BS127" s="206"/>
      <c r="BT127" s="206"/>
      <c r="BU127" s="206"/>
      <c r="BV127" s="206"/>
      <c r="BW127" s="206"/>
      <c r="BX127" s="206"/>
      <c r="BY127" s="206"/>
      <c r="BZ127" s="206"/>
      <c r="CA127" s="206"/>
      <c r="CB127" s="206"/>
      <c r="CC127" s="206"/>
      <c r="CD127" s="206"/>
      <c r="CE127" s="206"/>
      <c r="CF127" s="206"/>
      <c r="CG127" s="206"/>
      <c r="CH127" s="206"/>
      <c r="CI127" s="206"/>
      <c r="CJ127" s="206"/>
      <c r="CK127" s="206"/>
      <c r="CL127" s="206"/>
      <c r="CM127" s="206"/>
      <c r="CN127" s="206"/>
      <c r="CO127" s="206"/>
      <c r="CP127" s="206"/>
      <c r="CQ127" s="206"/>
      <c r="CR127" s="206"/>
      <c r="CS127" s="206"/>
      <c r="CT127" s="206"/>
      <c r="CU127" s="206"/>
      <c r="CV127" s="206"/>
      <c r="CW127" s="206"/>
      <c r="CX127" s="206"/>
      <c r="CY127" s="206"/>
      <c r="CZ127" s="206"/>
      <c r="DA127" s="206"/>
      <c r="DB127" s="206"/>
      <c r="DC127" s="206"/>
      <c r="DD127" s="206"/>
    </row>
    <row r="128" spans="1:108" x14ac:dyDescent="0.25">
      <c r="A128" s="303"/>
      <c r="B128" s="303"/>
      <c r="C128" s="303"/>
      <c r="D128" s="206"/>
      <c r="E128" s="206"/>
      <c r="F128" s="206"/>
      <c r="G128" s="206"/>
      <c r="H128" s="206"/>
      <c r="I128" s="206"/>
      <c r="J128" s="206"/>
      <c r="K128" s="206"/>
      <c r="L128" s="206"/>
      <c r="M128" s="206"/>
      <c r="N128" s="206"/>
      <c r="O128" s="206"/>
      <c r="P128" s="206"/>
      <c r="Q128" s="206"/>
      <c r="R128" s="206"/>
      <c r="S128" s="206"/>
      <c r="T128" s="206"/>
      <c r="U128" s="206"/>
      <c r="V128" s="206"/>
      <c r="W128" s="206"/>
      <c r="X128" s="206"/>
      <c r="Y128" s="206"/>
      <c r="Z128" s="206"/>
      <c r="AA128" s="206"/>
      <c r="AB128" s="206"/>
      <c r="AC128" s="206"/>
      <c r="AD128" s="206"/>
      <c r="AE128" s="206"/>
      <c r="AF128" s="206"/>
      <c r="AG128" s="206"/>
      <c r="AH128" s="206"/>
      <c r="AI128" s="206"/>
      <c r="AJ128" s="206"/>
      <c r="AK128" s="206"/>
      <c r="AL128" s="206"/>
      <c r="AM128" s="206"/>
      <c r="AN128" s="206"/>
      <c r="AO128" s="206"/>
      <c r="AP128" s="206"/>
      <c r="AQ128" s="206"/>
      <c r="AR128" s="206"/>
      <c r="AS128" s="206"/>
      <c r="AT128" s="206"/>
      <c r="AU128" s="206"/>
      <c r="AV128" s="206"/>
      <c r="AW128" s="206"/>
      <c r="AX128" s="206"/>
      <c r="AY128" s="206"/>
      <c r="AZ128" s="206"/>
      <c r="BA128" s="206"/>
      <c r="BB128" s="206"/>
      <c r="BC128" s="206"/>
      <c r="BD128" s="206"/>
      <c r="BE128" s="206"/>
      <c r="BF128" s="206"/>
      <c r="BG128" s="206"/>
      <c r="BH128" s="206"/>
      <c r="BI128" s="206"/>
      <c r="BJ128" s="206"/>
      <c r="BK128" s="206"/>
      <c r="BL128" s="206"/>
      <c r="BM128" s="206"/>
      <c r="BN128" s="206"/>
      <c r="BO128" s="206"/>
      <c r="BP128" s="206"/>
      <c r="BQ128" s="206"/>
      <c r="BR128" s="206"/>
      <c r="BS128" s="206"/>
      <c r="BT128" s="206"/>
      <c r="BU128" s="206"/>
      <c r="BV128" s="206"/>
      <c r="BW128" s="206"/>
      <c r="BX128" s="206"/>
      <c r="BY128" s="206"/>
      <c r="BZ128" s="206"/>
      <c r="CA128" s="206"/>
      <c r="CB128" s="206"/>
      <c r="CC128" s="206"/>
      <c r="CD128" s="206"/>
      <c r="CE128" s="206"/>
      <c r="CF128" s="206"/>
      <c r="CG128" s="206"/>
      <c r="CH128" s="206"/>
      <c r="CI128" s="206"/>
      <c r="CJ128" s="206"/>
      <c r="CK128" s="206"/>
      <c r="CL128" s="206"/>
      <c r="CM128" s="206"/>
      <c r="CN128" s="206"/>
      <c r="CO128" s="206"/>
      <c r="CP128" s="206"/>
      <c r="CQ128" s="206"/>
      <c r="CR128" s="206"/>
      <c r="CS128" s="206"/>
      <c r="CT128" s="206"/>
      <c r="CU128" s="206"/>
      <c r="CV128" s="206"/>
      <c r="CW128" s="206"/>
      <c r="CX128" s="206"/>
      <c r="CY128" s="206"/>
      <c r="CZ128" s="206"/>
      <c r="DA128" s="206"/>
      <c r="DB128" s="206"/>
      <c r="DC128" s="206"/>
      <c r="DD128" s="206"/>
    </row>
    <row r="129" spans="1:108" x14ac:dyDescent="0.25">
      <c r="A129" s="303"/>
      <c r="B129" s="303"/>
      <c r="C129" s="303"/>
      <c r="D129" s="206"/>
      <c r="E129" s="206"/>
      <c r="F129" s="206"/>
      <c r="G129" s="206"/>
      <c r="H129" s="206"/>
      <c r="I129" s="206"/>
      <c r="J129" s="206"/>
      <c r="K129" s="206"/>
      <c r="L129" s="206"/>
      <c r="M129" s="206"/>
      <c r="N129" s="206"/>
      <c r="O129" s="206"/>
      <c r="P129" s="206"/>
      <c r="Q129" s="206"/>
      <c r="R129" s="206"/>
      <c r="S129" s="206"/>
      <c r="T129" s="206"/>
      <c r="U129" s="206"/>
      <c r="V129" s="206"/>
      <c r="W129" s="206"/>
      <c r="X129" s="206"/>
      <c r="Y129" s="206"/>
      <c r="Z129" s="206"/>
      <c r="AA129" s="206"/>
      <c r="AB129" s="206"/>
      <c r="AC129" s="206"/>
      <c r="AD129" s="206"/>
      <c r="AE129" s="206"/>
      <c r="AF129" s="206"/>
      <c r="AG129" s="206"/>
      <c r="AH129" s="206"/>
      <c r="AI129" s="206"/>
      <c r="AJ129" s="206"/>
      <c r="AK129" s="206"/>
      <c r="AL129" s="206"/>
      <c r="AM129" s="206"/>
      <c r="AN129" s="206"/>
      <c r="AO129" s="206"/>
      <c r="AP129" s="206"/>
      <c r="AQ129" s="206"/>
      <c r="AR129" s="206"/>
      <c r="AS129" s="206"/>
      <c r="AT129" s="206"/>
      <c r="AU129" s="206"/>
      <c r="AV129" s="206"/>
      <c r="AW129" s="206"/>
      <c r="AX129" s="206"/>
      <c r="AY129" s="206"/>
      <c r="AZ129" s="206"/>
      <c r="BA129" s="206"/>
      <c r="BB129" s="206"/>
      <c r="BC129" s="206"/>
      <c r="BD129" s="206"/>
      <c r="BE129" s="206"/>
      <c r="BF129" s="206"/>
      <c r="BG129" s="206"/>
      <c r="BH129" s="206"/>
      <c r="BI129" s="206"/>
      <c r="BJ129" s="206"/>
      <c r="BK129" s="206"/>
      <c r="BL129" s="206"/>
      <c r="BM129" s="206"/>
      <c r="BN129" s="206"/>
      <c r="BO129" s="206"/>
      <c r="BP129" s="206"/>
      <c r="BQ129" s="206"/>
      <c r="BR129" s="206"/>
      <c r="BS129" s="206"/>
      <c r="BT129" s="206"/>
      <c r="BU129" s="206"/>
      <c r="BV129" s="206"/>
      <c r="BW129" s="206"/>
      <c r="BX129" s="206"/>
      <c r="BY129" s="206"/>
      <c r="BZ129" s="206"/>
      <c r="CA129" s="206"/>
      <c r="CB129" s="206"/>
      <c r="CC129" s="206"/>
      <c r="CD129" s="206"/>
      <c r="CE129" s="206"/>
      <c r="CF129" s="206"/>
      <c r="CG129" s="206"/>
      <c r="CH129" s="206"/>
      <c r="CI129" s="206"/>
      <c r="CJ129" s="206"/>
      <c r="CK129" s="206"/>
      <c r="CL129" s="206"/>
      <c r="CM129" s="206"/>
      <c r="CN129" s="206"/>
      <c r="CO129" s="206"/>
      <c r="CP129" s="206"/>
      <c r="CQ129" s="206"/>
      <c r="CR129" s="206"/>
      <c r="CS129" s="206"/>
      <c r="CT129" s="206"/>
      <c r="CU129" s="206"/>
      <c r="CV129" s="206"/>
      <c r="CW129" s="206"/>
      <c r="CX129" s="206"/>
      <c r="CY129" s="206"/>
      <c r="CZ129" s="206"/>
      <c r="DA129" s="206"/>
      <c r="DB129" s="206"/>
      <c r="DC129" s="206"/>
      <c r="DD129" s="206"/>
    </row>
    <row r="130" spans="1:108" x14ac:dyDescent="0.25">
      <c r="A130" s="303"/>
      <c r="B130" s="303"/>
      <c r="C130" s="303"/>
      <c r="D130" s="206"/>
      <c r="E130" s="206"/>
      <c r="F130" s="206"/>
      <c r="G130" s="206"/>
      <c r="H130" s="206"/>
      <c r="I130" s="206"/>
      <c r="J130" s="206"/>
      <c r="K130" s="206"/>
      <c r="L130" s="206"/>
      <c r="M130" s="206"/>
      <c r="N130" s="206"/>
      <c r="O130" s="206"/>
      <c r="P130" s="206"/>
      <c r="Q130" s="206"/>
      <c r="R130" s="206"/>
      <c r="S130" s="206"/>
      <c r="T130" s="206"/>
      <c r="U130" s="206"/>
      <c r="V130" s="206"/>
      <c r="W130" s="206"/>
      <c r="X130" s="206"/>
      <c r="Y130" s="206"/>
      <c r="Z130" s="206"/>
      <c r="AA130" s="206"/>
      <c r="AB130" s="206"/>
      <c r="AC130" s="206"/>
      <c r="AD130" s="206"/>
      <c r="AE130" s="206"/>
      <c r="AF130" s="206"/>
      <c r="AG130" s="206"/>
      <c r="AH130" s="206"/>
      <c r="AI130" s="206"/>
      <c r="AJ130" s="206"/>
      <c r="AK130" s="206"/>
      <c r="AL130" s="206"/>
      <c r="AM130" s="206"/>
      <c r="AN130" s="206"/>
      <c r="AO130" s="206"/>
      <c r="AP130" s="206"/>
      <c r="AQ130" s="206"/>
      <c r="AR130" s="206"/>
      <c r="AS130" s="206"/>
      <c r="AT130" s="206"/>
      <c r="AU130" s="206"/>
      <c r="AV130" s="206"/>
      <c r="AW130" s="206"/>
      <c r="AX130" s="206"/>
      <c r="AY130" s="206"/>
      <c r="AZ130" s="206"/>
      <c r="BA130" s="206"/>
      <c r="BB130" s="206"/>
      <c r="BC130" s="206"/>
      <c r="BD130" s="206"/>
      <c r="BE130" s="206"/>
      <c r="BF130" s="206"/>
      <c r="BG130" s="206"/>
      <c r="BH130" s="206"/>
      <c r="BI130" s="206"/>
      <c r="BJ130" s="206"/>
      <c r="BK130" s="206"/>
      <c r="BL130" s="206"/>
      <c r="BM130" s="206"/>
      <c r="BN130" s="206"/>
      <c r="BO130" s="206"/>
      <c r="BP130" s="206"/>
      <c r="BQ130" s="206"/>
      <c r="BR130" s="206"/>
      <c r="BS130" s="206"/>
      <c r="BT130" s="206"/>
      <c r="BU130" s="206"/>
      <c r="BV130" s="206"/>
      <c r="BW130" s="206"/>
      <c r="BX130" s="206"/>
      <c r="BY130" s="206"/>
      <c r="BZ130" s="206"/>
      <c r="CA130" s="206"/>
      <c r="CB130" s="206"/>
      <c r="CC130" s="206"/>
      <c r="CD130" s="206"/>
      <c r="CE130" s="206"/>
      <c r="CF130" s="206"/>
      <c r="CG130" s="206"/>
      <c r="CH130" s="206"/>
      <c r="CI130" s="206"/>
      <c r="CJ130" s="206"/>
      <c r="CK130" s="206"/>
      <c r="CL130" s="206"/>
      <c r="CM130" s="206"/>
      <c r="CN130" s="206"/>
      <c r="CO130" s="206"/>
      <c r="CP130" s="206"/>
      <c r="CQ130" s="206"/>
      <c r="CR130" s="206"/>
      <c r="CS130" s="206"/>
      <c r="CT130" s="206"/>
      <c r="CU130" s="206"/>
      <c r="CV130" s="206"/>
      <c r="CW130" s="206"/>
      <c r="CX130" s="206"/>
      <c r="CY130" s="206"/>
      <c r="CZ130" s="206"/>
      <c r="DA130" s="206"/>
      <c r="DB130" s="206"/>
      <c r="DC130" s="206"/>
      <c r="DD130" s="206"/>
    </row>
    <row r="131" spans="1:108" x14ac:dyDescent="0.25">
      <c r="A131" s="303"/>
      <c r="B131" s="303"/>
      <c r="C131" s="303"/>
      <c r="D131" s="206"/>
      <c r="E131" s="206"/>
      <c r="F131" s="206"/>
      <c r="G131" s="206"/>
      <c r="H131" s="206"/>
      <c r="I131" s="206"/>
      <c r="J131" s="206"/>
      <c r="K131" s="206"/>
      <c r="L131" s="206"/>
      <c r="M131" s="206"/>
      <c r="N131" s="206"/>
      <c r="O131" s="206"/>
      <c r="P131" s="206"/>
      <c r="Q131" s="206"/>
      <c r="R131" s="206"/>
      <c r="S131" s="206"/>
      <c r="T131" s="206"/>
      <c r="U131" s="206"/>
      <c r="V131" s="206"/>
      <c r="W131" s="206"/>
      <c r="X131" s="206"/>
      <c r="Y131" s="206"/>
      <c r="Z131" s="206"/>
      <c r="AA131" s="206"/>
      <c r="AB131" s="206"/>
      <c r="AC131" s="206"/>
      <c r="AD131" s="206"/>
      <c r="AE131" s="206"/>
      <c r="AF131" s="206"/>
      <c r="AG131" s="206"/>
      <c r="AH131" s="206"/>
      <c r="AI131" s="206"/>
      <c r="AJ131" s="206"/>
      <c r="AK131" s="206"/>
      <c r="AL131" s="206"/>
      <c r="AM131" s="206"/>
      <c r="AN131" s="206"/>
      <c r="AO131" s="206"/>
      <c r="AP131" s="206"/>
      <c r="AQ131" s="206"/>
      <c r="AR131" s="206"/>
      <c r="AS131" s="206"/>
      <c r="AT131" s="206"/>
      <c r="AU131" s="206"/>
      <c r="AV131" s="206"/>
      <c r="AW131" s="206"/>
      <c r="AX131" s="206"/>
      <c r="AY131" s="206"/>
      <c r="AZ131" s="206"/>
      <c r="BA131" s="206"/>
      <c r="BB131" s="206"/>
      <c r="BC131" s="206"/>
      <c r="BD131" s="206"/>
      <c r="BE131" s="206"/>
      <c r="BF131" s="206"/>
      <c r="BG131" s="206"/>
      <c r="BH131" s="206"/>
      <c r="BI131" s="206"/>
      <c r="BJ131" s="206"/>
      <c r="BK131" s="206"/>
      <c r="BL131" s="206"/>
      <c r="BM131" s="206"/>
      <c r="BN131" s="206"/>
      <c r="BO131" s="206"/>
      <c r="BP131" s="206"/>
      <c r="BQ131" s="206"/>
      <c r="BR131" s="206"/>
      <c r="BS131" s="206"/>
      <c r="BT131" s="206"/>
      <c r="BU131" s="206"/>
      <c r="BV131" s="206"/>
      <c r="BW131" s="206"/>
      <c r="BX131" s="206"/>
      <c r="BY131" s="206"/>
      <c r="BZ131" s="206"/>
      <c r="CA131" s="206"/>
      <c r="CB131" s="206"/>
      <c r="CC131" s="206"/>
      <c r="CD131" s="206"/>
      <c r="CE131" s="206"/>
      <c r="CF131" s="206"/>
      <c r="CG131" s="206"/>
      <c r="CH131" s="206"/>
      <c r="CI131" s="206"/>
      <c r="CJ131" s="206"/>
      <c r="CK131" s="206"/>
      <c r="CL131" s="206"/>
      <c r="CM131" s="206"/>
      <c r="CN131" s="206"/>
      <c r="CO131" s="206"/>
      <c r="CP131" s="206"/>
      <c r="CQ131" s="206"/>
      <c r="CR131" s="206"/>
      <c r="CS131" s="206"/>
      <c r="CT131" s="206"/>
      <c r="CU131" s="206"/>
      <c r="CV131" s="206"/>
      <c r="CW131" s="206"/>
      <c r="CX131" s="206"/>
      <c r="CY131" s="206"/>
      <c r="CZ131" s="206"/>
      <c r="DA131" s="206"/>
      <c r="DB131" s="206"/>
      <c r="DC131" s="206"/>
      <c r="DD131" s="206"/>
    </row>
    <row r="132" spans="1:108" x14ac:dyDescent="0.25">
      <c r="A132" s="303"/>
      <c r="B132" s="303"/>
      <c r="C132" s="303"/>
      <c r="D132" s="206"/>
      <c r="E132" s="206"/>
      <c r="F132" s="206"/>
      <c r="G132" s="206"/>
      <c r="H132" s="206"/>
      <c r="I132" s="206"/>
      <c r="J132" s="206"/>
      <c r="K132" s="206"/>
      <c r="L132" s="206"/>
      <c r="M132" s="206"/>
      <c r="N132" s="206"/>
      <c r="O132" s="206"/>
      <c r="P132" s="206"/>
      <c r="Q132" s="206"/>
      <c r="R132" s="206"/>
      <c r="S132" s="206"/>
      <c r="T132" s="206"/>
      <c r="U132" s="206"/>
      <c r="V132" s="206"/>
      <c r="W132" s="206"/>
      <c r="X132" s="206"/>
      <c r="Y132" s="206"/>
      <c r="Z132" s="206"/>
      <c r="AA132" s="206"/>
      <c r="AB132" s="206"/>
      <c r="AC132" s="206"/>
      <c r="AD132" s="206"/>
      <c r="AE132" s="206"/>
      <c r="AF132" s="206"/>
      <c r="AG132" s="206"/>
      <c r="AH132" s="206"/>
      <c r="AI132" s="206"/>
      <c r="AJ132" s="206"/>
      <c r="AK132" s="206"/>
      <c r="AL132" s="206"/>
      <c r="AM132" s="206"/>
      <c r="AN132" s="206"/>
      <c r="AO132" s="206"/>
      <c r="AP132" s="206"/>
      <c r="AQ132" s="206"/>
      <c r="AR132" s="206"/>
      <c r="AS132" s="206"/>
      <c r="AT132" s="206"/>
      <c r="AU132" s="206"/>
      <c r="AV132" s="206"/>
      <c r="AW132" s="206"/>
      <c r="AX132" s="206"/>
      <c r="AY132" s="206"/>
      <c r="AZ132" s="206"/>
      <c r="BA132" s="206"/>
      <c r="BB132" s="206"/>
      <c r="BC132" s="206"/>
      <c r="BD132" s="206"/>
      <c r="BE132" s="206"/>
      <c r="BF132" s="206"/>
      <c r="BG132" s="206"/>
      <c r="BH132" s="206"/>
      <c r="BI132" s="206"/>
      <c r="BJ132" s="206"/>
      <c r="BK132" s="206"/>
      <c r="BL132" s="206"/>
      <c r="BM132" s="206"/>
      <c r="BN132" s="206"/>
      <c r="BO132" s="206"/>
      <c r="BP132" s="206"/>
      <c r="BQ132" s="206"/>
      <c r="BR132" s="206"/>
      <c r="BS132" s="206"/>
      <c r="BT132" s="206"/>
      <c r="BU132" s="206"/>
      <c r="BV132" s="206"/>
      <c r="BW132" s="206"/>
      <c r="BX132" s="206"/>
      <c r="BY132" s="206"/>
      <c r="BZ132" s="206"/>
      <c r="CA132" s="206"/>
      <c r="CB132" s="206"/>
      <c r="CC132" s="206"/>
      <c r="CD132" s="206"/>
      <c r="CE132" s="206"/>
      <c r="CF132" s="206"/>
      <c r="CG132" s="206"/>
      <c r="CH132" s="206"/>
      <c r="CI132" s="206"/>
      <c r="CJ132" s="206"/>
      <c r="CK132" s="206"/>
      <c r="CL132" s="206"/>
      <c r="CM132" s="206"/>
      <c r="CN132" s="206"/>
      <c r="CO132" s="206"/>
      <c r="CP132" s="206"/>
      <c r="CQ132" s="206"/>
      <c r="CR132" s="206"/>
      <c r="CS132" s="206"/>
      <c r="CT132" s="206"/>
      <c r="CU132" s="206"/>
      <c r="CV132" s="206"/>
      <c r="CW132" s="206"/>
      <c r="CX132" s="206"/>
      <c r="CY132" s="206"/>
      <c r="CZ132" s="206"/>
      <c r="DA132" s="206"/>
      <c r="DB132" s="206"/>
      <c r="DC132" s="206"/>
      <c r="DD132" s="206"/>
    </row>
    <row r="133" spans="1:108" x14ac:dyDescent="0.25">
      <c r="A133" s="303"/>
      <c r="B133" s="303"/>
      <c r="C133" s="303"/>
      <c r="D133" s="206"/>
      <c r="E133" s="206"/>
      <c r="F133" s="206"/>
      <c r="G133" s="206"/>
      <c r="H133" s="206"/>
      <c r="I133" s="206"/>
      <c r="J133" s="206"/>
      <c r="K133" s="206"/>
      <c r="L133" s="206"/>
      <c r="M133" s="206"/>
      <c r="N133" s="206"/>
      <c r="O133" s="206"/>
      <c r="P133" s="206"/>
      <c r="Q133" s="206"/>
      <c r="R133" s="206"/>
      <c r="S133" s="206"/>
      <c r="T133" s="206"/>
      <c r="U133" s="206"/>
      <c r="V133" s="206"/>
      <c r="W133" s="206"/>
      <c r="X133" s="206"/>
      <c r="Y133" s="206"/>
      <c r="Z133" s="206"/>
      <c r="AA133" s="206"/>
      <c r="AB133" s="206"/>
      <c r="AC133" s="206"/>
      <c r="AD133" s="206"/>
      <c r="AE133" s="206"/>
      <c r="AF133" s="206"/>
      <c r="AG133" s="206"/>
      <c r="AH133" s="206"/>
      <c r="AI133" s="206"/>
      <c r="AJ133" s="206"/>
      <c r="AK133" s="206"/>
      <c r="AL133" s="206"/>
      <c r="AM133" s="206"/>
      <c r="AN133" s="206"/>
      <c r="AO133" s="206"/>
      <c r="AP133" s="206"/>
      <c r="AQ133" s="206"/>
      <c r="AR133" s="206"/>
      <c r="AS133" s="206"/>
      <c r="AT133" s="206"/>
      <c r="AU133" s="206"/>
      <c r="AV133" s="206"/>
      <c r="AW133" s="206"/>
      <c r="AX133" s="206"/>
      <c r="AY133" s="206"/>
      <c r="AZ133" s="206"/>
      <c r="BA133" s="206"/>
      <c r="BB133" s="206"/>
      <c r="BC133" s="206"/>
      <c r="BD133" s="206"/>
      <c r="BE133" s="206"/>
      <c r="BF133" s="206"/>
      <c r="BG133" s="206"/>
      <c r="BH133" s="206"/>
      <c r="BI133" s="206"/>
      <c r="BJ133" s="206"/>
      <c r="BK133" s="206"/>
      <c r="BL133" s="206"/>
      <c r="BM133" s="206"/>
      <c r="BN133" s="206"/>
      <c r="BO133" s="206"/>
      <c r="BP133" s="206"/>
      <c r="BQ133" s="206"/>
      <c r="BR133" s="206"/>
      <c r="BS133" s="206"/>
      <c r="BT133" s="206"/>
      <c r="BU133" s="206"/>
      <c r="BV133" s="206"/>
      <c r="BW133" s="206"/>
      <c r="BX133" s="206"/>
      <c r="BY133" s="206"/>
      <c r="BZ133" s="206"/>
      <c r="CA133" s="206"/>
      <c r="CB133" s="206"/>
      <c r="CC133" s="206"/>
      <c r="CD133" s="206"/>
      <c r="CE133" s="206"/>
      <c r="CF133" s="206"/>
      <c r="CG133" s="206"/>
      <c r="CH133" s="206"/>
      <c r="CI133" s="206"/>
      <c r="CJ133" s="206"/>
      <c r="CK133" s="206"/>
      <c r="CL133" s="206"/>
      <c r="CM133" s="206"/>
      <c r="CN133" s="206"/>
      <c r="CO133" s="206"/>
      <c r="CP133" s="206"/>
      <c r="CQ133" s="206"/>
      <c r="CR133" s="206"/>
      <c r="CS133" s="206"/>
      <c r="CT133" s="206"/>
      <c r="CU133" s="206"/>
      <c r="CV133" s="206"/>
      <c r="CW133" s="206"/>
      <c r="CX133" s="206"/>
      <c r="CY133" s="206"/>
      <c r="CZ133" s="206"/>
      <c r="DA133" s="206"/>
      <c r="DB133" s="206"/>
      <c r="DC133" s="206"/>
      <c r="DD133" s="206"/>
    </row>
    <row r="134" spans="1:108" x14ac:dyDescent="0.25">
      <c r="A134" s="303"/>
      <c r="B134" s="303"/>
      <c r="C134" s="303"/>
      <c r="D134" s="206"/>
      <c r="E134" s="206"/>
      <c r="F134" s="206"/>
      <c r="G134" s="206"/>
      <c r="H134" s="206"/>
      <c r="I134" s="206"/>
      <c r="J134" s="206"/>
      <c r="K134" s="206"/>
      <c r="L134" s="206"/>
      <c r="M134" s="206"/>
      <c r="N134" s="206"/>
      <c r="O134" s="206"/>
      <c r="P134" s="206"/>
      <c r="Q134" s="206"/>
      <c r="R134" s="206"/>
      <c r="S134" s="206"/>
      <c r="T134" s="206"/>
      <c r="U134" s="206"/>
      <c r="V134" s="206"/>
      <c r="W134" s="206"/>
      <c r="X134" s="206"/>
      <c r="Y134" s="206"/>
      <c r="Z134" s="206"/>
      <c r="AA134" s="206"/>
      <c r="AB134" s="206"/>
      <c r="AC134" s="206"/>
      <c r="AD134" s="206"/>
      <c r="AE134" s="206"/>
      <c r="AF134" s="206"/>
      <c r="AG134" s="206"/>
      <c r="AH134" s="206"/>
      <c r="AI134" s="206"/>
      <c r="AJ134" s="206"/>
      <c r="AK134" s="206"/>
      <c r="AL134" s="206"/>
      <c r="AM134" s="206"/>
      <c r="AN134" s="206"/>
      <c r="AO134" s="206"/>
      <c r="AP134" s="206"/>
      <c r="AQ134" s="206"/>
      <c r="AR134" s="206"/>
      <c r="AS134" s="206"/>
      <c r="AT134" s="206"/>
      <c r="AU134" s="206"/>
      <c r="AV134" s="206"/>
      <c r="AW134" s="206"/>
      <c r="AX134" s="206"/>
      <c r="AY134" s="206"/>
      <c r="AZ134" s="206"/>
      <c r="BA134" s="206"/>
      <c r="BB134" s="206"/>
      <c r="BC134" s="206"/>
      <c r="BD134" s="206"/>
      <c r="BE134" s="206"/>
      <c r="BF134" s="206"/>
      <c r="BG134" s="206"/>
      <c r="BH134" s="206"/>
      <c r="BI134" s="206"/>
      <c r="BJ134" s="206"/>
      <c r="BK134" s="206"/>
      <c r="BL134" s="206"/>
      <c r="BM134" s="206"/>
      <c r="BN134" s="206"/>
      <c r="BO134" s="206"/>
      <c r="BP134" s="206"/>
      <c r="BQ134" s="206"/>
      <c r="BR134" s="206"/>
      <c r="BS134" s="206"/>
      <c r="BT134" s="206"/>
      <c r="BU134" s="206"/>
      <c r="BV134" s="206"/>
      <c r="BW134" s="206"/>
      <c r="BX134" s="206"/>
      <c r="BY134" s="206"/>
      <c r="BZ134" s="206"/>
      <c r="CA134" s="206"/>
      <c r="CB134" s="206"/>
      <c r="CC134" s="206"/>
      <c r="CD134" s="206"/>
      <c r="CE134" s="206"/>
      <c r="CF134" s="206"/>
      <c r="CG134" s="206"/>
      <c r="CH134" s="206"/>
      <c r="CI134" s="206"/>
      <c r="CJ134" s="206"/>
      <c r="CK134" s="206"/>
      <c r="CL134" s="206"/>
      <c r="CM134" s="206"/>
      <c r="CN134" s="206"/>
      <c r="CO134" s="206"/>
      <c r="CP134" s="206"/>
      <c r="CQ134" s="206"/>
      <c r="CR134" s="206"/>
      <c r="CS134" s="206"/>
      <c r="CT134" s="206"/>
      <c r="CU134" s="206"/>
      <c r="CV134" s="206"/>
      <c r="CW134" s="206"/>
      <c r="CX134" s="206"/>
      <c r="CY134" s="206"/>
      <c r="CZ134" s="206"/>
      <c r="DA134" s="206"/>
      <c r="DB134" s="206"/>
      <c r="DC134" s="206"/>
      <c r="DD134" s="206"/>
    </row>
    <row r="135" spans="1:108" x14ac:dyDescent="0.25">
      <c r="A135" s="303"/>
      <c r="B135" s="303"/>
      <c r="C135" s="303"/>
      <c r="D135" s="206"/>
      <c r="E135" s="206"/>
      <c r="F135" s="206"/>
      <c r="G135" s="206"/>
      <c r="H135" s="206"/>
      <c r="I135" s="206"/>
      <c r="J135" s="206"/>
      <c r="K135" s="206"/>
      <c r="L135" s="206"/>
      <c r="M135" s="206"/>
      <c r="N135" s="206"/>
      <c r="O135" s="206"/>
      <c r="P135" s="206"/>
      <c r="Q135" s="206"/>
      <c r="R135" s="206"/>
      <c r="S135" s="206"/>
      <c r="T135" s="206"/>
      <c r="U135" s="206"/>
      <c r="V135" s="206"/>
      <c r="W135" s="206"/>
      <c r="X135" s="206"/>
      <c r="Y135" s="206"/>
      <c r="Z135" s="206"/>
      <c r="AA135" s="206"/>
      <c r="AB135" s="206"/>
      <c r="AC135" s="206"/>
      <c r="AD135" s="206"/>
      <c r="AE135" s="206"/>
      <c r="AF135" s="206"/>
      <c r="AG135" s="206"/>
      <c r="AH135" s="206"/>
      <c r="AI135" s="206"/>
      <c r="AJ135" s="206"/>
      <c r="AK135" s="206"/>
      <c r="AL135" s="206"/>
      <c r="AM135" s="206"/>
      <c r="AN135" s="206"/>
      <c r="AO135" s="206"/>
      <c r="AP135" s="206"/>
      <c r="AQ135" s="206"/>
      <c r="AR135" s="206"/>
      <c r="AS135" s="206"/>
      <c r="AT135" s="206"/>
      <c r="AU135" s="206"/>
      <c r="AV135" s="206"/>
      <c r="AW135" s="206"/>
      <c r="AX135" s="206"/>
      <c r="AY135" s="206"/>
      <c r="AZ135" s="206"/>
      <c r="BA135" s="206"/>
      <c r="BB135" s="206"/>
      <c r="BC135" s="206"/>
      <c r="BD135" s="206"/>
      <c r="BE135" s="206"/>
      <c r="BF135" s="206"/>
      <c r="BG135" s="206"/>
      <c r="BH135" s="206"/>
      <c r="BI135" s="206"/>
      <c r="BJ135" s="206"/>
      <c r="BK135" s="206"/>
      <c r="BL135" s="206"/>
      <c r="BM135" s="206"/>
      <c r="BN135" s="206"/>
      <c r="BO135" s="206"/>
      <c r="BP135" s="206"/>
      <c r="BQ135" s="206"/>
      <c r="BR135" s="206"/>
      <c r="BS135" s="206"/>
      <c r="BT135" s="206"/>
      <c r="BU135" s="206"/>
      <c r="BV135" s="206"/>
      <c r="BW135" s="206"/>
      <c r="BX135" s="206"/>
      <c r="BY135" s="206"/>
      <c r="BZ135" s="206"/>
      <c r="CA135" s="206"/>
      <c r="CB135" s="206"/>
      <c r="CC135" s="206"/>
      <c r="CD135" s="206"/>
      <c r="CE135" s="206"/>
      <c r="CF135" s="206"/>
      <c r="CG135" s="206"/>
      <c r="CH135" s="206"/>
      <c r="CI135" s="206"/>
      <c r="CJ135" s="206"/>
      <c r="CK135" s="206"/>
      <c r="CL135" s="206"/>
      <c r="CM135" s="206"/>
      <c r="CN135" s="206"/>
      <c r="CO135" s="206"/>
      <c r="CP135" s="206"/>
      <c r="CQ135" s="206"/>
      <c r="CR135" s="206"/>
      <c r="CS135" s="206"/>
      <c r="CT135" s="206"/>
      <c r="CU135" s="206"/>
      <c r="CV135" s="206"/>
      <c r="CW135" s="206"/>
      <c r="CX135" s="206"/>
      <c r="CY135" s="206"/>
      <c r="CZ135" s="206"/>
      <c r="DA135" s="206"/>
      <c r="DB135" s="206"/>
      <c r="DC135" s="206"/>
      <c r="DD135" s="206"/>
    </row>
    <row r="136" spans="1:108" x14ac:dyDescent="0.25">
      <c r="A136" s="303"/>
      <c r="B136" s="303"/>
      <c r="C136" s="303"/>
      <c r="D136" s="206"/>
      <c r="E136" s="206"/>
      <c r="F136" s="206"/>
      <c r="G136" s="206"/>
      <c r="H136" s="206"/>
      <c r="I136" s="206"/>
      <c r="J136" s="206"/>
      <c r="K136" s="206"/>
      <c r="L136" s="206"/>
      <c r="M136" s="206"/>
      <c r="N136" s="206"/>
      <c r="O136" s="206"/>
      <c r="P136" s="206"/>
      <c r="Q136" s="206"/>
      <c r="R136" s="206"/>
      <c r="S136" s="206"/>
      <c r="T136" s="206"/>
      <c r="U136" s="206"/>
      <c r="V136" s="206"/>
      <c r="W136" s="206"/>
      <c r="X136" s="206"/>
      <c r="Y136" s="206"/>
      <c r="Z136" s="206"/>
      <c r="AA136" s="206"/>
      <c r="AB136" s="206"/>
      <c r="AC136" s="206"/>
      <c r="AD136" s="206"/>
      <c r="AE136" s="206"/>
      <c r="AF136" s="206"/>
      <c r="AG136" s="206"/>
      <c r="AH136" s="206"/>
      <c r="AI136" s="206"/>
      <c r="AJ136" s="206"/>
      <c r="AK136" s="206"/>
      <c r="AL136" s="206"/>
      <c r="AM136" s="206"/>
      <c r="AN136" s="206"/>
      <c r="AO136" s="206"/>
      <c r="AP136" s="206"/>
      <c r="AQ136" s="206"/>
      <c r="AR136" s="206"/>
      <c r="AS136" s="206"/>
      <c r="AT136" s="206"/>
      <c r="AU136" s="206"/>
      <c r="AV136" s="206"/>
      <c r="AW136" s="206"/>
      <c r="AX136" s="206"/>
      <c r="AY136" s="206"/>
      <c r="AZ136" s="206"/>
      <c r="BA136" s="206"/>
      <c r="BB136" s="206"/>
      <c r="BC136" s="206"/>
      <c r="BD136" s="206"/>
      <c r="BE136" s="206"/>
      <c r="BF136" s="206"/>
      <c r="BG136" s="206"/>
      <c r="BH136" s="206"/>
      <c r="BI136" s="206"/>
      <c r="BJ136" s="206"/>
      <c r="BK136" s="206"/>
      <c r="BL136" s="206"/>
      <c r="BM136" s="206"/>
      <c r="BN136" s="206"/>
      <c r="BO136" s="206"/>
      <c r="BP136" s="206"/>
      <c r="BQ136" s="206"/>
      <c r="BR136" s="206"/>
      <c r="BS136" s="206"/>
      <c r="BT136" s="206"/>
      <c r="BU136" s="206"/>
      <c r="BV136" s="206"/>
      <c r="BW136" s="206"/>
      <c r="BX136" s="206"/>
      <c r="BY136" s="206"/>
      <c r="BZ136" s="206"/>
      <c r="CA136" s="206"/>
      <c r="CB136" s="206"/>
      <c r="CC136" s="206"/>
      <c r="CD136" s="206"/>
      <c r="CE136" s="206"/>
      <c r="CF136" s="206"/>
      <c r="CG136" s="206"/>
      <c r="CH136" s="206"/>
      <c r="CI136" s="206"/>
      <c r="CJ136" s="206"/>
      <c r="CK136" s="206"/>
      <c r="CL136" s="206"/>
      <c r="CM136" s="206"/>
      <c r="CN136" s="206"/>
      <c r="CO136" s="206"/>
      <c r="CP136" s="206"/>
      <c r="CQ136" s="206"/>
      <c r="CR136" s="206"/>
      <c r="CS136" s="206"/>
      <c r="CT136" s="206"/>
      <c r="CU136" s="206"/>
      <c r="CV136" s="206"/>
      <c r="CW136" s="206"/>
      <c r="CX136" s="206"/>
      <c r="CY136" s="206"/>
      <c r="CZ136" s="206"/>
      <c r="DA136" s="206"/>
      <c r="DB136" s="206"/>
      <c r="DC136" s="206"/>
      <c r="DD136" s="206"/>
    </row>
    <row r="137" spans="1:108" x14ac:dyDescent="0.25">
      <c r="A137" s="303"/>
      <c r="B137" s="303"/>
      <c r="C137" s="303"/>
      <c r="D137" s="206"/>
      <c r="E137" s="206"/>
      <c r="F137" s="206"/>
      <c r="G137" s="206"/>
      <c r="H137" s="206"/>
      <c r="I137" s="206"/>
      <c r="J137" s="206"/>
      <c r="K137" s="206"/>
      <c r="L137" s="206"/>
      <c r="M137" s="206"/>
      <c r="N137" s="206"/>
      <c r="O137" s="206"/>
      <c r="P137" s="206"/>
      <c r="Q137" s="206"/>
      <c r="R137" s="206"/>
      <c r="S137" s="206"/>
      <c r="T137" s="206"/>
      <c r="U137" s="206"/>
      <c r="V137" s="206"/>
      <c r="W137" s="206"/>
      <c r="X137" s="206"/>
      <c r="Y137" s="206"/>
      <c r="Z137" s="206"/>
      <c r="AA137" s="206"/>
      <c r="AB137" s="206"/>
      <c r="AC137" s="206"/>
      <c r="AD137" s="206"/>
      <c r="AE137" s="206"/>
      <c r="AF137" s="206"/>
      <c r="AG137" s="206"/>
      <c r="AH137" s="206"/>
      <c r="AI137" s="206"/>
      <c r="AJ137" s="206"/>
      <c r="AK137" s="206"/>
      <c r="AL137" s="206"/>
      <c r="AM137" s="206"/>
      <c r="AN137" s="206"/>
      <c r="AO137" s="206"/>
      <c r="AP137" s="206"/>
      <c r="AQ137" s="206"/>
      <c r="AR137" s="206"/>
      <c r="AS137" s="206"/>
      <c r="AT137" s="206"/>
      <c r="AU137" s="206"/>
      <c r="AV137" s="206"/>
      <c r="AW137" s="206"/>
      <c r="AX137" s="206"/>
      <c r="AY137" s="206"/>
      <c r="AZ137" s="206"/>
      <c r="BA137" s="206"/>
      <c r="BB137" s="206"/>
      <c r="BC137" s="206"/>
      <c r="BD137" s="206"/>
      <c r="BE137" s="206"/>
      <c r="BF137" s="206"/>
      <c r="BG137" s="206"/>
      <c r="BH137" s="206"/>
      <c r="BI137" s="206"/>
      <c r="BJ137" s="206"/>
      <c r="BK137" s="206"/>
      <c r="BL137" s="206"/>
      <c r="BM137" s="206"/>
      <c r="BN137" s="206"/>
      <c r="BO137" s="206"/>
      <c r="BP137" s="206"/>
      <c r="BQ137" s="206"/>
      <c r="BR137" s="206"/>
      <c r="BS137" s="206"/>
      <c r="BT137" s="206"/>
      <c r="BU137" s="206"/>
      <c r="BV137" s="206"/>
      <c r="BW137" s="206"/>
      <c r="BX137" s="206"/>
      <c r="BY137" s="206"/>
      <c r="BZ137" s="206"/>
      <c r="CA137" s="206"/>
      <c r="CB137" s="206"/>
      <c r="CC137" s="206"/>
      <c r="CD137" s="206"/>
      <c r="CE137" s="206"/>
      <c r="CF137" s="206"/>
      <c r="CG137" s="206"/>
      <c r="CH137" s="206"/>
      <c r="CI137" s="206"/>
      <c r="CJ137" s="206"/>
      <c r="CK137" s="206"/>
      <c r="CL137" s="206"/>
      <c r="CM137" s="206"/>
      <c r="CN137" s="206"/>
      <c r="CO137" s="206"/>
      <c r="CP137" s="206"/>
      <c r="CQ137" s="206"/>
      <c r="CR137" s="206"/>
      <c r="CS137" s="206"/>
      <c r="CT137" s="206"/>
      <c r="CU137" s="206"/>
      <c r="CV137" s="206"/>
      <c r="CW137" s="206"/>
      <c r="CX137" s="206"/>
      <c r="CY137" s="206"/>
      <c r="CZ137" s="206"/>
      <c r="DA137" s="206"/>
      <c r="DB137" s="206"/>
      <c r="DC137" s="206"/>
      <c r="DD137" s="206"/>
    </row>
    <row r="138" spans="1:108" x14ac:dyDescent="0.25">
      <c r="A138" s="303"/>
      <c r="B138" s="303"/>
      <c r="C138" s="303"/>
      <c r="D138" s="206"/>
      <c r="E138" s="206"/>
      <c r="F138" s="206"/>
      <c r="G138" s="206"/>
      <c r="H138" s="206"/>
      <c r="I138" s="206"/>
      <c r="J138" s="206"/>
      <c r="K138" s="206"/>
      <c r="L138" s="206"/>
      <c r="M138" s="206"/>
      <c r="N138" s="206"/>
      <c r="O138" s="206"/>
      <c r="P138" s="206"/>
      <c r="Q138" s="206"/>
      <c r="R138" s="206"/>
      <c r="S138" s="206"/>
      <c r="T138" s="206"/>
      <c r="U138" s="206"/>
      <c r="V138" s="206"/>
      <c r="W138" s="206"/>
      <c r="X138" s="206"/>
      <c r="Y138" s="206"/>
      <c r="Z138" s="206"/>
      <c r="AA138" s="206"/>
      <c r="AB138" s="206"/>
      <c r="AC138" s="206"/>
      <c r="AD138" s="206"/>
      <c r="AE138" s="206"/>
      <c r="AF138" s="206"/>
      <c r="AG138" s="206"/>
      <c r="AH138" s="206"/>
      <c r="AI138" s="206"/>
      <c r="AJ138" s="206"/>
      <c r="AK138" s="206"/>
      <c r="AL138" s="206"/>
      <c r="AM138" s="206"/>
      <c r="AN138" s="206"/>
      <c r="AO138" s="206"/>
      <c r="AP138" s="206"/>
      <c r="AQ138" s="206"/>
      <c r="AR138" s="206"/>
      <c r="AS138" s="206"/>
      <c r="AT138" s="206"/>
      <c r="AU138" s="206"/>
      <c r="AV138" s="206"/>
      <c r="AW138" s="206"/>
      <c r="AX138" s="206"/>
      <c r="AY138" s="206"/>
      <c r="AZ138" s="206"/>
      <c r="BA138" s="206"/>
      <c r="BB138" s="206"/>
      <c r="BC138" s="206"/>
      <c r="BD138" s="206"/>
      <c r="BE138" s="206"/>
      <c r="BF138" s="206"/>
      <c r="BG138" s="206"/>
      <c r="BH138" s="206"/>
      <c r="BI138" s="206"/>
      <c r="BJ138" s="206"/>
      <c r="BK138" s="206"/>
      <c r="BL138" s="206"/>
      <c r="BM138" s="206"/>
      <c r="BN138" s="206"/>
      <c r="BO138" s="206"/>
      <c r="BP138" s="206"/>
      <c r="BQ138" s="206"/>
      <c r="BR138" s="206"/>
      <c r="BS138" s="206"/>
      <c r="BT138" s="206"/>
      <c r="BU138" s="206"/>
      <c r="BV138" s="206"/>
      <c r="BW138" s="206"/>
      <c r="BX138" s="206"/>
      <c r="BY138" s="206"/>
      <c r="BZ138" s="206"/>
      <c r="CA138" s="206"/>
      <c r="CB138" s="206"/>
      <c r="CC138" s="206"/>
      <c r="CD138" s="206"/>
      <c r="CE138" s="206"/>
      <c r="CF138" s="206"/>
      <c r="CG138" s="206"/>
      <c r="CH138" s="206"/>
      <c r="CI138" s="206"/>
      <c r="CJ138" s="206"/>
      <c r="CK138" s="206"/>
      <c r="CL138" s="206"/>
      <c r="CM138" s="206"/>
      <c r="CN138" s="206"/>
      <c r="CO138" s="206"/>
      <c r="CP138" s="206"/>
      <c r="CQ138" s="206"/>
      <c r="CR138" s="206"/>
      <c r="CS138" s="206"/>
      <c r="CT138" s="206"/>
      <c r="CU138" s="206"/>
      <c r="CV138" s="206"/>
      <c r="CW138" s="206"/>
      <c r="CX138" s="206"/>
      <c r="CY138" s="206"/>
      <c r="CZ138" s="206"/>
      <c r="DA138" s="206"/>
      <c r="DB138" s="206"/>
      <c r="DC138" s="206"/>
      <c r="DD138" s="206"/>
    </row>
    <row r="139" spans="1:108" x14ac:dyDescent="0.25">
      <c r="A139" s="303"/>
      <c r="B139" s="303"/>
      <c r="C139" s="303"/>
      <c r="D139" s="206"/>
      <c r="E139" s="206"/>
      <c r="F139" s="206"/>
      <c r="G139" s="206"/>
      <c r="H139" s="206"/>
      <c r="I139" s="206"/>
      <c r="J139" s="206"/>
      <c r="K139" s="206"/>
      <c r="L139" s="206"/>
      <c r="M139" s="206"/>
      <c r="N139" s="206"/>
      <c r="O139" s="206"/>
      <c r="P139" s="206"/>
      <c r="Q139" s="206"/>
      <c r="R139" s="206"/>
      <c r="S139" s="206"/>
      <c r="T139" s="206"/>
      <c r="U139" s="206"/>
      <c r="V139" s="206"/>
      <c r="W139" s="206"/>
      <c r="X139" s="206"/>
      <c r="Y139" s="206"/>
      <c r="Z139" s="206"/>
      <c r="AA139" s="206"/>
      <c r="AB139" s="206"/>
      <c r="AC139" s="206"/>
      <c r="AD139" s="206"/>
      <c r="AE139" s="206"/>
      <c r="AF139" s="206"/>
      <c r="AG139" s="206"/>
      <c r="AH139" s="206"/>
      <c r="AI139" s="206"/>
      <c r="AJ139" s="206"/>
      <c r="AK139" s="206"/>
      <c r="AL139" s="206"/>
      <c r="AM139" s="206"/>
      <c r="AN139" s="206"/>
      <c r="AO139" s="206"/>
      <c r="AP139" s="206"/>
      <c r="AQ139" s="206"/>
      <c r="AR139" s="206"/>
      <c r="AS139" s="206"/>
      <c r="AT139" s="206"/>
      <c r="AU139" s="206"/>
      <c r="AV139" s="206"/>
      <c r="AW139" s="206"/>
      <c r="AX139" s="206"/>
      <c r="AY139" s="206"/>
      <c r="AZ139" s="206"/>
      <c r="BA139" s="206"/>
      <c r="BB139" s="206"/>
      <c r="BC139" s="206"/>
      <c r="BD139" s="206"/>
      <c r="BE139" s="206"/>
      <c r="BF139" s="206"/>
      <c r="BG139" s="206"/>
      <c r="BH139" s="206"/>
      <c r="BI139" s="206"/>
      <c r="BJ139" s="206"/>
      <c r="BK139" s="206"/>
      <c r="BL139" s="206"/>
      <c r="BM139" s="206"/>
      <c r="BN139" s="206"/>
      <c r="BO139" s="206"/>
      <c r="BP139" s="206"/>
      <c r="BQ139" s="206"/>
      <c r="BR139" s="206"/>
      <c r="BS139" s="206"/>
      <c r="BT139" s="206"/>
      <c r="BU139" s="206"/>
      <c r="BV139" s="206"/>
      <c r="BW139" s="206"/>
      <c r="BX139" s="206"/>
      <c r="BY139" s="206"/>
      <c r="BZ139" s="206"/>
      <c r="CA139" s="206"/>
      <c r="CB139" s="206"/>
      <c r="CC139" s="206"/>
      <c r="CD139" s="206"/>
      <c r="CE139" s="206"/>
      <c r="CF139" s="206"/>
      <c r="CG139" s="206"/>
      <c r="CH139" s="206"/>
      <c r="CI139" s="206"/>
      <c r="CJ139" s="206"/>
      <c r="CK139" s="206"/>
      <c r="CL139" s="206"/>
      <c r="CM139" s="206"/>
      <c r="CN139" s="206"/>
      <c r="CO139" s="206"/>
      <c r="CP139" s="206"/>
      <c r="CQ139" s="206"/>
      <c r="CR139" s="206"/>
      <c r="CS139" s="206"/>
      <c r="CT139" s="206"/>
      <c r="CU139" s="206"/>
      <c r="CV139" s="206"/>
      <c r="CW139" s="206"/>
      <c r="CX139" s="206"/>
      <c r="CY139" s="206"/>
      <c r="CZ139" s="206"/>
      <c r="DA139" s="206"/>
      <c r="DB139" s="206"/>
      <c r="DC139" s="206"/>
      <c r="DD139" s="206"/>
    </row>
    <row r="140" spans="1:108" x14ac:dyDescent="0.25">
      <c r="A140" s="303"/>
      <c r="B140" s="303"/>
      <c r="C140" s="303"/>
      <c r="D140" s="206"/>
      <c r="E140" s="206"/>
      <c r="F140" s="206"/>
      <c r="G140" s="206"/>
      <c r="H140" s="206"/>
      <c r="I140" s="206"/>
      <c r="J140" s="206"/>
      <c r="K140" s="206"/>
      <c r="L140" s="206"/>
      <c r="M140" s="206"/>
      <c r="N140" s="206"/>
      <c r="O140" s="206"/>
      <c r="P140" s="206"/>
      <c r="Q140" s="206"/>
      <c r="R140" s="206"/>
      <c r="S140" s="206"/>
      <c r="T140" s="206"/>
      <c r="U140" s="206"/>
      <c r="V140" s="206"/>
      <c r="W140" s="206"/>
      <c r="X140" s="206"/>
      <c r="Y140" s="206"/>
      <c r="Z140" s="206"/>
      <c r="AA140" s="206"/>
      <c r="AB140" s="206"/>
      <c r="AC140" s="206"/>
      <c r="AD140" s="206"/>
      <c r="AE140" s="206"/>
      <c r="AF140" s="206"/>
      <c r="AG140" s="206"/>
      <c r="AH140" s="206"/>
      <c r="AI140" s="206"/>
      <c r="AJ140" s="206"/>
      <c r="AK140" s="206"/>
      <c r="AL140" s="206"/>
      <c r="AM140" s="206"/>
      <c r="AN140" s="206"/>
      <c r="AO140" s="206"/>
      <c r="AP140" s="206"/>
      <c r="AQ140" s="206"/>
      <c r="AR140" s="206"/>
      <c r="AS140" s="206"/>
      <c r="AT140" s="206"/>
      <c r="AU140" s="206"/>
      <c r="AV140" s="206"/>
      <c r="AW140" s="206"/>
      <c r="AX140" s="206"/>
      <c r="AY140" s="206"/>
      <c r="AZ140" s="206"/>
      <c r="BA140" s="206"/>
      <c r="BB140" s="206"/>
      <c r="BC140" s="206"/>
      <c r="BD140" s="206"/>
      <c r="BE140" s="206"/>
      <c r="BF140" s="206"/>
      <c r="BG140" s="206"/>
      <c r="BH140" s="206"/>
      <c r="BI140" s="206"/>
      <c r="BJ140" s="206"/>
      <c r="BK140" s="206"/>
      <c r="BL140" s="206"/>
      <c r="BM140" s="206"/>
      <c r="BN140" s="206"/>
      <c r="BO140" s="206"/>
      <c r="BP140" s="206"/>
      <c r="BQ140" s="206"/>
      <c r="BR140" s="206"/>
      <c r="BS140" s="206"/>
      <c r="BT140" s="206"/>
      <c r="BU140" s="206"/>
      <c r="BV140" s="206"/>
      <c r="BW140" s="206"/>
      <c r="BX140" s="206"/>
      <c r="BY140" s="206"/>
      <c r="BZ140" s="206"/>
      <c r="CA140" s="206"/>
      <c r="CB140" s="206"/>
      <c r="CC140" s="206"/>
      <c r="CD140" s="206"/>
      <c r="CE140" s="206"/>
      <c r="CF140" s="206"/>
      <c r="CG140" s="206"/>
      <c r="CH140" s="206"/>
      <c r="CI140" s="206"/>
      <c r="CJ140" s="206"/>
      <c r="CK140" s="206"/>
      <c r="CL140" s="206"/>
      <c r="CM140" s="206"/>
      <c r="CN140" s="206"/>
      <c r="CO140" s="206"/>
      <c r="CP140" s="206"/>
      <c r="CQ140" s="206"/>
      <c r="CR140" s="206"/>
      <c r="CS140" s="206"/>
      <c r="CT140" s="206"/>
      <c r="CU140" s="206"/>
      <c r="CV140" s="206"/>
      <c r="CW140" s="206"/>
      <c r="CX140" s="206"/>
      <c r="CY140" s="206"/>
      <c r="CZ140" s="206"/>
      <c r="DA140" s="206"/>
      <c r="DB140" s="206"/>
      <c r="DC140" s="206"/>
      <c r="DD140" s="206"/>
    </row>
    <row r="141" spans="1:108" x14ac:dyDescent="0.25">
      <c r="A141" s="303"/>
      <c r="B141" s="303"/>
      <c r="C141" s="303"/>
      <c r="D141" s="206"/>
      <c r="E141" s="206"/>
      <c r="F141" s="206"/>
      <c r="G141" s="206"/>
      <c r="H141" s="206"/>
      <c r="I141" s="206"/>
      <c r="J141" s="206"/>
      <c r="K141" s="206"/>
      <c r="L141" s="206"/>
      <c r="M141" s="206"/>
      <c r="N141" s="206"/>
      <c r="O141" s="206"/>
      <c r="P141" s="206"/>
      <c r="Q141" s="206"/>
      <c r="R141" s="206"/>
      <c r="S141" s="206"/>
      <c r="T141" s="206"/>
      <c r="U141" s="206"/>
      <c r="V141" s="206"/>
      <c r="W141" s="206"/>
      <c r="X141" s="206"/>
      <c r="Y141" s="206"/>
      <c r="Z141" s="206"/>
      <c r="AA141" s="206"/>
      <c r="AB141" s="206"/>
      <c r="AC141" s="206"/>
      <c r="AD141" s="206"/>
      <c r="AE141" s="206"/>
      <c r="AF141" s="206"/>
      <c r="AG141" s="206"/>
      <c r="AH141" s="206"/>
      <c r="AI141" s="206"/>
      <c r="AJ141" s="206"/>
      <c r="AK141" s="206"/>
      <c r="AL141" s="206"/>
      <c r="AM141" s="206"/>
      <c r="AN141" s="206"/>
      <c r="AO141" s="206"/>
      <c r="AP141" s="206"/>
      <c r="AQ141" s="206"/>
      <c r="AR141" s="206"/>
      <c r="AS141" s="206"/>
      <c r="AT141" s="206"/>
      <c r="AU141" s="206"/>
      <c r="AV141" s="206"/>
      <c r="AW141" s="206"/>
      <c r="AX141" s="206"/>
      <c r="AY141" s="206"/>
      <c r="AZ141" s="206"/>
      <c r="BA141" s="206"/>
      <c r="BB141" s="206"/>
      <c r="BC141" s="206"/>
      <c r="BD141" s="206"/>
      <c r="BE141" s="206"/>
      <c r="BF141" s="206"/>
      <c r="BG141" s="206"/>
      <c r="BH141" s="206"/>
      <c r="BI141" s="206"/>
      <c r="BJ141" s="206"/>
      <c r="BK141" s="206"/>
      <c r="BL141" s="206"/>
      <c r="BM141" s="206"/>
      <c r="BN141" s="206"/>
      <c r="BO141" s="206"/>
      <c r="BP141" s="206"/>
      <c r="BQ141" s="206"/>
      <c r="BR141" s="206"/>
      <c r="BS141" s="206"/>
      <c r="BT141" s="206"/>
      <c r="BU141" s="206"/>
      <c r="BV141" s="206"/>
      <c r="BW141" s="206"/>
      <c r="BX141" s="206"/>
      <c r="BY141" s="206"/>
      <c r="BZ141" s="206"/>
      <c r="CA141" s="206"/>
      <c r="CB141" s="206"/>
      <c r="CC141" s="206"/>
      <c r="CD141" s="206"/>
      <c r="CE141" s="206"/>
      <c r="CF141" s="206"/>
      <c r="CG141" s="206"/>
      <c r="CH141" s="206"/>
      <c r="CI141" s="206"/>
      <c r="CJ141" s="206"/>
      <c r="CK141" s="206"/>
      <c r="CL141" s="206"/>
      <c r="CM141" s="206"/>
      <c r="CN141" s="206"/>
      <c r="CO141" s="206"/>
      <c r="CP141" s="206"/>
      <c r="CQ141" s="206"/>
      <c r="CR141" s="206"/>
      <c r="CS141" s="206"/>
      <c r="CT141" s="206"/>
      <c r="CU141" s="206"/>
      <c r="CV141" s="206"/>
      <c r="CW141" s="206"/>
      <c r="CX141" s="206"/>
      <c r="CY141" s="206"/>
      <c r="CZ141" s="206"/>
      <c r="DA141" s="206"/>
      <c r="DB141" s="206"/>
      <c r="DC141" s="206"/>
      <c r="DD141" s="206"/>
    </row>
    <row r="142" spans="1:108" x14ac:dyDescent="0.25">
      <c r="A142" s="303"/>
      <c r="B142" s="303"/>
      <c r="C142" s="303"/>
      <c r="D142" s="206"/>
      <c r="E142" s="206"/>
      <c r="F142" s="206"/>
      <c r="G142" s="206"/>
      <c r="H142" s="206"/>
      <c r="I142" s="206"/>
      <c r="J142" s="206"/>
      <c r="K142" s="206"/>
      <c r="L142" s="206"/>
      <c r="M142" s="206"/>
      <c r="N142" s="206"/>
      <c r="O142" s="206"/>
      <c r="P142" s="206"/>
      <c r="Q142" s="206"/>
      <c r="R142" s="206"/>
      <c r="S142" s="206"/>
      <c r="T142" s="206"/>
      <c r="U142" s="206"/>
      <c r="V142" s="206"/>
      <c r="W142" s="206"/>
      <c r="X142" s="206"/>
      <c r="Y142" s="206"/>
      <c r="Z142" s="206"/>
      <c r="AA142" s="206"/>
      <c r="AB142" s="206"/>
      <c r="AC142" s="206"/>
      <c r="AD142" s="206"/>
      <c r="AE142" s="206"/>
      <c r="AF142" s="206"/>
      <c r="AG142" s="206"/>
      <c r="AH142" s="206"/>
      <c r="AI142" s="206"/>
      <c r="AJ142" s="206"/>
      <c r="AK142" s="206"/>
      <c r="AL142" s="206"/>
      <c r="AM142" s="206"/>
      <c r="AN142" s="206"/>
      <c r="AO142" s="206"/>
      <c r="AP142" s="206"/>
      <c r="AQ142" s="206"/>
      <c r="AR142" s="206"/>
      <c r="AS142" s="206"/>
      <c r="AT142" s="206"/>
      <c r="AU142" s="206"/>
      <c r="AV142" s="206"/>
      <c r="AW142" s="206"/>
      <c r="AX142" s="206"/>
      <c r="AY142" s="206"/>
      <c r="AZ142" s="206"/>
      <c r="BA142" s="206"/>
      <c r="BB142" s="206"/>
      <c r="BC142" s="206"/>
      <c r="BD142" s="206"/>
      <c r="BE142" s="206"/>
      <c r="BF142" s="206"/>
      <c r="BG142" s="206"/>
      <c r="BH142" s="206"/>
      <c r="BI142" s="206"/>
      <c r="BJ142" s="206"/>
      <c r="BK142" s="206"/>
      <c r="BL142" s="206"/>
      <c r="BM142" s="206"/>
      <c r="BN142" s="206"/>
      <c r="BO142" s="206"/>
      <c r="BP142" s="206"/>
      <c r="BQ142" s="206"/>
      <c r="BR142" s="206"/>
      <c r="BS142" s="206"/>
      <c r="BT142" s="206"/>
      <c r="BU142" s="206"/>
      <c r="BV142" s="206"/>
      <c r="BW142" s="206"/>
      <c r="BX142" s="206"/>
      <c r="BY142" s="206"/>
      <c r="BZ142" s="206"/>
      <c r="CA142" s="206"/>
      <c r="CB142" s="206"/>
      <c r="CC142" s="206"/>
      <c r="CD142" s="206"/>
      <c r="CE142" s="206"/>
      <c r="CF142" s="206"/>
      <c r="CG142" s="206"/>
      <c r="CH142" s="206"/>
      <c r="CI142" s="206"/>
      <c r="CJ142" s="206"/>
      <c r="CK142" s="206"/>
      <c r="CL142" s="206"/>
      <c r="CM142" s="206"/>
      <c r="CN142" s="206"/>
      <c r="CO142" s="206"/>
      <c r="CP142" s="206"/>
      <c r="CQ142" s="206"/>
      <c r="CR142" s="206"/>
      <c r="CS142" s="206"/>
      <c r="CT142" s="206"/>
      <c r="CU142" s="206"/>
      <c r="CV142" s="206"/>
      <c r="CW142" s="206"/>
      <c r="CX142" s="206"/>
      <c r="CY142" s="206"/>
      <c r="CZ142" s="206"/>
      <c r="DA142" s="206"/>
      <c r="DB142" s="206"/>
      <c r="DC142" s="206"/>
      <c r="DD142" s="206"/>
    </row>
    <row r="143" spans="1:108" x14ac:dyDescent="0.25">
      <c r="A143" s="303"/>
      <c r="B143" s="303"/>
      <c r="C143" s="303"/>
      <c r="D143" s="206"/>
      <c r="E143" s="206"/>
      <c r="F143" s="206"/>
      <c r="G143" s="206"/>
      <c r="H143" s="206"/>
      <c r="I143" s="206"/>
      <c r="J143" s="206"/>
      <c r="K143" s="206"/>
      <c r="L143" s="206"/>
      <c r="M143" s="206"/>
      <c r="N143" s="206"/>
      <c r="O143" s="206"/>
      <c r="P143" s="206"/>
      <c r="Q143" s="206"/>
      <c r="R143" s="206"/>
      <c r="S143" s="206"/>
      <c r="T143" s="206"/>
      <c r="U143" s="206"/>
      <c r="V143" s="206"/>
      <c r="W143" s="206"/>
      <c r="X143" s="206"/>
      <c r="Y143" s="206"/>
      <c r="Z143" s="206"/>
      <c r="AA143" s="206"/>
      <c r="AB143" s="206"/>
      <c r="AC143" s="206"/>
      <c r="AD143" s="206"/>
      <c r="AE143" s="206"/>
      <c r="AF143" s="206"/>
      <c r="AG143" s="206"/>
      <c r="AH143" s="206"/>
      <c r="AI143" s="206"/>
      <c r="AJ143" s="206"/>
      <c r="AK143" s="206"/>
      <c r="AL143" s="206"/>
      <c r="AM143" s="206"/>
      <c r="AN143" s="206"/>
      <c r="AO143" s="206"/>
      <c r="AP143" s="206"/>
      <c r="AQ143" s="206"/>
      <c r="AR143" s="206"/>
      <c r="AS143" s="206"/>
      <c r="AT143" s="206"/>
      <c r="AU143" s="206"/>
      <c r="AV143" s="206"/>
      <c r="AW143" s="206"/>
      <c r="AX143" s="206"/>
      <c r="AY143" s="206"/>
      <c r="AZ143" s="206"/>
      <c r="BA143" s="206"/>
      <c r="BB143" s="206"/>
      <c r="BC143" s="206"/>
      <c r="BD143" s="206"/>
      <c r="BE143" s="206"/>
      <c r="BF143" s="206"/>
      <c r="BG143" s="206"/>
      <c r="BH143" s="206"/>
      <c r="BI143" s="206"/>
      <c r="BJ143" s="206"/>
      <c r="BK143" s="206"/>
      <c r="BL143" s="206"/>
      <c r="BM143" s="206"/>
      <c r="BN143" s="206"/>
      <c r="BO143" s="206"/>
      <c r="BP143" s="206"/>
      <c r="BQ143" s="206"/>
      <c r="BR143" s="206"/>
      <c r="BS143" s="206"/>
      <c r="BT143" s="206"/>
      <c r="BU143" s="206"/>
      <c r="BV143" s="206"/>
      <c r="BW143" s="206"/>
      <c r="BX143" s="206"/>
      <c r="BY143" s="206"/>
      <c r="BZ143" s="206"/>
      <c r="CA143" s="206"/>
      <c r="CB143" s="206"/>
      <c r="CC143" s="206"/>
      <c r="CD143" s="206"/>
      <c r="CE143" s="206"/>
      <c r="CF143" s="206"/>
      <c r="CG143" s="206"/>
      <c r="CH143" s="206"/>
      <c r="CI143" s="206"/>
      <c r="CJ143" s="206"/>
      <c r="CK143" s="206"/>
      <c r="CL143" s="206"/>
      <c r="CM143" s="206"/>
      <c r="CN143" s="206"/>
      <c r="CO143" s="206"/>
      <c r="CP143" s="206"/>
      <c r="CQ143" s="206"/>
      <c r="CR143" s="206"/>
      <c r="CS143" s="206"/>
      <c r="CT143" s="206"/>
      <c r="CU143" s="206"/>
      <c r="CV143" s="206"/>
      <c r="CW143" s="206"/>
      <c r="CX143" s="206"/>
      <c r="CY143" s="206"/>
      <c r="CZ143" s="206"/>
      <c r="DA143" s="206"/>
      <c r="DB143" s="206"/>
      <c r="DC143" s="206"/>
      <c r="DD143" s="206"/>
    </row>
    <row r="144" spans="1:108" x14ac:dyDescent="0.25">
      <c r="A144" s="303"/>
      <c r="B144" s="303"/>
      <c r="C144" s="303"/>
      <c r="D144" s="206"/>
      <c r="E144" s="206"/>
      <c r="F144" s="206"/>
      <c r="G144" s="206"/>
      <c r="H144" s="206"/>
      <c r="I144" s="206"/>
      <c r="J144" s="206"/>
      <c r="K144" s="206"/>
      <c r="L144" s="206"/>
      <c r="M144" s="206"/>
      <c r="N144" s="206"/>
      <c r="O144" s="206"/>
      <c r="P144" s="206"/>
      <c r="Q144" s="206"/>
      <c r="R144" s="206"/>
      <c r="S144" s="206"/>
      <c r="T144" s="206"/>
      <c r="U144" s="206"/>
      <c r="V144" s="206"/>
      <c r="W144" s="206"/>
      <c r="X144" s="206"/>
      <c r="Y144" s="206"/>
      <c r="Z144" s="206"/>
      <c r="AA144" s="206"/>
      <c r="AB144" s="206"/>
      <c r="AC144" s="206"/>
      <c r="AD144" s="206"/>
      <c r="AE144" s="206"/>
      <c r="AF144" s="206"/>
      <c r="AG144" s="206"/>
      <c r="AH144" s="206"/>
      <c r="AI144" s="206"/>
      <c r="AJ144" s="206"/>
      <c r="AK144" s="206"/>
      <c r="AL144" s="206"/>
      <c r="AM144" s="206"/>
      <c r="AN144" s="206"/>
      <c r="AO144" s="206"/>
      <c r="AP144" s="206"/>
      <c r="AQ144" s="206"/>
      <c r="AR144" s="206"/>
      <c r="AS144" s="206"/>
      <c r="AT144" s="206"/>
      <c r="AU144" s="206"/>
      <c r="AV144" s="206"/>
      <c r="AW144" s="206"/>
      <c r="AX144" s="206"/>
      <c r="AY144" s="206"/>
      <c r="AZ144" s="206"/>
      <c r="BA144" s="206"/>
      <c r="BB144" s="206"/>
      <c r="BC144" s="206"/>
      <c r="BD144" s="206"/>
      <c r="BE144" s="206"/>
      <c r="BF144" s="206"/>
      <c r="BG144" s="206"/>
      <c r="BH144" s="206"/>
      <c r="BI144" s="206"/>
      <c r="BJ144" s="206"/>
      <c r="BK144" s="206"/>
      <c r="BL144" s="206"/>
      <c r="BM144" s="206"/>
      <c r="BN144" s="206"/>
      <c r="BO144" s="206"/>
      <c r="BP144" s="206"/>
      <c r="BQ144" s="206"/>
      <c r="BR144" s="206"/>
      <c r="BS144" s="206"/>
      <c r="BT144" s="206"/>
      <c r="BU144" s="206"/>
      <c r="BV144" s="206"/>
      <c r="BW144" s="206"/>
      <c r="BX144" s="206"/>
      <c r="BY144" s="206"/>
      <c r="BZ144" s="206"/>
      <c r="CA144" s="206"/>
      <c r="CB144" s="206"/>
      <c r="CC144" s="206"/>
      <c r="CD144" s="206"/>
      <c r="CE144" s="206"/>
      <c r="CF144" s="206"/>
      <c r="CG144" s="206"/>
      <c r="CH144" s="206"/>
      <c r="CI144" s="206"/>
      <c r="CJ144" s="206"/>
      <c r="CK144" s="206"/>
      <c r="CL144" s="206"/>
      <c r="CM144" s="206"/>
      <c r="CN144" s="206"/>
      <c r="CO144" s="206"/>
      <c r="CP144" s="206"/>
      <c r="CQ144" s="206"/>
      <c r="CR144" s="206"/>
      <c r="CS144" s="206"/>
      <c r="CT144" s="206"/>
      <c r="CU144" s="206"/>
      <c r="CV144" s="206"/>
      <c r="CW144" s="206"/>
      <c r="CX144" s="206"/>
      <c r="CY144" s="206"/>
      <c r="CZ144" s="206"/>
      <c r="DA144" s="206"/>
      <c r="DB144" s="206"/>
      <c r="DC144" s="206"/>
      <c r="DD144" s="206"/>
    </row>
    <row r="145" spans="1:108" x14ac:dyDescent="0.25">
      <c r="A145" s="303"/>
      <c r="B145" s="303"/>
      <c r="C145" s="303"/>
      <c r="D145" s="206"/>
      <c r="E145" s="206"/>
      <c r="F145" s="206"/>
      <c r="G145" s="206"/>
      <c r="H145" s="206"/>
      <c r="I145" s="206"/>
      <c r="J145" s="206"/>
      <c r="K145" s="206"/>
      <c r="L145" s="206"/>
      <c r="M145" s="206"/>
      <c r="N145" s="206"/>
      <c r="O145" s="206"/>
      <c r="P145" s="206"/>
      <c r="Q145" s="206"/>
      <c r="R145" s="206"/>
      <c r="S145" s="206"/>
      <c r="T145" s="206"/>
      <c r="U145" s="206"/>
      <c r="V145" s="206"/>
      <c r="W145" s="206"/>
      <c r="X145" s="206"/>
      <c r="Y145" s="206"/>
      <c r="Z145" s="206"/>
      <c r="AA145" s="206"/>
      <c r="AB145" s="206"/>
      <c r="AC145" s="206"/>
      <c r="AD145" s="206"/>
      <c r="AE145" s="206"/>
      <c r="AF145" s="206"/>
      <c r="AG145" s="206"/>
      <c r="AH145" s="206"/>
      <c r="AI145" s="206"/>
      <c r="AJ145" s="206"/>
      <c r="AK145" s="206"/>
      <c r="AL145" s="206"/>
      <c r="AM145" s="206"/>
      <c r="AN145" s="206"/>
      <c r="AO145" s="206"/>
      <c r="AP145" s="206"/>
      <c r="AQ145" s="206"/>
      <c r="AR145" s="206"/>
      <c r="AS145" s="206"/>
      <c r="AT145" s="206"/>
      <c r="AU145" s="206"/>
      <c r="AV145" s="206"/>
      <c r="AW145" s="206"/>
      <c r="AX145" s="206"/>
      <c r="AY145" s="206"/>
      <c r="AZ145" s="206"/>
      <c r="BA145" s="206"/>
      <c r="BB145" s="206"/>
      <c r="BC145" s="206"/>
      <c r="BD145" s="206"/>
      <c r="BE145" s="206"/>
      <c r="BF145" s="206"/>
      <c r="BG145" s="206"/>
      <c r="BH145" s="206"/>
      <c r="BI145" s="206"/>
      <c r="BJ145" s="206"/>
      <c r="BK145" s="206"/>
      <c r="BL145" s="206"/>
      <c r="BM145" s="206"/>
      <c r="BN145" s="206"/>
      <c r="BO145" s="206"/>
      <c r="BP145" s="206"/>
      <c r="BQ145" s="206"/>
      <c r="BR145" s="206"/>
      <c r="BS145" s="206"/>
      <c r="BT145" s="206"/>
      <c r="BU145" s="206"/>
      <c r="BV145" s="206"/>
      <c r="BW145" s="206"/>
      <c r="BX145" s="206"/>
      <c r="BY145" s="206"/>
      <c r="BZ145" s="206"/>
      <c r="CA145" s="206"/>
      <c r="CB145" s="206"/>
      <c r="CC145" s="206"/>
      <c r="CD145" s="206"/>
      <c r="CE145" s="206"/>
      <c r="CF145" s="206"/>
      <c r="CG145" s="206"/>
      <c r="CH145" s="206"/>
      <c r="CI145" s="206"/>
      <c r="CJ145" s="206"/>
      <c r="CK145" s="206"/>
      <c r="CL145" s="206"/>
      <c r="CM145" s="206"/>
      <c r="CN145" s="206"/>
      <c r="CO145" s="206"/>
      <c r="CP145" s="206"/>
      <c r="CQ145" s="206"/>
      <c r="CR145" s="206"/>
      <c r="CS145" s="206"/>
      <c r="CT145" s="206"/>
      <c r="CU145" s="206"/>
      <c r="CV145" s="206"/>
      <c r="CW145" s="206"/>
      <c r="CX145" s="206"/>
      <c r="CY145" s="206"/>
      <c r="CZ145" s="206"/>
      <c r="DA145" s="206"/>
      <c r="DB145" s="206"/>
      <c r="DC145" s="206"/>
      <c r="DD145" s="206"/>
    </row>
    <row r="146" spans="1:108" x14ac:dyDescent="0.25">
      <c r="A146" s="303"/>
      <c r="B146" s="303"/>
      <c r="C146" s="303"/>
      <c r="D146" s="206"/>
      <c r="E146" s="206"/>
      <c r="F146" s="206"/>
      <c r="G146" s="206"/>
      <c r="H146" s="206"/>
      <c r="I146" s="206"/>
      <c r="J146" s="206"/>
      <c r="K146" s="206"/>
      <c r="L146" s="206"/>
      <c r="M146" s="206"/>
      <c r="N146" s="206"/>
      <c r="O146" s="206"/>
      <c r="P146" s="206"/>
      <c r="Q146" s="206"/>
      <c r="R146" s="206"/>
      <c r="S146" s="206"/>
      <c r="T146" s="206"/>
      <c r="U146" s="206"/>
      <c r="V146" s="206"/>
      <c r="W146" s="206"/>
      <c r="X146" s="206"/>
      <c r="Y146" s="206"/>
      <c r="Z146" s="206"/>
      <c r="AA146" s="206"/>
      <c r="AB146" s="206"/>
      <c r="AC146" s="206"/>
      <c r="AD146" s="206"/>
      <c r="AE146" s="206"/>
      <c r="AF146" s="206"/>
      <c r="AG146" s="206"/>
      <c r="AH146" s="206"/>
      <c r="AI146" s="206"/>
      <c r="AJ146" s="206"/>
      <c r="AK146" s="206"/>
      <c r="AL146" s="206"/>
      <c r="AM146" s="206"/>
      <c r="AN146" s="206"/>
      <c r="AO146" s="206"/>
      <c r="AP146" s="206"/>
      <c r="AQ146" s="206"/>
      <c r="AR146" s="206"/>
      <c r="AS146" s="206"/>
      <c r="AT146" s="206"/>
      <c r="AU146" s="206"/>
      <c r="AV146" s="206"/>
      <c r="AW146" s="206"/>
      <c r="AX146" s="206"/>
      <c r="AY146" s="206"/>
      <c r="AZ146" s="206"/>
      <c r="BA146" s="206"/>
      <c r="BB146" s="206"/>
      <c r="BC146" s="206"/>
      <c r="BD146" s="206"/>
      <c r="BE146" s="206"/>
      <c r="BF146" s="206"/>
      <c r="BG146" s="206"/>
      <c r="BH146" s="206"/>
      <c r="BI146" s="206"/>
      <c r="BJ146" s="206"/>
      <c r="BK146" s="206"/>
      <c r="BL146" s="206"/>
      <c r="BM146" s="206"/>
      <c r="BN146" s="206"/>
      <c r="BO146" s="206"/>
      <c r="BP146" s="206"/>
      <c r="BQ146" s="206"/>
      <c r="BR146" s="206"/>
      <c r="BS146" s="206"/>
      <c r="BT146" s="206"/>
      <c r="BU146" s="206"/>
      <c r="BV146" s="206"/>
      <c r="BW146" s="206"/>
      <c r="BX146" s="206"/>
      <c r="BY146" s="206"/>
      <c r="BZ146" s="206"/>
      <c r="CA146" s="206"/>
      <c r="CB146" s="206"/>
      <c r="CC146" s="206"/>
      <c r="CD146" s="206"/>
      <c r="CE146" s="206"/>
      <c r="CF146" s="206"/>
      <c r="CG146" s="206"/>
      <c r="CH146" s="206"/>
      <c r="CI146" s="206"/>
      <c r="CJ146" s="206"/>
      <c r="CK146" s="206"/>
      <c r="CL146" s="206"/>
      <c r="CM146" s="206"/>
      <c r="CN146" s="206"/>
      <c r="CO146" s="206"/>
      <c r="CP146" s="206"/>
      <c r="CQ146" s="206"/>
      <c r="CR146" s="206"/>
      <c r="CS146" s="206"/>
      <c r="CT146" s="206"/>
      <c r="CU146" s="206"/>
      <c r="CV146" s="206"/>
      <c r="CW146" s="206"/>
      <c r="CX146" s="206"/>
      <c r="CY146" s="206"/>
      <c r="CZ146" s="206"/>
      <c r="DA146" s="206"/>
      <c r="DB146" s="206"/>
      <c r="DC146" s="206"/>
      <c r="DD146" s="206"/>
    </row>
    <row r="147" spans="1:108" x14ac:dyDescent="0.25">
      <c r="A147" s="303"/>
      <c r="B147" s="303"/>
      <c r="C147" s="303"/>
      <c r="D147" s="206"/>
      <c r="E147" s="206"/>
      <c r="F147" s="206"/>
      <c r="G147" s="206"/>
      <c r="H147" s="206"/>
      <c r="I147" s="206"/>
      <c r="J147" s="206"/>
      <c r="K147" s="206"/>
      <c r="L147" s="206"/>
      <c r="M147" s="206"/>
      <c r="N147" s="206"/>
      <c r="O147" s="206"/>
      <c r="P147" s="206"/>
      <c r="Q147" s="206"/>
      <c r="R147" s="206"/>
      <c r="S147" s="206"/>
      <c r="T147" s="206"/>
      <c r="U147" s="206"/>
      <c r="V147" s="206"/>
      <c r="W147" s="206"/>
      <c r="X147" s="206"/>
      <c r="Y147" s="206"/>
      <c r="Z147" s="206"/>
      <c r="AA147" s="206"/>
      <c r="AB147" s="206"/>
      <c r="AC147" s="206"/>
      <c r="AD147" s="206"/>
      <c r="AE147" s="206"/>
      <c r="AF147" s="206"/>
      <c r="AG147" s="206"/>
      <c r="AH147" s="206"/>
      <c r="AI147" s="206"/>
      <c r="AJ147" s="206"/>
      <c r="AK147" s="206"/>
      <c r="AL147" s="206"/>
      <c r="AM147" s="206"/>
      <c r="AN147" s="206"/>
      <c r="AO147" s="206"/>
      <c r="AP147" s="206"/>
      <c r="AQ147" s="206"/>
      <c r="AR147" s="206"/>
      <c r="AS147" s="206"/>
      <c r="AT147" s="206"/>
      <c r="AU147" s="206"/>
      <c r="AV147" s="206"/>
      <c r="AW147" s="206"/>
      <c r="AX147" s="206"/>
      <c r="AY147" s="206"/>
      <c r="AZ147" s="206"/>
      <c r="BA147" s="206"/>
      <c r="BB147" s="206"/>
      <c r="BC147" s="206"/>
      <c r="BD147" s="206"/>
      <c r="BE147" s="206"/>
      <c r="BF147" s="206"/>
      <c r="BG147" s="206"/>
      <c r="BH147" s="206"/>
      <c r="BI147" s="206"/>
      <c r="BJ147" s="206"/>
      <c r="BK147" s="206"/>
      <c r="BL147" s="206"/>
      <c r="BM147" s="206"/>
      <c r="BN147" s="206"/>
      <c r="BO147" s="206"/>
      <c r="BP147" s="206"/>
      <c r="BQ147" s="206"/>
      <c r="BR147" s="206"/>
      <c r="BS147" s="206"/>
      <c r="BT147" s="206"/>
      <c r="BU147" s="206"/>
      <c r="BV147" s="206"/>
      <c r="BW147" s="206"/>
      <c r="BX147" s="206"/>
      <c r="BY147" s="206"/>
      <c r="BZ147" s="206"/>
      <c r="CA147" s="206"/>
      <c r="CB147" s="206"/>
      <c r="CC147" s="206"/>
      <c r="CD147" s="206"/>
      <c r="CE147" s="206"/>
      <c r="CF147" s="206"/>
      <c r="CG147" s="206"/>
      <c r="CH147" s="206"/>
      <c r="CI147" s="206"/>
      <c r="CJ147" s="206"/>
      <c r="CK147" s="206"/>
      <c r="CL147" s="206"/>
      <c r="CM147" s="206"/>
      <c r="CN147" s="206"/>
      <c r="CO147" s="206"/>
      <c r="CP147" s="206"/>
      <c r="CQ147" s="206"/>
      <c r="CR147" s="206"/>
      <c r="CS147" s="206"/>
      <c r="CT147" s="206"/>
      <c r="CU147" s="206"/>
      <c r="CV147" s="206"/>
      <c r="CW147" s="206"/>
      <c r="CX147" s="206"/>
      <c r="CY147" s="206"/>
      <c r="CZ147" s="206"/>
      <c r="DA147" s="206"/>
      <c r="DB147" s="206"/>
      <c r="DC147" s="206"/>
      <c r="DD147" s="206"/>
    </row>
    <row r="148" spans="1:108" x14ac:dyDescent="0.25">
      <c r="A148" s="303"/>
      <c r="B148" s="303"/>
      <c r="C148" s="303"/>
      <c r="D148" s="206"/>
      <c r="E148" s="206"/>
      <c r="F148" s="206"/>
      <c r="G148" s="206"/>
      <c r="H148" s="206"/>
      <c r="I148" s="206"/>
      <c r="J148" s="206"/>
      <c r="K148" s="206"/>
      <c r="L148" s="206"/>
      <c r="M148" s="206"/>
      <c r="N148" s="206"/>
      <c r="O148" s="206"/>
      <c r="P148" s="206"/>
      <c r="Q148" s="206"/>
      <c r="R148" s="206"/>
      <c r="S148" s="206"/>
      <c r="T148" s="206"/>
      <c r="U148" s="206"/>
      <c r="V148" s="206"/>
      <c r="W148" s="206"/>
      <c r="X148" s="206"/>
      <c r="Y148" s="206"/>
      <c r="Z148" s="206"/>
      <c r="AA148" s="206"/>
      <c r="AB148" s="206"/>
      <c r="AC148" s="206"/>
      <c r="AD148" s="206"/>
      <c r="AE148" s="206"/>
      <c r="AF148" s="206"/>
      <c r="AG148" s="206"/>
      <c r="AH148" s="206"/>
      <c r="AI148" s="206"/>
      <c r="AJ148" s="206"/>
      <c r="AK148" s="206"/>
      <c r="AL148" s="206"/>
      <c r="AM148" s="206"/>
      <c r="AN148" s="206"/>
      <c r="AO148" s="206"/>
      <c r="AP148" s="206"/>
      <c r="AQ148" s="206"/>
      <c r="AR148" s="206"/>
      <c r="AS148" s="206"/>
      <c r="AT148" s="206"/>
      <c r="AU148" s="206"/>
      <c r="AV148" s="206"/>
      <c r="AW148" s="206"/>
      <c r="AX148" s="206"/>
      <c r="AY148" s="206"/>
      <c r="AZ148" s="206"/>
      <c r="BA148" s="206"/>
      <c r="BB148" s="206"/>
      <c r="BC148" s="206"/>
      <c r="BD148" s="206"/>
      <c r="BE148" s="206"/>
      <c r="BF148" s="206"/>
      <c r="BG148" s="206"/>
      <c r="BH148" s="206"/>
      <c r="BI148" s="206"/>
      <c r="BJ148" s="206"/>
      <c r="BK148" s="206"/>
      <c r="BL148" s="206"/>
      <c r="BM148" s="206"/>
      <c r="BN148" s="206"/>
      <c r="BO148" s="206"/>
      <c r="BP148" s="206"/>
      <c r="BQ148" s="206"/>
      <c r="BR148" s="206"/>
      <c r="BS148" s="206"/>
      <c r="BT148" s="206"/>
      <c r="BU148" s="206"/>
      <c r="BV148" s="206"/>
      <c r="BW148" s="206"/>
      <c r="BX148" s="206"/>
      <c r="BY148" s="206"/>
      <c r="BZ148" s="206"/>
      <c r="CA148" s="206"/>
      <c r="CB148" s="206"/>
      <c r="CC148" s="206"/>
      <c r="CD148" s="206"/>
      <c r="CE148" s="206"/>
      <c r="CF148" s="206"/>
      <c r="CG148" s="206"/>
      <c r="CH148" s="206"/>
      <c r="CI148" s="206"/>
      <c r="CJ148" s="206"/>
      <c r="CK148" s="206"/>
      <c r="CL148" s="206"/>
      <c r="CM148" s="206"/>
      <c r="CN148" s="206"/>
      <c r="CO148" s="206"/>
      <c r="CP148" s="206"/>
      <c r="CQ148" s="206"/>
      <c r="CR148" s="206"/>
      <c r="CS148" s="206"/>
      <c r="CT148" s="206"/>
      <c r="CU148" s="206"/>
      <c r="CV148" s="206"/>
      <c r="CW148" s="206"/>
      <c r="CX148" s="206"/>
      <c r="CY148" s="206"/>
      <c r="CZ148" s="206"/>
      <c r="DA148" s="206"/>
      <c r="DB148" s="206"/>
      <c r="DC148" s="206"/>
      <c r="DD148" s="206"/>
    </row>
    <row r="149" spans="1:108" x14ac:dyDescent="0.25">
      <c r="A149" s="303"/>
      <c r="B149" s="303"/>
      <c r="C149" s="303"/>
      <c r="D149" s="206"/>
      <c r="E149" s="206"/>
      <c r="F149" s="206"/>
      <c r="G149" s="206"/>
      <c r="H149" s="206"/>
      <c r="I149" s="206"/>
      <c r="J149" s="206"/>
      <c r="K149" s="206"/>
      <c r="L149" s="206"/>
      <c r="M149" s="206"/>
      <c r="N149" s="206"/>
      <c r="O149" s="206"/>
      <c r="P149" s="206"/>
      <c r="Q149" s="206"/>
      <c r="R149" s="206"/>
      <c r="S149" s="206"/>
      <c r="T149" s="206"/>
      <c r="U149" s="206"/>
      <c r="V149" s="206"/>
      <c r="W149" s="206"/>
      <c r="X149" s="206"/>
      <c r="Y149" s="206"/>
      <c r="Z149" s="206"/>
      <c r="AA149" s="206"/>
      <c r="AB149" s="206"/>
      <c r="AC149" s="206"/>
      <c r="AD149" s="206"/>
      <c r="AE149" s="206"/>
      <c r="AF149" s="206"/>
      <c r="AG149" s="206"/>
      <c r="AH149" s="206"/>
      <c r="AI149" s="206"/>
      <c r="AJ149" s="206"/>
      <c r="AK149" s="206"/>
      <c r="AL149" s="206"/>
      <c r="AM149" s="206"/>
      <c r="AN149" s="206"/>
      <c r="AO149" s="206"/>
      <c r="AP149" s="206"/>
      <c r="AQ149" s="206"/>
      <c r="AR149" s="206"/>
      <c r="AS149" s="206"/>
      <c r="AT149" s="206"/>
      <c r="AU149" s="206"/>
      <c r="AV149" s="206"/>
      <c r="AW149" s="206"/>
      <c r="AX149" s="206"/>
      <c r="AY149" s="206"/>
      <c r="AZ149" s="206"/>
      <c r="BA149" s="206"/>
      <c r="BB149" s="206"/>
      <c r="BC149" s="206"/>
      <c r="BD149" s="206"/>
      <c r="BE149" s="206"/>
      <c r="BF149" s="206"/>
      <c r="BG149" s="206"/>
      <c r="BH149" s="206"/>
      <c r="BI149" s="206"/>
      <c r="BJ149" s="206"/>
      <c r="BK149" s="206"/>
      <c r="BL149" s="206"/>
      <c r="BM149" s="206"/>
      <c r="BN149" s="206"/>
      <c r="BO149" s="206"/>
      <c r="BP149" s="206"/>
      <c r="BQ149" s="206"/>
      <c r="BR149" s="206"/>
      <c r="BS149" s="206"/>
      <c r="BT149" s="206"/>
      <c r="BU149" s="206"/>
      <c r="BV149" s="206"/>
      <c r="BW149" s="206"/>
      <c r="BX149" s="206"/>
      <c r="BY149" s="206"/>
      <c r="BZ149" s="206"/>
      <c r="CA149" s="206"/>
      <c r="CB149" s="206"/>
      <c r="CC149" s="206"/>
      <c r="CD149" s="206"/>
      <c r="CE149" s="206"/>
      <c r="CF149" s="206"/>
      <c r="CG149" s="206"/>
      <c r="CH149" s="206"/>
      <c r="CI149" s="206"/>
      <c r="CJ149" s="206"/>
      <c r="CK149" s="206"/>
      <c r="CL149" s="206"/>
      <c r="CM149" s="206"/>
      <c r="CN149" s="206"/>
      <c r="CO149" s="206"/>
      <c r="CP149" s="206"/>
      <c r="CQ149" s="206"/>
      <c r="CR149" s="206"/>
      <c r="CS149" s="206"/>
      <c r="CT149" s="206"/>
      <c r="CU149" s="206"/>
      <c r="CV149" s="206"/>
      <c r="CW149" s="206"/>
      <c r="CX149" s="206"/>
      <c r="CY149" s="206"/>
      <c r="CZ149" s="206"/>
      <c r="DA149" s="206"/>
      <c r="DB149" s="206"/>
      <c r="DC149" s="206"/>
      <c r="DD149" s="206"/>
    </row>
    <row r="150" spans="1:108" x14ac:dyDescent="0.25">
      <c r="A150" s="303"/>
      <c r="B150" s="303"/>
      <c r="C150" s="303"/>
      <c r="D150" s="206"/>
      <c r="E150" s="206"/>
      <c r="F150" s="206"/>
      <c r="G150" s="206"/>
      <c r="H150" s="206"/>
      <c r="I150" s="206"/>
      <c r="J150" s="206"/>
      <c r="K150" s="206"/>
      <c r="L150" s="206"/>
      <c r="M150" s="206"/>
      <c r="N150" s="206"/>
      <c r="O150" s="206"/>
      <c r="P150" s="206"/>
      <c r="Q150" s="206"/>
      <c r="R150" s="206"/>
      <c r="S150" s="206"/>
      <c r="T150" s="206"/>
      <c r="U150" s="206"/>
      <c r="V150" s="206"/>
      <c r="W150" s="206"/>
      <c r="X150" s="206"/>
      <c r="Y150" s="206"/>
      <c r="Z150" s="206"/>
      <c r="AA150" s="206"/>
      <c r="AB150" s="206"/>
      <c r="AC150" s="206"/>
      <c r="AD150" s="206"/>
      <c r="AE150" s="206"/>
      <c r="AF150" s="206"/>
      <c r="AG150" s="206"/>
      <c r="AH150" s="206"/>
      <c r="AI150" s="206"/>
      <c r="AJ150" s="206"/>
      <c r="AK150" s="206"/>
      <c r="AL150" s="206"/>
      <c r="AM150" s="206"/>
      <c r="AN150" s="206"/>
      <c r="AO150" s="206"/>
      <c r="AP150" s="206"/>
      <c r="AQ150" s="206"/>
      <c r="AR150" s="206"/>
      <c r="AS150" s="206"/>
      <c r="AT150" s="206"/>
      <c r="AU150" s="206"/>
      <c r="AV150" s="206"/>
      <c r="AW150" s="206"/>
      <c r="AX150" s="206"/>
      <c r="AY150" s="206"/>
      <c r="AZ150" s="206"/>
      <c r="BA150" s="206"/>
      <c r="BB150" s="206"/>
      <c r="BC150" s="206"/>
      <c r="BD150" s="206"/>
      <c r="BE150" s="206"/>
      <c r="BF150" s="206"/>
      <c r="BG150" s="206"/>
      <c r="BH150" s="206"/>
      <c r="BI150" s="206"/>
      <c r="BJ150" s="206"/>
      <c r="BK150" s="206"/>
      <c r="BL150" s="206"/>
      <c r="BM150" s="206"/>
      <c r="BN150" s="206"/>
      <c r="BO150" s="206"/>
      <c r="BP150" s="206"/>
      <c r="BQ150" s="206"/>
      <c r="BR150" s="206"/>
      <c r="BS150" s="206"/>
      <c r="BT150" s="206"/>
      <c r="BU150" s="206"/>
      <c r="BV150" s="206"/>
      <c r="BW150" s="206"/>
      <c r="BX150" s="206"/>
      <c r="BY150" s="206"/>
      <c r="BZ150" s="206"/>
      <c r="CA150" s="206"/>
      <c r="CB150" s="206"/>
      <c r="CC150" s="206"/>
      <c r="CD150" s="206"/>
      <c r="CE150" s="206"/>
      <c r="CF150" s="206"/>
      <c r="CG150" s="206"/>
      <c r="CH150" s="206"/>
      <c r="CI150" s="206"/>
      <c r="CJ150" s="206"/>
      <c r="CK150" s="206"/>
      <c r="CL150" s="206"/>
      <c r="CM150" s="206"/>
      <c r="CN150" s="206"/>
      <c r="CO150" s="206"/>
      <c r="CP150" s="206"/>
      <c r="CQ150" s="206"/>
      <c r="CR150" s="206"/>
      <c r="CS150" s="206"/>
      <c r="CT150" s="206"/>
      <c r="CU150" s="206"/>
      <c r="CV150" s="206"/>
      <c r="CW150" s="206"/>
      <c r="CX150" s="206"/>
      <c r="CY150" s="206"/>
      <c r="CZ150" s="206"/>
      <c r="DA150" s="206"/>
      <c r="DB150" s="206"/>
      <c r="DC150" s="206"/>
      <c r="DD150" s="206"/>
    </row>
    <row r="151" spans="1:108" x14ac:dyDescent="0.25">
      <c r="A151" s="303"/>
      <c r="B151" s="303"/>
      <c r="C151" s="303"/>
      <c r="D151" s="206"/>
      <c r="E151" s="206"/>
      <c r="F151" s="206"/>
      <c r="G151" s="206"/>
      <c r="H151" s="206"/>
      <c r="I151" s="206"/>
      <c r="J151" s="206"/>
      <c r="K151" s="206"/>
      <c r="L151" s="206"/>
      <c r="M151" s="206"/>
      <c r="N151" s="206"/>
      <c r="O151" s="206"/>
      <c r="P151" s="206"/>
      <c r="Q151" s="206"/>
      <c r="R151" s="206"/>
      <c r="S151" s="206"/>
      <c r="T151" s="206"/>
      <c r="U151" s="206"/>
      <c r="V151" s="206"/>
      <c r="W151" s="206"/>
      <c r="X151" s="206"/>
      <c r="Y151" s="206"/>
      <c r="Z151" s="206"/>
      <c r="AA151" s="206"/>
      <c r="AB151" s="206"/>
      <c r="AC151" s="206"/>
      <c r="AD151" s="206"/>
      <c r="AE151" s="206"/>
      <c r="AF151" s="206"/>
      <c r="AG151" s="206"/>
      <c r="AH151" s="206"/>
      <c r="AI151" s="206"/>
      <c r="AJ151" s="206"/>
      <c r="AK151" s="206"/>
      <c r="AL151" s="206"/>
      <c r="AM151" s="206"/>
      <c r="AN151" s="206"/>
      <c r="AO151" s="206"/>
      <c r="AP151" s="206"/>
      <c r="AQ151" s="206"/>
      <c r="AR151" s="206"/>
      <c r="AS151" s="206"/>
      <c r="AT151" s="206"/>
      <c r="AU151" s="206"/>
      <c r="AV151" s="206"/>
      <c r="AW151" s="206"/>
      <c r="AX151" s="206"/>
      <c r="AY151" s="206"/>
      <c r="AZ151" s="206"/>
      <c r="BA151" s="206"/>
      <c r="BB151" s="206"/>
      <c r="BC151" s="206"/>
      <c r="BD151" s="206"/>
      <c r="BE151" s="206"/>
      <c r="BF151" s="206"/>
      <c r="BG151" s="206"/>
      <c r="BH151" s="206"/>
      <c r="BI151" s="206"/>
      <c r="BJ151" s="206"/>
      <c r="BK151" s="206"/>
      <c r="BL151" s="206"/>
      <c r="BM151" s="206"/>
      <c r="BN151" s="206"/>
      <c r="BO151" s="206"/>
      <c r="BP151" s="206"/>
      <c r="BQ151" s="206"/>
      <c r="BR151" s="206"/>
      <c r="BS151" s="206"/>
      <c r="BT151" s="206"/>
      <c r="BU151" s="206"/>
      <c r="BV151" s="206"/>
      <c r="BW151" s="206"/>
      <c r="BX151" s="206"/>
      <c r="BY151" s="206"/>
      <c r="BZ151" s="206"/>
      <c r="CA151" s="206"/>
      <c r="CB151" s="206"/>
      <c r="CC151" s="206"/>
      <c r="CD151" s="206"/>
      <c r="CE151" s="206"/>
      <c r="CF151" s="206"/>
      <c r="CG151" s="206"/>
      <c r="CH151" s="206"/>
      <c r="CI151" s="206"/>
      <c r="CJ151" s="206"/>
      <c r="CK151" s="206"/>
      <c r="CL151" s="206"/>
      <c r="CM151" s="206"/>
      <c r="CN151" s="206"/>
      <c r="CO151" s="206"/>
      <c r="CP151" s="206"/>
      <c r="CQ151" s="206"/>
      <c r="CR151" s="206"/>
      <c r="CS151" s="206"/>
      <c r="CT151" s="206"/>
      <c r="CU151" s="206"/>
      <c r="CV151" s="206"/>
      <c r="CW151" s="206"/>
      <c r="CX151" s="206"/>
      <c r="CY151" s="206"/>
      <c r="CZ151" s="206"/>
      <c r="DA151" s="206"/>
      <c r="DB151" s="206"/>
      <c r="DC151" s="206"/>
      <c r="DD151" s="206"/>
    </row>
    <row r="152" spans="1:108" x14ac:dyDescent="0.25">
      <c r="A152" s="303"/>
      <c r="B152" s="303"/>
      <c r="C152" s="303"/>
      <c r="D152" s="206"/>
      <c r="E152" s="206"/>
      <c r="F152" s="206"/>
      <c r="G152" s="206"/>
      <c r="H152" s="206"/>
      <c r="I152" s="206"/>
      <c r="J152" s="206"/>
      <c r="K152" s="206"/>
      <c r="L152" s="206"/>
      <c r="M152" s="206"/>
      <c r="N152" s="206"/>
      <c r="O152" s="206"/>
      <c r="P152" s="206"/>
      <c r="Q152" s="206"/>
      <c r="R152" s="206"/>
      <c r="S152" s="206"/>
      <c r="T152" s="206"/>
      <c r="U152" s="206"/>
      <c r="V152" s="206"/>
      <c r="W152" s="206"/>
      <c r="X152" s="206"/>
      <c r="Y152" s="206"/>
      <c r="Z152" s="206"/>
      <c r="AA152" s="206"/>
      <c r="AB152" s="206"/>
      <c r="AC152" s="206"/>
      <c r="AD152" s="206"/>
      <c r="AE152" s="206"/>
      <c r="AF152" s="206"/>
      <c r="AG152" s="206"/>
      <c r="AH152" s="206"/>
      <c r="AI152" s="206"/>
      <c r="AJ152" s="206"/>
      <c r="AK152" s="206"/>
      <c r="AL152" s="206"/>
      <c r="AM152" s="206"/>
      <c r="AN152" s="206"/>
      <c r="AO152" s="206"/>
      <c r="AP152" s="206"/>
      <c r="AQ152" s="206"/>
      <c r="AR152" s="206"/>
      <c r="AS152" s="206"/>
      <c r="AT152" s="206"/>
      <c r="AU152" s="206"/>
      <c r="AV152" s="206"/>
      <c r="AW152" s="206"/>
      <c r="AX152" s="206"/>
      <c r="AY152" s="206"/>
      <c r="AZ152" s="206"/>
      <c r="BA152" s="206"/>
      <c r="BB152" s="206"/>
      <c r="BC152" s="206"/>
      <c r="BD152" s="206"/>
      <c r="BE152" s="206"/>
      <c r="BF152" s="206"/>
      <c r="BG152" s="206"/>
      <c r="BH152" s="206"/>
      <c r="BI152" s="206"/>
      <c r="BJ152" s="206"/>
      <c r="BK152" s="206"/>
      <c r="BL152" s="206"/>
      <c r="BM152" s="206"/>
      <c r="BN152" s="206"/>
      <c r="BO152" s="206"/>
      <c r="BP152" s="206"/>
      <c r="BQ152" s="206"/>
      <c r="BR152" s="206"/>
      <c r="BS152" s="206"/>
      <c r="BT152" s="206"/>
      <c r="BU152" s="206"/>
      <c r="BV152" s="206"/>
      <c r="BW152" s="206"/>
      <c r="BX152" s="206"/>
      <c r="BY152" s="206"/>
      <c r="BZ152" s="206"/>
      <c r="CA152" s="206"/>
      <c r="CB152" s="206"/>
      <c r="CC152" s="206"/>
      <c r="CD152" s="206"/>
      <c r="CE152" s="206"/>
      <c r="CF152" s="206"/>
      <c r="CG152" s="206"/>
      <c r="CH152" s="206"/>
      <c r="CI152" s="206"/>
      <c r="CJ152" s="206"/>
      <c r="CK152" s="206"/>
      <c r="CL152" s="206"/>
      <c r="CM152" s="206"/>
      <c r="CN152" s="206"/>
      <c r="CO152" s="206"/>
      <c r="CP152" s="206"/>
      <c r="CQ152" s="206"/>
      <c r="CR152" s="206"/>
      <c r="CS152" s="206"/>
      <c r="CT152" s="206"/>
      <c r="CU152" s="206"/>
      <c r="CV152" s="206"/>
      <c r="CW152" s="206"/>
      <c r="CX152" s="206"/>
      <c r="CY152" s="206"/>
      <c r="CZ152" s="206"/>
      <c r="DA152" s="206"/>
      <c r="DB152" s="206"/>
      <c r="DC152" s="206"/>
      <c r="DD152" s="206"/>
    </row>
    <row r="153" spans="1:108" x14ac:dyDescent="0.25">
      <c r="A153" s="303"/>
      <c r="B153" s="303"/>
      <c r="C153" s="303"/>
      <c r="D153" s="206"/>
      <c r="E153" s="206"/>
      <c r="F153" s="206"/>
      <c r="G153" s="206"/>
      <c r="H153" s="206"/>
      <c r="I153" s="206"/>
      <c r="J153" s="206"/>
      <c r="K153" s="206"/>
      <c r="L153" s="206"/>
      <c r="M153" s="206"/>
      <c r="N153" s="206"/>
      <c r="O153" s="206"/>
      <c r="P153" s="206"/>
      <c r="Q153" s="206"/>
      <c r="R153" s="206"/>
      <c r="S153" s="206"/>
      <c r="T153" s="206"/>
      <c r="U153" s="206"/>
      <c r="V153" s="206"/>
      <c r="W153" s="206"/>
      <c r="X153" s="206"/>
      <c r="Y153" s="206"/>
      <c r="Z153" s="206"/>
      <c r="AA153" s="206"/>
      <c r="AB153" s="206"/>
      <c r="AC153" s="206"/>
      <c r="AD153" s="206"/>
      <c r="AE153" s="206"/>
      <c r="AF153" s="206"/>
      <c r="AG153" s="206"/>
      <c r="AH153" s="206"/>
      <c r="AI153" s="206"/>
      <c r="AJ153" s="206"/>
      <c r="AK153" s="206"/>
      <c r="AL153" s="206"/>
      <c r="AM153" s="206"/>
      <c r="AN153" s="206"/>
      <c r="AO153" s="206"/>
      <c r="AP153" s="206"/>
      <c r="AQ153" s="206"/>
      <c r="AR153" s="206"/>
      <c r="AS153" s="206"/>
      <c r="AT153" s="206"/>
      <c r="AU153" s="206"/>
      <c r="AV153" s="206"/>
      <c r="AW153" s="206"/>
      <c r="AX153" s="206"/>
      <c r="AY153" s="206"/>
      <c r="AZ153" s="206"/>
      <c r="BA153" s="206"/>
      <c r="BB153" s="206"/>
      <c r="BC153" s="206"/>
      <c r="BD153" s="206"/>
      <c r="BE153" s="206"/>
      <c r="BF153" s="206"/>
      <c r="BG153" s="206"/>
      <c r="BH153" s="206"/>
      <c r="BI153" s="206"/>
      <c r="BJ153" s="206"/>
      <c r="BK153" s="206"/>
      <c r="BL153" s="206"/>
      <c r="BM153" s="206"/>
      <c r="BN153" s="206"/>
      <c r="BO153" s="206"/>
      <c r="BP153" s="206"/>
      <c r="BQ153" s="206"/>
      <c r="BR153" s="206"/>
      <c r="BS153" s="206"/>
      <c r="BT153" s="206"/>
      <c r="BU153" s="206"/>
      <c r="BV153" s="206"/>
      <c r="BW153" s="206"/>
      <c r="BX153" s="206"/>
      <c r="BY153" s="206"/>
      <c r="BZ153" s="206"/>
      <c r="CA153" s="206"/>
      <c r="CB153" s="206"/>
      <c r="CC153" s="206"/>
      <c r="CD153" s="206"/>
      <c r="CE153" s="206"/>
      <c r="CF153" s="206"/>
      <c r="CG153" s="206"/>
      <c r="CH153" s="206"/>
      <c r="CI153" s="206"/>
      <c r="CJ153" s="206"/>
      <c r="CK153" s="206"/>
      <c r="CL153" s="206"/>
      <c r="CM153" s="206"/>
      <c r="CN153" s="206"/>
      <c r="CO153" s="206"/>
      <c r="CP153" s="206"/>
      <c r="CQ153" s="206"/>
      <c r="CR153" s="206"/>
      <c r="CS153" s="206"/>
      <c r="CT153" s="206"/>
      <c r="CU153" s="206"/>
      <c r="CV153" s="206"/>
      <c r="CW153" s="206"/>
      <c r="CX153" s="206"/>
      <c r="CY153" s="206"/>
      <c r="CZ153" s="206"/>
      <c r="DA153" s="206"/>
      <c r="DB153" s="206"/>
      <c r="DC153" s="206"/>
      <c r="DD153" s="206"/>
    </row>
    <row r="154" spans="1:108" x14ac:dyDescent="0.25">
      <c r="A154" s="303"/>
      <c r="B154" s="303"/>
      <c r="C154" s="303"/>
      <c r="D154" s="206"/>
      <c r="E154" s="206"/>
      <c r="F154" s="206"/>
      <c r="G154" s="206"/>
      <c r="H154" s="206"/>
      <c r="I154" s="206"/>
      <c r="J154" s="206"/>
      <c r="K154" s="206"/>
      <c r="L154" s="206"/>
      <c r="M154" s="206"/>
      <c r="N154" s="206"/>
      <c r="O154" s="206"/>
      <c r="P154" s="206"/>
      <c r="Q154" s="206"/>
      <c r="R154" s="206"/>
      <c r="S154" s="206"/>
      <c r="T154" s="206"/>
      <c r="U154" s="206"/>
      <c r="V154" s="206"/>
      <c r="W154" s="206"/>
      <c r="X154" s="206"/>
      <c r="Y154" s="206"/>
      <c r="Z154" s="206"/>
      <c r="AA154" s="206"/>
      <c r="AB154" s="206"/>
      <c r="AC154" s="206"/>
      <c r="AD154" s="206"/>
      <c r="AE154" s="206"/>
      <c r="AF154" s="206"/>
      <c r="AG154" s="206"/>
      <c r="AH154" s="206"/>
      <c r="AI154" s="206"/>
      <c r="AJ154" s="206"/>
      <c r="AK154" s="206"/>
      <c r="AL154" s="206"/>
      <c r="AM154" s="206"/>
      <c r="AN154" s="206"/>
      <c r="AO154" s="206"/>
      <c r="AP154" s="206"/>
      <c r="AQ154" s="206"/>
      <c r="AR154" s="206"/>
      <c r="AS154" s="206"/>
      <c r="AT154" s="206"/>
      <c r="AU154" s="206"/>
      <c r="AV154" s="206"/>
      <c r="AW154" s="206"/>
      <c r="AX154" s="206"/>
      <c r="AY154" s="206"/>
      <c r="AZ154" s="206"/>
      <c r="BA154" s="206"/>
      <c r="BB154" s="206"/>
      <c r="BC154" s="206"/>
      <c r="BD154" s="206"/>
      <c r="BE154" s="206"/>
      <c r="BF154" s="206"/>
      <c r="BG154" s="206"/>
      <c r="BH154" s="206"/>
      <c r="BI154" s="206"/>
      <c r="BJ154" s="206"/>
      <c r="BK154" s="206"/>
      <c r="BL154" s="206"/>
      <c r="BM154" s="206"/>
      <c r="BN154" s="206"/>
      <c r="BO154" s="206"/>
      <c r="BP154" s="206"/>
      <c r="BQ154" s="206"/>
      <c r="BR154" s="206"/>
      <c r="BS154" s="206"/>
      <c r="BT154" s="206"/>
      <c r="BU154" s="206"/>
      <c r="BV154" s="206"/>
      <c r="BW154" s="206"/>
      <c r="BX154" s="206"/>
      <c r="BY154" s="206"/>
      <c r="BZ154" s="206"/>
      <c r="CA154" s="206"/>
      <c r="CB154" s="206"/>
      <c r="CC154" s="206"/>
      <c r="CD154" s="206"/>
      <c r="CE154" s="206"/>
      <c r="CF154" s="206"/>
      <c r="CG154" s="206"/>
      <c r="CH154" s="206"/>
      <c r="CI154" s="206"/>
      <c r="CJ154" s="206"/>
      <c r="CK154" s="206"/>
      <c r="CL154" s="206"/>
      <c r="CM154" s="206"/>
      <c r="CN154" s="206"/>
      <c r="CO154" s="206"/>
      <c r="CP154" s="206"/>
      <c r="CQ154" s="206"/>
      <c r="CR154" s="206"/>
      <c r="CS154" s="206"/>
      <c r="CT154" s="206"/>
      <c r="CU154" s="206"/>
      <c r="CV154" s="206"/>
      <c r="CW154" s="206"/>
      <c r="CX154" s="206"/>
      <c r="CY154" s="206"/>
      <c r="CZ154" s="206"/>
      <c r="DA154" s="206"/>
      <c r="DB154" s="206"/>
      <c r="DC154" s="206"/>
      <c r="DD154" s="206"/>
    </row>
  </sheetData>
  <mergeCells count="20">
    <mergeCell ref="BL4:BN4"/>
    <mergeCell ref="BT4:BV4"/>
    <mergeCell ref="BX3:BZ4"/>
    <mergeCell ref="AF4:AH4"/>
    <mergeCell ref="AJ4:AL4"/>
    <mergeCell ref="AN4:AP4"/>
    <mergeCell ref="AR4:AT4"/>
    <mergeCell ref="AV4:AX4"/>
    <mergeCell ref="BH4:BJ4"/>
    <mergeCell ref="D2:H2"/>
    <mergeCell ref="BL3:BN3"/>
    <mergeCell ref="BP3:BR4"/>
    <mergeCell ref="D4:F4"/>
    <mergeCell ref="H4:J4"/>
    <mergeCell ref="L4:N4"/>
    <mergeCell ref="P4:R4"/>
    <mergeCell ref="T4:V4"/>
    <mergeCell ref="X4:Z4"/>
    <mergeCell ref="AB4:AD4"/>
    <mergeCell ref="A1:P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1"/>
  <sheetViews>
    <sheetView topLeftCell="A22" workbookViewId="0">
      <selection activeCell="F32" sqref="F32"/>
    </sheetView>
  </sheetViews>
  <sheetFormatPr defaultColWidth="8.85546875" defaultRowHeight="15.75" x14ac:dyDescent="0.25"/>
  <cols>
    <col min="1" max="1" width="6.7109375" style="522" customWidth="1"/>
    <col min="2" max="2" width="51.140625" style="649" customWidth="1"/>
    <col min="3" max="3" width="20.85546875" style="452" customWidth="1"/>
    <col min="4" max="4" width="2.7109375" style="452" customWidth="1"/>
    <col min="5" max="5" width="24.85546875" style="452" customWidth="1"/>
    <col min="6" max="6" width="21" style="452" customWidth="1"/>
    <col min="7" max="16384" width="8.85546875" style="452"/>
  </cols>
  <sheetData>
    <row r="1" spans="1:6" x14ac:dyDescent="0.25">
      <c r="B1" s="675" t="s">
        <v>266</v>
      </c>
      <c r="C1" s="282" t="s">
        <v>2</v>
      </c>
      <c r="D1" s="282"/>
      <c r="E1" s="670" t="s">
        <v>722</v>
      </c>
      <c r="F1" s="522" t="s">
        <v>270</v>
      </c>
    </row>
    <row r="2" spans="1:6" x14ac:dyDescent="0.25">
      <c r="B2" s="676"/>
      <c r="C2" s="656" t="s">
        <v>471</v>
      </c>
      <c r="D2" s="656"/>
      <c r="E2" s="672"/>
      <c r="F2" s="522"/>
    </row>
    <row r="3" spans="1:6" x14ac:dyDescent="0.25">
      <c r="A3" s="522">
        <v>1</v>
      </c>
      <c r="B3" s="676" t="s">
        <v>215</v>
      </c>
      <c r="C3" s="543">
        <v>1200000000</v>
      </c>
      <c r="D3" s="543"/>
      <c r="E3" s="664">
        <v>1134284522.8999999</v>
      </c>
      <c r="F3" s="544">
        <f>C3-E3</f>
        <v>65715477.100000143</v>
      </c>
    </row>
    <row r="4" spans="1:6" x14ac:dyDescent="0.25">
      <c r="A4" s="522">
        <v>2</v>
      </c>
      <c r="B4" s="676" t="s">
        <v>217</v>
      </c>
      <c r="C4" s="543">
        <v>1200000000</v>
      </c>
      <c r="D4" s="543"/>
      <c r="E4" s="664">
        <v>1200000000</v>
      </c>
      <c r="F4" s="544">
        <f t="shared" ref="F4:F29" si="0">C4-E4</f>
        <v>0</v>
      </c>
    </row>
    <row r="5" spans="1:6" x14ac:dyDescent="0.25">
      <c r="A5" s="522">
        <v>3</v>
      </c>
      <c r="B5" s="676" t="s">
        <v>690</v>
      </c>
      <c r="C5" s="543">
        <v>1200000000</v>
      </c>
      <c r="D5" s="543"/>
      <c r="E5" s="664">
        <v>1199999999.95</v>
      </c>
      <c r="F5" s="544">
        <f t="shared" si="0"/>
        <v>4.999995231628418E-2</v>
      </c>
    </row>
    <row r="6" spans="1:6" x14ac:dyDescent="0.25">
      <c r="A6" s="522">
        <v>4</v>
      </c>
      <c r="B6" s="676" t="s">
        <v>201</v>
      </c>
      <c r="C6" s="543">
        <v>1000000000</v>
      </c>
      <c r="D6" s="543"/>
      <c r="E6" s="664">
        <v>997690615.28000009</v>
      </c>
      <c r="F6" s="544">
        <f t="shared" si="0"/>
        <v>2309384.7199999094</v>
      </c>
    </row>
    <row r="7" spans="1:6" x14ac:dyDescent="0.25">
      <c r="A7" s="522">
        <v>5</v>
      </c>
      <c r="B7" s="676" t="s">
        <v>691</v>
      </c>
      <c r="C7" s="543">
        <v>1000000000</v>
      </c>
      <c r="D7" s="543"/>
      <c r="E7" s="664">
        <v>850000000</v>
      </c>
      <c r="F7" s="544">
        <f t="shared" si="0"/>
        <v>150000000</v>
      </c>
    </row>
    <row r="8" spans="1:6" x14ac:dyDescent="0.25">
      <c r="A8" s="522">
        <v>6</v>
      </c>
      <c r="B8" s="676" t="s">
        <v>230</v>
      </c>
      <c r="C8" s="543">
        <v>1000000000</v>
      </c>
      <c r="D8" s="543"/>
      <c r="E8" s="664">
        <v>793287568.96000004</v>
      </c>
      <c r="F8" s="544">
        <f t="shared" si="0"/>
        <v>206712431.03999996</v>
      </c>
    </row>
    <row r="9" spans="1:6" x14ac:dyDescent="0.25">
      <c r="A9" s="522">
        <v>7</v>
      </c>
      <c r="B9" s="657" t="s">
        <v>223</v>
      </c>
      <c r="C9" s="543">
        <v>1000000000</v>
      </c>
      <c r="D9" s="543"/>
      <c r="E9" s="664">
        <v>850000000</v>
      </c>
      <c r="F9" s="544">
        <f t="shared" si="0"/>
        <v>150000000</v>
      </c>
    </row>
    <row r="10" spans="1:6" x14ac:dyDescent="0.25">
      <c r="A10" s="522">
        <v>8</v>
      </c>
      <c r="B10" s="657" t="s">
        <v>218</v>
      </c>
      <c r="C10" s="543">
        <v>1000000000</v>
      </c>
      <c r="D10" s="543"/>
      <c r="E10" s="664">
        <v>944802867.35000014</v>
      </c>
      <c r="F10" s="544">
        <f t="shared" si="0"/>
        <v>55197132.649999857</v>
      </c>
    </row>
    <row r="11" spans="1:6" x14ac:dyDescent="0.25">
      <c r="A11" s="522">
        <v>9</v>
      </c>
      <c r="B11" s="676" t="s">
        <v>216</v>
      </c>
      <c r="C11" s="544">
        <v>1000000000</v>
      </c>
      <c r="D11" s="544"/>
      <c r="E11" s="673">
        <v>1000000000</v>
      </c>
      <c r="F11" s="544">
        <f t="shared" si="0"/>
        <v>0</v>
      </c>
    </row>
    <row r="12" spans="1:6" x14ac:dyDescent="0.25">
      <c r="A12" s="522">
        <v>10</v>
      </c>
      <c r="B12" s="676" t="s">
        <v>281</v>
      </c>
      <c r="C12" s="544">
        <v>1000000000</v>
      </c>
      <c r="D12" s="544"/>
      <c r="E12" s="673">
        <v>996534060.12000012</v>
      </c>
      <c r="F12" s="544">
        <f t="shared" si="0"/>
        <v>3465939.879999876</v>
      </c>
    </row>
    <row r="13" spans="1:6" x14ac:dyDescent="0.25">
      <c r="A13" s="522">
        <v>11</v>
      </c>
      <c r="B13" s="677" t="s">
        <v>277</v>
      </c>
      <c r="C13" s="658">
        <v>1000000000</v>
      </c>
      <c r="D13" s="658"/>
      <c r="E13" s="674">
        <v>928975933.96000004</v>
      </c>
      <c r="F13" s="544">
        <f t="shared" si="0"/>
        <v>71024066.039999962</v>
      </c>
    </row>
    <row r="14" spans="1:6" x14ac:dyDescent="0.25">
      <c r="A14" s="522">
        <v>12</v>
      </c>
      <c r="B14" s="676" t="s">
        <v>220</v>
      </c>
      <c r="C14" s="544">
        <v>1000000000</v>
      </c>
      <c r="D14" s="544"/>
      <c r="E14" s="673">
        <v>1000000000</v>
      </c>
      <c r="F14" s="544">
        <f t="shared" si="0"/>
        <v>0</v>
      </c>
    </row>
    <row r="15" spans="1:6" x14ac:dyDescent="0.25">
      <c r="A15" s="522">
        <v>13</v>
      </c>
      <c r="B15" s="676" t="s">
        <v>200</v>
      </c>
      <c r="C15" s="544">
        <v>1000000000</v>
      </c>
      <c r="D15" s="544"/>
      <c r="E15" s="673">
        <v>700000000</v>
      </c>
      <c r="F15" s="544">
        <f t="shared" si="0"/>
        <v>300000000</v>
      </c>
    </row>
    <row r="16" spans="1:6" x14ac:dyDescent="0.25">
      <c r="A16" s="522">
        <v>14</v>
      </c>
      <c r="B16" s="676" t="s">
        <v>203</v>
      </c>
      <c r="C16" s="544">
        <v>1000000000</v>
      </c>
      <c r="D16" s="544"/>
      <c r="E16" s="673">
        <v>1000000000</v>
      </c>
      <c r="F16" s="544">
        <f t="shared" si="0"/>
        <v>0</v>
      </c>
    </row>
    <row r="17" spans="1:6" x14ac:dyDescent="0.25">
      <c r="A17" s="522">
        <v>15</v>
      </c>
      <c r="B17" s="676" t="s">
        <v>692</v>
      </c>
      <c r="C17" s="659">
        <v>1000000000</v>
      </c>
      <c r="D17" s="659"/>
      <c r="E17" s="663">
        <v>850000000</v>
      </c>
      <c r="F17" s="544">
        <f t="shared" si="0"/>
        <v>150000000</v>
      </c>
    </row>
    <row r="18" spans="1:6" x14ac:dyDescent="0.25">
      <c r="A18" s="522">
        <v>16</v>
      </c>
      <c r="B18" s="676" t="s">
        <v>693</v>
      </c>
      <c r="C18" s="659">
        <v>1000000000</v>
      </c>
      <c r="D18" s="659"/>
      <c r="E18" s="663">
        <v>1000000000</v>
      </c>
      <c r="F18" s="544">
        <f t="shared" si="0"/>
        <v>0</v>
      </c>
    </row>
    <row r="19" spans="1:6" x14ac:dyDescent="0.25">
      <c r="A19" s="522">
        <v>17</v>
      </c>
      <c r="B19" s="676" t="s">
        <v>694</v>
      </c>
      <c r="C19" s="659">
        <v>1000000000</v>
      </c>
      <c r="D19" s="659"/>
      <c r="E19" s="663">
        <v>540000000</v>
      </c>
      <c r="F19" s="544">
        <f t="shared" si="0"/>
        <v>460000000</v>
      </c>
    </row>
    <row r="20" spans="1:6" x14ac:dyDescent="0.25">
      <c r="A20" s="522">
        <v>18</v>
      </c>
      <c r="B20" s="676" t="s">
        <v>695</v>
      </c>
      <c r="C20" s="659">
        <v>1000000000</v>
      </c>
      <c r="D20" s="659"/>
      <c r="E20" s="663">
        <v>620000000</v>
      </c>
      <c r="F20" s="544">
        <f t="shared" si="0"/>
        <v>380000000</v>
      </c>
    </row>
    <row r="21" spans="1:6" ht="34.5" x14ac:dyDescent="0.3">
      <c r="A21" s="522">
        <v>19</v>
      </c>
      <c r="B21" s="660" t="s">
        <v>696</v>
      </c>
      <c r="C21" s="659">
        <v>1000000000</v>
      </c>
      <c r="D21" s="659"/>
      <c r="E21" s="663">
        <v>850000000</v>
      </c>
      <c r="F21" s="544">
        <f t="shared" si="0"/>
        <v>150000000</v>
      </c>
    </row>
    <row r="22" spans="1:6" ht="17.25" x14ac:dyDescent="0.3">
      <c r="A22" s="522">
        <v>20</v>
      </c>
      <c r="B22" s="660" t="s">
        <v>697</v>
      </c>
      <c r="C22" s="659">
        <v>1000000000</v>
      </c>
      <c r="D22" s="659"/>
      <c r="E22" s="663">
        <v>600000000</v>
      </c>
      <c r="F22" s="544">
        <f t="shared" si="0"/>
        <v>400000000</v>
      </c>
    </row>
    <row r="23" spans="1:6" ht="17.25" x14ac:dyDescent="0.3">
      <c r="A23" s="522">
        <v>21</v>
      </c>
      <c r="B23" s="661" t="s">
        <v>698</v>
      </c>
      <c r="C23" s="659">
        <v>1000000000</v>
      </c>
      <c r="D23" s="659"/>
      <c r="E23" s="663">
        <v>580000000</v>
      </c>
      <c r="F23" s="544">
        <f t="shared" si="0"/>
        <v>420000000</v>
      </c>
    </row>
    <row r="24" spans="1:6" ht="17.25" x14ac:dyDescent="0.3">
      <c r="A24" s="522">
        <v>22</v>
      </c>
      <c r="B24" s="661" t="s">
        <v>699</v>
      </c>
      <c r="C24" s="659">
        <v>1000000000</v>
      </c>
      <c r="D24" s="659"/>
      <c r="E24" s="663">
        <v>530000000</v>
      </c>
      <c r="F24" s="544">
        <f t="shared" si="0"/>
        <v>470000000</v>
      </c>
    </row>
    <row r="25" spans="1:6" ht="17.25" x14ac:dyDescent="0.3">
      <c r="A25" s="522">
        <v>23</v>
      </c>
      <c r="B25" s="660" t="s">
        <v>700</v>
      </c>
      <c r="C25" s="659">
        <v>1000000000</v>
      </c>
      <c r="D25" s="659"/>
      <c r="E25" s="663">
        <v>590000000</v>
      </c>
      <c r="F25" s="544">
        <f t="shared" si="0"/>
        <v>410000000</v>
      </c>
    </row>
    <row r="26" spans="1:6" ht="17.25" x14ac:dyDescent="0.3">
      <c r="A26" s="522">
        <v>24</v>
      </c>
      <c r="B26" s="660" t="s">
        <v>701</v>
      </c>
      <c r="C26" s="659">
        <v>1000000000</v>
      </c>
      <c r="D26" s="659"/>
      <c r="E26" s="663">
        <v>560000000</v>
      </c>
      <c r="F26" s="544">
        <f t="shared" si="0"/>
        <v>440000000</v>
      </c>
    </row>
    <row r="27" spans="1:6" x14ac:dyDescent="0.25">
      <c r="A27" s="522">
        <v>25</v>
      </c>
      <c r="B27" s="678" t="s">
        <v>702</v>
      </c>
      <c r="C27" s="659">
        <v>1000000000</v>
      </c>
      <c r="D27" s="659"/>
      <c r="E27" s="663">
        <v>590000000</v>
      </c>
      <c r="F27" s="544">
        <f t="shared" si="0"/>
        <v>410000000</v>
      </c>
    </row>
    <row r="28" spans="1:6" x14ac:dyDescent="0.25">
      <c r="B28" s="678"/>
      <c r="C28" s="659"/>
      <c r="D28" s="659"/>
      <c r="E28" s="663"/>
      <c r="F28" s="544"/>
    </row>
    <row r="29" spans="1:6" x14ac:dyDescent="0.25">
      <c r="B29" s="676" t="s">
        <v>532</v>
      </c>
      <c r="C29" s="659">
        <f>SUM(C3:C27)</f>
        <v>25600000000</v>
      </c>
      <c r="D29" s="659"/>
      <c r="E29" s="663">
        <v>20905575568.52</v>
      </c>
      <c r="F29" s="544">
        <f>C29-E29</f>
        <v>4694424431.4799995</v>
      </c>
    </row>
    <row r="30" spans="1:6" s="215" customFormat="1" x14ac:dyDescent="0.25">
      <c r="A30" s="515"/>
    </row>
    <row r="31" spans="1:6" s="215" customFormat="1" x14ac:dyDescent="0.25">
      <c r="A31" s="515"/>
    </row>
    <row r="32" spans="1:6" s="215" customFormat="1" x14ac:dyDescent="0.25">
      <c r="A32" s="515"/>
    </row>
    <row r="33" spans="1:1" s="215" customFormat="1" x14ac:dyDescent="0.25">
      <c r="A33" s="515"/>
    </row>
    <row r="34" spans="1:1" s="215" customFormat="1" x14ac:dyDescent="0.25">
      <c r="A34" s="515"/>
    </row>
    <row r="35" spans="1:1" s="215" customFormat="1" x14ac:dyDescent="0.25">
      <c r="A35" s="515"/>
    </row>
    <row r="36" spans="1:1" s="215" customFormat="1" x14ac:dyDescent="0.25">
      <c r="A36" s="515"/>
    </row>
    <row r="37" spans="1:1" s="215" customFormat="1" x14ac:dyDescent="0.25">
      <c r="A37" s="515"/>
    </row>
    <row r="38" spans="1:1" s="215" customFormat="1" x14ac:dyDescent="0.25">
      <c r="A38" s="515"/>
    </row>
    <row r="39" spans="1:1" s="215" customFormat="1" x14ac:dyDescent="0.25">
      <c r="A39" s="515"/>
    </row>
    <row r="40" spans="1:1" s="215" customFormat="1" x14ac:dyDescent="0.25">
      <c r="A40" s="515"/>
    </row>
    <row r="41" spans="1:1" s="215" customFormat="1" x14ac:dyDescent="0.25">
      <c r="A41" s="515"/>
    </row>
    <row r="42" spans="1:1" s="215" customFormat="1" x14ac:dyDescent="0.25">
      <c r="A42" s="515"/>
    </row>
    <row r="43" spans="1:1" s="215" customFormat="1" x14ac:dyDescent="0.25">
      <c r="A43" s="515"/>
    </row>
    <row r="44" spans="1:1" s="215" customFormat="1" x14ac:dyDescent="0.25">
      <c r="A44" s="515"/>
    </row>
    <row r="45" spans="1:1" s="215" customFormat="1" x14ac:dyDescent="0.25">
      <c r="A45" s="515"/>
    </row>
    <row r="46" spans="1:1" s="215" customFormat="1" x14ac:dyDescent="0.25">
      <c r="A46" s="515"/>
    </row>
    <row r="47" spans="1:1" s="215" customFormat="1" x14ac:dyDescent="0.25">
      <c r="A47" s="515"/>
    </row>
    <row r="48" spans="1:1" s="215" customFormat="1" x14ac:dyDescent="0.25">
      <c r="A48" s="515"/>
    </row>
    <row r="49" spans="1:1" s="215" customFormat="1" x14ac:dyDescent="0.25">
      <c r="A49" s="515"/>
    </row>
    <row r="50" spans="1:1" s="215" customFormat="1" x14ac:dyDescent="0.25">
      <c r="A50" s="515"/>
    </row>
    <row r="51" spans="1:1" s="215" customFormat="1" x14ac:dyDescent="0.25">
      <c r="A51" s="515"/>
    </row>
    <row r="52" spans="1:1" s="215" customFormat="1" x14ac:dyDescent="0.25">
      <c r="A52" s="515"/>
    </row>
    <row r="53" spans="1:1" s="215" customFormat="1" x14ac:dyDescent="0.25">
      <c r="A53" s="515"/>
    </row>
    <row r="54" spans="1:1" s="215" customFormat="1" x14ac:dyDescent="0.25">
      <c r="A54" s="515"/>
    </row>
    <row r="55" spans="1:1" s="215" customFormat="1" x14ac:dyDescent="0.25">
      <c r="A55" s="515"/>
    </row>
    <row r="56" spans="1:1" s="215" customFormat="1" x14ac:dyDescent="0.25">
      <c r="A56" s="515"/>
    </row>
    <row r="57" spans="1:1" s="215" customFormat="1" x14ac:dyDescent="0.25">
      <c r="A57" s="515"/>
    </row>
    <row r="58" spans="1:1" s="215" customFormat="1" x14ac:dyDescent="0.25">
      <c r="A58" s="515"/>
    </row>
    <row r="59" spans="1:1" s="215" customFormat="1" x14ac:dyDescent="0.25">
      <c r="A59" s="515"/>
    </row>
    <row r="60" spans="1:1" s="215" customFormat="1" x14ac:dyDescent="0.25">
      <c r="A60" s="515"/>
    </row>
    <row r="61" spans="1:1" s="215" customFormat="1" x14ac:dyDescent="0.25">
      <c r="A61" s="515"/>
    </row>
    <row r="62" spans="1:1" s="215" customFormat="1" x14ac:dyDescent="0.25">
      <c r="A62" s="515"/>
    </row>
    <row r="63" spans="1:1" s="215" customFormat="1" x14ac:dyDescent="0.25">
      <c r="A63" s="515"/>
    </row>
    <row r="64" spans="1:1" s="215" customFormat="1" x14ac:dyDescent="0.25">
      <c r="A64" s="515"/>
    </row>
    <row r="65" spans="1:1" s="215" customFormat="1" x14ac:dyDescent="0.25">
      <c r="A65" s="515"/>
    </row>
    <row r="66" spans="1:1" s="215" customFormat="1" x14ac:dyDescent="0.25">
      <c r="A66" s="515"/>
    </row>
    <row r="67" spans="1:1" s="215" customFormat="1" x14ac:dyDescent="0.25">
      <c r="A67" s="515"/>
    </row>
    <row r="68" spans="1:1" s="215" customFormat="1" x14ac:dyDescent="0.25">
      <c r="A68" s="515"/>
    </row>
    <row r="69" spans="1:1" s="215" customFormat="1" x14ac:dyDescent="0.25">
      <c r="A69" s="515"/>
    </row>
    <row r="70" spans="1:1" s="215" customFormat="1" x14ac:dyDescent="0.25">
      <c r="A70" s="515"/>
    </row>
    <row r="71" spans="1:1" s="215" customFormat="1" x14ac:dyDescent="0.25">
      <c r="A71" s="515"/>
    </row>
    <row r="72" spans="1:1" s="215" customFormat="1" x14ac:dyDescent="0.25">
      <c r="A72" s="515"/>
    </row>
    <row r="73" spans="1:1" s="215" customFormat="1" x14ac:dyDescent="0.25">
      <c r="A73" s="515"/>
    </row>
    <row r="74" spans="1:1" s="215" customFormat="1" x14ac:dyDescent="0.25">
      <c r="A74" s="515"/>
    </row>
    <row r="75" spans="1:1" s="215" customFormat="1" x14ac:dyDescent="0.25">
      <c r="A75" s="515"/>
    </row>
    <row r="76" spans="1:1" s="215" customFormat="1" x14ac:dyDescent="0.25">
      <c r="A76" s="515"/>
    </row>
    <row r="77" spans="1:1" s="215" customFormat="1" x14ac:dyDescent="0.25">
      <c r="A77" s="515"/>
    </row>
    <row r="78" spans="1:1" s="215" customFormat="1" x14ac:dyDescent="0.25">
      <c r="A78" s="515"/>
    </row>
    <row r="79" spans="1:1" s="215" customFormat="1" x14ac:dyDescent="0.25">
      <c r="A79" s="515"/>
    </row>
    <row r="80" spans="1:1" s="215" customFormat="1" x14ac:dyDescent="0.25">
      <c r="A80" s="515"/>
    </row>
    <row r="81" spans="1:1" s="215" customFormat="1" x14ac:dyDescent="0.25">
      <c r="A81" s="515"/>
    </row>
    <row r="82" spans="1:1" s="215" customFormat="1" x14ac:dyDescent="0.25">
      <c r="A82" s="515"/>
    </row>
    <row r="83" spans="1:1" s="215" customFormat="1" x14ac:dyDescent="0.25">
      <c r="A83" s="515"/>
    </row>
    <row r="84" spans="1:1" s="215" customFormat="1" x14ac:dyDescent="0.25">
      <c r="A84" s="515"/>
    </row>
    <row r="85" spans="1:1" s="215" customFormat="1" x14ac:dyDescent="0.25">
      <c r="A85" s="515"/>
    </row>
    <row r="86" spans="1:1" s="215" customFormat="1" x14ac:dyDescent="0.25">
      <c r="A86" s="515"/>
    </row>
    <row r="87" spans="1:1" s="215" customFormat="1" x14ac:dyDescent="0.25">
      <c r="A87" s="515"/>
    </row>
    <row r="88" spans="1:1" s="215" customFormat="1" x14ac:dyDescent="0.25">
      <c r="A88" s="515"/>
    </row>
    <row r="89" spans="1:1" s="215" customFormat="1" x14ac:dyDescent="0.25">
      <c r="A89" s="515"/>
    </row>
    <row r="90" spans="1:1" s="215" customFormat="1" x14ac:dyDescent="0.25">
      <c r="A90" s="515"/>
    </row>
    <row r="91" spans="1:1" s="215" customFormat="1" x14ac:dyDescent="0.25">
      <c r="A91" s="515"/>
    </row>
    <row r="92" spans="1:1" s="215" customFormat="1" x14ac:dyDescent="0.25">
      <c r="A92" s="515"/>
    </row>
    <row r="93" spans="1:1" s="215" customFormat="1" x14ac:dyDescent="0.25">
      <c r="A93" s="515"/>
    </row>
    <row r="94" spans="1:1" s="215" customFormat="1" x14ac:dyDescent="0.25">
      <c r="A94" s="515"/>
    </row>
    <row r="95" spans="1:1" s="215" customFormat="1" x14ac:dyDescent="0.25">
      <c r="A95" s="515"/>
    </row>
    <row r="96" spans="1:1" s="215" customFormat="1" x14ac:dyDescent="0.25">
      <c r="A96" s="515"/>
    </row>
    <row r="97" spans="1:1" s="215" customFormat="1" x14ac:dyDescent="0.25">
      <c r="A97" s="515"/>
    </row>
    <row r="98" spans="1:1" s="215" customFormat="1" x14ac:dyDescent="0.25">
      <c r="A98" s="515"/>
    </row>
    <row r="99" spans="1:1" s="215" customFormat="1" x14ac:dyDescent="0.25">
      <c r="A99" s="515"/>
    </row>
    <row r="100" spans="1:1" s="215" customFormat="1" x14ac:dyDescent="0.25">
      <c r="A100" s="515"/>
    </row>
    <row r="101" spans="1:1" s="215" customFormat="1" x14ac:dyDescent="0.25">
      <c r="A101" s="515"/>
    </row>
    <row r="102" spans="1:1" s="215" customFormat="1" x14ac:dyDescent="0.25">
      <c r="A102" s="515"/>
    </row>
    <row r="103" spans="1:1" s="215" customFormat="1" x14ac:dyDescent="0.25">
      <c r="A103" s="515"/>
    </row>
    <row r="104" spans="1:1" s="215" customFormat="1" x14ac:dyDescent="0.25">
      <c r="A104" s="515"/>
    </row>
    <row r="105" spans="1:1" s="215" customFormat="1" x14ac:dyDescent="0.25">
      <c r="A105" s="515"/>
    </row>
    <row r="106" spans="1:1" s="215" customFormat="1" x14ac:dyDescent="0.25">
      <c r="A106" s="515"/>
    </row>
    <row r="107" spans="1:1" s="215" customFormat="1" x14ac:dyDescent="0.25">
      <c r="A107" s="515"/>
    </row>
    <row r="108" spans="1:1" s="215" customFormat="1" x14ac:dyDescent="0.25">
      <c r="A108" s="515"/>
    </row>
    <row r="109" spans="1:1" s="215" customFormat="1" x14ac:dyDescent="0.25">
      <c r="A109" s="515"/>
    </row>
    <row r="110" spans="1:1" s="215" customFormat="1" x14ac:dyDescent="0.25">
      <c r="A110" s="515"/>
    </row>
    <row r="111" spans="1:1" s="215" customFormat="1" x14ac:dyDescent="0.25">
      <c r="A111" s="515"/>
    </row>
    <row r="112" spans="1:1" s="215" customFormat="1" x14ac:dyDescent="0.25">
      <c r="A112" s="515"/>
    </row>
    <row r="113" spans="1:5" s="215" customFormat="1" x14ac:dyDescent="0.25">
      <c r="A113" s="515"/>
    </row>
    <row r="114" spans="1:5" s="215" customFormat="1" x14ac:dyDescent="0.25">
      <c r="A114" s="515"/>
    </row>
    <row r="115" spans="1:5" s="215" customFormat="1" x14ac:dyDescent="0.25">
      <c r="A115" s="515"/>
    </row>
    <row r="116" spans="1:5" s="215" customFormat="1" x14ac:dyDescent="0.25">
      <c r="A116" s="515"/>
    </row>
    <row r="117" spans="1:5" s="215" customFormat="1" x14ac:dyDescent="0.25">
      <c r="A117" s="515"/>
    </row>
    <row r="118" spans="1:5" s="215" customFormat="1" x14ac:dyDescent="0.25">
      <c r="A118" s="515"/>
    </row>
    <row r="119" spans="1:5" s="215" customFormat="1" x14ac:dyDescent="0.25">
      <c r="A119" s="515"/>
    </row>
    <row r="120" spans="1:5" s="215" customFormat="1" x14ac:dyDescent="0.25">
      <c r="A120" s="515"/>
    </row>
    <row r="121" spans="1:5" s="215" customFormat="1" x14ac:dyDescent="0.25">
      <c r="A121" s="515"/>
    </row>
    <row r="122" spans="1:5" s="215" customFormat="1" x14ac:dyDescent="0.25">
      <c r="A122" s="515"/>
    </row>
    <row r="123" spans="1:5" s="215" customFormat="1" x14ac:dyDescent="0.25">
      <c r="A123" s="679"/>
    </row>
    <row r="124" spans="1:5" s="215" customFormat="1" x14ac:dyDescent="0.25">
      <c r="A124" s="679"/>
    </row>
    <row r="125" spans="1:5" s="215" customFormat="1" x14ac:dyDescent="0.25">
      <c r="A125" s="680"/>
      <c r="B125" s="464"/>
      <c r="C125" s="464"/>
      <c r="D125" s="464"/>
      <c r="E125" s="464"/>
    </row>
    <row r="126" spans="1:5" s="215" customFormat="1" x14ac:dyDescent="0.25">
      <c r="A126" s="680"/>
      <c r="B126" s="464"/>
      <c r="C126" s="464"/>
      <c r="D126" s="464"/>
      <c r="E126" s="464"/>
    </row>
    <row r="127" spans="1:5" s="215" customFormat="1" x14ac:dyDescent="0.25">
      <c r="A127" s="680"/>
      <c r="B127" s="464"/>
      <c r="C127" s="464"/>
      <c r="D127" s="464"/>
      <c r="E127" s="464"/>
    </row>
    <row r="128" spans="1:5" s="215" customFormat="1" x14ac:dyDescent="0.25">
      <c r="A128" s="680"/>
      <c r="B128" s="464"/>
      <c r="C128" s="464"/>
      <c r="D128" s="464"/>
      <c r="E128" s="464"/>
    </row>
    <row r="129" spans="1:5" s="215" customFormat="1" x14ac:dyDescent="0.25">
      <c r="A129" s="680"/>
      <c r="B129" s="464"/>
      <c r="C129" s="464"/>
      <c r="D129" s="464"/>
      <c r="E129" s="464"/>
    </row>
    <row r="130" spans="1:5" s="215" customFormat="1" x14ac:dyDescent="0.25">
      <c r="A130" s="680"/>
      <c r="B130" s="464"/>
      <c r="C130" s="464"/>
      <c r="D130" s="464"/>
      <c r="E130" s="464"/>
    </row>
    <row r="131" spans="1:5" x14ac:dyDescent="0.25">
      <c r="B131" s="452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K75"/>
  <sheetViews>
    <sheetView tabSelected="1" topLeftCell="IA1" workbookViewId="0">
      <selection activeCell="A76" sqref="A76:XFD148"/>
    </sheetView>
  </sheetViews>
  <sheetFormatPr defaultColWidth="9.140625" defaultRowHeight="19.5" customHeight="1" x14ac:dyDescent="0.25"/>
  <cols>
    <col min="1" max="1" width="5.5703125" style="384" customWidth="1"/>
    <col min="2" max="2" width="61" style="384" customWidth="1"/>
    <col min="3" max="3" width="11.5703125" style="407" customWidth="1"/>
    <col min="4" max="4" width="20.42578125" style="384" customWidth="1"/>
    <col min="5" max="5" width="19.42578125" style="384" customWidth="1"/>
    <col min="6" max="6" width="17.28515625" style="384" customWidth="1"/>
    <col min="7" max="7" width="2.140625" style="384" customWidth="1"/>
    <col min="8" max="8" width="18.28515625" style="384" customWidth="1"/>
    <col min="9" max="9" width="18.5703125" style="384" customWidth="1"/>
    <col min="10" max="10" width="15.42578125" style="384" customWidth="1"/>
    <col min="11" max="11" width="2" style="384" customWidth="1"/>
    <col min="12" max="12" width="21.5703125" style="384" customWidth="1"/>
    <col min="13" max="13" width="15.5703125" style="384" customWidth="1"/>
    <col min="14" max="14" width="14.140625" style="384" customWidth="1"/>
    <col min="15" max="15" width="0.85546875" style="384" customWidth="1"/>
    <col min="16" max="16" width="17.42578125" style="384" customWidth="1"/>
    <col min="17" max="17" width="19.42578125" style="384" customWidth="1"/>
    <col min="18" max="18" width="15" style="384" customWidth="1"/>
    <col min="19" max="19" width="2.28515625" style="384" customWidth="1"/>
    <col min="20" max="20" width="17.85546875" style="384" customWidth="1"/>
    <col min="21" max="21" width="16.85546875" style="384" customWidth="1"/>
    <col min="22" max="22" width="15.42578125" style="384" customWidth="1"/>
    <col min="23" max="23" width="1.42578125" style="384" customWidth="1"/>
    <col min="24" max="24" width="16.5703125" style="384" customWidth="1"/>
    <col min="25" max="25" width="18.5703125" style="384" customWidth="1"/>
    <col min="26" max="26" width="15" style="384" customWidth="1"/>
    <col min="27" max="27" width="1.5703125" style="384" customWidth="1"/>
    <col min="28" max="28" width="18.7109375" style="384" customWidth="1"/>
    <col min="29" max="29" width="20.28515625" style="384" customWidth="1"/>
    <col min="30" max="30" width="16.42578125" style="384" customWidth="1"/>
    <col min="31" max="31" width="1.7109375" style="384" customWidth="1"/>
    <col min="32" max="32" width="18" style="384" customWidth="1"/>
    <col min="33" max="33" width="16.42578125" style="384" customWidth="1"/>
    <col min="34" max="34" width="16.7109375" style="384" customWidth="1"/>
    <col min="35" max="35" width="3.85546875" style="384" customWidth="1"/>
    <col min="36" max="36" width="19.85546875" style="384" customWidth="1"/>
    <col min="37" max="37" width="18.7109375" style="384" customWidth="1"/>
    <col min="38" max="38" width="17.7109375" style="384" customWidth="1"/>
    <col min="39" max="39" width="1.5703125" style="384" customWidth="1"/>
    <col min="40" max="40" width="18.140625" style="384" customWidth="1"/>
    <col min="41" max="41" width="19.85546875" style="384" customWidth="1"/>
    <col min="42" max="42" width="17.140625" style="384" customWidth="1"/>
    <col min="43" max="43" width="1" style="384" customWidth="1"/>
    <col min="44" max="44" width="20.42578125" style="384" customWidth="1"/>
    <col min="45" max="45" width="21" style="384" customWidth="1"/>
    <col min="46" max="46" width="17.85546875" style="384" customWidth="1"/>
    <col min="47" max="47" width="0.85546875" style="384" customWidth="1"/>
    <col min="48" max="48" width="18.7109375" style="384" customWidth="1"/>
    <col min="49" max="49" width="19.140625" style="384" customWidth="1"/>
    <col min="50" max="50" width="16.5703125" style="384" customWidth="1"/>
    <col min="51" max="51" width="2.140625" style="384" customWidth="1"/>
    <col min="52" max="52" width="20.7109375" style="384" customWidth="1"/>
    <col min="53" max="53" width="19.140625" style="384" customWidth="1"/>
    <col min="54" max="54" width="19" style="384" customWidth="1"/>
    <col min="55" max="55" width="1.7109375" style="384" customWidth="1"/>
    <col min="56" max="57" width="21.85546875" style="384" customWidth="1"/>
    <col min="58" max="58" width="18.42578125" style="384" customWidth="1"/>
    <col min="59" max="59" width="2" style="384" customWidth="1"/>
    <col min="60" max="60" width="18.42578125" style="384" customWidth="1"/>
    <col min="61" max="61" width="19" style="384" customWidth="1"/>
    <col min="62" max="62" width="20.85546875" style="384" customWidth="1"/>
    <col min="63" max="63" width="1.5703125" style="384" customWidth="1"/>
    <col min="64" max="64" width="19.7109375" style="384" customWidth="1"/>
    <col min="65" max="65" width="19.42578125" style="384" customWidth="1"/>
    <col min="66" max="66" width="19.28515625" style="384" customWidth="1"/>
    <col min="67" max="67" width="1.85546875" style="384" customWidth="1"/>
    <col min="68" max="68" width="22.140625" style="384" customWidth="1"/>
    <col min="69" max="69" width="18.7109375" style="384" customWidth="1"/>
    <col min="70" max="70" width="18.28515625" style="384" customWidth="1"/>
    <col min="71" max="71" width="2.140625" style="384" customWidth="1"/>
    <col min="72" max="72" width="20.5703125" style="384" customWidth="1"/>
    <col min="73" max="73" width="19.42578125" style="384" customWidth="1"/>
    <col min="74" max="74" width="19.5703125" style="384" customWidth="1"/>
    <col min="75" max="75" width="1.140625" style="384" customWidth="1"/>
    <col min="76" max="76" width="20.7109375" style="384" customWidth="1"/>
    <col min="77" max="77" width="21.7109375" style="384" customWidth="1"/>
    <col min="78" max="78" width="18.85546875" style="384" customWidth="1"/>
    <col min="79" max="79" width="1.28515625" style="384" customWidth="1"/>
    <col min="80" max="80" width="21.140625" style="384" customWidth="1"/>
    <col min="81" max="81" width="19.42578125" style="384" customWidth="1"/>
    <col min="82" max="82" width="20.42578125" style="384" customWidth="1"/>
    <col min="83" max="83" width="1.7109375" style="384" customWidth="1"/>
    <col min="84" max="84" width="18.7109375" style="384" customWidth="1"/>
    <col min="85" max="85" width="19" style="384" customWidth="1"/>
    <col min="86" max="86" width="19.42578125" style="384" customWidth="1"/>
    <col min="87" max="87" width="4.42578125" style="384" customWidth="1"/>
    <col min="88" max="88" width="18.7109375" style="384" customWidth="1"/>
    <col min="89" max="89" width="20.140625" style="384" customWidth="1"/>
    <col min="90" max="90" width="18.42578125" style="384" customWidth="1"/>
    <col min="91" max="91" width="1.140625" style="384" customWidth="1"/>
    <col min="92" max="93" width="20.42578125" style="384" customWidth="1"/>
    <col min="94" max="94" width="21.140625" style="384" customWidth="1"/>
    <col min="95" max="95" width="3.5703125" style="384" customWidth="1"/>
    <col min="96" max="97" width="20" style="384" customWidth="1"/>
    <col min="98" max="98" width="20.85546875" style="384" customWidth="1"/>
    <col min="99" max="99" width="2.42578125" style="384" customWidth="1"/>
    <col min="100" max="100" width="18.5703125" style="384" customWidth="1"/>
    <col min="101" max="101" width="21.28515625" style="384" customWidth="1"/>
    <col min="102" max="102" width="17.28515625" style="384" customWidth="1"/>
    <col min="103" max="103" width="1.42578125" style="384" customWidth="1"/>
    <col min="104" max="104" width="21.28515625" style="384" customWidth="1"/>
    <col min="105" max="105" width="20.140625" style="384" customWidth="1"/>
    <col min="106" max="106" width="17.85546875" style="384" customWidth="1"/>
    <col min="107" max="107" width="5" style="384" customWidth="1"/>
    <col min="108" max="108" width="21" style="384" customWidth="1"/>
    <col min="109" max="109" width="21.5703125" style="384" customWidth="1"/>
    <col min="110" max="110" width="22.7109375" style="384" customWidth="1"/>
    <col min="111" max="111" width="3.28515625" style="384" customWidth="1"/>
    <col min="112" max="113" width="17.85546875" style="384" customWidth="1"/>
    <col min="114" max="114" width="18.140625" style="384" customWidth="1"/>
    <col min="115" max="115" width="3.28515625" style="384" customWidth="1"/>
    <col min="116" max="116" width="19.85546875" style="384" customWidth="1"/>
    <col min="117" max="117" width="20.7109375" style="384" customWidth="1"/>
    <col min="118" max="118" width="21.7109375" style="384" customWidth="1"/>
    <col min="119" max="119" width="5" style="384" customWidth="1"/>
    <col min="120" max="121" width="20.5703125" style="384" customWidth="1"/>
    <col min="122" max="122" width="20.7109375" style="384" customWidth="1"/>
    <col min="123" max="123" width="3.28515625" style="384" customWidth="1"/>
    <col min="124" max="125" width="17.85546875" style="384" customWidth="1"/>
    <col min="126" max="126" width="18.140625" style="384" customWidth="1"/>
    <col min="127" max="127" width="3.28515625" style="384" customWidth="1"/>
    <col min="128" max="128" width="22" style="384" customWidth="1"/>
    <col min="129" max="129" width="21.7109375" style="384" customWidth="1"/>
    <col min="130" max="130" width="24.5703125" style="384" customWidth="1"/>
    <col min="131" max="131" width="3.42578125" style="384" customWidth="1"/>
    <col min="132" max="134" width="24.5703125" style="384" customWidth="1"/>
    <col min="135" max="135" width="2.5703125" style="384" customWidth="1"/>
    <col min="136" max="138" width="24.5703125" style="384" customWidth="1"/>
    <col min="139" max="139" width="3.140625" style="384" customWidth="1"/>
    <col min="140" max="142" width="24.5703125" style="384" customWidth="1"/>
    <col min="143" max="143" width="3.42578125" style="384" customWidth="1"/>
    <col min="144" max="146" width="24.5703125" style="384" customWidth="1"/>
    <col min="147" max="147" width="3" style="384" customWidth="1"/>
    <col min="148" max="150" width="24.5703125" style="384" customWidth="1"/>
    <col min="151" max="151" width="1.28515625" style="384" customWidth="1"/>
    <col min="152" max="152" width="24.140625" style="384" customWidth="1"/>
    <col min="153" max="153" width="23.140625" style="384" customWidth="1"/>
    <col min="154" max="154" width="21.5703125" style="384" customWidth="1"/>
    <col min="155" max="155" width="9.140625" style="384"/>
    <col min="156" max="157" width="18.5703125" style="384" customWidth="1"/>
    <col min="158" max="158" width="18" style="384" customWidth="1"/>
    <col min="159" max="159" width="6.28515625" style="384" customWidth="1"/>
    <col min="160" max="160" width="18.140625" style="384" customWidth="1"/>
    <col min="161" max="161" width="19" style="384" customWidth="1"/>
    <col min="162" max="162" width="17.5703125" style="384" customWidth="1"/>
    <col min="163" max="163" width="6" style="384" customWidth="1"/>
    <col min="164" max="164" width="20.42578125" style="384" customWidth="1"/>
    <col min="165" max="165" width="18" style="384" customWidth="1"/>
    <col min="166" max="169" width="20.5703125" style="384" customWidth="1"/>
    <col min="170" max="170" width="6.5703125" style="384" customWidth="1"/>
    <col min="171" max="171" width="29.28515625" style="384" customWidth="1"/>
    <col min="172" max="172" width="22.28515625" style="384" customWidth="1"/>
    <col min="173" max="173" width="21.85546875" style="384" customWidth="1"/>
    <col min="174" max="174" width="9.140625" style="384"/>
    <col min="175" max="175" width="19.5703125" style="384" customWidth="1"/>
    <col min="176" max="176" width="20.5703125" style="384" customWidth="1"/>
    <col min="177" max="177" width="19.7109375" style="384" customWidth="1"/>
    <col min="178" max="178" width="9.140625" style="384"/>
    <col min="179" max="179" width="20.42578125" style="384" customWidth="1"/>
    <col min="180" max="180" width="20.5703125" style="384" customWidth="1"/>
    <col min="181" max="181" width="19.7109375" style="384" customWidth="1"/>
    <col min="182" max="182" width="9.140625" style="384"/>
    <col min="183" max="183" width="20.42578125" style="384" customWidth="1"/>
    <col min="184" max="184" width="20.5703125" style="384" customWidth="1"/>
    <col min="185" max="185" width="19.7109375" style="384" customWidth="1"/>
    <col min="186" max="186" width="9.140625" style="384"/>
    <col min="187" max="187" width="20.42578125" style="384" customWidth="1"/>
    <col min="188" max="188" width="20.5703125" style="384" customWidth="1"/>
    <col min="189" max="189" width="19.7109375" style="384" customWidth="1"/>
    <col min="190" max="190" width="9.140625" style="384"/>
    <col min="191" max="191" width="21.140625" style="384" customWidth="1"/>
    <col min="192" max="192" width="20.140625" style="384" customWidth="1"/>
    <col min="193" max="193" width="21.42578125" style="384" customWidth="1"/>
    <col min="194" max="194" width="9.140625" style="384"/>
    <col min="195" max="195" width="20.140625" style="384" customWidth="1"/>
    <col min="196" max="196" width="17.28515625" style="384" customWidth="1"/>
    <col min="197" max="197" width="19" style="384" customWidth="1"/>
    <col min="198" max="198" width="9.140625" style="384"/>
    <col min="199" max="199" width="17.42578125" style="384" customWidth="1"/>
    <col min="200" max="200" width="18.42578125" style="384" customWidth="1"/>
    <col min="201" max="201" width="18.140625" style="384" customWidth="1"/>
    <col min="202" max="202" width="9.140625" style="384"/>
    <col min="203" max="203" width="18.7109375" style="384" customWidth="1"/>
    <col min="204" max="204" width="18" style="384" customWidth="1"/>
    <col min="205" max="205" width="19.42578125" style="384" customWidth="1"/>
    <col min="206" max="206" width="9.140625" style="384"/>
    <col min="207" max="207" width="17" style="384" customWidth="1"/>
    <col min="208" max="208" width="14.42578125" style="384" customWidth="1"/>
    <col min="209" max="209" width="17.28515625" style="384" customWidth="1"/>
    <col min="210" max="210" width="9.140625" style="384"/>
    <col min="211" max="211" width="20.42578125" style="384" customWidth="1"/>
    <col min="212" max="212" width="20.5703125" style="384" customWidth="1"/>
    <col min="213" max="213" width="19.7109375" style="384" customWidth="1"/>
    <col min="214" max="214" width="9.140625" style="384"/>
    <col min="215" max="215" width="21" style="384" bestFit="1" customWidth="1"/>
    <col min="216" max="216" width="19.5703125" style="384" customWidth="1"/>
    <col min="217" max="217" width="19.85546875" style="384" bestFit="1" customWidth="1"/>
    <col min="218" max="218" width="9.140625" style="384"/>
    <col min="219" max="219" width="21" style="384" bestFit="1" customWidth="1"/>
    <col min="220" max="220" width="19.85546875" style="384" bestFit="1" customWidth="1"/>
    <col min="221" max="221" width="18.7109375" style="384" bestFit="1" customWidth="1"/>
    <col min="222" max="222" width="9.140625" style="384"/>
    <col min="223" max="224" width="15.7109375" style="384" bestFit="1" customWidth="1"/>
    <col min="225" max="226" width="9.140625" style="384"/>
    <col min="227" max="228" width="18.7109375" style="384" bestFit="1" customWidth="1"/>
    <col min="229" max="229" width="18.28515625" style="384" customWidth="1"/>
    <col min="230" max="230" width="9.140625" style="384"/>
    <col min="231" max="231" width="18.5703125" style="384" customWidth="1"/>
    <col min="232" max="232" width="16.7109375" style="384" customWidth="1"/>
    <col min="233" max="233" width="18.7109375" style="384" customWidth="1"/>
    <col min="234" max="234" width="9.140625" style="384"/>
    <col min="235" max="235" width="20.28515625" style="384" customWidth="1"/>
    <col min="236" max="236" width="17.140625" style="384" customWidth="1"/>
    <col min="237" max="237" width="18.28515625" style="384" customWidth="1"/>
    <col min="238" max="238" width="9.140625" style="384"/>
    <col min="239" max="239" width="19.42578125" style="384" customWidth="1"/>
    <col min="240" max="240" width="19.5703125" style="384" customWidth="1"/>
    <col min="241" max="241" width="20.28515625" style="384" customWidth="1"/>
    <col min="242" max="242" width="9.140625" style="384"/>
    <col min="243" max="243" width="16.5703125" style="384" customWidth="1"/>
    <col min="244" max="244" width="15.7109375" style="384" customWidth="1"/>
    <col min="245" max="245" width="16" style="384" customWidth="1"/>
    <col min="246" max="16384" width="9.140625" style="384"/>
  </cols>
  <sheetData>
    <row r="1" spans="1:245" s="358" customFormat="1" ht="19.5" customHeight="1" x14ac:dyDescent="0.25">
      <c r="A1" s="347"/>
      <c r="B1" s="348" t="s">
        <v>2</v>
      </c>
      <c r="C1" s="349"/>
      <c r="D1" s="350" t="s">
        <v>300</v>
      </c>
      <c r="E1" s="350"/>
      <c r="F1" s="350"/>
      <c r="G1" s="350"/>
      <c r="H1" s="350"/>
      <c r="I1" s="350"/>
      <c r="J1" s="350"/>
      <c r="K1" s="350"/>
      <c r="L1" s="351" t="s">
        <v>3</v>
      </c>
      <c r="M1" s="352"/>
      <c r="N1" s="352"/>
      <c r="O1" s="350"/>
      <c r="P1" s="350"/>
      <c r="Q1" s="350"/>
      <c r="R1" s="350"/>
      <c r="S1" s="350"/>
      <c r="T1" s="351" t="s">
        <v>3</v>
      </c>
      <c r="U1" s="352"/>
      <c r="V1" s="352"/>
      <c r="W1" s="350"/>
      <c r="X1" s="353" t="s">
        <v>301</v>
      </c>
      <c r="Y1" s="350"/>
      <c r="Z1" s="350"/>
      <c r="AA1" s="350"/>
      <c r="AB1" s="350"/>
      <c r="AC1" s="350"/>
      <c r="AD1" s="350"/>
      <c r="AE1" s="350"/>
      <c r="AF1" s="351" t="s">
        <v>3</v>
      </c>
      <c r="AG1" s="352"/>
      <c r="AH1" s="352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4" t="s">
        <v>171</v>
      </c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5">
        <v>2007</v>
      </c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4" t="s">
        <v>302</v>
      </c>
      <c r="BU1" s="350"/>
      <c r="BV1" s="350"/>
      <c r="BW1" s="350"/>
      <c r="BX1" s="350"/>
      <c r="BY1" s="350"/>
      <c r="BZ1" s="350"/>
      <c r="CA1" s="350"/>
      <c r="CB1" s="354" t="s">
        <v>302</v>
      </c>
      <c r="CC1" s="350"/>
      <c r="CD1" s="350"/>
      <c r="CE1" s="350"/>
      <c r="CF1" s="350"/>
      <c r="CG1" s="350"/>
      <c r="CH1" s="350"/>
      <c r="CI1" s="350"/>
      <c r="CJ1" s="356" t="s">
        <v>3</v>
      </c>
      <c r="CK1" s="357"/>
      <c r="CL1" s="357"/>
      <c r="CO1" s="348"/>
      <c r="CP1" s="348"/>
      <c r="CQ1" s="348"/>
      <c r="CV1" s="355" t="s">
        <v>3</v>
      </c>
      <c r="CZ1" s="354" t="s">
        <v>303</v>
      </c>
      <c r="DB1" s="359"/>
      <c r="DD1" s="360" t="s">
        <v>9</v>
      </c>
      <c r="DE1" s="360"/>
      <c r="DF1" s="360"/>
      <c r="DL1" s="358" t="s">
        <v>304</v>
      </c>
      <c r="DP1" s="360" t="s">
        <v>9</v>
      </c>
      <c r="DQ1" s="360"/>
      <c r="DR1" s="360"/>
      <c r="DX1" s="358" t="s">
        <v>304</v>
      </c>
      <c r="ET1" s="359"/>
      <c r="EW1" s="358" t="s">
        <v>43</v>
      </c>
      <c r="EX1" s="358" t="s">
        <v>43</v>
      </c>
    </row>
    <row r="2" spans="1:245" s="364" customFormat="1" ht="19.5" customHeight="1" x14ac:dyDescent="0.25">
      <c r="A2" s="361"/>
      <c r="B2" s="361" t="s">
        <v>52</v>
      </c>
      <c r="C2" s="361"/>
      <c r="D2" s="361">
        <v>1999</v>
      </c>
      <c r="E2" s="361"/>
      <c r="F2" s="361"/>
      <c r="G2" s="361"/>
      <c r="H2" s="361">
        <v>2000</v>
      </c>
      <c r="I2" s="361"/>
      <c r="J2" s="361"/>
      <c r="K2" s="361"/>
      <c r="L2" s="356">
        <v>2000</v>
      </c>
      <c r="M2" s="357"/>
      <c r="N2" s="357"/>
      <c r="O2" s="361"/>
      <c r="P2" s="355">
        <v>2001</v>
      </c>
      <c r="Q2" s="361"/>
      <c r="R2" s="361"/>
      <c r="S2" s="361"/>
      <c r="T2" s="356">
        <v>2001</v>
      </c>
      <c r="U2" s="357"/>
      <c r="V2" s="357"/>
      <c r="W2" s="361"/>
      <c r="X2" s="355">
        <v>2001</v>
      </c>
      <c r="Y2" s="361"/>
      <c r="Z2" s="361"/>
      <c r="AA2" s="361"/>
      <c r="AB2" s="355">
        <v>2002</v>
      </c>
      <c r="AC2" s="361"/>
      <c r="AD2" s="361"/>
      <c r="AE2" s="361"/>
      <c r="AF2" s="356">
        <v>2002</v>
      </c>
      <c r="AG2" s="357"/>
      <c r="AH2" s="357"/>
      <c r="AI2" s="361"/>
      <c r="AJ2" s="357">
        <v>2003</v>
      </c>
      <c r="AK2" s="357"/>
      <c r="AL2" s="357"/>
      <c r="AM2" s="361"/>
      <c r="AN2" s="355">
        <v>2004</v>
      </c>
      <c r="AO2" s="361"/>
      <c r="AP2" s="361"/>
      <c r="AQ2" s="361"/>
      <c r="AR2" s="355">
        <v>2005</v>
      </c>
      <c r="AS2" s="361"/>
      <c r="AT2" s="361"/>
      <c r="AU2" s="361"/>
      <c r="AV2" s="355">
        <v>2005</v>
      </c>
      <c r="AW2" s="361"/>
      <c r="AX2" s="361"/>
      <c r="AY2" s="361"/>
      <c r="AZ2" s="355">
        <v>2006</v>
      </c>
      <c r="BA2" s="361"/>
      <c r="BB2" s="361"/>
      <c r="BC2" s="361"/>
      <c r="BD2" s="355">
        <v>2007</v>
      </c>
      <c r="BE2" s="361"/>
      <c r="BF2" s="361"/>
      <c r="BG2" s="361"/>
      <c r="BH2" s="354" t="s">
        <v>7</v>
      </c>
      <c r="BI2" s="362"/>
      <c r="BJ2" s="362"/>
      <c r="BK2" s="362"/>
      <c r="BL2" s="355">
        <v>2008</v>
      </c>
      <c r="BM2" s="362"/>
      <c r="BN2" s="362"/>
      <c r="BO2" s="362"/>
      <c r="BP2" s="355">
        <v>2009</v>
      </c>
      <c r="BQ2" s="362"/>
      <c r="BR2" s="362"/>
      <c r="BS2" s="362"/>
      <c r="BT2" s="355">
        <v>2009</v>
      </c>
      <c r="BU2" s="362"/>
      <c r="BV2" s="362"/>
      <c r="BW2" s="362"/>
      <c r="BX2" s="363">
        <v>2010</v>
      </c>
      <c r="BY2" s="362"/>
      <c r="BZ2" s="362"/>
      <c r="CA2" s="362"/>
      <c r="CB2" s="355">
        <v>2010</v>
      </c>
      <c r="CF2" s="363">
        <v>2011</v>
      </c>
      <c r="CJ2" s="356">
        <v>2011</v>
      </c>
      <c r="CK2" s="357"/>
      <c r="CL2" s="357"/>
      <c r="CN2" s="363">
        <v>2011</v>
      </c>
      <c r="CO2" s="365" t="s">
        <v>305</v>
      </c>
      <c r="CP2" s="366"/>
      <c r="CQ2" s="361"/>
      <c r="CR2" s="355">
        <v>2012</v>
      </c>
      <c r="CV2" s="355">
        <v>2012</v>
      </c>
      <c r="CZ2" s="355">
        <v>2012</v>
      </c>
      <c r="DE2" s="364">
        <v>2013</v>
      </c>
      <c r="DI2" s="364" t="s">
        <v>306</v>
      </c>
      <c r="DL2" s="364">
        <v>2013</v>
      </c>
      <c r="DQ2" s="364">
        <v>2014</v>
      </c>
      <c r="DU2" s="364" t="s">
        <v>307</v>
      </c>
      <c r="DX2" s="367">
        <v>2014</v>
      </c>
      <c r="DY2" s="367"/>
      <c r="DZ2" s="367"/>
      <c r="EB2" s="368" t="s">
        <v>180</v>
      </c>
      <c r="EC2" s="368"/>
      <c r="ED2" s="368"/>
      <c r="EF2" s="368" t="s">
        <v>12</v>
      </c>
      <c r="EG2" s="368"/>
      <c r="EH2" s="368"/>
      <c r="EJ2" s="368" t="s">
        <v>13</v>
      </c>
      <c r="EK2" s="368"/>
      <c r="EL2" s="368"/>
      <c r="EN2" s="368" t="s">
        <v>308</v>
      </c>
      <c r="EO2" s="368"/>
      <c r="EP2" s="368"/>
      <c r="ER2" s="367" t="s">
        <v>309</v>
      </c>
      <c r="ES2" s="367"/>
      <c r="ET2" s="367"/>
      <c r="EV2" s="369" t="s">
        <v>310</v>
      </c>
      <c r="EW2" s="369"/>
      <c r="EX2" s="369"/>
      <c r="EY2" s="370"/>
      <c r="EZ2" s="369" t="s">
        <v>311</v>
      </c>
      <c r="FA2" s="369"/>
      <c r="FB2" s="369"/>
      <c r="FC2" s="370"/>
      <c r="FD2" s="371" t="s">
        <v>18</v>
      </c>
      <c r="FE2" s="372"/>
      <c r="FF2" s="373"/>
      <c r="FG2" s="370"/>
      <c r="FH2" s="371" t="s">
        <v>17</v>
      </c>
      <c r="FI2" s="372"/>
      <c r="FJ2" s="373"/>
      <c r="FK2" s="371" t="s">
        <v>185</v>
      </c>
      <c r="FL2" s="372"/>
      <c r="FM2" s="373"/>
      <c r="FN2" s="370"/>
      <c r="FO2" s="371" t="s">
        <v>22</v>
      </c>
      <c r="FP2" s="372"/>
      <c r="FQ2" s="373"/>
      <c r="FR2" s="370"/>
      <c r="FS2" s="371" t="s">
        <v>23</v>
      </c>
      <c r="FT2" s="372"/>
      <c r="FU2" s="373"/>
      <c r="FV2" s="370"/>
      <c r="FW2" s="371" t="s">
        <v>24</v>
      </c>
      <c r="FX2" s="372"/>
      <c r="FY2" s="373"/>
      <c r="FZ2" s="370"/>
      <c r="GA2" s="371" t="s">
        <v>26</v>
      </c>
      <c r="GB2" s="372"/>
      <c r="GC2" s="373"/>
      <c r="GD2" s="370"/>
      <c r="GE2" s="371" t="s">
        <v>312</v>
      </c>
      <c r="GF2" s="372"/>
      <c r="GG2" s="373"/>
      <c r="GH2" s="370"/>
      <c r="GI2" s="371" t="s">
        <v>313</v>
      </c>
      <c r="GJ2" s="372"/>
      <c r="GK2" s="373"/>
      <c r="GL2" s="370"/>
      <c r="GM2" s="371" t="s">
        <v>29</v>
      </c>
      <c r="GN2" s="372"/>
      <c r="GO2" s="373"/>
      <c r="GP2" s="370"/>
      <c r="GQ2" s="371" t="s">
        <v>189</v>
      </c>
      <c r="GR2" s="372"/>
      <c r="GS2" s="373"/>
      <c r="GT2" s="370"/>
      <c r="GU2" s="371" t="s">
        <v>32</v>
      </c>
      <c r="GV2" s="372"/>
      <c r="GW2" s="373"/>
      <c r="GX2" s="370"/>
      <c r="GY2" s="371" t="s">
        <v>314</v>
      </c>
      <c r="GZ2" s="372"/>
      <c r="HA2" s="373"/>
      <c r="HB2" s="370"/>
      <c r="HC2" s="374" t="s">
        <v>150</v>
      </c>
      <c r="HD2" s="370" t="s">
        <v>192</v>
      </c>
      <c r="HE2" s="370" t="s">
        <v>59</v>
      </c>
      <c r="HG2" s="369" t="s">
        <v>193</v>
      </c>
      <c r="HH2" s="369"/>
      <c r="HI2" s="369"/>
      <c r="HK2" s="369" t="s">
        <v>315</v>
      </c>
      <c r="HL2" s="369"/>
      <c r="HM2" s="369"/>
      <c r="HO2" s="369" t="s">
        <v>316</v>
      </c>
      <c r="HP2" s="369"/>
      <c r="HQ2" s="369"/>
      <c r="HS2" s="369" t="s">
        <v>317</v>
      </c>
      <c r="HT2" s="369"/>
      <c r="HU2" s="369"/>
      <c r="HW2" s="369" t="s">
        <v>196</v>
      </c>
      <c r="HX2" s="369"/>
      <c r="HY2" s="369"/>
      <c r="IA2" s="371" t="s">
        <v>318</v>
      </c>
      <c r="IB2" s="372"/>
      <c r="IC2" s="373"/>
      <c r="IE2" s="371" t="s">
        <v>319</v>
      </c>
      <c r="IF2" s="372"/>
      <c r="IG2" s="373"/>
      <c r="II2" s="371" t="s">
        <v>198</v>
      </c>
      <c r="IJ2" s="372"/>
      <c r="IK2" s="373"/>
    </row>
    <row r="3" spans="1:245" s="358" customFormat="1" ht="19.5" customHeight="1" x14ac:dyDescent="0.25">
      <c r="A3" s="375"/>
      <c r="B3" s="376"/>
      <c r="C3" s="377"/>
      <c r="D3" s="376" t="s">
        <v>54</v>
      </c>
      <c r="E3" s="376" t="s">
        <v>55</v>
      </c>
      <c r="F3" s="376" t="s">
        <v>56</v>
      </c>
      <c r="G3" s="376"/>
      <c r="H3" s="376" t="s">
        <v>54</v>
      </c>
      <c r="I3" s="376" t="s">
        <v>55</v>
      </c>
      <c r="J3" s="376" t="s">
        <v>56</v>
      </c>
      <c r="K3" s="376"/>
      <c r="L3" s="376" t="s">
        <v>54</v>
      </c>
      <c r="M3" s="376" t="s">
        <v>55</v>
      </c>
      <c r="N3" s="376" t="s">
        <v>56</v>
      </c>
      <c r="O3" s="376"/>
      <c r="P3" s="376" t="s">
        <v>54</v>
      </c>
      <c r="Q3" s="376" t="s">
        <v>55</v>
      </c>
      <c r="R3" s="376" t="s">
        <v>56</v>
      </c>
      <c r="S3" s="376"/>
      <c r="T3" s="376" t="s">
        <v>54</v>
      </c>
      <c r="U3" s="376" t="s">
        <v>55</v>
      </c>
      <c r="V3" s="376" t="s">
        <v>56</v>
      </c>
      <c r="W3" s="376"/>
      <c r="X3" s="376" t="s">
        <v>54</v>
      </c>
      <c r="Y3" s="376" t="s">
        <v>55</v>
      </c>
      <c r="Z3" s="376" t="s">
        <v>56</v>
      </c>
      <c r="AA3" s="376"/>
      <c r="AB3" s="376" t="s">
        <v>54</v>
      </c>
      <c r="AC3" s="376" t="s">
        <v>55</v>
      </c>
      <c r="AD3" s="376" t="s">
        <v>56</v>
      </c>
      <c r="AE3" s="376"/>
      <c r="AF3" s="376" t="s">
        <v>54</v>
      </c>
      <c r="AG3" s="376" t="s">
        <v>55</v>
      </c>
      <c r="AH3" s="376" t="s">
        <v>56</v>
      </c>
      <c r="AI3" s="376"/>
      <c r="AJ3" s="376" t="s">
        <v>54</v>
      </c>
      <c r="AK3" s="376" t="s">
        <v>55</v>
      </c>
      <c r="AL3" s="376" t="s">
        <v>56</v>
      </c>
      <c r="AM3" s="376"/>
      <c r="AN3" s="376" t="s">
        <v>54</v>
      </c>
      <c r="AO3" s="376" t="s">
        <v>55</v>
      </c>
      <c r="AP3" s="376" t="s">
        <v>56</v>
      </c>
      <c r="AQ3" s="376"/>
      <c r="AR3" s="376" t="s">
        <v>54</v>
      </c>
      <c r="AS3" s="376" t="s">
        <v>55</v>
      </c>
      <c r="AT3" s="376" t="s">
        <v>56</v>
      </c>
      <c r="AU3" s="376"/>
      <c r="AV3" s="376" t="s">
        <v>54</v>
      </c>
      <c r="AW3" s="376" t="s">
        <v>55</v>
      </c>
      <c r="AX3" s="376" t="s">
        <v>56</v>
      </c>
      <c r="AY3" s="376"/>
      <c r="AZ3" s="376" t="s">
        <v>54</v>
      </c>
      <c r="BA3" s="376" t="s">
        <v>55</v>
      </c>
      <c r="BB3" s="376" t="s">
        <v>56</v>
      </c>
      <c r="BC3" s="376"/>
      <c r="BD3" s="376" t="s">
        <v>54</v>
      </c>
      <c r="BE3" s="376" t="s">
        <v>55</v>
      </c>
      <c r="BF3" s="376" t="s">
        <v>56</v>
      </c>
      <c r="BG3" s="376"/>
      <c r="BH3" s="376" t="s">
        <v>54</v>
      </c>
      <c r="BI3" s="376" t="s">
        <v>55</v>
      </c>
      <c r="BJ3" s="376" t="s">
        <v>56</v>
      </c>
      <c r="BK3" s="348"/>
      <c r="BL3" s="376" t="s">
        <v>54</v>
      </c>
      <c r="BM3" s="376" t="s">
        <v>55</v>
      </c>
      <c r="BN3" s="376" t="s">
        <v>56</v>
      </c>
      <c r="BO3" s="348"/>
      <c r="BP3" s="376" t="s">
        <v>54</v>
      </c>
      <c r="BQ3" s="376" t="s">
        <v>55</v>
      </c>
      <c r="BR3" s="376" t="s">
        <v>56</v>
      </c>
      <c r="BS3" s="348"/>
      <c r="BT3" s="376" t="s">
        <v>54</v>
      </c>
      <c r="BU3" s="376" t="s">
        <v>55</v>
      </c>
      <c r="BV3" s="376" t="s">
        <v>56</v>
      </c>
      <c r="BW3" s="348"/>
      <c r="BX3" s="376" t="s">
        <v>54</v>
      </c>
      <c r="BY3" s="376" t="s">
        <v>55</v>
      </c>
      <c r="BZ3" s="376" t="s">
        <v>56</v>
      </c>
      <c r="CA3" s="348"/>
      <c r="CB3" s="376" t="s">
        <v>54</v>
      </c>
      <c r="CC3" s="376" t="s">
        <v>55</v>
      </c>
      <c r="CD3" s="376" t="s">
        <v>56</v>
      </c>
      <c r="CF3" s="376" t="s">
        <v>54</v>
      </c>
      <c r="CG3" s="376" t="s">
        <v>55</v>
      </c>
      <c r="CH3" s="376" t="s">
        <v>56</v>
      </c>
      <c r="CJ3" s="376" t="s">
        <v>54</v>
      </c>
      <c r="CK3" s="376" t="s">
        <v>55</v>
      </c>
      <c r="CL3" s="376" t="s">
        <v>56</v>
      </c>
      <c r="CM3" s="376"/>
      <c r="CN3" s="376" t="s">
        <v>54</v>
      </c>
      <c r="CO3" s="376" t="s">
        <v>55</v>
      </c>
      <c r="CP3" s="376" t="s">
        <v>56</v>
      </c>
      <c r="CQ3" s="376"/>
      <c r="CR3" s="376" t="s">
        <v>54</v>
      </c>
      <c r="CS3" s="376" t="s">
        <v>55</v>
      </c>
      <c r="CT3" s="376" t="s">
        <v>56</v>
      </c>
      <c r="CV3" s="376" t="s">
        <v>54</v>
      </c>
      <c r="CW3" s="376" t="s">
        <v>55</v>
      </c>
      <c r="CX3" s="376" t="s">
        <v>56</v>
      </c>
      <c r="CZ3" s="376" t="s">
        <v>54</v>
      </c>
      <c r="DA3" s="376" t="s">
        <v>55</v>
      </c>
      <c r="DB3" s="376" t="s">
        <v>56</v>
      </c>
      <c r="DC3" s="376"/>
      <c r="DD3" s="376" t="s">
        <v>54</v>
      </c>
      <c r="DE3" s="376" t="s">
        <v>55</v>
      </c>
      <c r="DF3" s="376" t="s">
        <v>56</v>
      </c>
      <c r="DG3" s="376"/>
      <c r="DH3" s="376" t="s">
        <v>54</v>
      </c>
      <c r="DI3" s="376" t="s">
        <v>55</v>
      </c>
      <c r="DJ3" s="376" t="s">
        <v>56</v>
      </c>
      <c r="DK3" s="376"/>
      <c r="DL3" s="376" t="s">
        <v>54</v>
      </c>
      <c r="DM3" s="376" t="s">
        <v>55</v>
      </c>
      <c r="DN3" s="376" t="s">
        <v>56</v>
      </c>
      <c r="DO3" s="376"/>
      <c r="DP3" s="376" t="s">
        <v>54</v>
      </c>
      <c r="DQ3" s="376" t="s">
        <v>55</v>
      </c>
      <c r="DR3" s="376" t="s">
        <v>56</v>
      </c>
      <c r="DS3" s="376"/>
      <c r="DT3" s="376" t="s">
        <v>54</v>
      </c>
      <c r="DU3" s="376" t="s">
        <v>55</v>
      </c>
      <c r="DV3" s="376" t="s">
        <v>56</v>
      </c>
      <c r="DW3" s="376"/>
      <c r="DX3" s="376" t="s">
        <v>54</v>
      </c>
      <c r="DY3" s="376" t="s">
        <v>55</v>
      </c>
      <c r="DZ3" s="376" t="s">
        <v>56</v>
      </c>
      <c r="EA3" s="376"/>
      <c r="EB3" s="376" t="s">
        <v>54</v>
      </c>
      <c r="EC3" s="376" t="s">
        <v>55</v>
      </c>
      <c r="ED3" s="376" t="s">
        <v>56</v>
      </c>
      <c r="EE3" s="376"/>
      <c r="EF3" s="376" t="s">
        <v>54</v>
      </c>
      <c r="EG3" s="376" t="s">
        <v>55</v>
      </c>
      <c r="EH3" s="376" t="s">
        <v>56</v>
      </c>
      <c r="EI3" s="376"/>
      <c r="EJ3" s="376" t="s">
        <v>54</v>
      </c>
      <c r="EK3" s="376" t="s">
        <v>55</v>
      </c>
      <c r="EL3" s="376" t="s">
        <v>56</v>
      </c>
      <c r="EM3" s="376"/>
      <c r="EN3" s="376" t="s">
        <v>54</v>
      </c>
      <c r="EO3" s="376" t="s">
        <v>55</v>
      </c>
      <c r="EP3" s="376" t="s">
        <v>56</v>
      </c>
      <c r="EQ3" s="376"/>
      <c r="ER3" s="376" t="s">
        <v>54</v>
      </c>
      <c r="ES3" s="376" t="s">
        <v>55</v>
      </c>
      <c r="ET3" s="376" t="s">
        <v>56</v>
      </c>
      <c r="EV3" s="378" t="s">
        <v>54</v>
      </c>
      <c r="EW3" s="378" t="s">
        <v>55</v>
      </c>
      <c r="EX3" s="378" t="s">
        <v>56</v>
      </c>
      <c r="EY3" s="379"/>
      <c r="EZ3" s="378" t="s">
        <v>54</v>
      </c>
      <c r="FA3" s="378" t="s">
        <v>55</v>
      </c>
      <c r="FB3" s="378" t="s">
        <v>56</v>
      </c>
      <c r="FC3" s="379"/>
      <c r="FD3" s="378" t="s">
        <v>54</v>
      </c>
      <c r="FE3" s="378" t="s">
        <v>55</v>
      </c>
      <c r="FF3" s="378" t="s">
        <v>56</v>
      </c>
      <c r="FG3" s="379"/>
      <c r="FH3" s="378" t="s">
        <v>54</v>
      </c>
      <c r="FI3" s="378" t="s">
        <v>55</v>
      </c>
      <c r="FJ3" s="378" t="s">
        <v>56</v>
      </c>
      <c r="FK3" s="378" t="s">
        <v>54</v>
      </c>
      <c r="FL3" s="378" t="s">
        <v>55</v>
      </c>
      <c r="FM3" s="378" t="s">
        <v>56</v>
      </c>
      <c r="FN3" s="379"/>
      <c r="FO3" s="378" t="s">
        <v>54</v>
      </c>
      <c r="FP3" s="378" t="s">
        <v>55</v>
      </c>
      <c r="FQ3" s="378" t="s">
        <v>56</v>
      </c>
      <c r="FR3" s="379"/>
      <c r="FS3" s="378" t="s">
        <v>54</v>
      </c>
      <c r="FT3" s="378" t="s">
        <v>55</v>
      </c>
      <c r="FU3" s="378" t="s">
        <v>56</v>
      </c>
      <c r="FV3" s="379"/>
      <c r="FW3" s="378" t="s">
        <v>54</v>
      </c>
      <c r="FX3" s="378" t="s">
        <v>55</v>
      </c>
      <c r="FY3" s="378" t="s">
        <v>56</v>
      </c>
      <c r="FZ3" s="379"/>
      <c r="GA3" s="378" t="s">
        <v>54</v>
      </c>
      <c r="GB3" s="378" t="s">
        <v>55</v>
      </c>
      <c r="GC3" s="378" t="s">
        <v>56</v>
      </c>
      <c r="GD3" s="379"/>
      <c r="GE3" s="378" t="s">
        <v>54</v>
      </c>
      <c r="GF3" s="378" t="s">
        <v>55</v>
      </c>
      <c r="GG3" s="378" t="s">
        <v>56</v>
      </c>
      <c r="GH3" s="379"/>
      <c r="GI3" s="378" t="s">
        <v>54</v>
      </c>
      <c r="GJ3" s="378" t="s">
        <v>55</v>
      </c>
      <c r="GK3" s="378" t="s">
        <v>56</v>
      </c>
      <c r="GL3" s="379"/>
      <c r="GM3" s="378" t="s">
        <v>54</v>
      </c>
      <c r="GN3" s="378" t="s">
        <v>55</v>
      </c>
      <c r="GO3" s="378" t="s">
        <v>56</v>
      </c>
      <c r="GP3" s="379"/>
      <c r="GQ3" s="378" t="s">
        <v>54</v>
      </c>
      <c r="GR3" s="378" t="s">
        <v>55</v>
      </c>
      <c r="GS3" s="378" t="s">
        <v>56</v>
      </c>
      <c r="GT3" s="379"/>
      <c r="GU3" s="378" t="s">
        <v>54</v>
      </c>
      <c r="GV3" s="378" t="s">
        <v>55</v>
      </c>
      <c r="GW3" s="378" t="s">
        <v>56</v>
      </c>
      <c r="GX3" s="379"/>
      <c r="GY3" s="378" t="s">
        <v>54</v>
      </c>
      <c r="GZ3" s="378" t="s">
        <v>55</v>
      </c>
      <c r="HA3" s="378" t="s">
        <v>56</v>
      </c>
      <c r="HB3" s="379"/>
      <c r="HC3" s="378" t="s">
        <v>54</v>
      </c>
      <c r="HD3" s="378" t="s">
        <v>55</v>
      </c>
      <c r="HE3" s="378" t="s">
        <v>56</v>
      </c>
      <c r="HG3" s="378" t="s">
        <v>54</v>
      </c>
      <c r="HH3" s="378" t="s">
        <v>55</v>
      </c>
      <c r="HI3" s="378" t="s">
        <v>56</v>
      </c>
      <c r="HK3" s="378" t="s">
        <v>54</v>
      </c>
      <c r="HL3" s="378" t="s">
        <v>55</v>
      </c>
      <c r="HM3" s="378" t="s">
        <v>56</v>
      </c>
      <c r="HO3" s="378" t="s">
        <v>54</v>
      </c>
      <c r="HP3" s="378" t="s">
        <v>55</v>
      </c>
      <c r="HQ3" s="378" t="s">
        <v>56</v>
      </c>
      <c r="HS3" s="378" t="s">
        <v>54</v>
      </c>
      <c r="HT3" s="378" t="s">
        <v>55</v>
      </c>
      <c r="HU3" s="378" t="s">
        <v>56</v>
      </c>
      <c r="HW3" s="378" t="s">
        <v>54</v>
      </c>
      <c r="HX3" s="378" t="s">
        <v>55</v>
      </c>
      <c r="HY3" s="378" t="s">
        <v>56</v>
      </c>
      <c r="IA3" s="378" t="s">
        <v>54</v>
      </c>
      <c r="IB3" s="378" t="s">
        <v>55</v>
      </c>
      <c r="IC3" s="378" t="s">
        <v>56</v>
      </c>
      <c r="IE3" s="378" t="s">
        <v>54</v>
      </c>
      <c r="IF3" s="378" t="s">
        <v>55</v>
      </c>
      <c r="IG3" s="378" t="s">
        <v>56</v>
      </c>
      <c r="II3" s="378" t="s">
        <v>54</v>
      </c>
      <c r="IJ3" s="378" t="s">
        <v>55</v>
      </c>
      <c r="IK3" s="378" t="s">
        <v>56</v>
      </c>
    </row>
    <row r="4" spans="1:245" ht="19.5" customHeight="1" x14ac:dyDescent="0.25">
      <c r="A4" s="380">
        <v>1</v>
      </c>
      <c r="B4" s="380" t="s">
        <v>320</v>
      </c>
      <c r="C4" s="381" t="s">
        <v>74</v>
      </c>
      <c r="D4" s="382">
        <v>18318965.5</v>
      </c>
      <c r="E4" s="382">
        <f>'[1]COE DISB 2019'!D12</f>
        <v>18318965.5</v>
      </c>
      <c r="F4" s="383">
        <f t="shared" ref="F4:F67" si="0">D4-E4</f>
        <v>0</v>
      </c>
      <c r="H4" s="382">
        <v>8000000</v>
      </c>
      <c r="I4" s="382">
        <f>'[1]COE DISB 2019'!E12</f>
        <v>8000000</v>
      </c>
      <c r="J4" s="383">
        <f t="shared" ref="J4:J67" si="1">H4-I4</f>
        <v>0</v>
      </c>
      <c r="L4" s="382">
        <v>500000</v>
      </c>
      <c r="M4" s="382">
        <f>'[1]COE DISB 2019'!F12</f>
        <v>500000</v>
      </c>
      <c r="N4" s="383">
        <f t="shared" ref="N4:N67" si="2">L4-M4</f>
        <v>0</v>
      </c>
      <c r="P4" s="353">
        <v>16000000</v>
      </c>
      <c r="Q4" s="382">
        <f>'[1]COE DISB 2019'!G12</f>
        <v>16000000</v>
      </c>
      <c r="R4" s="383">
        <f t="shared" ref="R4:R67" si="3">P4-Q4</f>
        <v>0</v>
      </c>
      <c r="T4" s="385">
        <v>1866000</v>
      </c>
      <c r="U4" s="382">
        <f>'[1]COE DISB 2019'!H12</f>
        <v>1866000</v>
      </c>
      <c r="V4" s="383">
        <f t="shared" ref="V4:V67" si="4">T4-U4</f>
        <v>0</v>
      </c>
      <c r="X4" s="353">
        <v>0</v>
      </c>
      <c r="Y4" s="382">
        <f>'[1]COE DISB 2019'!I12</f>
        <v>0</v>
      </c>
      <c r="Z4" s="383">
        <f t="shared" ref="Z4:Z67" si="5">X4-Y4</f>
        <v>0</v>
      </c>
      <c r="AB4" s="385">
        <v>20000000</v>
      </c>
      <c r="AC4" s="382">
        <f>'[1]COE DISB 2019'!J12</f>
        <v>20000000</v>
      </c>
      <c r="AD4" s="383">
        <f t="shared" ref="AD4:AD67" si="6">AB4-AC4</f>
        <v>0</v>
      </c>
      <c r="AF4" s="353">
        <v>0</v>
      </c>
      <c r="AG4" s="382">
        <f>'[1]COE DISB 2019'!K12</f>
        <v>0</v>
      </c>
      <c r="AH4" s="383">
        <f t="shared" ref="AH4:AH67" si="7">AF4-AG4</f>
        <v>0</v>
      </c>
      <c r="AJ4" s="385">
        <v>10000000</v>
      </c>
      <c r="AK4" s="382">
        <f>'[1]COE DISB 2019'!L12</f>
        <v>10000000</v>
      </c>
      <c r="AL4" s="383">
        <f t="shared" ref="AL4:AL67" si="8">AJ4-AK4</f>
        <v>0</v>
      </c>
      <c r="AN4" s="382">
        <v>10000000</v>
      </c>
      <c r="AO4" s="382">
        <f>'[1]COE DISB 2019'!M12</f>
        <v>10000000</v>
      </c>
      <c r="AP4" s="383">
        <f t="shared" ref="AP4:AP67" si="9">AN4-AO4</f>
        <v>0</v>
      </c>
      <c r="AR4" s="382">
        <v>11250000</v>
      </c>
      <c r="AS4" s="382">
        <f>'[1]COE DISB 2019'!N12</f>
        <v>11250000</v>
      </c>
      <c r="AT4" s="383">
        <f t="shared" ref="AT4:AT67" si="10">AR4-AS4</f>
        <v>0</v>
      </c>
      <c r="AV4" s="382">
        <v>0</v>
      </c>
      <c r="AW4" s="385">
        <f>'[1]COE DISB 2019'!O12</f>
        <v>0</v>
      </c>
      <c r="AX4" s="382">
        <f t="shared" ref="AX4:AX67" si="11">AV4-AW4</f>
        <v>0</v>
      </c>
      <c r="AZ4" s="382">
        <v>18000000</v>
      </c>
      <c r="BA4" s="382">
        <f>'[1]COE DISB 2019'!P12</f>
        <v>18000000</v>
      </c>
      <c r="BB4" s="382">
        <f t="shared" ref="BB4:BB67" si="12">AZ4-BA4</f>
        <v>0</v>
      </c>
      <c r="BD4" s="382">
        <v>23400000</v>
      </c>
      <c r="BE4" s="382">
        <f>'[1]COE DISB 2019'!Q12</f>
        <v>23400000</v>
      </c>
      <c r="BF4" s="382">
        <f t="shared" ref="BF4:BF67" si="13">BD4-BE4</f>
        <v>0</v>
      </c>
      <c r="BH4" s="382">
        <v>0</v>
      </c>
      <c r="BI4" s="382">
        <f>'[1]COE DISB 2019'!R12</f>
        <v>0</v>
      </c>
      <c r="BJ4" s="382">
        <f t="shared" ref="BJ4:BJ67" si="14">BH4-BI4</f>
        <v>0</v>
      </c>
      <c r="BL4" s="382">
        <v>43000000</v>
      </c>
      <c r="BM4" s="382">
        <f>'[1]COE DISB 2019'!S12</f>
        <v>43000000</v>
      </c>
      <c r="BN4" s="382">
        <f t="shared" ref="BN4:BN67" si="15">BL4-BM4</f>
        <v>0</v>
      </c>
      <c r="BP4" s="382">
        <v>37160000</v>
      </c>
      <c r="BQ4" s="382">
        <f>'[1]COE DISB 2019'!T12</f>
        <v>37160000</v>
      </c>
      <c r="BR4" s="382">
        <f t="shared" ref="BR4:BR67" si="16">BP4-BQ4</f>
        <v>0</v>
      </c>
      <c r="BT4" s="382">
        <v>0</v>
      </c>
      <c r="BU4" s="382">
        <f>'[1]COE DISB 2019'!U12</f>
        <v>0</v>
      </c>
      <c r="BV4" s="382">
        <f t="shared" ref="BV4:BV67" si="17">BT4-BU4</f>
        <v>0</v>
      </c>
      <c r="BX4" s="382">
        <v>112670000</v>
      </c>
      <c r="BY4" s="382">
        <f>'[1]COE DISB 2019'!V12</f>
        <v>112670000</v>
      </c>
      <c r="BZ4" s="382">
        <f t="shared" ref="BZ4:BZ67" si="18">BX4-BY4</f>
        <v>0</v>
      </c>
      <c r="CB4" s="382">
        <f>'[1]COE commited funds to date'!W7</f>
        <v>0</v>
      </c>
      <c r="CC4" s="382">
        <f>'[1]COE DISB 2019'!W12</f>
        <v>0</v>
      </c>
      <c r="CD4" s="382">
        <f t="shared" ref="CD4:CD67" si="19">CB4-CC4</f>
        <v>0</v>
      </c>
      <c r="CF4" s="382">
        <f>'[1]COE commited funds to date'!X7</f>
        <v>125000000</v>
      </c>
      <c r="CG4" s="382">
        <f>'[1]COE DISB 2019'!X12</f>
        <v>125000000</v>
      </c>
      <c r="CH4" s="382">
        <f t="shared" ref="CH4:CH67" si="20">CF4-CG4</f>
        <v>0</v>
      </c>
      <c r="CJ4" s="382">
        <v>10000000</v>
      </c>
      <c r="CK4" s="382">
        <f>'[1]COE DISB 2019'!Y12</f>
        <v>10000000</v>
      </c>
      <c r="CL4" s="382">
        <f t="shared" ref="CL4:CL67" si="21">CJ4-CK4</f>
        <v>0</v>
      </c>
      <c r="CN4" s="382">
        <v>0</v>
      </c>
      <c r="CO4" s="382">
        <f>'[1]COE DISB 2019'!Z12</f>
        <v>0</v>
      </c>
      <c r="CP4" s="382">
        <f t="shared" ref="CP4:CP67" si="22">CN4-CO4</f>
        <v>0</v>
      </c>
      <c r="CR4" s="382">
        <v>210000000</v>
      </c>
      <c r="CS4" s="382">
        <f>'[1]COE DISB 2019'!AA12</f>
        <v>210000000</v>
      </c>
      <c r="CT4" s="382">
        <f t="shared" ref="CT4:CT67" si="23">CR4-CS4</f>
        <v>0</v>
      </c>
      <c r="CV4" s="382">
        <v>10000000</v>
      </c>
      <c r="CW4" s="382">
        <f>'[1]COE DISB 2019'!AB12</f>
        <v>10000000</v>
      </c>
      <c r="CX4" s="382">
        <f t="shared" ref="CX4:CX67" si="24">CV4-CW4</f>
        <v>0</v>
      </c>
      <c r="CZ4" s="382">
        <f>'[1]COE commited funds to date'!AC7</f>
        <v>0</v>
      </c>
      <c r="DA4" s="382">
        <f>'[1]COE DISB 2019'!AC12</f>
        <v>0</v>
      </c>
      <c r="DB4" s="382">
        <f t="shared" ref="DB4:DB67" si="25">CZ4-DA4</f>
        <v>0</v>
      </c>
      <c r="DC4" s="386"/>
      <c r="DD4" s="382">
        <v>215000000</v>
      </c>
      <c r="DE4" s="382">
        <f>'[1]COE DISB 2019'!AD12</f>
        <v>215000000</v>
      </c>
      <c r="DF4" s="382">
        <f t="shared" ref="DF4:DF56" si="26">DD4-DE4</f>
        <v>0</v>
      </c>
      <c r="DG4" s="386"/>
      <c r="DH4" s="382">
        <v>10000000</v>
      </c>
      <c r="DI4" s="382">
        <f>'[1]COE DISB 2019'!AE12</f>
        <v>10000000</v>
      </c>
      <c r="DJ4" s="382">
        <f t="shared" ref="DJ4:DJ28" si="27">DH4-DI4</f>
        <v>0</v>
      </c>
      <c r="DK4" s="386"/>
      <c r="DL4" s="382">
        <f>'[1]COE commited funds to date'!AD7</f>
        <v>0</v>
      </c>
      <c r="DM4" s="382">
        <f>'[1]COE DISB 2019'!AF12</f>
        <v>0</v>
      </c>
      <c r="DN4" s="382">
        <f t="shared" ref="DN4:DN67" si="28">DL4-DM4</f>
        <v>0</v>
      </c>
      <c r="DO4" s="386"/>
      <c r="DP4" s="382">
        <v>325000000</v>
      </c>
      <c r="DQ4" s="382">
        <f>'[1]COE DISB 2019'!AG12</f>
        <v>198250000</v>
      </c>
      <c r="DR4" s="382">
        <f t="shared" ref="DR4:DR67" si="29">DP4-DQ4</f>
        <v>126750000</v>
      </c>
      <c r="DS4" s="386"/>
      <c r="DT4" s="353">
        <v>10000000</v>
      </c>
      <c r="DU4" s="382">
        <f>'[1]COE DISB 2019'!AH12</f>
        <v>10000000</v>
      </c>
      <c r="DV4" s="382">
        <f t="shared" ref="DV4:DV67" si="30">DT4-DU4</f>
        <v>0</v>
      </c>
      <c r="DW4" s="386"/>
      <c r="DX4" s="382">
        <f>'[1]COE commited funds to date'!AI7</f>
        <v>450000000</v>
      </c>
      <c r="DY4" s="382">
        <f>'[1]COE DISB 2019'!AI12</f>
        <v>421500000</v>
      </c>
      <c r="DZ4" s="382">
        <f t="shared" ref="DZ4:DZ67" si="31">DX4-DY4</f>
        <v>28500000</v>
      </c>
      <c r="EA4" s="386"/>
      <c r="EB4" s="382">
        <f>'[1]COE commited funds to date'!AJ7</f>
        <v>72000000</v>
      </c>
      <c r="EC4" s="382">
        <f>'[1]COE DISB 2019'!AJ12</f>
        <v>43920000</v>
      </c>
      <c r="ED4" s="382">
        <f t="shared" ref="ED4:ED67" si="32">EB4-EC4</f>
        <v>28080000</v>
      </c>
      <c r="EE4" s="386"/>
      <c r="EF4" s="382">
        <f>'[1]COE commited funds to date'!AK7</f>
        <v>8000000</v>
      </c>
      <c r="EG4" s="382">
        <f>'[1]COE DISB 2019'!AK12</f>
        <v>4000000</v>
      </c>
      <c r="EH4" s="382">
        <f t="shared" ref="EH4:EH67" si="33">EF4-EG4</f>
        <v>4000000</v>
      </c>
      <c r="EI4" s="386"/>
      <c r="EJ4" s="382">
        <f>'[1]COE commited funds to date'!AL7</f>
        <v>2000000</v>
      </c>
      <c r="EK4" s="382">
        <f>'[1]COE DISB 2019'!AL12</f>
        <v>0</v>
      </c>
      <c r="EL4" s="382">
        <f t="shared" ref="EL4:EL67" si="34">EJ4-EK4</f>
        <v>2000000</v>
      </c>
      <c r="EM4" s="386"/>
      <c r="EN4" s="382">
        <f>'[1]COE commited funds to date'!AM7</f>
        <v>7000000</v>
      </c>
      <c r="EO4" s="382">
        <f>'[1]COE DISB 2019'!AM12</f>
        <v>7000000</v>
      </c>
      <c r="EP4" s="382">
        <f t="shared" ref="EP4:EP67" si="35">EN4-EO4</f>
        <v>0</v>
      </c>
      <c r="EQ4" s="386"/>
      <c r="ER4" s="382">
        <f>'[1]COE commited funds to date'!AN7</f>
        <v>2000000000</v>
      </c>
      <c r="ES4" s="382">
        <f>'[1]COE DISB 2019'!AN12</f>
        <v>1880000000</v>
      </c>
      <c r="ET4" s="382">
        <f t="shared" ref="ET4:ET67" si="36">ER4-ES4</f>
        <v>120000000</v>
      </c>
      <c r="EV4" s="383">
        <f>'[1]COE commited funds to date'!AO7</f>
        <v>371067000</v>
      </c>
      <c r="EW4" s="383">
        <f>'[1]COE DISB 2019'!AO12</f>
        <v>226350870</v>
      </c>
      <c r="EX4" s="383">
        <f>EV4-EW4</f>
        <v>144716130</v>
      </c>
      <c r="EY4" s="380"/>
      <c r="EZ4" s="383">
        <f>'[1]COE commited funds to date'!AQ7</f>
        <v>12000000</v>
      </c>
      <c r="FA4" s="383">
        <f>'[1]COE DISB 2019'!AP12</f>
        <v>12000000</v>
      </c>
      <c r="FB4" s="383">
        <f>EZ4-FA4</f>
        <v>0</v>
      </c>
      <c r="FC4" s="380"/>
      <c r="FD4" s="383">
        <f>'[1]COE commited funds to date'!AR7</f>
        <v>10000000</v>
      </c>
      <c r="FE4" s="383">
        <f>'[1]COE DISB 2019'!AQ12</f>
        <v>0</v>
      </c>
      <c r="FF4" s="383">
        <f>FD4-FE4</f>
        <v>10000000</v>
      </c>
      <c r="FG4" s="380"/>
      <c r="FH4" s="383">
        <f>'[1]COE commited funds to date'!AP7</f>
        <v>8000000</v>
      </c>
      <c r="FI4" s="383">
        <f>'[1]COE DISB 2019'!AR12</f>
        <v>4000000</v>
      </c>
      <c r="FJ4" s="383">
        <f>FH4-FI4</f>
        <v>4000000</v>
      </c>
      <c r="FK4" s="383">
        <f>'[1]COE commited funds to date'!AS7</f>
        <v>0</v>
      </c>
      <c r="FL4" s="383">
        <f>'[1]COE DISB 2019'!AS12</f>
        <v>0</v>
      </c>
      <c r="FM4" s="383">
        <f>FK4-FL4</f>
        <v>0</v>
      </c>
      <c r="FN4" s="380"/>
      <c r="FO4" s="383">
        <f>'[1]COE commited funds to date'!AT7</f>
        <v>200000000</v>
      </c>
      <c r="FP4" s="383">
        <f>'[1]COE DISB 2019'!AT12</f>
        <v>0</v>
      </c>
      <c r="FQ4" s="383">
        <f>FO4-FP4</f>
        <v>200000000</v>
      </c>
      <c r="FR4" s="380"/>
      <c r="FS4" s="383">
        <f>'[1]COE commited funds to date'!AU7</f>
        <v>75000000</v>
      </c>
      <c r="FT4" s="383">
        <f>'[1]COE DISB 2019'!AU12</f>
        <v>51750000</v>
      </c>
      <c r="FU4" s="383">
        <f>FS4-FT4</f>
        <v>23250000</v>
      </c>
      <c r="FV4" s="380"/>
      <c r="FW4" s="383">
        <f>'[1]COE commited funds to date'!AV7</f>
        <v>8700000</v>
      </c>
      <c r="FX4" s="383">
        <f>'[1]COE DISB 2019'!AV12</f>
        <v>0</v>
      </c>
      <c r="FY4" s="383">
        <f>FW4-FX4</f>
        <v>8700000</v>
      </c>
      <c r="FZ4" s="380"/>
      <c r="GA4" s="383">
        <f>'[1]COE commited funds to date'!AW7</f>
        <v>5000000</v>
      </c>
      <c r="GB4" s="383">
        <f>'[1]COE DISB 2019'!AW12</f>
        <v>0</v>
      </c>
      <c r="GC4" s="383">
        <f>GA4-GB4</f>
        <v>5000000</v>
      </c>
      <c r="GD4" s="380"/>
      <c r="GE4" s="383">
        <f>'[1]COE commited funds to date'!AX7</f>
        <v>20000000</v>
      </c>
      <c r="GF4" s="383">
        <f>'[1]COE DISB 2019'!AX12</f>
        <v>716400</v>
      </c>
      <c r="GG4" s="383">
        <f>GE4-GF4</f>
        <v>19283600</v>
      </c>
      <c r="GH4" s="380"/>
      <c r="GI4" s="383">
        <f>'[1]COE commited funds to date'!AY7</f>
        <v>230000000</v>
      </c>
      <c r="GJ4" s="383">
        <f>'[1]COE DISB 2019'!AY12</f>
        <v>0</v>
      </c>
      <c r="GK4" s="383">
        <f>GI4-GJ4</f>
        <v>230000000</v>
      </c>
      <c r="GL4" s="380"/>
      <c r="GM4" s="383">
        <f>'[1]COE commited funds to date'!AZ7</f>
        <v>116776600</v>
      </c>
      <c r="GN4" s="383">
        <f>'[1]COE DISB 2019'!AZ12</f>
        <v>0</v>
      </c>
      <c r="GO4" s="383">
        <f>GM4-GN4</f>
        <v>116776600</v>
      </c>
      <c r="GP4" s="380"/>
      <c r="GQ4" s="383">
        <f>'[1]COE commited funds to date'!BA7</f>
        <v>12000000</v>
      </c>
      <c r="GR4" s="383">
        <f>'[1]COE DISB 2019'!BA12</f>
        <v>0</v>
      </c>
      <c r="GS4" s="383">
        <f>GQ4-GR4</f>
        <v>12000000</v>
      </c>
      <c r="GT4" s="380"/>
      <c r="GU4" s="383">
        <f>'[1]COE commited funds to date'!BB7</f>
        <v>5000000</v>
      </c>
      <c r="GV4" s="383">
        <f>'[1]COE DISB 2019'!BB12</f>
        <v>0</v>
      </c>
      <c r="GW4" s="383">
        <f>GU4-GV4</f>
        <v>5000000</v>
      </c>
      <c r="GX4" s="380"/>
      <c r="GY4" s="383">
        <f>'[1]COE commited funds to date'!BC7</f>
        <v>10308300</v>
      </c>
      <c r="GZ4" s="383">
        <f>'[1]COE DISB 2019'!BC12</f>
        <v>0</v>
      </c>
      <c r="HA4" s="383">
        <f>GY4-GZ4</f>
        <v>10308300</v>
      </c>
      <c r="HB4" s="380"/>
      <c r="HC4" s="383">
        <f>DH4+DD4+D4+H4+L4+P4+T4+X4+AB4+AF4+AJ4+AN4+AR4+AV4+AZ4+BD4+BH4+BL4+BP4+BT4+BX4+CB4+CF4+CJ4+CN4+CR4+CV4+CZ4+DL4+DP4+DT4+DX4+EB4+EF4+EJ4+EN4+ER4+EV4+EZ4+FD4+FH4+FK4+FO4+FS4+FW4+GA4+GE4+GI4+GM4+GQ4+GU4+GY4</f>
        <v>4868016865.5</v>
      </c>
      <c r="HD4" s="383">
        <f>DI4+DE4+E4+I4+M4+Q4+U4+Y4+AC4+AG4+AK4+AO4+AS4+AW4+BA4+BE4+BI4+BM4+BQ4+BU4+BY4+CC4+CG4+CK4+CO4+CS4+CW4+DA4+DM4+DQ4+DU4+DY4+EC4+EG4+EK4+EO4+ES4+EW4+FA4+FE4+FI4+FL4+FP4+FT4+FX4+GB4+GF4+GJ4+GN4+GR4+GV4+GZ4</f>
        <v>3769652235.5</v>
      </c>
      <c r="HE4" s="382">
        <f>HC4-HD4</f>
        <v>1098364630</v>
      </c>
      <c r="HG4" s="383">
        <f>D4+H4+P4+AB4+AJ4+AN4+AR4+AZ4+BD4+BL4+BP4+BX4+CF4+CR4+DD4+DP4+EB4+EV4+FO4+GI4</f>
        <v>2075865965.5</v>
      </c>
      <c r="HH4" s="383">
        <f>E4+I4+Q4+AC4+AK4+AO4+AS4+BA4+BE4+BM4+BQ4+BY4+CG4+CS4+DE4+DQ4+EC4+EW4+FP4+GJ4</f>
        <v>1346319835.5</v>
      </c>
      <c r="HI4" s="383">
        <f>HG4-HH4</f>
        <v>729546130</v>
      </c>
      <c r="HK4" s="383">
        <f>BH4+BT4+CB4+CN4+CZ4+DL4+DX4+ER4</f>
        <v>2450000000</v>
      </c>
      <c r="HL4" s="383">
        <f>BI4+BU4+CC4+CO4+DA4+DM4+DY4+ES4</f>
        <v>2301500000</v>
      </c>
      <c r="HM4" s="383">
        <f>HK4-HL4</f>
        <v>148500000</v>
      </c>
      <c r="HO4" s="383">
        <f t="shared" ref="HO4:HP35" si="37">L4+T4+AF4</f>
        <v>2366000</v>
      </c>
      <c r="HP4" s="383">
        <f t="shared" si="37"/>
        <v>2366000</v>
      </c>
      <c r="HQ4" s="383">
        <f>HO4-HP4</f>
        <v>0</v>
      </c>
      <c r="HS4" s="383">
        <f>CJ4+CV4+DH4+DT4+EN4+EZ4+GE4+GY4</f>
        <v>89308300</v>
      </c>
      <c r="HT4" s="383">
        <f>CK4+CW4+DI4+DU4+EO4+FA4+GF4+GZ4</f>
        <v>59716400</v>
      </c>
      <c r="HU4" s="383">
        <f>HS4-HT4</f>
        <v>29591900</v>
      </c>
      <c r="HW4" s="383">
        <f>EF4+FH4+FW4+GQ4</f>
        <v>36700000</v>
      </c>
      <c r="HX4" s="383">
        <f>EG4+FI4+FX4+GR4</f>
        <v>8000000</v>
      </c>
      <c r="HY4" s="383">
        <f>HW4-HX4</f>
        <v>28700000</v>
      </c>
      <c r="IA4" s="387">
        <f>FD4+GA4+GU4</f>
        <v>20000000</v>
      </c>
      <c r="IB4" s="387">
        <f>FE4+GB4+GV4</f>
        <v>0</v>
      </c>
      <c r="IC4" s="387">
        <f>IA4-IB4</f>
        <v>20000000</v>
      </c>
      <c r="IE4" s="383">
        <f>FK4+FS4+GM4</f>
        <v>191776600</v>
      </c>
      <c r="IF4" s="383">
        <f>FL4+FT4+GN4</f>
        <v>51750000</v>
      </c>
      <c r="IG4" s="383">
        <f>IE4-IF4</f>
        <v>140026600</v>
      </c>
      <c r="II4" s="383">
        <f>EJ4</f>
        <v>2000000</v>
      </c>
      <c r="IJ4" s="383">
        <f>EK4</f>
        <v>0</v>
      </c>
      <c r="IK4" s="383">
        <f>II4-IJ4</f>
        <v>2000000</v>
      </c>
    </row>
    <row r="5" spans="1:245" ht="19.5" customHeight="1" x14ac:dyDescent="0.25">
      <c r="A5" s="380">
        <v>2</v>
      </c>
      <c r="B5" s="380" t="s">
        <v>321</v>
      </c>
      <c r="C5" s="381" t="s">
        <v>76</v>
      </c>
      <c r="D5" s="382">
        <v>18318743.800000001</v>
      </c>
      <c r="E5" s="382">
        <f>'[1]COE DISB 2019'!D13</f>
        <v>18318743.800000001</v>
      </c>
      <c r="F5" s="383">
        <f t="shared" si="0"/>
        <v>0</v>
      </c>
      <c r="H5" s="382">
        <v>8000000</v>
      </c>
      <c r="I5" s="382">
        <f>'[1]COE DISB 2019'!E13</f>
        <v>8000000</v>
      </c>
      <c r="J5" s="383">
        <f t="shared" si="1"/>
        <v>0</v>
      </c>
      <c r="L5" s="382">
        <v>500000</v>
      </c>
      <c r="M5" s="382">
        <f>'[1]COE DISB 2019'!F13</f>
        <v>500000</v>
      </c>
      <c r="N5" s="383">
        <f t="shared" si="2"/>
        <v>0</v>
      </c>
      <c r="P5" s="353">
        <v>16000000</v>
      </c>
      <c r="Q5" s="382">
        <f>'[1]COE DISB 2019'!G13</f>
        <v>16000000</v>
      </c>
      <c r="R5" s="383">
        <f t="shared" si="3"/>
        <v>0</v>
      </c>
      <c r="T5" s="385">
        <v>1866000</v>
      </c>
      <c r="U5" s="382">
        <f>'[1]COE DISB 2019'!H13</f>
        <v>1866000</v>
      </c>
      <c r="V5" s="383">
        <f t="shared" si="4"/>
        <v>0</v>
      </c>
      <c r="X5" s="385">
        <v>4000000</v>
      </c>
      <c r="Y5" s="382">
        <f>'[1]COE DISB 2019'!I13</f>
        <v>4000000</v>
      </c>
      <c r="Z5" s="383">
        <f t="shared" si="5"/>
        <v>0</v>
      </c>
      <c r="AB5" s="385">
        <v>20000000</v>
      </c>
      <c r="AC5" s="382">
        <f>'[1]COE DISB 2019'!J13</f>
        <v>20000000</v>
      </c>
      <c r="AD5" s="383">
        <f t="shared" si="6"/>
        <v>0</v>
      </c>
      <c r="AF5" s="353">
        <v>0</v>
      </c>
      <c r="AG5" s="382">
        <f>'[1]COE DISB 2019'!K13</f>
        <v>0</v>
      </c>
      <c r="AH5" s="383">
        <f t="shared" si="7"/>
        <v>0</v>
      </c>
      <c r="AJ5" s="385">
        <v>10000000</v>
      </c>
      <c r="AK5" s="382">
        <f>'[1]COE DISB 2019'!L13</f>
        <v>10000000</v>
      </c>
      <c r="AL5" s="383">
        <f t="shared" si="8"/>
        <v>0</v>
      </c>
      <c r="AN5" s="382">
        <v>10000000</v>
      </c>
      <c r="AO5" s="382">
        <f>'[1]COE DISB 2019'!M13</f>
        <v>10000000</v>
      </c>
      <c r="AP5" s="383">
        <f t="shared" si="9"/>
        <v>0</v>
      </c>
      <c r="AR5" s="382">
        <v>15000000</v>
      </c>
      <c r="AS5" s="382">
        <f>'[1]COE DISB 2019'!N13</f>
        <v>15000000</v>
      </c>
      <c r="AT5" s="383">
        <f t="shared" si="10"/>
        <v>0</v>
      </c>
      <c r="AV5" s="382">
        <v>10000000</v>
      </c>
      <c r="AW5" s="385">
        <f>'[1]COE DISB 2019'!O13</f>
        <v>10000000</v>
      </c>
      <c r="AX5" s="382">
        <f t="shared" si="11"/>
        <v>0</v>
      </c>
      <c r="AZ5" s="382">
        <v>18000000</v>
      </c>
      <c r="BA5" s="382">
        <f>'[1]COE DISB 2019'!P13</f>
        <v>18000000</v>
      </c>
      <c r="BB5" s="382">
        <f t="shared" si="12"/>
        <v>0</v>
      </c>
      <c r="BD5" s="382">
        <v>23400000</v>
      </c>
      <c r="BE5" s="382">
        <f>'[1]COE DISB 2019'!Q13</f>
        <v>23400000</v>
      </c>
      <c r="BF5" s="382">
        <f t="shared" si="13"/>
        <v>0</v>
      </c>
      <c r="BH5" s="382">
        <v>0</v>
      </c>
      <c r="BI5" s="382">
        <f>'[1]COE DISB 2019'!R13</f>
        <v>0</v>
      </c>
      <c r="BJ5" s="382">
        <f t="shared" si="14"/>
        <v>0</v>
      </c>
      <c r="BL5" s="382">
        <v>43000000</v>
      </c>
      <c r="BM5" s="382">
        <f>'[1]COE DISB 2019'!S13</f>
        <v>43000400</v>
      </c>
      <c r="BN5" s="382">
        <f t="shared" si="15"/>
        <v>-400</v>
      </c>
      <c r="BP5" s="382">
        <v>35747400</v>
      </c>
      <c r="BQ5" s="382">
        <f>'[1]COE DISB 2019'!T13</f>
        <v>35747400</v>
      </c>
      <c r="BR5" s="382">
        <f t="shared" si="16"/>
        <v>0</v>
      </c>
      <c r="BT5" s="382">
        <v>0</v>
      </c>
      <c r="BU5" s="382">
        <f>'[1]COE DISB 2019'!U13</f>
        <v>0</v>
      </c>
      <c r="BV5" s="382">
        <f t="shared" si="17"/>
        <v>0</v>
      </c>
      <c r="BX5" s="382">
        <v>112670000</v>
      </c>
      <c r="BY5" s="382">
        <f>'[1]COE DISB 2019'!V13</f>
        <v>112670000</v>
      </c>
      <c r="BZ5" s="382">
        <f t="shared" si="18"/>
        <v>0</v>
      </c>
      <c r="CB5" s="382">
        <f>'[1]COE commited funds to date'!W8</f>
        <v>0</v>
      </c>
      <c r="CC5" s="382">
        <f>'[1]COE DISB 2019'!W13</f>
        <v>0</v>
      </c>
      <c r="CD5" s="382">
        <f t="shared" si="19"/>
        <v>0</v>
      </c>
      <c r="CF5" s="382">
        <f>'[1]COE commited funds to date'!X8</f>
        <v>125000000</v>
      </c>
      <c r="CG5" s="382">
        <f>'[1]COE DISB 2019'!X13</f>
        <v>125000000</v>
      </c>
      <c r="CH5" s="382">
        <f t="shared" si="20"/>
        <v>0</v>
      </c>
      <c r="CJ5" s="382">
        <v>10000000</v>
      </c>
      <c r="CK5" s="382">
        <f>'[1]COE DISB 2019'!Y13</f>
        <v>10000000</v>
      </c>
      <c r="CL5" s="382">
        <f t="shared" si="21"/>
        <v>0</v>
      </c>
      <c r="CN5" s="382">
        <v>200000000</v>
      </c>
      <c r="CO5" s="382">
        <f>'[1]COE DISB 2019'!Z13</f>
        <v>200000000</v>
      </c>
      <c r="CP5" s="382">
        <f t="shared" si="22"/>
        <v>0</v>
      </c>
      <c r="CR5" s="382">
        <v>210000000</v>
      </c>
      <c r="CS5" s="382">
        <f>'[1]COE DISB 2019'!AA13</f>
        <v>178500000</v>
      </c>
      <c r="CT5" s="382">
        <f t="shared" si="23"/>
        <v>31500000</v>
      </c>
      <c r="CV5" s="382">
        <v>10000000</v>
      </c>
      <c r="CW5" s="382">
        <f>'[1]COE DISB 2019'!AB13</f>
        <v>10000000</v>
      </c>
      <c r="CX5" s="382">
        <f t="shared" si="24"/>
        <v>0</v>
      </c>
      <c r="CZ5" s="382">
        <f>'[1]COE commited funds to date'!AC8</f>
        <v>292000000</v>
      </c>
      <c r="DA5" s="382">
        <f>'[1]COE DISB 2019'!AC13</f>
        <v>262000000</v>
      </c>
      <c r="DB5" s="382">
        <f t="shared" si="25"/>
        <v>30000000</v>
      </c>
      <c r="DC5" s="386"/>
      <c r="DD5" s="382">
        <v>215000000</v>
      </c>
      <c r="DE5" s="382">
        <f>'[1]COE DISB 2019'!AD13</f>
        <v>182750000</v>
      </c>
      <c r="DF5" s="382">
        <f t="shared" si="26"/>
        <v>32250000</v>
      </c>
      <c r="DG5" s="386"/>
      <c r="DH5" s="382">
        <v>10000000</v>
      </c>
      <c r="DI5" s="382">
        <f>'[1]COE DISB 2019'!AE13</f>
        <v>10000000</v>
      </c>
      <c r="DJ5" s="382">
        <f t="shared" si="27"/>
        <v>0</v>
      </c>
      <c r="DK5" s="386"/>
      <c r="DL5" s="382">
        <f>'[1]COE commited funds to date'!AD8</f>
        <v>0</v>
      </c>
      <c r="DM5" s="382">
        <f>'[1]COE DISB 2019'!AF13</f>
        <v>0</v>
      </c>
      <c r="DN5" s="382">
        <f t="shared" si="28"/>
        <v>0</v>
      </c>
      <c r="DO5" s="386"/>
      <c r="DP5" s="382">
        <v>325000000</v>
      </c>
      <c r="DQ5" s="382">
        <f>'[1]COE DISB 2019'!AG13</f>
        <v>276250000</v>
      </c>
      <c r="DR5" s="382">
        <f t="shared" si="29"/>
        <v>48750000</v>
      </c>
      <c r="DS5" s="386"/>
      <c r="DT5" s="353">
        <v>10000000</v>
      </c>
      <c r="DU5" s="382">
        <f>'[1]COE DISB 2019'!AH13</f>
        <v>10000000</v>
      </c>
      <c r="DV5" s="382">
        <f t="shared" si="30"/>
        <v>0</v>
      </c>
      <c r="DW5" s="386"/>
      <c r="DX5" s="382">
        <f>'[1]COE commited funds to date'!AI8</f>
        <v>0</v>
      </c>
      <c r="DY5" s="382">
        <f>'[1]COE DISB 2019'!AI13</f>
        <v>0</v>
      </c>
      <c r="DZ5" s="382">
        <f t="shared" si="31"/>
        <v>0</v>
      </c>
      <c r="EA5" s="386"/>
      <c r="EB5" s="382">
        <f>'[1]COE commited funds to date'!AJ8</f>
        <v>72000000</v>
      </c>
      <c r="EC5" s="382">
        <f>'[1]COE DISB 2019'!AJ13</f>
        <v>61200000</v>
      </c>
      <c r="ED5" s="382">
        <f t="shared" si="32"/>
        <v>10800000</v>
      </c>
      <c r="EE5" s="386"/>
      <c r="EF5" s="382">
        <f>'[1]COE commited funds to date'!AK8</f>
        <v>8000000</v>
      </c>
      <c r="EG5" s="382">
        <f>'[1]COE DISB 2019'!AK13</f>
        <v>0</v>
      </c>
      <c r="EH5" s="382">
        <f t="shared" si="33"/>
        <v>8000000</v>
      </c>
      <c r="EI5" s="386"/>
      <c r="EJ5" s="382">
        <f>'[1]COE commited funds to date'!AL8</f>
        <v>2000000</v>
      </c>
      <c r="EK5" s="382">
        <f>'[1]COE DISB 2019'!AL13</f>
        <v>0</v>
      </c>
      <c r="EL5" s="382">
        <f t="shared" si="34"/>
        <v>2000000</v>
      </c>
      <c r="EM5" s="386"/>
      <c r="EN5" s="382">
        <f>'[1]COE commited funds to date'!AM8</f>
        <v>7000000</v>
      </c>
      <c r="EO5" s="382">
        <f>'[1]COE DISB 2019'!AM13</f>
        <v>7000000</v>
      </c>
      <c r="EP5" s="382">
        <f t="shared" si="35"/>
        <v>0</v>
      </c>
      <c r="EQ5" s="386"/>
      <c r="ER5" s="382">
        <f>'[1]COE commited funds to date'!AN8</f>
        <v>0</v>
      </c>
      <c r="ES5" s="382">
        <f>'[1]COE DISB 2019'!AN13</f>
        <v>0</v>
      </c>
      <c r="ET5" s="382">
        <f t="shared" si="36"/>
        <v>0</v>
      </c>
      <c r="EV5" s="383">
        <f>'[1]COE commited funds to date'!AO8</f>
        <v>371067000</v>
      </c>
      <c r="EW5" s="383">
        <f>'[1]COE DISB 2019'!AO13</f>
        <v>0</v>
      </c>
      <c r="EX5" s="383">
        <f t="shared" ref="EX5:EX68" si="38">EV5-EW5</f>
        <v>371067000</v>
      </c>
      <c r="EY5" s="380"/>
      <c r="EZ5" s="383">
        <f>'[1]COE commited funds to date'!AQ8</f>
        <v>12000000</v>
      </c>
      <c r="FA5" s="383">
        <f>'[1]COE DISB 2019'!AP13</f>
        <v>12000000</v>
      </c>
      <c r="FB5" s="383">
        <f t="shared" ref="FB5:FB68" si="39">EZ5-FA5</f>
        <v>0</v>
      </c>
      <c r="FC5" s="380"/>
      <c r="FD5" s="383">
        <f>'[1]COE commited funds to date'!AR8</f>
        <v>10000000</v>
      </c>
      <c r="FE5" s="383">
        <f>'[1]COE DISB 2019'!AQ13</f>
        <v>0</v>
      </c>
      <c r="FF5" s="383">
        <f t="shared" ref="FF5:FF68" si="40">FD5-FE5</f>
        <v>10000000</v>
      </c>
      <c r="FG5" s="380"/>
      <c r="FH5" s="383">
        <f>'[1]COE commited funds to date'!AP8</f>
        <v>8000000</v>
      </c>
      <c r="FI5" s="383">
        <f>'[1]COE DISB 2019'!AR13</f>
        <v>0</v>
      </c>
      <c r="FJ5" s="383">
        <f t="shared" ref="FJ5:FJ68" si="41">FH5-FI5</f>
        <v>8000000</v>
      </c>
      <c r="FK5" s="383">
        <f>'[1]COE commited funds to date'!AS8</f>
        <v>150000000</v>
      </c>
      <c r="FL5" s="383">
        <f>'[1]COE DISB 2019'!AS13</f>
        <v>127500000</v>
      </c>
      <c r="FM5" s="383">
        <f t="shared" ref="FM5:FM68" si="42">FK5-FL5</f>
        <v>22500000</v>
      </c>
      <c r="FN5" s="380"/>
      <c r="FO5" s="383">
        <f>'[1]COE commited funds to date'!AT8</f>
        <v>200000000</v>
      </c>
      <c r="FP5" s="383">
        <f>'[1]COE DISB 2019'!AT13</f>
        <v>0</v>
      </c>
      <c r="FQ5" s="383">
        <f t="shared" ref="FQ5:FQ68" si="43">FO5-FP5</f>
        <v>200000000</v>
      </c>
      <c r="FR5" s="380"/>
      <c r="FS5" s="383">
        <f>'[1]COE commited funds to date'!AU8</f>
        <v>75000000</v>
      </c>
      <c r="FT5" s="383">
        <f>'[1]COE DISB 2019'!AU13</f>
        <v>51000000</v>
      </c>
      <c r="FU5" s="383">
        <f t="shared" ref="FU5:FU68" si="44">FS5-FT5</f>
        <v>24000000</v>
      </c>
      <c r="FV5" s="380"/>
      <c r="FW5" s="383">
        <f>'[1]COE commited funds to date'!AV8</f>
        <v>8700000</v>
      </c>
      <c r="FX5" s="383">
        <f>'[1]COE DISB 2019'!AV13</f>
        <v>0</v>
      </c>
      <c r="FY5" s="383">
        <f t="shared" ref="FY5:FY68" si="45">FW5-FX5</f>
        <v>8700000</v>
      </c>
      <c r="FZ5" s="380"/>
      <c r="GA5" s="383">
        <f>'[1]COE commited funds to date'!AW8</f>
        <v>5000000</v>
      </c>
      <c r="GB5" s="383">
        <f>'[1]COE DISB 2019'!AW13</f>
        <v>0</v>
      </c>
      <c r="GC5" s="383">
        <f t="shared" ref="GC5:GC68" si="46">GA5-GB5</f>
        <v>5000000</v>
      </c>
      <c r="GD5" s="380"/>
      <c r="GE5" s="383">
        <f>'[1]COE commited funds to date'!AX8</f>
        <v>20000000</v>
      </c>
      <c r="GF5" s="383">
        <f>'[1]COE DISB 2019'!AX13</f>
        <v>17660200</v>
      </c>
      <c r="GG5" s="383">
        <f t="shared" ref="GG5:GG68" si="47">GE5-GF5</f>
        <v>2339800</v>
      </c>
      <c r="GH5" s="380"/>
      <c r="GI5" s="383">
        <f>'[1]COE commited funds to date'!AY8</f>
        <v>230000000</v>
      </c>
      <c r="GJ5" s="383">
        <f>'[1]COE DISB 2019'!AY13</f>
        <v>0</v>
      </c>
      <c r="GK5" s="383">
        <f t="shared" ref="GK5:GK68" si="48">GI5-GJ5</f>
        <v>230000000</v>
      </c>
      <c r="GL5" s="380"/>
      <c r="GM5" s="383">
        <f>'[1]COE commited funds to date'!AZ8</f>
        <v>116776600</v>
      </c>
      <c r="GN5" s="383">
        <f>'[1]COE DISB 2019'!AZ13</f>
        <v>0</v>
      </c>
      <c r="GO5" s="383">
        <f t="shared" ref="GO5:GO68" si="49">GM5-GN5</f>
        <v>116776600</v>
      </c>
      <c r="GP5" s="380"/>
      <c r="GQ5" s="383">
        <f>'[1]COE commited funds to date'!BA8</f>
        <v>12000000</v>
      </c>
      <c r="GR5" s="383">
        <f>'[1]COE DISB 2019'!BA13</f>
        <v>0</v>
      </c>
      <c r="GS5" s="383">
        <f t="shared" ref="GS5:GS68" si="50">GQ5-GR5</f>
        <v>12000000</v>
      </c>
      <c r="GT5" s="380"/>
      <c r="GU5" s="383">
        <f>'[1]COE commited funds to date'!BB8</f>
        <v>5000000</v>
      </c>
      <c r="GV5" s="383">
        <f>'[1]COE DISB 2019'!BB13</f>
        <v>0</v>
      </c>
      <c r="GW5" s="383">
        <f t="shared" ref="GW5:GW68" si="51">GU5-GV5</f>
        <v>5000000</v>
      </c>
      <c r="GX5" s="380"/>
      <c r="GY5" s="383">
        <f>'[1]COE commited funds to date'!BC8</f>
        <v>10308300</v>
      </c>
      <c r="GZ5" s="383">
        <f>'[1]COE DISB 2019'!BC13</f>
        <v>0</v>
      </c>
      <c r="HA5" s="383">
        <f t="shared" ref="HA5:HA68" si="52">GY5-GZ5</f>
        <v>10308300</v>
      </c>
      <c r="HB5" s="380"/>
      <c r="HC5" s="383">
        <f t="shared" ref="HC5:HD68" si="53">DH5+DD5+D5+H5+L5+P5+T5+X5+AB5+AF5+AJ5+AN5+AR5+AV5+AZ5+BD5+BH5+BL5+BP5+BT5+BX5+CB5+CF5+CJ5+CN5+CR5+CV5+CZ5+DL5+DP5+DT5+DX5+EB5+EF5+EJ5+EN5+ER5+EV5+EZ5+FD5+FH5+FK5+FO5+FS5+FW5+GA5+GE5+GI5+GM5+GQ5+GU5+GY5</f>
        <v>3076354043.8000002</v>
      </c>
      <c r="HD5" s="383">
        <f t="shared" si="53"/>
        <v>1887362743.8</v>
      </c>
      <c r="HE5" s="382">
        <f t="shared" ref="HE5:HE68" si="54">HC5-HD5</f>
        <v>1188991300.0000002</v>
      </c>
      <c r="HG5" s="383">
        <f t="shared" ref="HG5:HH68" si="55">D5+H5+P5+AB5+AJ5+AN5+AR5+AZ5+BD5+BL5+BP5+BX5+CF5+CR5+DD5+DP5+EB5+EV5+FO5+GI5</f>
        <v>2078203143.8</v>
      </c>
      <c r="HH5" s="383">
        <f t="shared" si="55"/>
        <v>1153836543.8</v>
      </c>
      <c r="HI5" s="383">
        <f t="shared" ref="HI5:HI68" si="56">HG5-HH5</f>
        <v>924366600</v>
      </c>
      <c r="HK5" s="383">
        <f t="shared" ref="HK5:HL68" si="57">BH5+BT5+CB5+CN5+CZ5+DL5+DX5+ER5</f>
        <v>492000000</v>
      </c>
      <c r="HL5" s="383">
        <f t="shared" si="57"/>
        <v>462000000</v>
      </c>
      <c r="HM5" s="383">
        <f t="shared" ref="HM5:HM68" si="58">HK5-HL5</f>
        <v>30000000</v>
      </c>
      <c r="HO5" s="383">
        <f t="shared" si="37"/>
        <v>2366000</v>
      </c>
      <c r="HP5" s="383">
        <f t="shared" si="37"/>
        <v>2366000</v>
      </c>
      <c r="HQ5" s="383">
        <f t="shared" ref="HQ5:HQ68" si="59">HO5-HP5</f>
        <v>0</v>
      </c>
      <c r="HS5" s="383">
        <f t="shared" ref="HS5:HT68" si="60">CJ5+CV5+DH5+DT5+EN5+EZ5+GE5+GY5</f>
        <v>89308300</v>
      </c>
      <c r="HT5" s="383">
        <f t="shared" si="60"/>
        <v>76660200</v>
      </c>
      <c r="HU5" s="383">
        <f t="shared" ref="HU5:HU68" si="61">HS5-HT5</f>
        <v>12648100</v>
      </c>
      <c r="HW5" s="383">
        <f t="shared" ref="HW5:HX68" si="62">EF5+FH5+FW5+GQ5</f>
        <v>36700000</v>
      </c>
      <c r="HX5" s="383">
        <f t="shared" si="62"/>
        <v>0</v>
      </c>
      <c r="HY5" s="383">
        <f t="shared" ref="HY5:HY68" si="63">HW5-HX5</f>
        <v>36700000</v>
      </c>
      <c r="IA5" s="387">
        <f t="shared" ref="IA5:IB68" si="64">FD5+GA5+GU5</f>
        <v>20000000</v>
      </c>
      <c r="IB5" s="387">
        <f t="shared" si="64"/>
        <v>0</v>
      </c>
      <c r="IC5" s="387">
        <f t="shared" ref="IC5:IC68" si="65">IA5-IB5</f>
        <v>20000000</v>
      </c>
      <c r="IE5" s="383">
        <f t="shared" ref="IE5:IF68" si="66">FK5+FS5+GM5</f>
        <v>341776600</v>
      </c>
      <c r="IF5" s="383">
        <f t="shared" si="66"/>
        <v>178500000</v>
      </c>
      <c r="IG5" s="383">
        <f t="shared" ref="IG5:IG68" si="67">IE5-IF5</f>
        <v>163276600</v>
      </c>
      <c r="II5" s="383">
        <f t="shared" ref="II5:IJ68" si="68">EJ5</f>
        <v>2000000</v>
      </c>
      <c r="IJ5" s="383">
        <f t="shared" si="68"/>
        <v>0</v>
      </c>
      <c r="IK5" s="383">
        <f t="shared" ref="IK5:IK68" si="69">II5-IJ5</f>
        <v>2000000</v>
      </c>
    </row>
    <row r="6" spans="1:245" ht="19.5" customHeight="1" x14ac:dyDescent="0.25">
      <c r="A6" s="380">
        <v>3</v>
      </c>
      <c r="B6" s="380" t="s">
        <v>322</v>
      </c>
      <c r="C6" s="381" t="s">
        <v>65</v>
      </c>
      <c r="D6" s="382">
        <v>18318965.5</v>
      </c>
      <c r="E6" s="382">
        <f>'[1]COE DISB 2019'!D14</f>
        <v>18318965.5</v>
      </c>
      <c r="F6" s="383">
        <f t="shared" si="0"/>
        <v>0</v>
      </c>
      <c r="H6" s="382">
        <v>8000000</v>
      </c>
      <c r="I6" s="382">
        <f>'[1]COE DISB 2019'!E14</f>
        <v>8000000</v>
      </c>
      <c r="J6" s="383">
        <f t="shared" si="1"/>
        <v>0</v>
      </c>
      <c r="L6" s="382">
        <v>500000</v>
      </c>
      <c r="M6" s="382">
        <f>'[1]COE DISB 2019'!F14</f>
        <v>500000</v>
      </c>
      <c r="N6" s="383">
        <f t="shared" si="2"/>
        <v>0</v>
      </c>
      <c r="P6" s="353">
        <v>16000000</v>
      </c>
      <c r="Q6" s="382">
        <f>'[1]COE DISB 2019'!G14</f>
        <v>16000000</v>
      </c>
      <c r="R6" s="383">
        <f t="shared" si="3"/>
        <v>0</v>
      </c>
      <c r="T6" s="353">
        <v>0</v>
      </c>
      <c r="U6" s="382">
        <f>'[1]COE DISB 2019'!H14</f>
        <v>0</v>
      </c>
      <c r="V6" s="383">
        <f t="shared" si="4"/>
        <v>0</v>
      </c>
      <c r="X6" s="385">
        <f>4000000-4000000</f>
        <v>0</v>
      </c>
      <c r="Y6" s="382">
        <f>'[1]COE DISB 2019'!I14</f>
        <v>0</v>
      </c>
      <c r="Z6" s="383">
        <f t="shared" si="5"/>
        <v>0</v>
      </c>
      <c r="AB6" s="385">
        <v>20000000</v>
      </c>
      <c r="AC6" s="382">
        <f>'[1]COE DISB 2019'!J14</f>
        <v>20000000</v>
      </c>
      <c r="AD6" s="383">
        <f t="shared" si="6"/>
        <v>0</v>
      </c>
      <c r="AF6" s="353">
        <v>0</v>
      </c>
      <c r="AG6" s="382">
        <f>'[1]COE DISB 2019'!K14</f>
        <v>0</v>
      </c>
      <c r="AH6" s="383">
        <f t="shared" si="7"/>
        <v>0</v>
      </c>
      <c r="AJ6" s="385">
        <v>10000000</v>
      </c>
      <c r="AK6" s="382">
        <f>'[1]COE DISB 2019'!L14</f>
        <v>10000000</v>
      </c>
      <c r="AL6" s="383">
        <f t="shared" si="8"/>
        <v>0</v>
      </c>
      <c r="AN6" s="382">
        <v>10000000</v>
      </c>
      <c r="AO6" s="382">
        <f>'[1]COE DISB 2019'!M14</f>
        <v>10000000</v>
      </c>
      <c r="AP6" s="383">
        <f t="shared" si="9"/>
        <v>0</v>
      </c>
      <c r="AR6" s="382">
        <v>15000000</v>
      </c>
      <c r="AS6" s="382">
        <f>'[1]COE DISB 2019'!N14</f>
        <v>15000000</v>
      </c>
      <c r="AT6" s="383">
        <f t="shared" si="10"/>
        <v>0</v>
      </c>
      <c r="AV6" s="382">
        <v>0</v>
      </c>
      <c r="AW6" s="385">
        <f>'[1]COE DISB 2019'!O14</f>
        <v>0</v>
      </c>
      <c r="AX6" s="382">
        <f t="shared" si="11"/>
        <v>0</v>
      </c>
      <c r="AZ6" s="382">
        <v>18000000</v>
      </c>
      <c r="BA6" s="382">
        <f>'[1]COE DISB 2019'!P14</f>
        <v>18000000</v>
      </c>
      <c r="BB6" s="382">
        <f t="shared" si="12"/>
        <v>0</v>
      </c>
      <c r="BD6" s="382">
        <v>23400000</v>
      </c>
      <c r="BE6" s="382">
        <f>'[1]COE DISB 2019'!Q14</f>
        <v>23400000</v>
      </c>
      <c r="BF6" s="382">
        <f t="shared" si="13"/>
        <v>0</v>
      </c>
      <c r="BH6" s="382">
        <v>0</v>
      </c>
      <c r="BI6" s="382">
        <f>'[1]COE DISB 2019'!R14</f>
        <v>0</v>
      </c>
      <c r="BJ6" s="382">
        <f t="shared" si="14"/>
        <v>0</v>
      </c>
      <c r="BL6" s="382">
        <v>43000000</v>
      </c>
      <c r="BM6" s="382">
        <f>'[1]COE DISB 2019'!S14</f>
        <v>43000000</v>
      </c>
      <c r="BN6" s="382">
        <f t="shared" si="15"/>
        <v>0</v>
      </c>
      <c r="BP6" s="382">
        <v>37160000</v>
      </c>
      <c r="BQ6" s="382">
        <f>'[1]COE DISB 2019'!T14</f>
        <v>37160000</v>
      </c>
      <c r="BR6" s="382">
        <f t="shared" si="16"/>
        <v>0</v>
      </c>
      <c r="BT6" s="382">
        <v>0</v>
      </c>
      <c r="BU6" s="382">
        <f>'[1]COE DISB 2019'!U14</f>
        <v>0</v>
      </c>
      <c r="BV6" s="382">
        <f t="shared" si="17"/>
        <v>0</v>
      </c>
      <c r="BX6" s="382">
        <v>112670000</v>
      </c>
      <c r="BY6" s="382">
        <f>'[1]COE DISB 2019'!V14</f>
        <v>112670000</v>
      </c>
      <c r="BZ6" s="382">
        <f t="shared" si="18"/>
        <v>0</v>
      </c>
      <c r="CB6" s="382">
        <f>'[1]COE commited funds to date'!W9</f>
        <v>0</v>
      </c>
      <c r="CC6" s="382">
        <f>'[1]COE DISB 2019'!W14</f>
        <v>0</v>
      </c>
      <c r="CD6" s="382">
        <f t="shared" si="19"/>
        <v>0</v>
      </c>
      <c r="CF6" s="382">
        <f>'[1]COE commited funds to date'!X9</f>
        <v>125000000</v>
      </c>
      <c r="CG6" s="382">
        <f>'[1]COE DISB 2019'!X14</f>
        <v>125000000</v>
      </c>
      <c r="CH6" s="382">
        <f t="shared" si="20"/>
        <v>0</v>
      </c>
      <c r="CJ6" s="382">
        <v>10000000</v>
      </c>
      <c r="CK6" s="382">
        <f>'[1]COE DISB 2019'!Y14</f>
        <v>9971000</v>
      </c>
      <c r="CL6" s="382">
        <f t="shared" si="21"/>
        <v>29000</v>
      </c>
      <c r="CN6" s="382">
        <v>120000000</v>
      </c>
      <c r="CO6" s="382">
        <f>'[1]COE DISB 2019'!Z14</f>
        <v>120000000</v>
      </c>
      <c r="CP6" s="382">
        <f t="shared" si="22"/>
        <v>0</v>
      </c>
      <c r="CR6" s="382">
        <v>210000000</v>
      </c>
      <c r="CS6" s="382">
        <f>'[1]COE DISB 2019'!AA14</f>
        <v>210000000</v>
      </c>
      <c r="CT6" s="382">
        <f t="shared" si="23"/>
        <v>0</v>
      </c>
      <c r="CV6" s="382">
        <v>10000000</v>
      </c>
      <c r="CW6" s="382">
        <f>'[1]COE DISB 2019'!AB14</f>
        <v>9971000</v>
      </c>
      <c r="CX6" s="382">
        <f t="shared" si="24"/>
        <v>29000</v>
      </c>
      <c r="CZ6" s="382">
        <f>'[1]COE commited funds to date'!AC9</f>
        <v>317000000</v>
      </c>
      <c r="DA6" s="382">
        <f>'[1]COE DISB 2019'!AC14</f>
        <v>206520000</v>
      </c>
      <c r="DB6" s="382">
        <f t="shared" si="25"/>
        <v>110480000</v>
      </c>
      <c r="DC6" s="386"/>
      <c r="DD6" s="382">
        <v>215000000</v>
      </c>
      <c r="DE6" s="382">
        <f>'[1]COE DISB 2019'!AD14</f>
        <v>126850000</v>
      </c>
      <c r="DF6" s="382">
        <f t="shared" si="26"/>
        <v>88150000</v>
      </c>
      <c r="DG6" s="386"/>
      <c r="DH6" s="382">
        <v>10000000</v>
      </c>
      <c r="DI6" s="382">
        <f>'[1]COE DISB 2019'!AE14</f>
        <v>10000000</v>
      </c>
      <c r="DJ6" s="382">
        <f t="shared" si="27"/>
        <v>0</v>
      </c>
      <c r="DK6" s="386"/>
      <c r="DL6" s="382">
        <f>'[1]COE commited funds to date'!AD9</f>
        <v>100000000</v>
      </c>
      <c r="DM6" s="382">
        <f>'[1]COE DISB 2019'!AF14</f>
        <v>100000000</v>
      </c>
      <c r="DN6" s="382">
        <f t="shared" si="28"/>
        <v>0</v>
      </c>
      <c r="DO6" s="386"/>
      <c r="DP6" s="382">
        <v>325000000</v>
      </c>
      <c r="DQ6" s="382">
        <f>'[1]COE DISB 2019'!AG14</f>
        <v>191750000</v>
      </c>
      <c r="DR6" s="382">
        <f t="shared" si="29"/>
        <v>133250000</v>
      </c>
      <c r="DS6" s="386"/>
      <c r="DT6" s="353">
        <v>10000000</v>
      </c>
      <c r="DU6" s="382">
        <f>'[1]COE DISB 2019'!AH14</f>
        <v>10000000</v>
      </c>
      <c r="DV6" s="382">
        <f t="shared" si="30"/>
        <v>0</v>
      </c>
      <c r="DW6" s="386"/>
      <c r="DX6" s="382">
        <f>'[1]COE commited funds to date'!AI9</f>
        <v>50000000</v>
      </c>
      <c r="DY6" s="382">
        <f>'[1]COE DISB 2019'!AI14</f>
        <v>50000000</v>
      </c>
      <c r="DZ6" s="382">
        <f t="shared" si="31"/>
        <v>0</v>
      </c>
      <c r="EA6" s="386"/>
      <c r="EB6" s="382">
        <f>'[1]COE commited funds to date'!AJ9</f>
        <v>72000000</v>
      </c>
      <c r="EC6" s="382">
        <f>'[1]COE DISB 2019'!AJ14</f>
        <v>0</v>
      </c>
      <c r="ED6" s="382">
        <f t="shared" si="32"/>
        <v>72000000</v>
      </c>
      <c r="EE6" s="386"/>
      <c r="EF6" s="382">
        <f>'[1]COE commited funds to date'!AK9</f>
        <v>8000000</v>
      </c>
      <c r="EG6" s="382">
        <f>'[1]COE DISB 2019'!AK14</f>
        <v>8000000</v>
      </c>
      <c r="EH6" s="382">
        <f t="shared" si="33"/>
        <v>0</v>
      </c>
      <c r="EI6" s="386"/>
      <c r="EJ6" s="382">
        <f>'[1]COE commited funds to date'!AL9</f>
        <v>2000000</v>
      </c>
      <c r="EK6" s="382">
        <f>'[1]COE DISB 2019'!AL14</f>
        <v>0</v>
      </c>
      <c r="EL6" s="382">
        <f t="shared" si="34"/>
        <v>2000000</v>
      </c>
      <c r="EM6" s="386"/>
      <c r="EN6" s="382">
        <f>'[1]COE commited funds to date'!AM9</f>
        <v>7000000</v>
      </c>
      <c r="EO6" s="382">
        <f>'[1]COE DISB 2019'!AM14</f>
        <v>7000000</v>
      </c>
      <c r="EP6" s="382">
        <f t="shared" si="35"/>
        <v>0</v>
      </c>
      <c r="EQ6" s="386"/>
      <c r="ER6" s="382">
        <f>'[1]COE commited funds to date'!AN9</f>
        <v>0</v>
      </c>
      <c r="ES6" s="382">
        <f>'[1]COE DISB 2019'!AN14</f>
        <v>0</v>
      </c>
      <c r="ET6" s="382">
        <f t="shared" si="36"/>
        <v>0</v>
      </c>
      <c r="EV6" s="383">
        <f>'[1]COE commited funds to date'!AO9</f>
        <v>371067000</v>
      </c>
      <c r="EW6" s="383">
        <f>'[1]COE DISB 2019'!AO14</f>
        <v>0</v>
      </c>
      <c r="EX6" s="383">
        <f t="shared" si="38"/>
        <v>371067000</v>
      </c>
      <c r="EY6" s="380"/>
      <c r="EZ6" s="383">
        <f>'[1]COE commited funds to date'!AQ9</f>
        <v>12000000</v>
      </c>
      <c r="FA6" s="383">
        <f>'[1]COE DISB 2019'!AP14</f>
        <v>12000000</v>
      </c>
      <c r="FB6" s="383">
        <f t="shared" si="39"/>
        <v>0</v>
      </c>
      <c r="FC6" s="380"/>
      <c r="FD6" s="383">
        <f>'[1]COE commited funds to date'!AR9</f>
        <v>10000000</v>
      </c>
      <c r="FE6" s="383">
        <f>'[1]COE DISB 2019'!AQ14</f>
        <v>0</v>
      </c>
      <c r="FF6" s="383">
        <f t="shared" si="40"/>
        <v>10000000</v>
      </c>
      <c r="FG6" s="380"/>
      <c r="FH6" s="383">
        <f>'[1]COE commited funds to date'!AP9</f>
        <v>8000000</v>
      </c>
      <c r="FI6" s="383">
        <f>'[1]COE DISB 2019'!AR14</f>
        <v>8000000</v>
      </c>
      <c r="FJ6" s="383">
        <f t="shared" si="41"/>
        <v>0</v>
      </c>
      <c r="FK6" s="383">
        <f>'[1]COE commited funds to date'!AS9</f>
        <v>150000000</v>
      </c>
      <c r="FL6" s="383">
        <f>'[1]COE DISB 2019'!AS14</f>
        <v>127500000</v>
      </c>
      <c r="FM6" s="383">
        <f t="shared" si="42"/>
        <v>22500000</v>
      </c>
      <c r="FN6" s="380"/>
      <c r="FO6" s="383">
        <f>'[1]COE commited funds to date'!AT9</f>
        <v>200000000</v>
      </c>
      <c r="FP6" s="383">
        <f>'[1]COE DISB 2019'!AT14</f>
        <v>0</v>
      </c>
      <c r="FQ6" s="383">
        <f t="shared" si="43"/>
        <v>200000000</v>
      </c>
      <c r="FR6" s="380"/>
      <c r="FS6" s="383">
        <f>'[1]COE commited funds to date'!AU9</f>
        <v>75000000</v>
      </c>
      <c r="FT6" s="383">
        <f>'[1]COE DISB 2019'!AU14</f>
        <v>0</v>
      </c>
      <c r="FU6" s="383">
        <f t="shared" si="44"/>
        <v>75000000</v>
      </c>
      <c r="FV6" s="380"/>
      <c r="FW6" s="383">
        <f>'[1]COE commited funds to date'!AV9</f>
        <v>8700000</v>
      </c>
      <c r="FX6" s="383">
        <f>'[1]COE DISB 2019'!AV14</f>
        <v>0</v>
      </c>
      <c r="FY6" s="383">
        <f t="shared" si="45"/>
        <v>8700000</v>
      </c>
      <c r="FZ6" s="380"/>
      <c r="GA6" s="383">
        <f>'[1]COE commited funds to date'!AW9</f>
        <v>5000000</v>
      </c>
      <c r="GB6" s="383">
        <f>'[1]COE DISB 2019'!AW14</f>
        <v>0</v>
      </c>
      <c r="GC6" s="383">
        <f t="shared" si="46"/>
        <v>5000000</v>
      </c>
      <c r="GD6" s="380"/>
      <c r="GE6" s="383">
        <f>'[1]COE commited funds to date'!AX9</f>
        <v>20000000</v>
      </c>
      <c r="GF6" s="383">
        <f>'[1]COE DISB 2019'!AX14</f>
        <v>19839600</v>
      </c>
      <c r="GG6" s="383">
        <f t="shared" si="47"/>
        <v>160400</v>
      </c>
      <c r="GH6" s="380"/>
      <c r="GI6" s="383">
        <f>'[1]COE commited funds to date'!AY9</f>
        <v>230000000</v>
      </c>
      <c r="GJ6" s="383">
        <f>'[1]COE DISB 2019'!AY14</f>
        <v>0</v>
      </c>
      <c r="GK6" s="383">
        <f t="shared" si="48"/>
        <v>230000000</v>
      </c>
      <c r="GL6" s="380"/>
      <c r="GM6" s="383">
        <f>'[1]COE commited funds to date'!AZ9</f>
        <v>116776600</v>
      </c>
      <c r="GN6" s="383">
        <f>'[1]COE DISB 2019'!AZ14</f>
        <v>0</v>
      </c>
      <c r="GO6" s="383">
        <f t="shared" si="49"/>
        <v>116776600</v>
      </c>
      <c r="GP6" s="380"/>
      <c r="GQ6" s="383">
        <f>'[1]COE commited funds to date'!BA9</f>
        <v>12000000</v>
      </c>
      <c r="GR6" s="383">
        <f>'[1]COE DISB 2019'!BA14</f>
        <v>0</v>
      </c>
      <c r="GS6" s="383">
        <f t="shared" si="50"/>
        <v>12000000</v>
      </c>
      <c r="GT6" s="380"/>
      <c r="GU6" s="383">
        <f>'[1]COE commited funds to date'!BB9</f>
        <v>5000000</v>
      </c>
      <c r="GV6" s="383">
        <f>'[1]COE DISB 2019'!BB14</f>
        <v>0</v>
      </c>
      <c r="GW6" s="383">
        <f t="shared" si="51"/>
        <v>5000000</v>
      </c>
      <c r="GX6" s="380"/>
      <c r="GY6" s="383">
        <f>'[1]COE commited funds to date'!BC9</f>
        <v>10308300</v>
      </c>
      <c r="GZ6" s="383">
        <f>'[1]COE DISB 2019'!BC14</f>
        <v>0</v>
      </c>
      <c r="HA6" s="383">
        <f t="shared" si="52"/>
        <v>10308300</v>
      </c>
      <c r="HB6" s="380"/>
      <c r="HC6" s="383">
        <f t="shared" si="53"/>
        <v>3156900865.5</v>
      </c>
      <c r="HD6" s="383">
        <f t="shared" si="53"/>
        <v>1684450565.5</v>
      </c>
      <c r="HE6" s="382">
        <f t="shared" si="54"/>
        <v>1472450300</v>
      </c>
      <c r="HG6" s="383">
        <f t="shared" si="55"/>
        <v>2079615965.5</v>
      </c>
      <c r="HH6" s="383">
        <f t="shared" si="55"/>
        <v>985148965.5</v>
      </c>
      <c r="HI6" s="383">
        <f t="shared" si="56"/>
        <v>1094467000</v>
      </c>
      <c r="HK6" s="383">
        <f t="shared" si="57"/>
        <v>587000000</v>
      </c>
      <c r="HL6" s="383">
        <f t="shared" si="57"/>
        <v>476520000</v>
      </c>
      <c r="HM6" s="383">
        <f t="shared" si="58"/>
        <v>110480000</v>
      </c>
      <c r="HO6" s="383">
        <f t="shared" si="37"/>
        <v>500000</v>
      </c>
      <c r="HP6" s="383">
        <f t="shared" si="37"/>
        <v>500000</v>
      </c>
      <c r="HQ6" s="383">
        <f t="shared" si="59"/>
        <v>0</v>
      </c>
      <c r="HS6" s="383">
        <f t="shared" si="60"/>
        <v>89308300</v>
      </c>
      <c r="HT6" s="383">
        <f t="shared" si="60"/>
        <v>78781600</v>
      </c>
      <c r="HU6" s="383">
        <f t="shared" si="61"/>
        <v>10526700</v>
      </c>
      <c r="HW6" s="383">
        <f t="shared" si="62"/>
        <v>36700000</v>
      </c>
      <c r="HX6" s="383">
        <f t="shared" si="62"/>
        <v>16000000</v>
      </c>
      <c r="HY6" s="383">
        <f t="shared" si="63"/>
        <v>20700000</v>
      </c>
      <c r="IA6" s="387">
        <f t="shared" si="64"/>
        <v>20000000</v>
      </c>
      <c r="IB6" s="387">
        <f t="shared" si="64"/>
        <v>0</v>
      </c>
      <c r="IC6" s="387">
        <f t="shared" si="65"/>
        <v>20000000</v>
      </c>
      <c r="IE6" s="383">
        <f t="shared" si="66"/>
        <v>341776600</v>
      </c>
      <c r="IF6" s="383">
        <f t="shared" si="66"/>
        <v>127500000</v>
      </c>
      <c r="IG6" s="383">
        <f t="shared" si="67"/>
        <v>214276600</v>
      </c>
      <c r="II6" s="383">
        <f t="shared" si="68"/>
        <v>2000000</v>
      </c>
      <c r="IJ6" s="383">
        <f t="shared" si="68"/>
        <v>0</v>
      </c>
      <c r="IK6" s="383">
        <f t="shared" si="69"/>
        <v>2000000</v>
      </c>
    </row>
    <row r="7" spans="1:245" ht="19.5" customHeight="1" x14ac:dyDescent="0.25">
      <c r="A7" s="380">
        <v>4</v>
      </c>
      <c r="B7" s="380" t="s">
        <v>323</v>
      </c>
      <c r="C7" s="42" t="s">
        <v>65</v>
      </c>
      <c r="D7" s="382">
        <v>18318965.5</v>
      </c>
      <c r="E7" s="382">
        <f>'[1]COE DISB 2019'!D15</f>
        <v>18321965.489999998</v>
      </c>
      <c r="F7" s="383">
        <f t="shared" si="0"/>
        <v>-2999.9899999983609</v>
      </c>
      <c r="H7" s="382">
        <v>8000000</v>
      </c>
      <c r="I7" s="382">
        <f>'[1]COE DISB 2019'!E15</f>
        <v>8000000</v>
      </c>
      <c r="J7" s="383">
        <f t="shared" si="1"/>
        <v>0</v>
      </c>
      <c r="L7" s="382">
        <v>500000</v>
      </c>
      <c r="M7" s="382">
        <f>'[1]COE DISB 2019'!F15</f>
        <v>500000</v>
      </c>
      <c r="N7" s="383">
        <f t="shared" si="2"/>
        <v>0</v>
      </c>
      <c r="P7" s="353">
        <v>16000000</v>
      </c>
      <c r="Q7" s="382">
        <f>'[1]COE DISB 2019'!G15</f>
        <v>16000000</v>
      </c>
      <c r="R7" s="383">
        <f t="shared" si="3"/>
        <v>0</v>
      </c>
      <c r="T7" s="385">
        <v>477000</v>
      </c>
      <c r="U7" s="382">
        <f>'[1]COE DISB 2019'!H15</f>
        <v>477000</v>
      </c>
      <c r="V7" s="383">
        <f t="shared" si="4"/>
        <v>0</v>
      </c>
      <c r="X7" s="385">
        <v>4000000</v>
      </c>
      <c r="Y7" s="382">
        <f>'[1]COE DISB 2019'!I15</f>
        <v>4000000</v>
      </c>
      <c r="Z7" s="383">
        <f t="shared" si="5"/>
        <v>0</v>
      </c>
      <c r="AB7" s="385">
        <v>20000000</v>
      </c>
      <c r="AC7" s="382">
        <f>'[1]COE DISB 2019'!J15</f>
        <v>20000000</v>
      </c>
      <c r="AD7" s="383">
        <f t="shared" si="6"/>
        <v>0</v>
      </c>
      <c r="AF7" s="353">
        <v>0</v>
      </c>
      <c r="AG7" s="382">
        <f>'[1]COE DISB 2019'!K15</f>
        <v>0</v>
      </c>
      <c r="AH7" s="383">
        <f t="shared" si="7"/>
        <v>0</v>
      </c>
      <c r="AJ7" s="385">
        <v>10000000</v>
      </c>
      <c r="AK7" s="382">
        <f>'[1]COE DISB 2019'!L15</f>
        <v>10000000</v>
      </c>
      <c r="AL7" s="383">
        <f t="shared" si="8"/>
        <v>0</v>
      </c>
      <c r="AN7" s="382">
        <v>10000000</v>
      </c>
      <c r="AO7" s="382">
        <f>'[1]COE DISB 2019'!M15</f>
        <v>10000000</v>
      </c>
      <c r="AP7" s="383">
        <f t="shared" si="9"/>
        <v>0</v>
      </c>
      <c r="AR7" s="382">
        <v>15000000</v>
      </c>
      <c r="AS7" s="382">
        <f>'[1]COE DISB 2019'!N15</f>
        <v>15000000</v>
      </c>
      <c r="AT7" s="383">
        <f t="shared" si="10"/>
        <v>0</v>
      </c>
      <c r="AV7" s="382">
        <v>10000000</v>
      </c>
      <c r="AW7" s="388">
        <f>'[1]COE DISB 2019'!O15</f>
        <v>10000000</v>
      </c>
      <c r="AX7" s="382">
        <f t="shared" si="11"/>
        <v>0</v>
      </c>
      <c r="AZ7" s="382">
        <v>18000000</v>
      </c>
      <c r="BA7" s="382">
        <f>'[1]COE DISB 2019'!P15</f>
        <v>18000000</v>
      </c>
      <c r="BB7" s="382">
        <f t="shared" si="12"/>
        <v>0</v>
      </c>
      <c r="BD7" s="382">
        <v>23400000</v>
      </c>
      <c r="BE7" s="382">
        <f>'[1]COE DISB 2019'!Q15</f>
        <v>23400000</v>
      </c>
      <c r="BF7" s="382">
        <f t="shared" si="13"/>
        <v>0</v>
      </c>
      <c r="BH7" s="382">
        <v>0</v>
      </c>
      <c r="BI7" s="382">
        <f>'[1]COE DISB 2019'!R15</f>
        <v>0</v>
      </c>
      <c r="BJ7" s="382">
        <f t="shared" si="14"/>
        <v>0</v>
      </c>
      <c r="BL7" s="382">
        <v>43000000</v>
      </c>
      <c r="BM7" s="382">
        <f>'[1]COE DISB 2019'!S15</f>
        <v>43000000</v>
      </c>
      <c r="BN7" s="382">
        <f t="shared" si="15"/>
        <v>0</v>
      </c>
      <c r="BP7" s="382">
        <v>37160000</v>
      </c>
      <c r="BQ7" s="382">
        <f>'[1]COE DISB 2019'!T15</f>
        <v>37160000</v>
      </c>
      <c r="BR7" s="382">
        <f t="shared" si="16"/>
        <v>0</v>
      </c>
      <c r="BT7" s="382">
        <v>0</v>
      </c>
      <c r="BU7" s="382">
        <f>'[1]COE DISB 2019'!U15</f>
        <v>0</v>
      </c>
      <c r="BV7" s="382">
        <f t="shared" si="17"/>
        <v>0</v>
      </c>
      <c r="BX7" s="382">
        <v>112670000</v>
      </c>
      <c r="BY7" s="382">
        <f>'[1]COE DISB 2019'!V15</f>
        <v>112670000</v>
      </c>
      <c r="BZ7" s="382">
        <f t="shared" si="18"/>
        <v>0</v>
      </c>
      <c r="CB7" s="382">
        <f>'[1]COE commited funds to date'!W10</f>
        <v>0</v>
      </c>
      <c r="CC7" s="382">
        <f>'[1]COE DISB 2019'!W15</f>
        <v>0</v>
      </c>
      <c r="CD7" s="382">
        <f t="shared" si="19"/>
        <v>0</v>
      </c>
      <c r="CF7" s="382">
        <f>'[1]COE commited funds to date'!X10</f>
        <v>125000000</v>
      </c>
      <c r="CG7" s="382">
        <f>'[1]COE DISB 2019'!X15</f>
        <v>125000000</v>
      </c>
      <c r="CH7" s="382">
        <f t="shared" si="20"/>
        <v>0</v>
      </c>
      <c r="CJ7" s="382">
        <v>10000000</v>
      </c>
      <c r="CK7" s="382">
        <f>'[1]COE DISB 2019'!Y15</f>
        <v>9999200</v>
      </c>
      <c r="CL7" s="382">
        <f t="shared" si="21"/>
        <v>800</v>
      </c>
      <c r="CN7" s="382">
        <v>0</v>
      </c>
      <c r="CO7" s="382">
        <f>'[1]COE DISB 2019'!Z15</f>
        <v>0</v>
      </c>
      <c r="CP7" s="382">
        <f t="shared" si="22"/>
        <v>0</v>
      </c>
      <c r="CR7" s="382">
        <v>210000000</v>
      </c>
      <c r="CS7" s="382">
        <f>'[1]COE DISB 2019'!AA15</f>
        <v>210000000</v>
      </c>
      <c r="CT7" s="382">
        <f t="shared" si="23"/>
        <v>0</v>
      </c>
      <c r="CV7" s="382">
        <v>10000000</v>
      </c>
      <c r="CW7" s="382">
        <f>'[1]COE DISB 2019'!AB15</f>
        <v>10000000</v>
      </c>
      <c r="CX7" s="382">
        <f t="shared" si="24"/>
        <v>0</v>
      </c>
      <c r="CZ7" s="382">
        <f>'[1]COE commited funds to date'!AC10</f>
        <v>80000000</v>
      </c>
      <c r="DA7" s="382">
        <f>'[1]COE DISB 2019'!AC15</f>
        <v>80000000</v>
      </c>
      <c r="DB7" s="382">
        <f t="shared" si="25"/>
        <v>0</v>
      </c>
      <c r="DC7" s="386"/>
      <c r="DD7" s="382">
        <v>215000000</v>
      </c>
      <c r="DE7" s="382">
        <f>'[1]COE DISB 2019'!AD15</f>
        <v>215000000</v>
      </c>
      <c r="DF7" s="382">
        <f t="shared" si="26"/>
        <v>0</v>
      </c>
      <c r="DG7" s="386"/>
      <c r="DH7" s="382">
        <v>10000000</v>
      </c>
      <c r="DI7" s="382">
        <f>'[1]COE DISB 2019'!AE15</f>
        <v>9981600</v>
      </c>
      <c r="DJ7" s="382">
        <f t="shared" si="27"/>
        <v>18400</v>
      </c>
      <c r="DK7" s="386"/>
      <c r="DL7" s="382">
        <f>'[1]COE commited funds to date'!AD10</f>
        <v>30000000</v>
      </c>
      <c r="DM7" s="382">
        <f>'[1]COE DISB 2019'!AF15</f>
        <v>30000000</v>
      </c>
      <c r="DN7" s="382">
        <f t="shared" si="28"/>
        <v>0</v>
      </c>
      <c r="DO7" s="386"/>
      <c r="DP7" s="382">
        <v>325000000</v>
      </c>
      <c r="DQ7" s="382">
        <f>'[1]COE DISB 2019'!AG15</f>
        <v>325000000</v>
      </c>
      <c r="DR7" s="382">
        <f t="shared" si="29"/>
        <v>0</v>
      </c>
      <c r="DS7" s="386"/>
      <c r="DT7" s="353">
        <v>10000000</v>
      </c>
      <c r="DU7" s="382">
        <f>'[1]COE DISB 2019'!AH15</f>
        <v>10000000</v>
      </c>
      <c r="DV7" s="382">
        <f t="shared" si="30"/>
        <v>0</v>
      </c>
      <c r="DW7" s="386"/>
      <c r="DX7" s="382">
        <f>'[1]COE commited funds to date'!AI10</f>
        <v>50000000</v>
      </c>
      <c r="DY7" s="382">
        <f>'[1]COE DISB 2019'!AI15</f>
        <v>50000000</v>
      </c>
      <c r="DZ7" s="382">
        <f t="shared" si="31"/>
        <v>0</v>
      </c>
      <c r="EA7" s="386"/>
      <c r="EB7" s="382">
        <f>'[1]COE commited funds to date'!AJ10</f>
        <v>72000000</v>
      </c>
      <c r="EC7" s="382">
        <f>'[1]COE DISB 2019'!AJ15</f>
        <v>61200000</v>
      </c>
      <c r="ED7" s="382">
        <f t="shared" si="32"/>
        <v>10800000</v>
      </c>
      <c r="EE7" s="386"/>
      <c r="EF7" s="382">
        <f>'[1]COE commited funds to date'!AK10</f>
        <v>8000000</v>
      </c>
      <c r="EG7" s="382">
        <f>'[1]COE DISB 2019'!AK15</f>
        <v>4000000</v>
      </c>
      <c r="EH7" s="382">
        <f t="shared" si="33"/>
        <v>4000000</v>
      </c>
      <c r="EI7" s="386"/>
      <c r="EJ7" s="382">
        <f>'[1]COE commited funds to date'!AL10</f>
        <v>2000000</v>
      </c>
      <c r="EK7" s="382">
        <f>'[1]COE DISB 2019'!AL15</f>
        <v>0</v>
      </c>
      <c r="EL7" s="382">
        <f t="shared" si="34"/>
        <v>2000000</v>
      </c>
      <c r="EM7" s="386"/>
      <c r="EN7" s="382">
        <f>'[1]COE commited funds to date'!AM10</f>
        <v>7000000</v>
      </c>
      <c r="EO7" s="382">
        <f>'[1]COE DISB 2019'!AM15</f>
        <v>7000000</v>
      </c>
      <c r="EP7" s="382">
        <f t="shared" si="35"/>
        <v>0</v>
      </c>
      <c r="EQ7" s="386"/>
      <c r="ER7" s="382">
        <f>'[1]COE commited funds to date'!AN10</f>
        <v>100000000</v>
      </c>
      <c r="ES7" s="382">
        <f>'[1]COE DISB 2019'!AN15</f>
        <v>100000000</v>
      </c>
      <c r="ET7" s="382">
        <f t="shared" si="36"/>
        <v>0</v>
      </c>
      <c r="EV7" s="383">
        <f>'[1]COE commited funds to date'!AO10</f>
        <v>371067000</v>
      </c>
      <c r="EW7" s="383">
        <f>'[1]COE DISB 2019'!AO15</f>
        <v>315406950</v>
      </c>
      <c r="EX7" s="383">
        <f t="shared" si="38"/>
        <v>55660050</v>
      </c>
      <c r="EY7" s="380"/>
      <c r="EZ7" s="383">
        <f>'[1]COE commited funds to date'!AQ10</f>
        <v>12000000</v>
      </c>
      <c r="FA7" s="383">
        <f>'[1]COE DISB 2019'!AP15</f>
        <v>12000000</v>
      </c>
      <c r="FB7" s="383">
        <f t="shared" si="39"/>
        <v>0</v>
      </c>
      <c r="FC7" s="380"/>
      <c r="FD7" s="383">
        <f>'[1]COE commited funds to date'!AR10</f>
        <v>10000000</v>
      </c>
      <c r="FE7" s="383">
        <f>'[1]COE DISB 2019'!AQ15</f>
        <v>0</v>
      </c>
      <c r="FF7" s="383">
        <f t="shared" si="40"/>
        <v>10000000</v>
      </c>
      <c r="FG7" s="380"/>
      <c r="FH7" s="383">
        <f>'[1]COE commited funds to date'!AP10</f>
        <v>8000000</v>
      </c>
      <c r="FI7" s="383">
        <f>'[1]COE DISB 2019'!AR15</f>
        <v>4000000</v>
      </c>
      <c r="FJ7" s="383">
        <f t="shared" si="41"/>
        <v>4000000</v>
      </c>
      <c r="FK7" s="383">
        <f>'[1]COE commited funds to date'!AS10</f>
        <v>150000000</v>
      </c>
      <c r="FL7" s="383">
        <f>'[1]COE DISB 2019'!AS15</f>
        <v>150000000</v>
      </c>
      <c r="FM7" s="383">
        <f t="shared" si="42"/>
        <v>0</v>
      </c>
      <c r="FN7" s="380"/>
      <c r="FO7" s="383">
        <f>'[1]COE commited funds to date'!AT10</f>
        <v>200000000</v>
      </c>
      <c r="FP7" s="383">
        <f>'[1]COE DISB 2019'!AT15</f>
        <v>0</v>
      </c>
      <c r="FQ7" s="383">
        <f t="shared" si="43"/>
        <v>200000000</v>
      </c>
      <c r="FR7" s="380"/>
      <c r="FS7" s="383">
        <f>'[1]COE commited funds to date'!AU10</f>
        <v>75000000</v>
      </c>
      <c r="FT7" s="383">
        <f>'[1]COE DISB 2019'!AU15</f>
        <v>51000000</v>
      </c>
      <c r="FU7" s="383">
        <f t="shared" si="44"/>
        <v>24000000</v>
      </c>
      <c r="FV7" s="380"/>
      <c r="FW7" s="383">
        <f>'[1]COE commited funds to date'!AV10</f>
        <v>8700000</v>
      </c>
      <c r="FX7" s="383">
        <f>'[1]COE DISB 2019'!AV15</f>
        <v>0</v>
      </c>
      <c r="FY7" s="383">
        <f t="shared" si="45"/>
        <v>8700000</v>
      </c>
      <c r="FZ7" s="380"/>
      <c r="GA7" s="383">
        <f>'[1]COE commited funds to date'!AW10</f>
        <v>5000000</v>
      </c>
      <c r="GB7" s="383">
        <f>'[1]COE DISB 2019'!AW15</f>
        <v>0</v>
      </c>
      <c r="GC7" s="383">
        <f t="shared" si="46"/>
        <v>5000000</v>
      </c>
      <c r="GD7" s="380"/>
      <c r="GE7" s="383">
        <f>'[1]COE commited funds to date'!AX10</f>
        <v>20000000</v>
      </c>
      <c r="GF7" s="383">
        <f>'[1]COE DISB 2019'!AX15</f>
        <v>16869000</v>
      </c>
      <c r="GG7" s="383">
        <f t="shared" si="47"/>
        <v>3131000</v>
      </c>
      <c r="GH7" s="380"/>
      <c r="GI7" s="383">
        <f>'[1]COE commited funds to date'!AY10</f>
        <v>230000000</v>
      </c>
      <c r="GJ7" s="383">
        <f>'[1]COE DISB 2019'!AY15</f>
        <v>0</v>
      </c>
      <c r="GK7" s="383">
        <f t="shared" si="48"/>
        <v>230000000</v>
      </c>
      <c r="GL7" s="380"/>
      <c r="GM7" s="383">
        <f>'[1]COE commited funds to date'!AZ10</f>
        <v>116776600</v>
      </c>
      <c r="GN7" s="383">
        <f>'[1]COE DISB 2019'!AZ15</f>
        <v>0</v>
      </c>
      <c r="GO7" s="383">
        <f t="shared" si="49"/>
        <v>116776600</v>
      </c>
      <c r="GP7" s="380"/>
      <c r="GQ7" s="383">
        <f>'[1]COE commited funds to date'!BA10</f>
        <v>12000000</v>
      </c>
      <c r="GR7" s="383">
        <f>'[1]COE DISB 2019'!BA15</f>
        <v>0</v>
      </c>
      <c r="GS7" s="383">
        <f t="shared" si="50"/>
        <v>12000000</v>
      </c>
      <c r="GT7" s="380"/>
      <c r="GU7" s="383">
        <f>'[1]COE commited funds to date'!BB10</f>
        <v>5000000</v>
      </c>
      <c r="GV7" s="383">
        <f>'[1]COE DISB 2019'!BB15</f>
        <v>0</v>
      </c>
      <c r="GW7" s="383">
        <f t="shared" si="51"/>
        <v>5000000</v>
      </c>
      <c r="GX7" s="380"/>
      <c r="GY7" s="383">
        <f>'[1]COE commited funds to date'!BC10</f>
        <v>10308300</v>
      </c>
      <c r="GZ7" s="383">
        <f>'[1]COE DISB 2019'!BC15</f>
        <v>0</v>
      </c>
      <c r="HA7" s="383">
        <f t="shared" si="52"/>
        <v>10308300</v>
      </c>
      <c r="HB7" s="380"/>
      <c r="HC7" s="383">
        <f t="shared" si="53"/>
        <v>2844377865.5</v>
      </c>
      <c r="HD7" s="383">
        <f t="shared" si="53"/>
        <v>2142985715.49</v>
      </c>
      <c r="HE7" s="382">
        <f t="shared" si="54"/>
        <v>701392150.00999999</v>
      </c>
      <c r="HG7" s="383">
        <f t="shared" si="55"/>
        <v>2079615965.5</v>
      </c>
      <c r="HH7" s="383">
        <f t="shared" si="55"/>
        <v>1583158915.49</v>
      </c>
      <c r="HI7" s="383">
        <f t="shared" si="56"/>
        <v>496457050.00999999</v>
      </c>
      <c r="HK7" s="383">
        <f t="shared" si="57"/>
        <v>260000000</v>
      </c>
      <c r="HL7" s="383">
        <f t="shared" si="57"/>
        <v>260000000</v>
      </c>
      <c r="HM7" s="383">
        <f t="shared" si="58"/>
        <v>0</v>
      </c>
      <c r="HO7" s="383">
        <f t="shared" si="37"/>
        <v>977000</v>
      </c>
      <c r="HP7" s="383">
        <f t="shared" si="37"/>
        <v>977000</v>
      </c>
      <c r="HQ7" s="383">
        <f t="shared" si="59"/>
        <v>0</v>
      </c>
      <c r="HS7" s="383">
        <f t="shared" si="60"/>
        <v>89308300</v>
      </c>
      <c r="HT7" s="383">
        <f t="shared" si="60"/>
        <v>75849800</v>
      </c>
      <c r="HU7" s="383">
        <f t="shared" si="61"/>
        <v>13458500</v>
      </c>
      <c r="HW7" s="383">
        <f t="shared" si="62"/>
        <v>36700000</v>
      </c>
      <c r="HX7" s="383">
        <f t="shared" si="62"/>
        <v>8000000</v>
      </c>
      <c r="HY7" s="383">
        <f t="shared" si="63"/>
        <v>28700000</v>
      </c>
      <c r="IA7" s="387">
        <f t="shared" si="64"/>
        <v>20000000</v>
      </c>
      <c r="IB7" s="387">
        <f t="shared" si="64"/>
        <v>0</v>
      </c>
      <c r="IC7" s="387">
        <f t="shared" si="65"/>
        <v>20000000</v>
      </c>
      <c r="IE7" s="383">
        <f t="shared" si="66"/>
        <v>341776600</v>
      </c>
      <c r="IF7" s="383">
        <f t="shared" si="66"/>
        <v>201000000</v>
      </c>
      <c r="IG7" s="383">
        <f t="shared" si="67"/>
        <v>140776600</v>
      </c>
      <c r="II7" s="383">
        <f t="shared" si="68"/>
        <v>2000000</v>
      </c>
      <c r="IJ7" s="383">
        <f t="shared" si="68"/>
        <v>0</v>
      </c>
      <c r="IK7" s="383">
        <f t="shared" si="69"/>
        <v>2000000</v>
      </c>
    </row>
    <row r="8" spans="1:245" ht="19.5" customHeight="1" x14ac:dyDescent="0.25">
      <c r="A8" s="380">
        <v>5</v>
      </c>
      <c r="B8" s="380" t="s">
        <v>324</v>
      </c>
      <c r="C8" s="381" t="s">
        <v>76</v>
      </c>
      <c r="D8" s="382">
        <v>18318965.5</v>
      </c>
      <c r="E8" s="382">
        <f>'[1]COE DISB 2019'!D16</f>
        <v>18318965.5</v>
      </c>
      <c r="F8" s="383">
        <f t="shared" si="0"/>
        <v>0</v>
      </c>
      <c r="H8" s="382">
        <v>8000000</v>
      </c>
      <c r="I8" s="382">
        <f>'[1]COE DISB 2019'!E16</f>
        <v>8000000</v>
      </c>
      <c r="J8" s="383">
        <f t="shared" si="1"/>
        <v>0</v>
      </c>
      <c r="L8" s="382">
        <v>500000</v>
      </c>
      <c r="M8" s="382">
        <f>'[1]COE DISB 2019'!F16</f>
        <v>500000</v>
      </c>
      <c r="N8" s="383">
        <f t="shared" si="2"/>
        <v>0</v>
      </c>
      <c r="P8" s="353">
        <v>16000000</v>
      </c>
      <c r="Q8" s="382">
        <f>'[1]COE DISB 2019'!G16</f>
        <v>16000000</v>
      </c>
      <c r="R8" s="383">
        <f t="shared" si="3"/>
        <v>0</v>
      </c>
      <c r="T8" s="385">
        <v>819000</v>
      </c>
      <c r="U8" s="382">
        <f>'[1]COE DISB 2019'!H16</f>
        <v>819000</v>
      </c>
      <c r="V8" s="383">
        <f t="shared" si="4"/>
        <v>0</v>
      </c>
      <c r="X8" s="353">
        <v>0</v>
      </c>
      <c r="Y8" s="382">
        <f>'[1]COE DISB 2019'!I16</f>
        <v>0</v>
      </c>
      <c r="Z8" s="383">
        <f t="shared" si="5"/>
        <v>0</v>
      </c>
      <c r="AB8" s="385">
        <v>20000000</v>
      </c>
      <c r="AC8" s="382">
        <f>'[1]COE DISB 2019'!J16</f>
        <v>20000000</v>
      </c>
      <c r="AD8" s="383">
        <f t="shared" si="6"/>
        <v>0</v>
      </c>
      <c r="AF8" s="353">
        <v>0</v>
      </c>
      <c r="AG8" s="382">
        <f>'[1]COE DISB 2019'!K16</f>
        <v>0</v>
      </c>
      <c r="AH8" s="383">
        <f t="shared" si="7"/>
        <v>0</v>
      </c>
      <c r="AJ8" s="385">
        <v>10000000</v>
      </c>
      <c r="AK8" s="382">
        <f>'[1]COE DISB 2019'!L16</f>
        <v>10000000</v>
      </c>
      <c r="AL8" s="383">
        <f t="shared" si="8"/>
        <v>0</v>
      </c>
      <c r="AN8" s="382">
        <v>10000000</v>
      </c>
      <c r="AO8" s="382">
        <f>'[1]COE DISB 2019'!M16</f>
        <v>10000000</v>
      </c>
      <c r="AP8" s="383">
        <f t="shared" si="9"/>
        <v>0</v>
      </c>
      <c r="AR8" s="382">
        <v>15000000</v>
      </c>
      <c r="AS8" s="382">
        <f>'[1]COE DISB 2019'!N16</f>
        <v>15000000</v>
      </c>
      <c r="AT8" s="383">
        <f t="shared" si="10"/>
        <v>0</v>
      </c>
      <c r="AV8" s="382">
        <v>0</v>
      </c>
      <c r="AW8" s="385">
        <f>'[1]COE DISB 2019'!O16</f>
        <v>0</v>
      </c>
      <c r="AX8" s="382">
        <f t="shared" si="11"/>
        <v>0</v>
      </c>
      <c r="AZ8" s="382">
        <v>18000000</v>
      </c>
      <c r="BA8" s="382">
        <f>'[1]COE DISB 2019'!P16</f>
        <v>18000000</v>
      </c>
      <c r="BB8" s="382">
        <f t="shared" si="12"/>
        <v>0</v>
      </c>
      <c r="BD8" s="382">
        <v>23400000</v>
      </c>
      <c r="BE8" s="382">
        <f>'[1]COE DISB 2019'!Q16</f>
        <v>23400000</v>
      </c>
      <c r="BF8" s="382">
        <f t="shared" si="13"/>
        <v>0</v>
      </c>
      <c r="BH8" s="382">
        <v>0</v>
      </c>
      <c r="BI8" s="382">
        <f>'[1]COE DISB 2019'!R16</f>
        <v>0</v>
      </c>
      <c r="BJ8" s="382">
        <f t="shared" si="14"/>
        <v>0</v>
      </c>
      <c r="BL8" s="382">
        <v>43000000</v>
      </c>
      <c r="BM8" s="382">
        <f>'[1]COE DISB 2019'!S16</f>
        <v>43000000</v>
      </c>
      <c r="BN8" s="382">
        <f t="shared" si="15"/>
        <v>0</v>
      </c>
      <c r="BP8" s="382">
        <v>37160000</v>
      </c>
      <c r="BQ8" s="382">
        <f>'[1]COE DISB 2019'!T16</f>
        <v>37160000</v>
      </c>
      <c r="BR8" s="382">
        <f t="shared" si="16"/>
        <v>0</v>
      </c>
      <c r="BT8" s="382">
        <v>0</v>
      </c>
      <c r="BU8" s="382">
        <f>'[1]COE DISB 2019'!U16</f>
        <v>0</v>
      </c>
      <c r="BV8" s="382">
        <f t="shared" si="17"/>
        <v>0</v>
      </c>
      <c r="BX8" s="382">
        <v>112670000</v>
      </c>
      <c r="BY8" s="382">
        <f>'[1]COE DISB 2019'!V16</f>
        <v>112670000</v>
      </c>
      <c r="BZ8" s="382">
        <f t="shared" si="18"/>
        <v>0</v>
      </c>
      <c r="CB8" s="382">
        <f>'[1]COE commited funds to date'!W11</f>
        <v>140000000</v>
      </c>
      <c r="CC8" s="382">
        <f>'[1]COE DISB 2019'!W16</f>
        <v>140000000</v>
      </c>
      <c r="CD8" s="382">
        <f t="shared" si="19"/>
        <v>0</v>
      </c>
      <c r="CF8" s="382">
        <f>'[1]COE commited funds to date'!X11</f>
        <v>125000000</v>
      </c>
      <c r="CG8" s="382">
        <f>'[1]COE DISB 2019'!X16</f>
        <v>106250000</v>
      </c>
      <c r="CH8" s="382">
        <f t="shared" si="20"/>
        <v>18750000</v>
      </c>
      <c r="CJ8" s="382">
        <v>10000000</v>
      </c>
      <c r="CK8" s="382">
        <f>'[1]COE DISB 2019'!Y16</f>
        <v>10000000</v>
      </c>
      <c r="CL8" s="382">
        <f t="shared" si="21"/>
        <v>0</v>
      </c>
      <c r="CN8" s="382">
        <v>0</v>
      </c>
      <c r="CO8" s="382">
        <f>'[1]COE DISB 2019'!Z16</f>
        <v>0</v>
      </c>
      <c r="CP8" s="382">
        <f t="shared" si="22"/>
        <v>0</v>
      </c>
      <c r="CR8" s="382">
        <v>210000000</v>
      </c>
      <c r="CS8" s="382">
        <f>'[1]COE DISB 2019'!AA16</f>
        <v>178500000</v>
      </c>
      <c r="CT8" s="382">
        <f t="shared" si="23"/>
        <v>31500000</v>
      </c>
      <c r="CV8" s="382">
        <v>10000000</v>
      </c>
      <c r="CW8" s="382">
        <f>'[1]COE DISB 2019'!AB16</f>
        <v>10000000</v>
      </c>
      <c r="CX8" s="382">
        <f t="shared" si="24"/>
        <v>0</v>
      </c>
      <c r="CZ8" s="382">
        <f>'[1]COE commited funds to date'!AC11</f>
        <v>300000000</v>
      </c>
      <c r="DA8" s="382">
        <f>'[1]COE DISB 2019'!AC16</f>
        <v>255000000</v>
      </c>
      <c r="DB8" s="382">
        <f t="shared" si="25"/>
        <v>45000000</v>
      </c>
      <c r="DC8" s="386"/>
      <c r="DD8" s="382">
        <v>215000000</v>
      </c>
      <c r="DE8" s="382">
        <f>'[1]COE DISB 2019'!AD16</f>
        <v>182750000</v>
      </c>
      <c r="DF8" s="382">
        <f t="shared" si="26"/>
        <v>32250000</v>
      </c>
      <c r="DG8" s="386"/>
      <c r="DH8" s="382">
        <v>10000000</v>
      </c>
      <c r="DI8" s="382">
        <f>'[1]COE DISB 2019'!AE16</f>
        <v>10000000</v>
      </c>
      <c r="DJ8" s="382">
        <f t="shared" si="27"/>
        <v>0</v>
      </c>
      <c r="DK8" s="386"/>
      <c r="DL8" s="382">
        <f>'[1]COE commited funds to date'!AD11</f>
        <v>0</v>
      </c>
      <c r="DM8" s="382">
        <f>'[1]COE DISB 2019'!AF16</f>
        <v>0</v>
      </c>
      <c r="DN8" s="382">
        <f t="shared" si="28"/>
        <v>0</v>
      </c>
      <c r="DO8" s="386"/>
      <c r="DP8" s="382">
        <v>325000000</v>
      </c>
      <c r="DQ8" s="382">
        <f>'[1]COE DISB 2019'!AG16</f>
        <v>0</v>
      </c>
      <c r="DR8" s="382">
        <f t="shared" si="29"/>
        <v>325000000</v>
      </c>
      <c r="DS8" s="386"/>
      <c r="DT8" s="353">
        <v>10000000</v>
      </c>
      <c r="DU8" s="382">
        <f>'[1]COE DISB 2019'!AH16</f>
        <v>10000000</v>
      </c>
      <c r="DV8" s="382">
        <f t="shared" si="30"/>
        <v>0</v>
      </c>
      <c r="DW8" s="386"/>
      <c r="DX8" s="382">
        <f>'[1]COE commited funds to date'!AI11</f>
        <v>250000000</v>
      </c>
      <c r="DY8" s="382">
        <f>'[1]COE DISB 2019'!AI16</f>
        <v>250000000</v>
      </c>
      <c r="DZ8" s="382">
        <f t="shared" si="31"/>
        <v>0</v>
      </c>
      <c r="EA8" s="386"/>
      <c r="EB8" s="382">
        <f>'[1]COE commited funds to date'!AJ11</f>
        <v>72000000</v>
      </c>
      <c r="EC8" s="382">
        <f>'[1]COE DISB 2019'!AJ16</f>
        <v>0</v>
      </c>
      <c r="ED8" s="382">
        <f t="shared" si="32"/>
        <v>72000000</v>
      </c>
      <c r="EE8" s="386"/>
      <c r="EF8" s="382">
        <f>'[1]COE commited funds to date'!AK11</f>
        <v>8000000</v>
      </c>
      <c r="EG8" s="382">
        <f>'[1]COE DISB 2019'!AK16</f>
        <v>0</v>
      </c>
      <c r="EH8" s="382">
        <f t="shared" si="33"/>
        <v>8000000</v>
      </c>
      <c r="EI8" s="386"/>
      <c r="EJ8" s="382">
        <f>'[1]COE commited funds to date'!AL11</f>
        <v>2000000</v>
      </c>
      <c r="EK8" s="382">
        <f>'[1]COE DISB 2019'!AL16</f>
        <v>0</v>
      </c>
      <c r="EL8" s="382">
        <f t="shared" si="34"/>
        <v>2000000</v>
      </c>
      <c r="EM8" s="386"/>
      <c r="EN8" s="382">
        <f>'[1]COE commited funds to date'!AM11</f>
        <v>7000000</v>
      </c>
      <c r="EO8" s="382">
        <f>'[1]COE DISB 2019'!AM16</f>
        <v>7000000</v>
      </c>
      <c r="EP8" s="382">
        <f t="shared" si="35"/>
        <v>0</v>
      </c>
      <c r="EQ8" s="386"/>
      <c r="ER8" s="382">
        <f>'[1]COE commited funds to date'!AN11</f>
        <v>350000000</v>
      </c>
      <c r="ES8" s="382">
        <f>'[1]COE DISB 2019'!AN16</f>
        <v>318500000</v>
      </c>
      <c r="ET8" s="382">
        <f t="shared" si="36"/>
        <v>31500000</v>
      </c>
      <c r="EV8" s="383">
        <f>'[1]COE commited funds to date'!AO11</f>
        <v>371067000</v>
      </c>
      <c r="EW8" s="383">
        <f>'[1]COE DISB 2019'!AO16</f>
        <v>0</v>
      </c>
      <c r="EX8" s="383">
        <f t="shared" si="38"/>
        <v>371067000</v>
      </c>
      <c r="EY8" s="380"/>
      <c r="EZ8" s="383">
        <f>'[1]COE commited funds to date'!AQ11</f>
        <v>12000000</v>
      </c>
      <c r="FA8" s="383">
        <f>'[1]COE DISB 2019'!AP16</f>
        <v>12000000</v>
      </c>
      <c r="FB8" s="383">
        <f t="shared" si="39"/>
        <v>0</v>
      </c>
      <c r="FC8" s="380"/>
      <c r="FD8" s="383">
        <f>'[1]COE commited funds to date'!AR11</f>
        <v>10000000</v>
      </c>
      <c r="FE8" s="383">
        <f>'[1]COE DISB 2019'!AQ16</f>
        <v>0</v>
      </c>
      <c r="FF8" s="383">
        <f t="shared" si="40"/>
        <v>10000000</v>
      </c>
      <c r="FG8" s="380"/>
      <c r="FH8" s="383">
        <f>'[1]COE commited funds to date'!AP11</f>
        <v>8000000</v>
      </c>
      <c r="FI8" s="383">
        <f>'[1]COE DISB 2019'!AR16</f>
        <v>0</v>
      </c>
      <c r="FJ8" s="383">
        <f t="shared" si="41"/>
        <v>8000000</v>
      </c>
      <c r="FK8" s="383">
        <f>'[1]COE commited funds to date'!AS11</f>
        <v>150000000</v>
      </c>
      <c r="FL8" s="383">
        <f>'[1]COE DISB 2019'!AS16</f>
        <v>127500000</v>
      </c>
      <c r="FM8" s="383">
        <f t="shared" si="42"/>
        <v>22500000</v>
      </c>
      <c r="FN8" s="380"/>
      <c r="FO8" s="383">
        <f>'[1]COE commited funds to date'!AT11</f>
        <v>200000000</v>
      </c>
      <c r="FP8" s="383">
        <f>'[1]COE DISB 2019'!AT16</f>
        <v>0</v>
      </c>
      <c r="FQ8" s="383">
        <f t="shared" si="43"/>
        <v>200000000</v>
      </c>
      <c r="FR8" s="380"/>
      <c r="FS8" s="383">
        <f>'[1]COE commited funds to date'!AU11</f>
        <v>75000000</v>
      </c>
      <c r="FT8" s="383">
        <f>'[1]COE DISB 2019'!AU16</f>
        <v>51000000</v>
      </c>
      <c r="FU8" s="383">
        <f t="shared" si="44"/>
        <v>24000000</v>
      </c>
      <c r="FV8" s="380"/>
      <c r="FW8" s="383">
        <f>'[1]COE commited funds to date'!AV11</f>
        <v>8700000</v>
      </c>
      <c r="FX8" s="383">
        <f>'[1]COE DISB 2019'!AV16</f>
        <v>0</v>
      </c>
      <c r="FY8" s="383">
        <f t="shared" si="45"/>
        <v>8700000</v>
      </c>
      <c r="FZ8" s="380"/>
      <c r="GA8" s="383">
        <f>'[1]COE commited funds to date'!AW11</f>
        <v>5000000</v>
      </c>
      <c r="GB8" s="383">
        <f>'[1]COE DISB 2019'!AW16</f>
        <v>0</v>
      </c>
      <c r="GC8" s="383">
        <f t="shared" si="46"/>
        <v>5000000</v>
      </c>
      <c r="GD8" s="380"/>
      <c r="GE8" s="383">
        <f>'[1]COE commited funds to date'!AX11</f>
        <v>20000000</v>
      </c>
      <c r="GF8" s="383">
        <f>'[1]COE DISB 2019'!AX16</f>
        <v>19585000</v>
      </c>
      <c r="GG8" s="383">
        <f t="shared" si="47"/>
        <v>415000</v>
      </c>
      <c r="GH8" s="380"/>
      <c r="GI8" s="383">
        <f>'[1]COE commited funds to date'!AY11</f>
        <v>230000000</v>
      </c>
      <c r="GJ8" s="383">
        <f>'[1]COE DISB 2019'!AY16</f>
        <v>0</v>
      </c>
      <c r="GK8" s="383">
        <f t="shared" si="48"/>
        <v>230000000</v>
      </c>
      <c r="GL8" s="380"/>
      <c r="GM8" s="383">
        <f>'[1]COE commited funds to date'!AZ11</f>
        <v>116776600</v>
      </c>
      <c r="GN8" s="383">
        <f>'[1]COE DISB 2019'!AZ16</f>
        <v>0</v>
      </c>
      <c r="GO8" s="383">
        <f t="shared" si="49"/>
        <v>116776600</v>
      </c>
      <c r="GP8" s="380"/>
      <c r="GQ8" s="383">
        <f>'[1]COE commited funds to date'!BA11</f>
        <v>12000000</v>
      </c>
      <c r="GR8" s="383">
        <f>'[1]COE DISB 2019'!BA16</f>
        <v>0</v>
      </c>
      <c r="GS8" s="383">
        <f t="shared" si="50"/>
        <v>12000000</v>
      </c>
      <c r="GT8" s="380"/>
      <c r="GU8" s="383">
        <f>'[1]COE commited funds to date'!BB11</f>
        <v>5000000</v>
      </c>
      <c r="GV8" s="383">
        <f>'[1]COE DISB 2019'!BB16</f>
        <v>0</v>
      </c>
      <c r="GW8" s="383">
        <f t="shared" si="51"/>
        <v>5000000</v>
      </c>
      <c r="GX8" s="380"/>
      <c r="GY8" s="383">
        <f>'[1]COE commited funds to date'!BC11</f>
        <v>10308300</v>
      </c>
      <c r="GZ8" s="383">
        <f>'[1]COE DISB 2019'!BC16</f>
        <v>0</v>
      </c>
      <c r="HA8" s="383">
        <f t="shared" si="52"/>
        <v>10308300</v>
      </c>
      <c r="HB8" s="380"/>
      <c r="HC8" s="383">
        <f t="shared" si="53"/>
        <v>3610719865.5</v>
      </c>
      <c r="HD8" s="383">
        <f t="shared" si="53"/>
        <v>2020952965.5</v>
      </c>
      <c r="HE8" s="382">
        <f t="shared" si="54"/>
        <v>1589766900</v>
      </c>
      <c r="HG8" s="383">
        <f t="shared" si="55"/>
        <v>2079615965.5</v>
      </c>
      <c r="HH8" s="383">
        <f t="shared" si="55"/>
        <v>799048965.5</v>
      </c>
      <c r="HI8" s="383">
        <f t="shared" si="56"/>
        <v>1280567000</v>
      </c>
      <c r="HK8" s="383">
        <f t="shared" si="57"/>
        <v>1040000000</v>
      </c>
      <c r="HL8" s="383">
        <f t="shared" si="57"/>
        <v>963500000</v>
      </c>
      <c r="HM8" s="383">
        <f t="shared" si="58"/>
        <v>76500000</v>
      </c>
      <c r="HO8" s="383">
        <f t="shared" si="37"/>
        <v>1319000</v>
      </c>
      <c r="HP8" s="383">
        <f t="shared" si="37"/>
        <v>1319000</v>
      </c>
      <c r="HQ8" s="383">
        <f t="shared" si="59"/>
        <v>0</v>
      </c>
      <c r="HS8" s="383">
        <f t="shared" si="60"/>
        <v>89308300</v>
      </c>
      <c r="HT8" s="383">
        <f t="shared" si="60"/>
        <v>78585000</v>
      </c>
      <c r="HU8" s="383">
        <f t="shared" si="61"/>
        <v>10723300</v>
      </c>
      <c r="HW8" s="383">
        <f t="shared" si="62"/>
        <v>36700000</v>
      </c>
      <c r="HX8" s="383">
        <f t="shared" si="62"/>
        <v>0</v>
      </c>
      <c r="HY8" s="383">
        <f t="shared" si="63"/>
        <v>36700000</v>
      </c>
      <c r="IA8" s="387">
        <f t="shared" si="64"/>
        <v>20000000</v>
      </c>
      <c r="IB8" s="387">
        <f t="shared" si="64"/>
        <v>0</v>
      </c>
      <c r="IC8" s="387">
        <f t="shared" si="65"/>
        <v>20000000</v>
      </c>
      <c r="IE8" s="383">
        <f t="shared" si="66"/>
        <v>341776600</v>
      </c>
      <c r="IF8" s="383">
        <f t="shared" si="66"/>
        <v>178500000</v>
      </c>
      <c r="IG8" s="383">
        <f t="shared" si="67"/>
        <v>163276600</v>
      </c>
      <c r="II8" s="383">
        <f t="shared" si="68"/>
        <v>2000000</v>
      </c>
      <c r="IJ8" s="383">
        <f t="shared" si="68"/>
        <v>0</v>
      </c>
      <c r="IK8" s="383">
        <f t="shared" si="69"/>
        <v>2000000</v>
      </c>
    </row>
    <row r="9" spans="1:245" ht="19.5" customHeight="1" x14ac:dyDescent="0.25">
      <c r="A9" s="380">
        <v>6</v>
      </c>
      <c r="B9" s="380" t="s">
        <v>325</v>
      </c>
      <c r="C9" s="381" t="s">
        <v>74</v>
      </c>
      <c r="D9" s="382">
        <v>18318965.5</v>
      </c>
      <c r="E9" s="382">
        <f>'[1]COE DISB 2019'!D17</f>
        <v>18318965.600000001</v>
      </c>
      <c r="F9" s="383">
        <f t="shared" si="0"/>
        <v>-0.10000000149011612</v>
      </c>
      <c r="H9" s="382">
        <v>8000000</v>
      </c>
      <c r="I9" s="382">
        <f>'[1]COE DISB 2019'!E17</f>
        <v>8000000</v>
      </c>
      <c r="J9" s="383">
        <f t="shared" si="1"/>
        <v>0</v>
      </c>
      <c r="L9" s="382">
        <v>500000</v>
      </c>
      <c r="M9" s="382">
        <f>'[1]COE DISB 2019'!F17</f>
        <v>500000</v>
      </c>
      <c r="N9" s="383">
        <f t="shared" si="2"/>
        <v>0</v>
      </c>
      <c r="P9" s="353">
        <v>16000000</v>
      </c>
      <c r="Q9" s="382">
        <f>'[1]COE DISB 2019'!G17</f>
        <v>16000000</v>
      </c>
      <c r="R9" s="383">
        <f t="shared" si="3"/>
        <v>0</v>
      </c>
      <c r="T9" s="385">
        <v>370000</v>
      </c>
      <c r="U9" s="382">
        <f>'[1]COE DISB 2019'!H17</f>
        <v>370000</v>
      </c>
      <c r="V9" s="383">
        <f t="shared" si="4"/>
        <v>0</v>
      </c>
      <c r="X9" s="385">
        <v>4000000</v>
      </c>
      <c r="Y9" s="382">
        <f>'[1]COE DISB 2019'!I17</f>
        <v>4000000</v>
      </c>
      <c r="Z9" s="383">
        <f t="shared" si="5"/>
        <v>0</v>
      </c>
      <c r="AB9" s="385">
        <v>20000000</v>
      </c>
      <c r="AC9" s="382">
        <f>'[1]COE DISB 2019'!J17</f>
        <v>20000000</v>
      </c>
      <c r="AD9" s="383">
        <f t="shared" si="6"/>
        <v>0</v>
      </c>
      <c r="AF9" s="353">
        <v>0</v>
      </c>
      <c r="AG9" s="382">
        <f>'[1]COE DISB 2019'!K17</f>
        <v>0</v>
      </c>
      <c r="AH9" s="383">
        <f t="shared" si="7"/>
        <v>0</v>
      </c>
      <c r="AJ9" s="385">
        <v>10000000</v>
      </c>
      <c r="AK9" s="382">
        <f>'[1]COE DISB 2019'!L17</f>
        <v>10000000</v>
      </c>
      <c r="AL9" s="383">
        <f t="shared" si="8"/>
        <v>0</v>
      </c>
      <c r="AN9" s="382">
        <v>10000000</v>
      </c>
      <c r="AO9" s="382">
        <f>'[1]COE DISB 2019'!M17</f>
        <v>10000000</v>
      </c>
      <c r="AP9" s="383">
        <f t="shared" si="9"/>
        <v>0</v>
      </c>
      <c r="AR9" s="382">
        <v>15000000</v>
      </c>
      <c r="AS9" s="382">
        <f>'[1]COE DISB 2019'!N17</f>
        <v>15000000</v>
      </c>
      <c r="AT9" s="383">
        <f t="shared" si="10"/>
        <v>0</v>
      </c>
      <c r="AV9" s="382">
        <v>10000000</v>
      </c>
      <c r="AW9" s="388">
        <f>'[1]COE DISB 2019'!O17</f>
        <v>10000000</v>
      </c>
      <c r="AX9" s="382">
        <f t="shared" si="11"/>
        <v>0</v>
      </c>
      <c r="AZ9" s="382">
        <v>18000000</v>
      </c>
      <c r="BA9" s="382">
        <f>'[1]COE DISB 2019'!P17</f>
        <v>18000000</v>
      </c>
      <c r="BB9" s="382">
        <f t="shared" si="12"/>
        <v>0</v>
      </c>
      <c r="BD9" s="382">
        <v>23400000</v>
      </c>
      <c r="BE9" s="382">
        <f>'[1]COE DISB 2019'!Q17</f>
        <v>23400000</v>
      </c>
      <c r="BF9" s="382">
        <f t="shared" si="13"/>
        <v>0</v>
      </c>
      <c r="BH9" s="382">
        <v>0</v>
      </c>
      <c r="BI9" s="382">
        <f>'[1]COE DISB 2019'!R17</f>
        <v>0</v>
      </c>
      <c r="BJ9" s="382">
        <f t="shared" si="14"/>
        <v>0</v>
      </c>
      <c r="BL9" s="382">
        <v>43000000</v>
      </c>
      <c r="BM9" s="382">
        <f>'[1]COE DISB 2019'!S17</f>
        <v>43000000</v>
      </c>
      <c r="BN9" s="382">
        <f t="shared" si="15"/>
        <v>0</v>
      </c>
      <c r="BP9" s="382">
        <v>37160000</v>
      </c>
      <c r="BQ9" s="382">
        <f>'[1]COE DISB 2019'!T17</f>
        <v>37160000</v>
      </c>
      <c r="BR9" s="382">
        <f t="shared" si="16"/>
        <v>0</v>
      </c>
      <c r="BT9" s="382">
        <v>0</v>
      </c>
      <c r="BU9" s="382">
        <f>'[1]COE DISB 2019'!U17</f>
        <v>0</v>
      </c>
      <c r="BV9" s="382">
        <f t="shared" si="17"/>
        <v>0</v>
      </c>
      <c r="BX9" s="382">
        <v>112670000</v>
      </c>
      <c r="BY9" s="382">
        <f>'[1]COE DISB 2019'!V17</f>
        <v>112670000</v>
      </c>
      <c r="BZ9" s="382">
        <f t="shared" si="18"/>
        <v>0</v>
      </c>
      <c r="CB9" s="382">
        <f>'[1]COE commited funds to date'!W12</f>
        <v>0</v>
      </c>
      <c r="CC9" s="382">
        <f>'[1]COE DISB 2019'!W17</f>
        <v>0</v>
      </c>
      <c r="CD9" s="382">
        <f t="shared" si="19"/>
        <v>0</v>
      </c>
      <c r="CF9" s="382">
        <f>'[1]COE commited funds to date'!X12</f>
        <v>125000000</v>
      </c>
      <c r="CG9" s="382">
        <f>'[1]COE DISB 2019'!X17</f>
        <v>125002549.98999999</v>
      </c>
      <c r="CH9" s="382">
        <f t="shared" si="20"/>
        <v>-2549.9899999946356</v>
      </c>
      <c r="CJ9" s="382">
        <v>10000000</v>
      </c>
      <c r="CK9" s="382">
        <f>'[1]COE DISB 2019'!Y17</f>
        <v>10000000</v>
      </c>
      <c r="CL9" s="382">
        <f t="shared" si="21"/>
        <v>0</v>
      </c>
      <c r="CN9" s="382">
        <v>0</v>
      </c>
      <c r="CO9" s="382">
        <f>'[1]COE DISB 2019'!Z17</f>
        <v>0</v>
      </c>
      <c r="CP9" s="382">
        <f t="shared" si="22"/>
        <v>0</v>
      </c>
      <c r="CR9" s="382">
        <v>210000000</v>
      </c>
      <c r="CS9" s="382">
        <f>'[1]COE DISB 2019'!AA17</f>
        <v>210000000</v>
      </c>
      <c r="CT9" s="382">
        <f t="shared" si="23"/>
        <v>0</v>
      </c>
      <c r="CV9" s="382">
        <v>10000000</v>
      </c>
      <c r="CW9" s="382">
        <f>'[1]COE DISB 2019'!AB17</f>
        <v>10000000</v>
      </c>
      <c r="CX9" s="382">
        <f t="shared" si="24"/>
        <v>0</v>
      </c>
      <c r="CZ9" s="382">
        <f>'[1]COE commited funds to date'!AC12</f>
        <v>150000000</v>
      </c>
      <c r="DA9" s="382">
        <f>'[1]COE DISB 2019'!AC17</f>
        <v>150000000</v>
      </c>
      <c r="DB9" s="382">
        <f t="shared" si="25"/>
        <v>0</v>
      </c>
      <c r="DC9" s="386"/>
      <c r="DD9" s="382">
        <v>215000000</v>
      </c>
      <c r="DE9" s="382">
        <f>'[1]COE DISB 2019'!AD17</f>
        <v>215000000</v>
      </c>
      <c r="DF9" s="382">
        <f t="shared" si="26"/>
        <v>0</v>
      </c>
      <c r="DG9" s="386"/>
      <c r="DH9" s="382">
        <v>10000000</v>
      </c>
      <c r="DI9" s="382">
        <f>'[1]COE DISB 2019'!AE17</f>
        <v>10000000</v>
      </c>
      <c r="DJ9" s="382">
        <f t="shared" si="27"/>
        <v>0</v>
      </c>
      <c r="DK9" s="386"/>
      <c r="DL9" s="382">
        <f>'[1]COE commited funds to date'!AD12</f>
        <v>70000000</v>
      </c>
      <c r="DM9" s="382">
        <f>'[1]COE DISB 2019'!AF17</f>
        <v>70000000</v>
      </c>
      <c r="DN9" s="382">
        <f t="shared" si="28"/>
        <v>0</v>
      </c>
      <c r="DO9" s="386"/>
      <c r="DP9" s="382">
        <v>325000000</v>
      </c>
      <c r="DQ9" s="382">
        <f>'[1]COE DISB 2019'!AG17</f>
        <v>276250000</v>
      </c>
      <c r="DR9" s="382">
        <f t="shared" si="29"/>
        <v>48750000</v>
      </c>
      <c r="DS9" s="386"/>
      <c r="DT9" s="353">
        <v>10000000</v>
      </c>
      <c r="DU9" s="382">
        <f>'[1]COE DISB 2019'!AH17</f>
        <v>10000000</v>
      </c>
      <c r="DV9" s="382">
        <f t="shared" si="30"/>
        <v>0</v>
      </c>
      <c r="DW9" s="386"/>
      <c r="DX9" s="382">
        <f>'[1]COE commited funds to date'!AI12</f>
        <v>450000000</v>
      </c>
      <c r="DY9" s="382">
        <f>'[1]COE DISB 2019'!AI17</f>
        <v>450000000</v>
      </c>
      <c r="DZ9" s="382">
        <f t="shared" si="31"/>
        <v>0</v>
      </c>
      <c r="EA9" s="386"/>
      <c r="EB9" s="382">
        <f>'[1]COE commited funds to date'!AJ12</f>
        <v>72000000</v>
      </c>
      <c r="EC9" s="382">
        <f>'[1]COE DISB 2019'!AJ17</f>
        <v>61200000</v>
      </c>
      <c r="ED9" s="382">
        <f t="shared" si="32"/>
        <v>10800000</v>
      </c>
      <c r="EE9" s="386"/>
      <c r="EF9" s="382">
        <f>'[1]COE commited funds to date'!AK12</f>
        <v>8000000</v>
      </c>
      <c r="EG9" s="382">
        <f>'[1]COE DISB 2019'!AK17</f>
        <v>6800000</v>
      </c>
      <c r="EH9" s="382">
        <f t="shared" si="33"/>
        <v>1200000</v>
      </c>
      <c r="EI9" s="386"/>
      <c r="EJ9" s="382">
        <f>'[1]COE commited funds to date'!AL12</f>
        <v>2000000</v>
      </c>
      <c r="EK9" s="382">
        <f>'[1]COE DISB 2019'!AL17</f>
        <v>0</v>
      </c>
      <c r="EL9" s="382">
        <f t="shared" si="34"/>
        <v>2000000</v>
      </c>
      <c r="EM9" s="386"/>
      <c r="EN9" s="382">
        <f>'[1]COE commited funds to date'!AM12</f>
        <v>7000000</v>
      </c>
      <c r="EO9" s="382">
        <f>'[1]COE DISB 2019'!AM17</f>
        <v>7000000</v>
      </c>
      <c r="EP9" s="382">
        <f t="shared" si="35"/>
        <v>0</v>
      </c>
      <c r="EQ9" s="386"/>
      <c r="ER9" s="382">
        <f>'[1]COE commited funds to date'!AN12</f>
        <v>675000000</v>
      </c>
      <c r="ES9" s="382">
        <f>'[1]COE DISB 2019'!AN17</f>
        <v>667500000</v>
      </c>
      <c r="ET9" s="382">
        <f t="shared" si="36"/>
        <v>7500000</v>
      </c>
      <c r="EV9" s="383">
        <f>'[1]COE commited funds to date'!AO12</f>
        <v>371067000</v>
      </c>
      <c r="EW9" s="383">
        <f>'[1]COE DISB 2019'!AO17</f>
        <v>0</v>
      </c>
      <c r="EX9" s="383">
        <f t="shared" si="38"/>
        <v>371067000</v>
      </c>
      <c r="EY9" s="380"/>
      <c r="EZ9" s="383">
        <f>'[1]COE commited funds to date'!AQ12</f>
        <v>12000000</v>
      </c>
      <c r="FA9" s="383">
        <f>'[1]COE DISB 2019'!AP17</f>
        <v>17430</v>
      </c>
      <c r="FB9" s="383">
        <f t="shared" si="39"/>
        <v>11982570</v>
      </c>
      <c r="FC9" s="380"/>
      <c r="FD9" s="383">
        <f>'[1]COE commited funds to date'!AR12</f>
        <v>10000000</v>
      </c>
      <c r="FE9" s="383">
        <f>'[1]COE DISB 2019'!AQ17</f>
        <v>0</v>
      </c>
      <c r="FF9" s="383">
        <f t="shared" si="40"/>
        <v>10000000</v>
      </c>
      <c r="FG9" s="380"/>
      <c r="FH9" s="383">
        <f>'[1]COE commited funds to date'!AP12</f>
        <v>8000000</v>
      </c>
      <c r="FI9" s="383">
        <f>'[1]COE DISB 2019'!AR17</f>
        <v>0</v>
      </c>
      <c r="FJ9" s="383">
        <f t="shared" si="41"/>
        <v>8000000</v>
      </c>
      <c r="FK9" s="383">
        <f>'[1]COE commited funds to date'!AS12</f>
        <v>150000000</v>
      </c>
      <c r="FL9" s="383">
        <f>'[1]COE DISB 2019'!AS17</f>
        <v>127500000</v>
      </c>
      <c r="FM9" s="383">
        <f t="shared" si="42"/>
        <v>22500000</v>
      </c>
      <c r="FN9" s="380"/>
      <c r="FO9" s="383">
        <f>'[1]COE commited funds to date'!AT12</f>
        <v>200000000</v>
      </c>
      <c r="FP9" s="383">
        <f>'[1]COE DISB 2019'!AT17</f>
        <v>0</v>
      </c>
      <c r="FQ9" s="383">
        <f t="shared" si="43"/>
        <v>200000000</v>
      </c>
      <c r="FR9" s="380"/>
      <c r="FS9" s="383">
        <f>'[1]COE commited funds to date'!AU12</f>
        <v>75000000</v>
      </c>
      <c r="FT9" s="383">
        <f>'[1]COE DISB 2019'!AU17</f>
        <v>50250000</v>
      </c>
      <c r="FU9" s="383">
        <f t="shared" si="44"/>
        <v>24750000</v>
      </c>
      <c r="FV9" s="380"/>
      <c r="FW9" s="383">
        <f>'[1]COE commited funds to date'!AV12</f>
        <v>8700000</v>
      </c>
      <c r="FX9" s="383">
        <f>'[1]COE DISB 2019'!AV17</f>
        <v>0</v>
      </c>
      <c r="FY9" s="383">
        <f t="shared" si="45"/>
        <v>8700000</v>
      </c>
      <c r="FZ9" s="380"/>
      <c r="GA9" s="383">
        <f>'[1]COE commited funds to date'!AW12</f>
        <v>5000000</v>
      </c>
      <c r="GB9" s="383">
        <f>'[1]COE DISB 2019'!AW17</f>
        <v>0</v>
      </c>
      <c r="GC9" s="383">
        <f t="shared" si="46"/>
        <v>5000000</v>
      </c>
      <c r="GD9" s="380"/>
      <c r="GE9" s="383">
        <f>'[1]COE commited funds to date'!AX12</f>
        <v>20000000</v>
      </c>
      <c r="GF9" s="383">
        <f>'[1]COE DISB 2019'!AX17</f>
        <v>0</v>
      </c>
      <c r="GG9" s="383">
        <f t="shared" si="47"/>
        <v>20000000</v>
      </c>
      <c r="GH9" s="380"/>
      <c r="GI9" s="383">
        <f>'[1]COE commited funds to date'!AY12</f>
        <v>230000000</v>
      </c>
      <c r="GJ9" s="383">
        <f>'[1]COE DISB 2019'!AY17</f>
        <v>0</v>
      </c>
      <c r="GK9" s="383">
        <f t="shared" si="48"/>
        <v>230000000</v>
      </c>
      <c r="GL9" s="380"/>
      <c r="GM9" s="383">
        <f>'[1]COE commited funds to date'!AZ12</f>
        <v>116776600</v>
      </c>
      <c r="GN9" s="383">
        <f>'[1]COE DISB 2019'!AZ17</f>
        <v>0</v>
      </c>
      <c r="GO9" s="383">
        <f t="shared" si="49"/>
        <v>116776600</v>
      </c>
      <c r="GP9" s="380"/>
      <c r="GQ9" s="383">
        <f>'[1]COE commited funds to date'!BA12</f>
        <v>12000000</v>
      </c>
      <c r="GR9" s="383">
        <f>'[1]COE DISB 2019'!BA17</f>
        <v>0</v>
      </c>
      <c r="GS9" s="383">
        <f t="shared" si="50"/>
        <v>12000000</v>
      </c>
      <c r="GT9" s="380"/>
      <c r="GU9" s="383">
        <f>'[1]COE commited funds to date'!BB12</f>
        <v>5000000</v>
      </c>
      <c r="GV9" s="383">
        <f>'[1]COE DISB 2019'!BB17</f>
        <v>0</v>
      </c>
      <c r="GW9" s="383">
        <f t="shared" si="51"/>
        <v>5000000</v>
      </c>
      <c r="GX9" s="380"/>
      <c r="GY9" s="383">
        <f>'[1]COE commited funds to date'!BC12</f>
        <v>10308300</v>
      </c>
      <c r="GZ9" s="383">
        <f>'[1]COE DISB 2019'!BC17</f>
        <v>0</v>
      </c>
      <c r="HA9" s="383">
        <f t="shared" si="52"/>
        <v>10308300</v>
      </c>
      <c r="HB9" s="380"/>
      <c r="HC9" s="383">
        <f t="shared" si="53"/>
        <v>3929270865.5</v>
      </c>
      <c r="HD9" s="383">
        <f t="shared" si="53"/>
        <v>2802938945.5900002</v>
      </c>
      <c r="HE9" s="382">
        <f t="shared" si="54"/>
        <v>1126331919.9099998</v>
      </c>
      <c r="HG9" s="383">
        <f t="shared" si="55"/>
        <v>2079615965.5</v>
      </c>
      <c r="HH9" s="383">
        <f t="shared" si="55"/>
        <v>1219001515.5900002</v>
      </c>
      <c r="HI9" s="383">
        <f t="shared" si="56"/>
        <v>860614449.90999985</v>
      </c>
      <c r="HK9" s="383">
        <f t="shared" si="57"/>
        <v>1345000000</v>
      </c>
      <c r="HL9" s="383">
        <f t="shared" si="57"/>
        <v>1337500000</v>
      </c>
      <c r="HM9" s="383">
        <f t="shared" si="58"/>
        <v>7500000</v>
      </c>
      <c r="HO9" s="383">
        <f t="shared" si="37"/>
        <v>870000</v>
      </c>
      <c r="HP9" s="383">
        <f t="shared" si="37"/>
        <v>870000</v>
      </c>
      <c r="HQ9" s="383">
        <f t="shared" si="59"/>
        <v>0</v>
      </c>
      <c r="HS9" s="383">
        <f t="shared" si="60"/>
        <v>89308300</v>
      </c>
      <c r="HT9" s="383">
        <f t="shared" si="60"/>
        <v>47017430</v>
      </c>
      <c r="HU9" s="383">
        <f t="shared" si="61"/>
        <v>42290870</v>
      </c>
      <c r="HW9" s="383">
        <f t="shared" si="62"/>
        <v>36700000</v>
      </c>
      <c r="HX9" s="383">
        <f t="shared" si="62"/>
        <v>6800000</v>
      </c>
      <c r="HY9" s="383">
        <f t="shared" si="63"/>
        <v>29900000</v>
      </c>
      <c r="IA9" s="387">
        <f t="shared" si="64"/>
        <v>20000000</v>
      </c>
      <c r="IB9" s="387">
        <f t="shared" si="64"/>
        <v>0</v>
      </c>
      <c r="IC9" s="387">
        <f t="shared" si="65"/>
        <v>20000000</v>
      </c>
      <c r="IE9" s="383">
        <f t="shared" si="66"/>
        <v>341776600</v>
      </c>
      <c r="IF9" s="383">
        <f t="shared" si="66"/>
        <v>177750000</v>
      </c>
      <c r="IG9" s="383">
        <f t="shared" si="67"/>
        <v>164026600</v>
      </c>
      <c r="II9" s="383">
        <f t="shared" si="68"/>
        <v>2000000</v>
      </c>
      <c r="IJ9" s="383">
        <f t="shared" si="68"/>
        <v>0</v>
      </c>
      <c r="IK9" s="383">
        <f t="shared" si="69"/>
        <v>2000000</v>
      </c>
    </row>
    <row r="10" spans="1:245" ht="19.5" customHeight="1" x14ac:dyDescent="0.25">
      <c r="A10" s="380">
        <v>7</v>
      </c>
      <c r="B10" s="380" t="s">
        <v>326</v>
      </c>
      <c r="C10" s="42" t="s">
        <v>63</v>
      </c>
      <c r="D10" s="382">
        <v>18318965.5</v>
      </c>
      <c r="E10" s="382">
        <f>'[1]COE DISB 2019'!D18</f>
        <v>18318965.5</v>
      </c>
      <c r="F10" s="383">
        <f t="shared" si="0"/>
        <v>0</v>
      </c>
      <c r="H10" s="382">
        <v>8000000</v>
      </c>
      <c r="I10" s="382">
        <f>'[1]COE DISB 2019'!E18</f>
        <v>8000000</v>
      </c>
      <c r="J10" s="383">
        <f t="shared" si="1"/>
        <v>0</v>
      </c>
      <c r="L10" s="382">
        <v>500000</v>
      </c>
      <c r="M10" s="382">
        <f>'[1]COE DISB 2019'!F18</f>
        <v>500000</v>
      </c>
      <c r="N10" s="383">
        <f t="shared" si="2"/>
        <v>0</v>
      </c>
      <c r="P10" s="353">
        <v>16000000</v>
      </c>
      <c r="Q10" s="382">
        <f>'[1]COE DISB 2019'!G18</f>
        <v>16000000</v>
      </c>
      <c r="R10" s="383">
        <f t="shared" si="3"/>
        <v>0</v>
      </c>
      <c r="T10" s="385">
        <v>1765000</v>
      </c>
      <c r="U10" s="382">
        <f>'[1]COE DISB 2019'!H18</f>
        <v>1765000</v>
      </c>
      <c r="V10" s="383">
        <f t="shared" si="4"/>
        <v>0</v>
      </c>
      <c r="X10" s="353">
        <v>0</v>
      </c>
      <c r="Y10" s="382">
        <f>'[1]COE DISB 2019'!I18</f>
        <v>0</v>
      </c>
      <c r="Z10" s="383">
        <f t="shared" si="5"/>
        <v>0</v>
      </c>
      <c r="AB10" s="385">
        <v>20000000</v>
      </c>
      <c r="AC10" s="382">
        <f>'[1]COE DISB 2019'!J18</f>
        <v>20000000</v>
      </c>
      <c r="AD10" s="383">
        <f t="shared" si="6"/>
        <v>0</v>
      </c>
      <c r="AF10" s="353">
        <v>0</v>
      </c>
      <c r="AG10" s="382">
        <f>'[1]COE DISB 2019'!K18</f>
        <v>0</v>
      </c>
      <c r="AH10" s="383">
        <f t="shared" si="7"/>
        <v>0</v>
      </c>
      <c r="AJ10" s="385">
        <v>10000000</v>
      </c>
      <c r="AK10" s="382">
        <f>'[1]COE DISB 2019'!L18</f>
        <v>10000000</v>
      </c>
      <c r="AL10" s="383">
        <f t="shared" si="8"/>
        <v>0</v>
      </c>
      <c r="AN10" s="382">
        <v>10000000</v>
      </c>
      <c r="AO10" s="382">
        <f>'[1]COE DISB 2019'!M18</f>
        <v>10000000</v>
      </c>
      <c r="AP10" s="383">
        <f t="shared" si="9"/>
        <v>0</v>
      </c>
      <c r="AR10" s="382">
        <v>15000000</v>
      </c>
      <c r="AS10" s="382">
        <f>'[1]COE DISB 2019'!N18</f>
        <v>15000000</v>
      </c>
      <c r="AT10" s="383">
        <f t="shared" si="10"/>
        <v>0</v>
      </c>
      <c r="AV10" s="382">
        <v>0</v>
      </c>
      <c r="AW10" s="385">
        <f>'[1]COE DISB 2019'!O18</f>
        <v>0</v>
      </c>
      <c r="AX10" s="382">
        <f t="shared" si="11"/>
        <v>0</v>
      </c>
      <c r="AZ10" s="382">
        <v>18000000</v>
      </c>
      <c r="BA10" s="382">
        <f>'[1]COE DISB 2019'!P18</f>
        <v>18000000</v>
      </c>
      <c r="BB10" s="382">
        <f t="shared" si="12"/>
        <v>0</v>
      </c>
      <c r="BD10" s="382">
        <v>23400000</v>
      </c>
      <c r="BE10" s="382">
        <f>'[1]COE DISB 2019'!Q18</f>
        <v>23400000</v>
      </c>
      <c r="BF10" s="382">
        <f t="shared" si="13"/>
        <v>0</v>
      </c>
      <c r="BH10" s="382">
        <v>0</v>
      </c>
      <c r="BI10" s="382">
        <f>'[1]COE DISB 2019'!R18</f>
        <v>0</v>
      </c>
      <c r="BJ10" s="382">
        <f t="shared" si="14"/>
        <v>0</v>
      </c>
      <c r="BL10" s="382">
        <v>43000000</v>
      </c>
      <c r="BM10" s="382">
        <f>'[1]COE DISB 2019'!S18</f>
        <v>43000000</v>
      </c>
      <c r="BN10" s="382">
        <f t="shared" si="15"/>
        <v>0</v>
      </c>
      <c r="BP10" s="382">
        <v>37160000</v>
      </c>
      <c r="BQ10" s="382">
        <f>'[1]COE DISB 2019'!T18</f>
        <v>37160000</v>
      </c>
      <c r="BR10" s="382">
        <f t="shared" si="16"/>
        <v>0</v>
      </c>
      <c r="BT10" s="382">
        <v>75059969.189999998</v>
      </c>
      <c r="BU10" s="382">
        <f>'[1]COE DISB 2019'!U18</f>
        <v>75059969.189999998</v>
      </c>
      <c r="BV10" s="382">
        <f t="shared" si="17"/>
        <v>0</v>
      </c>
      <c r="BX10" s="382">
        <v>112670000</v>
      </c>
      <c r="BY10" s="382">
        <f>'[1]COE DISB 2019'!V18</f>
        <v>112670000</v>
      </c>
      <c r="BZ10" s="382">
        <f t="shared" si="18"/>
        <v>0</v>
      </c>
      <c r="CB10" s="382">
        <v>21250000</v>
      </c>
      <c r="CC10" s="382">
        <f>'[1]COE DISB 2019'!W18</f>
        <v>21250000</v>
      </c>
      <c r="CD10" s="382">
        <f t="shared" si="19"/>
        <v>0</v>
      </c>
      <c r="CF10" s="382">
        <f>'[1]COE commited funds to date'!X13</f>
        <v>125000000</v>
      </c>
      <c r="CG10" s="382">
        <f>'[1]COE DISB 2019'!X18</f>
        <v>125000000</v>
      </c>
      <c r="CH10" s="382">
        <f t="shared" si="20"/>
        <v>0</v>
      </c>
      <c r="CJ10" s="382">
        <v>10000000</v>
      </c>
      <c r="CK10" s="382">
        <f>'[1]COE DISB 2019'!Y18</f>
        <v>10000000</v>
      </c>
      <c r="CL10" s="382">
        <f t="shared" si="21"/>
        <v>0</v>
      </c>
      <c r="CN10" s="382">
        <v>660000000</v>
      </c>
      <c r="CO10" s="382">
        <f>'[1]COE DISB 2019'!Z18</f>
        <v>660000000</v>
      </c>
      <c r="CP10" s="382">
        <f t="shared" si="22"/>
        <v>0</v>
      </c>
      <c r="CR10" s="382">
        <v>210000000</v>
      </c>
      <c r="CS10" s="382">
        <f>'[1]COE DISB 2019'!AA18</f>
        <v>210000000</v>
      </c>
      <c r="CT10" s="382">
        <f t="shared" si="23"/>
        <v>0</v>
      </c>
      <c r="CV10" s="382">
        <v>10000000</v>
      </c>
      <c r="CW10" s="382">
        <f>'[1]COE DISB 2019'!AB18</f>
        <v>10000000</v>
      </c>
      <c r="CX10" s="382">
        <f t="shared" si="24"/>
        <v>0</v>
      </c>
      <c r="CZ10" s="382">
        <f>'[1]COE commited funds to date'!AC13</f>
        <v>50000000</v>
      </c>
      <c r="DA10" s="382">
        <f>'[1]COE DISB 2019'!AC18</f>
        <v>50000000</v>
      </c>
      <c r="DB10" s="382">
        <f t="shared" si="25"/>
        <v>0</v>
      </c>
      <c r="DC10" s="386"/>
      <c r="DD10" s="382">
        <v>215000000</v>
      </c>
      <c r="DE10" s="382">
        <f>'[1]COE DISB 2019'!AD18</f>
        <v>120400000</v>
      </c>
      <c r="DF10" s="382">
        <f t="shared" si="26"/>
        <v>94600000</v>
      </c>
      <c r="DG10" s="386"/>
      <c r="DH10" s="382">
        <v>10000000</v>
      </c>
      <c r="DI10" s="382">
        <f>'[1]COE DISB 2019'!AE18</f>
        <v>10000000</v>
      </c>
      <c r="DJ10" s="382">
        <f t="shared" si="27"/>
        <v>0</v>
      </c>
      <c r="DK10" s="386"/>
      <c r="DL10" s="382">
        <f>'[1]COE commited funds to date'!AD13</f>
        <v>75000000</v>
      </c>
      <c r="DM10" s="382">
        <f>'[1]COE DISB 2019'!AF18</f>
        <v>75000000</v>
      </c>
      <c r="DN10" s="382">
        <f t="shared" si="28"/>
        <v>0</v>
      </c>
      <c r="DO10" s="386"/>
      <c r="DP10" s="382">
        <v>325000000</v>
      </c>
      <c r="DQ10" s="382">
        <f>'[1]COE DISB 2019'!AG18</f>
        <v>182000000</v>
      </c>
      <c r="DR10" s="382">
        <f t="shared" si="29"/>
        <v>143000000</v>
      </c>
      <c r="DS10" s="386"/>
      <c r="DT10" s="353">
        <v>10000000</v>
      </c>
      <c r="DU10" s="382">
        <f>'[1]COE DISB 2019'!AH18</f>
        <v>10000000</v>
      </c>
      <c r="DV10" s="382">
        <f t="shared" si="30"/>
        <v>0</v>
      </c>
      <c r="DW10" s="386"/>
      <c r="DX10" s="382">
        <f>'[1]COE commited funds to date'!AI13</f>
        <v>70000000</v>
      </c>
      <c r="DY10" s="382">
        <f>'[1]COE DISB 2019'!AI18</f>
        <v>70000000</v>
      </c>
      <c r="DZ10" s="382">
        <f t="shared" si="31"/>
        <v>0</v>
      </c>
      <c r="EA10" s="386"/>
      <c r="EB10" s="382">
        <f>'[1]COE commited funds to date'!AJ13</f>
        <v>72000000</v>
      </c>
      <c r="EC10" s="382">
        <f>'[1]COE DISB 2019'!AJ18</f>
        <v>0</v>
      </c>
      <c r="ED10" s="382">
        <f t="shared" si="32"/>
        <v>72000000</v>
      </c>
      <c r="EE10" s="386"/>
      <c r="EF10" s="382">
        <f>'[1]COE commited funds to date'!AK13</f>
        <v>8000000</v>
      </c>
      <c r="EG10" s="382">
        <f>'[1]COE DISB 2019'!AK18</f>
        <v>0</v>
      </c>
      <c r="EH10" s="382">
        <f t="shared" si="33"/>
        <v>8000000</v>
      </c>
      <c r="EI10" s="386"/>
      <c r="EJ10" s="382">
        <f>'[1]COE commited funds to date'!AL13</f>
        <v>2000000</v>
      </c>
      <c r="EK10" s="382">
        <f>'[1]COE DISB 2019'!AL18</f>
        <v>0</v>
      </c>
      <c r="EL10" s="382">
        <f t="shared" si="34"/>
        <v>2000000</v>
      </c>
      <c r="EM10" s="386"/>
      <c r="EN10" s="382">
        <f>'[1]COE commited funds to date'!AM13</f>
        <v>7000000</v>
      </c>
      <c r="EO10" s="382">
        <f>'[1]COE DISB 2019'!AM18</f>
        <v>6912200</v>
      </c>
      <c r="EP10" s="382">
        <f t="shared" si="35"/>
        <v>87800</v>
      </c>
      <c r="EQ10" s="386"/>
      <c r="ER10" s="382">
        <f>'[1]COE commited funds to date'!AN13</f>
        <v>1650000000</v>
      </c>
      <c r="ES10" s="382">
        <f>'[1]COE DISB 2019'!AN18</f>
        <v>1635000000</v>
      </c>
      <c r="ET10" s="382">
        <f t="shared" si="36"/>
        <v>15000000</v>
      </c>
      <c r="EV10" s="383">
        <f>'[1]COE commited funds to date'!AO13</f>
        <v>371067000</v>
      </c>
      <c r="EW10" s="383">
        <f>'[1]COE DISB 2019'!AO18</f>
        <v>0</v>
      </c>
      <c r="EX10" s="383">
        <f t="shared" si="38"/>
        <v>371067000</v>
      </c>
      <c r="EY10" s="380"/>
      <c r="EZ10" s="383">
        <f>'[1]COE commited funds to date'!AQ13</f>
        <v>12000000</v>
      </c>
      <c r="FA10" s="383">
        <f>'[1]COE DISB 2019'!AP18</f>
        <v>12000000</v>
      </c>
      <c r="FB10" s="383">
        <f t="shared" si="39"/>
        <v>0</v>
      </c>
      <c r="FC10" s="380"/>
      <c r="FD10" s="383">
        <f>'[1]COE commited funds to date'!AR13</f>
        <v>10000000</v>
      </c>
      <c r="FE10" s="383">
        <f>'[1]COE DISB 2019'!AQ18</f>
        <v>0</v>
      </c>
      <c r="FF10" s="383">
        <f t="shared" si="40"/>
        <v>10000000</v>
      </c>
      <c r="FG10" s="380"/>
      <c r="FH10" s="383">
        <f>'[1]COE commited funds to date'!AP13</f>
        <v>8000000</v>
      </c>
      <c r="FI10" s="383">
        <f>'[1]COE DISB 2019'!AR18</f>
        <v>0</v>
      </c>
      <c r="FJ10" s="383">
        <f t="shared" si="41"/>
        <v>8000000</v>
      </c>
      <c r="FK10" s="383">
        <f>'[1]COE commited funds to date'!AS13</f>
        <v>0</v>
      </c>
      <c r="FL10" s="383">
        <f>'[1]COE DISB 2019'!AS18</f>
        <v>0</v>
      </c>
      <c r="FM10" s="383">
        <f t="shared" si="42"/>
        <v>0</v>
      </c>
      <c r="FN10" s="380"/>
      <c r="FO10" s="383">
        <f>'[1]COE commited funds to date'!AT13</f>
        <v>200000000</v>
      </c>
      <c r="FP10" s="383">
        <f>'[1]COE DISB 2019'!AT18</f>
        <v>0</v>
      </c>
      <c r="FQ10" s="383">
        <f t="shared" si="43"/>
        <v>200000000</v>
      </c>
      <c r="FR10" s="380"/>
      <c r="FS10" s="383">
        <f>'[1]COE commited funds to date'!AU13</f>
        <v>75000000</v>
      </c>
      <c r="FT10" s="383">
        <f>'[1]COE DISB 2019'!AU18</f>
        <v>0</v>
      </c>
      <c r="FU10" s="383">
        <f t="shared" si="44"/>
        <v>75000000</v>
      </c>
      <c r="FV10" s="380"/>
      <c r="FW10" s="383">
        <f>'[1]COE commited funds to date'!AV13</f>
        <v>8700000</v>
      </c>
      <c r="FX10" s="383">
        <f>'[1]COE DISB 2019'!AV18</f>
        <v>0</v>
      </c>
      <c r="FY10" s="383">
        <f t="shared" si="45"/>
        <v>8700000</v>
      </c>
      <c r="FZ10" s="380"/>
      <c r="GA10" s="383">
        <f>'[1]COE commited funds to date'!AW13</f>
        <v>5000000</v>
      </c>
      <c r="GB10" s="383">
        <f>'[1]COE DISB 2019'!AW18</f>
        <v>0</v>
      </c>
      <c r="GC10" s="383">
        <f t="shared" si="46"/>
        <v>5000000</v>
      </c>
      <c r="GD10" s="380"/>
      <c r="GE10" s="383">
        <f>'[1]COE commited funds to date'!AX13</f>
        <v>20000000</v>
      </c>
      <c r="GF10" s="383">
        <f>'[1]COE DISB 2019'!AX18</f>
        <v>4502000</v>
      </c>
      <c r="GG10" s="383">
        <f t="shared" si="47"/>
        <v>15498000</v>
      </c>
      <c r="GH10" s="380"/>
      <c r="GI10" s="383">
        <f>'[1]COE commited funds to date'!AY13</f>
        <v>230000000</v>
      </c>
      <c r="GJ10" s="383">
        <f>'[1]COE DISB 2019'!AY18</f>
        <v>0</v>
      </c>
      <c r="GK10" s="383">
        <f t="shared" si="48"/>
        <v>230000000</v>
      </c>
      <c r="GL10" s="380"/>
      <c r="GM10" s="383">
        <f>'[1]COE commited funds to date'!AZ13</f>
        <v>116776600</v>
      </c>
      <c r="GN10" s="383">
        <f>'[1]COE DISB 2019'!AZ18</f>
        <v>0</v>
      </c>
      <c r="GO10" s="383">
        <f t="shared" si="49"/>
        <v>116776600</v>
      </c>
      <c r="GP10" s="380"/>
      <c r="GQ10" s="383">
        <f>'[1]COE commited funds to date'!BA13</f>
        <v>12000000</v>
      </c>
      <c r="GR10" s="383">
        <f>'[1]COE DISB 2019'!BA18</f>
        <v>0</v>
      </c>
      <c r="GS10" s="383">
        <f t="shared" si="50"/>
        <v>12000000</v>
      </c>
      <c r="GT10" s="380"/>
      <c r="GU10" s="383">
        <f>'[1]COE commited funds to date'!BB13</f>
        <v>5000000</v>
      </c>
      <c r="GV10" s="383">
        <f>'[1]COE DISB 2019'!BB18</f>
        <v>0</v>
      </c>
      <c r="GW10" s="383">
        <f t="shared" si="51"/>
        <v>5000000</v>
      </c>
      <c r="GX10" s="380"/>
      <c r="GY10" s="383">
        <f>'[1]COE commited funds to date'!BC13</f>
        <v>10308300</v>
      </c>
      <c r="GZ10" s="383">
        <f>'[1]COE DISB 2019'!BC18</f>
        <v>0</v>
      </c>
      <c r="HA10" s="383">
        <f t="shared" si="52"/>
        <v>10308300</v>
      </c>
      <c r="HB10" s="380"/>
      <c r="HC10" s="383">
        <f t="shared" si="53"/>
        <v>5022975834.6900005</v>
      </c>
      <c r="HD10" s="383">
        <f t="shared" si="53"/>
        <v>3620938134.6900001</v>
      </c>
      <c r="HE10" s="382">
        <f t="shared" si="54"/>
        <v>1402037700.0000005</v>
      </c>
      <c r="HG10" s="383">
        <f t="shared" si="55"/>
        <v>2079615965.5</v>
      </c>
      <c r="HH10" s="383">
        <f t="shared" si="55"/>
        <v>968948965.5</v>
      </c>
      <c r="HI10" s="383">
        <f t="shared" si="56"/>
        <v>1110667000</v>
      </c>
      <c r="HK10" s="383">
        <f t="shared" si="57"/>
        <v>2601309969.1900001</v>
      </c>
      <c r="HL10" s="383">
        <f t="shared" si="57"/>
        <v>2586309969.1900001</v>
      </c>
      <c r="HM10" s="383">
        <f t="shared" si="58"/>
        <v>15000000</v>
      </c>
      <c r="HO10" s="383">
        <f t="shared" si="37"/>
        <v>2265000</v>
      </c>
      <c r="HP10" s="383">
        <f t="shared" si="37"/>
        <v>2265000</v>
      </c>
      <c r="HQ10" s="383">
        <f t="shared" si="59"/>
        <v>0</v>
      </c>
      <c r="HS10" s="383">
        <f t="shared" si="60"/>
        <v>89308300</v>
      </c>
      <c r="HT10" s="383">
        <f t="shared" si="60"/>
        <v>63414200</v>
      </c>
      <c r="HU10" s="383">
        <f t="shared" si="61"/>
        <v>25894100</v>
      </c>
      <c r="HW10" s="383">
        <f t="shared" si="62"/>
        <v>36700000</v>
      </c>
      <c r="HX10" s="383">
        <f t="shared" si="62"/>
        <v>0</v>
      </c>
      <c r="HY10" s="383">
        <f t="shared" si="63"/>
        <v>36700000</v>
      </c>
      <c r="IA10" s="387">
        <f t="shared" si="64"/>
        <v>20000000</v>
      </c>
      <c r="IB10" s="387">
        <f t="shared" si="64"/>
        <v>0</v>
      </c>
      <c r="IC10" s="387">
        <f t="shared" si="65"/>
        <v>20000000</v>
      </c>
      <c r="IE10" s="383">
        <f t="shared" si="66"/>
        <v>191776600</v>
      </c>
      <c r="IF10" s="383">
        <f t="shared" si="66"/>
        <v>0</v>
      </c>
      <c r="IG10" s="383">
        <f t="shared" si="67"/>
        <v>191776600</v>
      </c>
      <c r="II10" s="383">
        <f t="shared" si="68"/>
        <v>2000000</v>
      </c>
      <c r="IJ10" s="383">
        <f t="shared" si="68"/>
        <v>0</v>
      </c>
      <c r="IK10" s="383">
        <f t="shared" si="69"/>
        <v>2000000</v>
      </c>
    </row>
    <row r="11" spans="1:245" ht="19.5" customHeight="1" x14ac:dyDescent="0.25">
      <c r="A11" s="380">
        <v>8</v>
      </c>
      <c r="B11" s="380" t="s">
        <v>327</v>
      </c>
      <c r="C11" s="42" t="s">
        <v>63</v>
      </c>
      <c r="D11" s="382">
        <v>18318965.5</v>
      </c>
      <c r="E11" s="382">
        <f>'[1]COE DISB 2019'!D19</f>
        <v>18318965.5</v>
      </c>
      <c r="F11" s="383">
        <f t="shared" si="0"/>
        <v>0</v>
      </c>
      <c r="H11" s="382">
        <v>8000000</v>
      </c>
      <c r="I11" s="382">
        <f>'[1]COE DISB 2019'!E19</f>
        <v>8000000</v>
      </c>
      <c r="J11" s="383">
        <f t="shared" si="1"/>
        <v>0</v>
      </c>
      <c r="L11" s="382">
        <v>500000</v>
      </c>
      <c r="M11" s="382">
        <f>'[1]COE DISB 2019'!F19</f>
        <v>500000</v>
      </c>
      <c r="N11" s="383">
        <f t="shared" si="2"/>
        <v>0</v>
      </c>
      <c r="P11" s="353">
        <v>16000000</v>
      </c>
      <c r="Q11" s="382">
        <f>'[1]COE DISB 2019'!G19</f>
        <v>16000000</v>
      </c>
      <c r="R11" s="383">
        <f t="shared" si="3"/>
        <v>0</v>
      </c>
      <c r="T11" s="385">
        <v>255000</v>
      </c>
      <c r="U11" s="382">
        <f>'[1]COE DISB 2019'!H19</f>
        <v>255000</v>
      </c>
      <c r="V11" s="383">
        <f t="shared" si="4"/>
        <v>0</v>
      </c>
      <c r="X11" s="385">
        <v>4000000</v>
      </c>
      <c r="Y11" s="382">
        <f>'[1]COE DISB 2019'!I19</f>
        <v>4000000</v>
      </c>
      <c r="Z11" s="383">
        <f t="shared" si="5"/>
        <v>0</v>
      </c>
      <c r="AB11" s="385">
        <v>20000000</v>
      </c>
      <c r="AC11" s="382">
        <f>'[1]COE DISB 2019'!J19</f>
        <v>20000000</v>
      </c>
      <c r="AD11" s="383">
        <f t="shared" si="6"/>
        <v>0</v>
      </c>
      <c r="AF11" s="353">
        <v>0</v>
      </c>
      <c r="AG11" s="382">
        <f>'[1]COE DISB 2019'!K19</f>
        <v>0</v>
      </c>
      <c r="AH11" s="383">
        <f t="shared" si="7"/>
        <v>0</v>
      </c>
      <c r="AJ11" s="385">
        <v>10000000</v>
      </c>
      <c r="AK11" s="382">
        <f>'[1]COE DISB 2019'!L19</f>
        <v>10000000</v>
      </c>
      <c r="AL11" s="383">
        <f t="shared" si="8"/>
        <v>0</v>
      </c>
      <c r="AN11" s="382">
        <v>10000000</v>
      </c>
      <c r="AO11" s="382">
        <f>'[1]COE DISB 2019'!M19</f>
        <v>10000000</v>
      </c>
      <c r="AP11" s="383">
        <f t="shared" si="9"/>
        <v>0</v>
      </c>
      <c r="AR11" s="382">
        <v>15000000</v>
      </c>
      <c r="AS11" s="382">
        <f>'[1]COE DISB 2019'!N19</f>
        <v>15000000</v>
      </c>
      <c r="AT11" s="383">
        <f t="shared" si="10"/>
        <v>0</v>
      </c>
      <c r="AV11" s="382">
        <v>10000000</v>
      </c>
      <c r="AW11" s="385">
        <f>'[1]COE DISB 2019'!O19</f>
        <v>10000000</v>
      </c>
      <c r="AX11" s="382">
        <f t="shared" si="11"/>
        <v>0</v>
      </c>
      <c r="AZ11" s="382">
        <v>18000000</v>
      </c>
      <c r="BA11" s="382">
        <f>'[1]COE DISB 2019'!P19</f>
        <v>18000000</v>
      </c>
      <c r="BB11" s="382">
        <f t="shared" si="12"/>
        <v>0</v>
      </c>
      <c r="BD11" s="382">
        <v>23400000</v>
      </c>
      <c r="BE11" s="382">
        <f>'[1]COE DISB 2019'!Q19</f>
        <v>23400000</v>
      </c>
      <c r="BF11" s="382">
        <f t="shared" si="13"/>
        <v>0</v>
      </c>
      <c r="BH11" s="382">
        <v>0</v>
      </c>
      <c r="BI11" s="382">
        <f>'[1]COE DISB 2019'!R19</f>
        <v>0</v>
      </c>
      <c r="BJ11" s="382">
        <f t="shared" si="14"/>
        <v>0</v>
      </c>
      <c r="BL11" s="382">
        <v>43000000</v>
      </c>
      <c r="BM11" s="382">
        <f>'[1]COE DISB 2019'!S19</f>
        <v>43000000</v>
      </c>
      <c r="BN11" s="382">
        <f t="shared" si="15"/>
        <v>0</v>
      </c>
      <c r="BP11" s="382">
        <v>37160000</v>
      </c>
      <c r="BQ11" s="382">
        <f>'[1]COE DISB 2019'!T19</f>
        <v>37160000</v>
      </c>
      <c r="BR11" s="382">
        <f t="shared" si="16"/>
        <v>0</v>
      </c>
      <c r="BT11" s="382">
        <v>0</v>
      </c>
      <c r="BU11" s="382">
        <f>'[1]COE DISB 2019'!U19</f>
        <v>0</v>
      </c>
      <c r="BV11" s="382">
        <f t="shared" si="17"/>
        <v>0</v>
      </c>
      <c r="BX11" s="382">
        <v>112670000</v>
      </c>
      <c r="BY11" s="382">
        <f>'[1]COE DISB 2019'!V19</f>
        <v>112670000</v>
      </c>
      <c r="BZ11" s="382">
        <f t="shared" si="18"/>
        <v>0</v>
      </c>
      <c r="CB11" s="382">
        <f>'[1]COE commited funds to date'!W14</f>
        <v>110592000</v>
      </c>
      <c r="CC11" s="382">
        <f>'[1]COE DISB 2019'!W19</f>
        <v>110592000</v>
      </c>
      <c r="CD11" s="382">
        <f t="shared" si="19"/>
        <v>0</v>
      </c>
      <c r="CF11" s="382">
        <f>'[1]COE commited funds to date'!X14</f>
        <v>125000000</v>
      </c>
      <c r="CG11" s="382">
        <f>'[1]COE DISB 2019'!X19</f>
        <v>125000000</v>
      </c>
      <c r="CH11" s="382">
        <f t="shared" si="20"/>
        <v>0</v>
      </c>
      <c r="CJ11" s="382">
        <v>10000000</v>
      </c>
      <c r="CK11" s="382">
        <f>'[1]COE DISB 2019'!Y19</f>
        <v>10000000</v>
      </c>
      <c r="CL11" s="382">
        <f t="shared" si="21"/>
        <v>0</v>
      </c>
      <c r="CN11" s="382">
        <v>660000000</v>
      </c>
      <c r="CO11" s="382">
        <f>'[1]COE DISB 2019'!Z19</f>
        <v>660000000</v>
      </c>
      <c r="CP11" s="382">
        <f t="shared" si="22"/>
        <v>0</v>
      </c>
      <c r="CR11" s="382">
        <v>210000000</v>
      </c>
      <c r="CS11" s="382">
        <f>'[1]COE DISB 2019'!AA19</f>
        <v>210000000</v>
      </c>
      <c r="CT11" s="382">
        <f t="shared" si="23"/>
        <v>0</v>
      </c>
      <c r="CV11" s="382">
        <v>10000000</v>
      </c>
      <c r="CW11" s="382">
        <f>'[1]COE DISB 2019'!AB19</f>
        <v>10000000</v>
      </c>
      <c r="CX11" s="382">
        <f t="shared" si="24"/>
        <v>0</v>
      </c>
      <c r="CZ11" s="382">
        <f>'[1]COE commited funds to date'!AC14</f>
        <v>300000000</v>
      </c>
      <c r="DA11" s="382">
        <f>'[1]COE DISB 2019'!AC19</f>
        <v>300000000</v>
      </c>
      <c r="DB11" s="382">
        <f t="shared" si="25"/>
        <v>0</v>
      </c>
      <c r="DC11" s="386"/>
      <c r="DD11" s="382">
        <v>215000000</v>
      </c>
      <c r="DE11" s="382">
        <f>'[1]COE DISB 2019'!AD19</f>
        <v>215000000</v>
      </c>
      <c r="DF11" s="382">
        <f t="shared" si="26"/>
        <v>0</v>
      </c>
      <c r="DG11" s="386"/>
      <c r="DH11" s="382">
        <v>10000000</v>
      </c>
      <c r="DI11" s="382">
        <f>'[1]COE DISB 2019'!AE19</f>
        <v>10000000</v>
      </c>
      <c r="DJ11" s="382">
        <f t="shared" si="27"/>
        <v>0</v>
      </c>
      <c r="DK11" s="386"/>
      <c r="DL11" s="382">
        <f>'[1]COE commited funds to date'!AD14</f>
        <v>0</v>
      </c>
      <c r="DM11" s="382">
        <f>'[1]COE DISB 2019'!AF19</f>
        <v>0</v>
      </c>
      <c r="DN11" s="382">
        <f t="shared" si="28"/>
        <v>0</v>
      </c>
      <c r="DO11" s="386"/>
      <c r="DP11" s="382">
        <v>325000000</v>
      </c>
      <c r="DQ11" s="382">
        <f>'[1]COE DISB 2019'!AG19</f>
        <v>325000000</v>
      </c>
      <c r="DR11" s="382">
        <f t="shared" si="29"/>
        <v>0</v>
      </c>
      <c r="DS11" s="386"/>
      <c r="DT11" s="353">
        <v>10000000</v>
      </c>
      <c r="DU11" s="382">
        <f>'[1]COE DISB 2019'!AH19</f>
        <v>10000000</v>
      </c>
      <c r="DV11" s="382">
        <f t="shared" si="30"/>
        <v>0</v>
      </c>
      <c r="DW11" s="386"/>
      <c r="DX11" s="382">
        <f>'[1]COE commited funds to date'!AI14</f>
        <v>100000000</v>
      </c>
      <c r="DY11" s="382">
        <f>'[1]COE DISB 2019'!AI19</f>
        <v>100000000</v>
      </c>
      <c r="DZ11" s="382">
        <f t="shared" si="31"/>
        <v>0</v>
      </c>
      <c r="EA11" s="386"/>
      <c r="EB11" s="382">
        <f>'[1]COE commited funds to date'!AJ14</f>
        <v>72000000</v>
      </c>
      <c r="EC11" s="382">
        <f>'[1]COE DISB 2019'!AJ19</f>
        <v>41760000</v>
      </c>
      <c r="ED11" s="382">
        <f t="shared" si="32"/>
        <v>30240000</v>
      </c>
      <c r="EE11" s="386"/>
      <c r="EF11" s="382">
        <f>'[1]COE commited funds to date'!AK14</f>
        <v>8000000</v>
      </c>
      <c r="EG11" s="382">
        <f>'[1]COE DISB 2019'!AK19</f>
        <v>4560000</v>
      </c>
      <c r="EH11" s="382">
        <f t="shared" si="33"/>
        <v>3440000</v>
      </c>
      <c r="EI11" s="386"/>
      <c r="EJ11" s="382">
        <f>'[1]COE commited funds to date'!AL14</f>
        <v>2000000</v>
      </c>
      <c r="EK11" s="382">
        <f>'[1]COE DISB 2019'!AL19</f>
        <v>1700000</v>
      </c>
      <c r="EL11" s="382">
        <f t="shared" si="34"/>
        <v>300000</v>
      </c>
      <c r="EM11" s="386"/>
      <c r="EN11" s="382">
        <f>'[1]COE commited funds to date'!AM14</f>
        <v>7000000</v>
      </c>
      <c r="EO11" s="382">
        <f>'[1]COE DISB 2019'!AM19</f>
        <v>7000000</v>
      </c>
      <c r="EP11" s="382">
        <f t="shared" si="35"/>
        <v>0</v>
      </c>
      <c r="EQ11" s="386"/>
      <c r="ER11" s="382">
        <f>'[1]COE commited funds to date'!AN14</f>
        <v>1150000000</v>
      </c>
      <c r="ES11" s="382">
        <f>'[1]COE DISB 2019'!AN19</f>
        <v>1150000000</v>
      </c>
      <c r="ET11" s="382">
        <f t="shared" si="36"/>
        <v>0</v>
      </c>
      <c r="EV11" s="383">
        <f>'[1]COE commited funds to date'!AO14</f>
        <v>371067000</v>
      </c>
      <c r="EW11" s="383">
        <f>'[1]COE DISB 2019'!AO19</f>
        <v>215218860</v>
      </c>
      <c r="EX11" s="383">
        <f t="shared" si="38"/>
        <v>155848140</v>
      </c>
      <c r="EY11" s="380"/>
      <c r="EZ11" s="383">
        <f>'[1]COE commited funds to date'!AQ14</f>
        <v>12000000</v>
      </c>
      <c r="FA11" s="383">
        <f>'[1]COE DISB 2019'!AP19</f>
        <v>12000000</v>
      </c>
      <c r="FB11" s="383">
        <f t="shared" si="39"/>
        <v>0</v>
      </c>
      <c r="FC11" s="380"/>
      <c r="FD11" s="383">
        <f>'[1]COE commited funds to date'!AR14</f>
        <v>10000000</v>
      </c>
      <c r="FE11" s="383">
        <f>'[1]COE DISB 2019'!AQ19</f>
        <v>0</v>
      </c>
      <c r="FF11" s="383">
        <f t="shared" si="40"/>
        <v>10000000</v>
      </c>
      <c r="FG11" s="380"/>
      <c r="FH11" s="383">
        <f>'[1]COE commited funds to date'!AP14</f>
        <v>8000000</v>
      </c>
      <c r="FI11" s="383">
        <f>'[1]COE DISB 2019'!AR19</f>
        <v>4560000</v>
      </c>
      <c r="FJ11" s="383">
        <f t="shared" si="41"/>
        <v>3440000</v>
      </c>
      <c r="FK11" s="383">
        <f>'[1]COE commited funds to date'!AS14</f>
        <v>0</v>
      </c>
      <c r="FL11" s="383">
        <f>'[1]COE DISB 2019'!AS19</f>
        <v>0</v>
      </c>
      <c r="FM11" s="383">
        <f t="shared" si="42"/>
        <v>0</v>
      </c>
      <c r="FN11" s="380"/>
      <c r="FO11" s="383">
        <f>'[1]COE commited funds to date'!AT14</f>
        <v>200000000</v>
      </c>
      <c r="FP11" s="383">
        <f>'[1]COE DISB 2019'!AT19</f>
        <v>0</v>
      </c>
      <c r="FQ11" s="383">
        <f t="shared" si="43"/>
        <v>200000000</v>
      </c>
      <c r="FR11" s="380"/>
      <c r="FS11" s="383">
        <f>'[1]COE commited funds to date'!AU14</f>
        <v>75000000</v>
      </c>
      <c r="FT11" s="383">
        <f>'[1]COE DISB 2019'!AU19</f>
        <v>51000000</v>
      </c>
      <c r="FU11" s="383">
        <f t="shared" si="44"/>
        <v>24000000</v>
      </c>
      <c r="FV11" s="380"/>
      <c r="FW11" s="383">
        <f>'[1]COE commited funds to date'!AV14</f>
        <v>8700000</v>
      </c>
      <c r="FX11" s="383">
        <f>'[1]COE DISB 2019'!AV19</f>
        <v>0</v>
      </c>
      <c r="FY11" s="383">
        <f t="shared" si="45"/>
        <v>8700000</v>
      </c>
      <c r="FZ11" s="380"/>
      <c r="GA11" s="383">
        <f>'[1]COE commited funds to date'!AW14</f>
        <v>5000000</v>
      </c>
      <c r="GB11" s="383">
        <f>'[1]COE DISB 2019'!AW19</f>
        <v>0</v>
      </c>
      <c r="GC11" s="383">
        <f t="shared" si="46"/>
        <v>5000000</v>
      </c>
      <c r="GD11" s="380"/>
      <c r="GE11" s="383">
        <f>'[1]COE commited funds to date'!AX14</f>
        <v>20000000</v>
      </c>
      <c r="GF11" s="383">
        <f>'[1]COE DISB 2019'!AX19</f>
        <v>8413985.5</v>
      </c>
      <c r="GG11" s="383">
        <f t="shared" si="47"/>
        <v>11586014.5</v>
      </c>
      <c r="GH11" s="380"/>
      <c r="GI11" s="383">
        <f>'[1]COE commited funds to date'!AY14</f>
        <v>230000000</v>
      </c>
      <c r="GJ11" s="383">
        <f>'[1]COE DISB 2019'!AY19</f>
        <v>0</v>
      </c>
      <c r="GK11" s="383">
        <f t="shared" si="48"/>
        <v>230000000</v>
      </c>
      <c r="GL11" s="380"/>
      <c r="GM11" s="383">
        <f>'[1]COE commited funds to date'!AZ14</f>
        <v>116776600</v>
      </c>
      <c r="GN11" s="383">
        <f>'[1]COE DISB 2019'!AZ19</f>
        <v>0</v>
      </c>
      <c r="GO11" s="383">
        <f t="shared" si="49"/>
        <v>116776600</v>
      </c>
      <c r="GP11" s="380"/>
      <c r="GQ11" s="383">
        <f>'[1]COE commited funds to date'!BA14</f>
        <v>12000000</v>
      </c>
      <c r="GR11" s="383">
        <f>'[1]COE DISB 2019'!BA19</f>
        <v>0</v>
      </c>
      <c r="GS11" s="383">
        <f t="shared" si="50"/>
        <v>12000000</v>
      </c>
      <c r="GT11" s="380"/>
      <c r="GU11" s="383">
        <f>'[1]COE commited funds to date'!BB14</f>
        <v>5000000</v>
      </c>
      <c r="GV11" s="383">
        <f>'[1]COE DISB 2019'!BB19</f>
        <v>0</v>
      </c>
      <c r="GW11" s="383">
        <f t="shared" si="51"/>
        <v>5000000</v>
      </c>
      <c r="GX11" s="380"/>
      <c r="GY11" s="383">
        <f>'[1]COE commited funds to date'!BC14</f>
        <v>10308300</v>
      </c>
      <c r="GZ11" s="383">
        <f>'[1]COE DISB 2019'!BC19</f>
        <v>0</v>
      </c>
      <c r="HA11" s="383">
        <f t="shared" si="52"/>
        <v>10308300</v>
      </c>
      <c r="HB11" s="380"/>
      <c r="HC11" s="383">
        <f t="shared" si="53"/>
        <v>4754747865.5</v>
      </c>
      <c r="HD11" s="383">
        <f t="shared" si="53"/>
        <v>3928108811</v>
      </c>
      <c r="HE11" s="382">
        <f t="shared" si="54"/>
        <v>826639054.5</v>
      </c>
      <c r="HG11" s="383">
        <f t="shared" si="55"/>
        <v>2079615965.5</v>
      </c>
      <c r="HH11" s="383">
        <f t="shared" si="55"/>
        <v>1463527825.5</v>
      </c>
      <c r="HI11" s="383">
        <f t="shared" si="56"/>
        <v>616088140</v>
      </c>
      <c r="HK11" s="383">
        <f t="shared" si="57"/>
        <v>2320592000</v>
      </c>
      <c r="HL11" s="383">
        <f t="shared" si="57"/>
        <v>2320592000</v>
      </c>
      <c r="HM11" s="383">
        <f t="shared" si="58"/>
        <v>0</v>
      </c>
      <c r="HO11" s="383">
        <f t="shared" si="37"/>
        <v>755000</v>
      </c>
      <c r="HP11" s="383">
        <f t="shared" si="37"/>
        <v>755000</v>
      </c>
      <c r="HQ11" s="383">
        <f t="shared" si="59"/>
        <v>0</v>
      </c>
      <c r="HS11" s="383">
        <f t="shared" si="60"/>
        <v>89308300</v>
      </c>
      <c r="HT11" s="383">
        <f t="shared" si="60"/>
        <v>67413985.5</v>
      </c>
      <c r="HU11" s="383">
        <f t="shared" si="61"/>
        <v>21894314.5</v>
      </c>
      <c r="HW11" s="383">
        <f t="shared" si="62"/>
        <v>36700000</v>
      </c>
      <c r="HX11" s="383">
        <f t="shared" si="62"/>
        <v>9120000</v>
      </c>
      <c r="HY11" s="383">
        <f t="shared" si="63"/>
        <v>27580000</v>
      </c>
      <c r="IA11" s="387">
        <f t="shared" si="64"/>
        <v>20000000</v>
      </c>
      <c r="IB11" s="387">
        <f t="shared" si="64"/>
        <v>0</v>
      </c>
      <c r="IC11" s="387">
        <f t="shared" si="65"/>
        <v>20000000</v>
      </c>
      <c r="IE11" s="383">
        <f t="shared" si="66"/>
        <v>191776600</v>
      </c>
      <c r="IF11" s="383">
        <f t="shared" si="66"/>
        <v>51000000</v>
      </c>
      <c r="IG11" s="383">
        <f t="shared" si="67"/>
        <v>140776600</v>
      </c>
      <c r="II11" s="383">
        <f t="shared" si="68"/>
        <v>2000000</v>
      </c>
      <c r="IJ11" s="383">
        <f t="shared" si="68"/>
        <v>1700000</v>
      </c>
      <c r="IK11" s="383">
        <f t="shared" si="69"/>
        <v>300000</v>
      </c>
    </row>
    <row r="12" spans="1:245" ht="19.5" customHeight="1" x14ac:dyDescent="0.25">
      <c r="A12" s="380">
        <v>9</v>
      </c>
      <c r="B12" s="380" t="s">
        <v>328</v>
      </c>
      <c r="C12" s="381" t="s">
        <v>63</v>
      </c>
      <c r="D12" s="382">
        <v>18318965.5</v>
      </c>
      <c r="E12" s="382">
        <f>'[1]COE DISB 2019'!D20</f>
        <v>18318965.5</v>
      </c>
      <c r="F12" s="383">
        <f t="shared" si="0"/>
        <v>0</v>
      </c>
      <c r="H12" s="382">
        <v>8000000</v>
      </c>
      <c r="I12" s="382">
        <f>'[1]COE DISB 2019'!E20</f>
        <v>8000000</v>
      </c>
      <c r="J12" s="383">
        <f t="shared" si="1"/>
        <v>0</v>
      </c>
      <c r="L12" s="382">
        <v>500000</v>
      </c>
      <c r="M12" s="382">
        <f>'[1]COE DISB 2019'!F20</f>
        <v>500000</v>
      </c>
      <c r="N12" s="383">
        <f t="shared" si="2"/>
        <v>0</v>
      </c>
      <c r="P12" s="353">
        <v>16000000</v>
      </c>
      <c r="Q12" s="382">
        <f>'[1]COE DISB 2019'!G20</f>
        <v>16000000</v>
      </c>
      <c r="R12" s="383">
        <f t="shared" si="3"/>
        <v>0</v>
      </c>
      <c r="T12" s="385">
        <v>1489000</v>
      </c>
      <c r="U12" s="382">
        <f>'[1]COE DISB 2019'!H20</f>
        <v>1489000</v>
      </c>
      <c r="V12" s="383">
        <f t="shared" si="4"/>
        <v>0</v>
      </c>
      <c r="X12" s="385"/>
      <c r="Y12" s="382">
        <f>'[1]COE DISB 2019'!I20</f>
        <v>0</v>
      </c>
      <c r="Z12" s="383">
        <f t="shared" si="5"/>
        <v>0</v>
      </c>
      <c r="AB12" s="385">
        <v>20000000</v>
      </c>
      <c r="AC12" s="382">
        <f>'[1]COE DISB 2019'!J20</f>
        <v>20000000</v>
      </c>
      <c r="AD12" s="383">
        <f t="shared" si="6"/>
        <v>0</v>
      </c>
      <c r="AF12" s="353">
        <v>0</v>
      </c>
      <c r="AG12" s="382">
        <f>'[1]COE DISB 2019'!K20</f>
        <v>0</v>
      </c>
      <c r="AH12" s="383">
        <f t="shared" si="7"/>
        <v>0</v>
      </c>
      <c r="AJ12" s="385">
        <v>10000000</v>
      </c>
      <c r="AK12" s="382">
        <f>'[1]COE DISB 2019'!L20</f>
        <v>10000000</v>
      </c>
      <c r="AL12" s="383">
        <f t="shared" si="8"/>
        <v>0</v>
      </c>
      <c r="AN12" s="382">
        <v>10000000</v>
      </c>
      <c r="AO12" s="382">
        <f>'[1]COE DISB 2019'!M20</f>
        <v>10000000</v>
      </c>
      <c r="AP12" s="383">
        <f t="shared" si="9"/>
        <v>0</v>
      </c>
      <c r="AR12" s="382">
        <v>15000000</v>
      </c>
      <c r="AS12" s="382">
        <f>'[1]COE DISB 2019'!N20</f>
        <v>15000000</v>
      </c>
      <c r="AT12" s="383">
        <f t="shared" si="10"/>
        <v>0</v>
      </c>
      <c r="AV12" s="382">
        <v>0</v>
      </c>
      <c r="AW12" s="385">
        <f>'[1]COE DISB 2019'!O20</f>
        <v>0</v>
      </c>
      <c r="AX12" s="382">
        <f t="shared" si="11"/>
        <v>0</v>
      </c>
      <c r="AZ12" s="382">
        <v>18000000</v>
      </c>
      <c r="BA12" s="382">
        <f>'[1]COE DISB 2019'!P20</f>
        <v>18000000</v>
      </c>
      <c r="BB12" s="382">
        <f t="shared" si="12"/>
        <v>0</v>
      </c>
      <c r="BD12" s="382">
        <v>14274000</v>
      </c>
      <c r="BE12" s="382">
        <f>'[1]COE DISB 2019'!Q20</f>
        <v>14274000</v>
      </c>
      <c r="BF12" s="382">
        <f t="shared" si="13"/>
        <v>0</v>
      </c>
      <c r="BH12" s="382">
        <v>0</v>
      </c>
      <c r="BI12" s="382">
        <f>'[1]COE DISB 2019'!R20</f>
        <v>0</v>
      </c>
      <c r="BJ12" s="382">
        <f t="shared" si="14"/>
        <v>0</v>
      </c>
      <c r="BL12" s="382">
        <v>43000000</v>
      </c>
      <c r="BM12" s="382">
        <f>'[1]COE DISB 2019'!S20</f>
        <v>43000000</v>
      </c>
      <c r="BN12" s="382">
        <f t="shared" si="15"/>
        <v>0</v>
      </c>
      <c r="BP12" s="382">
        <v>37160000</v>
      </c>
      <c r="BQ12" s="382">
        <f>'[1]COE DISB 2019'!T20</f>
        <v>37160000</v>
      </c>
      <c r="BR12" s="382">
        <f t="shared" si="16"/>
        <v>0</v>
      </c>
      <c r="BT12" s="382">
        <v>0</v>
      </c>
      <c r="BU12" s="382">
        <f>'[1]COE DISB 2019'!U20</f>
        <v>0</v>
      </c>
      <c r="BV12" s="382">
        <f t="shared" si="17"/>
        <v>0</v>
      </c>
      <c r="BX12" s="382">
        <v>112670000</v>
      </c>
      <c r="BY12" s="382">
        <f>'[1]COE DISB 2019'!V20</f>
        <v>112670000</v>
      </c>
      <c r="BZ12" s="382">
        <f t="shared" si="18"/>
        <v>0</v>
      </c>
      <c r="CB12" s="382">
        <v>25000000</v>
      </c>
      <c r="CC12" s="382">
        <f>'[1]COE DISB 2019'!W20</f>
        <v>25000000</v>
      </c>
      <c r="CD12" s="382">
        <f t="shared" si="19"/>
        <v>0</v>
      </c>
      <c r="CF12" s="382">
        <f>'[1]COE commited funds to date'!X15</f>
        <v>125000000</v>
      </c>
      <c r="CG12" s="382">
        <f>'[1]COE DISB 2019'!X20</f>
        <v>125000000</v>
      </c>
      <c r="CH12" s="382">
        <f t="shared" si="20"/>
        <v>0</v>
      </c>
      <c r="CJ12" s="382">
        <v>10000000</v>
      </c>
      <c r="CK12" s="382">
        <f>'[1]COE DISB 2019'!Y20</f>
        <v>10000000</v>
      </c>
      <c r="CL12" s="382">
        <f t="shared" si="21"/>
        <v>0</v>
      </c>
      <c r="CN12" s="382">
        <v>0</v>
      </c>
      <c r="CO12" s="382">
        <f>'[1]COE DISB 2019'!Z20</f>
        <v>0</v>
      </c>
      <c r="CP12" s="382">
        <f t="shared" si="22"/>
        <v>0</v>
      </c>
      <c r="CR12" s="382">
        <v>210000000</v>
      </c>
      <c r="CS12" s="382">
        <f>'[1]COE DISB 2019'!AA20</f>
        <v>178500000</v>
      </c>
      <c r="CT12" s="382">
        <f t="shared" si="23"/>
        <v>31500000</v>
      </c>
      <c r="CV12" s="382">
        <v>10000000</v>
      </c>
      <c r="CW12" s="382">
        <f>'[1]COE DISB 2019'!AB20</f>
        <v>10000000</v>
      </c>
      <c r="CX12" s="382">
        <f t="shared" si="24"/>
        <v>0</v>
      </c>
      <c r="CZ12" s="382">
        <f>'[1]COE commited funds to date'!AC15</f>
        <v>0</v>
      </c>
      <c r="DA12" s="382">
        <f>'[1]COE DISB 2019'!AC20</f>
        <v>0</v>
      </c>
      <c r="DB12" s="382">
        <f t="shared" si="25"/>
        <v>0</v>
      </c>
      <c r="DC12" s="386"/>
      <c r="DD12" s="382">
        <v>215000000</v>
      </c>
      <c r="DE12" s="382">
        <f>'[1]COE DISB 2019'!AD20</f>
        <v>182750000</v>
      </c>
      <c r="DF12" s="382">
        <f t="shared" si="26"/>
        <v>32250000</v>
      </c>
      <c r="DG12" s="386"/>
      <c r="DH12" s="382">
        <v>10000000</v>
      </c>
      <c r="DI12" s="382">
        <f>'[1]COE DISB 2019'!AE20</f>
        <v>10000000</v>
      </c>
      <c r="DJ12" s="382">
        <f t="shared" si="27"/>
        <v>0</v>
      </c>
      <c r="DK12" s="386"/>
      <c r="DL12" s="382">
        <f>'[1]COE commited funds to date'!AD15</f>
        <v>0</v>
      </c>
      <c r="DM12" s="382">
        <f>'[1]COE DISB 2019'!AF20</f>
        <v>0</v>
      </c>
      <c r="DN12" s="382">
        <f t="shared" si="28"/>
        <v>0</v>
      </c>
      <c r="DO12" s="386"/>
      <c r="DP12" s="382">
        <v>325000000</v>
      </c>
      <c r="DQ12" s="382">
        <f>'[1]COE DISB 2019'!AG20</f>
        <v>276250000</v>
      </c>
      <c r="DR12" s="382">
        <f t="shared" si="29"/>
        <v>48750000</v>
      </c>
      <c r="DS12" s="386"/>
      <c r="DT12" s="353">
        <v>10000000</v>
      </c>
      <c r="DU12" s="382">
        <f>'[1]COE DISB 2019'!AH20</f>
        <v>10000000</v>
      </c>
      <c r="DV12" s="382">
        <f t="shared" si="30"/>
        <v>0</v>
      </c>
      <c r="DW12" s="386"/>
      <c r="DX12" s="382">
        <f>'[1]COE commited funds to date'!AI15</f>
        <v>100000000</v>
      </c>
      <c r="DY12" s="382">
        <f>'[1]COE DISB 2019'!AI20</f>
        <v>100000000</v>
      </c>
      <c r="DZ12" s="382">
        <f t="shared" si="31"/>
        <v>0</v>
      </c>
      <c r="EA12" s="386"/>
      <c r="EB12" s="382">
        <f>'[1]COE commited funds to date'!AJ15</f>
        <v>72000000</v>
      </c>
      <c r="EC12" s="382">
        <f>'[1]COE DISB 2019'!AJ20</f>
        <v>0</v>
      </c>
      <c r="ED12" s="382">
        <f t="shared" si="32"/>
        <v>72000000</v>
      </c>
      <c r="EE12" s="386"/>
      <c r="EF12" s="382">
        <f>'[1]COE commited funds to date'!AK15</f>
        <v>8000000</v>
      </c>
      <c r="EG12" s="382">
        <f>'[1]COE DISB 2019'!AK20</f>
        <v>0</v>
      </c>
      <c r="EH12" s="382">
        <f t="shared" si="33"/>
        <v>8000000</v>
      </c>
      <c r="EI12" s="386"/>
      <c r="EJ12" s="382">
        <f>'[1]COE commited funds to date'!AL15</f>
        <v>2000000</v>
      </c>
      <c r="EK12" s="382">
        <f>'[1]COE DISB 2019'!AL20</f>
        <v>0</v>
      </c>
      <c r="EL12" s="382">
        <f t="shared" si="34"/>
        <v>2000000</v>
      </c>
      <c r="EM12" s="386"/>
      <c r="EN12" s="382">
        <f>'[1]COE commited funds to date'!AM15</f>
        <v>7000000</v>
      </c>
      <c r="EO12" s="382">
        <f>'[1]COE DISB 2019'!AM20</f>
        <v>6983800</v>
      </c>
      <c r="EP12" s="382">
        <f t="shared" si="35"/>
        <v>16200</v>
      </c>
      <c r="EQ12" s="386"/>
      <c r="ER12" s="382">
        <f>'[1]COE commited funds to date'!AN15</f>
        <v>500000000</v>
      </c>
      <c r="ES12" s="382">
        <f>'[1]COE DISB 2019'!AN20</f>
        <v>500000000</v>
      </c>
      <c r="ET12" s="382">
        <f t="shared" si="36"/>
        <v>0</v>
      </c>
      <c r="EV12" s="383">
        <f>'[1]COE commited funds to date'!AO15</f>
        <v>371067000</v>
      </c>
      <c r="EW12" s="383">
        <f>'[1]COE DISB 2019'!AO20</f>
        <v>0</v>
      </c>
      <c r="EX12" s="383">
        <f t="shared" si="38"/>
        <v>371067000</v>
      </c>
      <c r="EY12" s="380"/>
      <c r="EZ12" s="383">
        <f>'[1]COE commited funds to date'!AQ15</f>
        <v>12000000</v>
      </c>
      <c r="FA12" s="383">
        <f>'[1]COE DISB 2019'!AP20</f>
        <v>11918800</v>
      </c>
      <c r="FB12" s="383">
        <f t="shared" si="39"/>
        <v>81200</v>
      </c>
      <c r="FC12" s="380"/>
      <c r="FD12" s="383">
        <f>'[1]COE commited funds to date'!AR15</f>
        <v>10000000</v>
      </c>
      <c r="FE12" s="383">
        <f>'[1]COE DISB 2019'!AQ20</f>
        <v>0</v>
      </c>
      <c r="FF12" s="383">
        <f t="shared" si="40"/>
        <v>10000000</v>
      </c>
      <c r="FG12" s="380"/>
      <c r="FH12" s="383">
        <f>'[1]COE commited funds to date'!AP15</f>
        <v>8000000</v>
      </c>
      <c r="FI12" s="383">
        <f>'[1]COE DISB 2019'!AR20</f>
        <v>0</v>
      </c>
      <c r="FJ12" s="383">
        <f t="shared" si="41"/>
        <v>8000000</v>
      </c>
      <c r="FK12" s="383">
        <f>'[1]COE commited funds to date'!AS15</f>
        <v>0</v>
      </c>
      <c r="FL12" s="383">
        <f>'[1]COE DISB 2019'!AS20</f>
        <v>0</v>
      </c>
      <c r="FM12" s="383">
        <f t="shared" si="42"/>
        <v>0</v>
      </c>
      <c r="FN12" s="380"/>
      <c r="FO12" s="383">
        <f>'[1]COE commited funds to date'!AT15</f>
        <v>200000000</v>
      </c>
      <c r="FP12" s="383">
        <f>'[1]COE DISB 2019'!AT20</f>
        <v>0</v>
      </c>
      <c r="FQ12" s="383">
        <f t="shared" si="43"/>
        <v>200000000</v>
      </c>
      <c r="FR12" s="380"/>
      <c r="FS12" s="383">
        <f>'[1]COE commited funds to date'!AU15</f>
        <v>75000000</v>
      </c>
      <c r="FT12" s="383">
        <f>'[1]COE DISB 2019'!AU20</f>
        <v>0</v>
      </c>
      <c r="FU12" s="383">
        <f t="shared" si="44"/>
        <v>75000000</v>
      </c>
      <c r="FV12" s="380"/>
      <c r="FW12" s="383">
        <f>'[1]COE commited funds to date'!AV15</f>
        <v>8700000</v>
      </c>
      <c r="FX12" s="383">
        <f>'[1]COE DISB 2019'!AV20</f>
        <v>0</v>
      </c>
      <c r="FY12" s="383">
        <f t="shared" si="45"/>
        <v>8700000</v>
      </c>
      <c r="FZ12" s="380"/>
      <c r="GA12" s="383">
        <f>'[1]COE commited funds to date'!AW15</f>
        <v>5000000</v>
      </c>
      <c r="GB12" s="383">
        <f>'[1]COE DISB 2019'!AW20</f>
        <v>0</v>
      </c>
      <c r="GC12" s="383">
        <f t="shared" si="46"/>
        <v>5000000</v>
      </c>
      <c r="GD12" s="380"/>
      <c r="GE12" s="383">
        <f>'[1]COE commited funds to date'!AX15</f>
        <v>20000000</v>
      </c>
      <c r="GF12" s="383">
        <f>'[1]COE DISB 2019'!AX20</f>
        <v>0</v>
      </c>
      <c r="GG12" s="383">
        <f t="shared" si="47"/>
        <v>20000000</v>
      </c>
      <c r="GH12" s="380"/>
      <c r="GI12" s="383">
        <f>'[1]COE commited funds to date'!AY15</f>
        <v>230000000</v>
      </c>
      <c r="GJ12" s="383">
        <f>'[1]COE DISB 2019'!AY20</f>
        <v>0</v>
      </c>
      <c r="GK12" s="383">
        <f t="shared" si="48"/>
        <v>230000000</v>
      </c>
      <c r="GL12" s="380"/>
      <c r="GM12" s="383">
        <f>'[1]COE commited funds to date'!AZ15</f>
        <v>116776600</v>
      </c>
      <c r="GN12" s="383">
        <f>'[1]COE DISB 2019'!AZ20</f>
        <v>0</v>
      </c>
      <c r="GO12" s="383">
        <f t="shared" si="49"/>
        <v>116776600</v>
      </c>
      <c r="GP12" s="380"/>
      <c r="GQ12" s="383">
        <f>'[1]COE commited funds to date'!BA15</f>
        <v>12000000</v>
      </c>
      <c r="GR12" s="383">
        <f>'[1]COE DISB 2019'!BA20</f>
        <v>0</v>
      </c>
      <c r="GS12" s="383">
        <f t="shared" si="50"/>
        <v>12000000</v>
      </c>
      <c r="GT12" s="380"/>
      <c r="GU12" s="383">
        <f>'[1]COE commited funds to date'!BB15</f>
        <v>5000000</v>
      </c>
      <c r="GV12" s="383">
        <f>'[1]COE DISB 2019'!BB20</f>
        <v>0</v>
      </c>
      <c r="GW12" s="383">
        <f t="shared" si="51"/>
        <v>5000000</v>
      </c>
      <c r="GX12" s="380"/>
      <c r="GY12" s="383">
        <f>'[1]COE commited funds to date'!BC15</f>
        <v>10308300</v>
      </c>
      <c r="GZ12" s="383">
        <f>'[1]COE DISB 2019'!BC20</f>
        <v>0</v>
      </c>
      <c r="HA12" s="383">
        <f t="shared" si="52"/>
        <v>10308300</v>
      </c>
      <c r="HB12" s="380"/>
      <c r="HC12" s="383">
        <f t="shared" si="53"/>
        <v>3037263865.5</v>
      </c>
      <c r="HD12" s="383">
        <f t="shared" si="53"/>
        <v>1770814565.5</v>
      </c>
      <c r="HE12" s="382">
        <f t="shared" si="54"/>
        <v>1266449300</v>
      </c>
      <c r="HG12" s="383">
        <f t="shared" si="55"/>
        <v>2070489965.5</v>
      </c>
      <c r="HH12" s="383">
        <f t="shared" si="55"/>
        <v>1084922965.5</v>
      </c>
      <c r="HI12" s="383">
        <f t="shared" si="56"/>
        <v>985567000</v>
      </c>
      <c r="HK12" s="383">
        <f t="shared" si="57"/>
        <v>625000000</v>
      </c>
      <c r="HL12" s="383">
        <f t="shared" si="57"/>
        <v>625000000</v>
      </c>
      <c r="HM12" s="383">
        <f t="shared" si="58"/>
        <v>0</v>
      </c>
      <c r="HO12" s="383">
        <f t="shared" si="37"/>
        <v>1989000</v>
      </c>
      <c r="HP12" s="383">
        <f t="shared" si="37"/>
        <v>1989000</v>
      </c>
      <c r="HQ12" s="383">
        <f t="shared" si="59"/>
        <v>0</v>
      </c>
      <c r="HS12" s="383">
        <f t="shared" si="60"/>
        <v>89308300</v>
      </c>
      <c r="HT12" s="383">
        <f t="shared" si="60"/>
        <v>58902600</v>
      </c>
      <c r="HU12" s="383">
        <f t="shared" si="61"/>
        <v>30405700</v>
      </c>
      <c r="HW12" s="383">
        <f t="shared" si="62"/>
        <v>36700000</v>
      </c>
      <c r="HX12" s="383">
        <f t="shared" si="62"/>
        <v>0</v>
      </c>
      <c r="HY12" s="383">
        <f t="shared" si="63"/>
        <v>36700000</v>
      </c>
      <c r="IA12" s="387">
        <f t="shared" si="64"/>
        <v>20000000</v>
      </c>
      <c r="IB12" s="387">
        <f t="shared" si="64"/>
        <v>0</v>
      </c>
      <c r="IC12" s="387">
        <f t="shared" si="65"/>
        <v>20000000</v>
      </c>
      <c r="IE12" s="383">
        <f t="shared" si="66"/>
        <v>191776600</v>
      </c>
      <c r="IF12" s="383">
        <f t="shared" si="66"/>
        <v>0</v>
      </c>
      <c r="IG12" s="383">
        <f t="shared" si="67"/>
        <v>191776600</v>
      </c>
      <c r="II12" s="383">
        <f t="shared" si="68"/>
        <v>2000000</v>
      </c>
      <c r="IJ12" s="383">
        <f t="shared" si="68"/>
        <v>0</v>
      </c>
      <c r="IK12" s="383">
        <f t="shared" si="69"/>
        <v>2000000</v>
      </c>
    </row>
    <row r="13" spans="1:245" ht="19.5" customHeight="1" x14ac:dyDescent="0.25">
      <c r="A13" s="380">
        <v>10</v>
      </c>
      <c r="B13" s="380" t="s">
        <v>329</v>
      </c>
      <c r="C13" s="381" t="s">
        <v>63</v>
      </c>
      <c r="D13" s="382">
        <v>18318965.5</v>
      </c>
      <c r="E13" s="382">
        <f>'[1]COE DISB 2019'!D21</f>
        <v>18318965.399999999</v>
      </c>
      <c r="F13" s="383">
        <f t="shared" si="0"/>
        <v>0.10000000149011612</v>
      </c>
      <c r="H13" s="382">
        <v>8000000</v>
      </c>
      <c r="I13" s="382">
        <f>'[1]COE DISB 2019'!E21</f>
        <v>8000000</v>
      </c>
      <c r="J13" s="383">
        <f t="shared" si="1"/>
        <v>0</v>
      </c>
      <c r="L13" s="382">
        <v>500000</v>
      </c>
      <c r="M13" s="382">
        <f>'[1]COE DISB 2019'!F21</f>
        <v>500000</v>
      </c>
      <c r="N13" s="383">
        <f t="shared" si="2"/>
        <v>0</v>
      </c>
      <c r="P13" s="353">
        <v>16000000</v>
      </c>
      <c r="Q13" s="382">
        <f>'[1]COE DISB 2019'!G21</f>
        <v>16000000</v>
      </c>
      <c r="R13" s="383">
        <f t="shared" si="3"/>
        <v>0</v>
      </c>
      <c r="T13" s="385">
        <v>528000</v>
      </c>
      <c r="U13" s="382">
        <f>'[1]COE DISB 2019'!H21</f>
        <v>528000</v>
      </c>
      <c r="V13" s="383">
        <f t="shared" si="4"/>
        <v>0</v>
      </c>
      <c r="X13" s="353">
        <v>0</v>
      </c>
      <c r="Y13" s="382">
        <f>'[1]COE DISB 2019'!I21</f>
        <v>0</v>
      </c>
      <c r="Z13" s="383">
        <f t="shared" si="5"/>
        <v>0</v>
      </c>
      <c r="AB13" s="385">
        <v>20000000</v>
      </c>
      <c r="AC13" s="382">
        <f>'[1]COE DISB 2019'!J21</f>
        <v>20000000</v>
      </c>
      <c r="AD13" s="383">
        <f t="shared" si="6"/>
        <v>0</v>
      </c>
      <c r="AF13" s="353">
        <v>0</v>
      </c>
      <c r="AG13" s="382">
        <f>'[1]COE DISB 2019'!K21</f>
        <v>0</v>
      </c>
      <c r="AH13" s="383">
        <f t="shared" si="7"/>
        <v>0</v>
      </c>
      <c r="AJ13" s="385">
        <v>10000000</v>
      </c>
      <c r="AK13" s="382">
        <f>'[1]COE DISB 2019'!L21</f>
        <v>10000000</v>
      </c>
      <c r="AL13" s="383">
        <f t="shared" si="8"/>
        <v>0</v>
      </c>
      <c r="AN13" s="382">
        <v>10000000</v>
      </c>
      <c r="AO13" s="382">
        <f>'[1]COE DISB 2019'!M21</f>
        <v>10000000</v>
      </c>
      <c r="AP13" s="383">
        <f t="shared" si="9"/>
        <v>0</v>
      </c>
      <c r="AR13" s="382">
        <v>15000000</v>
      </c>
      <c r="AS13" s="382">
        <f>'[1]COE DISB 2019'!N21</f>
        <v>15000000</v>
      </c>
      <c r="AT13" s="383">
        <f t="shared" si="10"/>
        <v>0</v>
      </c>
      <c r="AV13" s="382">
        <v>0</v>
      </c>
      <c r="AW13" s="385">
        <f>'[1]COE DISB 2019'!O21</f>
        <v>0</v>
      </c>
      <c r="AX13" s="382">
        <f t="shared" si="11"/>
        <v>0</v>
      </c>
      <c r="AZ13" s="382">
        <v>18000000</v>
      </c>
      <c r="BA13" s="382">
        <f>'[1]COE DISB 2019'!P21</f>
        <v>18000000</v>
      </c>
      <c r="BB13" s="382">
        <f t="shared" si="12"/>
        <v>0</v>
      </c>
      <c r="BD13" s="382">
        <v>23400000</v>
      </c>
      <c r="BE13" s="382">
        <f>'[1]COE DISB 2019'!Q21</f>
        <v>23400000</v>
      </c>
      <c r="BF13" s="382">
        <f t="shared" si="13"/>
        <v>0</v>
      </c>
      <c r="BH13" s="382">
        <v>0</v>
      </c>
      <c r="BI13" s="382">
        <f>'[1]COE DISB 2019'!R21</f>
        <v>0</v>
      </c>
      <c r="BJ13" s="382">
        <f t="shared" si="14"/>
        <v>0</v>
      </c>
      <c r="BL13" s="382">
        <v>43000000</v>
      </c>
      <c r="BM13" s="382">
        <f>'[1]COE DISB 2019'!S21</f>
        <v>43000000</v>
      </c>
      <c r="BN13" s="382">
        <f t="shared" si="15"/>
        <v>0</v>
      </c>
      <c r="BP13" s="382">
        <v>37160000</v>
      </c>
      <c r="BQ13" s="382">
        <f>'[1]COE DISB 2019'!T21</f>
        <v>37160000</v>
      </c>
      <c r="BR13" s="382">
        <f t="shared" si="16"/>
        <v>0</v>
      </c>
      <c r="BT13" s="382">
        <v>0</v>
      </c>
      <c r="BU13" s="382">
        <f>'[1]COE DISB 2019'!U21</f>
        <v>0</v>
      </c>
      <c r="BV13" s="382">
        <f t="shared" si="17"/>
        <v>0</v>
      </c>
      <c r="BX13" s="382">
        <v>112643000</v>
      </c>
      <c r="BY13" s="382">
        <f>'[1]COE DISB 2019'!V21</f>
        <v>112643000</v>
      </c>
      <c r="BZ13" s="382">
        <f t="shared" si="18"/>
        <v>0</v>
      </c>
      <c r="CB13" s="382">
        <f>'[1]COE commited funds to date'!W16</f>
        <v>200000000</v>
      </c>
      <c r="CC13" s="382">
        <f>'[1]COE DISB 2019'!W21</f>
        <v>200000000</v>
      </c>
      <c r="CD13" s="382">
        <f t="shared" si="19"/>
        <v>0</v>
      </c>
      <c r="CF13" s="382">
        <f>'[1]COE commited funds to date'!X16</f>
        <v>125000000</v>
      </c>
      <c r="CG13" s="382">
        <f>'[1]COE DISB 2019'!X21</f>
        <v>125000000</v>
      </c>
      <c r="CH13" s="382">
        <f t="shared" si="20"/>
        <v>0</v>
      </c>
      <c r="CJ13" s="382">
        <v>10000000</v>
      </c>
      <c r="CK13" s="382">
        <f>'[1]COE DISB 2019'!Y21</f>
        <v>10000000</v>
      </c>
      <c r="CL13" s="382">
        <f t="shared" si="21"/>
        <v>0</v>
      </c>
      <c r="CN13" s="382">
        <v>160000000</v>
      </c>
      <c r="CO13" s="382">
        <f>'[1]COE DISB 2019'!Z21</f>
        <v>160000000</v>
      </c>
      <c r="CP13" s="382">
        <f t="shared" si="22"/>
        <v>0</v>
      </c>
      <c r="CR13" s="382">
        <v>210000000</v>
      </c>
      <c r="CS13" s="382">
        <f>'[1]COE DISB 2019'!AA21</f>
        <v>210000000</v>
      </c>
      <c r="CT13" s="382">
        <f t="shared" si="23"/>
        <v>0</v>
      </c>
      <c r="CV13" s="382">
        <v>10000000</v>
      </c>
      <c r="CW13" s="382">
        <f>'[1]COE DISB 2019'!AB21</f>
        <v>10000000</v>
      </c>
      <c r="CX13" s="382">
        <f t="shared" si="24"/>
        <v>0</v>
      </c>
      <c r="CZ13" s="382">
        <f>'[1]COE commited funds to date'!AC16</f>
        <v>50000000</v>
      </c>
      <c r="DA13" s="382">
        <f>'[1]COE DISB 2019'!AC21</f>
        <v>50000000</v>
      </c>
      <c r="DB13" s="382">
        <f t="shared" si="25"/>
        <v>0</v>
      </c>
      <c r="DC13" s="386"/>
      <c r="DD13" s="382">
        <v>215000000</v>
      </c>
      <c r="DE13" s="382">
        <f>'[1]COE DISB 2019'!AD21</f>
        <v>215000000</v>
      </c>
      <c r="DF13" s="382">
        <f t="shared" si="26"/>
        <v>0</v>
      </c>
      <c r="DG13" s="386"/>
      <c r="DH13" s="382">
        <v>10000000</v>
      </c>
      <c r="DI13" s="382">
        <f>'[1]COE DISB 2019'!AE21</f>
        <v>10000000</v>
      </c>
      <c r="DJ13" s="382">
        <f t="shared" si="27"/>
        <v>0</v>
      </c>
      <c r="DK13" s="386"/>
      <c r="DL13" s="382">
        <f>'[1]COE commited funds to date'!AD16</f>
        <v>0</v>
      </c>
      <c r="DM13" s="382">
        <f>'[1]COE DISB 2019'!AF21</f>
        <v>0</v>
      </c>
      <c r="DN13" s="382">
        <f t="shared" si="28"/>
        <v>0</v>
      </c>
      <c r="DO13" s="386"/>
      <c r="DP13" s="382">
        <v>325000000</v>
      </c>
      <c r="DQ13" s="382">
        <f>'[1]COE DISB 2019'!AG21</f>
        <v>325000000</v>
      </c>
      <c r="DR13" s="382">
        <f t="shared" si="29"/>
        <v>0</v>
      </c>
      <c r="DS13" s="386"/>
      <c r="DT13" s="353">
        <v>10000000</v>
      </c>
      <c r="DU13" s="382">
        <f>'[1]COE DISB 2019'!AH21</f>
        <v>10000000</v>
      </c>
      <c r="DV13" s="382">
        <f t="shared" si="30"/>
        <v>0</v>
      </c>
      <c r="DW13" s="386"/>
      <c r="DX13" s="382">
        <f>'[1]COE commited funds to date'!AI16</f>
        <v>150000000</v>
      </c>
      <c r="DY13" s="382">
        <f>'[1]COE DISB 2019'!AI21</f>
        <v>150000000</v>
      </c>
      <c r="DZ13" s="382">
        <f t="shared" si="31"/>
        <v>0</v>
      </c>
      <c r="EA13" s="386"/>
      <c r="EB13" s="382">
        <f>'[1]COE commited funds to date'!AJ16</f>
        <v>72000000</v>
      </c>
      <c r="EC13" s="382">
        <f>'[1]COE DISB 2019'!AJ21</f>
        <v>76880000</v>
      </c>
      <c r="ED13" s="382">
        <f t="shared" si="32"/>
        <v>-4880000</v>
      </c>
      <c r="EE13" s="386"/>
      <c r="EF13" s="382">
        <f>'[1]COE commited funds to date'!AK16</f>
        <v>8000000</v>
      </c>
      <c r="EG13" s="382">
        <f>'[1]COE DISB 2019'!AK21</f>
        <v>3120000</v>
      </c>
      <c r="EH13" s="382">
        <f t="shared" si="33"/>
        <v>4880000</v>
      </c>
      <c r="EI13" s="386"/>
      <c r="EJ13" s="382">
        <f>'[1]COE commited funds to date'!AL16</f>
        <v>2000000</v>
      </c>
      <c r="EK13" s="382">
        <f>'[1]COE DISB 2019'!AL21</f>
        <v>0</v>
      </c>
      <c r="EL13" s="382">
        <f t="shared" si="34"/>
        <v>2000000</v>
      </c>
      <c r="EM13" s="386"/>
      <c r="EN13" s="382">
        <f>'[1]COE commited funds to date'!AM16</f>
        <v>7000000</v>
      </c>
      <c r="EO13" s="382">
        <f>'[1]COE DISB 2019'!AM21</f>
        <v>7000000</v>
      </c>
      <c r="EP13" s="382">
        <f t="shared" si="35"/>
        <v>0</v>
      </c>
      <c r="EQ13" s="386"/>
      <c r="ER13" s="382">
        <f>'[1]COE commited funds to date'!AN16</f>
        <v>250000000</v>
      </c>
      <c r="ES13" s="382">
        <f>'[1]COE DISB 2019'!AN21</f>
        <v>250000000</v>
      </c>
      <c r="ET13" s="382">
        <f t="shared" si="36"/>
        <v>0</v>
      </c>
      <c r="EV13" s="383">
        <f>'[1]COE commited funds to date'!AO16</f>
        <v>371067000</v>
      </c>
      <c r="EW13" s="383">
        <f>'[1]COE DISB 2019'!AO21</f>
        <v>0</v>
      </c>
      <c r="EX13" s="383">
        <f t="shared" si="38"/>
        <v>371067000</v>
      </c>
      <c r="EY13" s="380"/>
      <c r="EZ13" s="383">
        <f>'[1]COE commited funds to date'!AQ16</f>
        <v>12000000</v>
      </c>
      <c r="FA13" s="383">
        <f>'[1]COE DISB 2019'!AP21</f>
        <v>12000000</v>
      </c>
      <c r="FB13" s="383">
        <f t="shared" si="39"/>
        <v>0</v>
      </c>
      <c r="FC13" s="380"/>
      <c r="FD13" s="383">
        <f>'[1]COE commited funds to date'!AR16</f>
        <v>10000000</v>
      </c>
      <c r="FE13" s="383">
        <f>'[1]COE DISB 2019'!AQ21</f>
        <v>0</v>
      </c>
      <c r="FF13" s="383">
        <f t="shared" si="40"/>
        <v>10000000</v>
      </c>
      <c r="FG13" s="380"/>
      <c r="FH13" s="383">
        <f>'[1]COE commited funds to date'!AP16</f>
        <v>8000000</v>
      </c>
      <c r="FI13" s="383">
        <f>'[1]COE DISB 2019'!AR21</f>
        <v>0</v>
      </c>
      <c r="FJ13" s="383">
        <f t="shared" si="41"/>
        <v>8000000</v>
      </c>
      <c r="FK13" s="383">
        <f>'[1]COE commited funds to date'!AS16</f>
        <v>150000000</v>
      </c>
      <c r="FL13" s="383">
        <f>'[1]COE DISB 2019'!AS21</f>
        <v>150000000</v>
      </c>
      <c r="FM13" s="383">
        <f t="shared" si="42"/>
        <v>0</v>
      </c>
      <c r="FN13" s="380"/>
      <c r="FO13" s="383">
        <f>'[1]COE commited funds to date'!AT16</f>
        <v>200000000</v>
      </c>
      <c r="FP13" s="383">
        <f>'[1]COE DISB 2019'!AT21</f>
        <v>0</v>
      </c>
      <c r="FQ13" s="383">
        <f t="shared" si="43"/>
        <v>200000000</v>
      </c>
      <c r="FR13" s="380"/>
      <c r="FS13" s="383">
        <f>'[1]COE commited funds to date'!AU16</f>
        <v>75000000</v>
      </c>
      <c r="FT13" s="383">
        <f>'[1]COE DISB 2019'!AU21</f>
        <v>63750000</v>
      </c>
      <c r="FU13" s="383">
        <f t="shared" si="44"/>
        <v>11250000</v>
      </c>
      <c r="FV13" s="380"/>
      <c r="FW13" s="383">
        <f>'[1]COE commited funds to date'!AV16</f>
        <v>8700000</v>
      </c>
      <c r="FX13" s="383">
        <f>'[1]COE DISB 2019'!AV21</f>
        <v>0</v>
      </c>
      <c r="FY13" s="383">
        <f t="shared" si="45"/>
        <v>8700000</v>
      </c>
      <c r="FZ13" s="380"/>
      <c r="GA13" s="383">
        <f>'[1]COE commited funds to date'!AW16</f>
        <v>5000000</v>
      </c>
      <c r="GB13" s="383">
        <f>'[1]COE DISB 2019'!AW21</f>
        <v>0</v>
      </c>
      <c r="GC13" s="383">
        <f t="shared" si="46"/>
        <v>5000000</v>
      </c>
      <c r="GD13" s="380"/>
      <c r="GE13" s="383">
        <f>'[1]COE commited funds to date'!AX16</f>
        <v>20000000</v>
      </c>
      <c r="GF13" s="383">
        <f>'[1]COE DISB 2019'!AX21</f>
        <v>13571800</v>
      </c>
      <c r="GG13" s="383">
        <f t="shared" si="47"/>
        <v>6428200</v>
      </c>
      <c r="GH13" s="380"/>
      <c r="GI13" s="383">
        <f>'[1]COE commited funds to date'!AY16</f>
        <v>230000000</v>
      </c>
      <c r="GJ13" s="383">
        <f>'[1]COE DISB 2019'!AY21</f>
        <v>0</v>
      </c>
      <c r="GK13" s="383">
        <f t="shared" si="48"/>
        <v>230000000</v>
      </c>
      <c r="GL13" s="380"/>
      <c r="GM13" s="383">
        <f>'[1]COE commited funds to date'!AZ16</f>
        <v>116776600</v>
      </c>
      <c r="GN13" s="383">
        <f>'[1]COE DISB 2019'!AZ21</f>
        <v>0</v>
      </c>
      <c r="GO13" s="383">
        <f t="shared" si="49"/>
        <v>116776600</v>
      </c>
      <c r="GP13" s="380"/>
      <c r="GQ13" s="383">
        <f>'[1]COE commited funds to date'!BA16</f>
        <v>12000000</v>
      </c>
      <c r="GR13" s="383">
        <f>'[1]COE DISB 2019'!BA21</f>
        <v>0</v>
      </c>
      <c r="GS13" s="383">
        <f t="shared" si="50"/>
        <v>12000000</v>
      </c>
      <c r="GT13" s="380"/>
      <c r="GU13" s="383">
        <f>'[1]COE commited funds to date'!BB16</f>
        <v>5000000</v>
      </c>
      <c r="GV13" s="383">
        <f>'[1]COE DISB 2019'!BB21</f>
        <v>0</v>
      </c>
      <c r="GW13" s="383">
        <f t="shared" si="51"/>
        <v>5000000</v>
      </c>
      <c r="GX13" s="380"/>
      <c r="GY13" s="383">
        <f>'[1]COE commited funds to date'!BC16</f>
        <v>10308300</v>
      </c>
      <c r="GZ13" s="383">
        <f>'[1]COE DISB 2019'!BC21</f>
        <v>0</v>
      </c>
      <c r="HA13" s="383">
        <f t="shared" si="52"/>
        <v>10308300</v>
      </c>
      <c r="HB13" s="380"/>
      <c r="HC13" s="383">
        <f t="shared" si="53"/>
        <v>3380401865.5</v>
      </c>
      <c r="HD13" s="383">
        <f t="shared" si="53"/>
        <v>2383871765.4000001</v>
      </c>
      <c r="HE13" s="382">
        <f t="shared" si="54"/>
        <v>996530100.0999999</v>
      </c>
      <c r="HG13" s="383">
        <f t="shared" si="55"/>
        <v>2079588965.5</v>
      </c>
      <c r="HH13" s="383">
        <f t="shared" si="55"/>
        <v>1283401965.4000001</v>
      </c>
      <c r="HI13" s="383">
        <f t="shared" si="56"/>
        <v>796187000.0999999</v>
      </c>
      <c r="HK13" s="383">
        <f t="shared" si="57"/>
        <v>810000000</v>
      </c>
      <c r="HL13" s="383">
        <f t="shared" si="57"/>
        <v>810000000</v>
      </c>
      <c r="HM13" s="383">
        <f t="shared" si="58"/>
        <v>0</v>
      </c>
      <c r="HO13" s="383">
        <f t="shared" si="37"/>
        <v>1028000</v>
      </c>
      <c r="HP13" s="383">
        <f t="shared" si="37"/>
        <v>1028000</v>
      </c>
      <c r="HQ13" s="383">
        <f t="shared" si="59"/>
        <v>0</v>
      </c>
      <c r="HS13" s="383">
        <f t="shared" si="60"/>
        <v>89308300</v>
      </c>
      <c r="HT13" s="383">
        <f t="shared" si="60"/>
        <v>72571800</v>
      </c>
      <c r="HU13" s="383">
        <f t="shared" si="61"/>
        <v>16736500</v>
      </c>
      <c r="HW13" s="383">
        <f t="shared" si="62"/>
        <v>36700000</v>
      </c>
      <c r="HX13" s="383">
        <f t="shared" si="62"/>
        <v>3120000</v>
      </c>
      <c r="HY13" s="383">
        <f t="shared" si="63"/>
        <v>33580000</v>
      </c>
      <c r="IA13" s="387">
        <f t="shared" si="64"/>
        <v>20000000</v>
      </c>
      <c r="IB13" s="387">
        <f t="shared" si="64"/>
        <v>0</v>
      </c>
      <c r="IC13" s="387">
        <f t="shared" si="65"/>
        <v>20000000</v>
      </c>
      <c r="IE13" s="383">
        <f t="shared" si="66"/>
        <v>341776600</v>
      </c>
      <c r="IF13" s="383">
        <f t="shared" si="66"/>
        <v>213750000</v>
      </c>
      <c r="IG13" s="383">
        <f t="shared" si="67"/>
        <v>128026600</v>
      </c>
      <c r="II13" s="383">
        <f t="shared" si="68"/>
        <v>2000000</v>
      </c>
      <c r="IJ13" s="383">
        <f t="shared" si="68"/>
        <v>0</v>
      </c>
      <c r="IK13" s="383">
        <f t="shared" si="69"/>
        <v>2000000</v>
      </c>
    </row>
    <row r="14" spans="1:245" ht="19.5" customHeight="1" x14ac:dyDescent="0.25">
      <c r="A14" s="380">
        <v>11</v>
      </c>
      <c r="B14" s="380" t="s">
        <v>330</v>
      </c>
      <c r="C14" s="381" t="s">
        <v>61</v>
      </c>
      <c r="D14" s="382">
        <v>18318965.5</v>
      </c>
      <c r="E14" s="382">
        <f>'[1]COE DISB 2019'!D22</f>
        <v>18318965.399999999</v>
      </c>
      <c r="F14" s="383">
        <f t="shared" si="0"/>
        <v>0.10000000149011612</v>
      </c>
      <c r="H14" s="382">
        <v>8000000</v>
      </c>
      <c r="I14" s="382">
        <f>'[1]COE DISB 2019'!E22</f>
        <v>8000000</v>
      </c>
      <c r="J14" s="383">
        <f t="shared" si="1"/>
        <v>0</v>
      </c>
      <c r="L14" s="382">
        <v>500000</v>
      </c>
      <c r="M14" s="382">
        <f>'[1]COE DISB 2019'!F22</f>
        <v>500000</v>
      </c>
      <c r="N14" s="383">
        <f t="shared" si="2"/>
        <v>0</v>
      </c>
      <c r="P14" s="353">
        <v>16000000</v>
      </c>
      <c r="Q14" s="382">
        <f>'[1]COE DISB 2019'!G22</f>
        <v>16000000</v>
      </c>
      <c r="R14" s="383">
        <f t="shared" si="3"/>
        <v>0</v>
      </c>
      <c r="T14" s="353">
        <v>0</v>
      </c>
      <c r="U14" s="382">
        <f>'[1]COE DISB 2019'!H22</f>
        <v>0</v>
      </c>
      <c r="V14" s="383">
        <f t="shared" si="4"/>
        <v>0</v>
      </c>
      <c r="X14" s="353">
        <v>0</v>
      </c>
      <c r="Y14" s="382">
        <f>'[1]COE DISB 2019'!I22</f>
        <v>0</v>
      </c>
      <c r="Z14" s="383">
        <f t="shared" si="5"/>
        <v>0</v>
      </c>
      <c r="AB14" s="385">
        <v>20000000</v>
      </c>
      <c r="AC14" s="382">
        <f>'[1]COE DISB 2019'!J22</f>
        <v>20000000</v>
      </c>
      <c r="AD14" s="383">
        <f t="shared" si="6"/>
        <v>0</v>
      </c>
      <c r="AF14" s="353">
        <v>0</v>
      </c>
      <c r="AG14" s="382">
        <f>'[1]COE DISB 2019'!K22</f>
        <v>0</v>
      </c>
      <c r="AH14" s="383">
        <f t="shared" si="7"/>
        <v>0</v>
      </c>
      <c r="AJ14" s="385">
        <v>10000000</v>
      </c>
      <c r="AK14" s="382">
        <f>'[1]COE DISB 2019'!L22</f>
        <v>10000000</v>
      </c>
      <c r="AL14" s="383">
        <f t="shared" si="8"/>
        <v>0</v>
      </c>
      <c r="AN14" s="382">
        <v>10000000</v>
      </c>
      <c r="AO14" s="382">
        <f>'[1]COE DISB 2019'!M22</f>
        <v>10000000</v>
      </c>
      <c r="AP14" s="383">
        <f t="shared" si="9"/>
        <v>0</v>
      </c>
      <c r="AR14" s="382">
        <v>15000000</v>
      </c>
      <c r="AS14" s="382">
        <f>'[1]COE DISB 2019'!N22</f>
        <v>15000000</v>
      </c>
      <c r="AT14" s="383">
        <f t="shared" si="10"/>
        <v>0</v>
      </c>
      <c r="AV14" s="382">
        <v>0</v>
      </c>
      <c r="AW14" s="385">
        <f>'[1]COE DISB 2019'!O22</f>
        <v>0</v>
      </c>
      <c r="AX14" s="382">
        <f t="shared" si="11"/>
        <v>0</v>
      </c>
      <c r="AZ14" s="382">
        <v>18000000</v>
      </c>
      <c r="BA14" s="382">
        <f>'[1]COE DISB 2019'!P22</f>
        <v>18000000</v>
      </c>
      <c r="BB14" s="382">
        <f t="shared" si="12"/>
        <v>0</v>
      </c>
      <c r="BD14" s="382">
        <v>25776000</v>
      </c>
      <c r="BE14" s="382">
        <f>'[1]COE DISB 2019'!Q22</f>
        <v>25776000</v>
      </c>
      <c r="BF14" s="382">
        <f t="shared" si="13"/>
        <v>0</v>
      </c>
      <c r="BH14" s="382">
        <v>0</v>
      </c>
      <c r="BI14" s="382">
        <f>'[1]COE DISB 2019'!R22</f>
        <v>0</v>
      </c>
      <c r="BJ14" s="382">
        <f t="shared" si="14"/>
        <v>0</v>
      </c>
      <c r="BL14" s="382">
        <v>43000000</v>
      </c>
      <c r="BM14" s="382">
        <f>'[1]COE DISB 2019'!S22</f>
        <v>43000000</v>
      </c>
      <c r="BN14" s="382">
        <f t="shared" si="15"/>
        <v>0</v>
      </c>
      <c r="BP14" s="382">
        <v>37160000</v>
      </c>
      <c r="BQ14" s="382">
        <f>'[1]COE DISB 2019'!T22</f>
        <v>37160000</v>
      </c>
      <c r="BR14" s="382">
        <f t="shared" si="16"/>
        <v>0</v>
      </c>
      <c r="BT14" s="382">
        <v>0</v>
      </c>
      <c r="BU14" s="382">
        <f>'[1]COE DISB 2019'!U22</f>
        <v>0</v>
      </c>
      <c r="BV14" s="382">
        <f t="shared" si="17"/>
        <v>0</v>
      </c>
      <c r="BX14" s="382">
        <v>112670000</v>
      </c>
      <c r="BY14" s="382">
        <f>'[1]COE DISB 2019'!V22</f>
        <v>112670000</v>
      </c>
      <c r="BZ14" s="382">
        <f t="shared" si="18"/>
        <v>0</v>
      </c>
      <c r="CB14" s="382">
        <v>178500000</v>
      </c>
      <c r="CC14" s="382">
        <f>'[1]COE DISB 2019'!W22</f>
        <v>178500000</v>
      </c>
      <c r="CD14" s="382">
        <f t="shared" si="19"/>
        <v>0</v>
      </c>
      <c r="CF14" s="382">
        <f>'[1]COE commited funds to date'!X17</f>
        <v>125000000</v>
      </c>
      <c r="CG14" s="382">
        <f>'[1]COE DISB 2019'!X22</f>
        <v>125000000</v>
      </c>
      <c r="CH14" s="382">
        <f t="shared" si="20"/>
        <v>0</v>
      </c>
      <c r="CJ14" s="382">
        <v>10000000</v>
      </c>
      <c r="CK14" s="382">
        <f>'[1]COE DISB 2019'!Y22</f>
        <v>10000000</v>
      </c>
      <c r="CL14" s="382">
        <f t="shared" si="21"/>
        <v>0</v>
      </c>
      <c r="CN14" s="382">
        <v>0</v>
      </c>
      <c r="CO14" s="382">
        <f>'[1]COE DISB 2019'!Z22</f>
        <v>0</v>
      </c>
      <c r="CP14" s="382">
        <f t="shared" si="22"/>
        <v>0</v>
      </c>
      <c r="CR14" s="382">
        <v>210000000</v>
      </c>
      <c r="CS14" s="382">
        <f>'[1]COE DISB 2019'!AA22</f>
        <v>210000000</v>
      </c>
      <c r="CT14" s="382">
        <f t="shared" si="23"/>
        <v>0</v>
      </c>
      <c r="CV14" s="382">
        <v>10000000</v>
      </c>
      <c r="CW14" s="382">
        <f>'[1]COE DISB 2019'!AB22</f>
        <v>10000000</v>
      </c>
      <c r="CX14" s="382">
        <f t="shared" si="24"/>
        <v>0</v>
      </c>
      <c r="CZ14" s="382">
        <f>'[1]COE commited funds to date'!AC17</f>
        <v>42000000</v>
      </c>
      <c r="DA14" s="382">
        <f>'[1]COE DISB 2019'!AC22</f>
        <v>42000000</v>
      </c>
      <c r="DB14" s="382">
        <f t="shared" si="25"/>
        <v>0</v>
      </c>
      <c r="DC14" s="386"/>
      <c r="DD14" s="382">
        <v>215000000</v>
      </c>
      <c r="DE14" s="382">
        <f>'[1]COE DISB 2019'!AD22</f>
        <v>215000000</v>
      </c>
      <c r="DF14" s="382">
        <f t="shared" si="26"/>
        <v>0</v>
      </c>
      <c r="DG14" s="386"/>
      <c r="DH14" s="382">
        <v>10000000</v>
      </c>
      <c r="DI14" s="382">
        <f>'[1]COE DISB 2019'!AE22</f>
        <v>10000000</v>
      </c>
      <c r="DJ14" s="382">
        <f t="shared" si="27"/>
        <v>0</v>
      </c>
      <c r="DK14" s="386"/>
      <c r="DL14" s="382">
        <f>'[1]COE commited funds to date'!AD17</f>
        <v>40000000</v>
      </c>
      <c r="DM14" s="382">
        <f>'[1]COE DISB 2019'!AF22</f>
        <v>34000000</v>
      </c>
      <c r="DN14" s="382">
        <f t="shared" si="28"/>
        <v>6000000</v>
      </c>
      <c r="DO14" s="386"/>
      <c r="DP14" s="382">
        <v>325000000</v>
      </c>
      <c r="DQ14" s="382">
        <f>'[1]COE DISB 2019'!AG22</f>
        <v>188500000</v>
      </c>
      <c r="DR14" s="382">
        <f t="shared" si="29"/>
        <v>136500000</v>
      </c>
      <c r="DS14" s="386"/>
      <c r="DT14" s="353">
        <v>10000000</v>
      </c>
      <c r="DU14" s="382">
        <f>'[1]COE DISB 2019'!AH22</f>
        <v>10000000</v>
      </c>
      <c r="DV14" s="382">
        <f t="shared" si="30"/>
        <v>0</v>
      </c>
      <c r="DW14" s="386"/>
      <c r="DX14" s="382">
        <f>'[1]COE commited funds to date'!AI17</f>
        <v>60000000</v>
      </c>
      <c r="DY14" s="382">
        <f>'[1]COE DISB 2019'!AI22</f>
        <v>58500000</v>
      </c>
      <c r="DZ14" s="382">
        <f t="shared" si="31"/>
        <v>1500000</v>
      </c>
      <c r="EA14" s="386"/>
      <c r="EB14" s="382">
        <f>'[1]COE commited funds to date'!AJ17</f>
        <v>72000000</v>
      </c>
      <c r="EC14" s="382">
        <f>'[1]COE DISB 2019'!AJ22</f>
        <v>41760000</v>
      </c>
      <c r="ED14" s="382">
        <f t="shared" si="32"/>
        <v>30240000</v>
      </c>
      <c r="EE14" s="386"/>
      <c r="EF14" s="382">
        <f>'[1]COE commited funds to date'!AK17</f>
        <v>8000000</v>
      </c>
      <c r="EG14" s="382">
        <f>'[1]COE DISB 2019'!AK22</f>
        <v>4400000</v>
      </c>
      <c r="EH14" s="382">
        <f t="shared" si="33"/>
        <v>3600000</v>
      </c>
      <c r="EI14" s="386"/>
      <c r="EJ14" s="382">
        <f>'[1]COE commited funds to date'!AL17</f>
        <v>2000000</v>
      </c>
      <c r="EK14" s="382">
        <f>'[1]COE DISB 2019'!AL22</f>
        <v>0</v>
      </c>
      <c r="EL14" s="382">
        <f t="shared" si="34"/>
        <v>2000000</v>
      </c>
      <c r="EM14" s="386"/>
      <c r="EN14" s="382">
        <f>'[1]COE commited funds to date'!AM17</f>
        <v>7000000</v>
      </c>
      <c r="EO14" s="382">
        <f>'[1]COE DISB 2019'!AM22</f>
        <v>7000000</v>
      </c>
      <c r="EP14" s="382">
        <f t="shared" si="35"/>
        <v>0</v>
      </c>
      <c r="EQ14" s="386"/>
      <c r="ER14" s="382">
        <f>'[1]COE commited funds to date'!AN17</f>
        <v>310000000</v>
      </c>
      <c r="ES14" s="382">
        <f>'[1]COE DISB 2019'!AN22</f>
        <v>310000000</v>
      </c>
      <c r="ET14" s="382">
        <f t="shared" si="36"/>
        <v>0</v>
      </c>
      <c r="EV14" s="383">
        <f>'[1]COE commited funds to date'!AO17</f>
        <v>371067000</v>
      </c>
      <c r="EW14" s="383">
        <f>'[1]COE DISB 2019'!AO22</f>
        <v>215218860</v>
      </c>
      <c r="EX14" s="383">
        <f t="shared" si="38"/>
        <v>155848140</v>
      </c>
      <c r="EY14" s="380"/>
      <c r="EZ14" s="383">
        <f>'[1]COE commited funds to date'!AQ17</f>
        <v>12000000</v>
      </c>
      <c r="FA14" s="383">
        <f>'[1]COE DISB 2019'!AP22</f>
        <v>12000000</v>
      </c>
      <c r="FB14" s="383">
        <f t="shared" si="39"/>
        <v>0</v>
      </c>
      <c r="FC14" s="380"/>
      <c r="FD14" s="383">
        <f>'[1]COE commited funds to date'!AR17</f>
        <v>10000000</v>
      </c>
      <c r="FE14" s="383">
        <f>'[1]COE DISB 2019'!AQ22</f>
        <v>0</v>
      </c>
      <c r="FF14" s="383">
        <f t="shared" si="40"/>
        <v>10000000</v>
      </c>
      <c r="FG14" s="380"/>
      <c r="FH14" s="383">
        <f>'[1]COE commited funds to date'!AP17</f>
        <v>8000000</v>
      </c>
      <c r="FI14" s="383">
        <f>'[1]COE DISB 2019'!AR22</f>
        <v>4400000</v>
      </c>
      <c r="FJ14" s="383">
        <f t="shared" si="41"/>
        <v>3600000</v>
      </c>
      <c r="FK14" s="383">
        <f>'[1]COE commited funds to date'!AS17</f>
        <v>0</v>
      </c>
      <c r="FL14" s="383">
        <f>'[1]COE DISB 2019'!AS22</f>
        <v>0</v>
      </c>
      <c r="FM14" s="383">
        <f t="shared" si="42"/>
        <v>0</v>
      </c>
      <c r="FN14" s="380"/>
      <c r="FO14" s="383">
        <f>'[1]COE commited funds to date'!AT17</f>
        <v>200000000</v>
      </c>
      <c r="FP14" s="383">
        <f>'[1]COE DISB 2019'!AT22</f>
        <v>0</v>
      </c>
      <c r="FQ14" s="383">
        <f t="shared" si="43"/>
        <v>200000000</v>
      </c>
      <c r="FR14" s="380"/>
      <c r="FS14" s="383">
        <f>'[1]COE commited funds to date'!AU17</f>
        <v>75000000</v>
      </c>
      <c r="FT14" s="383">
        <f>'[1]COE DISB 2019'!AU22</f>
        <v>63750000</v>
      </c>
      <c r="FU14" s="383">
        <f t="shared" si="44"/>
        <v>11250000</v>
      </c>
      <c r="FV14" s="380"/>
      <c r="FW14" s="383">
        <f>'[1]COE commited funds to date'!AV17</f>
        <v>8700000</v>
      </c>
      <c r="FX14" s="383">
        <f>'[1]COE DISB 2019'!AV22</f>
        <v>0</v>
      </c>
      <c r="FY14" s="383">
        <f t="shared" si="45"/>
        <v>8700000</v>
      </c>
      <c r="FZ14" s="380"/>
      <c r="GA14" s="383">
        <f>'[1]COE commited funds to date'!AW17</f>
        <v>5000000</v>
      </c>
      <c r="GB14" s="383">
        <f>'[1]COE DISB 2019'!AW22</f>
        <v>0</v>
      </c>
      <c r="GC14" s="383">
        <f t="shared" si="46"/>
        <v>5000000</v>
      </c>
      <c r="GD14" s="380"/>
      <c r="GE14" s="383">
        <f>'[1]COE commited funds to date'!AX17</f>
        <v>20000000</v>
      </c>
      <c r="GF14" s="383">
        <f>'[1]COE DISB 2019'!AX22</f>
        <v>15040860</v>
      </c>
      <c r="GG14" s="383">
        <f t="shared" si="47"/>
        <v>4959140</v>
      </c>
      <c r="GH14" s="380"/>
      <c r="GI14" s="383">
        <f>'[1]COE commited funds to date'!AY17</f>
        <v>230000000</v>
      </c>
      <c r="GJ14" s="383">
        <f>'[1]COE DISB 2019'!AY22</f>
        <v>0</v>
      </c>
      <c r="GK14" s="383">
        <f t="shared" si="48"/>
        <v>230000000</v>
      </c>
      <c r="GL14" s="380"/>
      <c r="GM14" s="383">
        <f>'[1]COE commited funds to date'!AZ17</f>
        <v>116776600</v>
      </c>
      <c r="GN14" s="383">
        <f>'[1]COE DISB 2019'!AZ22</f>
        <v>0</v>
      </c>
      <c r="GO14" s="383">
        <f t="shared" si="49"/>
        <v>116776600</v>
      </c>
      <c r="GP14" s="380"/>
      <c r="GQ14" s="383">
        <f>'[1]COE commited funds to date'!BA17</f>
        <v>12000000</v>
      </c>
      <c r="GR14" s="383">
        <f>'[1]COE DISB 2019'!BA22</f>
        <v>0</v>
      </c>
      <c r="GS14" s="383">
        <f t="shared" si="50"/>
        <v>12000000</v>
      </c>
      <c r="GT14" s="380"/>
      <c r="GU14" s="383">
        <f>'[1]COE commited funds to date'!BB17</f>
        <v>5000000</v>
      </c>
      <c r="GV14" s="383">
        <f>'[1]COE DISB 2019'!BB22</f>
        <v>0</v>
      </c>
      <c r="GW14" s="383">
        <f t="shared" si="51"/>
        <v>5000000</v>
      </c>
      <c r="GX14" s="380"/>
      <c r="GY14" s="383">
        <f>'[1]COE commited funds to date'!BC17</f>
        <v>10308300</v>
      </c>
      <c r="GZ14" s="383">
        <f>'[1]COE DISB 2019'!BC22</f>
        <v>0</v>
      </c>
      <c r="HA14" s="383">
        <f t="shared" si="52"/>
        <v>10308300</v>
      </c>
      <c r="HB14" s="380"/>
      <c r="HC14" s="383">
        <f t="shared" si="53"/>
        <v>3052776865.5</v>
      </c>
      <c r="HD14" s="383">
        <f t="shared" si="53"/>
        <v>2099494685.4000001</v>
      </c>
      <c r="HE14" s="382">
        <f t="shared" si="54"/>
        <v>953282180.0999999</v>
      </c>
      <c r="HG14" s="383">
        <f t="shared" si="55"/>
        <v>2081991965.5</v>
      </c>
      <c r="HH14" s="383">
        <f t="shared" si="55"/>
        <v>1329403825.4000001</v>
      </c>
      <c r="HI14" s="383">
        <f t="shared" si="56"/>
        <v>752588140.0999999</v>
      </c>
      <c r="HK14" s="383">
        <f t="shared" si="57"/>
        <v>630500000</v>
      </c>
      <c r="HL14" s="383">
        <f t="shared" si="57"/>
        <v>623000000</v>
      </c>
      <c r="HM14" s="383">
        <f t="shared" si="58"/>
        <v>7500000</v>
      </c>
      <c r="HO14" s="383">
        <f t="shared" si="37"/>
        <v>500000</v>
      </c>
      <c r="HP14" s="383">
        <f t="shared" si="37"/>
        <v>500000</v>
      </c>
      <c r="HQ14" s="383">
        <f t="shared" si="59"/>
        <v>0</v>
      </c>
      <c r="HS14" s="383">
        <f t="shared" si="60"/>
        <v>89308300</v>
      </c>
      <c r="HT14" s="383">
        <f t="shared" si="60"/>
        <v>74040860</v>
      </c>
      <c r="HU14" s="383">
        <f t="shared" si="61"/>
        <v>15267440</v>
      </c>
      <c r="HW14" s="383">
        <f t="shared" si="62"/>
        <v>36700000</v>
      </c>
      <c r="HX14" s="383">
        <f t="shared" si="62"/>
        <v>8800000</v>
      </c>
      <c r="HY14" s="383">
        <f t="shared" si="63"/>
        <v>27900000</v>
      </c>
      <c r="IA14" s="387">
        <f t="shared" si="64"/>
        <v>20000000</v>
      </c>
      <c r="IB14" s="387">
        <f t="shared" si="64"/>
        <v>0</v>
      </c>
      <c r="IC14" s="387">
        <f t="shared" si="65"/>
        <v>20000000</v>
      </c>
      <c r="IE14" s="383">
        <f t="shared" si="66"/>
        <v>191776600</v>
      </c>
      <c r="IF14" s="383">
        <f t="shared" si="66"/>
        <v>63750000</v>
      </c>
      <c r="IG14" s="383">
        <f t="shared" si="67"/>
        <v>128026600</v>
      </c>
      <c r="II14" s="383">
        <f t="shared" si="68"/>
        <v>2000000</v>
      </c>
      <c r="IJ14" s="383">
        <f t="shared" si="68"/>
        <v>0</v>
      </c>
      <c r="IK14" s="383">
        <f t="shared" si="69"/>
        <v>2000000</v>
      </c>
    </row>
    <row r="15" spans="1:245" ht="19.5" customHeight="1" x14ac:dyDescent="0.25">
      <c r="A15" s="380">
        <v>12</v>
      </c>
      <c r="B15" s="380" t="s">
        <v>331</v>
      </c>
      <c r="C15" s="381" t="s">
        <v>69</v>
      </c>
      <c r="D15" s="382">
        <v>18318965.5</v>
      </c>
      <c r="E15" s="382">
        <f>'[1]COE DISB 2019'!D23</f>
        <v>18318965.5</v>
      </c>
      <c r="F15" s="383">
        <f t="shared" si="0"/>
        <v>0</v>
      </c>
      <c r="H15" s="382">
        <v>8000000</v>
      </c>
      <c r="I15" s="382">
        <f>'[1]COE DISB 2019'!E23</f>
        <v>8000000</v>
      </c>
      <c r="J15" s="383">
        <f t="shared" si="1"/>
        <v>0</v>
      </c>
      <c r="L15" s="382">
        <v>500000</v>
      </c>
      <c r="M15" s="382">
        <f>'[1]COE DISB 2019'!F23</f>
        <v>500000</v>
      </c>
      <c r="N15" s="383">
        <f t="shared" si="2"/>
        <v>0</v>
      </c>
      <c r="P15" s="353">
        <v>16000000</v>
      </c>
      <c r="Q15" s="382">
        <f>'[1]COE DISB 2019'!G23</f>
        <v>16000000</v>
      </c>
      <c r="R15" s="383">
        <f t="shared" si="3"/>
        <v>0</v>
      </c>
      <c r="T15" s="353">
        <v>0</v>
      </c>
      <c r="U15" s="382">
        <f>'[1]COE DISB 2019'!H23</f>
        <v>0</v>
      </c>
      <c r="V15" s="383">
        <f t="shared" si="4"/>
        <v>0</v>
      </c>
      <c r="X15" s="385">
        <v>4000000</v>
      </c>
      <c r="Y15" s="382">
        <f>'[1]COE DISB 2019'!I23</f>
        <v>4000000</v>
      </c>
      <c r="Z15" s="383">
        <f t="shared" si="5"/>
        <v>0</v>
      </c>
      <c r="AB15" s="385">
        <v>20000000</v>
      </c>
      <c r="AC15" s="382">
        <f>'[1]COE DISB 2019'!J23</f>
        <v>20000000</v>
      </c>
      <c r="AD15" s="383">
        <f t="shared" si="6"/>
        <v>0</v>
      </c>
      <c r="AF15" s="353">
        <v>0</v>
      </c>
      <c r="AG15" s="382">
        <f>'[1]COE DISB 2019'!K23</f>
        <v>0</v>
      </c>
      <c r="AH15" s="383">
        <f t="shared" si="7"/>
        <v>0</v>
      </c>
      <c r="AJ15" s="385">
        <v>10000000</v>
      </c>
      <c r="AK15" s="382">
        <f>'[1]COE DISB 2019'!L23</f>
        <v>10000000</v>
      </c>
      <c r="AL15" s="383">
        <f t="shared" si="8"/>
        <v>0</v>
      </c>
      <c r="AN15" s="382">
        <v>10000000</v>
      </c>
      <c r="AO15" s="382">
        <f>'[1]COE DISB 2019'!M23</f>
        <v>10000000</v>
      </c>
      <c r="AP15" s="383">
        <f t="shared" si="9"/>
        <v>0</v>
      </c>
      <c r="AR15" s="382">
        <v>15000000</v>
      </c>
      <c r="AS15" s="382">
        <f>'[1]COE DISB 2019'!N23</f>
        <v>15000000</v>
      </c>
      <c r="AT15" s="383">
        <f t="shared" si="10"/>
        <v>0</v>
      </c>
      <c r="AV15" s="382">
        <v>10000000</v>
      </c>
      <c r="AW15" s="389">
        <f>'[1]COE DISB 2019'!O23</f>
        <v>10000000</v>
      </c>
      <c r="AX15" s="382">
        <f t="shared" si="11"/>
        <v>0</v>
      </c>
      <c r="AZ15" s="382">
        <v>18000000</v>
      </c>
      <c r="BA15" s="382">
        <f>'[1]COE DISB 2019'!P23</f>
        <v>18000000</v>
      </c>
      <c r="BB15" s="382">
        <f t="shared" si="12"/>
        <v>0</v>
      </c>
      <c r="BD15" s="382">
        <v>23400000</v>
      </c>
      <c r="BE15" s="382">
        <f>'[1]COE DISB 2019'!Q23</f>
        <v>23400000</v>
      </c>
      <c r="BF15" s="382">
        <f t="shared" si="13"/>
        <v>0</v>
      </c>
      <c r="BH15" s="382">
        <v>0</v>
      </c>
      <c r="BI15" s="382">
        <f>'[1]COE DISB 2019'!R23</f>
        <v>0</v>
      </c>
      <c r="BJ15" s="382">
        <f t="shared" si="14"/>
        <v>0</v>
      </c>
      <c r="BL15" s="382">
        <v>43000000</v>
      </c>
      <c r="BM15" s="382">
        <f>'[1]COE DISB 2019'!S23</f>
        <v>43000000</v>
      </c>
      <c r="BN15" s="382">
        <f t="shared" si="15"/>
        <v>0</v>
      </c>
      <c r="BP15" s="382">
        <v>37160000</v>
      </c>
      <c r="BQ15" s="382">
        <f>'[1]COE DISB 2019'!T23</f>
        <v>37160000</v>
      </c>
      <c r="BR15" s="382">
        <f t="shared" si="16"/>
        <v>0</v>
      </c>
      <c r="BT15" s="382">
        <v>0</v>
      </c>
      <c r="BU15" s="382">
        <f>'[1]COE DISB 2019'!U23</f>
        <v>0</v>
      </c>
      <c r="BV15" s="382">
        <f t="shared" si="17"/>
        <v>0</v>
      </c>
      <c r="BX15" s="382">
        <v>112670000</v>
      </c>
      <c r="BY15" s="382">
        <f>'[1]COE DISB 2019'!V23</f>
        <v>112670000</v>
      </c>
      <c r="BZ15" s="382">
        <f t="shared" si="18"/>
        <v>0</v>
      </c>
      <c r="CB15" s="382">
        <f>'[1]COE commited funds to date'!W18</f>
        <v>50000000</v>
      </c>
      <c r="CC15" s="382">
        <f>'[1]COE DISB 2019'!W23</f>
        <v>50000000</v>
      </c>
      <c r="CD15" s="382">
        <f t="shared" si="19"/>
        <v>0</v>
      </c>
      <c r="CF15" s="382">
        <f>'[1]COE commited funds to date'!X18</f>
        <v>125000000</v>
      </c>
      <c r="CG15" s="382">
        <f>'[1]COE DISB 2019'!X23</f>
        <v>125000000</v>
      </c>
      <c r="CH15" s="382">
        <f t="shared" si="20"/>
        <v>0</v>
      </c>
      <c r="CJ15" s="382">
        <v>10000000</v>
      </c>
      <c r="CK15" s="382">
        <f>'[1]COE DISB 2019'!Y23</f>
        <v>10000000</v>
      </c>
      <c r="CL15" s="382">
        <f t="shared" si="21"/>
        <v>0</v>
      </c>
      <c r="CN15" s="382">
        <v>0</v>
      </c>
      <c r="CO15" s="382">
        <f>'[1]COE DISB 2019'!Z23</f>
        <v>0</v>
      </c>
      <c r="CP15" s="382">
        <f t="shared" si="22"/>
        <v>0</v>
      </c>
      <c r="CR15" s="382">
        <v>210000000</v>
      </c>
      <c r="CS15" s="382">
        <f>'[1]COE DISB 2019'!AA23</f>
        <v>210000000</v>
      </c>
      <c r="CT15" s="382">
        <f t="shared" si="23"/>
        <v>0</v>
      </c>
      <c r="CV15" s="382">
        <v>10000000</v>
      </c>
      <c r="CW15" s="382">
        <f>'[1]COE DISB 2019'!AB23</f>
        <v>10000000</v>
      </c>
      <c r="CX15" s="382">
        <f t="shared" si="24"/>
        <v>0</v>
      </c>
      <c r="CZ15" s="382">
        <f>'[1]COE commited funds to date'!AC18</f>
        <v>100000000</v>
      </c>
      <c r="DA15" s="382">
        <f>'[1]COE DISB 2019'!AC23</f>
        <v>100000000</v>
      </c>
      <c r="DB15" s="382">
        <f t="shared" si="25"/>
        <v>0</v>
      </c>
      <c r="DC15" s="386"/>
      <c r="DD15" s="382">
        <v>215000000</v>
      </c>
      <c r="DE15" s="382">
        <f>'[1]COE DISB 2019'!AD23</f>
        <v>215000000</v>
      </c>
      <c r="DF15" s="382">
        <f t="shared" si="26"/>
        <v>0</v>
      </c>
      <c r="DG15" s="386"/>
      <c r="DH15" s="382">
        <v>10000000</v>
      </c>
      <c r="DI15" s="382">
        <f>'[1]COE DISB 2019'!AE23</f>
        <v>10000000</v>
      </c>
      <c r="DJ15" s="382">
        <f t="shared" si="27"/>
        <v>0</v>
      </c>
      <c r="DK15" s="386"/>
      <c r="DL15" s="382">
        <f>'[1]COE commited funds to date'!AD18</f>
        <v>0</v>
      </c>
      <c r="DM15" s="382">
        <f>'[1]COE DISB 2019'!AF23</f>
        <v>0</v>
      </c>
      <c r="DN15" s="382">
        <f t="shared" si="28"/>
        <v>0</v>
      </c>
      <c r="DO15" s="386"/>
      <c r="DP15" s="382">
        <v>325000000</v>
      </c>
      <c r="DQ15" s="382">
        <f>'[1]COE DISB 2019'!AG23</f>
        <v>325000000</v>
      </c>
      <c r="DR15" s="382">
        <f t="shared" si="29"/>
        <v>0</v>
      </c>
      <c r="DS15" s="386"/>
      <c r="DT15" s="353">
        <v>10000000</v>
      </c>
      <c r="DU15" s="382">
        <f>'[1]COE DISB 2019'!AH23</f>
        <v>10000000</v>
      </c>
      <c r="DV15" s="382">
        <f t="shared" si="30"/>
        <v>0</v>
      </c>
      <c r="DW15" s="386"/>
      <c r="DX15" s="382">
        <f>'[1]COE commited funds to date'!AI18</f>
        <v>150000000</v>
      </c>
      <c r="DY15" s="382">
        <f>'[1]COE DISB 2019'!AI23</f>
        <v>150000000</v>
      </c>
      <c r="DZ15" s="382">
        <f t="shared" si="31"/>
        <v>0</v>
      </c>
      <c r="EA15" s="386"/>
      <c r="EB15" s="382">
        <f>'[1]COE commited funds to date'!AJ18</f>
        <v>72000000</v>
      </c>
      <c r="EC15" s="382">
        <f>'[1]COE DISB 2019'!AJ23</f>
        <v>72000000</v>
      </c>
      <c r="ED15" s="382">
        <f t="shared" si="32"/>
        <v>0</v>
      </c>
      <c r="EE15" s="386"/>
      <c r="EF15" s="382">
        <f>'[1]COE commited funds to date'!AK18</f>
        <v>8000000</v>
      </c>
      <c r="EG15" s="382">
        <f>'[1]COE DISB 2019'!AK23</f>
        <v>8000000</v>
      </c>
      <c r="EH15" s="382">
        <f t="shared" si="33"/>
        <v>0</v>
      </c>
      <c r="EI15" s="386"/>
      <c r="EJ15" s="382">
        <f>'[1]COE commited funds to date'!AL18</f>
        <v>2000000</v>
      </c>
      <c r="EK15" s="382">
        <f>'[1]COE DISB 2019'!AL23</f>
        <v>1700000</v>
      </c>
      <c r="EL15" s="382">
        <f t="shared" si="34"/>
        <v>300000</v>
      </c>
      <c r="EM15" s="386"/>
      <c r="EN15" s="382">
        <f>'[1]COE commited funds to date'!AM18</f>
        <v>7000000</v>
      </c>
      <c r="EO15" s="382">
        <f>'[1]COE DISB 2019'!AM23</f>
        <v>7000000</v>
      </c>
      <c r="EP15" s="382">
        <f t="shared" si="35"/>
        <v>0</v>
      </c>
      <c r="EQ15" s="386"/>
      <c r="ER15" s="382">
        <f>'[1]COE commited funds to date'!AN18</f>
        <v>750000000</v>
      </c>
      <c r="ES15" s="382">
        <f>'[1]COE DISB 2019'!AN23</f>
        <v>750000000</v>
      </c>
      <c r="ET15" s="382">
        <f t="shared" si="36"/>
        <v>0</v>
      </c>
      <c r="EV15" s="383">
        <f>'[1]COE commited funds to date'!AO18</f>
        <v>371067000</v>
      </c>
      <c r="EW15" s="383">
        <f>'[1]COE DISB 2019'!AO23</f>
        <v>0</v>
      </c>
      <c r="EX15" s="383">
        <f t="shared" si="38"/>
        <v>371067000</v>
      </c>
      <c r="EY15" s="380"/>
      <c r="EZ15" s="383">
        <f>'[1]COE commited funds to date'!AQ18</f>
        <v>12000000</v>
      </c>
      <c r="FA15" s="383">
        <f>'[1]COE DISB 2019'!AP23</f>
        <v>12000000</v>
      </c>
      <c r="FB15" s="383">
        <f t="shared" si="39"/>
        <v>0</v>
      </c>
      <c r="FC15" s="380"/>
      <c r="FD15" s="383">
        <f>'[1]COE commited funds to date'!AR18</f>
        <v>10000000</v>
      </c>
      <c r="FE15" s="383">
        <f>'[1]COE DISB 2019'!AQ23</f>
        <v>0</v>
      </c>
      <c r="FF15" s="383">
        <f t="shared" si="40"/>
        <v>10000000</v>
      </c>
      <c r="FG15" s="380"/>
      <c r="FH15" s="383">
        <f>'[1]COE commited funds to date'!AP18</f>
        <v>8000000</v>
      </c>
      <c r="FI15" s="383">
        <f>'[1]COE DISB 2019'!AR23</f>
        <v>0</v>
      </c>
      <c r="FJ15" s="383">
        <f t="shared" si="41"/>
        <v>8000000</v>
      </c>
      <c r="FK15" s="383">
        <f>'[1]COE commited funds to date'!AS18</f>
        <v>150000000</v>
      </c>
      <c r="FL15" s="383">
        <f>'[1]COE DISB 2019'!AS23</f>
        <v>87000000</v>
      </c>
      <c r="FM15" s="383">
        <f t="shared" si="42"/>
        <v>63000000</v>
      </c>
      <c r="FN15" s="380"/>
      <c r="FO15" s="383">
        <f>'[1]COE commited funds to date'!AT18</f>
        <v>200000000</v>
      </c>
      <c r="FP15" s="383">
        <f>'[1]COE DISB 2019'!AT23</f>
        <v>0</v>
      </c>
      <c r="FQ15" s="383">
        <f t="shared" si="43"/>
        <v>200000000</v>
      </c>
      <c r="FR15" s="380"/>
      <c r="FS15" s="383">
        <f>'[1]COE commited funds to date'!AU18</f>
        <v>75000000</v>
      </c>
      <c r="FT15" s="383">
        <f>'[1]COE DISB 2019'!AU23</f>
        <v>0</v>
      </c>
      <c r="FU15" s="383">
        <f t="shared" si="44"/>
        <v>75000000</v>
      </c>
      <c r="FV15" s="380"/>
      <c r="FW15" s="383">
        <f>'[1]COE commited funds to date'!AV18</f>
        <v>8700000</v>
      </c>
      <c r="FX15" s="383">
        <f>'[1]COE DISB 2019'!AV23</f>
        <v>0</v>
      </c>
      <c r="FY15" s="383">
        <f t="shared" si="45"/>
        <v>8700000</v>
      </c>
      <c r="FZ15" s="380"/>
      <c r="GA15" s="383">
        <f>'[1]COE commited funds to date'!AW18</f>
        <v>5000000</v>
      </c>
      <c r="GB15" s="383">
        <f>'[1]COE DISB 2019'!AW23</f>
        <v>0</v>
      </c>
      <c r="GC15" s="383">
        <f t="shared" si="46"/>
        <v>5000000</v>
      </c>
      <c r="GD15" s="380"/>
      <c r="GE15" s="383">
        <f>'[1]COE commited funds to date'!AX18</f>
        <v>20000000</v>
      </c>
      <c r="GF15" s="383">
        <f>'[1]COE DISB 2019'!AX23</f>
        <v>10090200</v>
      </c>
      <c r="GG15" s="383">
        <f t="shared" si="47"/>
        <v>9909800</v>
      </c>
      <c r="GH15" s="380"/>
      <c r="GI15" s="383">
        <f>'[1]COE commited funds to date'!AY18</f>
        <v>230000000</v>
      </c>
      <c r="GJ15" s="383">
        <f>'[1]COE DISB 2019'!AY23</f>
        <v>0</v>
      </c>
      <c r="GK15" s="383">
        <f t="shared" si="48"/>
        <v>230000000</v>
      </c>
      <c r="GL15" s="380"/>
      <c r="GM15" s="383">
        <f>'[1]COE commited funds to date'!AZ18</f>
        <v>116776600</v>
      </c>
      <c r="GN15" s="383">
        <f>'[1]COE DISB 2019'!AZ23</f>
        <v>0</v>
      </c>
      <c r="GO15" s="383">
        <f t="shared" si="49"/>
        <v>116776600</v>
      </c>
      <c r="GP15" s="380"/>
      <c r="GQ15" s="383">
        <f>'[1]COE commited funds to date'!BA18</f>
        <v>12000000</v>
      </c>
      <c r="GR15" s="383">
        <f>'[1]COE DISB 2019'!BA23</f>
        <v>0</v>
      </c>
      <c r="GS15" s="383">
        <f t="shared" si="50"/>
        <v>12000000</v>
      </c>
      <c r="GT15" s="380"/>
      <c r="GU15" s="383">
        <f>'[1]COE commited funds to date'!BB18</f>
        <v>5000000</v>
      </c>
      <c r="GV15" s="383">
        <f>'[1]COE DISB 2019'!BB23</f>
        <v>0</v>
      </c>
      <c r="GW15" s="383">
        <f t="shared" si="51"/>
        <v>5000000</v>
      </c>
      <c r="GX15" s="380"/>
      <c r="GY15" s="383">
        <f>'[1]COE commited funds to date'!BC18</f>
        <v>10308300</v>
      </c>
      <c r="GZ15" s="383">
        <f>'[1]COE DISB 2019'!BC23</f>
        <v>0</v>
      </c>
      <c r="HA15" s="383">
        <f t="shared" si="52"/>
        <v>10308300</v>
      </c>
      <c r="HB15" s="380"/>
      <c r="HC15" s="383">
        <f t="shared" si="53"/>
        <v>3633900865.5</v>
      </c>
      <c r="HD15" s="383">
        <f t="shared" si="53"/>
        <v>2508839165.5</v>
      </c>
      <c r="HE15" s="382">
        <f t="shared" si="54"/>
        <v>1125061700</v>
      </c>
      <c r="HG15" s="383">
        <f t="shared" si="55"/>
        <v>2079615965.5</v>
      </c>
      <c r="HH15" s="383">
        <f t="shared" si="55"/>
        <v>1278548965.5</v>
      </c>
      <c r="HI15" s="383">
        <f t="shared" si="56"/>
        <v>801067000</v>
      </c>
      <c r="HK15" s="383">
        <f t="shared" si="57"/>
        <v>1050000000</v>
      </c>
      <c r="HL15" s="383">
        <f t="shared" si="57"/>
        <v>1050000000</v>
      </c>
      <c r="HM15" s="383">
        <f t="shared" si="58"/>
        <v>0</v>
      </c>
      <c r="HO15" s="383">
        <f t="shared" si="37"/>
        <v>500000</v>
      </c>
      <c r="HP15" s="383">
        <f t="shared" si="37"/>
        <v>500000</v>
      </c>
      <c r="HQ15" s="383">
        <f t="shared" si="59"/>
        <v>0</v>
      </c>
      <c r="HS15" s="383">
        <f t="shared" si="60"/>
        <v>89308300</v>
      </c>
      <c r="HT15" s="383">
        <f t="shared" si="60"/>
        <v>69090200</v>
      </c>
      <c r="HU15" s="383">
        <f t="shared" si="61"/>
        <v>20218100</v>
      </c>
      <c r="HW15" s="383">
        <f t="shared" si="62"/>
        <v>36700000</v>
      </c>
      <c r="HX15" s="383">
        <f t="shared" si="62"/>
        <v>8000000</v>
      </c>
      <c r="HY15" s="383">
        <f t="shared" si="63"/>
        <v>28700000</v>
      </c>
      <c r="IA15" s="387">
        <f t="shared" si="64"/>
        <v>20000000</v>
      </c>
      <c r="IB15" s="387">
        <f t="shared" si="64"/>
        <v>0</v>
      </c>
      <c r="IC15" s="387">
        <f t="shared" si="65"/>
        <v>20000000</v>
      </c>
      <c r="IE15" s="383">
        <f t="shared" si="66"/>
        <v>341776600</v>
      </c>
      <c r="IF15" s="383">
        <f t="shared" si="66"/>
        <v>87000000</v>
      </c>
      <c r="IG15" s="383">
        <f t="shared" si="67"/>
        <v>254776600</v>
      </c>
      <c r="II15" s="383">
        <f t="shared" si="68"/>
        <v>2000000</v>
      </c>
      <c r="IJ15" s="383">
        <f t="shared" si="68"/>
        <v>1700000</v>
      </c>
      <c r="IK15" s="383">
        <f t="shared" si="69"/>
        <v>300000</v>
      </c>
    </row>
    <row r="16" spans="1:245" ht="19.5" customHeight="1" x14ac:dyDescent="0.25">
      <c r="A16" s="380">
        <v>13</v>
      </c>
      <c r="B16" s="380" t="s">
        <v>332</v>
      </c>
      <c r="C16" s="381" t="s">
        <v>61</v>
      </c>
      <c r="D16" s="382">
        <v>18318965.5</v>
      </c>
      <c r="E16" s="382">
        <f>'[1]COE DISB 2019'!D24</f>
        <v>18318965.5</v>
      </c>
      <c r="F16" s="383">
        <f t="shared" si="0"/>
        <v>0</v>
      </c>
      <c r="H16" s="382">
        <v>8000000</v>
      </c>
      <c r="I16" s="382">
        <f>'[1]COE DISB 2019'!E24</f>
        <v>8000000</v>
      </c>
      <c r="J16" s="383">
        <f t="shared" si="1"/>
        <v>0</v>
      </c>
      <c r="L16" s="382">
        <v>500000</v>
      </c>
      <c r="M16" s="382">
        <f>'[1]COE DISB 2019'!F24</f>
        <v>500000</v>
      </c>
      <c r="N16" s="383">
        <f t="shared" si="2"/>
        <v>0</v>
      </c>
      <c r="P16" s="353">
        <v>16000000</v>
      </c>
      <c r="Q16" s="382">
        <f>'[1]COE DISB 2019'!G24</f>
        <v>16000000</v>
      </c>
      <c r="R16" s="383">
        <f t="shared" si="3"/>
        <v>0</v>
      </c>
      <c r="T16" s="385">
        <v>488000</v>
      </c>
      <c r="U16" s="382">
        <f>'[1]COE DISB 2019'!H24</f>
        <v>488000</v>
      </c>
      <c r="V16" s="383">
        <f t="shared" si="4"/>
        <v>0</v>
      </c>
      <c r="X16" s="353">
        <v>0</v>
      </c>
      <c r="Y16" s="382">
        <f>'[1]COE DISB 2019'!I24</f>
        <v>0</v>
      </c>
      <c r="Z16" s="383">
        <f t="shared" si="5"/>
        <v>0</v>
      </c>
      <c r="AB16" s="385">
        <v>20000000</v>
      </c>
      <c r="AC16" s="382">
        <f>'[1]COE DISB 2019'!J24</f>
        <v>20000000</v>
      </c>
      <c r="AD16" s="383">
        <f t="shared" si="6"/>
        <v>0</v>
      </c>
      <c r="AF16" s="353">
        <v>0</v>
      </c>
      <c r="AG16" s="382">
        <f>'[1]COE DISB 2019'!K24</f>
        <v>0</v>
      </c>
      <c r="AH16" s="383">
        <f t="shared" si="7"/>
        <v>0</v>
      </c>
      <c r="AJ16" s="385">
        <v>10000000</v>
      </c>
      <c r="AK16" s="382">
        <f>'[1]COE DISB 2019'!L24</f>
        <v>10000000</v>
      </c>
      <c r="AL16" s="383">
        <f t="shared" si="8"/>
        <v>0</v>
      </c>
      <c r="AN16" s="382">
        <v>10000000</v>
      </c>
      <c r="AO16" s="382">
        <f>'[1]COE DISB 2019'!M24</f>
        <v>10000000</v>
      </c>
      <c r="AP16" s="383">
        <f t="shared" si="9"/>
        <v>0</v>
      </c>
      <c r="AR16" s="382">
        <v>15000000</v>
      </c>
      <c r="AS16" s="382">
        <f>'[1]COE DISB 2019'!N24</f>
        <v>15000000</v>
      </c>
      <c r="AT16" s="383">
        <f t="shared" si="10"/>
        <v>0</v>
      </c>
      <c r="AV16" s="382">
        <v>8500000</v>
      </c>
      <c r="AW16" s="385">
        <f>'[1]COE DISB 2019'!O24</f>
        <v>8500000</v>
      </c>
      <c r="AX16" s="382">
        <f t="shared" si="11"/>
        <v>0</v>
      </c>
      <c r="AZ16" s="382">
        <v>18000000</v>
      </c>
      <c r="BA16" s="382">
        <f>'[1]COE DISB 2019'!P24</f>
        <v>18000000</v>
      </c>
      <c r="BB16" s="382">
        <f t="shared" si="12"/>
        <v>0</v>
      </c>
      <c r="BD16" s="382">
        <v>23400000</v>
      </c>
      <c r="BE16" s="382">
        <f>'[1]COE DISB 2019'!Q24</f>
        <v>23400000</v>
      </c>
      <c r="BF16" s="382">
        <f t="shared" si="13"/>
        <v>0</v>
      </c>
      <c r="BH16" s="382">
        <v>0</v>
      </c>
      <c r="BI16" s="382">
        <f>'[1]COE DISB 2019'!R24</f>
        <v>0</v>
      </c>
      <c r="BJ16" s="382">
        <f t="shared" si="14"/>
        <v>0</v>
      </c>
      <c r="BL16" s="382">
        <v>26230000</v>
      </c>
      <c r="BM16" s="382">
        <f>'[1]COE DISB 2019'!S24</f>
        <v>26230000</v>
      </c>
      <c r="BN16" s="382">
        <f t="shared" si="15"/>
        <v>0</v>
      </c>
      <c r="BP16" s="382">
        <v>22667600</v>
      </c>
      <c r="BQ16" s="382">
        <f>'[1]COE DISB 2019'!T24</f>
        <v>22667600</v>
      </c>
      <c r="BR16" s="382">
        <f t="shared" si="16"/>
        <v>0</v>
      </c>
      <c r="BT16" s="382">
        <v>0</v>
      </c>
      <c r="BU16" s="382">
        <f>'[1]COE DISB 2019'!U24</f>
        <v>0</v>
      </c>
      <c r="BV16" s="382">
        <f t="shared" si="17"/>
        <v>0</v>
      </c>
      <c r="BX16" s="382">
        <v>68728700</v>
      </c>
      <c r="BY16" s="382">
        <f>'[1]COE DISB 2019'!V24</f>
        <v>68728700</v>
      </c>
      <c r="BZ16" s="382">
        <f t="shared" si="18"/>
        <v>0</v>
      </c>
      <c r="CB16" s="382">
        <f>'[1]COE commited funds to date'!W19</f>
        <v>0</v>
      </c>
      <c r="CC16" s="382">
        <f>'[1]COE DISB 2019'!W24</f>
        <v>0</v>
      </c>
      <c r="CD16" s="382">
        <f t="shared" si="19"/>
        <v>0</v>
      </c>
      <c r="CF16" s="382">
        <f>'[1]COE commited funds to date'!X19</f>
        <v>125000000</v>
      </c>
      <c r="CG16" s="382">
        <f>'[1]COE DISB 2019'!X24</f>
        <v>106250000</v>
      </c>
      <c r="CH16" s="382">
        <f t="shared" si="20"/>
        <v>18750000</v>
      </c>
      <c r="CJ16" s="382">
        <v>10000000</v>
      </c>
      <c r="CK16" s="382">
        <f>'[1]COE DISB 2019'!Y24</f>
        <v>10000000</v>
      </c>
      <c r="CL16" s="382">
        <f t="shared" si="21"/>
        <v>0</v>
      </c>
      <c r="CN16" s="382">
        <v>0</v>
      </c>
      <c r="CO16" s="382">
        <f>'[1]COE DISB 2019'!Z24</f>
        <v>0</v>
      </c>
      <c r="CP16" s="382">
        <f t="shared" si="22"/>
        <v>0</v>
      </c>
      <c r="CR16" s="382">
        <v>210000000</v>
      </c>
      <c r="CS16" s="382">
        <f>'[1]COE DISB 2019'!AA24</f>
        <v>121800000</v>
      </c>
      <c r="CT16" s="382">
        <f t="shared" si="23"/>
        <v>88200000</v>
      </c>
      <c r="CV16" s="382">
        <v>10000000</v>
      </c>
      <c r="CW16" s="382">
        <f>'[1]COE DISB 2019'!AB24</f>
        <v>10000000</v>
      </c>
      <c r="CX16" s="382">
        <f t="shared" si="24"/>
        <v>0</v>
      </c>
      <c r="CZ16" s="382">
        <f>'[1]COE commited funds to date'!AC19</f>
        <v>0</v>
      </c>
      <c r="DA16" s="382">
        <f>'[1]COE DISB 2019'!AC24</f>
        <v>0</v>
      </c>
      <c r="DB16" s="382">
        <f t="shared" si="25"/>
        <v>0</v>
      </c>
      <c r="DC16" s="386"/>
      <c r="DD16" s="382">
        <v>215000000</v>
      </c>
      <c r="DE16" s="382">
        <f>'[1]COE DISB 2019'!AD24</f>
        <v>124700000</v>
      </c>
      <c r="DF16" s="382">
        <f t="shared" si="26"/>
        <v>90300000</v>
      </c>
      <c r="DG16" s="386"/>
      <c r="DH16" s="382">
        <v>10000000</v>
      </c>
      <c r="DI16" s="382">
        <f>'[1]COE DISB 2019'!AE24</f>
        <v>10000000</v>
      </c>
      <c r="DJ16" s="382">
        <f t="shared" si="27"/>
        <v>0</v>
      </c>
      <c r="DK16" s="386"/>
      <c r="DL16" s="382">
        <f>'[1]COE commited funds to date'!AD19</f>
        <v>0</v>
      </c>
      <c r="DM16" s="382">
        <f>'[1]COE DISB 2019'!AF24</f>
        <v>0</v>
      </c>
      <c r="DN16" s="382">
        <f t="shared" si="28"/>
        <v>0</v>
      </c>
      <c r="DO16" s="386"/>
      <c r="DP16" s="382">
        <v>325000000</v>
      </c>
      <c r="DQ16" s="382">
        <f>'[1]COE DISB 2019'!AG24</f>
        <v>188500000</v>
      </c>
      <c r="DR16" s="382">
        <f t="shared" si="29"/>
        <v>136500000</v>
      </c>
      <c r="DS16" s="386"/>
      <c r="DT16" s="353">
        <v>10000000</v>
      </c>
      <c r="DU16" s="382">
        <f>'[1]COE DISB 2019'!AH24</f>
        <v>10000000</v>
      </c>
      <c r="DV16" s="382">
        <f t="shared" si="30"/>
        <v>0</v>
      </c>
      <c r="DW16" s="386"/>
      <c r="DX16" s="382">
        <f>'[1]COE commited funds to date'!AI19</f>
        <v>250000000</v>
      </c>
      <c r="DY16" s="382">
        <f>'[1]COE DISB 2019'!AI24</f>
        <v>212500000</v>
      </c>
      <c r="DZ16" s="382">
        <f t="shared" si="31"/>
        <v>37500000</v>
      </c>
      <c r="EA16" s="386"/>
      <c r="EB16" s="382">
        <f>'[1]COE commited funds to date'!AJ19</f>
        <v>72000000</v>
      </c>
      <c r="EC16" s="382">
        <f>'[1]COE DISB 2019'!AJ24</f>
        <v>41760000</v>
      </c>
      <c r="ED16" s="382">
        <f t="shared" si="32"/>
        <v>30240000</v>
      </c>
      <c r="EE16" s="386"/>
      <c r="EF16" s="382">
        <f>'[1]COE commited funds to date'!AK19</f>
        <v>8000000</v>
      </c>
      <c r="EG16" s="382">
        <f>'[1]COE DISB 2019'!AK24</f>
        <v>4080000</v>
      </c>
      <c r="EH16" s="382">
        <f t="shared" si="33"/>
        <v>3920000</v>
      </c>
      <c r="EI16" s="386"/>
      <c r="EJ16" s="382">
        <f>'[1]COE commited funds to date'!AL19</f>
        <v>2000000</v>
      </c>
      <c r="EK16" s="382">
        <f>'[1]COE DISB 2019'!AL24</f>
        <v>0</v>
      </c>
      <c r="EL16" s="382">
        <f t="shared" si="34"/>
        <v>2000000</v>
      </c>
      <c r="EM16" s="386"/>
      <c r="EN16" s="382">
        <f>'[1]COE commited funds to date'!AM19</f>
        <v>7000000</v>
      </c>
      <c r="EO16" s="382">
        <f>'[1]COE DISB 2019'!AM24</f>
        <v>3169400</v>
      </c>
      <c r="EP16" s="382">
        <f t="shared" si="35"/>
        <v>3830600</v>
      </c>
      <c r="EQ16" s="386"/>
      <c r="ER16" s="382">
        <f>'[1]COE commited funds to date'!AN19</f>
        <v>500000000</v>
      </c>
      <c r="ES16" s="382">
        <f>'[1]COE DISB 2019'!AN24</f>
        <v>492500000</v>
      </c>
      <c r="ET16" s="382">
        <f t="shared" si="36"/>
        <v>7500000</v>
      </c>
      <c r="EV16" s="383">
        <f>'[1]COE commited funds to date'!AO19</f>
        <v>371067000</v>
      </c>
      <c r="EW16" s="383">
        <f>'[1]COE DISB 2019'!AO24</f>
        <v>0</v>
      </c>
      <c r="EX16" s="383">
        <f t="shared" si="38"/>
        <v>371067000</v>
      </c>
      <c r="EY16" s="380"/>
      <c r="EZ16" s="383">
        <f>'[1]COE commited funds to date'!AQ19</f>
        <v>12000000</v>
      </c>
      <c r="FA16" s="383">
        <f>'[1]COE DISB 2019'!AP24</f>
        <v>12000000</v>
      </c>
      <c r="FB16" s="383">
        <f t="shared" si="39"/>
        <v>0</v>
      </c>
      <c r="FC16" s="380"/>
      <c r="FD16" s="383">
        <f>'[1]COE commited funds to date'!AR19</f>
        <v>10000000</v>
      </c>
      <c r="FE16" s="383">
        <f>'[1]COE DISB 2019'!AQ24</f>
        <v>0</v>
      </c>
      <c r="FF16" s="383">
        <f t="shared" si="40"/>
        <v>10000000</v>
      </c>
      <c r="FG16" s="380"/>
      <c r="FH16" s="383">
        <f>'[1]COE commited funds to date'!AP19</f>
        <v>8000000</v>
      </c>
      <c r="FI16" s="383">
        <f>'[1]COE DISB 2019'!AR24</f>
        <v>4080000</v>
      </c>
      <c r="FJ16" s="383">
        <f t="shared" si="41"/>
        <v>3920000</v>
      </c>
      <c r="FK16" s="383">
        <f>'[1]COE commited funds to date'!AS19</f>
        <v>0</v>
      </c>
      <c r="FL16" s="383">
        <f>'[1]COE DISB 2019'!AS24</f>
        <v>0</v>
      </c>
      <c r="FM16" s="383">
        <f t="shared" si="42"/>
        <v>0</v>
      </c>
      <c r="FN16" s="380"/>
      <c r="FO16" s="383">
        <f>'[1]COE commited funds to date'!AT19</f>
        <v>200000000</v>
      </c>
      <c r="FP16" s="383">
        <f>'[1]COE DISB 2019'!AT24</f>
        <v>0</v>
      </c>
      <c r="FQ16" s="383">
        <f t="shared" si="43"/>
        <v>200000000</v>
      </c>
      <c r="FR16" s="380"/>
      <c r="FS16" s="390">
        <f>'[1]COE commited funds to date'!AU19</f>
        <v>150000000</v>
      </c>
      <c r="FT16" s="383">
        <f>'[1]COE DISB 2019'!AU24</f>
        <v>138750000</v>
      </c>
      <c r="FU16" s="383">
        <f t="shared" si="44"/>
        <v>11250000</v>
      </c>
      <c r="FV16" s="380"/>
      <c r="FW16" s="383">
        <f>'[1]COE commited funds to date'!AV19</f>
        <v>8700000</v>
      </c>
      <c r="FX16" s="383">
        <f>'[1]COE DISB 2019'!AV24</f>
        <v>0</v>
      </c>
      <c r="FY16" s="383">
        <f t="shared" si="45"/>
        <v>8700000</v>
      </c>
      <c r="FZ16" s="380"/>
      <c r="GA16" s="383">
        <f>'[1]COE commited funds to date'!AW19</f>
        <v>5000000</v>
      </c>
      <c r="GB16" s="383">
        <f>'[1]COE DISB 2019'!AW24</f>
        <v>0</v>
      </c>
      <c r="GC16" s="383">
        <f t="shared" si="46"/>
        <v>5000000</v>
      </c>
      <c r="GD16" s="380"/>
      <c r="GE16" s="383">
        <f>'[1]COE commited funds to date'!AX19</f>
        <v>20000000</v>
      </c>
      <c r="GF16" s="383">
        <f>'[1]COE DISB 2019'!AX24</f>
        <v>3199000</v>
      </c>
      <c r="GG16" s="383">
        <f t="shared" si="47"/>
        <v>16801000</v>
      </c>
      <c r="GH16" s="380"/>
      <c r="GI16" s="383">
        <f>'[1]COE commited funds to date'!AY19</f>
        <v>230000000</v>
      </c>
      <c r="GJ16" s="383">
        <f>'[1]COE DISB 2019'!AY24</f>
        <v>0</v>
      </c>
      <c r="GK16" s="383">
        <f t="shared" si="48"/>
        <v>230000000</v>
      </c>
      <c r="GL16" s="380"/>
      <c r="GM16" s="383">
        <f>'[1]COE commited funds to date'!AZ19</f>
        <v>116776600</v>
      </c>
      <c r="GN16" s="383">
        <f>'[1]COE DISB 2019'!AZ24</f>
        <v>0</v>
      </c>
      <c r="GO16" s="383">
        <f t="shared" si="49"/>
        <v>116776600</v>
      </c>
      <c r="GP16" s="380"/>
      <c r="GQ16" s="383">
        <f>'[1]COE commited funds to date'!BA19</f>
        <v>12000000</v>
      </c>
      <c r="GR16" s="383">
        <f>'[1]COE DISB 2019'!BA24</f>
        <v>0</v>
      </c>
      <c r="GS16" s="383">
        <f t="shared" si="50"/>
        <v>12000000</v>
      </c>
      <c r="GT16" s="380"/>
      <c r="GU16" s="383">
        <f>'[1]COE commited funds to date'!BB19</f>
        <v>5000000</v>
      </c>
      <c r="GV16" s="383">
        <f>'[1]COE DISB 2019'!BB24</f>
        <v>0</v>
      </c>
      <c r="GW16" s="383">
        <f t="shared" si="51"/>
        <v>5000000</v>
      </c>
      <c r="GX16" s="380"/>
      <c r="GY16" s="383">
        <f>'[1]COE commited funds to date'!BC19</f>
        <v>10308300</v>
      </c>
      <c r="GZ16" s="383">
        <f>'[1]COE DISB 2019'!BC24</f>
        <v>0</v>
      </c>
      <c r="HA16" s="383">
        <f t="shared" si="52"/>
        <v>10308300</v>
      </c>
      <c r="HB16" s="380"/>
      <c r="HC16" s="383">
        <f t="shared" si="53"/>
        <v>3178685165.5</v>
      </c>
      <c r="HD16" s="383">
        <f t="shared" si="53"/>
        <v>1759121665.5</v>
      </c>
      <c r="HE16" s="382">
        <f t="shared" si="54"/>
        <v>1419563500</v>
      </c>
      <c r="HG16" s="383">
        <f t="shared" si="55"/>
        <v>2004412265.5</v>
      </c>
      <c r="HH16" s="383">
        <f t="shared" si="55"/>
        <v>839355265.5</v>
      </c>
      <c r="HI16" s="383">
        <f t="shared" si="56"/>
        <v>1165057000</v>
      </c>
      <c r="HK16" s="383">
        <f t="shared" si="57"/>
        <v>750000000</v>
      </c>
      <c r="HL16" s="383">
        <f t="shared" si="57"/>
        <v>705000000</v>
      </c>
      <c r="HM16" s="383">
        <f t="shared" si="58"/>
        <v>45000000</v>
      </c>
      <c r="HO16" s="383">
        <f t="shared" si="37"/>
        <v>988000</v>
      </c>
      <c r="HP16" s="383">
        <f t="shared" si="37"/>
        <v>988000</v>
      </c>
      <c r="HQ16" s="383">
        <f t="shared" si="59"/>
        <v>0</v>
      </c>
      <c r="HS16" s="383">
        <f t="shared" si="60"/>
        <v>89308300</v>
      </c>
      <c r="HT16" s="383">
        <f t="shared" si="60"/>
        <v>58368400</v>
      </c>
      <c r="HU16" s="383">
        <f t="shared" si="61"/>
        <v>30939900</v>
      </c>
      <c r="HW16" s="383">
        <f t="shared" si="62"/>
        <v>36700000</v>
      </c>
      <c r="HX16" s="383">
        <f t="shared" si="62"/>
        <v>8160000</v>
      </c>
      <c r="HY16" s="383">
        <f t="shared" si="63"/>
        <v>28540000</v>
      </c>
      <c r="IA16" s="387">
        <f t="shared" si="64"/>
        <v>20000000</v>
      </c>
      <c r="IB16" s="387">
        <f t="shared" si="64"/>
        <v>0</v>
      </c>
      <c r="IC16" s="387">
        <f t="shared" si="65"/>
        <v>20000000</v>
      </c>
      <c r="IE16" s="383">
        <f t="shared" si="66"/>
        <v>266776600</v>
      </c>
      <c r="IF16" s="383">
        <f t="shared" si="66"/>
        <v>138750000</v>
      </c>
      <c r="IG16" s="383">
        <f t="shared" si="67"/>
        <v>128026600</v>
      </c>
      <c r="II16" s="383">
        <f t="shared" si="68"/>
        <v>2000000</v>
      </c>
      <c r="IJ16" s="383">
        <f t="shared" si="68"/>
        <v>0</v>
      </c>
      <c r="IK16" s="383">
        <f t="shared" si="69"/>
        <v>2000000</v>
      </c>
    </row>
    <row r="17" spans="1:245" ht="19.5" customHeight="1" x14ac:dyDescent="0.25">
      <c r="A17" s="380">
        <v>14</v>
      </c>
      <c r="B17" s="380" t="s">
        <v>333</v>
      </c>
      <c r="C17" s="381" t="s">
        <v>69</v>
      </c>
      <c r="D17" s="382">
        <v>18318965.5</v>
      </c>
      <c r="E17" s="382">
        <f>'[1]COE DISB 2019'!D25</f>
        <v>18318965.5</v>
      </c>
      <c r="F17" s="383">
        <f t="shared" si="0"/>
        <v>0</v>
      </c>
      <c r="H17" s="382">
        <v>8000000</v>
      </c>
      <c r="I17" s="382">
        <f>'[1]COE DISB 2019'!E25</f>
        <v>8000000</v>
      </c>
      <c r="J17" s="383">
        <f t="shared" si="1"/>
        <v>0</v>
      </c>
      <c r="L17" s="382">
        <v>500000</v>
      </c>
      <c r="M17" s="382">
        <f>'[1]COE DISB 2019'!F25</f>
        <v>500000</v>
      </c>
      <c r="N17" s="383">
        <f t="shared" si="2"/>
        <v>0</v>
      </c>
      <c r="P17" s="353">
        <v>16000000</v>
      </c>
      <c r="Q17" s="382">
        <f>'[1]COE DISB 2019'!G25</f>
        <v>16000000</v>
      </c>
      <c r="R17" s="383">
        <f t="shared" si="3"/>
        <v>0</v>
      </c>
      <c r="T17" s="385">
        <v>1830000</v>
      </c>
      <c r="U17" s="382">
        <f>'[1]COE DISB 2019'!H25</f>
        <v>1830000</v>
      </c>
      <c r="V17" s="383">
        <f t="shared" si="4"/>
        <v>0</v>
      </c>
      <c r="X17" s="353">
        <v>0</v>
      </c>
      <c r="Y17" s="382">
        <f>'[1]COE DISB 2019'!I25</f>
        <v>0</v>
      </c>
      <c r="Z17" s="383">
        <f t="shared" si="5"/>
        <v>0</v>
      </c>
      <c r="AB17" s="385">
        <v>20000000</v>
      </c>
      <c r="AC17" s="382">
        <f>'[1]COE DISB 2019'!J25</f>
        <v>20000000</v>
      </c>
      <c r="AD17" s="383">
        <f t="shared" si="6"/>
        <v>0</v>
      </c>
      <c r="AF17" s="353">
        <v>0</v>
      </c>
      <c r="AG17" s="382">
        <f>'[1]COE DISB 2019'!K25</f>
        <v>0</v>
      </c>
      <c r="AH17" s="383">
        <f t="shared" si="7"/>
        <v>0</v>
      </c>
      <c r="AJ17" s="385">
        <v>10000000</v>
      </c>
      <c r="AK17" s="382">
        <f>'[1]COE DISB 2019'!L25</f>
        <v>10000000</v>
      </c>
      <c r="AL17" s="383">
        <f t="shared" si="8"/>
        <v>0</v>
      </c>
      <c r="AN17" s="382">
        <v>10000000</v>
      </c>
      <c r="AO17" s="382">
        <f>'[1]COE DISB 2019'!M25</f>
        <v>10000000</v>
      </c>
      <c r="AP17" s="383">
        <f t="shared" si="9"/>
        <v>0</v>
      </c>
      <c r="AR17" s="382">
        <v>15000000</v>
      </c>
      <c r="AS17" s="382">
        <f>'[1]COE DISB 2019'!N25</f>
        <v>15000000</v>
      </c>
      <c r="AT17" s="383">
        <f t="shared" si="10"/>
        <v>0</v>
      </c>
      <c r="AV17" s="382">
        <v>0</v>
      </c>
      <c r="AW17" s="385">
        <f>'[1]COE DISB 2019'!O25</f>
        <v>0</v>
      </c>
      <c r="AX17" s="382">
        <f t="shared" si="11"/>
        <v>0</v>
      </c>
      <c r="AZ17" s="382">
        <v>18000000</v>
      </c>
      <c r="BA17" s="382">
        <f>'[1]COE DISB 2019'!P25</f>
        <v>18000000</v>
      </c>
      <c r="BB17" s="382">
        <f t="shared" si="12"/>
        <v>0</v>
      </c>
      <c r="BD17" s="382">
        <v>23400000</v>
      </c>
      <c r="BE17" s="382">
        <f>'[1]COE DISB 2019'!Q25</f>
        <v>23400000</v>
      </c>
      <c r="BF17" s="382">
        <f t="shared" si="13"/>
        <v>0</v>
      </c>
      <c r="BH17" s="382">
        <v>0</v>
      </c>
      <c r="BI17" s="382">
        <f>'[1]COE DISB 2019'!R25</f>
        <v>0</v>
      </c>
      <c r="BJ17" s="382">
        <f t="shared" si="14"/>
        <v>0</v>
      </c>
      <c r="BL17" s="382">
        <v>43000000</v>
      </c>
      <c r="BM17" s="382">
        <f>'[1]COE DISB 2019'!S25</f>
        <v>43000000</v>
      </c>
      <c r="BN17" s="382">
        <f t="shared" si="15"/>
        <v>0</v>
      </c>
      <c r="BP17" s="382">
        <v>37160000</v>
      </c>
      <c r="BQ17" s="382">
        <f>'[1]COE DISB 2019'!T25</f>
        <v>37160000</v>
      </c>
      <c r="BR17" s="382">
        <f t="shared" si="16"/>
        <v>0</v>
      </c>
      <c r="BT17" s="382">
        <v>0</v>
      </c>
      <c r="BU17" s="382">
        <f>'[1]COE DISB 2019'!U25</f>
        <v>0</v>
      </c>
      <c r="BV17" s="382">
        <f t="shared" si="17"/>
        <v>0</v>
      </c>
      <c r="BX17" s="382">
        <v>112670000</v>
      </c>
      <c r="BY17" s="382">
        <f>'[1]COE DISB 2019'!V25</f>
        <v>112670000</v>
      </c>
      <c r="BZ17" s="382">
        <f t="shared" si="18"/>
        <v>0</v>
      </c>
      <c r="CB17" s="382">
        <v>150000000</v>
      </c>
      <c r="CC17" s="382">
        <f>'[1]COE DISB 2019'!W25</f>
        <v>150000000</v>
      </c>
      <c r="CD17" s="382">
        <f t="shared" si="19"/>
        <v>0</v>
      </c>
      <c r="CF17" s="382">
        <f>'[1]COE commited funds to date'!X20</f>
        <v>125000000</v>
      </c>
      <c r="CG17" s="382">
        <f>'[1]COE DISB 2019'!X25</f>
        <v>125000000</v>
      </c>
      <c r="CH17" s="382">
        <f t="shared" si="20"/>
        <v>0</v>
      </c>
      <c r="CJ17" s="382">
        <v>10000000</v>
      </c>
      <c r="CK17" s="382">
        <f>'[1]COE DISB 2019'!Y25</f>
        <v>10000000</v>
      </c>
      <c r="CL17" s="382">
        <f t="shared" si="21"/>
        <v>0</v>
      </c>
      <c r="CN17" s="382">
        <v>0</v>
      </c>
      <c r="CO17" s="382">
        <f>'[1]COE DISB 2019'!Z25</f>
        <v>0</v>
      </c>
      <c r="CP17" s="382">
        <f t="shared" si="22"/>
        <v>0</v>
      </c>
      <c r="CR17" s="382">
        <v>210000000</v>
      </c>
      <c r="CS17" s="382">
        <f>'[1]COE DISB 2019'!AA25</f>
        <v>210000000</v>
      </c>
      <c r="CT17" s="382">
        <f t="shared" si="23"/>
        <v>0</v>
      </c>
      <c r="CV17" s="382">
        <v>10000000</v>
      </c>
      <c r="CW17" s="382">
        <f>'[1]COE DISB 2019'!AB25</f>
        <v>10000000</v>
      </c>
      <c r="CX17" s="382">
        <f t="shared" si="24"/>
        <v>0</v>
      </c>
      <c r="CZ17" s="382">
        <f>'[1]COE commited funds to date'!AC20</f>
        <v>0</v>
      </c>
      <c r="DA17" s="382">
        <f>'[1]COE DISB 2019'!AC25</f>
        <v>0</v>
      </c>
      <c r="DB17" s="382">
        <f t="shared" si="25"/>
        <v>0</v>
      </c>
      <c r="DC17" s="386"/>
      <c r="DD17" s="382">
        <v>215000000</v>
      </c>
      <c r="DE17" s="382">
        <f>'[1]COE DISB 2019'!AD25</f>
        <v>182750000</v>
      </c>
      <c r="DF17" s="382">
        <f t="shared" si="26"/>
        <v>32250000</v>
      </c>
      <c r="DG17" s="386"/>
      <c r="DH17" s="382">
        <v>10000000</v>
      </c>
      <c r="DI17" s="382">
        <f>'[1]COE DISB 2019'!AE25</f>
        <v>10000000</v>
      </c>
      <c r="DJ17" s="382">
        <f t="shared" si="27"/>
        <v>0</v>
      </c>
      <c r="DK17" s="386"/>
      <c r="DL17" s="382">
        <f>'[1]COE commited funds to date'!AD20</f>
        <v>0</v>
      </c>
      <c r="DM17" s="382">
        <f>'[1]COE DISB 2019'!AF25</f>
        <v>0</v>
      </c>
      <c r="DN17" s="382">
        <f t="shared" si="28"/>
        <v>0</v>
      </c>
      <c r="DO17" s="386"/>
      <c r="DP17" s="382">
        <v>325000000</v>
      </c>
      <c r="DQ17" s="382">
        <f>'[1]COE DISB 2019'!AG25</f>
        <v>276250000</v>
      </c>
      <c r="DR17" s="382">
        <f t="shared" si="29"/>
        <v>48750000</v>
      </c>
      <c r="DS17" s="386"/>
      <c r="DT17" s="353">
        <v>10000000</v>
      </c>
      <c r="DU17" s="382">
        <f>'[1]COE DISB 2019'!AH25</f>
        <v>10000000</v>
      </c>
      <c r="DV17" s="382">
        <f t="shared" si="30"/>
        <v>0</v>
      </c>
      <c r="DW17" s="386"/>
      <c r="DX17" s="382">
        <f>'[1]COE commited funds to date'!AI20</f>
        <v>200000000</v>
      </c>
      <c r="DY17" s="382">
        <f>'[1]COE DISB 2019'!AI25</f>
        <v>200000000</v>
      </c>
      <c r="DZ17" s="382">
        <f t="shared" si="31"/>
        <v>0</v>
      </c>
      <c r="EA17" s="386"/>
      <c r="EB17" s="382">
        <f>'[1]COE commited funds to date'!AJ20</f>
        <v>72000000</v>
      </c>
      <c r="EC17" s="382">
        <f>'[1]COE DISB 2019'!AJ25</f>
        <v>61200000</v>
      </c>
      <c r="ED17" s="382">
        <f t="shared" si="32"/>
        <v>10800000</v>
      </c>
      <c r="EE17" s="386"/>
      <c r="EF17" s="382">
        <f>'[1]COE commited funds to date'!AK20</f>
        <v>8000000</v>
      </c>
      <c r="EG17" s="382">
        <f>'[1]COE DISB 2019'!AK25</f>
        <v>8000000</v>
      </c>
      <c r="EH17" s="382">
        <f t="shared" si="33"/>
        <v>0</v>
      </c>
      <c r="EI17" s="386"/>
      <c r="EJ17" s="382">
        <f>'[1]COE commited funds to date'!AL20</f>
        <v>2000000</v>
      </c>
      <c r="EK17" s="382">
        <f>'[1]COE DISB 2019'!AL25</f>
        <v>1700000</v>
      </c>
      <c r="EL17" s="382">
        <f t="shared" si="34"/>
        <v>300000</v>
      </c>
      <c r="EM17" s="386"/>
      <c r="EN17" s="382">
        <f>'[1]COE commited funds to date'!AM20</f>
        <v>7000000</v>
      </c>
      <c r="EO17" s="382">
        <f>'[1]COE DISB 2019'!AM25</f>
        <v>7000000</v>
      </c>
      <c r="EP17" s="382">
        <f t="shared" si="35"/>
        <v>0</v>
      </c>
      <c r="EQ17" s="386"/>
      <c r="ER17" s="382">
        <f>'[1]COE commited funds to date'!AN20</f>
        <v>750000000</v>
      </c>
      <c r="ES17" s="382">
        <f>'[1]COE DISB 2019'!AN25</f>
        <v>750000000</v>
      </c>
      <c r="ET17" s="382">
        <f t="shared" si="36"/>
        <v>0</v>
      </c>
      <c r="EV17" s="383">
        <f>'[1]COE commited funds to date'!AO20</f>
        <v>371067000</v>
      </c>
      <c r="EW17" s="383">
        <f>'[1]COE DISB 2019'!AO25</f>
        <v>315406950</v>
      </c>
      <c r="EX17" s="383">
        <f t="shared" si="38"/>
        <v>55660050</v>
      </c>
      <c r="EY17" s="380"/>
      <c r="EZ17" s="383">
        <f>'[1]COE commited funds to date'!AQ20</f>
        <v>12000000</v>
      </c>
      <c r="FA17" s="383">
        <f>'[1]COE DISB 2019'!AP25</f>
        <v>12000000</v>
      </c>
      <c r="FB17" s="383">
        <f t="shared" si="39"/>
        <v>0</v>
      </c>
      <c r="FC17" s="380"/>
      <c r="FD17" s="383">
        <f>'[1]COE commited funds to date'!AR20</f>
        <v>10000000</v>
      </c>
      <c r="FE17" s="383">
        <f>'[1]COE DISB 2019'!AQ25</f>
        <v>0</v>
      </c>
      <c r="FF17" s="383">
        <f t="shared" si="40"/>
        <v>10000000</v>
      </c>
      <c r="FG17" s="380"/>
      <c r="FH17" s="383">
        <f>'[1]COE commited funds to date'!AP20</f>
        <v>8000000</v>
      </c>
      <c r="FI17" s="383">
        <f>'[1]COE DISB 2019'!AR25</f>
        <v>8000000</v>
      </c>
      <c r="FJ17" s="383">
        <f t="shared" si="41"/>
        <v>0</v>
      </c>
      <c r="FK17" s="383">
        <f>'[1]COE commited funds to date'!AS20</f>
        <v>0</v>
      </c>
      <c r="FL17" s="383">
        <f>'[1]COE DISB 2019'!AS25</f>
        <v>0</v>
      </c>
      <c r="FM17" s="383">
        <f t="shared" si="42"/>
        <v>0</v>
      </c>
      <c r="FN17" s="380"/>
      <c r="FO17" s="383">
        <f>'[1]COE commited funds to date'!AT20</f>
        <v>200000000</v>
      </c>
      <c r="FP17" s="383">
        <f>'[1]COE DISB 2019'!AT25</f>
        <v>0</v>
      </c>
      <c r="FQ17" s="383">
        <f t="shared" si="43"/>
        <v>200000000</v>
      </c>
      <c r="FR17" s="380"/>
      <c r="FS17" s="383">
        <f>'[1]COE commited funds to date'!AU20</f>
        <v>75000000</v>
      </c>
      <c r="FT17" s="383">
        <f>'[1]COE DISB 2019'!AU25</f>
        <v>0</v>
      </c>
      <c r="FU17" s="383">
        <f t="shared" si="44"/>
        <v>75000000</v>
      </c>
      <c r="FV17" s="380"/>
      <c r="FW17" s="383">
        <f>'[1]COE commited funds to date'!AV20</f>
        <v>8700000</v>
      </c>
      <c r="FX17" s="383">
        <f>'[1]COE DISB 2019'!AV25</f>
        <v>0</v>
      </c>
      <c r="FY17" s="383">
        <f t="shared" si="45"/>
        <v>8700000</v>
      </c>
      <c r="FZ17" s="380"/>
      <c r="GA17" s="383">
        <f>'[1]COE commited funds to date'!AW20</f>
        <v>5000000</v>
      </c>
      <c r="GB17" s="383">
        <f>'[1]COE DISB 2019'!AW25</f>
        <v>0</v>
      </c>
      <c r="GC17" s="383">
        <f t="shared" si="46"/>
        <v>5000000</v>
      </c>
      <c r="GD17" s="380"/>
      <c r="GE17" s="383">
        <f>'[1]COE commited funds to date'!AX20</f>
        <v>20000000</v>
      </c>
      <c r="GF17" s="383">
        <f>'[1]COE DISB 2019'!AX25</f>
        <v>14891000</v>
      </c>
      <c r="GG17" s="383">
        <f t="shared" si="47"/>
        <v>5109000</v>
      </c>
      <c r="GH17" s="380"/>
      <c r="GI17" s="383">
        <f>'[1]COE commited funds to date'!AY20</f>
        <v>230000000</v>
      </c>
      <c r="GJ17" s="383">
        <f>'[1]COE DISB 2019'!AY25</f>
        <v>0</v>
      </c>
      <c r="GK17" s="383">
        <f t="shared" si="48"/>
        <v>230000000</v>
      </c>
      <c r="GL17" s="380"/>
      <c r="GM17" s="383">
        <f>'[1]COE commited funds to date'!AZ20</f>
        <v>116776600</v>
      </c>
      <c r="GN17" s="383">
        <f>'[1]COE DISB 2019'!AZ25</f>
        <v>0</v>
      </c>
      <c r="GO17" s="383">
        <f t="shared" si="49"/>
        <v>116776600</v>
      </c>
      <c r="GP17" s="380"/>
      <c r="GQ17" s="383">
        <f>'[1]COE commited funds to date'!BA20</f>
        <v>12000000</v>
      </c>
      <c r="GR17" s="383">
        <f>'[1]COE DISB 2019'!BA25</f>
        <v>0</v>
      </c>
      <c r="GS17" s="383">
        <f t="shared" si="50"/>
        <v>12000000</v>
      </c>
      <c r="GT17" s="380"/>
      <c r="GU17" s="383">
        <f>'[1]COE commited funds to date'!BB20</f>
        <v>5000000</v>
      </c>
      <c r="GV17" s="383">
        <f>'[1]COE DISB 2019'!BB25</f>
        <v>0</v>
      </c>
      <c r="GW17" s="383">
        <f t="shared" si="51"/>
        <v>5000000</v>
      </c>
      <c r="GX17" s="380"/>
      <c r="GY17" s="383">
        <f>'[1]COE commited funds to date'!BC20</f>
        <v>10308300</v>
      </c>
      <c r="GZ17" s="383">
        <f>'[1]COE DISB 2019'!BC25</f>
        <v>0</v>
      </c>
      <c r="HA17" s="383">
        <f t="shared" si="52"/>
        <v>10308300</v>
      </c>
      <c r="HB17" s="380"/>
      <c r="HC17" s="383">
        <f t="shared" si="53"/>
        <v>3521730865.5</v>
      </c>
      <c r="HD17" s="383">
        <f t="shared" si="53"/>
        <v>2696076915.5</v>
      </c>
      <c r="HE17" s="382">
        <f t="shared" si="54"/>
        <v>825653950</v>
      </c>
      <c r="HG17" s="383">
        <f t="shared" si="55"/>
        <v>2079615965.5</v>
      </c>
      <c r="HH17" s="383">
        <f t="shared" si="55"/>
        <v>1502155915.5</v>
      </c>
      <c r="HI17" s="383">
        <f t="shared" si="56"/>
        <v>577460050</v>
      </c>
      <c r="HK17" s="383">
        <f t="shared" si="57"/>
        <v>1100000000</v>
      </c>
      <c r="HL17" s="383">
        <f t="shared" si="57"/>
        <v>1100000000</v>
      </c>
      <c r="HM17" s="383">
        <f t="shared" si="58"/>
        <v>0</v>
      </c>
      <c r="HO17" s="383">
        <f t="shared" si="37"/>
        <v>2330000</v>
      </c>
      <c r="HP17" s="383">
        <f t="shared" si="37"/>
        <v>2330000</v>
      </c>
      <c r="HQ17" s="383">
        <f t="shared" si="59"/>
        <v>0</v>
      </c>
      <c r="HS17" s="383">
        <f t="shared" si="60"/>
        <v>89308300</v>
      </c>
      <c r="HT17" s="383">
        <f t="shared" si="60"/>
        <v>73891000</v>
      </c>
      <c r="HU17" s="383">
        <f t="shared" si="61"/>
        <v>15417300</v>
      </c>
      <c r="HW17" s="383">
        <f t="shared" si="62"/>
        <v>36700000</v>
      </c>
      <c r="HX17" s="383">
        <f t="shared" si="62"/>
        <v>16000000</v>
      </c>
      <c r="HY17" s="383">
        <f t="shared" si="63"/>
        <v>20700000</v>
      </c>
      <c r="IA17" s="387">
        <f t="shared" si="64"/>
        <v>20000000</v>
      </c>
      <c r="IB17" s="387">
        <f t="shared" si="64"/>
        <v>0</v>
      </c>
      <c r="IC17" s="387">
        <f t="shared" si="65"/>
        <v>20000000</v>
      </c>
      <c r="IE17" s="383">
        <f t="shared" si="66"/>
        <v>191776600</v>
      </c>
      <c r="IF17" s="383">
        <f t="shared" si="66"/>
        <v>0</v>
      </c>
      <c r="IG17" s="383">
        <f t="shared" si="67"/>
        <v>191776600</v>
      </c>
      <c r="II17" s="383">
        <f t="shared" si="68"/>
        <v>2000000</v>
      </c>
      <c r="IJ17" s="383">
        <f t="shared" si="68"/>
        <v>1700000</v>
      </c>
      <c r="IK17" s="383">
        <f t="shared" si="69"/>
        <v>300000</v>
      </c>
    </row>
    <row r="18" spans="1:245" ht="19.5" customHeight="1" x14ac:dyDescent="0.25">
      <c r="A18" s="380">
        <v>15</v>
      </c>
      <c r="B18" s="380" t="s">
        <v>334</v>
      </c>
      <c r="C18" s="381" t="s">
        <v>69</v>
      </c>
      <c r="D18" s="382">
        <v>18318965.5</v>
      </c>
      <c r="E18" s="382">
        <f>'[1]COE DISB 2019'!D26</f>
        <v>18318965.5</v>
      </c>
      <c r="F18" s="383">
        <f t="shared" si="0"/>
        <v>0</v>
      </c>
      <c r="H18" s="382">
        <v>18000000</v>
      </c>
      <c r="I18" s="382">
        <f>'[1]COE DISB 2019'!E26</f>
        <v>18000000</v>
      </c>
      <c r="J18" s="383">
        <f t="shared" si="1"/>
        <v>0</v>
      </c>
      <c r="L18" s="382">
        <v>500000</v>
      </c>
      <c r="M18" s="382">
        <f>'[1]COE DISB 2019'!F26</f>
        <v>500000</v>
      </c>
      <c r="N18" s="383">
        <f t="shared" si="2"/>
        <v>0</v>
      </c>
      <c r="P18" s="353">
        <v>16000000</v>
      </c>
      <c r="Q18" s="382">
        <f>'[1]COE DISB 2019'!G26</f>
        <v>16000000</v>
      </c>
      <c r="R18" s="383">
        <f t="shared" si="3"/>
        <v>0</v>
      </c>
      <c r="T18" s="385">
        <v>2336000</v>
      </c>
      <c r="U18" s="382">
        <f>'[1]COE DISB 2019'!H26</f>
        <v>2336000</v>
      </c>
      <c r="V18" s="383">
        <f t="shared" si="4"/>
        <v>0</v>
      </c>
      <c r="X18" s="353">
        <v>0</v>
      </c>
      <c r="Y18" s="382">
        <f>'[1]COE DISB 2019'!I26</f>
        <v>0</v>
      </c>
      <c r="Z18" s="383">
        <f t="shared" si="5"/>
        <v>0</v>
      </c>
      <c r="AB18" s="385">
        <v>20000000</v>
      </c>
      <c r="AC18" s="382">
        <f>'[1]COE DISB 2019'!J26</f>
        <v>20000000</v>
      </c>
      <c r="AD18" s="383">
        <f t="shared" si="6"/>
        <v>0</v>
      </c>
      <c r="AF18" s="353">
        <v>0</v>
      </c>
      <c r="AG18" s="382">
        <f>'[1]COE DISB 2019'!K26</f>
        <v>0</v>
      </c>
      <c r="AH18" s="383">
        <f t="shared" si="7"/>
        <v>0</v>
      </c>
      <c r="AJ18" s="385">
        <v>10000000</v>
      </c>
      <c r="AK18" s="382">
        <f>'[1]COE DISB 2019'!L26</f>
        <v>10000000</v>
      </c>
      <c r="AL18" s="383">
        <f t="shared" si="8"/>
        <v>0</v>
      </c>
      <c r="AN18" s="382">
        <v>10000000</v>
      </c>
      <c r="AO18" s="382">
        <f>'[1]COE DISB 2019'!M26</f>
        <v>10000000</v>
      </c>
      <c r="AP18" s="383">
        <f t="shared" si="9"/>
        <v>0</v>
      </c>
      <c r="AR18" s="382">
        <v>15000000</v>
      </c>
      <c r="AS18" s="382">
        <f>'[1]COE DISB 2019'!N26</f>
        <v>15000000</v>
      </c>
      <c r="AT18" s="383">
        <f t="shared" si="10"/>
        <v>0</v>
      </c>
      <c r="AV18" s="382">
        <v>0</v>
      </c>
      <c r="AW18" s="385">
        <f>'[1]COE DISB 2019'!O26</f>
        <v>0</v>
      </c>
      <c r="AX18" s="382">
        <f t="shared" si="11"/>
        <v>0</v>
      </c>
      <c r="AZ18" s="382">
        <v>18000000</v>
      </c>
      <c r="BA18" s="382">
        <f>'[1]COE DISB 2019'!P26</f>
        <v>18000000</v>
      </c>
      <c r="BB18" s="382">
        <f t="shared" si="12"/>
        <v>0</v>
      </c>
      <c r="BD18" s="382">
        <v>23400000</v>
      </c>
      <c r="BE18" s="382">
        <f>'[1]COE DISB 2019'!Q26</f>
        <v>23400000</v>
      </c>
      <c r="BF18" s="382">
        <f t="shared" si="13"/>
        <v>0</v>
      </c>
      <c r="BH18" s="382">
        <v>0</v>
      </c>
      <c r="BI18" s="382">
        <f>'[1]COE DISB 2019'!R26</f>
        <v>0</v>
      </c>
      <c r="BJ18" s="382">
        <f t="shared" si="14"/>
        <v>0</v>
      </c>
      <c r="BL18" s="382">
        <v>43000000</v>
      </c>
      <c r="BM18" s="382">
        <f>'[1]COE DISB 2019'!S26</f>
        <v>43000000</v>
      </c>
      <c r="BN18" s="382">
        <f t="shared" si="15"/>
        <v>0</v>
      </c>
      <c r="BP18" s="382">
        <v>37160000</v>
      </c>
      <c r="BQ18" s="382">
        <f>'[1]COE DISB 2019'!T26</f>
        <v>37160000</v>
      </c>
      <c r="BR18" s="382">
        <f t="shared" si="16"/>
        <v>0</v>
      </c>
      <c r="BT18" s="382">
        <v>0</v>
      </c>
      <c r="BU18" s="382">
        <f>'[1]COE DISB 2019'!U26</f>
        <v>0</v>
      </c>
      <c r="BV18" s="382">
        <f t="shared" si="17"/>
        <v>0</v>
      </c>
      <c r="BX18" s="382">
        <v>112670000</v>
      </c>
      <c r="BY18" s="382">
        <f>'[1]COE DISB 2019'!V26</f>
        <v>112670000</v>
      </c>
      <c r="BZ18" s="382">
        <f t="shared" si="18"/>
        <v>0</v>
      </c>
      <c r="CB18" s="382">
        <f>'[1]COE commited funds to date'!W21</f>
        <v>0</v>
      </c>
      <c r="CC18" s="382">
        <f>'[1]COE DISB 2019'!W26</f>
        <v>0</v>
      </c>
      <c r="CD18" s="382">
        <f t="shared" si="19"/>
        <v>0</v>
      </c>
      <c r="CF18" s="382">
        <f>'[1]COE commited funds to date'!X21</f>
        <v>125000000</v>
      </c>
      <c r="CG18" s="382">
        <f>'[1]COE DISB 2019'!X26</f>
        <v>125000000</v>
      </c>
      <c r="CH18" s="382">
        <f t="shared" si="20"/>
        <v>0</v>
      </c>
      <c r="CJ18" s="382">
        <v>10000000</v>
      </c>
      <c r="CK18" s="382">
        <f>'[1]COE DISB 2019'!Y26</f>
        <v>9976600</v>
      </c>
      <c r="CL18" s="382">
        <f t="shared" si="21"/>
        <v>23400</v>
      </c>
      <c r="CN18" s="382">
        <v>150000000</v>
      </c>
      <c r="CO18" s="382">
        <f>'[1]COE DISB 2019'!Z26</f>
        <v>150000000</v>
      </c>
      <c r="CP18" s="382">
        <f t="shared" si="22"/>
        <v>0</v>
      </c>
      <c r="CR18" s="382">
        <v>210000000</v>
      </c>
      <c r="CS18" s="382">
        <f>'[1]COE DISB 2019'!AA26</f>
        <v>210000000</v>
      </c>
      <c r="CT18" s="382">
        <f t="shared" si="23"/>
        <v>0</v>
      </c>
      <c r="CV18" s="382">
        <v>10000000</v>
      </c>
      <c r="CW18" s="382">
        <f>'[1]COE DISB 2019'!AB26</f>
        <v>10000000</v>
      </c>
      <c r="CX18" s="382">
        <f t="shared" si="24"/>
        <v>0</v>
      </c>
      <c r="CZ18" s="382">
        <f>'[1]COE commited funds to date'!AC21</f>
        <v>0</v>
      </c>
      <c r="DA18" s="382">
        <f>'[1]COE DISB 2019'!AC26</f>
        <v>0</v>
      </c>
      <c r="DB18" s="382">
        <f t="shared" si="25"/>
        <v>0</v>
      </c>
      <c r="DC18" s="386"/>
      <c r="DD18" s="382">
        <v>215000000</v>
      </c>
      <c r="DE18" s="382">
        <f>'[1]COE DISB 2019'!AD26</f>
        <v>215000000</v>
      </c>
      <c r="DF18" s="382">
        <f t="shared" si="26"/>
        <v>0</v>
      </c>
      <c r="DG18" s="386"/>
      <c r="DH18" s="382">
        <v>10000000</v>
      </c>
      <c r="DI18" s="382">
        <f>'[1]COE DISB 2019'!AE26</f>
        <v>10000000</v>
      </c>
      <c r="DJ18" s="382">
        <f t="shared" si="27"/>
        <v>0</v>
      </c>
      <c r="DK18" s="386"/>
      <c r="DL18" s="382">
        <f>'[1]COE commited funds to date'!AD21</f>
        <v>0</v>
      </c>
      <c r="DM18" s="382">
        <f>'[1]COE DISB 2019'!AF26</f>
        <v>0</v>
      </c>
      <c r="DN18" s="382">
        <f t="shared" si="28"/>
        <v>0</v>
      </c>
      <c r="DO18" s="386"/>
      <c r="DP18" s="382">
        <v>325000000</v>
      </c>
      <c r="DQ18" s="382">
        <f>'[1]COE DISB 2019'!AG26</f>
        <v>195000000</v>
      </c>
      <c r="DR18" s="382">
        <f t="shared" si="29"/>
        <v>130000000</v>
      </c>
      <c r="DS18" s="386"/>
      <c r="DT18" s="353">
        <v>10000000</v>
      </c>
      <c r="DU18" s="382">
        <f>'[1]COE DISB 2019'!AH26</f>
        <v>10000000</v>
      </c>
      <c r="DV18" s="382">
        <f t="shared" si="30"/>
        <v>0</v>
      </c>
      <c r="DW18" s="386"/>
      <c r="DX18" s="382">
        <f>'[1]COE commited funds to date'!AI21</f>
        <v>200000000</v>
      </c>
      <c r="DY18" s="382">
        <f>'[1]COE DISB 2019'!AI26</f>
        <v>200000000</v>
      </c>
      <c r="DZ18" s="382">
        <f t="shared" si="31"/>
        <v>0</v>
      </c>
      <c r="EA18" s="386"/>
      <c r="EB18" s="382">
        <f>'[1]COE commited funds to date'!AJ21</f>
        <v>72000000</v>
      </c>
      <c r="EC18" s="382">
        <f>'[1]COE DISB 2019'!AJ26</f>
        <v>43200000</v>
      </c>
      <c r="ED18" s="382">
        <f t="shared" si="32"/>
        <v>28800000</v>
      </c>
      <c r="EE18" s="386"/>
      <c r="EF18" s="382">
        <f>'[1]COE commited funds to date'!AK21</f>
        <v>8000000</v>
      </c>
      <c r="EG18" s="382">
        <f>'[1]COE DISB 2019'!AK26</f>
        <v>6800000</v>
      </c>
      <c r="EH18" s="382">
        <f t="shared" si="33"/>
        <v>1200000</v>
      </c>
      <c r="EI18" s="386"/>
      <c r="EJ18" s="382">
        <f>'[1]COE commited funds to date'!AL21</f>
        <v>2000000</v>
      </c>
      <c r="EK18" s="382">
        <f>'[1]COE DISB 2019'!AL26</f>
        <v>1700000</v>
      </c>
      <c r="EL18" s="382">
        <f t="shared" si="34"/>
        <v>300000</v>
      </c>
      <c r="EM18" s="386"/>
      <c r="EN18" s="382">
        <f>'[1]COE commited funds to date'!AM21</f>
        <v>7000000</v>
      </c>
      <c r="EO18" s="382">
        <f>'[1]COE DISB 2019'!AM26</f>
        <v>7000000</v>
      </c>
      <c r="EP18" s="382">
        <f t="shared" si="35"/>
        <v>0</v>
      </c>
      <c r="EQ18" s="386"/>
      <c r="ER18" s="382">
        <f>'[1]COE commited funds to date'!AN21</f>
        <v>0</v>
      </c>
      <c r="ES18" s="382">
        <f>'[1]COE DISB 2019'!AN26</f>
        <v>0</v>
      </c>
      <c r="ET18" s="382">
        <f t="shared" si="36"/>
        <v>0</v>
      </c>
      <c r="EV18" s="383">
        <f>'[1]COE commited funds to date'!AO21</f>
        <v>371067000</v>
      </c>
      <c r="EW18" s="383">
        <f>'[1]COE DISB 2019'!AO26</f>
        <v>222640200</v>
      </c>
      <c r="EX18" s="383">
        <f t="shared" si="38"/>
        <v>148426800</v>
      </c>
      <c r="EY18" s="380"/>
      <c r="EZ18" s="383">
        <f>'[1]COE commited funds to date'!AQ21</f>
        <v>12000000</v>
      </c>
      <c r="FA18" s="383">
        <f>'[1]COE DISB 2019'!AP26</f>
        <v>12000000</v>
      </c>
      <c r="FB18" s="383">
        <f t="shared" si="39"/>
        <v>0</v>
      </c>
      <c r="FC18" s="380"/>
      <c r="FD18" s="383">
        <f>'[1]COE commited funds to date'!AR21</f>
        <v>10000000</v>
      </c>
      <c r="FE18" s="383">
        <f>'[1]COE DISB 2019'!AQ26</f>
        <v>0</v>
      </c>
      <c r="FF18" s="383">
        <f t="shared" si="40"/>
        <v>10000000</v>
      </c>
      <c r="FG18" s="380"/>
      <c r="FH18" s="383">
        <f>'[1]COE commited funds to date'!AP21</f>
        <v>8000000</v>
      </c>
      <c r="FI18" s="383">
        <f>'[1]COE DISB 2019'!AR26</f>
        <v>6800000</v>
      </c>
      <c r="FJ18" s="383">
        <f t="shared" si="41"/>
        <v>1200000</v>
      </c>
      <c r="FK18" s="383">
        <f>'[1]COE commited funds to date'!AS21</f>
        <v>150000000</v>
      </c>
      <c r="FL18" s="383">
        <f>'[1]COE DISB 2019'!AS26</f>
        <v>150000000</v>
      </c>
      <c r="FM18" s="383">
        <f t="shared" si="42"/>
        <v>0</v>
      </c>
      <c r="FN18" s="380"/>
      <c r="FO18" s="383">
        <f>'[1]COE commited funds to date'!AT21</f>
        <v>200000000</v>
      </c>
      <c r="FP18" s="383">
        <f>'[1]COE DISB 2019'!AT26</f>
        <v>0</v>
      </c>
      <c r="FQ18" s="383">
        <f t="shared" si="43"/>
        <v>200000000</v>
      </c>
      <c r="FR18" s="380"/>
      <c r="FS18" s="383">
        <f>'[1]COE commited funds to date'!AU21</f>
        <v>75000000</v>
      </c>
      <c r="FT18" s="383">
        <f>'[1]COE DISB 2019'!AU26</f>
        <v>63750000</v>
      </c>
      <c r="FU18" s="383">
        <f t="shared" si="44"/>
        <v>11250000</v>
      </c>
      <c r="FV18" s="380"/>
      <c r="FW18" s="383">
        <f>'[1]COE commited funds to date'!AV21</f>
        <v>8700000</v>
      </c>
      <c r="FX18" s="383">
        <f>'[1]COE DISB 2019'!AV26</f>
        <v>0</v>
      </c>
      <c r="FY18" s="383">
        <f t="shared" si="45"/>
        <v>8700000</v>
      </c>
      <c r="FZ18" s="380"/>
      <c r="GA18" s="383">
        <f>'[1]COE commited funds to date'!AW21</f>
        <v>5000000</v>
      </c>
      <c r="GB18" s="383">
        <f>'[1]COE DISB 2019'!AW26</f>
        <v>0</v>
      </c>
      <c r="GC18" s="383">
        <f t="shared" si="46"/>
        <v>5000000</v>
      </c>
      <c r="GD18" s="380"/>
      <c r="GE18" s="383">
        <f>'[1]COE commited funds to date'!AX21</f>
        <v>20000000</v>
      </c>
      <c r="GF18" s="383">
        <f>'[1]COE DISB 2019'!AX26</f>
        <v>20000000</v>
      </c>
      <c r="GG18" s="383">
        <f t="shared" si="47"/>
        <v>0</v>
      </c>
      <c r="GH18" s="380"/>
      <c r="GI18" s="383">
        <f>'[1]COE commited funds to date'!AY21</f>
        <v>230000000</v>
      </c>
      <c r="GJ18" s="383">
        <f>'[1]COE DISB 2019'!AY26</f>
        <v>0</v>
      </c>
      <c r="GK18" s="383">
        <f t="shared" si="48"/>
        <v>230000000</v>
      </c>
      <c r="GL18" s="380"/>
      <c r="GM18" s="383">
        <f>'[1]COE commited funds to date'!AZ21</f>
        <v>116776600</v>
      </c>
      <c r="GN18" s="383">
        <f>'[1]COE DISB 2019'!AZ26</f>
        <v>0</v>
      </c>
      <c r="GO18" s="383">
        <f t="shared" si="49"/>
        <v>116776600</v>
      </c>
      <c r="GP18" s="380"/>
      <c r="GQ18" s="383">
        <f>'[1]COE commited funds to date'!BA21</f>
        <v>12000000</v>
      </c>
      <c r="GR18" s="383">
        <f>'[1]COE DISB 2019'!BA26</f>
        <v>0</v>
      </c>
      <c r="GS18" s="383">
        <f t="shared" si="50"/>
        <v>12000000</v>
      </c>
      <c r="GT18" s="380"/>
      <c r="GU18" s="383">
        <f>'[1]COE commited funds to date'!BB21</f>
        <v>5000000</v>
      </c>
      <c r="GV18" s="383">
        <f>'[1]COE DISB 2019'!BB26</f>
        <v>0</v>
      </c>
      <c r="GW18" s="383">
        <f t="shared" si="51"/>
        <v>5000000</v>
      </c>
      <c r="GX18" s="380"/>
      <c r="GY18" s="383">
        <f>'[1]COE commited funds to date'!BC21</f>
        <v>10308300</v>
      </c>
      <c r="GZ18" s="383">
        <f>'[1]COE DISB 2019'!BC26</f>
        <v>6509800</v>
      </c>
      <c r="HA18" s="383">
        <f t="shared" si="52"/>
        <v>3798500</v>
      </c>
      <c r="HB18" s="380"/>
      <c r="HC18" s="383">
        <f t="shared" si="53"/>
        <v>2932236865.5</v>
      </c>
      <c r="HD18" s="383">
        <f t="shared" si="53"/>
        <v>2019761565.5</v>
      </c>
      <c r="HE18" s="382">
        <f t="shared" si="54"/>
        <v>912475300</v>
      </c>
      <c r="HG18" s="383">
        <f t="shared" si="55"/>
        <v>2089615965.5</v>
      </c>
      <c r="HH18" s="383">
        <f t="shared" si="55"/>
        <v>1352389165.5</v>
      </c>
      <c r="HI18" s="383">
        <f t="shared" si="56"/>
        <v>737226800</v>
      </c>
      <c r="HK18" s="383">
        <f t="shared" si="57"/>
        <v>350000000</v>
      </c>
      <c r="HL18" s="383">
        <f t="shared" si="57"/>
        <v>350000000</v>
      </c>
      <c r="HM18" s="383">
        <f t="shared" si="58"/>
        <v>0</v>
      </c>
      <c r="HO18" s="383">
        <f t="shared" si="37"/>
        <v>2836000</v>
      </c>
      <c r="HP18" s="383">
        <f t="shared" si="37"/>
        <v>2836000</v>
      </c>
      <c r="HQ18" s="383">
        <f t="shared" si="59"/>
        <v>0</v>
      </c>
      <c r="HS18" s="383">
        <f t="shared" si="60"/>
        <v>89308300</v>
      </c>
      <c r="HT18" s="383">
        <f t="shared" si="60"/>
        <v>85486400</v>
      </c>
      <c r="HU18" s="383">
        <f t="shared" si="61"/>
        <v>3821900</v>
      </c>
      <c r="HW18" s="383">
        <f t="shared" si="62"/>
        <v>36700000</v>
      </c>
      <c r="HX18" s="383">
        <f t="shared" si="62"/>
        <v>13600000</v>
      </c>
      <c r="HY18" s="383">
        <f t="shared" si="63"/>
        <v>23100000</v>
      </c>
      <c r="IA18" s="387">
        <f t="shared" si="64"/>
        <v>20000000</v>
      </c>
      <c r="IB18" s="387">
        <f t="shared" si="64"/>
        <v>0</v>
      </c>
      <c r="IC18" s="387">
        <f t="shared" si="65"/>
        <v>20000000</v>
      </c>
      <c r="IE18" s="383">
        <f t="shared" si="66"/>
        <v>341776600</v>
      </c>
      <c r="IF18" s="383">
        <f t="shared" si="66"/>
        <v>213750000</v>
      </c>
      <c r="IG18" s="383">
        <f t="shared" si="67"/>
        <v>128026600</v>
      </c>
      <c r="II18" s="383">
        <f t="shared" si="68"/>
        <v>2000000</v>
      </c>
      <c r="IJ18" s="383">
        <f t="shared" si="68"/>
        <v>1700000</v>
      </c>
      <c r="IK18" s="383">
        <f t="shared" si="69"/>
        <v>300000</v>
      </c>
    </row>
    <row r="19" spans="1:245" ht="19.5" customHeight="1" x14ac:dyDescent="0.25">
      <c r="A19" s="380">
        <v>16</v>
      </c>
      <c r="B19" s="380" t="s">
        <v>335</v>
      </c>
      <c r="C19" s="381" t="s">
        <v>61</v>
      </c>
      <c r="D19" s="382">
        <v>18318965.5</v>
      </c>
      <c r="E19" s="382">
        <f>'[1]COE DISB 2019'!D27</f>
        <v>18318965.5</v>
      </c>
      <c r="F19" s="383">
        <f t="shared" si="0"/>
        <v>0</v>
      </c>
      <c r="H19" s="382">
        <v>8000000</v>
      </c>
      <c r="I19" s="382">
        <f>'[1]COE DISB 2019'!E27</f>
        <v>8000000</v>
      </c>
      <c r="J19" s="383">
        <f t="shared" si="1"/>
        <v>0</v>
      </c>
      <c r="L19" s="382">
        <v>500000</v>
      </c>
      <c r="M19" s="382">
        <f>'[1]COE DISB 2019'!F27</f>
        <v>500000</v>
      </c>
      <c r="N19" s="383">
        <f t="shared" si="2"/>
        <v>0</v>
      </c>
      <c r="P19" s="353">
        <v>16000000</v>
      </c>
      <c r="Q19" s="382">
        <f>'[1]COE DISB 2019'!G27</f>
        <v>16000000</v>
      </c>
      <c r="R19" s="383">
        <f t="shared" si="3"/>
        <v>0</v>
      </c>
      <c r="T19" s="385">
        <v>844000</v>
      </c>
      <c r="U19" s="382">
        <f>'[1]COE DISB 2019'!H27</f>
        <v>844000</v>
      </c>
      <c r="V19" s="383">
        <f t="shared" si="4"/>
        <v>0</v>
      </c>
      <c r="X19" s="353">
        <v>0</v>
      </c>
      <c r="Y19" s="382">
        <f>'[1]COE DISB 2019'!I27</f>
        <v>0</v>
      </c>
      <c r="Z19" s="383">
        <f t="shared" si="5"/>
        <v>0</v>
      </c>
      <c r="AB19" s="385">
        <v>20000000</v>
      </c>
      <c r="AC19" s="382">
        <f>'[1]COE DISB 2019'!J27</f>
        <v>20000000</v>
      </c>
      <c r="AD19" s="383">
        <f t="shared" si="6"/>
        <v>0</v>
      </c>
      <c r="AF19" s="353">
        <v>0</v>
      </c>
      <c r="AG19" s="382">
        <f>'[1]COE DISB 2019'!K27</f>
        <v>0</v>
      </c>
      <c r="AH19" s="383">
        <f t="shared" si="7"/>
        <v>0</v>
      </c>
      <c r="AJ19" s="385">
        <v>10000000</v>
      </c>
      <c r="AK19" s="382">
        <f>'[1]COE DISB 2019'!L27</f>
        <v>10000000</v>
      </c>
      <c r="AL19" s="383">
        <f t="shared" si="8"/>
        <v>0</v>
      </c>
      <c r="AN19" s="382">
        <v>10000000</v>
      </c>
      <c r="AO19" s="382">
        <f>'[1]COE DISB 2019'!M27</f>
        <v>10000000</v>
      </c>
      <c r="AP19" s="383">
        <f t="shared" si="9"/>
        <v>0</v>
      </c>
      <c r="AR19" s="382">
        <v>15000000</v>
      </c>
      <c r="AS19" s="382">
        <f>'[1]COE DISB 2019'!N27</f>
        <v>15000000</v>
      </c>
      <c r="AT19" s="383">
        <f t="shared" si="10"/>
        <v>0</v>
      </c>
      <c r="AV19" s="382">
        <v>10000000</v>
      </c>
      <c r="AW19" s="388">
        <f>'[1]COE DISB 2019'!O27</f>
        <v>10000000</v>
      </c>
      <c r="AX19" s="382">
        <f t="shared" si="11"/>
        <v>0</v>
      </c>
      <c r="AZ19" s="382">
        <v>18000000</v>
      </c>
      <c r="BA19" s="382">
        <f>'[1]COE DISB 2019'!P27</f>
        <v>18000000</v>
      </c>
      <c r="BB19" s="382">
        <f t="shared" si="12"/>
        <v>0</v>
      </c>
      <c r="BD19" s="382">
        <v>23400000</v>
      </c>
      <c r="BE19" s="382">
        <f>'[1]COE DISB 2019'!Q27</f>
        <v>23400000</v>
      </c>
      <c r="BF19" s="382">
        <f t="shared" si="13"/>
        <v>0</v>
      </c>
      <c r="BH19" s="382">
        <v>0</v>
      </c>
      <c r="BI19" s="382">
        <f>'[1]COE DISB 2019'!R27</f>
        <v>0</v>
      </c>
      <c r="BJ19" s="382">
        <f t="shared" si="14"/>
        <v>0</v>
      </c>
      <c r="BL19" s="382">
        <v>43000000</v>
      </c>
      <c r="BM19" s="382">
        <f>'[1]COE DISB 2019'!S27</f>
        <v>43000000</v>
      </c>
      <c r="BN19" s="382">
        <f t="shared" si="15"/>
        <v>0</v>
      </c>
      <c r="BP19" s="382">
        <v>37160000</v>
      </c>
      <c r="BQ19" s="382">
        <f>'[1]COE DISB 2019'!T27</f>
        <v>37160000</v>
      </c>
      <c r="BR19" s="382">
        <f t="shared" si="16"/>
        <v>0</v>
      </c>
      <c r="BT19" s="382">
        <v>0</v>
      </c>
      <c r="BU19" s="382">
        <f>'[1]COE DISB 2019'!U27</f>
        <v>0</v>
      </c>
      <c r="BV19" s="382">
        <f t="shared" si="17"/>
        <v>0</v>
      </c>
      <c r="BX19" s="382">
        <v>112670000</v>
      </c>
      <c r="BY19" s="382">
        <f>'[1]COE DISB 2019'!V27</f>
        <v>112670000</v>
      </c>
      <c r="BZ19" s="382">
        <f t="shared" si="18"/>
        <v>0</v>
      </c>
      <c r="CB19" s="382">
        <f>'[1]COE commited funds to date'!W22</f>
        <v>0</v>
      </c>
      <c r="CC19" s="382">
        <f>'[1]COE DISB 2019'!W27</f>
        <v>0</v>
      </c>
      <c r="CD19" s="382">
        <f t="shared" si="19"/>
        <v>0</v>
      </c>
      <c r="CF19" s="382">
        <f>'[1]COE commited funds to date'!X22</f>
        <v>125000000</v>
      </c>
      <c r="CG19" s="382">
        <f>'[1]COE DISB 2019'!X27</f>
        <v>125000000</v>
      </c>
      <c r="CH19" s="382">
        <f t="shared" si="20"/>
        <v>0</v>
      </c>
      <c r="CJ19" s="382">
        <v>10000000</v>
      </c>
      <c r="CK19" s="382">
        <f>'[1]COE DISB 2019'!Y27</f>
        <v>10000000</v>
      </c>
      <c r="CL19" s="382">
        <f t="shared" si="21"/>
        <v>0</v>
      </c>
      <c r="CN19" s="382">
        <v>120000000</v>
      </c>
      <c r="CO19" s="382">
        <f>'[1]COE DISB 2019'!Z27</f>
        <v>120000000</v>
      </c>
      <c r="CP19" s="382">
        <f t="shared" si="22"/>
        <v>0</v>
      </c>
      <c r="CR19" s="382">
        <v>210000000</v>
      </c>
      <c r="CS19" s="382">
        <f>'[1]COE DISB 2019'!AA27</f>
        <v>210000000</v>
      </c>
      <c r="CT19" s="382">
        <f t="shared" si="23"/>
        <v>0</v>
      </c>
      <c r="CV19" s="382">
        <v>10000000</v>
      </c>
      <c r="CW19" s="382">
        <f>'[1]COE DISB 2019'!AB27</f>
        <v>10000000</v>
      </c>
      <c r="CX19" s="382">
        <f t="shared" si="24"/>
        <v>0</v>
      </c>
      <c r="CZ19" s="382">
        <f>'[1]COE commited funds to date'!AC22</f>
        <v>0</v>
      </c>
      <c r="DA19" s="382">
        <f>'[1]COE DISB 2019'!AC27</f>
        <v>0</v>
      </c>
      <c r="DB19" s="382">
        <f t="shared" si="25"/>
        <v>0</v>
      </c>
      <c r="DC19" s="386"/>
      <c r="DD19" s="382">
        <v>215000000</v>
      </c>
      <c r="DE19" s="382">
        <f>'[1]COE DISB 2019'!AD27</f>
        <v>182750000</v>
      </c>
      <c r="DF19" s="382">
        <f t="shared" si="26"/>
        <v>32250000</v>
      </c>
      <c r="DG19" s="386"/>
      <c r="DH19" s="382">
        <v>10000000</v>
      </c>
      <c r="DI19" s="382">
        <f>'[1]COE DISB 2019'!AE27</f>
        <v>10000000</v>
      </c>
      <c r="DJ19" s="382">
        <f t="shared" si="27"/>
        <v>0</v>
      </c>
      <c r="DK19" s="386"/>
      <c r="DL19" s="382">
        <f>'[1]COE commited funds to date'!AD22</f>
        <v>0</v>
      </c>
      <c r="DM19" s="382">
        <f>'[1]COE DISB 2019'!AF27</f>
        <v>0</v>
      </c>
      <c r="DN19" s="382">
        <f t="shared" si="28"/>
        <v>0</v>
      </c>
      <c r="DO19" s="386"/>
      <c r="DP19" s="382">
        <v>325000000</v>
      </c>
      <c r="DQ19" s="382">
        <f>'[1]COE DISB 2019'!AG27</f>
        <v>276250000</v>
      </c>
      <c r="DR19" s="382">
        <f t="shared" si="29"/>
        <v>48750000</v>
      </c>
      <c r="DS19" s="386"/>
      <c r="DT19" s="353">
        <v>10000000</v>
      </c>
      <c r="DU19" s="382">
        <f>'[1]COE DISB 2019'!AH27</f>
        <v>10000000</v>
      </c>
      <c r="DV19" s="382">
        <f t="shared" si="30"/>
        <v>0</v>
      </c>
      <c r="DW19" s="386"/>
      <c r="DX19" s="382">
        <f>'[1]COE commited funds to date'!AI22</f>
        <v>150000000</v>
      </c>
      <c r="DY19" s="382">
        <f>'[1]COE DISB 2019'!AI27</f>
        <v>150000000</v>
      </c>
      <c r="DZ19" s="382">
        <f t="shared" si="31"/>
        <v>0</v>
      </c>
      <c r="EA19" s="386"/>
      <c r="EB19" s="382">
        <f>'[1]COE commited funds to date'!AJ22</f>
        <v>72000000</v>
      </c>
      <c r="EC19" s="382">
        <f>'[1]COE DISB 2019'!AJ27</f>
        <v>61200000</v>
      </c>
      <c r="ED19" s="382">
        <f t="shared" si="32"/>
        <v>10800000</v>
      </c>
      <c r="EE19" s="386"/>
      <c r="EF19" s="382">
        <f>'[1]COE commited funds to date'!AK22</f>
        <v>8000000</v>
      </c>
      <c r="EG19" s="382">
        <f>'[1]COE DISB 2019'!AK27</f>
        <v>4080000</v>
      </c>
      <c r="EH19" s="382">
        <f t="shared" si="33"/>
        <v>3920000</v>
      </c>
      <c r="EI19" s="386"/>
      <c r="EJ19" s="382">
        <f>'[1]COE commited funds to date'!AL22</f>
        <v>2000000</v>
      </c>
      <c r="EK19" s="382">
        <f>'[1]COE DISB 2019'!AL27</f>
        <v>0</v>
      </c>
      <c r="EL19" s="382">
        <f t="shared" si="34"/>
        <v>2000000</v>
      </c>
      <c r="EM19" s="386"/>
      <c r="EN19" s="382">
        <f>'[1]COE commited funds to date'!AM22</f>
        <v>7000000</v>
      </c>
      <c r="EO19" s="382">
        <f>'[1]COE DISB 2019'!AM27</f>
        <v>7000000</v>
      </c>
      <c r="EP19" s="382">
        <f t="shared" si="35"/>
        <v>0</v>
      </c>
      <c r="EQ19" s="386"/>
      <c r="ER19" s="382">
        <f>'[1]COE commited funds to date'!AN22</f>
        <v>3000000000</v>
      </c>
      <c r="ES19" s="382">
        <f>'[1]COE DISB 2019'!AN27</f>
        <v>2902500000</v>
      </c>
      <c r="ET19" s="382">
        <f t="shared" si="36"/>
        <v>97500000</v>
      </c>
      <c r="EV19" s="383">
        <f>'[1]COE commited funds to date'!AO22</f>
        <v>371067000</v>
      </c>
      <c r="EW19" s="383">
        <f>'[1]COE DISB 2019'!AO27</f>
        <v>315406950</v>
      </c>
      <c r="EX19" s="383">
        <f t="shared" si="38"/>
        <v>55660050</v>
      </c>
      <c r="EY19" s="380"/>
      <c r="EZ19" s="383">
        <f>'[1]COE commited funds to date'!AQ22</f>
        <v>12000000</v>
      </c>
      <c r="FA19" s="383">
        <f>'[1]COE DISB 2019'!AP27</f>
        <v>12000000</v>
      </c>
      <c r="FB19" s="383">
        <f t="shared" si="39"/>
        <v>0</v>
      </c>
      <c r="FC19" s="380"/>
      <c r="FD19" s="383">
        <f>'[1]COE commited funds to date'!AR22</f>
        <v>10000000</v>
      </c>
      <c r="FE19" s="383">
        <f>'[1]COE DISB 2019'!AQ27</f>
        <v>0</v>
      </c>
      <c r="FF19" s="383">
        <f t="shared" si="40"/>
        <v>10000000</v>
      </c>
      <c r="FG19" s="380"/>
      <c r="FH19" s="383">
        <f>'[1]COE commited funds to date'!AP22</f>
        <v>8000000</v>
      </c>
      <c r="FI19" s="383">
        <f>'[1]COE DISB 2019'!AR27</f>
        <v>4080000</v>
      </c>
      <c r="FJ19" s="383">
        <f t="shared" si="41"/>
        <v>3920000</v>
      </c>
      <c r="FK19" s="383">
        <f>'[1]COE commited funds to date'!AS22</f>
        <v>150000000</v>
      </c>
      <c r="FL19" s="383">
        <f>'[1]COE DISB 2019'!AS27</f>
        <v>79500000</v>
      </c>
      <c r="FM19" s="383">
        <f t="shared" si="42"/>
        <v>70500000</v>
      </c>
      <c r="FN19" s="380"/>
      <c r="FO19" s="383">
        <f>'[1]COE commited funds to date'!AT22</f>
        <v>200000000</v>
      </c>
      <c r="FP19" s="383">
        <f>'[1]COE DISB 2019'!AT27</f>
        <v>0</v>
      </c>
      <c r="FQ19" s="383">
        <f t="shared" si="43"/>
        <v>200000000</v>
      </c>
      <c r="FR19" s="380"/>
      <c r="FS19" s="383">
        <f>'[1]COE commited funds to date'!AU22</f>
        <v>75000000</v>
      </c>
      <c r="FT19" s="383">
        <f>'[1]COE DISB 2019'!AU27</f>
        <v>52500000</v>
      </c>
      <c r="FU19" s="383">
        <f t="shared" si="44"/>
        <v>22500000</v>
      </c>
      <c r="FV19" s="380"/>
      <c r="FW19" s="383">
        <f>'[1]COE commited funds to date'!AV22</f>
        <v>8700000</v>
      </c>
      <c r="FX19" s="383">
        <f>'[1]COE DISB 2019'!AV27</f>
        <v>0</v>
      </c>
      <c r="FY19" s="383">
        <f t="shared" si="45"/>
        <v>8700000</v>
      </c>
      <c r="FZ19" s="380"/>
      <c r="GA19" s="383">
        <f>'[1]COE commited funds to date'!AW22</f>
        <v>5000000</v>
      </c>
      <c r="GB19" s="383">
        <f>'[1]COE DISB 2019'!AW27</f>
        <v>0</v>
      </c>
      <c r="GC19" s="383">
        <f t="shared" si="46"/>
        <v>5000000</v>
      </c>
      <c r="GD19" s="380"/>
      <c r="GE19" s="383">
        <f>'[1]COE commited funds to date'!AX22</f>
        <v>20000000</v>
      </c>
      <c r="GF19" s="383">
        <f>'[1]COE DISB 2019'!AX27</f>
        <v>18814800</v>
      </c>
      <c r="GG19" s="383">
        <f t="shared" si="47"/>
        <v>1185200</v>
      </c>
      <c r="GH19" s="380"/>
      <c r="GI19" s="383">
        <f>'[1]COE commited funds to date'!AY22</f>
        <v>230000000</v>
      </c>
      <c r="GJ19" s="383">
        <f>'[1]COE DISB 2019'!AY27</f>
        <v>0</v>
      </c>
      <c r="GK19" s="383">
        <f t="shared" si="48"/>
        <v>230000000</v>
      </c>
      <c r="GL19" s="380"/>
      <c r="GM19" s="383">
        <f>'[1]COE commited funds to date'!AZ22</f>
        <v>116776600</v>
      </c>
      <c r="GN19" s="383">
        <f>'[1]COE DISB 2019'!AZ27</f>
        <v>0</v>
      </c>
      <c r="GO19" s="383">
        <f t="shared" si="49"/>
        <v>116776600</v>
      </c>
      <c r="GP19" s="380"/>
      <c r="GQ19" s="383">
        <f>'[1]COE commited funds to date'!BA22</f>
        <v>12000000</v>
      </c>
      <c r="GR19" s="383">
        <f>'[1]COE DISB 2019'!BA27</f>
        <v>0</v>
      </c>
      <c r="GS19" s="383">
        <f t="shared" si="50"/>
        <v>12000000</v>
      </c>
      <c r="GT19" s="380"/>
      <c r="GU19" s="383">
        <f>'[1]COE commited funds to date'!BB22</f>
        <v>5000000</v>
      </c>
      <c r="GV19" s="383">
        <f>'[1]COE DISB 2019'!BB27</f>
        <v>0</v>
      </c>
      <c r="GW19" s="383">
        <f t="shared" si="51"/>
        <v>5000000</v>
      </c>
      <c r="GX19" s="380"/>
      <c r="GY19" s="383">
        <f>'[1]COE commited funds to date'!BC22</f>
        <v>10308300</v>
      </c>
      <c r="GZ19" s="383">
        <f>'[1]COE DISB 2019'!BC27</f>
        <v>0</v>
      </c>
      <c r="HA19" s="383">
        <f t="shared" si="52"/>
        <v>10308300</v>
      </c>
      <c r="HB19" s="380"/>
      <c r="HC19" s="383">
        <f t="shared" si="53"/>
        <v>5850744865.5</v>
      </c>
      <c r="HD19" s="383">
        <f t="shared" si="53"/>
        <v>4903974715.5</v>
      </c>
      <c r="HE19" s="382">
        <f t="shared" si="54"/>
        <v>946770150</v>
      </c>
      <c r="HG19" s="383">
        <f t="shared" si="55"/>
        <v>2079615965.5</v>
      </c>
      <c r="HH19" s="383">
        <f t="shared" si="55"/>
        <v>1502155915.5</v>
      </c>
      <c r="HI19" s="383">
        <f t="shared" si="56"/>
        <v>577460050</v>
      </c>
      <c r="HK19" s="383">
        <f t="shared" si="57"/>
        <v>3270000000</v>
      </c>
      <c r="HL19" s="383">
        <f t="shared" si="57"/>
        <v>3172500000</v>
      </c>
      <c r="HM19" s="383">
        <f t="shared" si="58"/>
        <v>97500000</v>
      </c>
      <c r="HO19" s="383">
        <f t="shared" si="37"/>
        <v>1344000</v>
      </c>
      <c r="HP19" s="383">
        <f t="shared" si="37"/>
        <v>1344000</v>
      </c>
      <c r="HQ19" s="383">
        <f t="shared" si="59"/>
        <v>0</v>
      </c>
      <c r="HS19" s="383">
        <f t="shared" si="60"/>
        <v>89308300</v>
      </c>
      <c r="HT19" s="383">
        <f t="shared" si="60"/>
        <v>77814800</v>
      </c>
      <c r="HU19" s="383">
        <f t="shared" si="61"/>
        <v>11493500</v>
      </c>
      <c r="HW19" s="383">
        <f t="shared" si="62"/>
        <v>36700000</v>
      </c>
      <c r="HX19" s="383">
        <f t="shared" si="62"/>
        <v>8160000</v>
      </c>
      <c r="HY19" s="383">
        <f t="shared" si="63"/>
        <v>28540000</v>
      </c>
      <c r="IA19" s="387">
        <f t="shared" si="64"/>
        <v>20000000</v>
      </c>
      <c r="IB19" s="387">
        <f t="shared" si="64"/>
        <v>0</v>
      </c>
      <c r="IC19" s="387">
        <f t="shared" si="65"/>
        <v>20000000</v>
      </c>
      <c r="IE19" s="383">
        <f t="shared" si="66"/>
        <v>341776600</v>
      </c>
      <c r="IF19" s="383">
        <f t="shared" si="66"/>
        <v>132000000</v>
      </c>
      <c r="IG19" s="383">
        <f t="shared" si="67"/>
        <v>209776600</v>
      </c>
      <c r="II19" s="383">
        <f t="shared" si="68"/>
        <v>2000000</v>
      </c>
      <c r="IJ19" s="383">
        <f t="shared" si="68"/>
        <v>0</v>
      </c>
      <c r="IK19" s="383">
        <f t="shared" si="69"/>
        <v>2000000</v>
      </c>
    </row>
    <row r="20" spans="1:245" ht="19.5" customHeight="1" x14ac:dyDescent="0.25">
      <c r="A20" s="380">
        <v>17</v>
      </c>
      <c r="B20" s="380" t="s">
        <v>336</v>
      </c>
      <c r="C20" s="381" t="s">
        <v>65</v>
      </c>
      <c r="D20" s="382">
        <v>18318965.5</v>
      </c>
      <c r="E20" s="382">
        <f>'[1]COE DISB 2019'!D28</f>
        <v>18318965.57</v>
      </c>
      <c r="F20" s="383">
        <f t="shared" si="0"/>
        <v>-7.0000000298023224E-2</v>
      </c>
      <c r="H20" s="382">
        <v>8000000</v>
      </c>
      <c r="I20" s="382">
        <f>'[1]COE DISB 2019'!E28</f>
        <v>8000000</v>
      </c>
      <c r="J20" s="383">
        <f t="shared" si="1"/>
        <v>0</v>
      </c>
      <c r="L20" s="382">
        <v>500000</v>
      </c>
      <c r="M20" s="382">
        <f>'[1]COE DISB 2019'!F28</f>
        <v>500000</v>
      </c>
      <c r="N20" s="383">
        <f t="shared" si="2"/>
        <v>0</v>
      </c>
      <c r="P20" s="353">
        <v>16000000</v>
      </c>
      <c r="Q20" s="382">
        <f>'[1]COE DISB 2019'!G28</f>
        <v>16000000</v>
      </c>
      <c r="R20" s="383">
        <f t="shared" si="3"/>
        <v>0</v>
      </c>
      <c r="T20" s="385">
        <v>377000</v>
      </c>
      <c r="U20" s="382">
        <f>'[1]COE DISB 2019'!H28</f>
        <v>377000</v>
      </c>
      <c r="V20" s="383">
        <f t="shared" si="4"/>
        <v>0</v>
      </c>
      <c r="X20" s="385">
        <v>4000000</v>
      </c>
      <c r="Y20" s="382">
        <f>'[1]COE DISB 2019'!I28</f>
        <v>4000000</v>
      </c>
      <c r="Z20" s="383">
        <f t="shared" si="5"/>
        <v>0</v>
      </c>
      <c r="AB20" s="385">
        <v>20000000</v>
      </c>
      <c r="AC20" s="382">
        <f>'[1]COE DISB 2019'!J28</f>
        <v>20000000</v>
      </c>
      <c r="AD20" s="383">
        <f t="shared" si="6"/>
        <v>0</v>
      </c>
      <c r="AF20" s="353">
        <v>0</v>
      </c>
      <c r="AG20" s="382">
        <f>'[1]COE DISB 2019'!K28</f>
        <v>0</v>
      </c>
      <c r="AH20" s="383">
        <f t="shared" si="7"/>
        <v>0</v>
      </c>
      <c r="AJ20" s="385">
        <v>10000000</v>
      </c>
      <c r="AK20" s="382">
        <f>'[1]COE DISB 2019'!L28</f>
        <v>10000000</v>
      </c>
      <c r="AL20" s="383">
        <f t="shared" si="8"/>
        <v>0</v>
      </c>
      <c r="AN20" s="382">
        <v>10000000</v>
      </c>
      <c r="AO20" s="382">
        <f>'[1]COE DISB 2019'!M28</f>
        <v>10000000</v>
      </c>
      <c r="AP20" s="383">
        <f t="shared" si="9"/>
        <v>0</v>
      </c>
      <c r="AR20" s="382">
        <v>15000000</v>
      </c>
      <c r="AS20" s="382">
        <f>'[1]COE DISB 2019'!N28</f>
        <v>15000000</v>
      </c>
      <c r="AT20" s="383">
        <f t="shared" si="10"/>
        <v>0</v>
      </c>
      <c r="AV20" s="382">
        <v>10000000</v>
      </c>
      <c r="AW20" s="385">
        <f>'[1]COE DISB 2019'!O28</f>
        <v>10000000</v>
      </c>
      <c r="AX20" s="382">
        <f t="shared" si="11"/>
        <v>0</v>
      </c>
      <c r="AZ20" s="382">
        <v>18000000</v>
      </c>
      <c r="BA20" s="382">
        <f>'[1]COE DISB 2019'!P28</f>
        <v>18000000</v>
      </c>
      <c r="BB20" s="382">
        <f t="shared" si="12"/>
        <v>0</v>
      </c>
      <c r="BD20" s="382">
        <v>23400000</v>
      </c>
      <c r="BE20" s="382">
        <f>'[1]COE DISB 2019'!Q28</f>
        <v>23400000</v>
      </c>
      <c r="BF20" s="382">
        <f t="shared" si="13"/>
        <v>0</v>
      </c>
      <c r="BH20" s="382">
        <v>0</v>
      </c>
      <c r="BI20" s="382">
        <f>'[1]COE DISB 2019'!R28</f>
        <v>0</v>
      </c>
      <c r="BJ20" s="382">
        <f t="shared" si="14"/>
        <v>0</v>
      </c>
      <c r="BL20" s="382">
        <v>43000000</v>
      </c>
      <c r="BM20" s="382">
        <f>'[1]COE DISB 2019'!S28</f>
        <v>43000000</v>
      </c>
      <c r="BN20" s="382">
        <f t="shared" si="15"/>
        <v>0</v>
      </c>
      <c r="BP20" s="382">
        <v>37160000</v>
      </c>
      <c r="BQ20" s="382">
        <f>'[1]COE DISB 2019'!T28</f>
        <v>37160000</v>
      </c>
      <c r="BR20" s="382">
        <f t="shared" si="16"/>
        <v>0</v>
      </c>
      <c r="BT20" s="382">
        <v>0</v>
      </c>
      <c r="BU20" s="382">
        <f>'[1]COE DISB 2019'!U28</f>
        <v>0</v>
      </c>
      <c r="BV20" s="382">
        <f t="shared" si="17"/>
        <v>0</v>
      </c>
      <c r="BX20" s="382">
        <v>112670000</v>
      </c>
      <c r="BY20" s="382">
        <f>'[1]COE DISB 2019'!V28</f>
        <v>112670000</v>
      </c>
      <c r="BZ20" s="382">
        <f t="shared" si="18"/>
        <v>0</v>
      </c>
      <c r="CB20" s="382">
        <f>'[1]COE commited funds to date'!W23</f>
        <v>0</v>
      </c>
      <c r="CC20" s="382">
        <f>'[1]COE DISB 2019'!W28</f>
        <v>0</v>
      </c>
      <c r="CD20" s="382">
        <f t="shared" si="19"/>
        <v>0</v>
      </c>
      <c r="CF20" s="382">
        <f>'[1]COE commited funds to date'!X23</f>
        <v>125000000</v>
      </c>
      <c r="CG20" s="382">
        <f>'[1]COE DISB 2019'!X28</f>
        <v>125000000</v>
      </c>
      <c r="CH20" s="382">
        <f t="shared" si="20"/>
        <v>0</v>
      </c>
      <c r="CJ20" s="382">
        <v>10000000</v>
      </c>
      <c r="CK20" s="382">
        <f>'[1]COE DISB 2019'!Y28</f>
        <v>10000000</v>
      </c>
      <c r="CL20" s="382">
        <f t="shared" si="21"/>
        <v>0</v>
      </c>
      <c r="CN20" s="382">
        <v>0</v>
      </c>
      <c r="CO20" s="382">
        <f>'[1]COE DISB 2019'!Z28</f>
        <v>0</v>
      </c>
      <c r="CP20" s="382">
        <f t="shared" si="22"/>
        <v>0</v>
      </c>
      <c r="CR20" s="382">
        <v>210000000</v>
      </c>
      <c r="CS20" s="382">
        <f>'[1]COE DISB 2019'!AA28</f>
        <v>210000000</v>
      </c>
      <c r="CT20" s="382">
        <f t="shared" si="23"/>
        <v>0</v>
      </c>
      <c r="CV20" s="382">
        <v>10000000</v>
      </c>
      <c r="CW20" s="382">
        <f>'[1]COE DISB 2019'!AB28</f>
        <v>10000000</v>
      </c>
      <c r="CX20" s="382">
        <f t="shared" si="24"/>
        <v>0</v>
      </c>
      <c r="CZ20" s="382">
        <f>'[1]COE commited funds to date'!AC23</f>
        <v>0</v>
      </c>
      <c r="DA20" s="382">
        <f>'[1]COE DISB 2019'!AC28</f>
        <v>0</v>
      </c>
      <c r="DB20" s="382">
        <f t="shared" si="25"/>
        <v>0</v>
      </c>
      <c r="DC20" s="386"/>
      <c r="DD20" s="382">
        <v>215000000</v>
      </c>
      <c r="DE20" s="382">
        <f>'[1]COE DISB 2019'!AD28</f>
        <v>215000000</v>
      </c>
      <c r="DF20" s="382">
        <f t="shared" si="26"/>
        <v>0</v>
      </c>
      <c r="DG20" s="386"/>
      <c r="DH20" s="382">
        <v>10000000</v>
      </c>
      <c r="DI20" s="382">
        <f>'[1]COE DISB 2019'!AE28</f>
        <v>10000000</v>
      </c>
      <c r="DJ20" s="382">
        <f t="shared" si="27"/>
        <v>0</v>
      </c>
      <c r="DK20" s="386"/>
      <c r="DL20" s="382">
        <f>'[1]COE commited funds to date'!AD23</f>
        <v>100000000</v>
      </c>
      <c r="DM20" s="382">
        <f>'[1]COE DISB 2019'!AF28</f>
        <v>100000000</v>
      </c>
      <c r="DN20" s="382">
        <f t="shared" si="28"/>
        <v>0</v>
      </c>
      <c r="DO20" s="386"/>
      <c r="DP20" s="382">
        <v>325000000</v>
      </c>
      <c r="DQ20" s="382">
        <f>'[1]COE DISB 2019'!AG28</f>
        <v>325000000</v>
      </c>
      <c r="DR20" s="382">
        <f t="shared" si="29"/>
        <v>0</v>
      </c>
      <c r="DS20" s="386"/>
      <c r="DT20" s="353">
        <v>10000000</v>
      </c>
      <c r="DU20" s="382">
        <f>'[1]COE DISB 2019'!AH28</f>
        <v>10000000</v>
      </c>
      <c r="DV20" s="382">
        <f t="shared" si="30"/>
        <v>0</v>
      </c>
      <c r="DW20" s="386"/>
      <c r="DX20" s="382">
        <f>'[1]COE commited funds to date'!AI23</f>
        <v>200000000</v>
      </c>
      <c r="DY20" s="382">
        <f>'[1]COE DISB 2019'!AI28</f>
        <v>170000000</v>
      </c>
      <c r="DZ20" s="382">
        <f t="shared" si="31"/>
        <v>30000000</v>
      </c>
      <c r="EA20" s="386"/>
      <c r="EB20" s="382">
        <f>'[1]COE commited funds to date'!AJ23</f>
        <v>72000000</v>
      </c>
      <c r="EC20" s="382">
        <f>'[1]COE DISB 2019'!AJ28</f>
        <v>61200000</v>
      </c>
      <c r="ED20" s="382">
        <f t="shared" si="32"/>
        <v>10800000</v>
      </c>
      <c r="EE20" s="386"/>
      <c r="EF20" s="382">
        <f>'[1]COE commited funds to date'!AK23</f>
        <v>8000000</v>
      </c>
      <c r="EG20" s="382">
        <f>'[1]COE DISB 2019'!AK28</f>
        <v>4560000</v>
      </c>
      <c r="EH20" s="382">
        <f t="shared" si="33"/>
        <v>3440000</v>
      </c>
      <c r="EI20" s="386"/>
      <c r="EJ20" s="382">
        <f>'[1]COE commited funds to date'!AL23</f>
        <v>2000000</v>
      </c>
      <c r="EK20" s="382">
        <f>'[1]COE DISB 2019'!AL28</f>
        <v>0</v>
      </c>
      <c r="EL20" s="382">
        <f t="shared" si="34"/>
        <v>2000000</v>
      </c>
      <c r="EM20" s="386"/>
      <c r="EN20" s="382">
        <f>'[1]COE commited funds to date'!AM23</f>
        <v>7000000</v>
      </c>
      <c r="EO20" s="382">
        <f>'[1]COE DISB 2019'!AM28</f>
        <v>7000000</v>
      </c>
      <c r="EP20" s="382">
        <f t="shared" si="35"/>
        <v>0</v>
      </c>
      <c r="EQ20" s="386"/>
      <c r="ER20" s="382">
        <f>'[1]COE commited funds to date'!AN23</f>
        <v>0</v>
      </c>
      <c r="ES20" s="382">
        <f>'[1]COE DISB 2019'!AN28</f>
        <v>0</v>
      </c>
      <c r="ET20" s="382">
        <f t="shared" si="36"/>
        <v>0</v>
      </c>
      <c r="EV20" s="383">
        <f>'[1]COE commited funds to date'!AO23</f>
        <v>371067000</v>
      </c>
      <c r="EW20" s="383">
        <f>'[1]COE DISB 2019'!AO28</f>
        <v>315406950</v>
      </c>
      <c r="EX20" s="383">
        <f t="shared" si="38"/>
        <v>55660050</v>
      </c>
      <c r="EY20" s="380"/>
      <c r="EZ20" s="383">
        <f>'[1]COE commited funds to date'!AQ23</f>
        <v>12000000</v>
      </c>
      <c r="FA20" s="383">
        <f>'[1]COE DISB 2019'!AP28</f>
        <v>12000000</v>
      </c>
      <c r="FB20" s="383">
        <f t="shared" si="39"/>
        <v>0</v>
      </c>
      <c r="FC20" s="380"/>
      <c r="FD20" s="383">
        <f>'[1]COE commited funds to date'!AR23</f>
        <v>10000000</v>
      </c>
      <c r="FE20" s="383">
        <f>'[1]COE DISB 2019'!AQ28</f>
        <v>0</v>
      </c>
      <c r="FF20" s="383">
        <f t="shared" si="40"/>
        <v>10000000</v>
      </c>
      <c r="FG20" s="380"/>
      <c r="FH20" s="383">
        <f>'[1]COE commited funds to date'!AP23</f>
        <v>8000000</v>
      </c>
      <c r="FI20" s="383">
        <f>'[1]COE DISB 2019'!AR28</f>
        <v>4560000</v>
      </c>
      <c r="FJ20" s="383">
        <f t="shared" si="41"/>
        <v>3440000</v>
      </c>
      <c r="FK20" s="383">
        <f>'[1]COE commited funds to date'!AS23</f>
        <v>0</v>
      </c>
      <c r="FL20" s="383">
        <f>'[1]COE DISB 2019'!AS28</f>
        <v>0</v>
      </c>
      <c r="FM20" s="383">
        <f t="shared" si="42"/>
        <v>0</v>
      </c>
      <c r="FN20" s="380"/>
      <c r="FO20" s="383">
        <f>'[1]COE commited funds to date'!AT23</f>
        <v>200000000</v>
      </c>
      <c r="FP20" s="383">
        <f>'[1]COE DISB 2019'!AT28</f>
        <v>0</v>
      </c>
      <c r="FQ20" s="383">
        <f t="shared" si="43"/>
        <v>200000000</v>
      </c>
      <c r="FR20" s="380"/>
      <c r="FS20" s="383">
        <f>'[1]COE commited funds to date'!AU23</f>
        <v>75000000</v>
      </c>
      <c r="FT20" s="383">
        <f>'[1]COE DISB 2019'!AU28</f>
        <v>0</v>
      </c>
      <c r="FU20" s="383">
        <f t="shared" si="44"/>
        <v>75000000</v>
      </c>
      <c r="FV20" s="380"/>
      <c r="FW20" s="383">
        <f>'[1]COE commited funds to date'!AV23</f>
        <v>8700000</v>
      </c>
      <c r="FX20" s="383">
        <f>'[1]COE DISB 2019'!AV28</f>
        <v>0</v>
      </c>
      <c r="FY20" s="383">
        <f t="shared" si="45"/>
        <v>8700000</v>
      </c>
      <c r="FZ20" s="380"/>
      <c r="GA20" s="383">
        <f>'[1]COE commited funds to date'!AW23</f>
        <v>5000000</v>
      </c>
      <c r="GB20" s="383">
        <f>'[1]COE DISB 2019'!AW28</f>
        <v>0</v>
      </c>
      <c r="GC20" s="383">
        <f t="shared" si="46"/>
        <v>5000000</v>
      </c>
      <c r="GD20" s="380"/>
      <c r="GE20" s="383">
        <f>'[1]COE commited funds to date'!AX23</f>
        <v>20000000</v>
      </c>
      <c r="GF20" s="383">
        <f>'[1]COE DISB 2019'!AX28</f>
        <v>11640600</v>
      </c>
      <c r="GG20" s="383">
        <f t="shared" si="47"/>
        <v>8359400</v>
      </c>
      <c r="GH20" s="380"/>
      <c r="GI20" s="383">
        <f>'[1]COE commited funds to date'!AY23</f>
        <v>230000000</v>
      </c>
      <c r="GJ20" s="383">
        <f>'[1]COE DISB 2019'!AY28</f>
        <v>0</v>
      </c>
      <c r="GK20" s="383">
        <f t="shared" si="48"/>
        <v>230000000</v>
      </c>
      <c r="GL20" s="380"/>
      <c r="GM20" s="383">
        <f>'[1]COE commited funds to date'!AZ23</f>
        <v>116776600</v>
      </c>
      <c r="GN20" s="383">
        <f>'[1]COE DISB 2019'!AZ28</f>
        <v>0</v>
      </c>
      <c r="GO20" s="383">
        <f t="shared" si="49"/>
        <v>116776600</v>
      </c>
      <c r="GP20" s="380"/>
      <c r="GQ20" s="383">
        <f>'[1]COE commited funds to date'!BA23</f>
        <v>12000000</v>
      </c>
      <c r="GR20" s="383">
        <f>'[1]COE DISB 2019'!BA28</f>
        <v>0</v>
      </c>
      <c r="GS20" s="383">
        <f t="shared" si="50"/>
        <v>12000000</v>
      </c>
      <c r="GT20" s="380"/>
      <c r="GU20" s="383">
        <f>'[1]COE commited funds to date'!BB23</f>
        <v>5000000</v>
      </c>
      <c r="GV20" s="383">
        <f>'[1]COE DISB 2019'!BB28</f>
        <v>0</v>
      </c>
      <c r="GW20" s="383">
        <f t="shared" si="51"/>
        <v>5000000</v>
      </c>
      <c r="GX20" s="380"/>
      <c r="GY20" s="383">
        <f>'[1]COE commited funds to date'!BC23</f>
        <v>10308300</v>
      </c>
      <c r="GZ20" s="383">
        <f>'[1]COE DISB 2019'!BC28</f>
        <v>0</v>
      </c>
      <c r="HA20" s="383">
        <f t="shared" si="52"/>
        <v>10308300</v>
      </c>
      <c r="HB20" s="380"/>
      <c r="HC20" s="383">
        <f t="shared" si="53"/>
        <v>2734277865.5</v>
      </c>
      <c r="HD20" s="383">
        <f t="shared" si="53"/>
        <v>1947793515.5699999</v>
      </c>
      <c r="HE20" s="382">
        <f t="shared" si="54"/>
        <v>786484349.93000007</v>
      </c>
      <c r="HG20" s="383">
        <f t="shared" si="55"/>
        <v>2079615965.5</v>
      </c>
      <c r="HH20" s="383">
        <f t="shared" si="55"/>
        <v>1583155915.5699999</v>
      </c>
      <c r="HI20" s="383">
        <f t="shared" si="56"/>
        <v>496460049.93000007</v>
      </c>
      <c r="HK20" s="383">
        <f t="shared" si="57"/>
        <v>300000000</v>
      </c>
      <c r="HL20" s="383">
        <f t="shared" si="57"/>
        <v>270000000</v>
      </c>
      <c r="HM20" s="383">
        <f t="shared" si="58"/>
        <v>30000000</v>
      </c>
      <c r="HO20" s="383">
        <f t="shared" si="37"/>
        <v>877000</v>
      </c>
      <c r="HP20" s="383">
        <f t="shared" si="37"/>
        <v>877000</v>
      </c>
      <c r="HQ20" s="383">
        <f t="shared" si="59"/>
        <v>0</v>
      </c>
      <c r="HS20" s="383">
        <f t="shared" si="60"/>
        <v>89308300</v>
      </c>
      <c r="HT20" s="383">
        <f t="shared" si="60"/>
        <v>70640600</v>
      </c>
      <c r="HU20" s="383">
        <f t="shared" si="61"/>
        <v>18667700</v>
      </c>
      <c r="HW20" s="383">
        <f t="shared" si="62"/>
        <v>36700000</v>
      </c>
      <c r="HX20" s="383">
        <f t="shared" si="62"/>
        <v>9120000</v>
      </c>
      <c r="HY20" s="383">
        <f t="shared" si="63"/>
        <v>27580000</v>
      </c>
      <c r="IA20" s="387">
        <f t="shared" si="64"/>
        <v>20000000</v>
      </c>
      <c r="IB20" s="387">
        <f t="shared" si="64"/>
        <v>0</v>
      </c>
      <c r="IC20" s="387">
        <f t="shared" si="65"/>
        <v>20000000</v>
      </c>
      <c r="IE20" s="383">
        <f t="shared" si="66"/>
        <v>191776600</v>
      </c>
      <c r="IF20" s="383">
        <f t="shared" si="66"/>
        <v>0</v>
      </c>
      <c r="IG20" s="383">
        <f t="shared" si="67"/>
        <v>191776600</v>
      </c>
      <c r="II20" s="383">
        <f t="shared" si="68"/>
        <v>2000000</v>
      </c>
      <c r="IJ20" s="383">
        <f t="shared" si="68"/>
        <v>0</v>
      </c>
      <c r="IK20" s="383">
        <f t="shared" si="69"/>
        <v>2000000</v>
      </c>
    </row>
    <row r="21" spans="1:245" ht="19.5" customHeight="1" x14ac:dyDescent="0.25">
      <c r="A21" s="380">
        <v>18</v>
      </c>
      <c r="B21" s="380" t="s">
        <v>337</v>
      </c>
      <c r="C21" s="381" t="s">
        <v>74</v>
      </c>
      <c r="D21" s="382">
        <v>18318965.5</v>
      </c>
      <c r="E21" s="382">
        <f>'[1]COE DISB 2019'!D29</f>
        <v>18318965.5</v>
      </c>
      <c r="F21" s="383">
        <f t="shared" si="0"/>
        <v>0</v>
      </c>
      <c r="H21" s="382">
        <v>8000000</v>
      </c>
      <c r="I21" s="382">
        <f>'[1]COE DISB 2019'!E29</f>
        <v>8000000</v>
      </c>
      <c r="J21" s="383">
        <f t="shared" si="1"/>
        <v>0</v>
      </c>
      <c r="L21" s="382">
        <v>500000</v>
      </c>
      <c r="M21" s="382">
        <f>'[1]COE DISB 2019'!F29</f>
        <v>500000</v>
      </c>
      <c r="N21" s="383">
        <f t="shared" si="2"/>
        <v>0</v>
      </c>
      <c r="P21" s="353">
        <v>16000000</v>
      </c>
      <c r="Q21" s="382">
        <f>'[1]COE DISB 2019'!G29</f>
        <v>16000000</v>
      </c>
      <c r="R21" s="383">
        <f t="shared" si="3"/>
        <v>0</v>
      </c>
      <c r="T21" s="385">
        <v>212000</v>
      </c>
      <c r="U21" s="382">
        <f>'[1]COE DISB 2019'!H29</f>
        <v>212000</v>
      </c>
      <c r="V21" s="383">
        <f t="shared" si="4"/>
        <v>0</v>
      </c>
      <c r="X21" s="385">
        <v>4000000</v>
      </c>
      <c r="Y21" s="382">
        <f>'[1]COE DISB 2019'!I29</f>
        <v>4000000</v>
      </c>
      <c r="Z21" s="383">
        <f t="shared" si="5"/>
        <v>0</v>
      </c>
      <c r="AB21" s="385">
        <v>20000000</v>
      </c>
      <c r="AC21" s="382">
        <f>'[1]COE DISB 2019'!J29</f>
        <v>20000000</v>
      </c>
      <c r="AD21" s="383">
        <f t="shared" si="6"/>
        <v>0</v>
      </c>
      <c r="AF21" s="353">
        <v>0</v>
      </c>
      <c r="AG21" s="382">
        <f>'[1]COE DISB 2019'!K29</f>
        <v>0</v>
      </c>
      <c r="AH21" s="383">
        <f t="shared" si="7"/>
        <v>0</v>
      </c>
      <c r="AJ21" s="385">
        <v>10000000</v>
      </c>
      <c r="AK21" s="382">
        <f>'[1]COE DISB 2019'!L29</f>
        <v>10000000</v>
      </c>
      <c r="AL21" s="383">
        <f t="shared" si="8"/>
        <v>0</v>
      </c>
      <c r="AN21" s="382">
        <v>10000000</v>
      </c>
      <c r="AO21" s="382">
        <f>'[1]COE DISB 2019'!M29</f>
        <v>10000000</v>
      </c>
      <c r="AP21" s="383">
        <f t="shared" si="9"/>
        <v>0</v>
      </c>
      <c r="AR21" s="382">
        <v>15000000</v>
      </c>
      <c r="AS21" s="382">
        <f>'[1]COE DISB 2019'!N29</f>
        <v>15000000</v>
      </c>
      <c r="AT21" s="383">
        <f t="shared" si="10"/>
        <v>0</v>
      </c>
      <c r="AV21" s="382">
        <v>8500000</v>
      </c>
      <c r="AW21" s="388">
        <f>'[1]COE DISB 2019'!O29</f>
        <v>8500000</v>
      </c>
      <c r="AX21" s="382">
        <f t="shared" si="11"/>
        <v>0</v>
      </c>
      <c r="AZ21" s="382">
        <v>18000000</v>
      </c>
      <c r="BA21" s="382">
        <f>'[1]COE DISB 2019'!P29</f>
        <v>18000000</v>
      </c>
      <c r="BB21" s="382">
        <f t="shared" si="12"/>
        <v>0</v>
      </c>
      <c r="BD21" s="382">
        <v>23400000</v>
      </c>
      <c r="BE21" s="382">
        <f>'[1]COE DISB 2019'!Q29</f>
        <v>23400000</v>
      </c>
      <c r="BF21" s="382">
        <f t="shared" si="13"/>
        <v>0</v>
      </c>
      <c r="BH21" s="382">
        <v>0</v>
      </c>
      <c r="BI21" s="382">
        <f>'[1]COE DISB 2019'!R29</f>
        <v>0</v>
      </c>
      <c r="BJ21" s="382">
        <f t="shared" si="14"/>
        <v>0</v>
      </c>
      <c r="BL21" s="382">
        <v>43000000</v>
      </c>
      <c r="BM21" s="382">
        <f>'[1]COE DISB 2019'!S29</f>
        <v>43000000</v>
      </c>
      <c r="BN21" s="382">
        <f t="shared" si="15"/>
        <v>0</v>
      </c>
      <c r="BP21" s="382">
        <v>37160000</v>
      </c>
      <c r="BQ21" s="382">
        <f>'[1]COE DISB 2019'!T29</f>
        <v>37160000</v>
      </c>
      <c r="BR21" s="382">
        <f t="shared" si="16"/>
        <v>0</v>
      </c>
      <c r="BT21" s="382">
        <v>0</v>
      </c>
      <c r="BU21" s="382">
        <f>'[1]COE DISB 2019'!U29</f>
        <v>0</v>
      </c>
      <c r="BV21" s="382">
        <f t="shared" si="17"/>
        <v>0</v>
      </c>
      <c r="BX21" s="382">
        <v>112670000</v>
      </c>
      <c r="BY21" s="382">
        <f>'[1]COE DISB 2019'!V29</f>
        <v>112670000</v>
      </c>
      <c r="BZ21" s="382">
        <f t="shared" si="18"/>
        <v>0</v>
      </c>
      <c r="CB21" s="382">
        <f>'[1]COE commited funds to date'!W24</f>
        <v>42500000</v>
      </c>
      <c r="CC21" s="382">
        <f>'[1]COE DISB 2019'!W29</f>
        <v>42500000</v>
      </c>
      <c r="CD21" s="382">
        <f t="shared" si="19"/>
        <v>0</v>
      </c>
      <c r="CF21" s="382">
        <f>'[1]COE commited funds to date'!X24</f>
        <v>125000000</v>
      </c>
      <c r="CG21" s="382">
        <f>'[1]COE DISB 2019'!X29</f>
        <v>125000000</v>
      </c>
      <c r="CH21" s="382">
        <f t="shared" si="20"/>
        <v>0</v>
      </c>
      <c r="CJ21" s="382">
        <v>10000000</v>
      </c>
      <c r="CK21" s="382">
        <f>'[1]COE DISB 2019'!Y29</f>
        <v>10000000</v>
      </c>
      <c r="CL21" s="382">
        <f t="shared" si="21"/>
        <v>0</v>
      </c>
      <c r="CN21" s="382">
        <v>0</v>
      </c>
      <c r="CO21" s="382">
        <f>'[1]COE DISB 2019'!Z29</f>
        <v>0</v>
      </c>
      <c r="CP21" s="382">
        <f t="shared" si="22"/>
        <v>0</v>
      </c>
      <c r="CR21" s="382">
        <v>210000000</v>
      </c>
      <c r="CS21" s="382">
        <f>'[1]COE DISB 2019'!AA29</f>
        <v>210000000</v>
      </c>
      <c r="CT21" s="382">
        <f t="shared" si="23"/>
        <v>0</v>
      </c>
      <c r="CV21" s="382">
        <v>10000000</v>
      </c>
      <c r="CW21" s="382">
        <f>'[1]COE DISB 2019'!AB29</f>
        <v>10000000</v>
      </c>
      <c r="CX21" s="382">
        <f t="shared" si="24"/>
        <v>0</v>
      </c>
      <c r="CZ21" s="382">
        <f>'[1]COE commited funds to date'!AC24</f>
        <v>142000000</v>
      </c>
      <c r="DA21" s="382">
        <f>'[1]COE DISB 2019'!AC29</f>
        <v>142000000</v>
      </c>
      <c r="DB21" s="382">
        <f t="shared" si="25"/>
        <v>0</v>
      </c>
      <c r="DC21" s="386"/>
      <c r="DD21" s="382">
        <v>215000000</v>
      </c>
      <c r="DE21" s="382">
        <f>'[1]COE DISB 2019'!AD29</f>
        <v>215000000</v>
      </c>
      <c r="DF21" s="382">
        <f t="shared" si="26"/>
        <v>0</v>
      </c>
      <c r="DG21" s="386"/>
      <c r="DH21" s="382">
        <v>10000000</v>
      </c>
      <c r="DI21" s="382">
        <f>'[1]COE DISB 2019'!AE29</f>
        <v>8912600</v>
      </c>
      <c r="DJ21" s="382">
        <f t="shared" si="27"/>
        <v>1087400</v>
      </c>
      <c r="DK21" s="386"/>
      <c r="DL21" s="382">
        <f>'[1]COE commited funds to date'!AD24</f>
        <v>0</v>
      </c>
      <c r="DM21" s="382">
        <f>'[1]COE DISB 2019'!AF29</f>
        <v>0</v>
      </c>
      <c r="DN21" s="382">
        <f t="shared" si="28"/>
        <v>0</v>
      </c>
      <c r="DO21" s="386"/>
      <c r="DP21" s="382">
        <v>325000000</v>
      </c>
      <c r="DQ21" s="382">
        <f>'[1]COE DISB 2019'!AG29</f>
        <v>325000000</v>
      </c>
      <c r="DR21" s="382">
        <f t="shared" si="29"/>
        <v>0</v>
      </c>
      <c r="DS21" s="386"/>
      <c r="DT21" s="353">
        <v>10000000</v>
      </c>
      <c r="DU21" s="382">
        <f>'[1]COE DISB 2019'!AH29</f>
        <v>10000000</v>
      </c>
      <c r="DV21" s="382">
        <f t="shared" si="30"/>
        <v>0</v>
      </c>
      <c r="DW21" s="386"/>
      <c r="DX21" s="382">
        <f>'[1]COE commited funds to date'!AI24</f>
        <v>0</v>
      </c>
      <c r="DY21" s="382">
        <f>'[1]COE DISB 2019'!AI29</f>
        <v>0</v>
      </c>
      <c r="DZ21" s="382">
        <f t="shared" si="31"/>
        <v>0</v>
      </c>
      <c r="EA21" s="386"/>
      <c r="EB21" s="382">
        <f>'[1]COE commited funds to date'!AJ24</f>
        <v>72000000</v>
      </c>
      <c r="EC21" s="382">
        <f>'[1]COE DISB 2019'!AJ29</f>
        <v>61200000</v>
      </c>
      <c r="ED21" s="382">
        <f t="shared" si="32"/>
        <v>10800000</v>
      </c>
      <c r="EE21" s="386"/>
      <c r="EF21" s="382">
        <f>'[1]COE commited funds to date'!AK24</f>
        <v>8000000</v>
      </c>
      <c r="EG21" s="382">
        <f>'[1]COE DISB 2019'!AK29</f>
        <v>0</v>
      </c>
      <c r="EH21" s="382">
        <f t="shared" si="33"/>
        <v>8000000</v>
      </c>
      <c r="EI21" s="386"/>
      <c r="EJ21" s="382">
        <f>'[1]COE commited funds to date'!AL24</f>
        <v>2000000</v>
      </c>
      <c r="EK21" s="382">
        <f>'[1]COE DISB 2019'!AL29</f>
        <v>0</v>
      </c>
      <c r="EL21" s="382">
        <f t="shared" si="34"/>
        <v>2000000</v>
      </c>
      <c r="EM21" s="386"/>
      <c r="EN21" s="382">
        <f>'[1]COE commited funds to date'!AM24</f>
        <v>7000000</v>
      </c>
      <c r="EO21" s="382">
        <f>'[1]COE DISB 2019'!AM29</f>
        <v>7000000</v>
      </c>
      <c r="EP21" s="382">
        <f t="shared" si="35"/>
        <v>0</v>
      </c>
      <c r="EQ21" s="386"/>
      <c r="ER21" s="382">
        <f>'[1]COE commited funds to date'!AN24</f>
        <v>0</v>
      </c>
      <c r="ES21" s="382">
        <f>'[1]COE DISB 2019'!AN29</f>
        <v>0</v>
      </c>
      <c r="ET21" s="382">
        <f t="shared" si="36"/>
        <v>0</v>
      </c>
      <c r="EV21" s="383">
        <f>'[1]COE commited funds to date'!AO24</f>
        <v>371067000</v>
      </c>
      <c r="EW21" s="383">
        <f>'[1]COE DISB 2019'!AO29</f>
        <v>315406950</v>
      </c>
      <c r="EX21" s="383">
        <f t="shared" si="38"/>
        <v>55660050</v>
      </c>
      <c r="EY21" s="380"/>
      <c r="EZ21" s="383">
        <f>'[1]COE commited funds to date'!AQ24</f>
        <v>12000000</v>
      </c>
      <c r="FA21" s="383">
        <f>'[1]COE DISB 2019'!AP29</f>
        <v>12000000</v>
      </c>
      <c r="FB21" s="383">
        <f t="shared" si="39"/>
        <v>0</v>
      </c>
      <c r="FC21" s="380"/>
      <c r="FD21" s="383">
        <f>'[1]COE commited funds to date'!AR24</f>
        <v>10000000</v>
      </c>
      <c r="FE21" s="383">
        <f>'[1]COE DISB 2019'!AQ29</f>
        <v>0</v>
      </c>
      <c r="FF21" s="383">
        <f t="shared" si="40"/>
        <v>10000000</v>
      </c>
      <c r="FG21" s="380"/>
      <c r="FH21" s="383">
        <f>'[1]COE commited funds to date'!AP24</f>
        <v>8000000</v>
      </c>
      <c r="FI21" s="383">
        <f>'[1]COE DISB 2019'!AR29</f>
        <v>0</v>
      </c>
      <c r="FJ21" s="383">
        <f t="shared" si="41"/>
        <v>8000000</v>
      </c>
      <c r="FK21" s="383">
        <f>'[1]COE commited funds to date'!AS24</f>
        <v>150000000</v>
      </c>
      <c r="FL21" s="383">
        <f>'[1]COE DISB 2019'!AS29</f>
        <v>127500000</v>
      </c>
      <c r="FM21" s="383">
        <f t="shared" si="42"/>
        <v>22500000</v>
      </c>
      <c r="FN21" s="380"/>
      <c r="FO21" s="383">
        <f>'[1]COE commited funds to date'!AT24</f>
        <v>200000000</v>
      </c>
      <c r="FP21" s="383">
        <f>'[1]COE DISB 2019'!AT29</f>
        <v>0</v>
      </c>
      <c r="FQ21" s="383">
        <f t="shared" si="43"/>
        <v>200000000</v>
      </c>
      <c r="FR21" s="380"/>
      <c r="FS21" s="383">
        <f>'[1]COE commited funds to date'!AU24</f>
        <v>75000000</v>
      </c>
      <c r="FT21" s="383">
        <f>'[1]COE DISB 2019'!AU29</f>
        <v>51000000</v>
      </c>
      <c r="FU21" s="383">
        <f t="shared" si="44"/>
        <v>24000000</v>
      </c>
      <c r="FV21" s="380"/>
      <c r="FW21" s="383">
        <f>'[1]COE commited funds to date'!AV24</f>
        <v>8700000</v>
      </c>
      <c r="FX21" s="383">
        <f>'[1]COE DISB 2019'!AV29</f>
        <v>0</v>
      </c>
      <c r="FY21" s="383">
        <f t="shared" si="45"/>
        <v>8700000</v>
      </c>
      <c r="FZ21" s="380"/>
      <c r="GA21" s="383">
        <f>'[1]COE commited funds to date'!AW24</f>
        <v>5000000</v>
      </c>
      <c r="GB21" s="383">
        <f>'[1]COE DISB 2019'!AW29</f>
        <v>0</v>
      </c>
      <c r="GC21" s="383">
        <f t="shared" si="46"/>
        <v>5000000</v>
      </c>
      <c r="GD21" s="380"/>
      <c r="GE21" s="383">
        <f>'[1]COE commited funds to date'!AX24</f>
        <v>20000000</v>
      </c>
      <c r="GF21" s="383">
        <f>'[1]COE DISB 2019'!AX29</f>
        <v>9766600</v>
      </c>
      <c r="GG21" s="383">
        <f t="shared" si="47"/>
        <v>10233400</v>
      </c>
      <c r="GH21" s="380"/>
      <c r="GI21" s="383">
        <f>'[1]COE commited funds to date'!AY24</f>
        <v>230000000</v>
      </c>
      <c r="GJ21" s="383">
        <f>'[1]COE DISB 2019'!AY29</f>
        <v>0</v>
      </c>
      <c r="GK21" s="383">
        <f t="shared" si="48"/>
        <v>230000000</v>
      </c>
      <c r="GL21" s="380"/>
      <c r="GM21" s="383">
        <f>'[1]COE commited funds to date'!AZ24</f>
        <v>116776600</v>
      </c>
      <c r="GN21" s="383">
        <f>'[1]COE DISB 2019'!AZ29</f>
        <v>0</v>
      </c>
      <c r="GO21" s="383">
        <f t="shared" si="49"/>
        <v>116776600</v>
      </c>
      <c r="GP21" s="380"/>
      <c r="GQ21" s="383">
        <f>'[1]COE commited funds to date'!BA24</f>
        <v>12000000</v>
      </c>
      <c r="GR21" s="383">
        <f>'[1]COE DISB 2019'!BA29</f>
        <v>0</v>
      </c>
      <c r="GS21" s="383">
        <f t="shared" si="50"/>
        <v>12000000</v>
      </c>
      <c r="GT21" s="380"/>
      <c r="GU21" s="383">
        <f>'[1]COE commited funds to date'!BB24</f>
        <v>5000000</v>
      </c>
      <c r="GV21" s="383">
        <f>'[1]COE DISB 2019'!BB29</f>
        <v>0</v>
      </c>
      <c r="GW21" s="383">
        <f t="shared" si="51"/>
        <v>5000000</v>
      </c>
      <c r="GX21" s="380"/>
      <c r="GY21" s="383">
        <f>'[1]COE commited funds to date'!BC24</f>
        <v>10308300</v>
      </c>
      <c r="GZ21" s="383">
        <f>'[1]COE DISB 2019'!BC29</f>
        <v>0</v>
      </c>
      <c r="HA21" s="383">
        <f t="shared" si="52"/>
        <v>10308300</v>
      </c>
      <c r="HB21" s="380"/>
      <c r="HC21" s="383">
        <f t="shared" si="53"/>
        <v>2767112865.5</v>
      </c>
      <c r="HD21" s="383">
        <f t="shared" si="53"/>
        <v>2027047115.5</v>
      </c>
      <c r="HE21" s="382">
        <f t="shared" si="54"/>
        <v>740065750</v>
      </c>
      <c r="HG21" s="383">
        <f t="shared" si="55"/>
        <v>2079615965.5</v>
      </c>
      <c r="HH21" s="383">
        <f t="shared" si="55"/>
        <v>1583155915.5</v>
      </c>
      <c r="HI21" s="383">
        <f t="shared" si="56"/>
        <v>496460050</v>
      </c>
      <c r="HK21" s="383">
        <f t="shared" si="57"/>
        <v>184500000</v>
      </c>
      <c r="HL21" s="383">
        <f t="shared" si="57"/>
        <v>184500000</v>
      </c>
      <c r="HM21" s="383">
        <f t="shared" si="58"/>
        <v>0</v>
      </c>
      <c r="HO21" s="383">
        <f t="shared" si="37"/>
        <v>712000</v>
      </c>
      <c r="HP21" s="383">
        <f t="shared" si="37"/>
        <v>712000</v>
      </c>
      <c r="HQ21" s="383">
        <f t="shared" si="59"/>
        <v>0</v>
      </c>
      <c r="HS21" s="383">
        <f t="shared" si="60"/>
        <v>89308300</v>
      </c>
      <c r="HT21" s="383">
        <f t="shared" si="60"/>
        <v>67679200</v>
      </c>
      <c r="HU21" s="383">
        <f t="shared" si="61"/>
        <v>21629100</v>
      </c>
      <c r="HW21" s="383">
        <f t="shared" si="62"/>
        <v>36700000</v>
      </c>
      <c r="HX21" s="383">
        <f t="shared" si="62"/>
        <v>0</v>
      </c>
      <c r="HY21" s="383">
        <f t="shared" si="63"/>
        <v>36700000</v>
      </c>
      <c r="IA21" s="387">
        <f t="shared" si="64"/>
        <v>20000000</v>
      </c>
      <c r="IB21" s="387">
        <f t="shared" si="64"/>
        <v>0</v>
      </c>
      <c r="IC21" s="387">
        <f t="shared" si="65"/>
        <v>20000000</v>
      </c>
      <c r="IE21" s="383">
        <f t="shared" si="66"/>
        <v>341776600</v>
      </c>
      <c r="IF21" s="383">
        <f t="shared" si="66"/>
        <v>178500000</v>
      </c>
      <c r="IG21" s="383">
        <f t="shared" si="67"/>
        <v>163276600</v>
      </c>
      <c r="II21" s="383">
        <f t="shared" si="68"/>
        <v>2000000</v>
      </c>
      <c r="IJ21" s="383">
        <f t="shared" si="68"/>
        <v>0</v>
      </c>
      <c r="IK21" s="383">
        <f t="shared" si="69"/>
        <v>2000000</v>
      </c>
    </row>
    <row r="22" spans="1:245" ht="19.5" customHeight="1" x14ac:dyDescent="0.25">
      <c r="A22" s="380">
        <v>19</v>
      </c>
      <c r="B22" s="380" t="s">
        <v>338</v>
      </c>
      <c r="C22" s="381" t="s">
        <v>63</v>
      </c>
      <c r="D22" s="382">
        <v>18318965.5</v>
      </c>
      <c r="E22" s="382">
        <f>'[1]COE DISB 2019'!D30</f>
        <v>18318965.5</v>
      </c>
      <c r="F22" s="383">
        <f t="shared" si="0"/>
        <v>0</v>
      </c>
      <c r="H22" s="382">
        <v>8000000</v>
      </c>
      <c r="I22" s="382">
        <f>'[1]COE DISB 2019'!E30</f>
        <v>8000000</v>
      </c>
      <c r="J22" s="383">
        <f t="shared" si="1"/>
        <v>0</v>
      </c>
      <c r="L22" s="382">
        <v>500000</v>
      </c>
      <c r="M22" s="382">
        <f>'[1]COE DISB 2019'!F30</f>
        <v>500000</v>
      </c>
      <c r="N22" s="383">
        <f t="shared" si="2"/>
        <v>0</v>
      </c>
      <c r="P22" s="353">
        <v>16000000</v>
      </c>
      <c r="Q22" s="382">
        <f>'[1]COE DISB 2019'!G30</f>
        <v>16000000</v>
      </c>
      <c r="R22" s="383">
        <f t="shared" si="3"/>
        <v>0</v>
      </c>
      <c r="T22" s="385">
        <v>310000</v>
      </c>
      <c r="U22" s="382">
        <f>'[1]COE DISB 2019'!H30</f>
        <v>310000</v>
      </c>
      <c r="V22" s="383">
        <f t="shared" si="4"/>
        <v>0</v>
      </c>
      <c r="X22" s="385">
        <v>4000000</v>
      </c>
      <c r="Y22" s="382">
        <f>'[1]COE DISB 2019'!I30</f>
        <v>4000000</v>
      </c>
      <c r="Z22" s="383">
        <f t="shared" si="5"/>
        <v>0</v>
      </c>
      <c r="AB22" s="385">
        <v>20000000</v>
      </c>
      <c r="AC22" s="382">
        <f>'[1]COE DISB 2019'!J30</f>
        <v>20000000</v>
      </c>
      <c r="AD22" s="383">
        <f t="shared" si="6"/>
        <v>0</v>
      </c>
      <c r="AF22" s="353">
        <v>0</v>
      </c>
      <c r="AG22" s="382">
        <f>'[1]COE DISB 2019'!K30</f>
        <v>0</v>
      </c>
      <c r="AH22" s="383">
        <f t="shared" si="7"/>
        <v>0</v>
      </c>
      <c r="AJ22" s="385">
        <v>10000000</v>
      </c>
      <c r="AK22" s="382">
        <f>'[1]COE DISB 2019'!L30</f>
        <v>10000000</v>
      </c>
      <c r="AL22" s="383">
        <f t="shared" si="8"/>
        <v>0</v>
      </c>
      <c r="AN22" s="382">
        <v>10000000</v>
      </c>
      <c r="AO22" s="382">
        <f>'[1]COE DISB 2019'!M30</f>
        <v>10000000</v>
      </c>
      <c r="AP22" s="383">
        <f t="shared" si="9"/>
        <v>0</v>
      </c>
      <c r="AR22" s="382">
        <v>15000000</v>
      </c>
      <c r="AS22" s="382">
        <f>'[1]COE DISB 2019'!N30</f>
        <v>15000000</v>
      </c>
      <c r="AT22" s="383">
        <f t="shared" si="10"/>
        <v>0</v>
      </c>
      <c r="AV22" s="382">
        <v>10000000</v>
      </c>
      <c r="AW22" s="388">
        <f>'[1]COE DISB 2019'!O30</f>
        <v>10000000</v>
      </c>
      <c r="AX22" s="382">
        <f t="shared" si="11"/>
        <v>0</v>
      </c>
      <c r="AZ22" s="382">
        <v>18000000</v>
      </c>
      <c r="BA22" s="382">
        <f>'[1]COE DISB 2019'!P30</f>
        <v>18000000</v>
      </c>
      <c r="BB22" s="382">
        <f t="shared" si="12"/>
        <v>0</v>
      </c>
      <c r="BD22" s="382">
        <v>23400000</v>
      </c>
      <c r="BE22" s="382">
        <f>'[1]COE DISB 2019'!Q30</f>
        <v>23400000</v>
      </c>
      <c r="BF22" s="382">
        <f t="shared" si="13"/>
        <v>0</v>
      </c>
      <c r="BH22" s="382">
        <v>0</v>
      </c>
      <c r="BI22" s="382">
        <f>'[1]COE DISB 2019'!R30</f>
        <v>0</v>
      </c>
      <c r="BJ22" s="382">
        <f t="shared" si="14"/>
        <v>0</v>
      </c>
      <c r="BL22" s="382">
        <v>43000000</v>
      </c>
      <c r="BM22" s="382">
        <f>'[1]COE DISB 2019'!S30</f>
        <v>43000000</v>
      </c>
      <c r="BN22" s="382">
        <f t="shared" si="15"/>
        <v>0</v>
      </c>
      <c r="BP22" s="382">
        <v>37160000</v>
      </c>
      <c r="BQ22" s="382">
        <f>'[1]COE DISB 2019'!T30</f>
        <v>37160000</v>
      </c>
      <c r="BR22" s="382">
        <f t="shared" si="16"/>
        <v>0</v>
      </c>
      <c r="BT22" s="382">
        <v>0</v>
      </c>
      <c r="BU22" s="382">
        <f>'[1]COE DISB 2019'!U30</f>
        <v>0</v>
      </c>
      <c r="BV22" s="382">
        <f t="shared" si="17"/>
        <v>0</v>
      </c>
      <c r="BX22" s="382">
        <v>95769500</v>
      </c>
      <c r="BY22" s="382">
        <f>'[1]COE DISB 2019'!V30</f>
        <v>95769500</v>
      </c>
      <c r="BZ22" s="382">
        <f t="shared" si="18"/>
        <v>0</v>
      </c>
      <c r="CB22" s="382">
        <f>'[1]COE commited funds to date'!W25</f>
        <v>100000000</v>
      </c>
      <c r="CC22" s="382">
        <f>'[1]COE DISB 2019'!W30</f>
        <v>100000000</v>
      </c>
      <c r="CD22" s="382">
        <f t="shared" si="19"/>
        <v>0</v>
      </c>
      <c r="CF22" s="382">
        <f>'[1]COE commited funds to date'!X25</f>
        <v>125000000</v>
      </c>
      <c r="CG22" s="382">
        <f>'[1]COE DISB 2019'!X30</f>
        <v>125000000</v>
      </c>
      <c r="CH22" s="382">
        <f t="shared" si="20"/>
        <v>0</v>
      </c>
      <c r="CJ22" s="382">
        <v>10000000</v>
      </c>
      <c r="CK22" s="382">
        <f>'[1]COE DISB 2019'!Y30</f>
        <v>10000000</v>
      </c>
      <c r="CL22" s="382">
        <f t="shared" si="21"/>
        <v>0</v>
      </c>
      <c r="CN22" s="382">
        <v>160000000</v>
      </c>
      <c r="CO22" s="382">
        <f>'[1]COE DISB 2019'!Z30</f>
        <v>160000000</v>
      </c>
      <c r="CP22" s="382">
        <f t="shared" si="22"/>
        <v>0</v>
      </c>
      <c r="CR22" s="382">
        <v>210000000</v>
      </c>
      <c r="CS22" s="382">
        <f>'[1]COE DISB 2019'!AA30</f>
        <v>210000000</v>
      </c>
      <c r="CT22" s="382">
        <f t="shared" si="23"/>
        <v>0</v>
      </c>
      <c r="CV22" s="382">
        <v>10000000</v>
      </c>
      <c r="CW22" s="382">
        <f>'[1]COE DISB 2019'!AB30</f>
        <v>10000000</v>
      </c>
      <c r="CX22" s="382">
        <f t="shared" si="24"/>
        <v>0</v>
      </c>
      <c r="CZ22" s="382">
        <f>'[1]COE commited funds to date'!AC25</f>
        <v>600000000</v>
      </c>
      <c r="DA22" s="382">
        <f>'[1]COE DISB 2019'!AC30</f>
        <v>600000000</v>
      </c>
      <c r="DB22" s="382">
        <f t="shared" si="25"/>
        <v>0</v>
      </c>
      <c r="DC22" s="386"/>
      <c r="DD22" s="382">
        <v>215000000</v>
      </c>
      <c r="DE22" s="382">
        <f>'[1]COE DISB 2019'!AD30</f>
        <v>215000000</v>
      </c>
      <c r="DF22" s="382">
        <f t="shared" si="26"/>
        <v>0</v>
      </c>
      <c r="DG22" s="386"/>
      <c r="DH22" s="382">
        <v>10000000</v>
      </c>
      <c r="DI22" s="382">
        <f>'[1]COE DISB 2019'!AE30</f>
        <v>10000000</v>
      </c>
      <c r="DJ22" s="382">
        <f t="shared" si="27"/>
        <v>0</v>
      </c>
      <c r="DK22" s="386"/>
      <c r="DL22" s="382">
        <f>'[1]COE commited funds to date'!AD25</f>
        <v>100000000</v>
      </c>
      <c r="DM22" s="382">
        <f>'[1]COE DISB 2019'!AF30</f>
        <v>100000000</v>
      </c>
      <c r="DN22" s="382">
        <f t="shared" si="28"/>
        <v>0</v>
      </c>
      <c r="DO22" s="386"/>
      <c r="DP22" s="382">
        <v>325000000</v>
      </c>
      <c r="DQ22" s="382">
        <f>'[1]COE DISB 2019'!AG30</f>
        <v>182000000</v>
      </c>
      <c r="DR22" s="382">
        <f t="shared" si="29"/>
        <v>143000000</v>
      </c>
      <c r="DS22" s="386"/>
      <c r="DT22" s="353">
        <v>10000000</v>
      </c>
      <c r="DU22" s="382">
        <f>'[1]COE DISB 2019'!AH30</f>
        <v>10000000</v>
      </c>
      <c r="DV22" s="382">
        <f t="shared" si="30"/>
        <v>0</v>
      </c>
      <c r="DW22" s="386"/>
      <c r="DX22" s="382">
        <f>'[1]COE commited funds to date'!AI25</f>
        <v>230000000</v>
      </c>
      <c r="DY22" s="382">
        <f>'[1]COE DISB 2019'!AI30</f>
        <v>230000000</v>
      </c>
      <c r="DZ22" s="382">
        <f t="shared" si="31"/>
        <v>0</v>
      </c>
      <c r="EA22" s="386"/>
      <c r="EB22" s="382">
        <f>'[1]COE commited funds to date'!AJ25</f>
        <v>72000000</v>
      </c>
      <c r="EC22" s="382">
        <f>'[1]COE DISB 2019'!AJ30</f>
        <v>40320000</v>
      </c>
      <c r="ED22" s="382">
        <f t="shared" si="32"/>
        <v>31680000</v>
      </c>
      <c r="EE22" s="386"/>
      <c r="EF22" s="382">
        <f>'[1]COE commited funds to date'!AK25</f>
        <v>8000000</v>
      </c>
      <c r="EG22" s="382">
        <f>'[1]COE DISB 2019'!AK30</f>
        <v>0</v>
      </c>
      <c r="EH22" s="382">
        <f t="shared" si="33"/>
        <v>8000000</v>
      </c>
      <c r="EI22" s="386"/>
      <c r="EJ22" s="382">
        <f>'[1]COE commited funds to date'!AL25</f>
        <v>2000000</v>
      </c>
      <c r="EK22" s="382">
        <f>'[1]COE DISB 2019'!AL30</f>
        <v>0</v>
      </c>
      <c r="EL22" s="382">
        <f t="shared" si="34"/>
        <v>2000000</v>
      </c>
      <c r="EM22" s="386"/>
      <c r="EN22" s="382">
        <f>'[1]COE commited funds to date'!AM25</f>
        <v>7000000</v>
      </c>
      <c r="EO22" s="382">
        <f>'[1]COE DISB 2019'!AM30</f>
        <v>7000000</v>
      </c>
      <c r="EP22" s="382">
        <f t="shared" si="35"/>
        <v>0</v>
      </c>
      <c r="EQ22" s="386"/>
      <c r="ER22" s="382">
        <f>'[1]COE commited funds to date'!AN25</f>
        <v>1000000000</v>
      </c>
      <c r="ES22" s="382">
        <f>'[1]COE DISB 2019'!AN30</f>
        <v>998500000</v>
      </c>
      <c r="ET22" s="382">
        <f t="shared" si="36"/>
        <v>1500000</v>
      </c>
      <c r="EV22" s="383">
        <f>'[1]COE commited funds to date'!AO25</f>
        <v>371067000</v>
      </c>
      <c r="EW22" s="383">
        <f>'[1]COE DISB 2019'!AO30</f>
        <v>207797520</v>
      </c>
      <c r="EX22" s="383">
        <f t="shared" si="38"/>
        <v>163269480</v>
      </c>
      <c r="EY22" s="380"/>
      <c r="EZ22" s="383">
        <f>'[1]COE commited funds to date'!AQ25</f>
        <v>12000000</v>
      </c>
      <c r="FA22" s="383">
        <f>'[1]COE DISB 2019'!AP30</f>
        <v>12000000</v>
      </c>
      <c r="FB22" s="383">
        <f t="shared" si="39"/>
        <v>0</v>
      </c>
      <c r="FC22" s="380"/>
      <c r="FD22" s="383">
        <f>'[1]COE commited funds to date'!AR25</f>
        <v>10000000</v>
      </c>
      <c r="FE22" s="383">
        <f>'[1]COE DISB 2019'!AQ30</f>
        <v>0</v>
      </c>
      <c r="FF22" s="383">
        <f t="shared" si="40"/>
        <v>10000000</v>
      </c>
      <c r="FG22" s="380"/>
      <c r="FH22" s="383">
        <f>'[1]COE commited funds to date'!AP25</f>
        <v>8000000</v>
      </c>
      <c r="FI22" s="383">
        <f>'[1]COE DISB 2019'!AR30</f>
        <v>0</v>
      </c>
      <c r="FJ22" s="383">
        <f t="shared" si="41"/>
        <v>8000000</v>
      </c>
      <c r="FK22" s="383">
        <f>'[1]COE commited funds to date'!AS25</f>
        <v>0</v>
      </c>
      <c r="FL22" s="383">
        <f>'[1]COE DISB 2019'!AS30</f>
        <v>0</v>
      </c>
      <c r="FM22" s="383">
        <f t="shared" si="42"/>
        <v>0</v>
      </c>
      <c r="FN22" s="380"/>
      <c r="FO22" s="383">
        <f>'[1]COE commited funds to date'!AT25</f>
        <v>200000000</v>
      </c>
      <c r="FP22" s="383">
        <f>'[1]COE DISB 2019'!AT30</f>
        <v>0</v>
      </c>
      <c r="FQ22" s="383">
        <f t="shared" si="43"/>
        <v>200000000</v>
      </c>
      <c r="FR22" s="380"/>
      <c r="FS22" s="383">
        <f>'[1]COE commited funds to date'!AU25</f>
        <v>75000000</v>
      </c>
      <c r="FT22" s="383">
        <f>'[1]COE DISB 2019'!AU30</f>
        <v>51750000</v>
      </c>
      <c r="FU22" s="383">
        <f t="shared" si="44"/>
        <v>23250000</v>
      </c>
      <c r="FV22" s="380"/>
      <c r="FW22" s="383">
        <f>'[1]COE commited funds to date'!AV25</f>
        <v>8700000</v>
      </c>
      <c r="FX22" s="383">
        <f>'[1]COE DISB 2019'!AV30</f>
        <v>0</v>
      </c>
      <c r="FY22" s="383">
        <f t="shared" si="45"/>
        <v>8700000</v>
      </c>
      <c r="FZ22" s="380"/>
      <c r="GA22" s="383">
        <f>'[1]COE commited funds to date'!AW25</f>
        <v>5000000</v>
      </c>
      <c r="GB22" s="383">
        <f>'[1]COE DISB 2019'!AW30</f>
        <v>0</v>
      </c>
      <c r="GC22" s="383">
        <f t="shared" si="46"/>
        <v>5000000</v>
      </c>
      <c r="GD22" s="380"/>
      <c r="GE22" s="383">
        <f>'[1]COE commited funds to date'!AX25</f>
        <v>20000000</v>
      </c>
      <c r="GF22" s="383">
        <f>'[1]COE DISB 2019'!AX30</f>
        <v>11519400</v>
      </c>
      <c r="GG22" s="383">
        <f t="shared" si="47"/>
        <v>8480600</v>
      </c>
      <c r="GH22" s="380"/>
      <c r="GI22" s="383">
        <f>'[1]COE commited funds to date'!AY25</f>
        <v>230000000</v>
      </c>
      <c r="GJ22" s="383">
        <f>'[1]COE DISB 2019'!AY30</f>
        <v>0</v>
      </c>
      <c r="GK22" s="383">
        <f t="shared" si="48"/>
        <v>230000000</v>
      </c>
      <c r="GL22" s="380"/>
      <c r="GM22" s="383">
        <f>'[1]COE commited funds to date'!AZ25</f>
        <v>116776600</v>
      </c>
      <c r="GN22" s="383">
        <f>'[1]COE DISB 2019'!AZ30</f>
        <v>0</v>
      </c>
      <c r="GO22" s="383">
        <f t="shared" si="49"/>
        <v>116776600</v>
      </c>
      <c r="GP22" s="380"/>
      <c r="GQ22" s="383">
        <f>'[1]COE commited funds to date'!BA25</f>
        <v>12000000</v>
      </c>
      <c r="GR22" s="383">
        <f>'[1]COE DISB 2019'!BA30</f>
        <v>0</v>
      </c>
      <c r="GS22" s="383">
        <f t="shared" si="50"/>
        <v>12000000</v>
      </c>
      <c r="GT22" s="380"/>
      <c r="GU22" s="383">
        <f>'[1]COE commited funds to date'!BB25</f>
        <v>5000000</v>
      </c>
      <c r="GV22" s="383">
        <f>'[1]COE DISB 2019'!BB30</f>
        <v>0</v>
      </c>
      <c r="GW22" s="383">
        <f t="shared" si="51"/>
        <v>5000000</v>
      </c>
      <c r="GX22" s="380"/>
      <c r="GY22" s="383">
        <f>'[1]COE commited funds to date'!BC25</f>
        <v>10308300</v>
      </c>
      <c r="GZ22" s="383">
        <f>'[1]COE DISB 2019'!BC30</f>
        <v>0</v>
      </c>
      <c r="HA22" s="383">
        <f t="shared" si="52"/>
        <v>10308300</v>
      </c>
      <c r="HB22" s="380"/>
      <c r="HC22" s="383">
        <f t="shared" si="53"/>
        <v>4607310365.5</v>
      </c>
      <c r="HD22" s="383">
        <f t="shared" si="53"/>
        <v>3620345385.5</v>
      </c>
      <c r="HE22" s="382">
        <f t="shared" si="54"/>
        <v>986964980</v>
      </c>
      <c r="HG22" s="383">
        <f t="shared" si="55"/>
        <v>2062715465.5</v>
      </c>
      <c r="HH22" s="383">
        <f t="shared" si="55"/>
        <v>1294765985.5</v>
      </c>
      <c r="HI22" s="383">
        <f t="shared" si="56"/>
        <v>767949480</v>
      </c>
      <c r="HK22" s="383">
        <f t="shared" si="57"/>
        <v>2190000000</v>
      </c>
      <c r="HL22" s="383">
        <f t="shared" si="57"/>
        <v>2188500000</v>
      </c>
      <c r="HM22" s="383">
        <f t="shared" si="58"/>
        <v>1500000</v>
      </c>
      <c r="HO22" s="383">
        <f t="shared" si="37"/>
        <v>810000</v>
      </c>
      <c r="HP22" s="383">
        <f t="shared" si="37"/>
        <v>810000</v>
      </c>
      <c r="HQ22" s="383">
        <f t="shared" si="59"/>
        <v>0</v>
      </c>
      <c r="HS22" s="383">
        <f t="shared" si="60"/>
        <v>89308300</v>
      </c>
      <c r="HT22" s="383">
        <f t="shared" si="60"/>
        <v>70519400</v>
      </c>
      <c r="HU22" s="383">
        <f t="shared" si="61"/>
        <v>18788900</v>
      </c>
      <c r="HW22" s="383">
        <f t="shared" si="62"/>
        <v>36700000</v>
      </c>
      <c r="HX22" s="383">
        <f t="shared" si="62"/>
        <v>0</v>
      </c>
      <c r="HY22" s="383">
        <f t="shared" si="63"/>
        <v>36700000</v>
      </c>
      <c r="IA22" s="387">
        <f t="shared" si="64"/>
        <v>20000000</v>
      </c>
      <c r="IB22" s="387">
        <f t="shared" si="64"/>
        <v>0</v>
      </c>
      <c r="IC22" s="387">
        <f t="shared" si="65"/>
        <v>20000000</v>
      </c>
      <c r="IE22" s="383">
        <f t="shared" si="66"/>
        <v>191776600</v>
      </c>
      <c r="IF22" s="383">
        <f t="shared" si="66"/>
        <v>51750000</v>
      </c>
      <c r="IG22" s="383">
        <f t="shared" si="67"/>
        <v>140026600</v>
      </c>
      <c r="II22" s="383">
        <f t="shared" si="68"/>
        <v>2000000</v>
      </c>
      <c r="IJ22" s="383">
        <f t="shared" si="68"/>
        <v>0</v>
      </c>
      <c r="IK22" s="383">
        <f t="shared" si="69"/>
        <v>2000000</v>
      </c>
    </row>
    <row r="23" spans="1:245" ht="19.5" customHeight="1" x14ac:dyDescent="0.25">
      <c r="A23" s="380">
        <v>20</v>
      </c>
      <c r="B23" s="380" t="s">
        <v>339</v>
      </c>
      <c r="C23" s="381" t="s">
        <v>61</v>
      </c>
      <c r="D23" s="382">
        <v>18318965.5</v>
      </c>
      <c r="E23" s="382">
        <f>'[1]COE DISB 2019'!D31</f>
        <v>18318965.5</v>
      </c>
      <c r="F23" s="383">
        <f t="shared" si="0"/>
        <v>0</v>
      </c>
      <c r="H23" s="382">
        <v>8000000</v>
      </c>
      <c r="I23" s="382">
        <f>'[1]COE DISB 2019'!E31</f>
        <v>8000000</v>
      </c>
      <c r="J23" s="383">
        <f t="shared" si="1"/>
        <v>0</v>
      </c>
      <c r="L23" s="382">
        <v>500000</v>
      </c>
      <c r="M23" s="382">
        <f>'[1]COE DISB 2019'!F31</f>
        <v>500000</v>
      </c>
      <c r="N23" s="383">
        <f t="shared" si="2"/>
        <v>0</v>
      </c>
      <c r="P23" s="353">
        <v>16000000</v>
      </c>
      <c r="Q23" s="382">
        <f>'[1]COE DISB 2019'!G31</f>
        <v>16000000</v>
      </c>
      <c r="R23" s="383">
        <f t="shared" si="3"/>
        <v>0</v>
      </c>
      <c r="T23" s="353">
        <v>0</v>
      </c>
      <c r="U23" s="382">
        <f>'[1]COE DISB 2019'!H31</f>
        <v>0</v>
      </c>
      <c r="V23" s="383">
        <f t="shared" si="4"/>
        <v>0</v>
      </c>
      <c r="X23" s="353">
        <v>0</v>
      </c>
      <c r="Y23" s="382">
        <f>'[1]COE DISB 2019'!I31</f>
        <v>0</v>
      </c>
      <c r="Z23" s="383">
        <f t="shared" si="5"/>
        <v>0</v>
      </c>
      <c r="AB23" s="385">
        <v>20000000</v>
      </c>
      <c r="AC23" s="382">
        <f>'[1]COE DISB 2019'!J31</f>
        <v>20000000</v>
      </c>
      <c r="AD23" s="383">
        <f t="shared" si="6"/>
        <v>0</v>
      </c>
      <c r="AF23" s="353">
        <v>0</v>
      </c>
      <c r="AG23" s="382">
        <f>'[1]COE DISB 2019'!K31</f>
        <v>0</v>
      </c>
      <c r="AH23" s="383">
        <f t="shared" si="7"/>
        <v>0</v>
      </c>
      <c r="AJ23" s="385">
        <v>10000000</v>
      </c>
      <c r="AK23" s="382">
        <f>'[1]COE DISB 2019'!L31</f>
        <v>10000000</v>
      </c>
      <c r="AL23" s="383">
        <f t="shared" si="8"/>
        <v>0</v>
      </c>
      <c r="AN23" s="382">
        <v>10000000</v>
      </c>
      <c r="AO23" s="382">
        <f>'[1]COE DISB 2019'!M31</f>
        <v>10000000</v>
      </c>
      <c r="AP23" s="383">
        <f t="shared" si="9"/>
        <v>0</v>
      </c>
      <c r="AR23" s="382">
        <v>15000000</v>
      </c>
      <c r="AS23" s="382">
        <f>'[1]COE DISB 2019'!N31</f>
        <v>15000000</v>
      </c>
      <c r="AT23" s="383">
        <f t="shared" si="10"/>
        <v>0</v>
      </c>
      <c r="AV23" s="382">
        <v>0</v>
      </c>
      <c r="AW23" s="385">
        <f>'[1]COE DISB 2019'!O31</f>
        <v>0</v>
      </c>
      <c r="AX23" s="382">
        <f t="shared" si="11"/>
        <v>0</v>
      </c>
      <c r="AZ23" s="382">
        <v>18000000</v>
      </c>
      <c r="BA23" s="382">
        <f>'[1]COE DISB 2019'!P31</f>
        <v>18000000</v>
      </c>
      <c r="BB23" s="382">
        <f t="shared" si="12"/>
        <v>0</v>
      </c>
      <c r="BD23" s="382">
        <v>23400000</v>
      </c>
      <c r="BE23" s="382">
        <f>'[1]COE DISB 2019'!Q31</f>
        <v>23400000</v>
      </c>
      <c r="BF23" s="382">
        <f t="shared" si="13"/>
        <v>0</v>
      </c>
      <c r="BH23" s="382">
        <v>0</v>
      </c>
      <c r="BI23" s="382">
        <f>'[1]COE DISB 2019'!R31</f>
        <v>0</v>
      </c>
      <c r="BJ23" s="382">
        <f t="shared" si="14"/>
        <v>0</v>
      </c>
      <c r="BL23" s="382">
        <v>43000000</v>
      </c>
      <c r="BM23" s="382">
        <f>'[1]COE DISB 2019'!S31</f>
        <v>43000000</v>
      </c>
      <c r="BN23" s="382">
        <f t="shared" si="15"/>
        <v>0</v>
      </c>
      <c r="BP23" s="382">
        <v>31586000</v>
      </c>
      <c r="BQ23" s="382">
        <f>'[1]COE DISB 2019'!T31</f>
        <v>31586000</v>
      </c>
      <c r="BR23" s="382">
        <f t="shared" si="16"/>
        <v>0</v>
      </c>
      <c r="BT23" s="382">
        <v>50000000</v>
      </c>
      <c r="BU23" s="382">
        <f>'[1]COE DISB 2019'!U31</f>
        <v>50000000</v>
      </c>
      <c r="BV23" s="382">
        <f t="shared" si="17"/>
        <v>0</v>
      </c>
      <c r="BX23" s="382">
        <v>112670000</v>
      </c>
      <c r="BY23" s="382">
        <f>'[1]COE DISB 2019'!V31</f>
        <v>112670000</v>
      </c>
      <c r="BZ23" s="382">
        <f t="shared" si="18"/>
        <v>0</v>
      </c>
      <c r="CB23" s="382">
        <f>'[1]COE commited funds to date'!W26</f>
        <v>150000000</v>
      </c>
      <c r="CC23" s="382">
        <f>'[1]COE DISB 2019'!W31</f>
        <v>150000000</v>
      </c>
      <c r="CD23" s="382">
        <f t="shared" si="19"/>
        <v>0</v>
      </c>
      <c r="CF23" s="382">
        <f>'[1]COE commited funds to date'!X26</f>
        <v>125000000</v>
      </c>
      <c r="CG23" s="382">
        <f>'[1]COE DISB 2019'!X31</f>
        <v>125000000</v>
      </c>
      <c r="CH23" s="382">
        <f t="shared" si="20"/>
        <v>0</v>
      </c>
      <c r="CJ23" s="382">
        <v>10000000</v>
      </c>
      <c r="CK23" s="382">
        <f>'[1]COE DISB 2019'!Y31</f>
        <v>10000000</v>
      </c>
      <c r="CL23" s="382">
        <f t="shared" si="21"/>
        <v>0</v>
      </c>
      <c r="CN23" s="382">
        <v>160000000</v>
      </c>
      <c r="CO23" s="382">
        <f>'[1]COE DISB 2019'!Z31</f>
        <v>160000000</v>
      </c>
      <c r="CP23" s="382">
        <f t="shared" si="22"/>
        <v>0</v>
      </c>
      <c r="CR23" s="382">
        <v>210000000</v>
      </c>
      <c r="CS23" s="382">
        <f>'[1]COE DISB 2019'!AA31</f>
        <v>210000000</v>
      </c>
      <c r="CT23" s="382">
        <f t="shared" si="23"/>
        <v>0</v>
      </c>
      <c r="CV23" s="382">
        <v>10000000</v>
      </c>
      <c r="CW23" s="382">
        <f>'[1]COE DISB 2019'!AB31</f>
        <v>9772010</v>
      </c>
      <c r="CX23" s="382">
        <f t="shared" si="24"/>
        <v>227990</v>
      </c>
      <c r="CZ23" s="382">
        <f>'[1]COE commited funds to date'!AC26</f>
        <v>100000000</v>
      </c>
      <c r="DA23" s="382">
        <f>'[1]COE DISB 2019'!AC31</f>
        <v>100000000</v>
      </c>
      <c r="DB23" s="382">
        <f t="shared" si="25"/>
        <v>0</v>
      </c>
      <c r="DC23" s="386"/>
      <c r="DD23" s="382">
        <v>215000000</v>
      </c>
      <c r="DE23" s="382">
        <f>'[1]COE DISB 2019'!AD31</f>
        <v>215000000</v>
      </c>
      <c r="DF23" s="382">
        <f t="shared" si="26"/>
        <v>0</v>
      </c>
      <c r="DG23" s="386"/>
      <c r="DH23" s="382">
        <v>10000000</v>
      </c>
      <c r="DI23" s="382">
        <f>'[1]COE DISB 2019'!AE31</f>
        <v>10000000</v>
      </c>
      <c r="DJ23" s="382">
        <f t="shared" si="27"/>
        <v>0</v>
      </c>
      <c r="DK23" s="386"/>
      <c r="DL23" s="382">
        <f>'[1]COE commited funds to date'!AD26</f>
        <v>0</v>
      </c>
      <c r="DM23" s="382">
        <f>'[1]COE DISB 2019'!AF31</f>
        <v>0</v>
      </c>
      <c r="DN23" s="382">
        <f t="shared" si="28"/>
        <v>0</v>
      </c>
      <c r="DO23" s="386"/>
      <c r="DP23" s="382">
        <v>325000000</v>
      </c>
      <c r="DQ23" s="382">
        <f>'[1]COE DISB 2019'!AG31</f>
        <v>325000000</v>
      </c>
      <c r="DR23" s="382">
        <f t="shared" si="29"/>
        <v>0</v>
      </c>
      <c r="DS23" s="386"/>
      <c r="DT23" s="353">
        <v>10000000</v>
      </c>
      <c r="DU23" s="382">
        <f>'[1]COE DISB 2019'!AH31</f>
        <v>10000000</v>
      </c>
      <c r="DV23" s="382">
        <f t="shared" si="30"/>
        <v>0</v>
      </c>
      <c r="DW23" s="386"/>
      <c r="DX23" s="382">
        <f>'[1]COE commited funds to date'!AI26</f>
        <v>600000000</v>
      </c>
      <c r="DY23" s="382">
        <f>'[1]COE DISB 2019'!AI31</f>
        <v>600000000</v>
      </c>
      <c r="DZ23" s="382">
        <f t="shared" si="31"/>
        <v>0</v>
      </c>
      <c r="EA23" s="386"/>
      <c r="EB23" s="382">
        <f>'[1]COE commited funds to date'!AJ26</f>
        <v>72000000</v>
      </c>
      <c r="EC23" s="382">
        <f>'[1]COE DISB 2019'!AJ31</f>
        <v>43920000</v>
      </c>
      <c r="ED23" s="382">
        <f t="shared" si="32"/>
        <v>28080000</v>
      </c>
      <c r="EE23" s="386"/>
      <c r="EF23" s="382">
        <f>'[1]COE commited funds to date'!AK26</f>
        <v>8000000</v>
      </c>
      <c r="EG23" s="382">
        <f>'[1]COE DISB 2019'!AK31</f>
        <v>6800000</v>
      </c>
      <c r="EH23" s="382">
        <f t="shared" si="33"/>
        <v>1200000</v>
      </c>
      <c r="EI23" s="386"/>
      <c r="EJ23" s="382">
        <f>'[1]COE commited funds to date'!AL26</f>
        <v>2000000</v>
      </c>
      <c r="EK23" s="382">
        <f>'[1]COE DISB 2019'!AL31</f>
        <v>0</v>
      </c>
      <c r="EL23" s="382">
        <f t="shared" si="34"/>
        <v>2000000</v>
      </c>
      <c r="EM23" s="386"/>
      <c r="EN23" s="382">
        <f>'[1]COE commited funds to date'!AM26</f>
        <v>7000000</v>
      </c>
      <c r="EO23" s="382">
        <f>'[1]COE DISB 2019'!AM31</f>
        <v>7000000</v>
      </c>
      <c r="EP23" s="382">
        <f t="shared" si="35"/>
        <v>0</v>
      </c>
      <c r="EQ23" s="386"/>
      <c r="ER23" s="382">
        <f>'[1]COE commited funds to date'!AN26</f>
        <v>1550000000</v>
      </c>
      <c r="ES23" s="382">
        <f>'[1]COE DISB 2019'!AN31</f>
        <v>1332500000</v>
      </c>
      <c r="ET23" s="382">
        <f t="shared" si="36"/>
        <v>217500000</v>
      </c>
      <c r="EV23" s="383">
        <f>'[1]COE commited funds to date'!AO26</f>
        <v>371067000</v>
      </c>
      <c r="EW23" s="383">
        <f>'[1]COE DISB 2019'!AO31</f>
        <v>226350870</v>
      </c>
      <c r="EX23" s="383">
        <f t="shared" si="38"/>
        <v>144716130</v>
      </c>
      <c r="EY23" s="380"/>
      <c r="EZ23" s="383">
        <f>'[1]COE commited funds to date'!AQ26</f>
        <v>12000000</v>
      </c>
      <c r="FA23" s="383">
        <f>'[1]COE DISB 2019'!AP31</f>
        <v>12000000</v>
      </c>
      <c r="FB23" s="383">
        <f t="shared" si="39"/>
        <v>0</v>
      </c>
      <c r="FC23" s="380"/>
      <c r="FD23" s="383">
        <f>'[1]COE commited funds to date'!AR26</f>
        <v>10000000</v>
      </c>
      <c r="FE23" s="383">
        <f>'[1]COE DISB 2019'!AQ31</f>
        <v>0</v>
      </c>
      <c r="FF23" s="383">
        <f t="shared" si="40"/>
        <v>10000000</v>
      </c>
      <c r="FG23" s="380"/>
      <c r="FH23" s="383">
        <f>'[1]COE commited funds to date'!AP26</f>
        <v>8000000</v>
      </c>
      <c r="FI23" s="383">
        <f>'[1]COE DISB 2019'!AR31</f>
        <v>6800000</v>
      </c>
      <c r="FJ23" s="383">
        <f t="shared" si="41"/>
        <v>1200000</v>
      </c>
      <c r="FK23" s="383">
        <f>'[1]COE commited funds to date'!AS26</f>
        <v>0</v>
      </c>
      <c r="FL23" s="383">
        <f>'[1]COE DISB 2019'!AS31</f>
        <v>0</v>
      </c>
      <c r="FM23" s="383">
        <f t="shared" si="42"/>
        <v>0</v>
      </c>
      <c r="FN23" s="380"/>
      <c r="FO23" s="383">
        <f>'[1]COE commited funds to date'!AT26</f>
        <v>200000000</v>
      </c>
      <c r="FP23" s="383">
        <f>'[1]COE DISB 2019'!AT31</f>
        <v>0</v>
      </c>
      <c r="FQ23" s="383">
        <f t="shared" si="43"/>
        <v>200000000</v>
      </c>
      <c r="FR23" s="380"/>
      <c r="FS23" s="383">
        <f>'[1]COE commited funds to date'!AU26</f>
        <v>75000000</v>
      </c>
      <c r="FT23" s="383">
        <f>'[1]COE DISB 2019'!AU31</f>
        <v>56250000</v>
      </c>
      <c r="FU23" s="383">
        <f t="shared" si="44"/>
        <v>18750000</v>
      </c>
      <c r="FV23" s="380"/>
      <c r="FW23" s="383">
        <f>'[1]COE commited funds to date'!AV26</f>
        <v>8700000</v>
      </c>
      <c r="FX23" s="383">
        <f>'[1]COE DISB 2019'!AV31</f>
        <v>0</v>
      </c>
      <c r="FY23" s="383">
        <f t="shared" si="45"/>
        <v>8700000</v>
      </c>
      <c r="FZ23" s="380"/>
      <c r="GA23" s="383">
        <f>'[1]COE commited funds to date'!AW26</f>
        <v>5000000</v>
      </c>
      <c r="GB23" s="383">
        <f>'[1]COE DISB 2019'!AW31</f>
        <v>0</v>
      </c>
      <c r="GC23" s="383">
        <f t="shared" si="46"/>
        <v>5000000</v>
      </c>
      <c r="GD23" s="380"/>
      <c r="GE23" s="383">
        <f>'[1]COE commited funds to date'!AX26</f>
        <v>20000000</v>
      </c>
      <c r="GF23" s="383">
        <f>'[1]COE DISB 2019'!AX31</f>
        <v>12330427.5</v>
      </c>
      <c r="GG23" s="383">
        <f t="shared" si="47"/>
        <v>7669572.5</v>
      </c>
      <c r="GH23" s="380"/>
      <c r="GI23" s="383">
        <f>'[1]COE commited funds to date'!AY26</f>
        <v>230000000</v>
      </c>
      <c r="GJ23" s="383">
        <f>'[1]COE DISB 2019'!AY31</f>
        <v>0</v>
      </c>
      <c r="GK23" s="383">
        <f t="shared" si="48"/>
        <v>230000000</v>
      </c>
      <c r="GL23" s="380"/>
      <c r="GM23" s="383">
        <f>'[1]COE commited funds to date'!AZ26</f>
        <v>116776600</v>
      </c>
      <c r="GN23" s="383">
        <f>'[1]COE DISB 2019'!AZ31</f>
        <v>0</v>
      </c>
      <c r="GO23" s="383">
        <f t="shared" si="49"/>
        <v>116776600</v>
      </c>
      <c r="GP23" s="380"/>
      <c r="GQ23" s="383">
        <f>'[1]COE commited funds to date'!BA26</f>
        <v>12000000</v>
      </c>
      <c r="GR23" s="383">
        <f>'[1]COE DISB 2019'!BA31</f>
        <v>0</v>
      </c>
      <c r="GS23" s="383">
        <f t="shared" si="50"/>
        <v>12000000</v>
      </c>
      <c r="GT23" s="380"/>
      <c r="GU23" s="383">
        <f>'[1]COE commited funds to date'!BB26</f>
        <v>5000000</v>
      </c>
      <c r="GV23" s="383">
        <f>'[1]COE DISB 2019'!BB31</f>
        <v>0</v>
      </c>
      <c r="GW23" s="383">
        <f t="shared" si="51"/>
        <v>5000000</v>
      </c>
      <c r="GX23" s="380"/>
      <c r="GY23" s="383">
        <f>'[1]COE commited funds to date'!BC26</f>
        <v>10308300</v>
      </c>
      <c r="GZ23" s="383">
        <f>'[1]COE DISB 2019'!BC31</f>
        <v>0</v>
      </c>
      <c r="HA23" s="383">
        <f t="shared" si="52"/>
        <v>10308300</v>
      </c>
      <c r="HB23" s="380"/>
      <c r="HC23" s="383">
        <f t="shared" si="53"/>
        <v>5024326865.5</v>
      </c>
      <c r="HD23" s="383">
        <f t="shared" si="53"/>
        <v>4005198273</v>
      </c>
      <c r="HE23" s="382">
        <f t="shared" si="54"/>
        <v>1019128592.5</v>
      </c>
      <c r="HG23" s="383">
        <f t="shared" si="55"/>
        <v>2074041965.5</v>
      </c>
      <c r="HH23" s="383">
        <f t="shared" si="55"/>
        <v>1471245835.5</v>
      </c>
      <c r="HI23" s="383">
        <f t="shared" si="56"/>
        <v>602796130</v>
      </c>
      <c r="HK23" s="383">
        <f t="shared" si="57"/>
        <v>2610000000</v>
      </c>
      <c r="HL23" s="383">
        <f t="shared" si="57"/>
        <v>2392500000</v>
      </c>
      <c r="HM23" s="383">
        <f t="shared" si="58"/>
        <v>217500000</v>
      </c>
      <c r="HO23" s="383">
        <f t="shared" si="37"/>
        <v>500000</v>
      </c>
      <c r="HP23" s="383">
        <f t="shared" si="37"/>
        <v>500000</v>
      </c>
      <c r="HQ23" s="383">
        <f t="shared" si="59"/>
        <v>0</v>
      </c>
      <c r="HS23" s="383">
        <f t="shared" si="60"/>
        <v>89308300</v>
      </c>
      <c r="HT23" s="383">
        <f t="shared" si="60"/>
        <v>71102437.5</v>
      </c>
      <c r="HU23" s="383">
        <f t="shared" si="61"/>
        <v>18205862.5</v>
      </c>
      <c r="HW23" s="383">
        <f t="shared" si="62"/>
        <v>36700000</v>
      </c>
      <c r="HX23" s="383">
        <f t="shared" si="62"/>
        <v>13600000</v>
      </c>
      <c r="HY23" s="383">
        <f t="shared" si="63"/>
        <v>23100000</v>
      </c>
      <c r="IA23" s="387">
        <f t="shared" si="64"/>
        <v>20000000</v>
      </c>
      <c r="IB23" s="387">
        <f t="shared" si="64"/>
        <v>0</v>
      </c>
      <c r="IC23" s="387">
        <f t="shared" si="65"/>
        <v>20000000</v>
      </c>
      <c r="IE23" s="383">
        <f t="shared" si="66"/>
        <v>191776600</v>
      </c>
      <c r="IF23" s="383">
        <f t="shared" si="66"/>
        <v>56250000</v>
      </c>
      <c r="IG23" s="383">
        <f t="shared" si="67"/>
        <v>135526600</v>
      </c>
      <c r="II23" s="383">
        <f t="shared" si="68"/>
        <v>2000000</v>
      </c>
      <c r="IJ23" s="383">
        <f t="shared" si="68"/>
        <v>0</v>
      </c>
      <c r="IK23" s="383">
        <f t="shared" si="69"/>
        <v>2000000</v>
      </c>
    </row>
    <row r="24" spans="1:245" ht="19.5" customHeight="1" x14ac:dyDescent="0.25">
      <c r="A24" s="380">
        <v>21</v>
      </c>
      <c r="B24" s="380" t="s">
        <v>340</v>
      </c>
      <c r="C24" s="381" t="s">
        <v>76</v>
      </c>
      <c r="D24" s="382">
        <v>18318965.5</v>
      </c>
      <c r="E24" s="382">
        <f>'[1]COE DISB 2019'!D32</f>
        <v>18318965.5</v>
      </c>
      <c r="F24" s="383">
        <f t="shared" si="0"/>
        <v>0</v>
      </c>
      <c r="H24" s="382">
        <v>8000000</v>
      </c>
      <c r="I24" s="382">
        <f>'[1]COE DISB 2019'!E32</f>
        <v>8000000</v>
      </c>
      <c r="J24" s="383">
        <f t="shared" si="1"/>
        <v>0</v>
      </c>
      <c r="L24" s="382">
        <v>500000</v>
      </c>
      <c r="M24" s="382">
        <f>'[1]COE DISB 2019'!F32</f>
        <v>500000</v>
      </c>
      <c r="N24" s="383">
        <f t="shared" si="2"/>
        <v>0</v>
      </c>
      <c r="P24" s="353">
        <v>16000000</v>
      </c>
      <c r="Q24" s="382">
        <f>'[1]COE DISB 2019'!G32</f>
        <v>16000000</v>
      </c>
      <c r="R24" s="383">
        <f t="shared" si="3"/>
        <v>0</v>
      </c>
      <c r="T24" s="353">
        <v>0</v>
      </c>
      <c r="U24" s="382">
        <f>'[1]COE DISB 2019'!H32</f>
        <v>0</v>
      </c>
      <c r="V24" s="383">
        <f t="shared" si="4"/>
        <v>0</v>
      </c>
      <c r="X24" s="385">
        <v>4000000</v>
      </c>
      <c r="Y24" s="382">
        <f>'[1]COE DISB 2019'!I32</f>
        <v>4000000</v>
      </c>
      <c r="Z24" s="383">
        <f t="shared" si="5"/>
        <v>0</v>
      </c>
      <c r="AB24" s="385">
        <v>20000000</v>
      </c>
      <c r="AC24" s="382">
        <f>'[1]COE DISB 2019'!J32</f>
        <v>20000000</v>
      </c>
      <c r="AD24" s="383">
        <f t="shared" si="6"/>
        <v>0</v>
      </c>
      <c r="AF24" s="353">
        <v>0</v>
      </c>
      <c r="AG24" s="382">
        <f>'[1]COE DISB 2019'!K32</f>
        <v>0</v>
      </c>
      <c r="AH24" s="383">
        <f t="shared" si="7"/>
        <v>0</v>
      </c>
      <c r="AJ24" s="385">
        <v>10000000</v>
      </c>
      <c r="AK24" s="382">
        <f>'[1]COE DISB 2019'!L32</f>
        <v>10000000</v>
      </c>
      <c r="AL24" s="383">
        <f t="shared" si="8"/>
        <v>0</v>
      </c>
      <c r="AN24" s="382">
        <v>10000000</v>
      </c>
      <c r="AO24" s="382">
        <f>'[1]COE DISB 2019'!M32</f>
        <v>10000000</v>
      </c>
      <c r="AP24" s="383">
        <f t="shared" si="9"/>
        <v>0</v>
      </c>
      <c r="AR24" s="382">
        <v>15000000</v>
      </c>
      <c r="AS24" s="382">
        <f>'[1]COE DISB 2019'!N32</f>
        <v>15000000</v>
      </c>
      <c r="AT24" s="383">
        <f t="shared" si="10"/>
        <v>0</v>
      </c>
      <c r="AV24" s="382">
        <v>5000000</v>
      </c>
      <c r="AW24" s="388">
        <f>'[1]COE DISB 2019'!O32</f>
        <v>5000000</v>
      </c>
      <c r="AX24" s="382">
        <f t="shared" si="11"/>
        <v>0</v>
      </c>
      <c r="AZ24" s="382">
        <v>18000000</v>
      </c>
      <c r="BA24" s="382">
        <f>'[1]COE DISB 2019'!P32</f>
        <v>18000000</v>
      </c>
      <c r="BB24" s="382">
        <f t="shared" si="12"/>
        <v>0</v>
      </c>
      <c r="BD24" s="382">
        <v>23400000</v>
      </c>
      <c r="BE24" s="382">
        <f>'[1]COE DISB 2019'!Q32</f>
        <v>23400000</v>
      </c>
      <c r="BF24" s="382">
        <f t="shared" si="13"/>
        <v>0</v>
      </c>
      <c r="BH24" s="382">
        <v>10000000</v>
      </c>
      <c r="BI24" s="382">
        <f>'[1]COE DISB 2019'!R32</f>
        <v>10000000</v>
      </c>
      <c r="BJ24" s="382">
        <f t="shared" si="14"/>
        <v>0</v>
      </c>
      <c r="BL24" s="382">
        <v>43000000</v>
      </c>
      <c r="BM24" s="382">
        <f>'[1]COE DISB 2019'!S32</f>
        <v>43000000</v>
      </c>
      <c r="BN24" s="382">
        <f t="shared" si="15"/>
        <v>0</v>
      </c>
      <c r="BP24" s="382">
        <v>37160000</v>
      </c>
      <c r="BQ24" s="382">
        <f>'[1]COE DISB 2019'!T32</f>
        <v>37160000</v>
      </c>
      <c r="BR24" s="382">
        <f t="shared" si="16"/>
        <v>0</v>
      </c>
      <c r="BT24" s="382">
        <v>0</v>
      </c>
      <c r="BU24" s="382">
        <f>'[1]COE DISB 2019'!U32</f>
        <v>0</v>
      </c>
      <c r="BV24" s="382">
        <f t="shared" si="17"/>
        <v>0</v>
      </c>
      <c r="BX24" s="382">
        <v>112670000</v>
      </c>
      <c r="BY24" s="382">
        <f>'[1]COE DISB 2019'!V32</f>
        <v>112670000</v>
      </c>
      <c r="BZ24" s="382">
        <f t="shared" si="18"/>
        <v>0</v>
      </c>
      <c r="CB24" s="382">
        <f>'[1]COE commited funds to date'!W27</f>
        <v>0</v>
      </c>
      <c r="CC24" s="382">
        <f>'[1]COE DISB 2019'!W32</f>
        <v>0</v>
      </c>
      <c r="CD24" s="382">
        <f t="shared" si="19"/>
        <v>0</v>
      </c>
      <c r="CF24" s="382">
        <f>'[1]COE commited funds to date'!X27</f>
        <v>125000000</v>
      </c>
      <c r="CG24" s="382">
        <f>'[1]COE DISB 2019'!X32</f>
        <v>125000000</v>
      </c>
      <c r="CH24" s="382">
        <f t="shared" si="20"/>
        <v>0</v>
      </c>
      <c r="CJ24" s="382">
        <v>10000000</v>
      </c>
      <c r="CK24" s="382">
        <f>'[1]COE DISB 2019'!Y32</f>
        <v>7290000</v>
      </c>
      <c r="CL24" s="382">
        <f t="shared" si="21"/>
        <v>2710000</v>
      </c>
      <c r="CN24" s="382">
        <v>180000000</v>
      </c>
      <c r="CO24" s="382">
        <f>'[1]COE DISB 2019'!Z32</f>
        <v>180000000</v>
      </c>
      <c r="CP24" s="382">
        <f t="shared" si="22"/>
        <v>0</v>
      </c>
      <c r="CR24" s="382">
        <v>210000000</v>
      </c>
      <c r="CS24" s="382">
        <f>'[1]COE DISB 2019'!AA32</f>
        <v>210000000</v>
      </c>
      <c r="CT24" s="382">
        <f t="shared" si="23"/>
        <v>0</v>
      </c>
      <c r="CV24" s="382">
        <v>10000000</v>
      </c>
      <c r="CW24" s="382">
        <f>'[1]COE DISB 2019'!AB32</f>
        <v>7414085</v>
      </c>
      <c r="CX24" s="382">
        <f t="shared" si="24"/>
        <v>2585915</v>
      </c>
      <c r="CZ24" s="382">
        <f>'[1]COE commited funds to date'!AC27</f>
        <v>0</v>
      </c>
      <c r="DA24" s="382">
        <f>'[1]COE DISB 2019'!AC32</f>
        <v>0</v>
      </c>
      <c r="DB24" s="382">
        <f t="shared" si="25"/>
        <v>0</v>
      </c>
      <c r="DC24" s="386"/>
      <c r="DD24" s="382">
        <v>215000000</v>
      </c>
      <c r="DE24" s="382">
        <f>'[1]COE DISB 2019'!AD32</f>
        <v>215000000</v>
      </c>
      <c r="DF24" s="382">
        <f t="shared" si="26"/>
        <v>0</v>
      </c>
      <c r="DG24" s="386"/>
      <c r="DH24" s="382">
        <v>10000000</v>
      </c>
      <c r="DI24" s="382">
        <f>'[1]COE DISB 2019'!AE32</f>
        <v>3866720</v>
      </c>
      <c r="DJ24" s="382">
        <f t="shared" si="27"/>
        <v>6133280</v>
      </c>
      <c r="DK24" s="386"/>
      <c r="DL24" s="382">
        <f>'[1]COE commited funds to date'!AD27</f>
        <v>0</v>
      </c>
      <c r="DM24" s="382">
        <f>'[1]COE DISB 2019'!AF32</f>
        <v>0</v>
      </c>
      <c r="DN24" s="382">
        <f t="shared" si="28"/>
        <v>0</v>
      </c>
      <c r="DO24" s="386"/>
      <c r="DP24" s="382">
        <v>325000000</v>
      </c>
      <c r="DQ24" s="382">
        <f>'[1]COE DISB 2019'!AG32</f>
        <v>325000000</v>
      </c>
      <c r="DR24" s="382">
        <f t="shared" si="29"/>
        <v>0</v>
      </c>
      <c r="DS24" s="386"/>
      <c r="DT24" s="353">
        <v>10000000</v>
      </c>
      <c r="DU24" s="382">
        <f>'[1]COE DISB 2019'!AH32</f>
        <v>0</v>
      </c>
      <c r="DV24" s="382">
        <f t="shared" si="30"/>
        <v>10000000</v>
      </c>
      <c r="DW24" s="386"/>
      <c r="DX24" s="382">
        <f>'[1]COE commited funds to date'!AI27</f>
        <v>68200000</v>
      </c>
      <c r="DY24" s="382">
        <f>'[1]COE DISB 2019'!AI32</f>
        <v>68200000</v>
      </c>
      <c r="DZ24" s="382">
        <f t="shared" si="31"/>
        <v>0</v>
      </c>
      <c r="EA24" s="386"/>
      <c r="EB24" s="382">
        <f>'[1]COE commited funds to date'!AJ27</f>
        <v>72000000</v>
      </c>
      <c r="EC24" s="382">
        <f>'[1]COE DISB 2019'!AJ32</f>
        <v>72000000</v>
      </c>
      <c r="ED24" s="382">
        <f t="shared" si="32"/>
        <v>0</v>
      </c>
      <c r="EE24" s="386"/>
      <c r="EF24" s="382">
        <f>'[1]COE commited funds to date'!AK27</f>
        <v>8000000</v>
      </c>
      <c r="EG24" s="382">
        <f>'[1]COE DISB 2019'!AK32</f>
        <v>4720000</v>
      </c>
      <c r="EH24" s="382">
        <f t="shared" si="33"/>
        <v>3280000</v>
      </c>
      <c r="EI24" s="386"/>
      <c r="EJ24" s="382">
        <f>'[1]COE commited funds to date'!AL27</f>
        <v>2000000</v>
      </c>
      <c r="EK24" s="382">
        <f>'[1]COE DISB 2019'!AL32</f>
        <v>1700000</v>
      </c>
      <c r="EL24" s="382">
        <f t="shared" si="34"/>
        <v>300000</v>
      </c>
      <c r="EM24" s="386"/>
      <c r="EN24" s="382">
        <f>'[1]COE commited funds to date'!AM27</f>
        <v>7000000</v>
      </c>
      <c r="EO24" s="382">
        <f>'[1]COE DISB 2019'!AM32</f>
        <v>0</v>
      </c>
      <c r="EP24" s="382">
        <f t="shared" si="35"/>
        <v>7000000</v>
      </c>
      <c r="EQ24" s="386"/>
      <c r="ER24" s="382">
        <f>'[1]COE commited funds to date'!AN27</f>
        <v>144200000</v>
      </c>
      <c r="ES24" s="382">
        <f>'[1]COE DISB 2019'!AN32</f>
        <v>144200000</v>
      </c>
      <c r="ET24" s="382">
        <f t="shared" si="36"/>
        <v>0</v>
      </c>
      <c r="EV24" s="383">
        <f>'[1]COE commited funds to date'!AO27</f>
        <v>371067000</v>
      </c>
      <c r="EW24" s="383">
        <f>'[1]COE DISB 2019'!AO32</f>
        <v>371067000</v>
      </c>
      <c r="EX24" s="383">
        <f t="shared" si="38"/>
        <v>0</v>
      </c>
      <c r="EY24" s="380"/>
      <c r="EZ24" s="383">
        <f>'[1]COE commited funds to date'!AQ27</f>
        <v>12000000</v>
      </c>
      <c r="FA24" s="383">
        <f>'[1]COE DISB 2019'!AP32</f>
        <v>3830000</v>
      </c>
      <c r="FB24" s="383">
        <f t="shared" si="39"/>
        <v>8170000</v>
      </c>
      <c r="FC24" s="380"/>
      <c r="FD24" s="383">
        <f>'[1]COE commited funds to date'!AR27</f>
        <v>10000000</v>
      </c>
      <c r="FE24" s="383">
        <f>'[1]COE DISB 2019'!AQ32</f>
        <v>0</v>
      </c>
      <c r="FF24" s="383">
        <f t="shared" si="40"/>
        <v>10000000</v>
      </c>
      <c r="FG24" s="380"/>
      <c r="FH24" s="383">
        <f>'[1]COE commited funds to date'!AP27</f>
        <v>8000000</v>
      </c>
      <c r="FI24" s="383">
        <f>'[1]COE DISB 2019'!AR32</f>
        <v>4720000</v>
      </c>
      <c r="FJ24" s="383">
        <f t="shared" si="41"/>
        <v>3280000</v>
      </c>
      <c r="FK24" s="383">
        <f>'[1]COE commited funds to date'!AS27</f>
        <v>0</v>
      </c>
      <c r="FL24" s="383">
        <f>'[1]COE DISB 2019'!AS32</f>
        <v>0</v>
      </c>
      <c r="FM24" s="383">
        <f t="shared" si="42"/>
        <v>0</v>
      </c>
      <c r="FN24" s="380"/>
      <c r="FO24" s="383">
        <f>'[1]COE commited funds to date'!AT27</f>
        <v>200000000</v>
      </c>
      <c r="FP24" s="383">
        <f>'[1]COE DISB 2019'!AT32</f>
        <v>0</v>
      </c>
      <c r="FQ24" s="383">
        <f t="shared" si="43"/>
        <v>200000000</v>
      </c>
      <c r="FR24" s="380"/>
      <c r="FS24" s="383">
        <f>'[1]COE commited funds to date'!AU27</f>
        <v>75000000</v>
      </c>
      <c r="FT24" s="383">
        <f>'[1]COE DISB 2019'!AU32</f>
        <v>54000000</v>
      </c>
      <c r="FU24" s="383">
        <f t="shared" si="44"/>
        <v>21000000</v>
      </c>
      <c r="FV24" s="380"/>
      <c r="FW24" s="383">
        <f>'[1]COE commited funds to date'!AV27</f>
        <v>8700000</v>
      </c>
      <c r="FX24" s="383">
        <f>'[1]COE DISB 2019'!AV32</f>
        <v>0</v>
      </c>
      <c r="FY24" s="383">
        <f t="shared" si="45"/>
        <v>8700000</v>
      </c>
      <c r="FZ24" s="380"/>
      <c r="GA24" s="383">
        <f>'[1]COE commited funds to date'!AW27</f>
        <v>5000000</v>
      </c>
      <c r="GB24" s="383">
        <f>'[1]COE DISB 2019'!AW32</f>
        <v>0</v>
      </c>
      <c r="GC24" s="383">
        <f t="shared" si="46"/>
        <v>5000000</v>
      </c>
      <c r="GD24" s="380"/>
      <c r="GE24" s="383">
        <f>'[1]COE commited funds to date'!AX27</f>
        <v>20000000</v>
      </c>
      <c r="GF24" s="383">
        <f>'[1]COE DISB 2019'!AX32</f>
        <v>0</v>
      </c>
      <c r="GG24" s="383">
        <f t="shared" si="47"/>
        <v>20000000</v>
      </c>
      <c r="GH24" s="380"/>
      <c r="GI24" s="383">
        <f>'[1]COE commited funds to date'!AY27</f>
        <v>230000000</v>
      </c>
      <c r="GJ24" s="383">
        <f>'[1]COE DISB 2019'!AY32</f>
        <v>0</v>
      </c>
      <c r="GK24" s="383">
        <f t="shared" si="48"/>
        <v>230000000</v>
      </c>
      <c r="GL24" s="380"/>
      <c r="GM24" s="383">
        <f>'[1]COE commited funds to date'!AZ27</f>
        <v>116776600</v>
      </c>
      <c r="GN24" s="383">
        <f>'[1]COE DISB 2019'!AZ32</f>
        <v>0</v>
      </c>
      <c r="GO24" s="383">
        <f t="shared" si="49"/>
        <v>116776600</v>
      </c>
      <c r="GP24" s="380"/>
      <c r="GQ24" s="383">
        <f>'[1]COE commited funds to date'!BA27</f>
        <v>12000000</v>
      </c>
      <c r="GR24" s="383">
        <f>'[1]COE DISB 2019'!BA32</f>
        <v>0</v>
      </c>
      <c r="GS24" s="383">
        <f t="shared" si="50"/>
        <v>12000000</v>
      </c>
      <c r="GT24" s="380"/>
      <c r="GU24" s="383">
        <f>'[1]COE commited funds to date'!BB27</f>
        <v>5000000</v>
      </c>
      <c r="GV24" s="383">
        <f>'[1]COE DISB 2019'!BB32</f>
        <v>0</v>
      </c>
      <c r="GW24" s="383">
        <f t="shared" si="51"/>
        <v>5000000</v>
      </c>
      <c r="GX24" s="380"/>
      <c r="GY24" s="383">
        <f>'[1]COE commited funds to date'!BC27</f>
        <v>10308300</v>
      </c>
      <c r="GZ24" s="383">
        <f>'[1]COE DISB 2019'!BC32</f>
        <v>0</v>
      </c>
      <c r="HA24" s="383">
        <f t="shared" si="52"/>
        <v>10308300</v>
      </c>
      <c r="HB24" s="380"/>
      <c r="HC24" s="383">
        <f t="shared" si="53"/>
        <v>2831300865.5</v>
      </c>
      <c r="HD24" s="383">
        <f t="shared" si="53"/>
        <v>2149056770.5</v>
      </c>
      <c r="HE24" s="382">
        <f t="shared" si="54"/>
        <v>682244095</v>
      </c>
      <c r="HG24" s="383">
        <f t="shared" si="55"/>
        <v>2079615965.5</v>
      </c>
      <c r="HH24" s="383">
        <f t="shared" si="55"/>
        <v>1649615965.5</v>
      </c>
      <c r="HI24" s="383">
        <f t="shared" si="56"/>
        <v>430000000</v>
      </c>
      <c r="HK24" s="383">
        <f t="shared" si="57"/>
        <v>402400000</v>
      </c>
      <c r="HL24" s="383">
        <f t="shared" si="57"/>
        <v>402400000</v>
      </c>
      <c r="HM24" s="383">
        <f t="shared" si="58"/>
        <v>0</v>
      </c>
      <c r="HO24" s="383">
        <f t="shared" si="37"/>
        <v>500000</v>
      </c>
      <c r="HP24" s="383">
        <f t="shared" si="37"/>
        <v>500000</v>
      </c>
      <c r="HQ24" s="383">
        <f t="shared" si="59"/>
        <v>0</v>
      </c>
      <c r="HS24" s="383">
        <f t="shared" si="60"/>
        <v>89308300</v>
      </c>
      <c r="HT24" s="383">
        <f t="shared" si="60"/>
        <v>22400805</v>
      </c>
      <c r="HU24" s="383">
        <f t="shared" si="61"/>
        <v>66907495</v>
      </c>
      <c r="HW24" s="383">
        <f t="shared" si="62"/>
        <v>36700000</v>
      </c>
      <c r="HX24" s="383">
        <f t="shared" si="62"/>
        <v>9440000</v>
      </c>
      <c r="HY24" s="383">
        <f t="shared" si="63"/>
        <v>27260000</v>
      </c>
      <c r="IA24" s="387">
        <f t="shared" si="64"/>
        <v>20000000</v>
      </c>
      <c r="IB24" s="387">
        <f t="shared" si="64"/>
        <v>0</v>
      </c>
      <c r="IC24" s="387">
        <f t="shared" si="65"/>
        <v>20000000</v>
      </c>
      <c r="IE24" s="383">
        <f t="shared" si="66"/>
        <v>191776600</v>
      </c>
      <c r="IF24" s="383">
        <f t="shared" si="66"/>
        <v>54000000</v>
      </c>
      <c r="IG24" s="383">
        <f t="shared" si="67"/>
        <v>137776600</v>
      </c>
      <c r="II24" s="383">
        <f t="shared" si="68"/>
        <v>2000000</v>
      </c>
      <c r="IJ24" s="383">
        <f t="shared" si="68"/>
        <v>1700000</v>
      </c>
      <c r="IK24" s="383">
        <f t="shared" si="69"/>
        <v>300000</v>
      </c>
    </row>
    <row r="25" spans="1:245" ht="19.5" customHeight="1" x14ac:dyDescent="0.25">
      <c r="A25" s="380">
        <v>22</v>
      </c>
      <c r="B25" s="380" t="s">
        <v>341</v>
      </c>
      <c r="C25" s="42" t="s">
        <v>74</v>
      </c>
      <c r="D25" s="382">
        <v>18318965.5</v>
      </c>
      <c r="E25" s="382">
        <f>'[1]COE DISB 2019'!D33</f>
        <v>18318965.5</v>
      </c>
      <c r="F25" s="383">
        <f t="shared" si="0"/>
        <v>0</v>
      </c>
      <c r="H25" s="382">
        <v>8000000</v>
      </c>
      <c r="I25" s="382">
        <f>'[1]COE DISB 2019'!E33</f>
        <v>8000000</v>
      </c>
      <c r="J25" s="383">
        <f t="shared" si="1"/>
        <v>0</v>
      </c>
      <c r="L25" s="382">
        <v>500000</v>
      </c>
      <c r="M25" s="382">
        <f>'[1]COE DISB 2019'!F33</f>
        <v>500000</v>
      </c>
      <c r="N25" s="383">
        <f t="shared" si="2"/>
        <v>0</v>
      </c>
      <c r="P25" s="353">
        <v>16000000</v>
      </c>
      <c r="Q25" s="382">
        <f>'[1]COE DISB 2019'!G33</f>
        <v>16000000</v>
      </c>
      <c r="R25" s="383">
        <f t="shared" si="3"/>
        <v>0</v>
      </c>
      <c r="T25" s="385">
        <v>530000</v>
      </c>
      <c r="U25" s="382">
        <f>'[1]COE DISB 2019'!H33</f>
        <v>530000</v>
      </c>
      <c r="V25" s="383">
        <f t="shared" si="4"/>
        <v>0</v>
      </c>
      <c r="X25" s="353">
        <v>0</v>
      </c>
      <c r="Y25" s="382">
        <f>'[1]COE DISB 2019'!I33</f>
        <v>0</v>
      </c>
      <c r="Z25" s="383">
        <f t="shared" si="5"/>
        <v>0</v>
      </c>
      <c r="AB25" s="385">
        <v>20000000</v>
      </c>
      <c r="AC25" s="382">
        <f>'[1]COE DISB 2019'!J33</f>
        <v>20000000</v>
      </c>
      <c r="AD25" s="383">
        <f t="shared" si="6"/>
        <v>0</v>
      </c>
      <c r="AF25" s="353">
        <v>0</v>
      </c>
      <c r="AG25" s="382">
        <f>'[1]COE DISB 2019'!K33</f>
        <v>0</v>
      </c>
      <c r="AH25" s="383">
        <f t="shared" si="7"/>
        <v>0</v>
      </c>
      <c r="AJ25" s="385">
        <v>10000000</v>
      </c>
      <c r="AK25" s="382">
        <f>'[1]COE DISB 2019'!L33</f>
        <v>10000000</v>
      </c>
      <c r="AL25" s="383">
        <f t="shared" si="8"/>
        <v>0</v>
      </c>
      <c r="AN25" s="382">
        <v>10000000</v>
      </c>
      <c r="AO25" s="382">
        <f>'[1]COE DISB 2019'!M33</f>
        <v>10000000</v>
      </c>
      <c r="AP25" s="383">
        <f t="shared" si="9"/>
        <v>0</v>
      </c>
      <c r="AR25" s="382">
        <v>15000000</v>
      </c>
      <c r="AS25" s="382">
        <f>'[1]COE DISB 2019'!N33</f>
        <v>15000000</v>
      </c>
      <c r="AT25" s="383">
        <f t="shared" si="10"/>
        <v>0</v>
      </c>
      <c r="AV25" s="382">
        <v>5000000</v>
      </c>
      <c r="AW25" s="388">
        <f>'[1]COE DISB 2019'!O33</f>
        <v>5000000</v>
      </c>
      <c r="AX25" s="382">
        <f t="shared" si="11"/>
        <v>0</v>
      </c>
      <c r="AZ25" s="382">
        <v>18000000</v>
      </c>
      <c r="BA25" s="382">
        <f>'[1]COE DISB 2019'!P33</f>
        <v>18000000</v>
      </c>
      <c r="BB25" s="382">
        <f t="shared" si="12"/>
        <v>0</v>
      </c>
      <c r="BD25" s="382">
        <v>23400000</v>
      </c>
      <c r="BE25" s="382">
        <f>'[1]COE DISB 2019'!Q33</f>
        <v>23400000</v>
      </c>
      <c r="BF25" s="382">
        <f t="shared" si="13"/>
        <v>0</v>
      </c>
      <c r="BH25" s="382">
        <v>0</v>
      </c>
      <c r="BI25" s="382">
        <f>'[1]COE DISB 2019'!R33</f>
        <v>0</v>
      </c>
      <c r="BJ25" s="382">
        <f t="shared" si="14"/>
        <v>0</v>
      </c>
      <c r="BL25" s="382">
        <v>43000000</v>
      </c>
      <c r="BM25" s="382">
        <f>'[1]COE DISB 2019'!S33</f>
        <v>43000000</v>
      </c>
      <c r="BN25" s="382">
        <f t="shared" si="15"/>
        <v>0</v>
      </c>
      <c r="BP25" s="382">
        <v>37159800</v>
      </c>
      <c r="BQ25" s="382">
        <f>'[1]COE DISB 2019'!T33</f>
        <v>37159800</v>
      </c>
      <c r="BR25" s="382">
        <f t="shared" si="16"/>
        <v>0</v>
      </c>
      <c r="BT25" s="382">
        <v>0</v>
      </c>
      <c r="BU25" s="382">
        <f>'[1]COE DISB 2019'!U33</f>
        <v>0</v>
      </c>
      <c r="BV25" s="382">
        <f t="shared" si="17"/>
        <v>0</v>
      </c>
      <c r="BX25" s="382">
        <v>112669600</v>
      </c>
      <c r="BY25" s="382">
        <f>'[1]COE DISB 2019'!V33</f>
        <v>112669600</v>
      </c>
      <c r="BZ25" s="382">
        <f t="shared" si="18"/>
        <v>0</v>
      </c>
      <c r="CB25" s="382">
        <f>'[1]COE commited funds to date'!W28</f>
        <v>0</v>
      </c>
      <c r="CC25" s="382">
        <f>'[1]COE DISB 2019'!W33</f>
        <v>0</v>
      </c>
      <c r="CD25" s="382">
        <f t="shared" si="19"/>
        <v>0</v>
      </c>
      <c r="CF25" s="382">
        <f>'[1]COE commited funds to date'!X28</f>
        <v>125000000</v>
      </c>
      <c r="CG25" s="382">
        <f>'[1]COE DISB 2019'!X33</f>
        <v>125000000</v>
      </c>
      <c r="CH25" s="382">
        <f t="shared" si="20"/>
        <v>0</v>
      </c>
      <c r="CJ25" s="382">
        <v>10000000</v>
      </c>
      <c r="CK25" s="382">
        <f>'[1]COE DISB 2019'!Y33</f>
        <v>10000000</v>
      </c>
      <c r="CL25" s="382">
        <f t="shared" si="21"/>
        <v>0</v>
      </c>
      <c r="CN25" s="382">
        <v>500000000</v>
      </c>
      <c r="CO25" s="382">
        <f>'[1]COE DISB 2019'!Z33</f>
        <v>500000000</v>
      </c>
      <c r="CP25" s="382">
        <f t="shared" si="22"/>
        <v>0</v>
      </c>
      <c r="CR25" s="382">
        <v>210000000</v>
      </c>
      <c r="CS25" s="382">
        <f>'[1]COE DISB 2019'!AA33</f>
        <v>210000000</v>
      </c>
      <c r="CT25" s="382">
        <f t="shared" si="23"/>
        <v>0</v>
      </c>
      <c r="CV25" s="382">
        <v>10000000</v>
      </c>
      <c r="CW25" s="382">
        <f>'[1]COE DISB 2019'!AB33</f>
        <v>10000000</v>
      </c>
      <c r="CX25" s="382">
        <f t="shared" si="24"/>
        <v>0</v>
      </c>
      <c r="CZ25" s="382">
        <f>'[1]COE commited funds to date'!AC28</f>
        <v>0</v>
      </c>
      <c r="DA25" s="382">
        <f>'[1]COE DISB 2019'!AC33</f>
        <v>0</v>
      </c>
      <c r="DB25" s="382">
        <f t="shared" si="25"/>
        <v>0</v>
      </c>
      <c r="DC25" s="386"/>
      <c r="DD25" s="382">
        <v>215000000</v>
      </c>
      <c r="DE25" s="382">
        <f>'[1]COE DISB 2019'!AD33</f>
        <v>215000000</v>
      </c>
      <c r="DF25" s="382">
        <f t="shared" si="26"/>
        <v>0</v>
      </c>
      <c r="DG25" s="386"/>
      <c r="DH25" s="382">
        <v>10000000</v>
      </c>
      <c r="DI25" s="382">
        <f>'[1]COE DISB 2019'!AE33</f>
        <v>10000000</v>
      </c>
      <c r="DJ25" s="382">
        <f t="shared" si="27"/>
        <v>0</v>
      </c>
      <c r="DK25" s="386"/>
      <c r="DL25" s="382">
        <f>'[1]COE commited funds to date'!AD28</f>
        <v>200000000</v>
      </c>
      <c r="DM25" s="382">
        <f>'[1]COE DISB 2019'!AF33</f>
        <v>200000000</v>
      </c>
      <c r="DN25" s="382">
        <f t="shared" si="28"/>
        <v>0</v>
      </c>
      <c r="DO25" s="386"/>
      <c r="DP25" s="382">
        <v>325000000</v>
      </c>
      <c r="DQ25" s="382">
        <f>'[1]COE DISB 2019'!AG33</f>
        <v>276250000</v>
      </c>
      <c r="DR25" s="382">
        <f t="shared" si="29"/>
        <v>48750000</v>
      </c>
      <c r="DS25" s="386"/>
      <c r="DT25" s="353">
        <v>10000000</v>
      </c>
      <c r="DU25" s="382">
        <f>'[1]COE DISB 2019'!AH33</f>
        <v>7092400</v>
      </c>
      <c r="DV25" s="382">
        <f t="shared" si="30"/>
        <v>2907600</v>
      </c>
      <c r="DW25" s="386"/>
      <c r="DX25" s="382">
        <f>'[1]COE commited funds to date'!AI28</f>
        <v>200000000</v>
      </c>
      <c r="DY25" s="382">
        <f>'[1]COE DISB 2019'!AI33</f>
        <v>200000000</v>
      </c>
      <c r="DZ25" s="382">
        <f t="shared" si="31"/>
        <v>0</v>
      </c>
      <c r="EA25" s="386"/>
      <c r="EB25" s="382">
        <f>'[1]COE commited funds to date'!AJ28</f>
        <v>72000000</v>
      </c>
      <c r="EC25" s="382">
        <f>'[1]COE DISB 2019'!AJ33</f>
        <v>72000000</v>
      </c>
      <c r="ED25" s="382">
        <f t="shared" si="32"/>
        <v>0</v>
      </c>
      <c r="EE25" s="386"/>
      <c r="EF25" s="382">
        <f>'[1]COE commited funds to date'!AK28</f>
        <v>8000000</v>
      </c>
      <c r="EG25" s="382">
        <f>'[1]COE DISB 2019'!AK33</f>
        <v>0</v>
      </c>
      <c r="EH25" s="382">
        <f t="shared" si="33"/>
        <v>8000000</v>
      </c>
      <c r="EI25" s="386"/>
      <c r="EJ25" s="382">
        <f>'[1]COE commited funds to date'!AL28</f>
        <v>2000000</v>
      </c>
      <c r="EK25" s="382">
        <f>'[1]COE DISB 2019'!AL33</f>
        <v>0</v>
      </c>
      <c r="EL25" s="382">
        <f t="shared" si="34"/>
        <v>2000000</v>
      </c>
      <c r="EM25" s="386"/>
      <c r="EN25" s="382">
        <f>'[1]COE commited funds to date'!AM28</f>
        <v>7000000</v>
      </c>
      <c r="EO25" s="382">
        <f>'[1]COE DISB 2019'!AM33</f>
        <v>5575000</v>
      </c>
      <c r="EP25" s="382">
        <f t="shared" si="35"/>
        <v>1425000</v>
      </c>
      <c r="EQ25" s="386"/>
      <c r="ER25" s="382">
        <f>'[1]COE commited funds to date'!AN28</f>
        <v>1650000000</v>
      </c>
      <c r="ES25" s="382">
        <f>'[1]COE DISB 2019'!AN33</f>
        <v>1431500000</v>
      </c>
      <c r="ET25" s="382">
        <f t="shared" si="36"/>
        <v>218500000</v>
      </c>
      <c r="EV25" s="383">
        <f>'[1]COE commited funds to date'!AO28</f>
        <v>371067000</v>
      </c>
      <c r="EW25" s="383">
        <f>'[1]COE DISB 2019'!AO33</f>
        <v>371067000</v>
      </c>
      <c r="EX25" s="383">
        <f t="shared" si="38"/>
        <v>0</v>
      </c>
      <c r="EY25" s="380"/>
      <c r="EZ25" s="383">
        <f>'[1]COE commited funds to date'!AQ28</f>
        <v>12000000</v>
      </c>
      <c r="FA25" s="383">
        <f>'[1]COE DISB 2019'!AP33</f>
        <v>12000000</v>
      </c>
      <c r="FB25" s="383">
        <f t="shared" si="39"/>
        <v>0</v>
      </c>
      <c r="FC25" s="380"/>
      <c r="FD25" s="383">
        <f>'[1]COE commited funds to date'!AR28</f>
        <v>10000000</v>
      </c>
      <c r="FE25" s="383">
        <f>'[1]COE DISB 2019'!AQ33</f>
        <v>0</v>
      </c>
      <c r="FF25" s="383">
        <f t="shared" si="40"/>
        <v>10000000</v>
      </c>
      <c r="FG25" s="380"/>
      <c r="FH25" s="383">
        <f>'[1]COE commited funds to date'!AP28</f>
        <v>8000000</v>
      </c>
      <c r="FI25" s="383">
        <f>'[1]COE DISB 2019'!AR33</f>
        <v>0</v>
      </c>
      <c r="FJ25" s="383">
        <f t="shared" si="41"/>
        <v>8000000</v>
      </c>
      <c r="FK25" s="383">
        <f>'[1]COE commited funds to date'!AS28</f>
        <v>0</v>
      </c>
      <c r="FL25" s="383">
        <f>'[1]COE DISB 2019'!AS33</f>
        <v>0</v>
      </c>
      <c r="FM25" s="383">
        <f t="shared" si="42"/>
        <v>0</v>
      </c>
      <c r="FN25" s="380"/>
      <c r="FO25" s="383">
        <f>'[1]COE commited funds to date'!AT28</f>
        <v>200000000</v>
      </c>
      <c r="FP25" s="383">
        <f>'[1]COE DISB 2019'!AT33</f>
        <v>0</v>
      </c>
      <c r="FQ25" s="383">
        <f t="shared" si="43"/>
        <v>200000000</v>
      </c>
      <c r="FR25" s="380"/>
      <c r="FS25" s="383">
        <f>'[1]COE commited funds to date'!AU28</f>
        <v>75000000</v>
      </c>
      <c r="FT25" s="383">
        <f>'[1]COE DISB 2019'!AU33</f>
        <v>75000000</v>
      </c>
      <c r="FU25" s="383">
        <f t="shared" si="44"/>
        <v>0</v>
      </c>
      <c r="FV25" s="380"/>
      <c r="FW25" s="383">
        <f>'[1]COE commited funds to date'!AV28</f>
        <v>8700000</v>
      </c>
      <c r="FX25" s="383">
        <f>'[1]COE DISB 2019'!AV33</f>
        <v>0</v>
      </c>
      <c r="FY25" s="383">
        <f t="shared" si="45"/>
        <v>8700000</v>
      </c>
      <c r="FZ25" s="380"/>
      <c r="GA25" s="383">
        <f>'[1]COE commited funds to date'!AW28</f>
        <v>5000000</v>
      </c>
      <c r="GB25" s="383">
        <f>'[1]COE DISB 2019'!AW33</f>
        <v>0</v>
      </c>
      <c r="GC25" s="383">
        <f t="shared" si="46"/>
        <v>5000000</v>
      </c>
      <c r="GD25" s="380"/>
      <c r="GE25" s="383">
        <f>'[1]COE commited funds to date'!AX28</f>
        <v>20000000</v>
      </c>
      <c r="GF25" s="383">
        <f>'[1]COE DISB 2019'!AX33</f>
        <v>9878600</v>
      </c>
      <c r="GG25" s="383">
        <f t="shared" si="47"/>
        <v>10121400</v>
      </c>
      <c r="GH25" s="380"/>
      <c r="GI25" s="383">
        <f>'[1]COE commited funds to date'!AY28</f>
        <v>230000000</v>
      </c>
      <c r="GJ25" s="383">
        <f>'[1]COE DISB 2019'!AY33</f>
        <v>0</v>
      </c>
      <c r="GK25" s="383">
        <f t="shared" si="48"/>
        <v>230000000</v>
      </c>
      <c r="GL25" s="380"/>
      <c r="GM25" s="383">
        <f>'[1]COE commited funds to date'!AZ28</f>
        <v>116776600</v>
      </c>
      <c r="GN25" s="383">
        <f>'[1]COE DISB 2019'!AZ33</f>
        <v>0</v>
      </c>
      <c r="GO25" s="383">
        <f t="shared" si="49"/>
        <v>116776600</v>
      </c>
      <c r="GP25" s="380"/>
      <c r="GQ25" s="383">
        <f>'[1]COE commited funds to date'!BA28</f>
        <v>12000000</v>
      </c>
      <c r="GR25" s="383">
        <f>'[1]COE DISB 2019'!BA33</f>
        <v>0</v>
      </c>
      <c r="GS25" s="383">
        <f t="shared" si="50"/>
        <v>12000000</v>
      </c>
      <c r="GT25" s="380"/>
      <c r="GU25" s="383">
        <f>'[1]COE commited funds to date'!BB28</f>
        <v>5000000</v>
      </c>
      <c r="GV25" s="383">
        <f>'[1]COE DISB 2019'!BB33</f>
        <v>0</v>
      </c>
      <c r="GW25" s="383">
        <f t="shared" si="51"/>
        <v>5000000</v>
      </c>
      <c r="GX25" s="380"/>
      <c r="GY25" s="383">
        <f>'[1]COE commited funds to date'!BC28</f>
        <v>10308300</v>
      </c>
      <c r="GZ25" s="383">
        <f>'[1]COE DISB 2019'!BC33</f>
        <v>0</v>
      </c>
      <c r="HA25" s="383">
        <f t="shared" si="52"/>
        <v>10308300</v>
      </c>
      <c r="HB25" s="380"/>
      <c r="HC25" s="383">
        <f t="shared" si="53"/>
        <v>4975430265.5</v>
      </c>
      <c r="HD25" s="383">
        <f t="shared" si="53"/>
        <v>4077941365.5</v>
      </c>
      <c r="HE25" s="382">
        <f t="shared" si="54"/>
        <v>897488900</v>
      </c>
      <c r="HG25" s="383">
        <f t="shared" si="55"/>
        <v>2079615365.5</v>
      </c>
      <c r="HH25" s="383">
        <f t="shared" si="55"/>
        <v>1600865365.5</v>
      </c>
      <c r="HI25" s="383">
        <f t="shared" si="56"/>
        <v>478750000</v>
      </c>
      <c r="HK25" s="383">
        <f t="shared" si="57"/>
        <v>2550000000</v>
      </c>
      <c r="HL25" s="383">
        <f t="shared" si="57"/>
        <v>2331500000</v>
      </c>
      <c r="HM25" s="383">
        <f t="shared" si="58"/>
        <v>218500000</v>
      </c>
      <c r="HO25" s="383">
        <f t="shared" si="37"/>
        <v>1030000</v>
      </c>
      <c r="HP25" s="383">
        <f t="shared" si="37"/>
        <v>1030000</v>
      </c>
      <c r="HQ25" s="383">
        <f t="shared" si="59"/>
        <v>0</v>
      </c>
      <c r="HS25" s="383">
        <f t="shared" si="60"/>
        <v>89308300</v>
      </c>
      <c r="HT25" s="383">
        <f t="shared" si="60"/>
        <v>64546000</v>
      </c>
      <c r="HU25" s="383">
        <f t="shared" si="61"/>
        <v>24762300</v>
      </c>
      <c r="HW25" s="383">
        <f t="shared" si="62"/>
        <v>36700000</v>
      </c>
      <c r="HX25" s="383">
        <f t="shared" si="62"/>
        <v>0</v>
      </c>
      <c r="HY25" s="383">
        <f t="shared" si="63"/>
        <v>36700000</v>
      </c>
      <c r="IA25" s="387">
        <f t="shared" si="64"/>
        <v>20000000</v>
      </c>
      <c r="IB25" s="387">
        <f t="shared" si="64"/>
        <v>0</v>
      </c>
      <c r="IC25" s="387">
        <f t="shared" si="65"/>
        <v>20000000</v>
      </c>
      <c r="IE25" s="383">
        <f t="shared" si="66"/>
        <v>191776600</v>
      </c>
      <c r="IF25" s="383">
        <f t="shared" si="66"/>
        <v>75000000</v>
      </c>
      <c r="IG25" s="383">
        <f t="shared" si="67"/>
        <v>116776600</v>
      </c>
      <c r="II25" s="383">
        <f t="shared" si="68"/>
        <v>2000000</v>
      </c>
      <c r="IJ25" s="383">
        <f t="shared" si="68"/>
        <v>0</v>
      </c>
      <c r="IK25" s="383">
        <f t="shared" si="69"/>
        <v>2000000</v>
      </c>
    </row>
    <row r="26" spans="1:245" ht="19.5" customHeight="1" x14ac:dyDescent="0.25">
      <c r="A26" s="380">
        <v>23</v>
      </c>
      <c r="B26" s="380" t="s">
        <v>342</v>
      </c>
      <c r="C26" s="381" t="s">
        <v>65</v>
      </c>
      <c r="D26" s="382">
        <v>18318965.5</v>
      </c>
      <c r="E26" s="382">
        <f>'[1]COE DISB 2019'!D34</f>
        <v>18318965.5</v>
      </c>
      <c r="F26" s="383">
        <f t="shared" si="0"/>
        <v>0</v>
      </c>
      <c r="H26" s="382">
        <v>8000000</v>
      </c>
      <c r="I26" s="382">
        <f>'[1]COE DISB 2019'!E34</f>
        <v>8000000</v>
      </c>
      <c r="J26" s="383">
        <f t="shared" si="1"/>
        <v>0</v>
      </c>
      <c r="L26" s="382">
        <v>500000</v>
      </c>
      <c r="M26" s="382">
        <f>'[1]COE DISB 2019'!F34</f>
        <v>500000</v>
      </c>
      <c r="N26" s="383">
        <f t="shared" si="2"/>
        <v>0</v>
      </c>
      <c r="P26" s="353">
        <v>16000000</v>
      </c>
      <c r="Q26" s="382">
        <f>'[1]COE DISB 2019'!G34</f>
        <v>16000000</v>
      </c>
      <c r="R26" s="383">
        <f t="shared" si="3"/>
        <v>0</v>
      </c>
      <c r="T26" s="353">
        <v>0</v>
      </c>
      <c r="U26" s="382">
        <f>'[1]COE DISB 2019'!H34</f>
        <v>0</v>
      </c>
      <c r="V26" s="383">
        <f t="shared" si="4"/>
        <v>0</v>
      </c>
      <c r="X26" s="353">
        <v>0</v>
      </c>
      <c r="Y26" s="382">
        <f>'[1]COE DISB 2019'!I34</f>
        <v>0</v>
      </c>
      <c r="Z26" s="383">
        <f t="shared" si="5"/>
        <v>0</v>
      </c>
      <c r="AB26" s="385">
        <v>20000000</v>
      </c>
      <c r="AC26" s="382">
        <f>'[1]COE DISB 2019'!J34</f>
        <v>20000000</v>
      </c>
      <c r="AD26" s="383">
        <f t="shared" si="6"/>
        <v>0</v>
      </c>
      <c r="AF26" s="353">
        <v>0</v>
      </c>
      <c r="AG26" s="382">
        <f>'[1]COE DISB 2019'!K34</f>
        <v>0</v>
      </c>
      <c r="AH26" s="383">
        <f t="shared" si="7"/>
        <v>0</v>
      </c>
      <c r="AJ26" s="385">
        <v>10000000</v>
      </c>
      <c r="AK26" s="382">
        <f>'[1]COE DISB 2019'!L34</f>
        <v>10000000</v>
      </c>
      <c r="AL26" s="383">
        <f t="shared" si="8"/>
        <v>0</v>
      </c>
      <c r="AN26" s="382">
        <v>10000000</v>
      </c>
      <c r="AO26" s="382">
        <f>'[1]COE DISB 2019'!M34</f>
        <v>10000000</v>
      </c>
      <c r="AP26" s="383">
        <f t="shared" si="9"/>
        <v>0</v>
      </c>
      <c r="AR26" s="382">
        <v>15000000</v>
      </c>
      <c r="AS26" s="382">
        <f>'[1]COE DISB 2019'!N34</f>
        <v>15000000</v>
      </c>
      <c r="AT26" s="383">
        <f t="shared" si="10"/>
        <v>0</v>
      </c>
      <c r="AV26" s="382">
        <v>5000000</v>
      </c>
      <c r="AW26" s="388">
        <f>'[1]COE DISB 2019'!O34</f>
        <v>5000000</v>
      </c>
      <c r="AX26" s="382">
        <f t="shared" si="11"/>
        <v>0</v>
      </c>
      <c r="AZ26" s="382">
        <v>18000000</v>
      </c>
      <c r="BA26" s="382">
        <f>'[1]COE DISB 2019'!P34</f>
        <v>18000000</v>
      </c>
      <c r="BB26" s="382">
        <f t="shared" si="12"/>
        <v>0</v>
      </c>
      <c r="BD26" s="382">
        <v>23400000</v>
      </c>
      <c r="BE26" s="382">
        <f>'[1]COE DISB 2019'!Q34</f>
        <v>23400000</v>
      </c>
      <c r="BF26" s="382">
        <f t="shared" si="13"/>
        <v>0</v>
      </c>
      <c r="BH26" s="382">
        <v>0</v>
      </c>
      <c r="BI26" s="382">
        <f>'[1]COE DISB 2019'!R34</f>
        <v>0</v>
      </c>
      <c r="BJ26" s="382">
        <f t="shared" si="14"/>
        <v>0</v>
      </c>
      <c r="BL26" s="382">
        <v>43000000</v>
      </c>
      <c r="BM26" s="382">
        <f>'[1]COE DISB 2019'!S34</f>
        <v>43000000</v>
      </c>
      <c r="BN26" s="382">
        <f t="shared" si="15"/>
        <v>0</v>
      </c>
      <c r="BP26" s="382">
        <v>37160000</v>
      </c>
      <c r="BQ26" s="382">
        <f>'[1]COE DISB 2019'!T34</f>
        <v>37160000</v>
      </c>
      <c r="BR26" s="382">
        <f t="shared" si="16"/>
        <v>0</v>
      </c>
      <c r="BT26" s="382">
        <v>0</v>
      </c>
      <c r="BU26" s="382">
        <f>'[1]COE DISB 2019'!U34</f>
        <v>0</v>
      </c>
      <c r="BV26" s="382">
        <f t="shared" si="17"/>
        <v>0</v>
      </c>
      <c r="BX26" s="382">
        <v>112670000</v>
      </c>
      <c r="BY26" s="382">
        <f>'[1]COE DISB 2019'!V34</f>
        <v>112670000</v>
      </c>
      <c r="BZ26" s="382">
        <f t="shared" si="18"/>
        <v>0</v>
      </c>
      <c r="CB26" s="382">
        <f>'[1]COE commited funds to date'!W29</f>
        <v>0</v>
      </c>
      <c r="CC26" s="382">
        <f>'[1]COE DISB 2019'!W34</f>
        <v>0</v>
      </c>
      <c r="CD26" s="382">
        <f t="shared" si="19"/>
        <v>0</v>
      </c>
      <c r="CF26" s="382">
        <f>'[1]COE commited funds to date'!X29</f>
        <v>125000000</v>
      </c>
      <c r="CG26" s="382">
        <f>'[1]COE DISB 2019'!X34</f>
        <v>125000000</v>
      </c>
      <c r="CH26" s="382">
        <f t="shared" si="20"/>
        <v>0</v>
      </c>
      <c r="CJ26" s="382">
        <v>10000000</v>
      </c>
      <c r="CK26" s="382">
        <f>'[1]COE DISB 2019'!Y34</f>
        <v>10000000</v>
      </c>
      <c r="CL26" s="382">
        <f t="shared" si="21"/>
        <v>0</v>
      </c>
      <c r="CN26" s="382">
        <v>0</v>
      </c>
      <c r="CO26" s="382">
        <f>'[1]COE DISB 2019'!Z34</f>
        <v>0</v>
      </c>
      <c r="CP26" s="382">
        <f t="shared" si="22"/>
        <v>0</v>
      </c>
      <c r="CR26" s="382">
        <v>210000000</v>
      </c>
      <c r="CS26" s="382">
        <f>'[1]COE DISB 2019'!AA34</f>
        <v>210000000</v>
      </c>
      <c r="CT26" s="382">
        <f t="shared" si="23"/>
        <v>0</v>
      </c>
      <c r="CV26" s="382">
        <v>10000000</v>
      </c>
      <c r="CW26" s="382">
        <f>'[1]COE DISB 2019'!AB34</f>
        <v>10000000</v>
      </c>
      <c r="CX26" s="382">
        <f t="shared" si="24"/>
        <v>0</v>
      </c>
      <c r="CZ26" s="382">
        <f>'[1]COE commited funds to date'!AC29</f>
        <v>0</v>
      </c>
      <c r="DA26" s="382">
        <f>'[1]COE DISB 2019'!AC34</f>
        <v>0</v>
      </c>
      <c r="DB26" s="382">
        <f t="shared" si="25"/>
        <v>0</v>
      </c>
      <c r="DC26" s="386"/>
      <c r="DD26" s="382">
        <v>215000000</v>
      </c>
      <c r="DE26" s="382">
        <f>'[1]COE DISB 2019'!AD34</f>
        <v>215000000</v>
      </c>
      <c r="DF26" s="382">
        <f t="shared" si="26"/>
        <v>0</v>
      </c>
      <c r="DG26" s="386"/>
      <c r="DH26" s="382">
        <v>10000000</v>
      </c>
      <c r="DI26" s="382">
        <f>'[1]COE DISB 2019'!AE34</f>
        <v>10000000</v>
      </c>
      <c r="DJ26" s="382">
        <f t="shared" si="27"/>
        <v>0</v>
      </c>
      <c r="DK26" s="386"/>
      <c r="DL26" s="382">
        <f>'[1]COE commited funds to date'!AD29</f>
        <v>0</v>
      </c>
      <c r="DM26" s="382">
        <f>'[1]COE DISB 2019'!AF34</f>
        <v>0</v>
      </c>
      <c r="DN26" s="382">
        <f t="shared" si="28"/>
        <v>0</v>
      </c>
      <c r="DO26" s="386"/>
      <c r="DP26" s="382">
        <v>325000000</v>
      </c>
      <c r="DQ26" s="382">
        <f>'[1]COE DISB 2019'!AG34</f>
        <v>188500000</v>
      </c>
      <c r="DR26" s="382">
        <f t="shared" si="29"/>
        <v>136500000</v>
      </c>
      <c r="DS26" s="386"/>
      <c r="DT26" s="353">
        <v>10000000</v>
      </c>
      <c r="DU26" s="382">
        <f>'[1]COE DISB 2019'!AH34</f>
        <v>10000000</v>
      </c>
      <c r="DV26" s="382">
        <f t="shared" si="30"/>
        <v>0</v>
      </c>
      <c r="DW26" s="386"/>
      <c r="DX26" s="382">
        <f>'[1]COE commited funds to date'!AI29</f>
        <v>130000000</v>
      </c>
      <c r="DY26" s="382">
        <f>'[1]COE DISB 2019'!AI34</f>
        <v>130000000</v>
      </c>
      <c r="DZ26" s="382">
        <f t="shared" si="31"/>
        <v>0</v>
      </c>
      <c r="EA26" s="386"/>
      <c r="EB26" s="382">
        <f>'[1]COE commited funds to date'!AJ29</f>
        <v>72000000</v>
      </c>
      <c r="EC26" s="382">
        <f>'[1]COE DISB 2019'!AJ34</f>
        <v>41760000</v>
      </c>
      <c r="ED26" s="382">
        <f t="shared" si="32"/>
        <v>30240000</v>
      </c>
      <c r="EE26" s="386"/>
      <c r="EF26" s="382">
        <f>'[1]COE commited funds to date'!AK29</f>
        <v>8000000</v>
      </c>
      <c r="EG26" s="382">
        <f>'[1]COE DISB 2019'!AK34</f>
        <v>4080000</v>
      </c>
      <c r="EH26" s="382">
        <f t="shared" si="33"/>
        <v>3920000</v>
      </c>
      <c r="EI26" s="386"/>
      <c r="EJ26" s="382">
        <f>'[1]COE commited funds to date'!AL29</f>
        <v>2000000</v>
      </c>
      <c r="EK26" s="382">
        <f>'[1]COE DISB 2019'!AL34</f>
        <v>0</v>
      </c>
      <c r="EL26" s="382">
        <f t="shared" si="34"/>
        <v>2000000</v>
      </c>
      <c r="EM26" s="386"/>
      <c r="EN26" s="382">
        <f>'[1]COE commited funds to date'!AM29</f>
        <v>7000000</v>
      </c>
      <c r="EO26" s="382">
        <f>'[1]COE DISB 2019'!AM34</f>
        <v>7000000</v>
      </c>
      <c r="EP26" s="382">
        <f t="shared" si="35"/>
        <v>0</v>
      </c>
      <c r="EQ26" s="386"/>
      <c r="ER26" s="382">
        <f>'[1]COE commited funds to date'!AN29</f>
        <v>800000000</v>
      </c>
      <c r="ES26" s="382">
        <f>'[1]COE DISB 2019'!AN34</f>
        <v>800000000</v>
      </c>
      <c r="ET26" s="382">
        <f t="shared" si="36"/>
        <v>0</v>
      </c>
      <c r="EV26" s="383">
        <f>'[1]COE commited funds to date'!AO29</f>
        <v>371067000</v>
      </c>
      <c r="EW26" s="383">
        <f>'[1]COE DISB 2019'!AO34</f>
        <v>215218860</v>
      </c>
      <c r="EX26" s="383">
        <f t="shared" si="38"/>
        <v>155848140</v>
      </c>
      <c r="EY26" s="380"/>
      <c r="EZ26" s="383">
        <f>'[1]COE commited funds to date'!AQ29</f>
        <v>12000000</v>
      </c>
      <c r="FA26" s="383">
        <f>'[1]COE DISB 2019'!AP34</f>
        <v>12000000</v>
      </c>
      <c r="FB26" s="383">
        <f t="shared" si="39"/>
        <v>0</v>
      </c>
      <c r="FC26" s="380"/>
      <c r="FD26" s="383">
        <f>'[1]COE commited funds to date'!AR29</f>
        <v>10000000</v>
      </c>
      <c r="FE26" s="383">
        <f>'[1]COE DISB 2019'!AQ34</f>
        <v>0</v>
      </c>
      <c r="FF26" s="383">
        <f t="shared" si="40"/>
        <v>10000000</v>
      </c>
      <c r="FG26" s="380"/>
      <c r="FH26" s="383">
        <f>'[1]COE commited funds to date'!AP29</f>
        <v>8000000</v>
      </c>
      <c r="FI26" s="383">
        <f>'[1]COE DISB 2019'!AR34</f>
        <v>4080000</v>
      </c>
      <c r="FJ26" s="383">
        <f t="shared" si="41"/>
        <v>3920000</v>
      </c>
      <c r="FK26" s="383">
        <f>'[1]COE commited funds to date'!AS29</f>
        <v>0</v>
      </c>
      <c r="FL26" s="383">
        <f>'[1]COE DISB 2019'!AS34</f>
        <v>0</v>
      </c>
      <c r="FM26" s="383">
        <f t="shared" si="42"/>
        <v>0</v>
      </c>
      <c r="FN26" s="380"/>
      <c r="FO26" s="383">
        <f>'[1]COE commited funds to date'!AT29</f>
        <v>200000000</v>
      </c>
      <c r="FP26" s="383">
        <f>'[1]COE DISB 2019'!AT34</f>
        <v>0</v>
      </c>
      <c r="FQ26" s="383">
        <f t="shared" si="43"/>
        <v>200000000</v>
      </c>
      <c r="FR26" s="380"/>
      <c r="FS26" s="383">
        <f>'[1]COE commited funds to date'!AU29</f>
        <v>75000000</v>
      </c>
      <c r="FT26" s="383">
        <f>'[1]COE DISB 2019'!AU34</f>
        <v>50250000</v>
      </c>
      <c r="FU26" s="383">
        <f t="shared" si="44"/>
        <v>24750000</v>
      </c>
      <c r="FV26" s="380"/>
      <c r="FW26" s="383">
        <f>'[1]COE commited funds to date'!AV29</f>
        <v>8700000</v>
      </c>
      <c r="FX26" s="383">
        <f>'[1]COE DISB 2019'!AV34</f>
        <v>0</v>
      </c>
      <c r="FY26" s="383">
        <f t="shared" si="45"/>
        <v>8700000</v>
      </c>
      <c r="FZ26" s="380"/>
      <c r="GA26" s="383">
        <f>'[1]COE commited funds to date'!AW29</f>
        <v>5000000</v>
      </c>
      <c r="GB26" s="383">
        <f>'[1]COE DISB 2019'!AW34</f>
        <v>0</v>
      </c>
      <c r="GC26" s="383">
        <f t="shared" si="46"/>
        <v>5000000</v>
      </c>
      <c r="GD26" s="380"/>
      <c r="GE26" s="383">
        <f>'[1]COE commited funds to date'!AX29</f>
        <v>20000000</v>
      </c>
      <c r="GF26" s="383">
        <f>'[1]COE DISB 2019'!AX34</f>
        <v>12354245</v>
      </c>
      <c r="GG26" s="383">
        <f t="shared" si="47"/>
        <v>7645755</v>
      </c>
      <c r="GH26" s="380"/>
      <c r="GI26" s="383">
        <f>'[1]COE commited funds to date'!AY29</f>
        <v>230000000</v>
      </c>
      <c r="GJ26" s="383">
        <f>'[1]COE DISB 2019'!AY34</f>
        <v>0</v>
      </c>
      <c r="GK26" s="383">
        <f t="shared" si="48"/>
        <v>230000000</v>
      </c>
      <c r="GL26" s="380"/>
      <c r="GM26" s="383">
        <f>'[1]COE commited funds to date'!AZ29</f>
        <v>116776600</v>
      </c>
      <c r="GN26" s="383">
        <f>'[1]COE DISB 2019'!AZ34</f>
        <v>0</v>
      </c>
      <c r="GO26" s="383">
        <f t="shared" si="49"/>
        <v>116776600</v>
      </c>
      <c r="GP26" s="380"/>
      <c r="GQ26" s="383">
        <f>'[1]COE commited funds to date'!BA29</f>
        <v>12000000</v>
      </c>
      <c r="GR26" s="383">
        <f>'[1]COE DISB 2019'!BA34</f>
        <v>0</v>
      </c>
      <c r="GS26" s="383">
        <f t="shared" si="50"/>
        <v>12000000</v>
      </c>
      <c r="GT26" s="380"/>
      <c r="GU26" s="383">
        <f>'[1]COE commited funds to date'!BB29</f>
        <v>5000000</v>
      </c>
      <c r="GV26" s="383">
        <f>'[1]COE DISB 2019'!BB34</f>
        <v>0</v>
      </c>
      <c r="GW26" s="383">
        <f t="shared" si="51"/>
        <v>5000000</v>
      </c>
      <c r="GX26" s="380"/>
      <c r="GY26" s="383">
        <f>'[1]COE commited funds to date'!BC29</f>
        <v>10308300</v>
      </c>
      <c r="GZ26" s="383">
        <f>'[1]COE DISB 2019'!BC34</f>
        <v>0</v>
      </c>
      <c r="HA26" s="383">
        <f t="shared" si="52"/>
        <v>10308300</v>
      </c>
      <c r="HB26" s="380"/>
      <c r="HC26" s="383">
        <f t="shared" si="53"/>
        <v>3354900865.5</v>
      </c>
      <c r="HD26" s="383">
        <f t="shared" si="53"/>
        <v>2392292070.5</v>
      </c>
      <c r="HE26" s="382">
        <f t="shared" si="54"/>
        <v>962608795</v>
      </c>
      <c r="HG26" s="383">
        <f t="shared" si="55"/>
        <v>2079615965.5</v>
      </c>
      <c r="HH26" s="383">
        <f t="shared" si="55"/>
        <v>1327027825.5</v>
      </c>
      <c r="HI26" s="383">
        <f t="shared" si="56"/>
        <v>752588140</v>
      </c>
      <c r="HK26" s="383">
        <f t="shared" si="57"/>
        <v>930000000</v>
      </c>
      <c r="HL26" s="383">
        <f t="shared" si="57"/>
        <v>930000000</v>
      </c>
      <c r="HM26" s="383">
        <f t="shared" si="58"/>
        <v>0</v>
      </c>
      <c r="HO26" s="383">
        <f t="shared" si="37"/>
        <v>500000</v>
      </c>
      <c r="HP26" s="383">
        <f t="shared" si="37"/>
        <v>500000</v>
      </c>
      <c r="HQ26" s="383">
        <f t="shared" si="59"/>
        <v>0</v>
      </c>
      <c r="HS26" s="383">
        <f t="shared" si="60"/>
        <v>89308300</v>
      </c>
      <c r="HT26" s="383">
        <f t="shared" si="60"/>
        <v>71354245</v>
      </c>
      <c r="HU26" s="383">
        <f t="shared" si="61"/>
        <v>17954055</v>
      </c>
      <c r="HW26" s="383">
        <f t="shared" si="62"/>
        <v>36700000</v>
      </c>
      <c r="HX26" s="383">
        <f t="shared" si="62"/>
        <v>8160000</v>
      </c>
      <c r="HY26" s="383">
        <f t="shared" si="63"/>
        <v>28540000</v>
      </c>
      <c r="IA26" s="387">
        <f t="shared" si="64"/>
        <v>20000000</v>
      </c>
      <c r="IB26" s="387">
        <f t="shared" si="64"/>
        <v>0</v>
      </c>
      <c r="IC26" s="387">
        <f t="shared" si="65"/>
        <v>20000000</v>
      </c>
      <c r="IE26" s="383">
        <f t="shared" si="66"/>
        <v>191776600</v>
      </c>
      <c r="IF26" s="383">
        <f t="shared" si="66"/>
        <v>50250000</v>
      </c>
      <c r="IG26" s="383">
        <f t="shared" si="67"/>
        <v>141526600</v>
      </c>
      <c r="II26" s="383">
        <f t="shared" si="68"/>
        <v>2000000</v>
      </c>
      <c r="IJ26" s="383">
        <f t="shared" si="68"/>
        <v>0</v>
      </c>
      <c r="IK26" s="383">
        <f t="shared" si="69"/>
        <v>2000000</v>
      </c>
    </row>
    <row r="27" spans="1:245" ht="19.5" customHeight="1" x14ac:dyDescent="0.25">
      <c r="A27" s="380">
        <v>24</v>
      </c>
      <c r="B27" s="380" t="s">
        <v>343</v>
      </c>
      <c r="C27" s="381" t="s">
        <v>76</v>
      </c>
      <c r="D27" s="382">
        <v>18318965.5</v>
      </c>
      <c r="E27" s="382">
        <f>'[1]COE DISB 2019'!D35</f>
        <v>18318965.5</v>
      </c>
      <c r="F27" s="383">
        <f t="shared" si="0"/>
        <v>0</v>
      </c>
      <c r="H27" s="382">
        <v>8000000</v>
      </c>
      <c r="I27" s="382">
        <f>'[1]COE DISB 2019'!E35</f>
        <v>8000000</v>
      </c>
      <c r="J27" s="383">
        <f t="shared" si="1"/>
        <v>0</v>
      </c>
      <c r="L27" s="382">
        <v>500000</v>
      </c>
      <c r="M27" s="382">
        <f>'[1]COE DISB 2019'!F35</f>
        <v>500000</v>
      </c>
      <c r="N27" s="383">
        <f t="shared" si="2"/>
        <v>0</v>
      </c>
      <c r="P27" s="353">
        <v>16000000</v>
      </c>
      <c r="Q27" s="382">
        <f>'[1]COE DISB 2019'!G35</f>
        <v>16000000</v>
      </c>
      <c r="R27" s="383">
        <f t="shared" si="3"/>
        <v>0</v>
      </c>
      <c r="T27" s="385">
        <v>1209000</v>
      </c>
      <c r="U27" s="382">
        <f>'[1]COE DISB 2019'!H35</f>
        <v>1209000</v>
      </c>
      <c r="V27" s="383">
        <f t="shared" si="4"/>
        <v>0</v>
      </c>
      <c r="X27" s="353">
        <v>0</v>
      </c>
      <c r="Y27" s="382">
        <f>'[1]COE DISB 2019'!I35</f>
        <v>0</v>
      </c>
      <c r="Z27" s="383">
        <f t="shared" si="5"/>
        <v>0</v>
      </c>
      <c r="AB27" s="385">
        <v>20000000</v>
      </c>
      <c r="AC27" s="382">
        <f>'[1]COE DISB 2019'!J35</f>
        <v>20000000</v>
      </c>
      <c r="AD27" s="383">
        <f t="shared" si="6"/>
        <v>0</v>
      </c>
      <c r="AF27" s="353">
        <v>0</v>
      </c>
      <c r="AG27" s="382">
        <f>'[1]COE DISB 2019'!K35</f>
        <v>0</v>
      </c>
      <c r="AH27" s="383">
        <f t="shared" si="7"/>
        <v>0</v>
      </c>
      <c r="AJ27" s="385">
        <v>10000000</v>
      </c>
      <c r="AK27" s="382">
        <f>'[1]COE DISB 2019'!L35</f>
        <v>10000000</v>
      </c>
      <c r="AL27" s="383">
        <f t="shared" si="8"/>
        <v>0</v>
      </c>
      <c r="AN27" s="382">
        <v>10000000</v>
      </c>
      <c r="AO27" s="382">
        <f>'[1]COE DISB 2019'!M35</f>
        <v>10000000</v>
      </c>
      <c r="AP27" s="383">
        <f t="shared" si="9"/>
        <v>0</v>
      </c>
      <c r="AR27" s="382">
        <v>15000000</v>
      </c>
      <c r="AS27" s="382">
        <f>'[1]COE DISB 2019'!N35</f>
        <v>15000000</v>
      </c>
      <c r="AT27" s="383">
        <f t="shared" si="10"/>
        <v>0</v>
      </c>
      <c r="AV27" s="382">
        <v>0</v>
      </c>
      <c r="AW27" s="385">
        <f>'[1]COE DISB 2019'!O35</f>
        <v>0</v>
      </c>
      <c r="AX27" s="382">
        <f t="shared" si="11"/>
        <v>0</v>
      </c>
      <c r="AZ27" s="382">
        <v>18000000</v>
      </c>
      <c r="BA27" s="382">
        <f>'[1]COE DISB 2019'!P35</f>
        <v>18000000</v>
      </c>
      <c r="BB27" s="382">
        <f t="shared" si="12"/>
        <v>0</v>
      </c>
      <c r="BD27" s="382">
        <v>23400000</v>
      </c>
      <c r="BE27" s="382">
        <f>'[1]COE DISB 2019'!Q35</f>
        <v>23400000</v>
      </c>
      <c r="BF27" s="382">
        <f t="shared" si="13"/>
        <v>0</v>
      </c>
      <c r="BH27" s="382">
        <v>0</v>
      </c>
      <c r="BI27" s="382">
        <f>'[1]COE DISB 2019'!R35</f>
        <v>0</v>
      </c>
      <c r="BJ27" s="382">
        <f t="shared" si="14"/>
        <v>0</v>
      </c>
      <c r="BL27" s="382">
        <v>43000000</v>
      </c>
      <c r="BM27" s="382">
        <f>'[1]COE DISB 2019'!S35</f>
        <v>43000000</v>
      </c>
      <c r="BN27" s="382">
        <f t="shared" si="15"/>
        <v>0</v>
      </c>
      <c r="BP27" s="382">
        <v>37160000</v>
      </c>
      <c r="BQ27" s="382">
        <f>'[1]COE DISB 2019'!T35</f>
        <v>37160000</v>
      </c>
      <c r="BR27" s="382">
        <f t="shared" si="16"/>
        <v>0</v>
      </c>
      <c r="BT27" s="382">
        <v>0</v>
      </c>
      <c r="BU27" s="382">
        <f>'[1]COE DISB 2019'!U35</f>
        <v>0</v>
      </c>
      <c r="BV27" s="382">
        <f t="shared" si="17"/>
        <v>0</v>
      </c>
      <c r="BX27" s="382">
        <v>112670000</v>
      </c>
      <c r="BY27" s="382">
        <f>'[1]COE DISB 2019'!V35</f>
        <v>112670000</v>
      </c>
      <c r="BZ27" s="382">
        <f t="shared" si="18"/>
        <v>0</v>
      </c>
      <c r="CB27" s="382">
        <f>'[1]COE commited funds to date'!W30</f>
        <v>51000000</v>
      </c>
      <c r="CC27" s="382">
        <f>'[1]COE DISB 2019'!W35</f>
        <v>51000000</v>
      </c>
      <c r="CD27" s="382">
        <f t="shared" si="19"/>
        <v>0</v>
      </c>
      <c r="CF27" s="382">
        <f>'[1]COE commited funds to date'!X30</f>
        <v>125000000</v>
      </c>
      <c r="CG27" s="382">
        <f>'[1]COE DISB 2019'!X35</f>
        <v>125000000</v>
      </c>
      <c r="CH27" s="382">
        <f t="shared" si="20"/>
        <v>0</v>
      </c>
      <c r="CJ27" s="382">
        <v>10000000</v>
      </c>
      <c r="CK27" s="382">
        <f>'[1]COE DISB 2019'!Y35</f>
        <v>10000000</v>
      </c>
      <c r="CL27" s="382">
        <f t="shared" si="21"/>
        <v>0</v>
      </c>
      <c r="CN27" s="382">
        <v>0</v>
      </c>
      <c r="CO27" s="382">
        <f>'[1]COE DISB 2019'!Z35</f>
        <v>0</v>
      </c>
      <c r="CP27" s="382">
        <f t="shared" si="22"/>
        <v>0</v>
      </c>
      <c r="CR27" s="382">
        <v>210000000</v>
      </c>
      <c r="CS27" s="382">
        <f>'[1]COE DISB 2019'!AA35</f>
        <v>210000000</v>
      </c>
      <c r="CT27" s="382">
        <f t="shared" si="23"/>
        <v>0</v>
      </c>
      <c r="CV27" s="382">
        <v>10000000</v>
      </c>
      <c r="CW27" s="382">
        <f>'[1]COE DISB 2019'!AB35</f>
        <v>10000000</v>
      </c>
      <c r="CX27" s="382">
        <f t="shared" si="24"/>
        <v>0</v>
      </c>
      <c r="CZ27" s="382">
        <f>'[1]COE commited funds to date'!AC30</f>
        <v>0</v>
      </c>
      <c r="DA27" s="382">
        <f>'[1]COE DISB 2019'!AC35</f>
        <v>0</v>
      </c>
      <c r="DB27" s="382">
        <f t="shared" si="25"/>
        <v>0</v>
      </c>
      <c r="DC27" s="386"/>
      <c r="DD27" s="382">
        <v>215000000</v>
      </c>
      <c r="DE27" s="382">
        <f>'[1]COE DISB 2019'!AD35</f>
        <v>215000000</v>
      </c>
      <c r="DF27" s="382">
        <f t="shared" si="26"/>
        <v>0</v>
      </c>
      <c r="DG27" s="386"/>
      <c r="DH27" s="382">
        <v>10000000</v>
      </c>
      <c r="DI27" s="382">
        <f>'[1]COE DISB 2019'!AE35</f>
        <v>10000000</v>
      </c>
      <c r="DJ27" s="382">
        <f t="shared" si="27"/>
        <v>0</v>
      </c>
      <c r="DK27" s="386"/>
      <c r="DL27" s="382">
        <f>'[1]COE commited funds to date'!AD30</f>
        <v>0</v>
      </c>
      <c r="DM27" s="382">
        <f>'[1]COE DISB 2019'!AF35</f>
        <v>0</v>
      </c>
      <c r="DN27" s="382">
        <f t="shared" si="28"/>
        <v>0</v>
      </c>
      <c r="DO27" s="386"/>
      <c r="DP27" s="382">
        <v>325000000</v>
      </c>
      <c r="DQ27" s="382">
        <f>'[1]COE DISB 2019'!AG35</f>
        <v>325000000</v>
      </c>
      <c r="DR27" s="382">
        <f t="shared" si="29"/>
        <v>0</v>
      </c>
      <c r="DS27" s="386"/>
      <c r="DT27" s="353">
        <v>10000000</v>
      </c>
      <c r="DU27" s="382">
        <f>'[1]COE DISB 2019'!AH35</f>
        <v>10000000</v>
      </c>
      <c r="DV27" s="382">
        <f t="shared" si="30"/>
        <v>0</v>
      </c>
      <c r="DW27" s="386"/>
      <c r="DX27" s="382">
        <f>'[1]COE commited funds to date'!AI30</f>
        <v>100000000</v>
      </c>
      <c r="DY27" s="382">
        <f>'[1]COE DISB 2019'!AI35</f>
        <v>100000000</v>
      </c>
      <c r="DZ27" s="382">
        <f t="shared" si="31"/>
        <v>0</v>
      </c>
      <c r="EA27" s="386"/>
      <c r="EB27" s="382">
        <f>'[1]COE commited funds to date'!AJ30</f>
        <v>72000000</v>
      </c>
      <c r="EC27" s="382">
        <f>'[1]COE DISB 2019'!AJ35</f>
        <v>46800000</v>
      </c>
      <c r="ED27" s="382">
        <f t="shared" si="32"/>
        <v>25200000</v>
      </c>
      <c r="EE27" s="386"/>
      <c r="EF27" s="382">
        <f>'[1]COE commited funds to date'!AK30</f>
        <v>8000000</v>
      </c>
      <c r="EG27" s="382">
        <f>'[1]COE DISB 2019'!AK35</f>
        <v>6800000</v>
      </c>
      <c r="EH27" s="382">
        <f t="shared" si="33"/>
        <v>1200000</v>
      </c>
      <c r="EI27" s="386"/>
      <c r="EJ27" s="382">
        <f>'[1]COE commited funds to date'!AL30</f>
        <v>2000000</v>
      </c>
      <c r="EK27" s="382">
        <f>'[1]COE DISB 2019'!AL35</f>
        <v>0</v>
      </c>
      <c r="EL27" s="382">
        <f t="shared" si="34"/>
        <v>2000000</v>
      </c>
      <c r="EM27" s="386"/>
      <c r="EN27" s="382">
        <f>'[1]COE commited funds to date'!AM30</f>
        <v>7000000</v>
      </c>
      <c r="EO27" s="382">
        <f>'[1]COE DISB 2019'!AM35</f>
        <v>7000000</v>
      </c>
      <c r="EP27" s="382">
        <f t="shared" si="35"/>
        <v>0</v>
      </c>
      <c r="EQ27" s="386"/>
      <c r="ER27" s="382">
        <f>'[1]COE commited funds to date'!AN30</f>
        <v>150000000</v>
      </c>
      <c r="ES27" s="382">
        <f>'[1]COE DISB 2019'!AN35</f>
        <v>150000000</v>
      </c>
      <c r="ET27" s="382">
        <f t="shared" si="36"/>
        <v>0</v>
      </c>
      <c r="EV27" s="383">
        <f>'[1]COE commited funds to date'!AO30</f>
        <v>371067000</v>
      </c>
      <c r="EW27" s="383">
        <f>'[1]COE DISB 2019'!AO35</f>
        <v>241193550</v>
      </c>
      <c r="EX27" s="383">
        <f t="shared" si="38"/>
        <v>129873450</v>
      </c>
      <c r="EY27" s="380"/>
      <c r="EZ27" s="383">
        <f>'[1]COE commited funds to date'!AQ30</f>
        <v>12000000</v>
      </c>
      <c r="FA27" s="383">
        <f>'[1]COE DISB 2019'!AP35</f>
        <v>12000000</v>
      </c>
      <c r="FB27" s="383">
        <f t="shared" si="39"/>
        <v>0</v>
      </c>
      <c r="FC27" s="380"/>
      <c r="FD27" s="383">
        <f>'[1]COE commited funds to date'!AR30</f>
        <v>10000000</v>
      </c>
      <c r="FE27" s="383">
        <f>'[1]COE DISB 2019'!AQ35</f>
        <v>0</v>
      </c>
      <c r="FF27" s="383">
        <f t="shared" si="40"/>
        <v>10000000</v>
      </c>
      <c r="FG27" s="380"/>
      <c r="FH27" s="383">
        <f>'[1]COE commited funds to date'!AP30</f>
        <v>8000000</v>
      </c>
      <c r="FI27" s="383">
        <f>'[1]COE DISB 2019'!AR35</f>
        <v>6800000</v>
      </c>
      <c r="FJ27" s="383">
        <f t="shared" si="41"/>
        <v>1200000</v>
      </c>
      <c r="FK27" s="383">
        <f>'[1]COE commited funds to date'!AS30</f>
        <v>0</v>
      </c>
      <c r="FL27" s="383">
        <f>'[1]COE DISB 2019'!AS35</f>
        <v>0</v>
      </c>
      <c r="FM27" s="383">
        <f t="shared" si="42"/>
        <v>0</v>
      </c>
      <c r="FN27" s="380"/>
      <c r="FO27" s="383">
        <f>'[1]COE commited funds to date'!AT30</f>
        <v>200000000</v>
      </c>
      <c r="FP27" s="383">
        <f>'[1]COE DISB 2019'!AT35</f>
        <v>0</v>
      </c>
      <c r="FQ27" s="383">
        <f t="shared" si="43"/>
        <v>200000000</v>
      </c>
      <c r="FR27" s="380"/>
      <c r="FS27" s="383">
        <f>'[1]COE commited funds to date'!AU30</f>
        <v>75000000</v>
      </c>
      <c r="FT27" s="383">
        <f>'[1]COE DISB 2019'!AU35</f>
        <v>0</v>
      </c>
      <c r="FU27" s="383">
        <f t="shared" si="44"/>
        <v>75000000</v>
      </c>
      <c r="FV27" s="380"/>
      <c r="FW27" s="383">
        <f>'[1]COE commited funds to date'!AV30</f>
        <v>8700000</v>
      </c>
      <c r="FX27" s="383">
        <f>'[1]COE DISB 2019'!AV35</f>
        <v>0</v>
      </c>
      <c r="FY27" s="383">
        <f t="shared" si="45"/>
        <v>8700000</v>
      </c>
      <c r="FZ27" s="380"/>
      <c r="GA27" s="383">
        <f>'[1]COE commited funds to date'!AW30</f>
        <v>5000000</v>
      </c>
      <c r="GB27" s="383">
        <f>'[1]COE DISB 2019'!AW35</f>
        <v>0</v>
      </c>
      <c r="GC27" s="383">
        <f t="shared" si="46"/>
        <v>5000000</v>
      </c>
      <c r="GD27" s="380"/>
      <c r="GE27" s="383">
        <f>'[1]COE commited funds to date'!AX30</f>
        <v>20000000</v>
      </c>
      <c r="GF27" s="383">
        <f>'[1]COE DISB 2019'!AX35</f>
        <v>20000000</v>
      </c>
      <c r="GG27" s="383">
        <f t="shared" si="47"/>
        <v>0</v>
      </c>
      <c r="GH27" s="380"/>
      <c r="GI27" s="383">
        <f>'[1]COE commited funds to date'!AY30</f>
        <v>230000000</v>
      </c>
      <c r="GJ27" s="383">
        <f>'[1]COE DISB 2019'!AY35</f>
        <v>0</v>
      </c>
      <c r="GK27" s="383">
        <f t="shared" si="48"/>
        <v>230000000</v>
      </c>
      <c r="GL27" s="380"/>
      <c r="GM27" s="383">
        <f>'[1]COE commited funds to date'!AZ30</f>
        <v>116776600</v>
      </c>
      <c r="GN27" s="383">
        <f>'[1]COE DISB 2019'!AZ35</f>
        <v>0</v>
      </c>
      <c r="GO27" s="383">
        <f t="shared" si="49"/>
        <v>116776600</v>
      </c>
      <c r="GP27" s="380"/>
      <c r="GQ27" s="383">
        <f>'[1]COE commited funds to date'!BA30</f>
        <v>12000000</v>
      </c>
      <c r="GR27" s="383">
        <f>'[1]COE DISB 2019'!BA35</f>
        <v>0</v>
      </c>
      <c r="GS27" s="383">
        <f t="shared" si="50"/>
        <v>12000000</v>
      </c>
      <c r="GT27" s="380"/>
      <c r="GU27" s="383">
        <f>'[1]COE commited funds to date'!BB30</f>
        <v>5000000</v>
      </c>
      <c r="GV27" s="383">
        <f>'[1]COE DISB 2019'!BB35</f>
        <v>0</v>
      </c>
      <c r="GW27" s="383">
        <f t="shared" si="51"/>
        <v>5000000</v>
      </c>
      <c r="GX27" s="380"/>
      <c r="GY27" s="383">
        <f>'[1]COE commited funds to date'!BC30</f>
        <v>10308300</v>
      </c>
      <c r="GZ27" s="383">
        <f>'[1]COE DISB 2019'!BC35</f>
        <v>7615920.9199999999</v>
      </c>
      <c r="HA27" s="383">
        <f t="shared" si="52"/>
        <v>2692379.08</v>
      </c>
      <c r="HB27" s="380"/>
      <c r="HC27" s="383">
        <f t="shared" si="53"/>
        <v>2722109865.5</v>
      </c>
      <c r="HD27" s="383">
        <f t="shared" si="53"/>
        <v>1897467436.4200001</v>
      </c>
      <c r="HE27" s="382">
        <f t="shared" si="54"/>
        <v>824642429.07999992</v>
      </c>
      <c r="HG27" s="383">
        <f t="shared" si="55"/>
        <v>2079615965.5</v>
      </c>
      <c r="HH27" s="383">
        <f t="shared" si="55"/>
        <v>1494542515.5</v>
      </c>
      <c r="HI27" s="383">
        <f t="shared" si="56"/>
        <v>585073450</v>
      </c>
      <c r="HK27" s="383">
        <f t="shared" si="57"/>
        <v>301000000</v>
      </c>
      <c r="HL27" s="383">
        <f t="shared" si="57"/>
        <v>301000000</v>
      </c>
      <c r="HM27" s="383">
        <f t="shared" si="58"/>
        <v>0</v>
      </c>
      <c r="HO27" s="383">
        <f t="shared" si="37"/>
        <v>1709000</v>
      </c>
      <c r="HP27" s="383">
        <f t="shared" si="37"/>
        <v>1709000</v>
      </c>
      <c r="HQ27" s="383">
        <f t="shared" si="59"/>
        <v>0</v>
      </c>
      <c r="HS27" s="383">
        <f t="shared" si="60"/>
        <v>89308300</v>
      </c>
      <c r="HT27" s="383">
        <f t="shared" si="60"/>
        <v>86615920.920000002</v>
      </c>
      <c r="HU27" s="383">
        <f t="shared" si="61"/>
        <v>2692379.0799999982</v>
      </c>
      <c r="HW27" s="383">
        <f t="shared" si="62"/>
        <v>36700000</v>
      </c>
      <c r="HX27" s="383">
        <f t="shared" si="62"/>
        <v>13600000</v>
      </c>
      <c r="HY27" s="383">
        <f t="shared" si="63"/>
        <v>23100000</v>
      </c>
      <c r="IA27" s="387">
        <f t="shared" si="64"/>
        <v>20000000</v>
      </c>
      <c r="IB27" s="387">
        <f t="shared" si="64"/>
        <v>0</v>
      </c>
      <c r="IC27" s="387">
        <f t="shared" si="65"/>
        <v>20000000</v>
      </c>
      <c r="IE27" s="383">
        <f t="shared" si="66"/>
        <v>191776600</v>
      </c>
      <c r="IF27" s="383">
        <f t="shared" si="66"/>
        <v>0</v>
      </c>
      <c r="IG27" s="383">
        <f t="shared" si="67"/>
        <v>191776600</v>
      </c>
      <c r="II27" s="383">
        <f t="shared" si="68"/>
        <v>2000000</v>
      </c>
      <c r="IJ27" s="383">
        <f t="shared" si="68"/>
        <v>0</v>
      </c>
      <c r="IK27" s="383">
        <f t="shared" si="69"/>
        <v>2000000</v>
      </c>
    </row>
    <row r="28" spans="1:245" ht="19.5" customHeight="1" x14ac:dyDescent="0.25">
      <c r="A28" s="380">
        <v>25</v>
      </c>
      <c r="B28" s="380" t="s">
        <v>344</v>
      </c>
      <c r="C28" s="391" t="s">
        <v>74</v>
      </c>
      <c r="D28" s="392">
        <v>18318965.5</v>
      </c>
      <c r="E28" s="392">
        <f>'[1]COE DISB 2019'!D36</f>
        <v>18318965.5</v>
      </c>
      <c r="F28" s="383">
        <f t="shared" si="0"/>
        <v>0</v>
      </c>
      <c r="H28" s="392">
        <v>8000000</v>
      </c>
      <c r="I28" s="392">
        <f>'[1]COE DISB 2019'!E36</f>
        <v>8000000</v>
      </c>
      <c r="J28" s="383">
        <f t="shared" si="1"/>
        <v>0</v>
      </c>
      <c r="L28" s="392">
        <v>500000</v>
      </c>
      <c r="M28" s="392">
        <f>'[1]COE DISB 2019'!F36</f>
        <v>500000</v>
      </c>
      <c r="N28" s="383">
        <f t="shared" si="2"/>
        <v>0</v>
      </c>
      <c r="P28" s="353">
        <v>16000000</v>
      </c>
      <c r="Q28" s="392">
        <f>'[1]COE DISB 2019'!G36</f>
        <v>16000000</v>
      </c>
      <c r="R28" s="383">
        <f t="shared" si="3"/>
        <v>0</v>
      </c>
      <c r="T28" s="385">
        <v>444000</v>
      </c>
      <c r="U28" s="392">
        <f>'[1]COE DISB 2019'!H36</f>
        <v>444000</v>
      </c>
      <c r="V28" s="383">
        <f t="shared" si="4"/>
        <v>0</v>
      </c>
      <c r="X28" s="353">
        <v>0</v>
      </c>
      <c r="Y28" s="392">
        <f>'[1]COE DISB 2019'!I36</f>
        <v>0</v>
      </c>
      <c r="Z28" s="383">
        <f t="shared" si="5"/>
        <v>0</v>
      </c>
      <c r="AB28" s="385">
        <v>20000000</v>
      </c>
      <c r="AC28" s="392">
        <f>'[1]COE DISB 2019'!J36</f>
        <v>20000000</v>
      </c>
      <c r="AD28" s="383">
        <f t="shared" si="6"/>
        <v>0</v>
      </c>
      <c r="AF28" s="353">
        <v>0</v>
      </c>
      <c r="AG28" s="392">
        <f>'[1]COE DISB 2019'!K36</f>
        <v>0</v>
      </c>
      <c r="AH28" s="383">
        <f t="shared" si="7"/>
        <v>0</v>
      </c>
      <c r="AJ28" s="385">
        <v>10000000</v>
      </c>
      <c r="AK28" s="392">
        <f>'[1]COE DISB 2019'!L36</f>
        <v>10000000</v>
      </c>
      <c r="AL28" s="383">
        <f t="shared" si="8"/>
        <v>0</v>
      </c>
      <c r="AN28" s="392">
        <v>10000000</v>
      </c>
      <c r="AO28" s="392">
        <f>'[1]COE DISB 2019'!M36</f>
        <v>10000000</v>
      </c>
      <c r="AP28" s="383">
        <f t="shared" si="9"/>
        <v>0</v>
      </c>
      <c r="AR28" s="392">
        <v>15000000</v>
      </c>
      <c r="AS28" s="392">
        <f>'[1]COE DISB 2019'!N36</f>
        <v>15000000</v>
      </c>
      <c r="AT28" s="383">
        <f t="shared" si="10"/>
        <v>0</v>
      </c>
      <c r="AV28" s="392">
        <v>5000000</v>
      </c>
      <c r="AW28" s="393">
        <f>'[1]COE DISB 2019'!O36</f>
        <v>5000000</v>
      </c>
      <c r="AX28" s="392">
        <f t="shared" si="11"/>
        <v>0</v>
      </c>
      <c r="AZ28" s="392">
        <v>18000000</v>
      </c>
      <c r="BA28" s="392">
        <f>'[1]COE DISB 2019'!P36</f>
        <v>18000000</v>
      </c>
      <c r="BB28" s="392">
        <f t="shared" si="12"/>
        <v>0</v>
      </c>
      <c r="BD28" s="392">
        <v>23400000</v>
      </c>
      <c r="BE28" s="392">
        <f>'[1]COE DISB 2019'!Q36</f>
        <v>23400000</v>
      </c>
      <c r="BF28" s="392">
        <f t="shared" si="13"/>
        <v>0</v>
      </c>
      <c r="BH28" s="392">
        <v>0</v>
      </c>
      <c r="BI28" s="392">
        <f>'[1]COE DISB 2019'!R36</f>
        <v>0</v>
      </c>
      <c r="BJ28" s="392">
        <f t="shared" si="14"/>
        <v>0</v>
      </c>
      <c r="BL28" s="392">
        <v>43000000</v>
      </c>
      <c r="BM28" s="392">
        <f>'[1]COE DISB 2019'!S36</f>
        <v>43000000</v>
      </c>
      <c r="BN28" s="392">
        <f t="shared" si="15"/>
        <v>0</v>
      </c>
      <c r="BP28" s="392">
        <v>37160000</v>
      </c>
      <c r="BQ28" s="392">
        <f>'[1]COE DISB 2019'!T36</f>
        <v>37160000</v>
      </c>
      <c r="BR28" s="392">
        <f t="shared" si="16"/>
        <v>0</v>
      </c>
      <c r="BT28" s="392">
        <v>250157701.53999999</v>
      </c>
      <c r="BU28" s="392">
        <f>'[1]COE DISB 2019'!U36</f>
        <v>250157701.53999999</v>
      </c>
      <c r="BV28" s="392">
        <f t="shared" si="17"/>
        <v>0</v>
      </c>
      <c r="BX28" s="392">
        <v>112670000</v>
      </c>
      <c r="BY28" s="392">
        <f>'[1]COE DISB 2019'!V36</f>
        <v>112670000</v>
      </c>
      <c r="BZ28" s="392">
        <f t="shared" si="18"/>
        <v>0</v>
      </c>
      <c r="CB28" s="392">
        <f>'[1]COE commited funds to date'!W31</f>
        <v>750000000</v>
      </c>
      <c r="CC28" s="392">
        <f>'[1]COE DISB 2019'!W36</f>
        <v>750000000</v>
      </c>
      <c r="CD28" s="392">
        <f t="shared" si="19"/>
        <v>0</v>
      </c>
      <c r="CF28" s="392">
        <f>'[1]COE commited funds to date'!X31</f>
        <v>125000000</v>
      </c>
      <c r="CG28" s="392">
        <f>'[1]COE DISB 2019'!X36</f>
        <v>125000000</v>
      </c>
      <c r="CH28" s="392">
        <f t="shared" si="20"/>
        <v>0</v>
      </c>
      <c r="CJ28" s="392">
        <v>10000000</v>
      </c>
      <c r="CK28" s="392">
        <f>'[1]COE DISB 2019'!Y36</f>
        <v>10000000</v>
      </c>
      <c r="CL28" s="392">
        <f t="shared" si="21"/>
        <v>0</v>
      </c>
      <c r="CN28" s="392">
        <v>120000000</v>
      </c>
      <c r="CO28" s="392">
        <f>'[1]COE DISB 2019'!Z36</f>
        <v>120000000</v>
      </c>
      <c r="CP28" s="392">
        <f t="shared" si="22"/>
        <v>0</v>
      </c>
      <c r="CR28" s="392">
        <v>210000000</v>
      </c>
      <c r="CS28" s="392">
        <f>'[1]COE DISB 2019'!AA36</f>
        <v>210000000</v>
      </c>
      <c r="CT28" s="392">
        <f t="shared" si="23"/>
        <v>0</v>
      </c>
      <c r="CV28" s="392">
        <v>10000000</v>
      </c>
      <c r="CW28" s="392">
        <f>'[1]COE DISB 2019'!AB36</f>
        <v>10000000</v>
      </c>
      <c r="CX28" s="392">
        <f t="shared" si="24"/>
        <v>0</v>
      </c>
      <c r="CZ28" s="392">
        <f>'[1]COE commited funds to date'!AC31</f>
        <v>117000000</v>
      </c>
      <c r="DA28" s="392">
        <f>'[1]COE DISB 2019'!AC36</f>
        <v>117000000</v>
      </c>
      <c r="DB28" s="392">
        <f t="shared" si="25"/>
        <v>0</v>
      </c>
      <c r="DC28" s="394"/>
      <c r="DD28" s="392">
        <v>215000000</v>
      </c>
      <c r="DE28" s="392">
        <f>'[1]COE DISB 2019'!AD36</f>
        <v>215000000</v>
      </c>
      <c r="DF28" s="392">
        <f t="shared" si="26"/>
        <v>0</v>
      </c>
      <c r="DG28" s="394"/>
      <c r="DH28" s="392">
        <v>10000000</v>
      </c>
      <c r="DI28" s="392">
        <f>'[1]COE DISB 2019'!AE36</f>
        <v>10000000</v>
      </c>
      <c r="DJ28" s="392">
        <f t="shared" si="27"/>
        <v>0</v>
      </c>
      <c r="DK28" s="394"/>
      <c r="DL28" s="392">
        <f>'[1]COE commited funds to date'!AD31</f>
        <v>341600000</v>
      </c>
      <c r="DM28" s="392">
        <f>'[1]COE DISB 2019'!AF36</f>
        <v>341600000</v>
      </c>
      <c r="DN28" s="392">
        <f t="shared" si="28"/>
        <v>0</v>
      </c>
      <c r="DO28" s="394"/>
      <c r="DP28" s="392">
        <v>325000000</v>
      </c>
      <c r="DQ28" s="392">
        <f>'[1]COE DISB 2019'!AG36</f>
        <v>324500000</v>
      </c>
      <c r="DR28" s="392">
        <f t="shared" si="29"/>
        <v>500000</v>
      </c>
      <c r="DS28" s="394"/>
      <c r="DT28" s="395">
        <v>10000000</v>
      </c>
      <c r="DU28" s="395">
        <f>'[1]COE DISB 2019'!AH36</f>
        <v>10000000</v>
      </c>
      <c r="DV28" s="395">
        <f t="shared" si="30"/>
        <v>0</v>
      </c>
      <c r="DW28" s="394"/>
      <c r="DX28" s="392">
        <f>'[1]COE commited funds to date'!AI31</f>
        <v>260000000</v>
      </c>
      <c r="DY28" s="392">
        <f>'[1]COE DISB 2019'!AI36</f>
        <v>260000000</v>
      </c>
      <c r="DZ28" s="392">
        <f t="shared" si="31"/>
        <v>0</v>
      </c>
      <c r="EA28" s="394"/>
      <c r="EB28" s="392">
        <f>'[1]COE commited funds to date'!AJ31</f>
        <v>72000000</v>
      </c>
      <c r="EC28" s="392">
        <f>'[1]COE DISB 2019'!AJ36</f>
        <v>72000000</v>
      </c>
      <c r="ED28" s="392">
        <f t="shared" si="32"/>
        <v>0</v>
      </c>
      <c r="EE28" s="394"/>
      <c r="EF28" s="392">
        <f>'[1]COE commited funds to date'!AK31</f>
        <v>8000000</v>
      </c>
      <c r="EG28" s="392">
        <f>'[1]COE DISB 2019'!AK36</f>
        <v>8000000</v>
      </c>
      <c r="EH28" s="392">
        <f t="shared" si="33"/>
        <v>0</v>
      </c>
      <c r="EI28" s="394"/>
      <c r="EJ28" s="392">
        <f>'[1]COE commited funds to date'!AL31</f>
        <v>2000000</v>
      </c>
      <c r="EK28" s="392">
        <f>'[1]COE DISB 2019'!AL36</f>
        <v>1700000</v>
      </c>
      <c r="EL28" s="392">
        <f t="shared" si="34"/>
        <v>300000</v>
      </c>
      <c r="EM28" s="394"/>
      <c r="EN28" s="396">
        <f>'[1]COE commited funds to date'!AM31</f>
        <v>7000000</v>
      </c>
      <c r="EO28" s="396">
        <f>'[1]COE DISB 2019'!AM36</f>
        <v>7000000</v>
      </c>
      <c r="EP28" s="396">
        <f t="shared" si="35"/>
        <v>0</v>
      </c>
      <c r="EQ28" s="394"/>
      <c r="ER28" s="392">
        <f>'[1]COE commited funds to date'!AN31</f>
        <v>3000000000</v>
      </c>
      <c r="ES28" s="392">
        <f>'[1]COE DISB 2019'!AN36</f>
        <v>3000000000</v>
      </c>
      <c r="ET28" s="392">
        <f t="shared" si="36"/>
        <v>0</v>
      </c>
      <c r="EV28" s="383">
        <f>'[1]COE commited funds to date'!AO31</f>
        <v>371067000</v>
      </c>
      <c r="EW28" s="383">
        <f>'[1]COE DISB 2019'!AO36</f>
        <v>371067000</v>
      </c>
      <c r="EX28" s="383">
        <f t="shared" si="38"/>
        <v>0</v>
      </c>
      <c r="EY28" s="380"/>
      <c r="EZ28" s="383">
        <f>'[1]COE commited funds to date'!AQ31</f>
        <v>12000000</v>
      </c>
      <c r="FA28" s="383">
        <f>'[1]COE DISB 2019'!AP36</f>
        <v>12000000</v>
      </c>
      <c r="FB28" s="383">
        <f t="shared" si="39"/>
        <v>0</v>
      </c>
      <c r="FC28" s="380"/>
      <c r="FD28" s="383">
        <f>'[1]COE commited funds to date'!AR31</f>
        <v>10000000</v>
      </c>
      <c r="FE28" s="383">
        <f>'[1]COE DISB 2019'!AQ36</f>
        <v>0</v>
      </c>
      <c r="FF28" s="383">
        <f t="shared" si="40"/>
        <v>10000000</v>
      </c>
      <c r="FG28" s="380"/>
      <c r="FH28" s="383">
        <f>'[1]COE commited funds to date'!AP31</f>
        <v>8000000</v>
      </c>
      <c r="FI28" s="383">
        <f>'[1]COE DISB 2019'!AR36</f>
        <v>8000000</v>
      </c>
      <c r="FJ28" s="383">
        <f t="shared" si="41"/>
        <v>0</v>
      </c>
      <c r="FK28" s="383">
        <f>'[1]COE commited funds to date'!AS31</f>
        <v>0</v>
      </c>
      <c r="FL28" s="383">
        <f>'[1]COE DISB 2019'!AS36</f>
        <v>0</v>
      </c>
      <c r="FM28" s="383">
        <f t="shared" si="42"/>
        <v>0</v>
      </c>
      <c r="FN28" s="380"/>
      <c r="FO28" s="383">
        <f>'[1]COE commited funds to date'!AT31</f>
        <v>200000000</v>
      </c>
      <c r="FP28" s="383">
        <f>'[1]COE DISB 2019'!AT36</f>
        <v>0</v>
      </c>
      <c r="FQ28" s="383">
        <f t="shared" si="43"/>
        <v>200000000</v>
      </c>
      <c r="FR28" s="380"/>
      <c r="FS28" s="383">
        <f>'[1]COE commited funds to date'!AU31</f>
        <v>75000000</v>
      </c>
      <c r="FT28" s="383">
        <f>'[1]COE DISB 2019'!AU36</f>
        <v>63750000</v>
      </c>
      <c r="FU28" s="383">
        <f t="shared" si="44"/>
        <v>11250000</v>
      </c>
      <c r="FV28" s="380"/>
      <c r="FW28" s="383">
        <f>'[1]COE commited funds to date'!AV31</f>
        <v>8700000</v>
      </c>
      <c r="FX28" s="383">
        <f>'[1]COE DISB 2019'!AV36</f>
        <v>0</v>
      </c>
      <c r="FY28" s="383">
        <f t="shared" si="45"/>
        <v>8700000</v>
      </c>
      <c r="FZ28" s="380"/>
      <c r="GA28" s="383">
        <f>'[1]COE commited funds to date'!AW31</f>
        <v>5000000</v>
      </c>
      <c r="GB28" s="383">
        <f>'[1]COE DISB 2019'!AW36</f>
        <v>0</v>
      </c>
      <c r="GC28" s="383">
        <f t="shared" si="46"/>
        <v>5000000</v>
      </c>
      <c r="GD28" s="380"/>
      <c r="GE28" s="383">
        <f>'[1]COE commited funds to date'!AX31</f>
        <v>20000000</v>
      </c>
      <c r="GF28" s="383">
        <f>'[1]COE DISB 2019'!AX36</f>
        <v>16980950</v>
      </c>
      <c r="GG28" s="383">
        <f t="shared" si="47"/>
        <v>3019050</v>
      </c>
      <c r="GH28" s="380"/>
      <c r="GI28" s="383">
        <f>'[1]COE commited funds to date'!AY31</f>
        <v>230000000</v>
      </c>
      <c r="GJ28" s="383">
        <f>'[1]COE DISB 2019'!AY36</f>
        <v>0</v>
      </c>
      <c r="GK28" s="383">
        <f t="shared" si="48"/>
        <v>230000000</v>
      </c>
      <c r="GL28" s="380"/>
      <c r="GM28" s="383">
        <f>'[1]COE commited funds to date'!AZ31</f>
        <v>116776600</v>
      </c>
      <c r="GN28" s="383">
        <f>'[1]COE DISB 2019'!AZ36</f>
        <v>0</v>
      </c>
      <c r="GO28" s="383">
        <f t="shared" si="49"/>
        <v>116776600</v>
      </c>
      <c r="GP28" s="380"/>
      <c r="GQ28" s="383">
        <f>'[1]COE commited funds to date'!BA31</f>
        <v>12000000</v>
      </c>
      <c r="GR28" s="383">
        <f>'[1]COE DISB 2019'!BA36</f>
        <v>0</v>
      </c>
      <c r="GS28" s="383">
        <f t="shared" si="50"/>
        <v>12000000</v>
      </c>
      <c r="GT28" s="380"/>
      <c r="GU28" s="383">
        <f>'[1]COE commited funds to date'!BB31</f>
        <v>5000000</v>
      </c>
      <c r="GV28" s="383">
        <f>'[1]COE DISB 2019'!BB36</f>
        <v>0</v>
      </c>
      <c r="GW28" s="383">
        <f t="shared" si="51"/>
        <v>5000000</v>
      </c>
      <c r="GX28" s="380"/>
      <c r="GY28" s="383">
        <f>'[1]COE commited funds to date'!BC31</f>
        <v>10308300</v>
      </c>
      <c r="GZ28" s="383">
        <f>'[1]COE DISB 2019'!BC36</f>
        <v>0</v>
      </c>
      <c r="HA28" s="383">
        <f t="shared" si="52"/>
        <v>10308300</v>
      </c>
      <c r="HB28" s="380"/>
      <c r="HC28" s="383">
        <f t="shared" si="53"/>
        <v>7264102567.04</v>
      </c>
      <c r="HD28" s="383">
        <f t="shared" si="53"/>
        <v>6651248617.04</v>
      </c>
      <c r="HE28" s="382">
        <f t="shared" si="54"/>
        <v>612853950</v>
      </c>
      <c r="HG28" s="383">
        <f t="shared" si="55"/>
        <v>2079615965.5</v>
      </c>
      <c r="HH28" s="383">
        <f t="shared" si="55"/>
        <v>1649115965.5</v>
      </c>
      <c r="HI28" s="383">
        <f t="shared" si="56"/>
        <v>430500000</v>
      </c>
      <c r="HK28" s="383">
        <f t="shared" si="57"/>
        <v>4838757701.54</v>
      </c>
      <c r="HL28" s="383">
        <f t="shared" si="57"/>
        <v>4838757701.54</v>
      </c>
      <c r="HM28" s="383">
        <f t="shared" si="58"/>
        <v>0</v>
      </c>
      <c r="HO28" s="383">
        <f t="shared" si="37"/>
        <v>944000</v>
      </c>
      <c r="HP28" s="383">
        <f t="shared" si="37"/>
        <v>944000</v>
      </c>
      <c r="HQ28" s="383">
        <f t="shared" si="59"/>
        <v>0</v>
      </c>
      <c r="HS28" s="383">
        <f t="shared" si="60"/>
        <v>89308300</v>
      </c>
      <c r="HT28" s="383">
        <f t="shared" si="60"/>
        <v>75980950</v>
      </c>
      <c r="HU28" s="383">
        <f t="shared" si="61"/>
        <v>13327350</v>
      </c>
      <c r="HW28" s="383">
        <f t="shared" si="62"/>
        <v>36700000</v>
      </c>
      <c r="HX28" s="383">
        <f t="shared" si="62"/>
        <v>16000000</v>
      </c>
      <c r="HY28" s="383">
        <f t="shared" si="63"/>
        <v>20700000</v>
      </c>
      <c r="IA28" s="387">
        <f t="shared" si="64"/>
        <v>20000000</v>
      </c>
      <c r="IB28" s="387">
        <f t="shared" si="64"/>
        <v>0</v>
      </c>
      <c r="IC28" s="387">
        <f t="shared" si="65"/>
        <v>20000000</v>
      </c>
      <c r="IE28" s="383">
        <f t="shared" si="66"/>
        <v>191776600</v>
      </c>
      <c r="IF28" s="383">
        <f t="shared" si="66"/>
        <v>63750000</v>
      </c>
      <c r="IG28" s="383">
        <f t="shared" si="67"/>
        <v>128026600</v>
      </c>
      <c r="II28" s="383">
        <f t="shared" si="68"/>
        <v>2000000</v>
      </c>
      <c r="IJ28" s="383">
        <f t="shared" si="68"/>
        <v>1700000</v>
      </c>
      <c r="IK28" s="383">
        <f t="shared" si="69"/>
        <v>300000</v>
      </c>
    </row>
    <row r="29" spans="1:245" ht="19.5" customHeight="1" x14ac:dyDescent="0.25">
      <c r="A29" s="380">
        <v>26</v>
      </c>
      <c r="B29" s="380" t="s">
        <v>345</v>
      </c>
      <c r="C29" s="381" t="s">
        <v>61</v>
      </c>
      <c r="D29" s="382">
        <v>18318965.5</v>
      </c>
      <c r="E29" s="382">
        <f>'[1]COE DISB 2019'!D37</f>
        <v>18318965.5</v>
      </c>
      <c r="F29" s="383">
        <f t="shared" si="0"/>
        <v>0</v>
      </c>
      <c r="H29" s="382">
        <v>8000000</v>
      </c>
      <c r="I29" s="382">
        <f>'[1]COE DISB 2019'!E37</f>
        <v>8000000</v>
      </c>
      <c r="J29" s="383">
        <f t="shared" si="1"/>
        <v>0</v>
      </c>
      <c r="L29" s="382">
        <v>500000</v>
      </c>
      <c r="M29" s="382">
        <f>'[1]COE DISB 2019'!F37</f>
        <v>500000</v>
      </c>
      <c r="N29" s="383">
        <f t="shared" si="2"/>
        <v>0</v>
      </c>
      <c r="P29" s="353">
        <v>16000000</v>
      </c>
      <c r="Q29" s="382">
        <f>'[1]COE DISB 2019'!G37</f>
        <v>16000000</v>
      </c>
      <c r="R29" s="383">
        <f t="shared" si="3"/>
        <v>0</v>
      </c>
      <c r="T29" s="385">
        <v>1178000</v>
      </c>
      <c r="U29" s="382">
        <f>'[1]COE DISB 2019'!H37</f>
        <v>1178000</v>
      </c>
      <c r="V29" s="383">
        <f t="shared" si="4"/>
        <v>0</v>
      </c>
      <c r="X29" s="385"/>
      <c r="Y29" s="382">
        <f>'[1]COE DISB 2019'!I37</f>
        <v>0</v>
      </c>
      <c r="Z29" s="383">
        <f t="shared" si="5"/>
        <v>0</v>
      </c>
      <c r="AB29" s="385">
        <v>20000000</v>
      </c>
      <c r="AC29" s="382">
        <f>'[1]COE DISB 2019'!J37</f>
        <v>20000000</v>
      </c>
      <c r="AD29" s="383">
        <f t="shared" si="6"/>
        <v>0</v>
      </c>
      <c r="AF29" s="353">
        <v>0</v>
      </c>
      <c r="AG29" s="382">
        <f>'[1]COE DISB 2019'!K37</f>
        <v>0</v>
      </c>
      <c r="AH29" s="383">
        <f t="shared" si="7"/>
        <v>0</v>
      </c>
      <c r="AJ29" s="385">
        <v>10000000</v>
      </c>
      <c r="AK29" s="382">
        <f>'[1]COE DISB 2019'!L37</f>
        <v>10000000</v>
      </c>
      <c r="AL29" s="383">
        <f t="shared" si="8"/>
        <v>0</v>
      </c>
      <c r="AN29" s="382">
        <v>10000000</v>
      </c>
      <c r="AO29" s="382">
        <f>'[1]COE DISB 2019'!M37</f>
        <v>10000000</v>
      </c>
      <c r="AP29" s="383">
        <f t="shared" si="9"/>
        <v>0</v>
      </c>
      <c r="AR29" s="382">
        <v>15000000</v>
      </c>
      <c r="AS29" s="382">
        <f>'[1]COE DISB 2019'!N37</f>
        <v>15000000</v>
      </c>
      <c r="AT29" s="383">
        <f t="shared" si="10"/>
        <v>0</v>
      </c>
      <c r="AV29" s="382">
        <v>5000000</v>
      </c>
      <c r="AW29" s="388">
        <f>'[1]COE DISB 2019'!O37</f>
        <v>5000000</v>
      </c>
      <c r="AX29" s="382">
        <f t="shared" si="11"/>
        <v>0</v>
      </c>
      <c r="AZ29" s="382">
        <v>18000000</v>
      </c>
      <c r="BA29" s="382">
        <f>'[1]COE DISB 2019'!P37</f>
        <v>18000000</v>
      </c>
      <c r="BB29" s="382">
        <f t="shared" si="12"/>
        <v>0</v>
      </c>
      <c r="BD29" s="382">
        <v>23400000</v>
      </c>
      <c r="BE29" s="382">
        <f>'[1]COE DISB 2019'!Q37</f>
        <v>23400000</v>
      </c>
      <c r="BF29" s="382">
        <f t="shared" si="13"/>
        <v>0</v>
      </c>
      <c r="BH29" s="382">
        <v>0</v>
      </c>
      <c r="BI29" s="382">
        <f>'[1]COE DISB 2019'!R37</f>
        <v>0</v>
      </c>
      <c r="BJ29" s="382">
        <f t="shared" si="14"/>
        <v>0</v>
      </c>
      <c r="BL29" s="382">
        <v>43000000</v>
      </c>
      <c r="BM29" s="382">
        <f>'[1]COE DISB 2019'!S37</f>
        <v>43000000</v>
      </c>
      <c r="BN29" s="382">
        <f t="shared" si="15"/>
        <v>0</v>
      </c>
      <c r="BP29" s="382">
        <v>37160000</v>
      </c>
      <c r="BQ29" s="382">
        <f>'[1]COE DISB 2019'!T37</f>
        <v>37160000</v>
      </c>
      <c r="BR29" s="382">
        <f t="shared" si="16"/>
        <v>0</v>
      </c>
      <c r="BT29" s="382">
        <v>0</v>
      </c>
      <c r="BU29" s="382">
        <f>'[1]COE DISB 2019'!U37</f>
        <v>0</v>
      </c>
      <c r="BV29" s="382">
        <f t="shared" si="17"/>
        <v>0</v>
      </c>
      <c r="BX29" s="382">
        <v>112670000</v>
      </c>
      <c r="BY29" s="382">
        <f>'[1]COE DISB 2019'!V37</f>
        <v>112670000</v>
      </c>
      <c r="BZ29" s="382">
        <f t="shared" si="18"/>
        <v>0</v>
      </c>
      <c r="CB29" s="382">
        <f>'[1]COE commited funds to date'!W32</f>
        <v>100000000</v>
      </c>
      <c r="CC29" s="382">
        <f>'[1]COE DISB 2019'!W37</f>
        <v>100000000</v>
      </c>
      <c r="CD29" s="382">
        <f t="shared" si="19"/>
        <v>0</v>
      </c>
      <c r="CF29" s="382">
        <f>'[1]COE commited funds to date'!X32</f>
        <v>0</v>
      </c>
      <c r="CG29" s="382">
        <f>'[1]COE DISB 2019'!X37</f>
        <v>0</v>
      </c>
      <c r="CH29" s="382">
        <f t="shared" si="20"/>
        <v>0</v>
      </c>
      <c r="CJ29" s="382">
        <v>0</v>
      </c>
      <c r="CK29" s="382">
        <f>'[1]COE DISB 2019'!Y37</f>
        <v>0</v>
      </c>
      <c r="CL29" s="382">
        <f t="shared" si="21"/>
        <v>0</v>
      </c>
      <c r="CN29" s="382">
        <v>250000000</v>
      </c>
      <c r="CO29" s="382">
        <f>'[1]COE DISB 2019'!Z37</f>
        <v>250000000</v>
      </c>
      <c r="CP29" s="382">
        <f t="shared" si="22"/>
        <v>0</v>
      </c>
      <c r="CR29" s="382">
        <v>210000000</v>
      </c>
      <c r="CS29" s="382">
        <f>'[1]COE DISB 2019'!AA37</f>
        <v>210000000</v>
      </c>
      <c r="CT29" s="382">
        <f t="shared" si="23"/>
        <v>0</v>
      </c>
      <c r="CV29" s="382">
        <v>10000000</v>
      </c>
      <c r="CW29" s="382">
        <f>'[1]COE DISB 2019'!AB37</f>
        <v>9805600</v>
      </c>
      <c r="CX29" s="382">
        <f t="shared" si="24"/>
        <v>194400</v>
      </c>
      <c r="CZ29" s="382">
        <f>'[1]COE commited funds to date'!AC32</f>
        <v>100000000</v>
      </c>
      <c r="DA29" s="382">
        <f>'[1]COE DISB 2019'!AC37</f>
        <v>100000000</v>
      </c>
      <c r="DB29" s="382">
        <f t="shared" si="25"/>
        <v>0</v>
      </c>
      <c r="DC29" s="386"/>
      <c r="DD29" s="382">
        <v>0</v>
      </c>
      <c r="DE29" s="382">
        <f>'[1]COE DISB 2019'!AG38</f>
        <v>0</v>
      </c>
      <c r="DF29" s="382">
        <f t="shared" si="26"/>
        <v>0</v>
      </c>
      <c r="DG29" s="386"/>
      <c r="DH29" s="397">
        <v>0</v>
      </c>
      <c r="DI29" s="397">
        <f>'[1]COE DISB 2019'!AE37</f>
        <v>0</v>
      </c>
      <c r="DJ29" s="397">
        <v>0</v>
      </c>
      <c r="DK29" s="386"/>
      <c r="DL29" s="382">
        <f>'[1]COE commited funds to date'!AD32</f>
        <v>150000000</v>
      </c>
      <c r="DM29" s="382">
        <f>'[1]COE DISB 2019'!AF37</f>
        <v>150000000</v>
      </c>
      <c r="DN29" s="382">
        <f t="shared" si="28"/>
        <v>0</v>
      </c>
      <c r="DO29" s="386"/>
      <c r="DP29" s="382">
        <v>325000000</v>
      </c>
      <c r="DQ29" s="382">
        <f>'[1]COE DISB 2019'!AG37</f>
        <v>325000000</v>
      </c>
      <c r="DR29" s="382">
        <f t="shared" si="29"/>
        <v>0</v>
      </c>
      <c r="DS29" s="386"/>
      <c r="DT29" s="353">
        <v>10000000</v>
      </c>
      <c r="DU29" s="382">
        <f>'[1]COE DISB 2019'!AH37</f>
        <v>10000000</v>
      </c>
      <c r="DV29" s="382">
        <f t="shared" si="30"/>
        <v>0</v>
      </c>
      <c r="DW29" s="386"/>
      <c r="DX29" s="382">
        <f>'[1]COE commited funds to date'!AI32</f>
        <v>200000000</v>
      </c>
      <c r="DY29" s="382">
        <f>'[1]COE DISB 2019'!AI37</f>
        <v>200000000</v>
      </c>
      <c r="DZ29" s="382">
        <f t="shared" si="31"/>
        <v>0</v>
      </c>
      <c r="EA29" s="386"/>
      <c r="EB29" s="382">
        <f>'[1]COE commited funds to date'!AJ32</f>
        <v>0</v>
      </c>
      <c r="EC29" s="382">
        <f>'[1]COE DISB 2019'!AJ37</f>
        <v>0</v>
      </c>
      <c r="ED29" s="382">
        <f t="shared" si="32"/>
        <v>0</v>
      </c>
      <c r="EE29" s="386"/>
      <c r="EF29" s="382">
        <f>'[1]COE commited funds to date'!AK32</f>
        <v>0</v>
      </c>
      <c r="EG29" s="382">
        <f>'[1]COE DISB 2019'!AK37</f>
        <v>0</v>
      </c>
      <c r="EH29" s="382">
        <f t="shared" si="33"/>
        <v>0</v>
      </c>
      <c r="EI29" s="386"/>
      <c r="EJ29" s="382">
        <f>'[1]COE commited funds to date'!AL32</f>
        <v>0</v>
      </c>
      <c r="EK29" s="382">
        <f>'[1]COE DISB 2019'!AL37</f>
        <v>0</v>
      </c>
      <c r="EL29" s="382">
        <f t="shared" si="34"/>
        <v>0</v>
      </c>
      <c r="EM29" s="386"/>
      <c r="EN29" s="382">
        <f>'[1]COE commited funds to date'!AM32</f>
        <v>0</v>
      </c>
      <c r="EO29" s="382">
        <f>'[1]COE DISB 2019'!AM37</f>
        <v>0</v>
      </c>
      <c r="EP29" s="382">
        <f t="shared" si="35"/>
        <v>0</v>
      </c>
      <c r="EQ29" s="386"/>
      <c r="ER29" s="382">
        <f>'[1]COE commited funds to date'!AN32</f>
        <v>1750000000</v>
      </c>
      <c r="ES29" s="382">
        <f>'[1]COE DISB 2019'!AN37</f>
        <v>1733500000</v>
      </c>
      <c r="ET29" s="382">
        <f t="shared" si="36"/>
        <v>16500000</v>
      </c>
      <c r="EV29" s="383">
        <f>'[1]COE commited funds to date'!AO32</f>
        <v>371067000</v>
      </c>
      <c r="EW29" s="383">
        <f>'[1]COE DISB 2019'!AO37</f>
        <v>218929530</v>
      </c>
      <c r="EX29" s="383">
        <f t="shared" si="38"/>
        <v>152137470</v>
      </c>
      <c r="EY29" s="380"/>
      <c r="EZ29" s="383">
        <f>'[1]COE commited funds to date'!AQ32</f>
        <v>12000000</v>
      </c>
      <c r="FA29" s="383">
        <f>'[1]COE DISB 2019'!AP37</f>
        <v>11876500</v>
      </c>
      <c r="FB29" s="383">
        <f t="shared" si="39"/>
        <v>123500</v>
      </c>
      <c r="FC29" s="380"/>
      <c r="FD29" s="383">
        <f>'[1]COE commited funds to date'!AR32</f>
        <v>10000000</v>
      </c>
      <c r="FE29" s="383">
        <f>'[1]COE DISB 2019'!AQ37</f>
        <v>0</v>
      </c>
      <c r="FF29" s="383">
        <f t="shared" si="40"/>
        <v>10000000</v>
      </c>
      <c r="FG29" s="380"/>
      <c r="FH29" s="383">
        <f>'[1]COE commited funds to date'!AP32</f>
        <v>8000000</v>
      </c>
      <c r="FI29" s="383">
        <f>'[1]COE DISB 2019'!AR37</f>
        <v>6800000</v>
      </c>
      <c r="FJ29" s="383">
        <f t="shared" si="41"/>
        <v>1200000</v>
      </c>
      <c r="FK29" s="383">
        <f>'[1]COE commited funds to date'!AS32</f>
        <v>0</v>
      </c>
      <c r="FL29" s="383">
        <f>'[1]COE DISB 2019'!AS37</f>
        <v>0</v>
      </c>
      <c r="FM29" s="383">
        <f t="shared" si="42"/>
        <v>0</v>
      </c>
      <c r="FN29" s="380"/>
      <c r="FO29" s="383">
        <f>'[1]COE commited funds to date'!AT32</f>
        <v>0</v>
      </c>
      <c r="FP29" s="383">
        <f>'[1]COE DISB 2019'!AT37</f>
        <v>0</v>
      </c>
      <c r="FQ29" s="383">
        <f t="shared" si="43"/>
        <v>0</v>
      </c>
      <c r="FR29" s="380"/>
      <c r="FS29" s="383">
        <f>'[1]COE commited funds to date'!AU32</f>
        <v>75000000</v>
      </c>
      <c r="FT29" s="383">
        <f>'[1]COE DISB 2019'!AU37</f>
        <v>56250000</v>
      </c>
      <c r="FU29" s="383">
        <f t="shared" si="44"/>
        <v>18750000</v>
      </c>
      <c r="FV29" s="380"/>
      <c r="FW29" s="383">
        <f>'[1]COE commited funds to date'!AV32</f>
        <v>0</v>
      </c>
      <c r="FX29" s="383">
        <f>'[1]COE DISB 2019'!AV37</f>
        <v>0</v>
      </c>
      <c r="FY29" s="383">
        <f t="shared" si="45"/>
        <v>0</v>
      </c>
      <c r="FZ29" s="380"/>
      <c r="GA29" s="383">
        <f>'[1]COE commited funds to date'!AW32</f>
        <v>0</v>
      </c>
      <c r="GB29" s="383">
        <f>'[1]COE DISB 2019'!AW37</f>
        <v>0</v>
      </c>
      <c r="GC29" s="383">
        <f t="shared" si="46"/>
        <v>0</v>
      </c>
      <c r="GD29" s="380"/>
      <c r="GE29" s="383">
        <f>'[1]COE commited funds to date'!AX32</f>
        <v>0</v>
      </c>
      <c r="GF29" s="383">
        <f>'[1]COE DISB 2019'!AX37</f>
        <v>0</v>
      </c>
      <c r="GG29" s="383">
        <f t="shared" si="47"/>
        <v>0</v>
      </c>
      <c r="GH29" s="380"/>
      <c r="GI29" s="383">
        <f>'[1]COE commited funds to date'!AY32</f>
        <v>230000000</v>
      </c>
      <c r="GJ29" s="383">
        <f>'[1]COE DISB 2019'!AY37</f>
        <v>0</v>
      </c>
      <c r="GK29" s="383">
        <f t="shared" si="48"/>
        <v>230000000</v>
      </c>
      <c r="GL29" s="380"/>
      <c r="GM29" s="383">
        <f>'[1]COE commited funds to date'!AZ32</f>
        <v>116776600</v>
      </c>
      <c r="GN29" s="383">
        <f>'[1]COE DISB 2019'!AZ37</f>
        <v>0</v>
      </c>
      <c r="GO29" s="383">
        <f t="shared" si="49"/>
        <v>116776600</v>
      </c>
      <c r="GP29" s="380"/>
      <c r="GQ29" s="383">
        <f>'[1]COE commited funds to date'!BA32</f>
        <v>12000000</v>
      </c>
      <c r="GR29" s="383">
        <f>'[1]COE DISB 2019'!BA37</f>
        <v>0</v>
      </c>
      <c r="GS29" s="383">
        <f t="shared" si="50"/>
        <v>12000000</v>
      </c>
      <c r="GT29" s="380"/>
      <c r="GU29" s="383">
        <f>'[1]COE commited funds to date'!BB32</f>
        <v>5000000</v>
      </c>
      <c r="GV29" s="383">
        <f>'[1]COE DISB 2019'!BB37</f>
        <v>0</v>
      </c>
      <c r="GW29" s="383">
        <f t="shared" si="51"/>
        <v>5000000</v>
      </c>
      <c r="GX29" s="380"/>
      <c r="GY29" s="383">
        <f>'[1]COE commited funds to date'!BC32</f>
        <v>10308300</v>
      </c>
      <c r="GZ29" s="383">
        <f>'[1]COE DISB 2019'!BC37</f>
        <v>0</v>
      </c>
      <c r="HA29" s="383">
        <f t="shared" si="52"/>
        <v>10308300</v>
      </c>
      <c r="HB29" s="380"/>
      <c r="HC29" s="383">
        <f t="shared" si="53"/>
        <v>4293378865.5</v>
      </c>
      <c r="HD29" s="383">
        <f t="shared" si="53"/>
        <v>3720388595.5</v>
      </c>
      <c r="HE29" s="382">
        <f t="shared" si="54"/>
        <v>572990270</v>
      </c>
      <c r="HG29" s="383">
        <f t="shared" si="55"/>
        <v>1467615965.5</v>
      </c>
      <c r="HH29" s="383">
        <f t="shared" si="55"/>
        <v>1085478495.5</v>
      </c>
      <c r="HI29" s="383">
        <f t="shared" si="56"/>
        <v>382137470</v>
      </c>
      <c r="HK29" s="383">
        <f t="shared" si="57"/>
        <v>2550000000</v>
      </c>
      <c r="HL29" s="383">
        <f t="shared" si="57"/>
        <v>2533500000</v>
      </c>
      <c r="HM29" s="383">
        <f t="shared" si="58"/>
        <v>16500000</v>
      </c>
      <c r="HO29" s="383">
        <f t="shared" si="37"/>
        <v>1678000</v>
      </c>
      <c r="HP29" s="383">
        <f t="shared" si="37"/>
        <v>1678000</v>
      </c>
      <c r="HQ29" s="383">
        <f t="shared" si="59"/>
        <v>0</v>
      </c>
      <c r="HS29" s="383">
        <f t="shared" si="60"/>
        <v>42308300</v>
      </c>
      <c r="HT29" s="383">
        <f t="shared" si="60"/>
        <v>31682100</v>
      </c>
      <c r="HU29" s="383">
        <f t="shared" si="61"/>
        <v>10626200</v>
      </c>
      <c r="HW29" s="383">
        <f t="shared" si="62"/>
        <v>20000000</v>
      </c>
      <c r="HX29" s="383">
        <f t="shared" si="62"/>
        <v>6800000</v>
      </c>
      <c r="HY29" s="383">
        <f t="shared" si="63"/>
        <v>13200000</v>
      </c>
      <c r="IA29" s="387">
        <f t="shared" si="64"/>
        <v>15000000</v>
      </c>
      <c r="IB29" s="387">
        <f t="shared" si="64"/>
        <v>0</v>
      </c>
      <c r="IC29" s="387">
        <f t="shared" si="65"/>
        <v>15000000</v>
      </c>
      <c r="IE29" s="383">
        <f t="shared" si="66"/>
        <v>191776600</v>
      </c>
      <c r="IF29" s="383">
        <f t="shared" si="66"/>
        <v>56250000</v>
      </c>
      <c r="IG29" s="383">
        <f t="shared" si="67"/>
        <v>135526600</v>
      </c>
      <c r="II29" s="383">
        <f t="shared" si="68"/>
        <v>0</v>
      </c>
      <c r="IJ29" s="383">
        <f t="shared" si="68"/>
        <v>0</v>
      </c>
      <c r="IK29" s="383">
        <f t="shared" si="69"/>
        <v>0</v>
      </c>
    </row>
    <row r="30" spans="1:245" ht="19.5" customHeight="1" x14ac:dyDescent="0.25">
      <c r="A30" s="380">
        <v>27</v>
      </c>
      <c r="B30" s="380" t="s">
        <v>346</v>
      </c>
      <c r="C30" s="42"/>
      <c r="D30" s="382">
        <v>18318965.5</v>
      </c>
      <c r="E30" s="382">
        <f>'[1]COE DISB 2019'!D38</f>
        <v>18318965.52</v>
      </c>
      <c r="F30" s="383">
        <f t="shared" si="0"/>
        <v>-1.9999999552965164E-2</v>
      </c>
      <c r="H30" s="382">
        <v>8000000</v>
      </c>
      <c r="I30" s="382">
        <f>'[1]COE DISB 2019'!E38</f>
        <v>8000000</v>
      </c>
      <c r="J30" s="383">
        <f t="shared" si="1"/>
        <v>0</v>
      </c>
      <c r="L30" s="382">
        <v>500000</v>
      </c>
      <c r="M30" s="382">
        <f>'[1]COE DISB 2019'!F38</f>
        <v>500000</v>
      </c>
      <c r="N30" s="383">
        <f t="shared" si="2"/>
        <v>0</v>
      </c>
      <c r="P30" s="353">
        <v>16000000</v>
      </c>
      <c r="Q30" s="382">
        <f>'[1]COE DISB 2019'!G38</f>
        <v>16000000</v>
      </c>
      <c r="R30" s="383">
        <f t="shared" si="3"/>
        <v>0</v>
      </c>
      <c r="T30" s="385">
        <v>476000</v>
      </c>
      <c r="U30" s="382">
        <f>'[1]COE DISB 2019'!H38</f>
        <v>476000</v>
      </c>
      <c r="V30" s="383">
        <f t="shared" si="4"/>
        <v>0</v>
      </c>
      <c r="X30" s="353">
        <v>0</v>
      </c>
      <c r="Y30" s="382">
        <f>'[1]COE DISB 2019'!I38</f>
        <v>0</v>
      </c>
      <c r="Z30" s="383">
        <f t="shared" si="5"/>
        <v>0</v>
      </c>
      <c r="AB30" s="385">
        <v>20000000</v>
      </c>
      <c r="AC30" s="382">
        <f>'[1]COE DISB 2019'!J38</f>
        <v>20000000</v>
      </c>
      <c r="AD30" s="383">
        <f t="shared" si="6"/>
        <v>0</v>
      </c>
      <c r="AF30" s="353">
        <v>0</v>
      </c>
      <c r="AG30" s="382">
        <f>'[1]COE DISB 2019'!K38</f>
        <v>0</v>
      </c>
      <c r="AH30" s="383">
        <f t="shared" si="7"/>
        <v>0</v>
      </c>
      <c r="AJ30" s="385">
        <v>10000000</v>
      </c>
      <c r="AK30" s="382">
        <f>'[1]COE DISB 2019'!L38</f>
        <v>10000000</v>
      </c>
      <c r="AL30" s="383">
        <f t="shared" si="8"/>
        <v>0</v>
      </c>
      <c r="AN30" s="382">
        <v>10000000</v>
      </c>
      <c r="AO30" s="382">
        <f>'[1]COE DISB 2019'!M38</f>
        <v>10000000</v>
      </c>
      <c r="AP30" s="383">
        <f t="shared" si="9"/>
        <v>0</v>
      </c>
      <c r="AR30" s="382">
        <v>15000000</v>
      </c>
      <c r="AS30" s="382">
        <f>'[1]COE DISB 2019'!N38</f>
        <v>15000000</v>
      </c>
      <c r="AT30" s="383">
        <f t="shared" si="10"/>
        <v>0</v>
      </c>
      <c r="AV30" s="382">
        <v>5000000</v>
      </c>
      <c r="AW30" s="388">
        <f>'[1]COE DISB 2019'!O38</f>
        <v>5000000</v>
      </c>
      <c r="AX30" s="382">
        <f t="shared" si="11"/>
        <v>0</v>
      </c>
      <c r="AZ30" s="382">
        <v>18000000</v>
      </c>
      <c r="BA30" s="382">
        <f>'[1]COE DISB 2019'!P38</f>
        <v>18000000</v>
      </c>
      <c r="BB30" s="382">
        <f t="shared" si="12"/>
        <v>0</v>
      </c>
      <c r="BD30" s="382">
        <v>23040000</v>
      </c>
      <c r="BE30" s="382">
        <f>'[1]COE DISB 2019'!Q38</f>
        <v>23040000</v>
      </c>
      <c r="BF30" s="382">
        <f t="shared" si="13"/>
        <v>0</v>
      </c>
      <c r="BH30" s="382">
        <v>0</v>
      </c>
      <c r="BI30" s="382">
        <f>'[1]COE DISB 2019'!R38</f>
        <v>0</v>
      </c>
      <c r="BJ30" s="382">
        <f t="shared" si="14"/>
        <v>0</v>
      </c>
      <c r="BL30" s="382">
        <v>43000000</v>
      </c>
      <c r="BM30" s="382">
        <f>'[1]COE DISB 2019'!S38</f>
        <v>43000000</v>
      </c>
      <c r="BN30" s="382">
        <f t="shared" si="15"/>
        <v>0</v>
      </c>
      <c r="BP30" s="382">
        <v>37160000</v>
      </c>
      <c r="BQ30" s="382">
        <f>'[1]COE DISB 2019'!T38</f>
        <v>37160000</v>
      </c>
      <c r="BR30" s="382">
        <f t="shared" si="16"/>
        <v>0</v>
      </c>
      <c r="BT30" s="382">
        <v>0</v>
      </c>
      <c r="BU30" s="382">
        <f>'[1]COE DISB 2019'!U38</f>
        <v>0</v>
      </c>
      <c r="BV30" s="382">
        <f t="shared" si="17"/>
        <v>0</v>
      </c>
      <c r="BX30" s="382">
        <v>0</v>
      </c>
      <c r="BY30" s="382">
        <f>'[1]COE DISB 2019'!V38</f>
        <v>0</v>
      </c>
      <c r="BZ30" s="382">
        <f t="shared" si="18"/>
        <v>0</v>
      </c>
      <c r="CB30" s="382">
        <f>'[1]COE commited funds to date'!W33</f>
        <v>207500000</v>
      </c>
      <c r="CC30" s="382">
        <f>'[1]COE DISB 2019'!W38</f>
        <v>207500000</v>
      </c>
      <c r="CD30" s="382">
        <f t="shared" si="19"/>
        <v>0</v>
      </c>
      <c r="CF30" s="382">
        <f>'[1]COE commited funds to date'!X33</f>
        <v>125000000</v>
      </c>
      <c r="CG30" s="382">
        <f>'[1]COE DISB 2019'!X38</f>
        <v>125000000</v>
      </c>
      <c r="CH30" s="382">
        <f t="shared" si="20"/>
        <v>0</v>
      </c>
      <c r="CJ30" s="382">
        <v>10000000</v>
      </c>
      <c r="CK30" s="382">
        <f>'[1]COE DISB 2019'!Y38</f>
        <v>10000000</v>
      </c>
      <c r="CL30" s="382">
        <f t="shared" si="21"/>
        <v>0</v>
      </c>
      <c r="CN30" s="382">
        <v>500000000</v>
      </c>
      <c r="CO30" s="382">
        <f>'[1]COE DISB 2019'!Z38</f>
        <v>500000000</v>
      </c>
      <c r="CP30" s="382">
        <f t="shared" si="22"/>
        <v>0</v>
      </c>
      <c r="CR30" s="382">
        <v>0</v>
      </c>
      <c r="CS30" s="382">
        <f>'[1]COE DISB 2019'!AA38</f>
        <v>0</v>
      </c>
      <c r="CT30" s="382">
        <f t="shared" si="23"/>
        <v>0</v>
      </c>
      <c r="CV30" s="382">
        <v>0</v>
      </c>
      <c r="CW30" s="382">
        <f>'[1]COE DISB 2019'!AB38</f>
        <v>0</v>
      </c>
      <c r="CX30" s="382">
        <f t="shared" si="24"/>
        <v>0</v>
      </c>
      <c r="CZ30" s="382">
        <f>'[1]COE commited funds to date'!AC33</f>
        <v>300000000</v>
      </c>
      <c r="DA30" s="382">
        <f>'[1]COE DISB 2019'!AC38</f>
        <v>300000000</v>
      </c>
      <c r="DB30" s="382">
        <f t="shared" si="25"/>
        <v>0</v>
      </c>
      <c r="DC30" s="386"/>
      <c r="DD30" s="382">
        <v>215000000</v>
      </c>
      <c r="DE30" s="382">
        <f>'[1]COE DISB 2019'!AD38</f>
        <v>215000000</v>
      </c>
      <c r="DF30" s="382">
        <f t="shared" si="26"/>
        <v>0</v>
      </c>
      <c r="DG30" s="386"/>
      <c r="DH30" s="382">
        <v>10000000</v>
      </c>
      <c r="DI30" s="382">
        <f>'[1]COE DISB 2019'!AE38</f>
        <v>10000000</v>
      </c>
      <c r="DJ30" s="382">
        <f>DH30-DI30</f>
        <v>0</v>
      </c>
      <c r="DK30" s="386"/>
      <c r="DL30" s="382">
        <f>'[1]COE commited funds to date'!AD33</f>
        <v>0</v>
      </c>
      <c r="DM30" s="382">
        <f>'[1]COE DISB 2019'!AF38</f>
        <v>0</v>
      </c>
      <c r="DN30" s="382">
        <f t="shared" si="28"/>
        <v>0</v>
      </c>
      <c r="DO30" s="386"/>
      <c r="DP30" s="382">
        <v>0</v>
      </c>
      <c r="DQ30" s="382">
        <f>'[1]COE DISB 2019'!AG38</f>
        <v>0</v>
      </c>
      <c r="DR30" s="382">
        <f t="shared" si="29"/>
        <v>0</v>
      </c>
      <c r="DS30" s="386"/>
      <c r="DT30" s="353">
        <v>0</v>
      </c>
      <c r="DU30" s="382">
        <f>'[1]COE DISB 2019'!AH38</f>
        <v>0</v>
      </c>
      <c r="DV30" s="382">
        <f t="shared" si="30"/>
        <v>0</v>
      </c>
      <c r="DW30" s="386"/>
      <c r="DX30" s="382">
        <f>'[1]COE commited funds to date'!AI33</f>
        <v>250000000</v>
      </c>
      <c r="DY30" s="382">
        <f>'[1]COE DISB 2019'!AI38</f>
        <v>250000000</v>
      </c>
      <c r="DZ30" s="382">
        <f t="shared" si="31"/>
        <v>0</v>
      </c>
      <c r="EA30" s="386"/>
      <c r="EB30" s="382">
        <f>'[1]COE commited funds to date'!AJ33</f>
        <v>72000000</v>
      </c>
      <c r="EC30" s="382">
        <f>'[1]COE DISB 2019'!AJ38</f>
        <v>61200000</v>
      </c>
      <c r="ED30" s="382">
        <f t="shared" si="32"/>
        <v>10800000</v>
      </c>
      <c r="EE30" s="386"/>
      <c r="EF30" s="382">
        <f>'[1]COE commited funds to date'!AK33</f>
        <v>8000000</v>
      </c>
      <c r="EG30" s="382">
        <f>'[1]COE DISB 2019'!AK38</f>
        <v>4080000</v>
      </c>
      <c r="EH30" s="382">
        <f t="shared" si="33"/>
        <v>3920000</v>
      </c>
      <c r="EI30" s="386"/>
      <c r="EJ30" s="382">
        <f>'[1]COE commited funds to date'!AL33</f>
        <v>2000000</v>
      </c>
      <c r="EK30" s="382">
        <f>'[1]COE DISB 2019'!AL38</f>
        <v>0</v>
      </c>
      <c r="EL30" s="382">
        <f t="shared" si="34"/>
        <v>2000000</v>
      </c>
      <c r="EM30" s="386"/>
      <c r="EN30" s="382">
        <f>'[1]COE commited funds to date'!AM33</f>
        <v>7000000</v>
      </c>
      <c r="EO30" s="382">
        <f>'[1]COE DISB 2019'!AM38</f>
        <v>7000000</v>
      </c>
      <c r="EP30" s="382">
        <f t="shared" si="35"/>
        <v>0</v>
      </c>
      <c r="EQ30" s="386"/>
      <c r="ER30" s="382">
        <f>'[1]COE commited funds to date'!AN33</f>
        <v>2550000000</v>
      </c>
      <c r="ES30" s="382">
        <f>'[1]COE DISB 2019'!AN38</f>
        <v>2550000000</v>
      </c>
      <c r="ET30" s="382">
        <f t="shared" si="36"/>
        <v>0</v>
      </c>
      <c r="EV30" s="383">
        <f>'[1]COE commited funds to date'!AO33</f>
        <v>0</v>
      </c>
      <c r="EW30" s="383">
        <f>'[1]COE DISB 2019'!AO38</f>
        <v>0</v>
      </c>
      <c r="EX30" s="383">
        <f t="shared" si="38"/>
        <v>0</v>
      </c>
      <c r="EY30" s="380"/>
      <c r="EZ30" s="383">
        <f>'[1]COE commited funds to date'!AQ33</f>
        <v>0</v>
      </c>
      <c r="FA30" s="383">
        <f>'[1]COE DISB 2019'!AP38</f>
        <v>0</v>
      </c>
      <c r="FB30" s="383">
        <f t="shared" si="39"/>
        <v>0</v>
      </c>
      <c r="FC30" s="380"/>
      <c r="FD30" s="383">
        <f>'[1]COE commited funds to date'!AR33</f>
        <v>0</v>
      </c>
      <c r="FE30" s="383">
        <f>'[1]COE DISB 2019'!AQ38</f>
        <v>0</v>
      </c>
      <c r="FF30" s="383">
        <f t="shared" si="40"/>
        <v>0</v>
      </c>
      <c r="FG30" s="380"/>
      <c r="FH30" s="383">
        <f>'[1]COE commited funds to date'!AP33</f>
        <v>0</v>
      </c>
      <c r="FI30" s="383">
        <f>'[1]COE DISB 2019'!AR38</f>
        <v>0</v>
      </c>
      <c r="FJ30" s="383">
        <f t="shared" si="41"/>
        <v>0</v>
      </c>
      <c r="FK30" s="383">
        <f>'[1]COE commited funds to date'!AS33</f>
        <v>150000000</v>
      </c>
      <c r="FL30" s="383">
        <f>'[1]COE DISB 2019'!AS38</f>
        <v>127500000</v>
      </c>
      <c r="FM30" s="383">
        <f t="shared" si="42"/>
        <v>22500000</v>
      </c>
      <c r="FN30" s="380"/>
      <c r="FO30" s="383">
        <f>'[1]COE commited funds to date'!AT33</f>
        <v>200000000</v>
      </c>
      <c r="FP30" s="383">
        <f>'[1]COE DISB 2019'!AT38</f>
        <v>0</v>
      </c>
      <c r="FQ30" s="383">
        <f t="shared" si="43"/>
        <v>200000000</v>
      </c>
      <c r="FR30" s="380"/>
      <c r="FS30" s="383">
        <f>'[1]COE commited funds to date'!AU33</f>
        <v>75000000</v>
      </c>
      <c r="FT30" s="383">
        <f>'[1]COE DISB 2019'!AU38</f>
        <v>51750000</v>
      </c>
      <c r="FU30" s="383">
        <f t="shared" si="44"/>
        <v>23250000</v>
      </c>
      <c r="FV30" s="380"/>
      <c r="FW30" s="383">
        <f>'[1]COE commited funds to date'!AV33</f>
        <v>8700000</v>
      </c>
      <c r="FX30" s="383">
        <f>'[1]COE DISB 2019'!AV38</f>
        <v>0</v>
      </c>
      <c r="FY30" s="383">
        <f t="shared" si="45"/>
        <v>8700000</v>
      </c>
      <c r="FZ30" s="380"/>
      <c r="GA30" s="383">
        <f>'[1]COE commited funds to date'!AW33</f>
        <v>5000000</v>
      </c>
      <c r="GB30" s="383">
        <f>'[1]COE DISB 2019'!AW38</f>
        <v>0</v>
      </c>
      <c r="GC30" s="383">
        <f t="shared" si="46"/>
        <v>5000000</v>
      </c>
      <c r="GD30" s="380"/>
      <c r="GE30" s="383">
        <f>'[1]COE commited funds to date'!AX33</f>
        <v>20000000</v>
      </c>
      <c r="GF30" s="383">
        <f>'[1]COE DISB 2019'!AX38</f>
        <v>11562100</v>
      </c>
      <c r="GG30" s="383">
        <f t="shared" si="47"/>
        <v>8437900</v>
      </c>
      <c r="GH30" s="380"/>
      <c r="GI30" s="383">
        <f>'[1]COE commited funds to date'!AY33</f>
        <v>0</v>
      </c>
      <c r="GJ30" s="383">
        <f>'[1]COE DISB 2019'!AY38</f>
        <v>0</v>
      </c>
      <c r="GK30" s="383">
        <f t="shared" si="48"/>
        <v>0</v>
      </c>
      <c r="GL30" s="380"/>
      <c r="GM30" s="383">
        <f>'[1]COE commited funds to date'!AZ33</f>
        <v>116776600</v>
      </c>
      <c r="GN30" s="383">
        <f>'[1]COE DISB 2019'!AZ38</f>
        <v>0</v>
      </c>
      <c r="GO30" s="383">
        <f t="shared" si="49"/>
        <v>116776600</v>
      </c>
      <c r="GP30" s="380"/>
      <c r="GQ30" s="383">
        <f>'[1]COE commited funds to date'!BA33</f>
        <v>0</v>
      </c>
      <c r="GR30" s="383">
        <f>'[1]COE DISB 2019'!BA38</f>
        <v>0</v>
      </c>
      <c r="GS30" s="383">
        <f t="shared" si="50"/>
        <v>0</v>
      </c>
      <c r="GT30" s="380"/>
      <c r="GU30" s="383">
        <f>'[1]COE commited funds to date'!BB33</f>
        <v>0</v>
      </c>
      <c r="GV30" s="383">
        <f>'[1]COE DISB 2019'!BB38</f>
        <v>0</v>
      </c>
      <c r="GW30" s="383">
        <f t="shared" si="51"/>
        <v>0</v>
      </c>
      <c r="GX30" s="380"/>
      <c r="GY30" s="383">
        <f>'[1]COE commited funds to date'!BC33</f>
        <v>0</v>
      </c>
      <c r="GZ30" s="383">
        <f>'[1]COE DISB 2019'!BC38</f>
        <v>0</v>
      </c>
      <c r="HA30" s="383">
        <f t="shared" si="52"/>
        <v>0</v>
      </c>
      <c r="HB30" s="380"/>
      <c r="HC30" s="383">
        <f t="shared" si="53"/>
        <v>5056471565.5</v>
      </c>
      <c r="HD30" s="383">
        <f t="shared" si="53"/>
        <v>4655087065.5200005</v>
      </c>
      <c r="HE30" s="382">
        <f t="shared" si="54"/>
        <v>401384499.97999954</v>
      </c>
      <c r="HG30" s="383">
        <f t="shared" si="55"/>
        <v>830518965.5</v>
      </c>
      <c r="HH30" s="383">
        <f t="shared" si="55"/>
        <v>619718965.51999998</v>
      </c>
      <c r="HI30" s="383">
        <f t="shared" si="56"/>
        <v>210799999.98000002</v>
      </c>
      <c r="HK30" s="383">
        <f t="shared" si="57"/>
        <v>3807500000</v>
      </c>
      <c r="HL30" s="383">
        <f t="shared" si="57"/>
        <v>3807500000</v>
      </c>
      <c r="HM30" s="383">
        <f t="shared" si="58"/>
        <v>0</v>
      </c>
      <c r="HO30" s="383">
        <f t="shared" si="37"/>
        <v>976000</v>
      </c>
      <c r="HP30" s="383">
        <f t="shared" si="37"/>
        <v>976000</v>
      </c>
      <c r="HQ30" s="383">
        <f t="shared" si="59"/>
        <v>0</v>
      </c>
      <c r="HS30" s="383">
        <f t="shared" si="60"/>
        <v>47000000</v>
      </c>
      <c r="HT30" s="383">
        <f t="shared" si="60"/>
        <v>38562100</v>
      </c>
      <c r="HU30" s="383">
        <f t="shared" si="61"/>
        <v>8437900</v>
      </c>
      <c r="HW30" s="383">
        <f t="shared" si="62"/>
        <v>16700000</v>
      </c>
      <c r="HX30" s="383">
        <f t="shared" si="62"/>
        <v>4080000</v>
      </c>
      <c r="HY30" s="383">
        <f t="shared" si="63"/>
        <v>12620000</v>
      </c>
      <c r="IA30" s="387">
        <f t="shared" si="64"/>
        <v>5000000</v>
      </c>
      <c r="IB30" s="387">
        <f t="shared" si="64"/>
        <v>0</v>
      </c>
      <c r="IC30" s="387">
        <f t="shared" si="65"/>
        <v>5000000</v>
      </c>
      <c r="IE30" s="383">
        <f t="shared" si="66"/>
        <v>341776600</v>
      </c>
      <c r="IF30" s="383">
        <f t="shared" si="66"/>
        <v>179250000</v>
      </c>
      <c r="IG30" s="383">
        <f t="shared" si="67"/>
        <v>162526600</v>
      </c>
      <c r="II30" s="383">
        <f t="shared" si="68"/>
        <v>2000000</v>
      </c>
      <c r="IJ30" s="383">
        <f t="shared" si="68"/>
        <v>0</v>
      </c>
      <c r="IK30" s="383">
        <f t="shared" si="69"/>
        <v>2000000</v>
      </c>
    </row>
    <row r="31" spans="1:245" ht="19.5" customHeight="1" x14ac:dyDescent="0.25">
      <c r="A31" s="380">
        <v>28</v>
      </c>
      <c r="B31" s="380" t="s">
        <v>347</v>
      </c>
      <c r="C31" s="398"/>
      <c r="D31" s="382">
        <v>18318965.5</v>
      </c>
      <c r="E31" s="382">
        <f>'[1]COE DISB 2019'!D39</f>
        <v>18318965.5</v>
      </c>
      <c r="F31" s="383">
        <f t="shared" si="0"/>
        <v>0</v>
      </c>
      <c r="H31" s="382">
        <v>8000000</v>
      </c>
      <c r="I31" s="382">
        <f>'[1]COE DISB 2019'!E39</f>
        <v>8000000</v>
      </c>
      <c r="J31" s="383">
        <f t="shared" si="1"/>
        <v>0</v>
      </c>
      <c r="L31" s="382">
        <v>500000</v>
      </c>
      <c r="M31" s="382">
        <f>'[1]COE DISB 2019'!F39</f>
        <v>500000</v>
      </c>
      <c r="N31" s="383">
        <f t="shared" si="2"/>
        <v>0</v>
      </c>
      <c r="P31" s="353">
        <v>16000000</v>
      </c>
      <c r="Q31" s="382">
        <f>'[1]COE DISB 2019'!G39</f>
        <v>16000000</v>
      </c>
      <c r="R31" s="383">
        <f t="shared" si="3"/>
        <v>0</v>
      </c>
      <c r="T31" s="385">
        <v>292000</v>
      </c>
      <c r="U31" s="382">
        <f>'[1]COE DISB 2019'!H39</f>
        <v>292000</v>
      </c>
      <c r="V31" s="383">
        <f t="shared" si="4"/>
        <v>0</v>
      </c>
      <c r="X31" s="353">
        <v>0</v>
      </c>
      <c r="Y31" s="382">
        <f>'[1]COE DISB 2019'!I39</f>
        <v>0</v>
      </c>
      <c r="Z31" s="383">
        <f t="shared" si="5"/>
        <v>0</v>
      </c>
      <c r="AB31" s="385">
        <v>20000000</v>
      </c>
      <c r="AC31" s="382">
        <f>'[1]COE DISB 2019'!J39</f>
        <v>20000000</v>
      </c>
      <c r="AD31" s="383">
        <f t="shared" si="6"/>
        <v>0</v>
      </c>
      <c r="AF31" s="353">
        <v>0</v>
      </c>
      <c r="AG31" s="382">
        <f>'[1]COE DISB 2019'!K39</f>
        <v>0</v>
      </c>
      <c r="AH31" s="383">
        <f t="shared" si="7"/>
        <v>0</v>
      </c>
      <c r="AJ31" s="385">
        <v>10000000</v>
      </c>
      <c r="AK31" s="382">
        <f>'[1]COE DISB 2019'!L39</f>
        <v>10000000</v>
      </c>
      <c r="AL31" s="383">
        <f t="shared" si="8"/>
        <v>0</v>
      </c>
      <c r="AN31" s="382">
        <v>10000000</v>
      </c>
      <c r="AO31" s="382">
        <f>'[1]COE DISB 2019'!M39</f>
        <v>10000000</v>
      </c>
      <c r="AP31" s="383">
        <f t="shared" si="9"/>
        <v>0</v>
      </c>
      <c r="AR31" s="382">
        <v>15000000</v>
      </c>
      <c r="AS31" s="382">
        <f>'[1]COE DISB 2019'!N39</f>
        <v>15000000</v>
      </c>
      <c r="AT31" s="383">
        <f t="shared" si="10"/>
        <v>0</v>
      </c>
      <c r="AV31" s="382">
        <v>5000000</v>
      </c>
      <c r="AW31" s="388">
        <f>'[1]COE DISB 2019'!O39</f>
        <v>5000000</v>
      </c>
      <c r="AX31" s="382">
        <f t="shared" si="11"/>
        <v>0</v>
      </c>
      <c r="AZ31" s="382">
        <v>18000000</v>
      </c>
      <c r="BA31" s="382">
        <f>'[1]COE DISB 2019'!P39</f>
        <v>18000000</v>
      </c>
      <c r="BB31" s="382">
        <f t="shared" si="12"/>
        <v>0</v>
      </c>
      <c r="BD31" s="382">
        <v>23400000</v>
      </c>
      <c r="BE31" s="382">
        <f>'[1]COE DISB 2019'!Q39</f>
        <v>23400000</v>
      </c>
      <c r="BF31" s="382">
        <f t="shared" si="13"/>
        <v>0</v>
      </c>
      <c r="BH31" s="382">
        <v>0</v>
      </c>
      <c r="BI31" s="382">
        <f>'[1]COE DISB 2019'!R39</f>
        <v>0</v>
      </c>
      <c r="BJ31" s="382">
        <f t="shared" si="14"/>
        <v>0</v>
      </c>
      <c r="BL31" s="382">
        <v>43000000</v>
      </c>
      <c r="BM31" s="382">
        <f>'[1]COE DISB 2019'!S39</f>
        <v>43000000</v>
      </c>
      <c r="BN31" s="382">
        <f t="shared" si="15"/>
        <v>0</v>
      </c>
      <c r="BP31" s="382">
        <v>37160000</v>
      </c>
      <c r="BQ31" s="382">
        <f>'[1]COE DISB 2019'!T39</f>
        <v>37160000</v>
      </c>
      <c r="BR31" s="382">
        <f t="shared" si="16"/>
        <v>0</v>
      </c>
      <c r="BT31" s="382">
        <v>0</v>
      </c>
      <c r="BU31" s="382">
        <f>'[1]COE DISB 2019'!U39</f>
        <v>0</v>
      </c>
      <c r="BV31" s="382">
        <f t="shared" si="17"/>
        <v>0</v>
      </c>
      <c r="BX31" s="382">
        <v>95769500</v>
      </c>
      <c r="BY31" s="382">
        <f>'[1]COE DISB 2019'!V39</f>
        <v>95769500</v>
      </c>
      <c r="BZ31" s="382">
        <f t="shared" si="18"/>
        <v>0</v>
      </c>
      <c r="CB31" s="382">
        <f>'[1]COE commited funds to date'!W34</f>
        <v>100000000</v>
      </c>
      <c r="CC31" s="382">
        <f>'[1]COE DISB 2019'!W39</f>
        <v>100000000</v>
      </c>
      <c r="CD31" s="382">
        <f t="shared" si="19"/>
        <v>0</v>
      </c>
      <c r="CF31" s="382">
        <f>'[1]COE commited funds to date'!X34</f>
        <v>0</v>
      </c>
      <c r="CG31" s="382">
        <f>'[1]COE DISB 2019'!X39</f>
        <v>0</v>
      </c>
      <c r="CH31" s="382">
        <f t="shared" si="20"/>
        <v>0</v>
      </c>
      <c r="CJ31" s="382">
        <v>0</v>
      </c>
      <c r="CK31" s="382">
        <f>'[1]COE DISB 2019'!Y39</f>
        <v>0</v>
      </c>
      <c r="CL31" s="382">
        <f t="shared" si="21"/>
        <v>0</v>
      </c>
      <c r="CN31" s="382">
        <v>500000000</v>
      </c>
      <c r="CO31" s="382">
        <f>'[1]COE DISB 2019'!Z39</f>
        <v>500000000</v>
      </c>
      <c r="CP31" s="382">
        <f t="shared" si="22"/>
        <v>0</v>
      </c>
      <c r="CR31" s="382">
        <v>0</v>
      </c>
      <c r="CS31" s="382">
        <f>'[1]COE DISB 2019'!AA39</f>
        <v>0</v>
      </c>
      <c r="CT31" s="382">
        <f t="shared" si="23"/>
        <v>0</v>
      </c>
      <c r="CV31" s="382">
        <v>0</v>
      </c>
      <c r="CW31" s="382">
        <f>'[1]COE DISB 2019'!AB39</f>
        <v>0</v>
      </c>
      <c r="CX31" s="382">
        <f t="shared" si="24"/>
        <v>0</v>
      </c>
      <c r="CZ31" s="382">
        <f>'[1]COE commited funds to date'!AC34</f>
        <v>0</v>
      </c>
      <c r="DA31" s="382">
        <f>'[1]COE DISB 2019'!AC39</f>
        <v>0</v>
      </c>
      <c r="DB31" s="382">
        <f t="shared" si="25"/>
        <v>0</v>
      </c>
      <c r="DC31" s="386"/>
      <c r="DD31" s="382">
        <v>0</v>
      </c>
      <c r="DE31" s="382">
        <f>'[1]COE DISB 2019'!AD39</f>
        <v>0</v>
      </c>
      <c r="DF31" s="382">
        <f t="shared" si="26"/>
        <v>0</v>
      </c>
      <c r="DG31" s="386"/>
      <c r="DH31" s="397">
        <v>0</v>
      </c>
      <c r="DI31" s="397">
        <f>'[1]COE DISB 2019'!AE39</f>
        <v>0</v>
      </c>
      <c r="DJ31" s="397">
        <v>0</v>
      </c>
      <c r="DK31" s="386"/>
      <c r="DL31" s="382">
        <f>'[1]COE commited funds to date'!AD34</f>
        <v>0</v>
      </c>
      <c r="DM31" s="382">
        <f>'[1]COE DISB 2019'!AF39</f>
        <v>0</v>
      </c>
      <c r="DN31" s="382">
        <f t="shared" si="28"/>
        <v>0</v>
      </c>
      <c r="DO31" s="386"/>
      <c r="DP31" s="382">
        <v>0</v>
      </c>
      <c r="DQ31" s="382">
        <f>'[1]COE DISB 2019'!AG39</f>
        <v>0</v>
      </c>
      <c r="DR31" s="382">
        <f t="shared" si="29"/>
        <v>0</v>
      </c>
      <c r="DS31" s="386"/>
      <c r="DT31" s="353">
        <v>0</v>
      </c>
      <c r="DU31" s="382">
        <f>'[1]COE DISB 2019'!AH39</f>
        <v>0</v>
      </c>
      <c r="DV31" s="382">
        <f t="shared" si="30"/>
        <v>0</v>
      </c>
      <c r="DW31" s="386"/>
      <c r="DX31" s="382">
        <f>'[1]COE commited funds to date'!AI34</f>
        <v>0</v>
      </c>
      <c r="DY31" s="382">
        <f>'[1]COE DISB 2019'!AI39</f>
        <v>0</v>
      </c>
      <c r="DZ31" s="382">
        <f t="shared" si="31"/>
        <v>0</v>
      </c>
      <c r="EA31" s="386"/>
      <c r="EB31" s="382">
        <f>'[1]COE commited funds to date'!AJ34</f>
        <v>72000000</v>
      </c>
      <c r="EC31" s="382">
        <f>'[1]COE DISB 2019'!AJ39</f>
        <v>72000000</v>
      </c>
      <c r="ED31" s="382">
        <f t="shared" si="32"/>
        <v>0</v>
      </c>
      <c r="EE31" s="386"/>
      <c r="EF31" s="382">
        <f>'[1]COE commited funds to date'!AK34</f>
        <v>8000000</v>
      </c>
      <c r="EG31" s="382">
        <f>'[1]COE DISB 2019'!AK39</f>
        <v>0</v>
      </c>
      <c r="EH31" s="382">
        <f t="shared" si="33"/>
        <v>8000000</v>
      </c>
      <c r="EI31" s="386"/>
      <c r="EJ31" s="382">
        <f>'[1]COE commited funds to date'!AL34</f>
        <v>2000000</v>
      </c>
      <c r="EK31" s="382">
        <f>'[1]COE DISB 2019'!AL39</f>
        <v>0</v>
      </c>
      <c r="EL31" s="382">
        <f t="shared" si="34"/>
        <v>2000000</v>
      </c>
      <c r="EM31" s="386"/>
      <c r="EN31" s="382">
        <f>'[1]COE commited funds to date'!AM34</f>
        <v>7000000</v>
      </c>
      <c r="EO31" s="382">
        <f>'[1]COE DISB 2019'!AM39</f>
        <v>6889750</v>
      </c>
      <c r="EP31" s="382">
        <f t="shared" si="35"/>
        <v>110250</v>
      </c>
      <c r="EQ31" s="386"/>
      <c r="ER31" s="382">
        <f>'[1]COE commited funds to date'!AN34</f>
        <v>0</v>
      </c>
      <c r="ES31" s="382">
        <f>'[1]COE DISB 2019'!AN39</f>
        <v>0</v>
      </c>
      <c r="ET31" s="382">
        <f t="shared" si="36"/>
        <v>0</v>
      </c>
      <c r="EV31" s="383">
        <f>'[1]COE commited funds to date'!AO34</f>
        <v>0</v>
      </c>
      <c r="EW31" s="383">
        <f>'[1]COE DISB 2019'!AO39</f>
        <v>0</v>
      </c>
      <c r="EX31" s="383">
        <f t="shared" si="38"/>
        <v>0</v>
      </c>
      <c r="EY31" s="380"/>
      <c r="EZ31" s="383">
        <f>'[1]COE commited funds to date'!AQ34</f>
        <v>0</v>
      </c>
      <c r="FA31" s="383">
        <f>'[1]COE DISB 2019'!AP39</f>
        <v>0</v>
      </c>
      <c r="FB31" s="383">
        <f t="shared" si="39"/>
        <v>0</v>
      </c>
      <c r="FC31" s="380"/>
      <c r="FD31" s="383">
        <f>'[1]COE commited funds to date'!AR34</f>
        <v>0</v>
      </c>
      <c r="FE31" s="383">
        <f>'[1]COE DISB 2019'!AQ39</f>
        <v>0</v>
      </c>
      <c r="FF31" s="383">
        <f t="shared" si="40"/>
        <v>0</v>
      </c>
      <c r="FG31" s="380"/>
      <c r="FH31" s="383">
        <f>'[1]COE commited funds to date'!AP34</f>
        <v>0</v>
      </c>
      <c r="FI31" s="383">
        <f>'[1]COE DISB 2019'!AR39</f>
        <v>0</v>
      </c>
      <c r="FJ31" s="383">
        <f t="shared" si="41"/>
        <v>0</v>
      </c>
      <c r="FK31" s="383">
        <f>'[1]COE commited funds to date'!AS34</f>
        <v>0</v>
      </c>
      <c r="FL31" s="383">
        <f>'[1]COE DISB 2019'!AS39</f>
        <v>0</v>
      </c>
      <c r="FM31" s="383">
        <f t="shared" si="42"/>
        <v>0</v>
      </c>
      <c r="FN31" s="380"/>
      <c r="FO31" s="383">
        <f>'[1]COE commited funds to date'!AT34</f>
        <v>0</v>
      </c>
      <c r="FP31" s="383">
        <f>'[1]COE DISB 2019'!AT39</f>
        <v>0</v>
      </c>
      <c r="FQ31" s="383">
        <f t="shared" si="43"/>
        <v>0</v>
      </c>
      <c r="FR31" s="380"/>
      <c r="FS31" s="383">
        <f>'[1]COE commited funds to date'!AU34</f>
        <v>75000000</v>
      </c>
      <c r="FT31" s="383">
        <f>'[1]COE DISB 2019'!AU39</f>
        <v>63750000</v>
      </c>
      <c r="FU31" s="383">
        <f t="shared" si="44"/>
        <v>11250000</v>
      </c>
      <c r="FV31" s="380"/>
      <c r="FW31" s="383">
        <f>'[1]COE commited funds to date'!AV34</f>
        <v>0</v>
      </c>
      <c r="FX31" s="383">
        <f>'[1]COE DISB 2019'!AV39</f>
        <v>0</v>
      </c>
      <c r="FY31" s="383">
        <f t="shared" si="45"/>
        <v>0</v>
      </c>
      <c r="FZ31" s="380"/>
      <c r="GA31" s="383">
        <f>'[1]COE commited funds to date'!AW34</f>
        <v>0</v>
      </c>
      <c r="GB31" s="383">
        <f>'[1]COE DISB 2019'!AW39</f>
        <v>0</v>
      </c>
      <c r="GC31" s="383">
        <f t="shared" si="46"/>
        <v>0</v>
      </c>
      <c r="GD31" s="380"/>
      <c r="GE31" s="383">
        <f>'[1]COE commited funds to date'!AX34</f>
        <v>0</v>
      </c>
      <c r="GF31" s="383">
        <f>'[1]COE DISB 2019'!AX39</f>
        <v>0</v>
      </c>
      <c r="GG31" s="383">
        <f t="shared" si="47"/>
        <v>0</v>
      </c>
      <c r="GH31" s="380"/>
      <c r="GI31" s="383">
        <f>'[1]COE commited funds to date'!AY34</f>
        <v>230000000</v>
      </c>
      <c r="GJ31" s="383">
        <f>'[1]COE DISB 2019'!AY39</f>
        <v>0</v>
      </c>
      <c r="GK31" s="383">
        <f t="shared" si="48"/>
        <v>230000000</v>
      </c>
      <c r="GL31" s="380"/>
      <c r="GM31" s="383">
        <f>'[1]COE commited funds to date'!AZ34</f>
        <v>116776600</v>
      </c>
      <c r="GN31" s="383">
        <f>'[1]COE DISB 2019'!AZ39</f>
        <v>0</v>
      </c>
      <c r="GO31" s="383">
        <f t="shared" si="49"/>
        <v>116776600</v>
      </c>
      <c r="GP31" s="380"/>
      <c r="GQ31" s="383">
        <f>'[1]COE commited funds to date'!BA34</f>
        <v>12000000</v>
      </c>
      <c r="GR31" s="383">
        <f>'[1]COE DISB 2019'!BA39</f>
        <v>0</v>
      </c>
      <c r="GS31" s="383">
        <f t="shared" si="50"/>
        <v>12000000</v>
      </c>
      <c r="GT31" s="380"/>
      <c r="GU31" s="383">
        <f>'[1]COE commited funds to date'!BB34</f>
        <v>5000000</v>
      </c>
      <c r="GV31" s="383">
        <f>'[1]COE DISB 2019'!BB39</f>
        <v>0</v>
      </c>
      <c r="GW31" s="383">
        <f t="shared" si="51"/>
        <v>5000000</v>
      </c>
      <c r="GX31" s="380"/>
      <c r="GY31" s="383">
        <f>'[1]COE commited funds to date'!BC34</f>
        <v>10308300</v>
      </c>
      <c r="GZ31" s="383">
        <f>'[1]COE DISB 2019'!BC39</f>
        <v>0</v>
      </c>
      <c r="HA31" s="383">
        <f t="shared" si="52"/>
        <v>10308300</v>
      </c>
      <c r="HB31" s="380"/>
      <c r="HC31" s="383">
        <f t="shared" si="53"/>
        <v>1458525365.5</v>
      </c>
      <c r="HD31" s="383">
        <f t="shared" si="53"/>
        <v>1063080215.5</v>
      </c>
      <c r="HE31" s="382">
        <f t="shared" si="54"/>
        <v>395445150</v>
      </c>
      <c r="HG31" s="383">
        <f t="shared" si="55"/>
        <v>616648465.5</v>
      </c>
      <c r="HH31" s="383">
        <f t="shared" si="55"/>
        <v>386648465.5</v>
      </c>
      <c r="HI31" s="383">
        <f t="shared" si="56"/>
        <v>230000000</v>
      </c>
      <c r="HK31" s="383">
        <f t="shared" si="57"/>
        <v>600000000</v>
      </c>
      <c r="HL31" s="383">
        <f t="shared" si="57"/>
        <v>600000000</v>
      </c>
      <c r="HM31" s="383">
        <f t="shared" si="58"/>
        <v>0</v>
      </c>
      <c r="HO31" s="383">
        <f t="shared" si="37"/>
        <v>792000</v>
      </c>
      <c r="HP31" s="383">
        <f t="shared" si="37"/>
        <v>792000</v>
      </c>
      <c r="HQ31" s="383">
        <f t="shared" si="59"/>
        <v>0</v>
      </c>
      <c r="HS31" s="383">
        <f t="shared" si="60"/>
        <v>17308300</v>
      </c>
      <c r="HT31" s="383">
        <f t="shared" si="60"/>
        <v>6889750</v>
      </c>
      <c r="HU31" s="383">
        <f t="shared" si="61"/>
        <v>10418550</v>
      </c>
      <c r="HW31" s="383">
        <f t="shared" si="62"/>
        <v>20000000</v>
      </c>
      <c r="HX31" s="383">
        <f t="shared" si="62"/>
        <v>0</v>
      </c>
      <c r="HY31" s="383">
        <f t="shared" si="63"/>
        <v>20000000</v>
      </c>
      <c r="IA31" s="387">
        <f t="shared" si="64"/>
        <v>5000000</v>
      </c>
      <c r="IB31" s="387">
        <f t="shared" si="64"/>
        <v>0</v>
      </c>
      <c r="IC31" s="387">
        <f t="shared" si="65"/>
        <v>5000000</v>
      </c>
      <c r="IE31" s="383">
        <f t="shared" si="66"/>
        <v>191776600</v>
      </c>
      <c r="IF31" s="383">
        <f t="shared" si="66"/>
        <v>63750000</v>
      </c>
      <c r="IG31" s="383">
        <f t="shared" si="67"/>
        <v>128026600</v>
      </c>
      <c r="II31" s="383">
        <f t="shared" si="68"/>
        <v>2000000</v>
      </c>
      <c r="IJ31" s="383">
        <f t="shared" si="68"/>
        <v>0</v>
      </c>
      <c r="IK31" s="383">
        <f t="shared" si="69"/>
        <v>2000000</v>
      </c>
    </row>
    <row r="32" spans="1:245" ht="19.5" customHeight="1" x14ac:dyDescent="0.25">
      <c r="A32" s="380">
        <v>29</v>
      </c>
      <c r="B32" s="380" t="s">
        <v>348</v>
      </c>
      <c r="C32" s="381" t="s">
        <v>74</v>
      </c>
      <c r="D32" s="382">
        <v>18318965.5</v>
      </c>
      <c r="E32" s="382">
        <f>'[1]COE DISB 2019'!D40</f>
        <v>18318946.690000001</v>
      </c>
      <c r="F32" s="383">
        <f t="shared" si="0"/>
        <v>18.809999998658895</v>
      </c>
      <c r="H32" s="382">
        <v>8000000</v>
      </c>
      <c r="I32" s="382">
        <f>'[1]COE DISB 2019'!E40</f>
        <v>8000000</v>
      </c>
      <c r="J32" s="383">
        <f t="shared" si="1"/>
        <v>0</v>
      </c>
      <c r="L32" s="382">
        <v>500000</v>
      </c>
      <c r="M32" s="382">
        <f>'[1]COE DISB 2019'!F40</f>
        <v>500000</v>
      </c>
      <c r="N32" s="383">
        <f t="shared" si="2"/>
        <v>0</v>
      </c>
      <c r="P32" s="353">
        <v>16000000</v>
      </c>
      <c r="Q32" s="382">
        <f>'[1]COE DISB 2019'!G40</f>
        <v>16000000</v>
      </c>
      <c r="R32" s="383">
        <f t="shared" si="3"/>
        <v>0</v>
      </c>
      <c r="T32" s="353">
        <v>0</v>
      </c>
      <c r="U32" s="382">
        <f>'[1]COE DISB 2019'!H40</f>
        <v>0</v>
      </c>
      <c r="V32" s="383">
        <f t="shared" si="4"/>
        <v>0</v>
      </c>
      <c r="X32" s="353">
        <v>0</v>
      </c>
      <c r="Y32" s="382">
        <f>'[1]COE DISB 2019'!I40</f>
        <v>0</v>
      </c>
      <c r="Z32" s="383">
        <f t="shared" si="5"/>
        <v>0</v>
      </c>
      <c r="AB32" s="385">
        <v>20000000</v>
      </c>
      <c r="AC32" s="382">
        <f>'[1]COE DISB 2019'!J40</f>
        <v>20000000</v>
      </c>
      <c r="AD32" s="383">
        <f t="shared" si="6"/>
        <v>0</v>
      </c>
      <c r="AF32" s="353">
        <v>0</v>
      </c>
      <c r="AG32" s="382">
        <f>'[1]COE DISB 2019'!K40</f>
        <v>0</v>
      </c>
      <c r="AH32" s="383">
        <f t="shared" si="7"/>
        <v>0</v>
      </c>
      <c r="AJ32" s="385">
        <v>10000000</v>
      </c>
      <c r="AK32" s="382">
        <f>'[1]COE DISB 2019'!L40</f>
        <v>10000000</v>
      </c>
      <c r="AL32" s="383">
        <f t="shared" si="8"/>
        <v>0</v>
      </c>
      <c r="AN32" s="382">
        <v>10000000</v>
      </c>
      <c r="AO32" s="382">
        <f>'[1]COE DISB 2019'!M40</f>
        <v>10000000</v>
      </c>
      <c r="AP32" s="383">
        <f t="shared" si="9"/>
        <v>0</v>
      </c>
      <c r="AR32" s="382">
        <v>15000000</v>
      </c>
      <c r="AS32" s="382">
        <f>'[1]COE DISB 2019'!N40</f>
        <v>15000000</v>
      </c>
      <c r="AT32" s="383">
        <f t="shared" si="10"/>
        <v>0</v>
      </c>
      <c r="AV32" s="382">
        <v>0</v>
      </c>
      <c r="AW32" s="385">
        <f>'[1]COE DISB 2019'!O40</f>
        <v>0</v>
      </c>
      <c r="AX32" s="382">
        <f t="shared" si="11"/>
        <v>0</v>
      </c>
      <c r="AZ32" s="382">
        <v>18000000</v>
      </c>
      <c r="BA32" s="382">
        <f>'[1]COE DISB 2019'!P40</f>
        <v>18000000</v>
      </c>
      <c r="BB32" s="382">
        <f t="shared" si="12"/>
        <v>0</v>
      </c>
      <c r="BD32" s="382">
        <v>23400000</v>
      </c>
      <c r="BE32" s="382">
        <f>'[1]COE DISB 2019'!Q40</f>
        <v>23400000</v>
      </c>
      <c r="BF32" s="382">
        <f t="shared" si="13"/>
        <v>0</v>
      </c>
      <c r="BH32" s="382">
        <v>0</v>
      </c>
      <c r="BI32" s="382">
        <f>'[1]COE DISB 2019'!R40</f>
        <v>0</v>
      </c>
      <c r="BJ32" s="382">
        <f t="shared" si="14"/>
        <v>0</v>
      </c>
      <c r="BL32" s="382">
        <v>43000000</v>
      </c>
      <c r="BM32" s="382">
        <f>'[1]COE DISB 2019'!S40</f>
        <v>43000000</v>
      </c>
      <c r="BN32" s="382">
        <f t="shared" si="15"/>
        <v>0</v>
      </c>
      <c r="BP32" s="382">
        <v>37159400</v>
      </c>
      <c r="BQ32" s="382">
        <f>'[1]COE DISB 2019'!T40</f>
        <v>37159400</v>
      </c>
      <c r="BR32" s="382">
        <f t="shared" si="16"/>
        <v>0</v>
      </c>
      <c r="BT32" s="382">
        <v>0</v>
      </c>
      <c r="BU32" s="382">
        <f>'[1]COE DISB 2019'!U40</f>
        <v>0</v>
      </c>
      <c r="BV32" s="382">
        <f t="shared" si="17"/>
        <v>0</v>
      </c>
      <c r="BX32" s="382">
        <v>0</v>
      </c>
      <c r="BY32" s="382">
        <f>'[1]COE DISB 2019'!V40</f>
        <v>0</v>
      </c>
      <c r="BZ32" s="382">
        <f t="shared" si="18"/>
        <v>0</v>
      </c>
      <c r="CB32" s="382">
        <f>'[1]COE commited funds to date'!W35</f>
        <v>100000000</v>
      </c>
      <c r="CC32" s="382">
        <f>'[1]COE DISB 2019'!W40</f>
        <v>100000000</v>
      </c>
      <c r="CD32" s="382">
        <f t="shared" si="19"/>
        <v>0</v>
      </c>
      <c r="CF32" s="382">
        <f>'[1]COE commited funds to date'!X35</f>
        <v>125000000</v>
      </c>
      <c r="CG32" s="382">
        <f>'[1]COE DISB 2019'!X40</f>
        <v>125000000</v>
      </c>
      <c r="CH32" s="382">
        <f t="shared" si="20"/>
        <v>0</v>
      </c>
      <c r="CJ32" s="382">
        <v>10000000</v>
      </c>
      <c r="CK32" s="382">
        <f>'[1]COE DISB 2019'!Y40</f>
        <v>10000000</v>
      </c>
      <c r="CL32" s="382">
        <f t="shared" si="21"/>
        <v>0</v>
      </c>
      <c r="CN32" s="382">
        <v>500000000</v>
      </c>
      <c r="CO32" s="382">
        <f>'[1]COE DISB 2019'!Z40</f>
        <v>500000000</v>
      </c>
      <c r="CP32" s="382">
        <f t="shared" si="22"/>
        <v>0</v>
      </c>
      <c r="CR32" s="382">
        <v>0</v>
      </c>
      <c r="CS32" s="382">
        <f>'[1]COE DISB 2019'!AA40</f>
        <v>0</v>
      </c>
      <c r="CT32" s="382">
        <f t="shared" si="23"/>
        <v>0</v>
      </c>
      <c r="CV32" s="382">
        <v>0</v>
      </c>
      <c r="CW32" s="382">
        <f>'[1]COE DISB 2019'!AB40</f>
        <v>0</v>
      </c>
      <c r="CX32" s="382">
        <f t="shared" si="24"/>
        <v>0</v>
      </c>
      <c r="CZ32" s="382">
        <f>'[1]COE commited funds to date'!AC35</f>
        <v>400000000</v>
      </c>
      <c r="DA32" s="382">
        <f>'[1]COE DISB 2019'!AC40</f>
        <v>400000000</v>
      </c>
      <c r="DB32" s="382">
        <f t="shared" si="25"/>
        <v>0</v>
      </c>
      <c r="DC32" s="386"/>
      <c r="DD32" s="382">
        <v>215000000</v>
      </c>
      <c r="DE32" s="382">
        <f>'[1]COE DISB 2019'!AD40</f>
        <v>215000000</v>
      </c>
      <c r="DF32" s="382">
        <f t="shared" si="26"/>
        <v>0</v>
      </c>
      <c r="DG32" s="386"/>
      <c r="DH32" s="382">
        <v>10000000</v>
      </c>
      <c r="DI32" s="382">
        <f>'[1]COE DISB 2019'!AE40</f>
        <v>10000000</v>
      </c>
      <c r="DJ32" s="382">
        <f>DH32-DI32</f>
        <v>0</v>
      </c>
      <c r="DK32" s="386"/>
      <c r="DL32" s="382">
        <f>'[1]COE commited funds to date'!AD35</f>
        <v>0</v>
      </c>
      <c r="DM32" s="382">
        <f>'[1]COE DISB 2019'!AF40</f>
        <v>0</v>
      </c>
      <c r="DN32" s="382">
        <f t="shared" si="28"/>
        <v>0</v>
      </c>
      <c r="DO32" s="386"/>
      <c r="DP32" s="382">
        <v>0</v>
      </c>
      <c r="DQ32" s="382">
        <f>'[1]COE DISB 2019'!AG40</f>
        <v>0</v>
      </c>
      <c r="DR32" s="382">
        <f t="shared" si="29"/>
        <v>0</v>
      </c>
      <c r="DS32" s="386"/>
      <c r="DT32" s="353">
        <v>0</v>
      </c>
      <c r="DU32" s="382">
        <f>'[1]COE DISB 2019'!AH40</f>
        <v>0</v>
      </c>
      <c r="DV32" s="382">
        <f t="shared" si="30"/>
        <v>0</v>
      </c>
      <c r="DW32" s="386"/>
      <c r="DX32" s="382">
        <f>'[1]COE commited funds to date'!AI35</f>
        <v>250000000</v>
      </c>
      <c r="DY32" s="382">
        <f>'[1]COE DISB 2019'!AI40</f>
        <v>250000000</v>
      </c>
      <c r="DZ32" s="382">
        <f t="shared" si="31"/>
        <v>0</v>
      </c>
      <c r="EA32" s="386"/>
      <c r="EB32" s="382">
        <f>'[1]COE commited funds to date'!AJ35</f>
        <v>0</v>
      </c>
      <c r="EC32" s="382">
        <f>'[1]COE DISB 2019'!AJ40</f>
        <v>0</v>
      </c>
      <c r="ED32" s="382">
        <f t="shared" si="32"/>
        <v>0</v>
      </c>
      <c r="EE32" s="386"/>
      <c r="EF32" s="382">
        <f>'[1]COE commited funds to date'!AK35</f>
        <v>0</v>
      </c>
      <c r="EG32" s="382">
        <f>'[1]COE DISB 2019'!AK40</f>
        <v>0</v>
      </c>
      <c r="EH32" s="382">
        <f t="shared" si="33"/>
        <v>0</v>
      </c>
      <c r="EI32" s="386"/>
      <c r="EJ32" s="382">
        <f>'[1]COE commited funds to date'!AL35</f>
        <v>0</v>
      </c>
      <c r="EK32" s="382">
        <f>'[1]COE DISB 2019'!AL40</f>
        <v>0</v>
      </c>
      <c r="EL32" s="382">
        <f t="shared" si="34"/>
        <v>0</v>
      </c>
      <c r="EM32" s="386"/>
      <c r="EN32" s="382">
        <f>'[1]COE commited funds to date'!AM35</f>
        <v>0</v>
      </c>
      <c r="EO32" s="382">
        <f>'[1]COE DISB 2019'!AM40</f>
        <v>0</v>
      </c>
      <c r="EP32" s="382">
        <f t="shared" si="35"/>
        <v>0</v>
      </c>
      <c r="EQ32" s="386"/>
      <c r="ER32" s="382">
        <f>'[1]COE commited funds to date'!AN35</f>
        <v>950000000</v>
      </c>
      <c r="ES32" s="382">
        <f>'[1]COE DISB 2019'!AN40</f>
        <v>950000000</v>
      </c>
      <c r="ET32" s="399">
        <f t="shared" si="36"/>
        <v>0</v>
      </c>
      <c r="EV32" s="383">
        <f>'[1]COE commited funds to date'!AO35</f>
        <v>371067000</v>
      </c>
      <c r="EW32" s="383">
        <f>'[1]COE DISB 2019'!AO40</f>
        <v>230061540</v>
      </c>
      <c r="EX32" s="383">
        <f t="shared" si="38"/>
        <v>141005460</v>
      </c>
      <c r="EY32" s="380"/>
      <c r="EZ32" s="383">
        <f>'[1]COE commited funds to date'!AQ35</f>
        <v>12000000</v>
      </c>
      <c r="FA32" s="383">
        <f>'[1]COE DISB 2019'!AP40</f>
        <v>12296752.18</v>
      </c>
      <c r="FB32" s="383">
        <f t="shared" si="39"/>
        <v>-296752.1799999997</v>
      </c>
      <c r="FC32" s="380"/>
      <c r="FD32" s="383">
        <f>'[1]COE commited funds to date'!AR35</f>
        <v>10000000</v>
      </c>
      <c r="FE32" s="383">
        <f>'[1]COE DISB 2019'!AQ40</f>
        <v>0</v>
      </c>
      <c r="FF32" s="383">
        <f t="shared" si="40"/>
        <v>10000000</v>
      </c>
      <c r="FG32" s="380"/>
      <c r="FH32" s="383">
        <f>'[1]COE commited funds to date'!AP35</f>
        <v>8000000</v>
      </c>
      <c r="FI32" s="383">
        <f>'[1]COE DISB 2019'!AR40</f>
        <v>8000000</v>
      </c>
      <c r="FJ32" s="383">
        <f t="shared" si="41"/>
        <v>0</v>
      </c>
      <c r="FK32" s="383">
        <f>'[1]COE commited funds to date'!AS35</f>
        <v>0</v>
      </c>
      <c r="FL32" s="383">
        <f>'[1]COE DISB 2019'!AS40</f>
        <v>0</v>
      </c>
      <c r="FM32" s="383">
        <f t="shared" si="42"/>
        <v>0</v>
      </c>
      <c r="FN32" s="380"/>
      <c r="FO32" s="383">
        <f>'[1]COE commited funds to date'!AT35</f>
        <v>0</v>
      </c>
      <c r="FP32" s="383">
        <f>'[1]COE DISB 2019'!AT40</f>
        <v>0</v>
      </c>
      <c r="FQ32" s="383">
        <f t="shared" si="43"/>
        <v>0</v>
      </c>
      <c r="FR32" s="380"/>
      <c r="FS32" s="383">
        <f>'[1]COE commited funds to date'!AU35</f>
        <v>75000000</v>
      </c>
      <c r="FT32" s="383">
        <f>'[1]COE DISB 2019'!AU40</f>
        <v>50250000</v>
      </c>
      <c r="FU32" s="383">
        <f t="shared" si="44"/>
        <v>24750000</v>
      </c>
      <c r="FV32" s="380"/>
      <c r="FW32" s="383">
        <f>'[1]COE commited funds to date'!AV35</f>
        <v>0</v>
      </c>
      <c r="FX32" s="383">
        <f>'[1]COE DISB 2019'!AV40</f>
        <v>0</v>
      </c>
      <c r="FY32" s="383">
        <f t="shared" si="45"/>
        <v>0</v>
      </c>
      <c r="FZ32" s="380"/>
      <c r="GA32" s="383">
        <f>'[1]COE commited funds to date'!AW35</f>
        <v>0</v>
      </c>
      <c r="GB32" s="383">
        <f>'[1]COE DISB 2019'!AW40</f>
        <v>0</v>
      </c>
      <c r="GC32" s="383">
        <f t="shared" si="46"/>
        <v>0</v>
      </c>
      <c r="GD32" s="380"/>
      <c r="GE32" s="383">
        <f>'[1]COE commited funds to date'!AX35</f>
        <v>0</v>
      </c>
      <c r="GF32" s="383">
        <f>'[1]COE DISB 2019'!AX40</f>
        <v>0</v>
      </c>
      <c r="GG32" s="383">
        <f t="shared" si="47"/>
        <v>0</v>
      </c>
      <c r="GH32" s="380"/>
      <c r="GI32" s="383">
        <f>'[1]COE commited funds to date'!AY35</f>
        <v>0</v>
      </c>
      <c r="GJ32" s="383">
        <f>'[1]COE DISB 2019'!AY40</f>
        <v>0</v>
      </c>
      <c r="GK32" s="383">
        <f t="shared" si="48"/>
        <v>0</v>
      </c>
      <c r="GL32" s="380"/>
      <c r="GM32" s="383">
        <f>'[1]COE commited funds to date'!AZ35</f>
        <v>116776600</v>
      </c>
      <c r="GN32" s="383">
        <f>'[1]COE DISB 2019'!AZ40</f>
        <v>0</v>
      </c>
      <c r="GO32" s="383">
        <f t="shared" si="49"/>
        <v>116776600</v>
      </c>
      <c r="GP32" s="380"/>
      <c r="GQ32" s="383">
        <f>'[1]COE commited funds to date'!BA35</f>
        <v>0</v>
      </c>
      <c r="GR32" s="383">
        <f>'[1]COE DISB 2019'!BA40</f>
        <v>0</v>
      </c>
      <c r="GS32" s="383">
        <f t="shared" si="50"/>
        <v>0</v>
      </c>
      <c r="GT32" s="380"/>
      <c r="GU32" s="383">
        <f>'[1]COE commited funds to date'!BB35</f>
        <v>0</v>
      </c>
      <c r="GV32" s="383">
        <f>'[1]COE DISB 2019'!BB40</f>
        <v>0</v>
      </c>
      <c r="GW32" s="383">
        <f t="shared" si="51"/>
        <v>0</v>
      </c>
      <c r="GX32" s="380"/>
      <c r="GY32" s="383">
        <f>'[1]COE commited funds to date'!BC35</f>
        <v>0</v>
      </c>
      <c r="GZ32" s="383">
        <f>'[1]COE DISB 2019'!BC40</f>
        <v>0</v>
      </c>
      <c r="HA32" s="383">
        <f t="shared" si="52"/>
        <v>0</v>
      </c>
      <c r="HB32" s="380"/>
      <c r="HC32" s="383">
        <f t="shared" si="53"/>
        <v>3372221965.5</v>
      </c>
      <c r="HD32" s="383">
        <f t="shared" si="53"/>
        <v>3079986638.8699999</v>
      </c>
      <c r="HE32" s="382">
        <f t="shared" si="54"/>
        <v>292235326.63000011</v>
      </c>
      <c r="HG32" s="383">
        <f t="shared" si="55"/>
        <v>929945365.5</v>
      </c>
      <c r="HH32" s="383">
        <f t="shared" si="55"/>
        <v>788939886.69000006</v>
      </c>
      <c r="HI32" s="383">
        <f t="shared" si="56"/>
        <v>141005478.80999994</v>
      </c>
      <c r="HK32" s="383">
        <f t="shared" si="57"/>
        <v>2200000000</v>
      </c>
      <c r="HL32" s="383">
        <f t="shared" si="57"/>
        <v>2200000000</v>
      </c>
      <c r="HM32" s="383">
        <f t="shared" si="58"/>
        <v>0</v>
      </c>
      <c r="HO32" s="383">
        <f t="shared" si="37"/>
        <v>500000</v>
      </c>
      <c r="HP32" s="383">
        <f t="shared" si="37"/>
        <v>500000</v>
      </c>
      <c r="HQ32" s="383">
        <f t="shared" si="59"/>
        <v>0</v>
      </c>
      <c r="HS32" s="383">
        <f t="shared" si="60"/>
        <v>32000000</v>
      </c>
      <c r="HT32" s="383">
        <f t="shared" si="60"/>
        <v>32296752.18</v>
      </c>
      <c r="HU32" s="383">
        <f t="shared" si="61"/>
        <v>-296752.1799999997</v>
      </c>
      <c r="HW32" s="383">
        <f t="shared" si="62"/>
        <v>8000000</v>
      </c>
      <c r="HX32" s="383">
        <f t="shared" si="62"/>
        <v>8000000</v>
      </c>
      <c r="HY32" s="383">
        <f t="shared" si="63"/>
        <v>0</v>
      </c>
      <c r="IA32" s="387">
        <f t="shared" si="64"/>
        <v>10000000</v>
      </c>
      <c r="IB32" s="387">
        <f t="shared" si="64"/>
        <v>0</v>
      </c>
      <c r="IC32" s="387">
        <f t="shared" si="65"/>
        <v>10000000</v>
      </c>
      <c r="IE32" s="383">
        <f t="shared" si="66"/>
        <v>191776600</v>
      </c>
      <c r="IF32" s="383">
        <f t="shared" si="66"/>
        <v>50250000</v>
      </c>
      <c r="IG32" s="383">
        <f t="shared" si="67"/>
        <v>141526600</v>
      </c>
      <c r="II32" s="383">
        <f t="shared" si="68"/>
        <v>0</v>
      </c>
      <c r="IJ32" s="383">
        <f t="shared" si="68"/>
        <v>0</v>
      </c>
      <c r="IK32" s="383">
        <f t="shared" si="69"/>
        <v>0</v>
      </c>
    </row>
    <row r="33" spans="1:245" ht="19.5" customHeight="1" x14ac:dyDescent="0.25">
      <c r="A33" s="380">
        <v>30</v>
      </c>
      <c r="B33" s="380" t="s">
        <v>349</v>
      </c>
      <c r="C33" s="381"/>
      <c r="D33" s="382">
        <v>18318965.5</v>
      </c>
      <c r="E33" s="382">
        <f>'[1]COE DISB 2019'!D41</f>
        <v>18318965.5</v>
      </c>
      <c r="F33" s="383">
        <f t="shared" si="0"/>
        <v>0</v>
      </c>
      <c r="H33" s="382">
        <v>8000000</v>
      </c>
      <c r="I33" s="382">
        <f>'[1]COE DISB 2019'!E41</f>
        <v>8000000</v>
      </c>
      <c r="J33" s="383">
        <f t="shared" si="1"/>
        <v>0</v>
      </c>
      <c r="L33" s="382">
        <v>500000</v>
      </c>
      <c r="M33" s="382">
        <f>'[1]COE DISB 2019'!F41</f>
        <v>500000</v>
      </c>
      <c r="N33" s="383">
        <f t="shared" si="2"/>
        <v>0</v>
      </c>
      <c r="P33" s="353">
        <v>16000000</v>
      </c>
      <c r="Q33" s="382">
        <f>'[1]COE DISB 2019'!G41</f>
        <v>16000000</v>
      </c>
      <c r="R33" s="383">
        <f t="shared" si="3"/>
        <v>0</v>
      </c>
      <c r="T33" s="385">
        <v>171999.92</v>
      </c>
      <c r="U33" s="382">
        <f>'[1]COE DISB 2019'!H41</f>
        <v>171999.92</v>
      </c>
      <c r="V33" s="383">
        <f t="shared" si="4"/>
        <v>0</v>
      </c>
      <c r="X33" s="353">
        <v>0</v>
      </c>
      <c r="Y33" s="382">
        <f>'[1]COE DISB 2019'!I41</f>
        <v>0</v>
      </c>
      <c r="Z33" s="383">
        <f t="shared" si="5"/>
        <v>0</v>
      </c>
      <c r="AB33" s="385">
        <v>20000000</v>
      </c>
      <c r="AC33" s="382">
        <f>'[1]COE DISB 2019'!J41</f>
        <v>20000000</v>
      </c>
      <c r="AD33" s="383">
        <f t="shared" si="6"/>
        <v>0</v>
      </c>
      <c r="AF33" s="353">
        <v>0</v>
      </c>
      <c r="AG33" s="382">
        <f>'[1]COE DISB 2019'!K41</f>
        <v>0</v>
      </c>
      <c r="AH33" s="383">
        <f t="shared" si="7"/>
        <v>0</v>
      </c>
      <c r="AJ33" s="385">
        <v>10000000</v>
      </c>
      <c r="AK33" s="382">
        <f>'[1]COE DISB 2019'!L41</f>
        <v>10000000</v>
      </c>
      <c r="AL33" s="383">
        <f t="shared" si="8"/>
        <v>0</v>
      </c>
      <c r="AN33" s="382">
        <v>10000000</v>
      </c>
      <c r="AO33" s="382">
        <f>'[1]COE DISB 2019'!M41</f>
        <v>10000000</v>
      </c>
      <c r="AP33" s="383">
        <f t="shared" si="9"/>
        <v>0</v>
      </c>
      <c r="AR33" s="382">
        <v>14488610</v>
      </c>
      <c r="AS33" s="382">
        <f>'[1]COE DISB 2019'!N41</f>
        <v>14488610</v>
      </c>
      <c r="AT33" s="383">
        <f t="shared" si="10"/>
        <v>0</v>
      </c>
      <c r="AV33" s="382">
        <v>0</v>
      </c>
      <c r="AW33" s="353">
        <f>'[1]COE DISB 2019'!O41</f>
        <v>0</v>
      </c>
      <c r="AX33" s="382">
        <f t="shared" si="11"/>
        <v>0</v>
      </c>
      <c r="AZ33" s="382">
        <v>18000000</v>
      </c>
      <c r="BA33" s="382">
        <f>'[1]COE DISB 2019'!P41</f>
        <v>18000000</v>
      </c>
      <c r="BB33" s="382">
        <f t="shared" si="12"/>
        <v>0</v>
      </c>
      <c r="BD33" s="382">
        <v>23400000</v>
      </c>
      <c r="BE33" s="382">
        <f>'[1]COE DISB 2019'!Q41</f>
        <v>23400000</v>
      </c>
      <c r="BF33" s="382">
        <f t="shared" si="13"/>
        <v>0</v>
      </c>
      <c r="BH33" s="382">
        <v>0</v>
      </c>
      <c r="BI33" s="382">
        <f>'[1]COE DISB 2019'!R41</f>
        <v>0</v>
      </c>
      <c r="BJ33" s="382">
        <f t="shared" si="14"/>
        <v>0</v>
      </c>
      <c r="BL33" s="382">
        <v>43000000</v>
      </c>
      <c r="BM33" s="382">
        <f>'[1]COE DISB 2019'!S41</f>
        <v>43000000</v>
      </c>
      <c r="BN33" s="382">
        <f t="shared" si="15"/>
        <v>0</v>
      </c>
      <c r="BP33" s="382">
        <v>37159200</v>
      </c>
      <c r="BQ33" s="382">
        <f>'[1]COE DISB 2019'!T41</f>
        <v>37159200</v>
      </c>
      <c r="BR33" s="382">
        <f t="shared" si="16"/>
        <v>0</v>
      </c>
      <c r="BT33" s="382">
        <v>0</v>
      </c>
      <c r="BU33" s="382">
        <f>'[1]COE DISB 2019'!U41</f>
        <v>0</v>
      </c>
      <c r="BV33" s="382">
        <f t="shared" si="17"/>
        <v>0</v>
      </c>
      <c r="BX33" s="382">
        <v>0</v>
      </c>
      <c r="BY33" s="382">
        <f>'[1]COE DISB 2019'!V41</f>
        <v>0</v>
      </c>
      <c r="BZ33" s="382">
        <f t="shared" si="18"/>
        <v>0</v>
      </c>
      <c r="CB33" s="382">
        <f>'[1]COE commited funds to date'!W36</f>
        <v>550000000</v>
      </c>
      <c r="CC33" s="382">
        <f>'[1]COE DISB 2019'!W41</f>
        <v>550000000</v>
      </c>
      <c r="CD33" s="382">
        <f t="shared" si="19"/>
        <v>0</v>
      </c>
      <c r="CF33" s="382">
        <f>'[1]COE commited funds to date'!X36</f>
        <v>0</v>
      </c>
      <c r="CG33" s="382">
        <f>'[1]COE DISB 2019'!X41</f>
        <v>0</v>
      </c>
      <c r="CH33" s="382">
        <f t="shared" si="20"/>
        <v>0</v>
      </c>
      <c r="CJ33" s="382">
        <v>0</v>
      </c>
      <c r="CK33" s="382">
        <f>'[1]COE DISB 2019'!Y41</f>
        <v>0</v>
      </c>
      <c r="CL33" s="382">
        <f t="shared" si="21"/>
        <v>0</v>
      </c>
      <c r="CN33" s="382">
        <v>300000000</v>
      </c>
      <c r="CO33" s="382">
        <f>'[1]COE DISB 2019'!Z41</f>
        <v>300000000</v>
      </c>
      <c r="CP33" s="382">
        <f t="shared" si="22"/>
        <v>0</v>
      </c>
      <c r="CR33" s="382">
        <v>210000000</v>
      </c>
      <c r="CS33" s="382">
        <f>'[1]COE DISB 2019'!AA41</f>
        <v>210000000</v>
      </c>
      <c r="CT33" s="382">
        <f t="shared" si="23"/>
        <v>0</v>
      </c>
      <c r="CV33" s="382">
        <v>10000000</v>
      </c>
      <c r="CW33" s="382">
        <f>'[1]COE DISB 2019'!AB41</f>
        <v>9444511.0999999996</v>
      </c>
      <c r="CX33" s="382">
        <f t="shared" si="24"/>
        <v>555488.90000000037</v>
      </c>
      <c r="CZ33" s="382">
        <f>'[1]COE commited funds to date'!AC36</f>
        <v>0</v>
      </c>
      <c r="DA33" s="382">
        <f>'[1]COE DISB 2019'!AC41</f>
        <v>0</v>
      </c>
      <c r="DB33" s="382">
        <f t="shared" si="25"/>
        <v>0</v>
      </c>
      <c r="DC33" s="386"/>
      <c r="DD33" s="382">
        <v>0</v>
      </c>
      <c r="DE33" s="382">
        <f>'[1]COE DISB 2019'!AD41</f>
        <v>0</v>
      </c>
      <c r="DF33" s="382">
        <f t="shared" si="26"/>
        <v>0</v>
      </c>
      <c r="DG33" s="386"/>
      <c r="DH33" s="397">
        <v>0</v>
      </c>
      <c r="DI33" s="397">
        <f>'[1]COE DISB 2019'!AE41</f>
        <v>0</v>
      </c>
      <c r="DJ33" s="397">
        <v>0</v>
      </c>
      <c r="DK33" s="386"/>
      <c r="DL33" s="382">
        <f>'[1]COE commited funds to date'!AD36</f>
        <v>200000000</v>
      </c>
      <c r="DM33" s="382">
        <f>'[1]COE DISB 2019'!AF41</f>
        <v>200000000</v>
      </c>
      <c r="DN33" s="382">
        <f t="shared" si="28"/>
        <v>0</v>
      </c>
      <c r="DO33" s="386"/>
      <c r="DP33" s="382">
        <v>325000000</v>
      </c>
      <c r="DQ33" s="382">
        <f>'[1]COE DISB 2019'!AG41</f>
        <v>325000000</v>
      </c>
      <c r="DR33" s="382">
        <f t="shared" si="29"/>
        <v>0</v>
      </c>
      <c r="DS33" s="386"/>
      <c r="DT33" s="353">
        <v>10000000</v>
      </c>
      <c r="DU33" s="382">
        <f>'[1]COE DISB 2019'!AH41</f>
        <v>10000000</v>
      </c>
      <c r="DV33" s="382">
        <f t="shared" si="30"/>
        <v>0</v>
      </c>
      <c r="DW33" s="386"/>
      <c r="DX33" s="382">
        <f>'[1]COE commited funds to date'!AI36</f>
        <v>200000000</v>
      </c>
      <c r="DY33" s="382">
        <f>'[1]COE DISB 2019'!AI41</f>
        <v>200000000</v>
      </c>
      <c r="DZ33" s="382">
        <f t="shared" si="31"/>
        <v>0</v>
      </c>
      <c r="EA33" s="386"/>
      <c r="EB33" s="382">
        <f>'[1]COE commited funds to date'!AJ36</f>
        <v>0</v>
      </c>
      <c r="EC33" s="382">
        <f>'[1]COE DISB 2019'!AJ41</f>
        <v>0</v>
      </c>
      <c r="ED33" s="382">
        <f t="shared" si="32"/>
        <v>0</v>
      </c>
      <c r="EE33" s="386"/>
      <c r="EF33" s="382">
        <f>'[1]COE commited funds to date'!AK36</f>
        <v>0</v>
      </c>
      <c r="EG33" s="382">
        <f>'[1]COE DISB 2019'!AK41</f>
        <v>0</v>
      </c>
      <c r="EH33" s="382">
        <f t="shared" si="33"/>
        <v>0</v>
      </c>
      <c r="EI33" s="386"/>
      <c r="EJ33" s="382">
        <f>'[1]COE commited funds to date'!AL36</f>
        <v>0</v>
      </c>
      <c r="EK33" s="382">
        <f>'[1]COE DISB 2019'!AL41</f>
        <v>0</v>
      </c>
      <c r="EL33" s="382">
        <f t="shared" si="34"/>
        <v>0</v>
      </c>
      <c r="EM33" s="386"/>
      <c r="EN33" s="382">
        <f>'[1]COE commited funds to date'!AM36</f>
        <v>0</v>
      </c>
      <c r="EO33" s="382">
        <f>'[1]COE DISB 2019'!AM41</f>
        <v>0</v>
      </c>
      <c r="EP33" s="382">
        <f t="shared" si="35"/>
        <v>0</v>
      </c>
      <c r="EQ33" s="386"/>
      <c r="ER33" s="382">
        <f>'[1]COE commited funds to date'!AN36</f>
        <v>500000000</v>
      </c>
      <c r="ES33" s="382">
        <f>'[1]COE DISB 2019'!AN41</f>
        <v>500000000</v>
      </c>
      <c r="ET33" s="399">
        <f t="shared" si="36"/>
        <v>0</v>
      </c>
      <c r="EV33" s="383">
        <f>'[1]COE commited funds to date'!AO36</f>
        <v>0</v>
      </c>
      <c r="EW33" s="383">
        <f>'[1]COE DISB 2019'!AO41</f>
        <v>0</v>
      </c>
      <c r="EX33" s="383">
        <f t="shared" si="38"/>
        <v>0</v>
      </c>
      <c r="EY33" s="380"/>
      <c r="EZ33" s="383">
        <f>'[1]COE commited funds to date'!AQ36</f>
        <v>0</v>
      </c>
      <c r="FA33" s="383">
        <f>'[1]COE DISB 2019'!AP41</f>
        <v>0</v>
      </c>
      <c r="FB33" s="383">
        <f t="shared" si="39"/>
        <v>0</v>
      </c>
      <c r="FC33" s="380"/>
      <c r="FD33" s="383">
        <f>'[1]COE commited funds to date'!AR36</f>
        <v>0</v>
      </c>
      <c r="FE33" s="383">
        <f>'[1]COE DISB 2019'!AQ41</f>
        <v>0</v>
      </c>
      <c r="FF33" s="383">
        <f t="shared" si="40"/>
        <v>0</v>
      </c>
      <c r="FG33" s="380"/>
      <c r="FH33" s="383">
        <f>'[1]COE commited funds to date'!AP36</f>
        <v>0</v>
      </c>
      <c r="FI33" s="383">
        <f>'[1]COE DISB 2019'!AR41</f>
        <v>0</v>
      </c>
      <c r="FJ33" s="383">
        <f t="shared" si="41"/>
        <v>0</v>
      </c>
      <c r="FK33" s="383">
        <f>'[1]COE commited funds to date'!AS36</f>
        <v>150000000</v>
      </c>
      <c r="FL33" s="383">
        <f>'[1]COE DISB 2019'!AS41</f>
        <v>150000000</v>
      </c>
      <c r="FM33" s="383">
        <f t="shared" si="42"/>
        <v>0</v>
      </c>
      <c r="FN33" s="380"/>
      <c r="FO33" s="383">
        <f>'[1]COE commited funds to date'!AT36</f>
        <v>200000000</v>
      </c>
      <c r="FP33" s="383">
        <f>'[1]COE DISB 2019'!AT41</f>
        <v>0</v>
      </c>
      <c r="FQ33" s="383">
        <f t="shared" si="43"/>
        <v>200000000</v>
      </c>
      <c r="FR33" s="380"/>
      <c r="FS33" s="383">
        <f>'[1]COE commited funds to date'!AU36</f>
        <v>75000000</v>
      </c>
      <c r="FT33" s="383">
        <f>'[1]COE DISB 2019'!AU41</f>
        <v>47250000</v>
      </c>
      <c r="FU33" s="383">
        <f t="shared" si="44"/>
        <v>27750000</v>
      </c>
      <c r="FV33" s="380"/>
      <c r="FW33" s="383">
        <f>'[1]COE commited funds to date'!AV36</f>
        <v>8700000</v>
      </c>
      <c r="FX33" s="383">
        <f>'[1]COE DISB 2019'!AV41</f>
        <v>0</v>
      </c>
      <c r="FY33" s="383">
        <f t="shared" si="45"/>
        <v>8700000</v>
      </c>
      <c r="FZ33" s="380"/>
      <c r="GA33" s="383">
        <f>'[1]COE commited funds to date'!AW36</f>
        <v>5000000</v>
      </c>
      <c r="GB33" s="383">
        <f>'[1]COE DISB 2019'!AW41</f>
        <v>0</v>
      </c>
      <c r="GC33" s="383">
        <f t="shared" si="46"/>
        <v>5000000</v>
      </c>
      <c r="GD33" s="380"/>
      <c r="GE33" s="383">
        <f>'[1]COE commited funds to date'!AX36</f>
        <v>20000000</v>
      </c>
      <c r="GF33" s="383">
        <f>'[1]COE DISB 2019'!AX41</f>
        <v>9540570</v>
      </c>
      <c r="GG33" s="383">
        <f t="shared" si="47"/>
        <v>10459430</v>
      </c>
      <c r="GH33" s="380"/>
      <c r="GI33" s="383">
        <f>'[1]COE commited funds to date'!AY36</f>
        <v>0</v>
      </c>
      <c r="GJ33" s="383">
        <f>'[1]COE DISB 2019'!AY41</f>
        <v>0</v>
      </c>
      <c r="GK33" s="383">
        <f t="shared" si="48"/>
        <v>0</v>
      </c>
      <c r="GL33" s="380"/>
      <c r="GM33" s="383">
        <f>'[1]COE commited funds to date'!AZ36</f>
        <v>116776600</v>
      </c>
      <c r="GN33" s="383">
        <f>'[1]COE DISB 2019'!AZ41</f>
        <v>0</v>
      </c>
      <c r="GO33" s="383">
        <f t="shared" si="49"/>
        <v>116776600</v>
      </c>
      <c r="GP33" s="380"/>
      <c r="GQ33" s="383">
        <f>'[1]COE commited funds to date'!BA36</f>
        <v>0</v>
      </c>
      <c r="GR33" s="383">
        <f>'[1]COE DISB 2019'!BA41</f>
        <v>0</v>
      </c>
      <c r="GS33" s="383">
        <f t="shared" si="50"/>
        <v>0</v>
      </c>
      <c r="GT33" s="380"/>
      <c r="GU33" s="383">
        <f>'[1]COE commited funds to date'!BB36</f>
        <v>0</v>
      </c>
      <c r="GV33" s="383">
        <f>'[1]COE DISB 2019'!BB41</f>
        <v>0</v>
      </c>
      <c r="GW33" s="383">
        <f t="shared" si="51"/>
        <v>0</v>
      </c>
      <c r="GX33" s="380"/>
      <c r="GY33" s="383">
        <f>'[1]COE commited funds to date'!BC36</f>
        <v>0</v>
      </c>
      <c r="GZ33" s="383">
        <f>'[1]COE DISB 2019'!BC41</f>
        <v>0</v>
      </c>
      <c r="HA33" s="383">
        <f t="shared" si="52"/>
        <v>0</v>
      </c>
      <c r="HB33" s="380"/>
      <c r="HC33" s="383">
        <f t="shared" si="53"/>
        <v>3099515375.4200001</v>
      </c>
      <c r="HD33" s="383">
        <f t="shared" si="53"/>
        <v>2730273856.52</v>
      </c>
      <c r="HE33" s="382">
        <f t="shared" si="54"/>
        <v>369241518.9000001</v>
      </c>
      <c r="HG33" s="383">
        <f t="shared" si="55"/>
        <v>953366775.5</v>
      </c>
      <c r="HH33" s="383">
        <f t="shared" si="55"/>
        <v>753366775.5</v>
      </c>
      <c r="HI33" s="383">
        <f t="shared" si="56"/>
        <v>200000000</v>
      </c>
      <c r="HK33" s="383">
        <f t="shared" si="57"/>
        <v>1750000000</v>
      </c>
      <c r="HL33" s="383">
        <f t="shared" si="57"/>
        <v>1750000000</v>
      </c>
      <c r="HM33" s="383">
        <f t="shared" si="58"/>
        <v>0</v>
      </c>
      <c r="HO33" s="383">
        <f t="shared" si="37"/>
        <v>671999.92</v>
      </c>
      <c r="HP33" s="383">
        <f t="shared" si="37"/>
        <v>671999.92</v>
      </c>
      <c r="HQ33" s="383">
        <f t="shared" si="59"/>
        <v>0</v>
      </c>
      <c r="HS33" s="383">
        <f t="shared" si="60"/>
        <v>40000000</v>
      </c>
      <c r="HT33" s="383">
        <f t="shared" si="60"/>
        <v>28985081.100000001</v>
      </c>
      <c r="HU33" s="383">
        <f t="shared" si="61"/>
        <v>11014918.899999999</v>
      </c>
      <c r="HW33" s="383">
        <f t="shared" si="62"/>
        <v>8700000</v>
      </c>
      <c r="HX33" s="383">
        <f t="shared" si="62"/>
        <v>0</v>
      </c>
      <c r="HY33" s="383">
        <f t="shared" si="63"/>
        <v>8700000</v>
      </c>
      <c r="IA33" s="387">
        <f t="shared" si="64"/>
        <v>5000000</v>
      </c>
      <c r="IB33" s="387">
        <f t="shared" si="64"/>
        <v>0</v>
      </c>
      <c r="IC33" s="387">
        <f t="shared" si="65"/>
        <v>5000000</v>
      </c>
      <c r="IE33" s="383">
        <f t="shared" si="66"/>
        <v>341776600</v>
      </c>
      <c r="IF33" s="383">
        <f t="shared" si="66"/>
        <v>197250000</v>
      </c>
      <c r="IG33" s="383">
        <f t="shared" si="67"/>
        <v>144526600</v>
      </c>
      <c r="II33" s="383">
        <f t="shared" si="68"/>
        <v>0</v>
      </c>
      <c r="IJ33" s="383">
        <f t="shared" si="68"/>
        <v>0</v>
      </c>
      <c r="IK33" s="383">
        <f t="shared" si="69"/>
        <v>0</v>
      </c>
    </row>
    <row r="34" spans="1:245" ht="19.5" customHeight="1" x14ac:dyDescent="0.25">
      <c r="A34" s="380">
        <v>31</v>
      </c>
      <c r="B34" s="380" t="s">
        <v>350</v>
      </c>
      <c r="C34" s="381" t="s">
        <v>65</v>
      </c>
      <c r="D34" s="382">
        <v>18318965.5</v>
      </c>
      <c r="E34" s="382">
        <f>'[1]COE DISB 2019'!D42</f>
        <v>18318965.5</v>
      </c>
      <c r="F34" s="383">
        <f t="shared" si="0"/>
        <v>0</v>
      </c>
      <c r="H34" s="382">
        <v>8000000</v>
      </c>
      <c r="I34" s="382">
        <f>'[1]COE DISB 2019'!E42</f>
        <v>8000000</v>
      </c>
      <c r="J34" s="383">
        <f t="shared" si="1"/>
        <v>0</v>
      </c>
      <c r="L34" s="382">
        <v>500000</v>
      </c>
      <c r="M34" s="382">
        <f>'[1]COE DISB 2019'!F42</f>
        <v>500000</v>
      </c>
      <c r="N34" s="383">
        <f t="shared" si="2"/>
        <v>0</v>
      </c>
      <c r="P34" s="353">
        <v>16000000</v>
      </c>
      <c r="Q34" s="382">
        <f>'[1]COE DISB 2019'!G42</f>
        <v>16000000</v>
      </c>
      <c r="R34" s="383">
        <f t="shared" si="3"/>
        <v>0</v>
      </c>
      <c r="T34" s="385">
        <v>1220000</v>
      </c>
      <c r="U34" s="382">
        <f>'[1]COE DISB 2019'!H42</f>
        <v>1220000</v>
      </c>
      <c r="V34" s="383">
        <f t="shared" si="4"/>
        <v>0</v>
      </c>
      <c r="X34" s="353">
        <v>0</v>
      </c>
      <c r="Y34" s="382">
        <f>'[1]COE DISB 2019'!I42</f>
        <v>0</v>
      </c>
      <c r="Z34" s="383">
        <f t="shared" si="5"/>
        <v>0</v>
      </c>
      <c r="AB34" s="385">
        <v>20000000</v>
      </c>
      <c r="AC34" s="382">
        <f>'[1]COE DISB 2019'!J42</f>
        <v>20000000</v>
      </c>
      <c r="AD34" s="383">
        <f t="shared" si="6"/>
        <v>0</v>
      </c>
      <c r="AF34" s="353">
        <v>0</v>
      </c>
      <c r="AG34" s="382">
        <f>'[1]COE DISB 2019'!K42</f>
        <v>0</v>
      </c>
      <c r="AH34" s="383">
        <f t="shared" si="7"/>
        <v>0</v>
      </c>
      <c r="AJ34" s="385">
        <v>10000000</v>
      </c>
      <c r="AK34" s="382">
        <f>'[1]COE DISB 2019'!L42</f>
        <v>10000000</v>
      </c>
      <c r="AL34" s="383">
        <f t="shared" si="8"/>
        <v>0</v>
      </c>
      <c r="AN34" s="382">
        <v>10000000</v>
      </c>
      <c r="AO34" s="382">
        <f>'[1]COE DISB 2019'!M42</f>
        <v>10000000</v>
      </c>
      <c r="AP34" s="383">
        <f t="shared" si="9"/>
        <v>0</v>
      </c>
      <c r="AR34" s="382">
        <v>15000000</v>
      </c>
      <c r="AS34" s="382">
        <f>'[1]COE DISB 2019'!N42</f>
        <v>15000000</v>
      </c>
      <c r="AT34" s="383">
        <f t="shared" si="10"/>
        <v>0</v>
      </c>
      <c r="AV34" s="382">
        <v>0</v>
      </c>
      <c r="AW34" s="385">
        <f>'[1]COE DISB 2019'!O42</f>
        <v>0</v>
      </c>
      <c r="AX34" s="382">
        <f t="shared" si="11"/>
        <v>0</v>
      </c>
      <c r="AZ34" s="382">
        <v>18000000</v>
      </c>
      <c r="BA34" s="382">
        <f>'[1]COE DISB 2019'!P42</f>
        <v>18000000</v>
      </c>
      <c r="BB34" s="382">
        <f t="shared" si="12"/>
        <v>0</v>
      </c>
      <c r="BD34" s="382">
        <v>23400000</v>
      </c>
      <c r="BE34" s="382">
        <f>'[1]COE DISB 2019'!Q42</f>
        <v>23400000</v>
      </c>
      <c r="BF34" s="382">
        <f t="shared" si="13"/>
        <v>0</v>
      </c>
      <c r="BH34" s="382">
        <v>0</v>
      </c>
      <c r="BI34" s="382">
        <f>'[1]COE DISB 2019'!R42</f>
        <v>0</v>
      </c>
      <c r="BJ34" s="382">
        <f t="shared" si="14"/>
        <v>0</v>
      </c>
      <c r="BL34" s="382">
        <v>43000000</v>
      </c>
      <c r="BM34" s="382">
        <f>'[1]COE DISB 2019'!S42</f>
        <v>43000000</v>
      </c>
      <c r="BN34" s="382">
        <f t="shared" si="15"/>
        <v>0</v>
      </c>
      <c r="BP34" s="382">
        <v>37160000</v>
      </c>
      <c r="BQ34" s="382">
        <f>'[1]COE DISB 2019'!T42</f>
        <v>37160000</v>
      </c>
      <c r="BR34" s="382">
        <f t="shared" si="16"/>
        <v>0</v>
      </c>
      <c r="BT34" s="382">
        <v>0</v>
      </c>
      <c r="BU34" s="382">
        <f>'[1]COE DISB 2019'!U42</f>
        <v>0</v>
      </c>
      <c r="BV34" s="382">
        <f t="shared" si="17"/>
        <v>0</v>
      </c>
      <c r="BX34" s="382">
        <v>112670000</v>
      </c>
      <c r="BY34" s="382">
        <f>'[1]COE DISB 2019'!V42</f>
        <v>112670000</v>
      </c>
      <c r="BZ34" s="382">
        <f t="shared" si="18"/>
        <v>0</v>
      </c>
      <c r="CB34" s="382">
        <f>'[1]COE commited funds to date'!W37</f>
        <v>0</v>
      </c>
      <c r="CC34" s="382">
        <f>'[1]COE DISB 2019'!W42</f>
        <v>0</v>
      </c>
      <c r="CD34" s="382">
        <f t="shared" si="19"/>
        <v>0</v>
      </c>
      <c r="CF34" s="382">
        <f>'[1]COE commited funds to date'!X37</f>
        <v>0</v>
      </c>
      <c r="CG34" s="382">
        <f>'[1]COE DISB 2019'!X42</f>
        <v>0</v>
      </c>
      <c r="CH34" s="382">
        <f t="shared" si="20"/>
        <v>0</v>
      </c>
      <c r="CJ34" s="382">
        <v>0</v>
      </c>
      <c r="CK34" s="382">
        <f>'[1]COE DISB 2019'!Y42</f>
        <v>0</v>
      </c>
      <c r="CL34" s="382">
        <f t="shared" si="21"/>
        <v>0</v>
      </c>
      <c r="CN34" s="382">
        <v>0</v>
      </c>
      <c r="CO34" s="382">
        <f>'[1]COE DISB 2019'!Z42</f>
        <v>0</v>
      </c>
      <c r="CP34" s="382">
        <f t="shared" si="22"/>
        <v>0</v>
      </c>
      <c r="CR34" s="382">
        <v>0</v>
      </c>
      <c r="CS34" s="382">
        <f>'[1]COE DISB 2019'!AA42</f>
        <v>0</v>
      </c>
      <c r="CT34" s="382">
        <f t="shared" si="23"/>
        <v>0</v>
      </c>
      <c r="CV34" s="382">
        <v>0</v>
      </c>
      <c r="CW34" s="382">
        <f>'[1]COE DISB 2019'!AB42</f>
        <v>0</v>
      </c>
      <c r="CX34" s="382">
        <f t="shared" si="24"/>
        <v>0</v>
      </c>
      <c r="CZ34" s="382">
        <f>'[1]COE commited funds to date'!AC37</f>
        <v>0</v>
      </c>
      <c r="DA34" s="382">
        <f>'[1]COE DISB 2019'!AC42</f>
        <v>0</v>
      </c>
      <c r="DB34" s="382">
        <f t="shared" si="25"/>
        <v>0</v>
      </c>
      <c r="DC34" s="386"/>
      <c r="DD34" s="382">
        <v>215000000</v>
      </c>
      <c r="DE34" s="382">
        <f>'[1]COE DISB 2019'!AD42</f>
        <v>215000000</v>
      </c>
      <c r="DF34" s="382">
        <f t="shared" si="26"/>
        <v>0</v>
      </c>
      <c r="DG34" s="386"/>
      <c r="DH34" s="382">
        <v>10000000</v>
      </c>
      <c r="DI34" s="382">
        <f>'[1]COE DISB 2019'!AE42</f>
        <v>10000000</v>
      </c>
      <c r="DJ34" s="382">
        <f>DH34-DI34</f>
        <v>0</v>
      </c>
      <c r="DK34" s="386"/>
      <c r="DL34" s="382">
        <f>'[1]COE commited funds to date'!AD37</f>
        <v>0</v>
      </c>
      <c r="DM34" s="382">
        <f>'[1]COE DISB 2019'!AF42</f>
        <v>0</v>
      </c>
      <c r="DN34" s="382">
        <f t="shared" si="28"/>
        <v>0</v>
      </c>
      <c r="DO34" s="386"/>
      <c r="DP34" s="382">
        <v>0</v>
      </c>
      <c r="DQ34" s="382">
        <f>'[1]COE DISB 2019'!AG42</f>
        <v>0</v>
      </c>
      <c r="DR34" s="382">
        <f t="shared" si="29"/>
        <v>0</v>
      </c>
      <c r="DS34" s="386"/>
      <c r="DT34" s="353">
        <v>0</v>
      </c>
      <c r="DU34" s="382">
        <f>'[1]COE DISB 2019'!AH42</f>
        <v>0</v>
      </c>
      <c r="DV34" s="382">
        <f t="shared" si="30"/>
        <v>0</v>
      </c>
      <c r="DW34" s="386"/>
      <c r="DX34" s="382">
        <f>'[1]COE commited funds to date'!AI37</f>
        <v>100000000</v>
      </c>
      <c r="DY34" s="382">
        <f>'[1]COE DISB 2019'!AI42</f>
        <v>100000000</v>
      </c>
      <c r="DZ34" s="382">
        <f t="shared" si="31"/>
        <v>0</v>
      </c>
      <c r="EA34" s="386"/>
      <c r="EB34" s="382">
        <f>'[1]COE commited funds to date'!AJ37</f>
        <v>0</v>
      </c>
      <c r="EC34" s="382">
        <f>'[1]COE DISB 2019'!AJ42</f>
        <v>0</v>
      </c>
      <c r="ED34" s="382">
        <f t="shared" si="32"/>
        <v>0</v>
      </c>
      <c r="EE34" s="386"/>
      <c r="EF34" s="382">
        <f>'[1]COE commited funds to date'!AK37</f>
        <v>0</v>
      </c>
      <c r="EG34" s="382">
        <f>'[1]COE DISB 2019'!AK42</f>
        <v>0</v>
      </c>
      <c r="EH34" s="382">
        <f t="shared" si="33"/>
        <v>0</v>
      </c>
      <c r="EI34" s="386"/>
      <c r="EJ34" s="382">
        <f>'[1]COE commited funds to date'!AL37</f>
        <v>0</v>
      </c>
      <c r="EK34" s="382">
        <f>'[1]COE DISB 2019'!AL42</f>
        <v>0</v>
      </c>
      <c r="EL34" s="382">
        <f t="shared" si="34"/>
        <v>0</v>
      </c>
      <c r="EM34" s="386"/>
      <c r="EN34" s="382">
        <f>'[1]COE commited funds to date'!AM37</f>
        <v>0</v>
      </c>
      <c r="EO34" s="382">
        <f>'[1]COE DISB 2019'!AM42</f>
        <v>0</v>
      </c>
      <c r="EP34" s="382">
        <f t="shared" si="35"/>
        <v>0</v>
      </c>
      <c r="EQ34" s="386"/>
      <c r="ER34" s="382">
        <f>'[1]COE commited funds to date'!AN37</f>
        <v>0</v>
      </c>
      <c r="ES34" s="382">
        <f>'[1]COE DISB 2019'!AN42</f>
        <v>0</v>
      </c>
      <c r="ET34" s="382">
        <f t="shared" si="36"/>
        <v>0</v>
      </c>
      <c r="EV34" s="383">
        <f>'[1]COE commited funds to date'!AO37</f>
        <v>371067000</v>
      </c>
      <c r="EW34" s="383">
        <f>'[1]COE DISB 2019'!AO42</f>
        <v>215218860</v>
      </c>
      <c r="EX34" s="383">
        <f t="shared" si="38"/>
        <v>155848140</v>
      </c>
      <c r="EY34" s="380"/>
      <c r="EZ34" s="383">
        <f>'[1]COE commited funds to date'!AQ37</f>
        <v>12000000</v>
      </c>
      <c r="FA34" s="383">
        <f>'[1]COE DISB 2019'!AP42</f>
        <v>11960800</v>
      </c>
      <c r="FB34" s="383">
        <f t="shared" si="39"/>
        <v>39200</v>
      </c>
      <c r="FC34" s="380"/>
      <c r="FD34" s="383">
        <f>'[1]COE commited funds to date'!AR37</f>
        <v>10000000</v>
      </c>
      <c r="FE34" s="383">
        <f>'[1]COE DISB 2019'!AQ42</f>
        <v>0</v>
      </c>
      <c r="FF34" s="383">
        <f t="shared" si="40"/>
        <v>10000000</v>
      </c>
      <c r="FG34" s="380"/>
      <c r="FH34" s="383">
        <f>'[1]COE commited funds to date'!AP37</f>
        <v>8000000</v>
      </c>
      <c r="FI34" s="383">
        <f>'[1]COE DISB 2019'!AR42</f>
        <v>6800000</v>
      </c>
      <c r="FJ34" s="383">
        <f t="shared" si="41"/>
        <v>1200000</v>
      </c>
      <c r="FK34" s="383">
        <f>'[1]COE commited funds to date'!AS37</f>
        <v>0</v>
      </c>
      <c r="FL34" s="383">
        <f>'[1]COE DISB 2019'!AS42</f>
        <v>0</v>
      </c>
      <c r="FM34" s="383">
        <f t="shared" si="42"/>
        <v>0</v>
      </c>
      <c r="FN34" s="380"/>
      <c r="FO34" s="383">
        <f>'[1]COE commited funds to date'!AT37</f>
        <v>0</v>
      </c>
      <c r="FP34" s="383">
        <f>'[1]COE DISB 2019'!AT42</f>
        <v>0</v>
      </c>
      <c r="FQ34" s="383">
        <f t="shared" si="43"/>
        <v>0</v>
      </c>
      <c r="FR34" s="380"/>
      <c r="FS34" s="383">
        <f>'[1]COE commited funds to date'!AU37</f>
        <v>75000000</v>
      </c>
      <c r="FT34" s="383">
        <f>'[1]COE DISB 2019'!AU42</f>
        <v>63750000</v>
      </c>
      <c r="FU34" s="383">
        <f t="shared" si="44"/>
        <v>11250000</v>
      </c>
      <c r="FV34" s="380"/>
      <c r="FW34" s="383">
        <f>'[1]COE commited funds to date'!AV37</f>
        <v>0</v>
      </c>
      <c r="FX34" s="383">
        <f>'[1]COE DISB 2019'!AV42</f>
        <v>0</v>
      </c>
      <c r="FY34" s="383">
        <f t="shared" si="45"/>
        <v>0</v>
      </c>
      <c r="FZ34" s="380"/>
      <c r="GA34" s="383">
        <f>'[1]COE commited funds to date'!AW37</f>
        <v>0</v>
      </c>
      <c r="GB34" s="383">
        <f>'[1]COE DISB 2019'!AW42</f>
        <v>0</v>
      </c>
      <c r="GC34" s="383">
        <f t="shared" si="46"/>
        <v>0</v>
      </c>
      <c r="GD34" s="380"/>
      <c r="GE34" s="383">
        <f>'[1]COE commited funds to date'!AX37</f>
        <v>0</v>
      </c>
      <c r="GF34" s="383">
        <f>'[1]COE DISB 2019'!AX42</f>
        <v>0</v>
      </c>
      <c r="GG34" s="383">
        <f t="shared" si="47"/>
        <v>0</v>
      </c>
      <c r="GH34" s="380"/>
      <c r="GI34" s="383">
        <f>'[1]COE commited funds to date'!AY37</f>
        <v>0</v>
      </c>
      <c r="GJ34" s="383">
        <f>'[1]COE DISB 2019'!AY42</f>
        <v>0</v>
      </c>
      <c r="GK34" s="383">
        <f t="shared" si="48"/>
        <v>0</v>
      </c>
      <c r="GL34" s="380"/>
      <c r="GM34" s="383">
        <f>'[1]COE commited funds to date'!AZ37</f>
        <v>116776600</v>
      </c>
      <c r="GN34" s="383">
        <f>'[1]COE DISB 2019'!AZ42</f>
        <v>0</v>
      </c>
      <c r="GO34" s="383">
        <f t="shared" si="49"/>
        <v>116776600</v>
      </c>
      <c r="GP34" s="380"/>
      <c r="GQ34" s="383">
        <f>'[1]COE commited funds to date'!BA37</f>
        <v>0</v>
      </c>
      <c r="GR34" s="383">
        <f>'[1]COE DISB 2019'!BA42</f>
        <v>0</v>
      </c>
      <c r="GS34" s="383">
        <f t="shared" si="50"/>
        <v>0</v>
      </c>
      <c r="GT34" s="380"/>
      <c r="GU34" s="383">
        <f>'[1]COE commited funds to date'!BB37</f>
        <v>0</v>
      </c>
      <c r="GV34" s="383">
        <f>'[1]COE DISB 2019'!BB42</f>
        <v>0</v>
      </c>
      <c r="GW34" s="383">
        <f t="shared" si="51"/>
        <v>0</v>
      </c>
      <c r="GX34" s="380"/>
      <c r="GY34" s="383">
        <f>'[1]COE commited funds to date'!BC37</f>
        <v>0</v>
      </c>
      <c r="GZ34" s="383">
        <f>'[1]COE DISB 2019'!BC42</f>
        <v>0</v>
      </c>
      <c r="HA34" s="383">
        <f t="shared" si="52"/>
        <v>0</v>
      </c>
      <c r="HB34" s="380"/>
      <c r="HC34" s="383">
        <f t="shared" si="53"/>
        <v>1251112565.5</v>
      </c>
      <c r="HD34" s="383">
        <f t="shared" si="53"/>
        <v>955998625.5</v>
      </c>
      <c r="HE34" s="382">
        <f t="shared" si="54"/>
        <v>295113940</v>
      </c>
      <c r="HG34" s="383">
        <f t="shared" si="55"/>
        <v>917615965.5</v>
      </c>
      <c r="HH34" s="383">
        <f t="shared" si="55"/>
        <v>761767825.5</v>
      </c>
      <c r="HI34" s="383">
        <f t="shared" si="56"/>
        <v>155848140</v>
      </c>
      <c r="HK34" s="383">
        <f t="shared" si="57"/>
        <v>100000000</v>
      </c>
      <c r="HL34" s="383">
        <f t="shared" si="57"/>
        <v>100000000</v>
      </c>
      <c r="HM34" s="383">
        <f t="shared" si="58"/>
        <v>0</v>
      </c>
      <c r="HO34" s="383">
        <f t="shared" si="37"/>
        <v>1720000</v>
      </c>
      <c r="HP34" s="383">
        <f t="shared" si="37"/>
        <v>1720000</v>
      </c>
      <c r="HQ34" s="383">
        <f t="shared" si="59"/>
        <v>0</v>
      </c>
      <c r="HS34" s="383">
        <f t="shared" si="60"/>
        <v>22000000</v>
      </c>
      <c r="HT34" s="383">
        <f t="shared" si="60"/>
        <v>21960800</v>
      </c>
      <c r="HU34" s="383">
        <f t="shared" si="61"/>
        <v>39200</v>
      </c>
      <c r="HW34" s="383">
        <f t="shared" si="62"/>
        <v>8000000</v>
      </c>
      <c r="HX34" s="383">
        <f t="shared" si="62"/>
        <v>6800000</v>
      </c>
      <c r="HY34" s="383">
        <f t="shared" si="63"/>
        <v>1200000</v>
      </c>
      <c r="IA34" s="387">
        <f t="shared" si="64"/>
        <v>10000000</v>
      </c>
      <c r="IB34" s="387">
        <f t="shared" si="64"/>
        <v>0</v>
      </c>
      <c r="IC34" s="387">
        <f t="shared" si="65"/>
        <v>10000000</v>
      </c>
      <c r="IE34" s="383">
        <f t="shared" si="66"/>
        <v>191776600</v>
      </c>
      <c r="IF34" s="383">
        <f t="shared" si="66"/>
        <v>63750000</v>
      </c>
      <c r="IG34" s="383">
        <f t="shared" si="67"/>
        <v>128026600</v>
      </c>
      <c r="II34" s="383">
        <f t="shared" si="68"/>
        <v>0</v>
      </c>
      <c r="IJ34" s="383">
        <f t="shared" si="68"/>
        <v>0</v>
      </c>
      <c r="IK34" s="383">
        <f t="shared" si="69"/>
        <v>0</v>
      </c>
    </row>
    <row r="35" spans="1:245" ht="19.5" customHeight="1" x14ac:dyDescent="0.25">
      <c r="A35" s="380">
        <v>32</v>
      </c>
      <c r="B35" s="380" t="s">
        <v>351</v>
      </c>
      <c r="C35" s="381"/>
      <c r="D35" s="382">
        <v>18318965.5</v>
      </c>
      <c r="E35" s="382">
        <f>'[1]COE DISB 2019'!D43</f>
        <v>18318965.5</v>
      </c>
      <c r="F35" s="383">
        <f t="shared" si="0"/>
        <v>0</v>
      </c>
      <c r="H35" s="382">
        <v>8000000</v>
      </c>
      <c r="I35" s="382">
        <f>'[1]COE DISB 2019'!E43</f>
        <v>8000000</v>
      </c>
      <c r="J35" s="383">
        <f t="shared" si="1"/>
        <v>0</v>
      </c>
      <c r="L35" s="382">
        <v>500000</v>
      </c>
      <c r="M35" s="382">
        <f>'[1]COE DISB 2019'!F43</f>
        <v>500000</v>
      </c>
      <c r="N35" s="383">
        <f t="shared" si="2"/>
        <v>0</v>
      </c>
      <c r="P35" s="353">
        <v>16000000</v>
      </c>
      <c r="Q35" s="382">
        <f>'[1]COE DISB 2019'!G43</f>
        <v>16000000</v>
      </c>
      <c r="R35" s="383">
        <f t="shared" si="3"/>
        <v>0</v>
      </c>
      <c r="T35" s="385">
        <v>534000</v>
      </c>
      <c r="U35" s="382">
        <f>'[1]COE DISB 2019'!H43</f>
        <v>534000</v>
      </c>
      <c r="V35" s="383">
        <f t="shared" si="4"/>
        <v>0</v>
      </c>
      <c r="X35" s="353">
        <v>0</v>
      </c>
      <c r="Y35" s="382">
        <f>'[1]COE DISB 2019'!I43</f>
        <v>0</v>
      </c>
      <c r="Z35" s="383">
        <f t="shared" si="5"/>
        <v>0</v>
      </c>
      <c r="AB35" s="385">
        <v>20000000</v>
      </c>
      <c r="AC35" s="382">
        <f>'[1]COE DISB 2019'!J43</f>
        <v>20000000</v>
      </c>
      <c r="AD35" s="383">
        <f t="shared" si="6"/>
        <v>0</v>
      </c>
      <c r="AF35" s="353">
        <v>0</v>
      </c>
      <c r="AG35" s="382">
        <f>'[1]COE DISB 2019'!K43</f>
        <v>0</v>
      </c>
      <c r="AH35" s="383">
        <f t="shared" si="7"/>
        <v>0</v>
      </c>
      <c r="AJ35" s="385">
        <v>10000000</v>
      </c>
      <c r="AK35" s="382">
        <f>'[1]COE DISB 2019'!L43</f>
        <v>10000000</v>
      </c>
      <c r="AL35" s="383">
        <f t="shared" si="8"/>
        <v>0</v>
      </c>
      <c r="AN35" s="382">
        <v>10000000</v>
      </c>
      <c r="AO35" s="382">
        <f>'[1]COE DISB 2019'!M43</f>
        <v>10000000</v>
      </c>
      <c r="AP35" s="383">
        <f t="shared" si="9"/>
        <v>0</v>
      </c>
      <c r="AR35" s="382">
        <v>15000000</v>
      </c>
      <c r="AS35" s="382">
        <f>'[1]COE DISB 2019'!N43</f>
        <v>15000000</v>
      </c>
      <c r="AT35" s="383">
        <f t="shared" si="10"/>
        <v>0</v>
      </c>
      <c r="AV35" s="382">
        <v>0</v>
      </c>
      <c r="AW35" s="385">
        <f>'[1]COE DISB 2019'!O43</f>
        <v>0</v>
      </c>
      <c r="AX35" s="382">
        <f t="shared" si="11"/>
        <v>0</v>
      </c>
      <c r="AZ35" s="382">
        <v>18000000</v>
      </c>
      <c r="BA35" s="382">
        <f>'[1]COE DISB 2019'!P43</f>
        <v>18000000</v>
      </c>
      <c r="BB35" s="382">
        <f t="shared" si="12"/>
        <v>0</v>
      </c>
      <c r="BD35" s="382">
        <v>23400000</v>
      </c>
      <c r="BE35" s="382">
        <f>'[1]COE DISB 2019'!Q43</f>
        <v>23400000</v>
      </c>
      <c r="BF35" s="382">
        <f t="shared" si="13"/>
        <v>0</v>
      </c>
      <c r="BH35" s="382">
        <v>0</v>
      </c>
      <c r="BI35" s="382">
        <f>'[1]COE DISB 2019'!R43</f>
        <v>0</v>
      </c>
      <c r="BJ35" s="382">
        <f t="shared" si="14"/>
        <v>0</v>
      </c>
      <c r="BL35" s="382">
        <v>43000000</v>
      </c>
      <c r="BM35" s="382">
        <f>'[1]COE DISB 2019'!S43</f>
        <v>43000000</v>
      </c>
      <c r="BN35" s="382">
        <f t="shared" si="15"/>
        <v>0</v>
      </c>
      <c r="BP35" s="382">
        <v>37160000</v>
      </c>
      <c r="BQ35" s="382">
        <f>'[1]COE DISB 2019'!T43</f>
        <v>37160000</v>
      </c>
      <c r="BR35" s="382">
        <f t="shared" si="16"/>
        <v>0</v>
      </c>
      <c r="BT35" s="382">
        <v>0</v>
      </c>
      <c r="BU35" s="382">
        <f>'[1]COE DISB 2019'!U43</f>
        <v>0</v>
      </c>
      <c r="BV35" s="382">
        <f t="shared" si="17"/>
        <v>0</v>
      </c>
      <c r="BX35" s="382">
        <v>0</v>
      </c>
      <c r="BY35" s="382">
        <f>'[1]COE DISB 2019'!V43</f>
        <v>0</v>
      </c>
      <c r="BZ35" s="382">
        <f t="shared" si="18"/>
        <v>0</v>
      </c>
      <c r="CB35" s="382">
        <f>'[1]COE commited funds to date'!W38</f>
        <v>50000000</v>
      </c>
      <c r="CC35" s="382">
        <f>'[1]COE DISB 2019'!W43</f>
        <v>50000000</v>
      </c>
      <c r="CD35" s="382">
        <f t="shared" si="19"/>
        <v>0</v>
      </c>
      <c r="CF35" s="382">
        <f>'[1]COE commited funds to date'!X38</f>
        <v>125000000</v>
      </c>
      <c r="CG35" s="382">
        <f>'[1]COE DISB 2019'!X43</f>
        <v>125000000</v>
      </c>
      <c r="CH35" s="382">
        <f t="shared" si="20"/>
        <v>0</v>
      </c>
      <c r="CJ35" s="382">
        <v>10000000</v>
      </c>
      <c r="CK35" s="382">
        <f>'[1]COE DISB 2019'!Y43</f>
        <v>10000000</v>
      </c>
      <c r="CL35" s="382">
        <f t="shared" si="21"/>
        <v>0</v>
      </c>
      <c r="CN35" s="382">
        <v>0</v>
      </c>
      <c r="CO35" s="382">
        <f>'[1]COE DISB 2019'!Z43</f>
        <v>0</v>
      </c>
      <c r="CP35" s="382">
        <f t="shared" si="22"/>
        <v>0</v>
      </c>
      <c r="CR35" s="382">
        <v>0</v>
      </c>
      <c r="CS35" s="382">
        <f>'[1]COE DISB 2019'!AA43</f>
        <v>0</v>
      </c>
      <c r="CT35" s="382">
        <f t="shared" si="23"/>
        <v>0</v>
      </c>
      <c r="CV35" s="382">
        <v>0</v>
      </c>
      <c r="CW35" s="382">
        <f>'[1]COE DISB 2019'!AB43</f>
        <v>0</v>
      </c>
      <c r="CX35" s="382">
        <f t="shared" si="24"/>
        <v>0</v>
      </c>
      <c r="CZ35" s="382">
        <f>'[1]COE commited funds to date'!AC38</f>
        <v>0</v>
      </c>
      <c r="DA35" s="382">
        <f>'[1]COE DISB 2019'!AC43</f>
        <v>0</v>
      </c>
      <c r="DB35" s="382">
        <f t="shared" si="25"/>
        <v>0</v>
      </c>
      <c r="DC35" s="386"/>
      <c r="DD35" s="382">
        <v>0</v>
      </c>
      <c r="DE35" s="382">
        <f>'[1]COE DISB 2019'!AD43</f>
        <v>0</v>
      </c>
      <c r="DF35" s="382">
        <f t="shared" si="26"/>
        <v>0</v>
      </c>
      <c r="DG35" s="386"/>
      <c r="DH35" s="397">
        <v>0</v>
      </c>
      <c r="DI35" s="397">
        <f>'[1]COE DISB 2019'!AE43</f>
        <v>0</v>
      </c>
      <c r="DJ35" s="397">
        <v>0</v>
      </c>
      <c r="DK35" s="386"/>
      <c r="DL35" s="382">
        <f>'[1]COE commited funds to date'!AD38</f>
        <v>100000000</v>
      </c>
      <c r="DM35" s="382">
        <f>'[1]COE DISB 2019'!AF43</f>
        <v>100000000</v>
      </c>
      <c r="DN35" s="382">
        <f t="shared" si="28"/>
        <v>0</v>
      </c>
      <c r="DO35" s="386"/>
      <c r="DP35" s="382">
        <v>325000000</v>
      </c>
      <c r="DQ35" s="382">
        <f>'[1]COE DISB 2019'!AG43</f>
        <v>276250000</v>
      </c>
      <c r="DR35" s="382">
        <f t="shared" si="29"/>
        <v>48750000</v>
      </c>
      <c r="DS35" s="386"/>
      <c r="DT35" s="353">
        <v>10000000</v>
      </c>
      <c r="DU35" s="382">
        <f>'[1]COE DISB 2019'!AH43</f>
        <v>10000000</v>
      </c>
      <c r="DV35" s="382">
        <f t="shared" si="30"/>
        <v>0</v>
      </c>
      <c r="DW35" s="386"/>
      <c r="DX35" s="382">
        <f>'[1]COE commited funds to date'!AI38</f>
        <v>45000000</v>
      </c>
      <c r="DY35" s="382">
        <f>'[1]COE DISB 2019'!AI43</f>
        <v>45000000</v>
      </c>
      <c r="DZ35" s="382">
        <f t="shared" si="31"/>
        <v>0</v>
      </c>
      <c r="EA35" s="386"/>
      <c r="EB35" s="382">
        <f>'[1]COE commited funds to date'!AJ38</f>
        <v>0</v>
      </c>
      <c r="EC35" s="382">
        <f>'[1]COE DISB 2019'!AJ43</f>
        <v>0</v>
      </c>
      <c r="ED35" s="382">
        <f t="shared" si="32"/>
        <v>0</v>
      </c>
      <c r="EE35" s="386"/>
      <c r="EF35" s="382">
        <f>'[1]COE commited funds to date'!AK38</f>
        <v>0</v>
      </c>
      <c r="EG35" s="382">
        <f>'[1]COE DISB 2019'!AK43</f>
        <v>0</v>
      </c>
      <c r="EH35" s="382">
        <f t="shared" si="33"/>
        <v>0</v>
      </c>
      <c r="EI35" s="386"/>
      <c r="EJ35" s="382">
        <f>'[1]COE commited funds to date'!AL38</f>
        <v>0</v>
      </c>
      <c r="EK35" s="382">
        <f>'[1]COE DISB 2019'!AL43</f>
        <v>0</v>
      </c>
      <c r="EL35" s="382">
        <f t="shared" si="34"/>
        <v>0</v>
      </c>
      <c r="EM35" s="386"/>
      <c r="EN35" s="382">
        <f>'[1]COE commited funds to date'!AM38</f>
        <v>0</v>
      </c>
      <c r="EO35" s="382">
        <f>'[1]COE DISB 2019'!AM43</f>
        <v>0</v>
      </c>
      <c r="EP35" s="382">
        <f t="shared" si="35"/>
        <v>0</v>
      </c>
      <c r="EQ35" s="386"/>
      <c r="ER35" s="382">
        <f>'[1]COE commited funds to date'!AN38</f>
        <v>2100000000</v>
      </c>
      <c r="ES35" s="382">
        <f>'[1]COE DISB 2019'!AN43</f>
        <v>1950000000</v>
      </c>
      <c r="ET35" s="382">
        <f t="shared" si="36"/>
        <v>150000000</v>
      </c>
      <c r="EV35" s="383">
        <f>'[1]COE commited funds to date'!AO38</f>
        <v>0</v>
      </c>
      <c r="EW35" s="383">
        <f>'[1]COE DISB 2019'!AO43</f>
        <v>0</v>
      </c>
      <c r="EX35" s="383">
        <f t="shared" si="38"/>
        <v>0</v>
      </c>
      <c r="EY35" s="380"/>
      <c r="EZ35" s="383">
        <f>'[1]COE commited funds to date'!AQ38</f>
        <v>0</v>
      </c>
      <c r="FA35" s="383">
        <f>'[1]COE DISB 2019'!AP43</f>
        <v>0</v>
      </c>
      <c r="FB35" s="383">
        <f t="shared" si="39"/>
        <v>0</v>
      </c>
      <c r="FC35" s="380"/>
      <c r="FD35" s="383">
        <f>'[1]COE commited funds to date'!AR38</f>
        <v>0</v>
      </c>
      <c r="FE35" s="383">
        <f>'[1]COE DISB 2019'!AQ43</f>
        <v>0</v>
      </c>
      <c r="FF35" s="383">
        <f t="shared" si="40"/>
        <v>0</v>
      </c>
      <c r="FG35" s="380"/>
      <c r="FH35" s="383">
        <f>'[1]COE commited funds to date'!AP38</f>
        <v>0</v>
      </c>
      <c r="FI35" s="383">
        <f>'[1]COE DISB 2019'!AR43</f>
        <v>0</v>
      </c>
      <c r="FJ35" s="383">
        <f t="shared" si="41"/>
        <v>0</v>
      </c>
      <c r="FK35" s="383">
        <f>'[1]COE commited funds to date'!AS38</f>
        <v>0</v>
      </c>
      <c r="FL35" s="383">
        <f>'[1]COE DISB 2019'!AS43</f>
        <v>0</v>
      </c>
      <c r="FM35" s="383">
        <f t="shared" si="42"/>
        <v>0</v>
      </c>
      <c r="FN35" s="380"/>
      <c r="FO35" s="383">
        <f>'[1]COE commited funds to date'!AT38</f>
        <v>200000000</v>
      </c>
      <c r="FP35" s="383">
        <f>'[1]COE DISB 2019'!AT43</f>
        <v>0</v>
      </c>
      <c r="FQ35" s="383">
        <f t="shared" si="43"/>
        <v>200000000</v>
      </c>
      <c r="FR35" s="380"/>
      <c r="FS35" s="383">
        <f>'[1]COE commited funds to date'!AU38</f>
        <v>75000000</v>
      </c>
      <c r="FT35" s="383">
        <f>'[1]COE DISB 2019'!AU43</f>
        <v>51750000</v>
      </c>
      <c r="FU35" s="383">
        <f t="shared" si="44"/>
        <v>23250000</v>
      </c>
      <c r="FV35" s="380"/>
      <c r="FW35" s="383">
        <f>'[1]COE commited funds to date'!AV38</f>
        <v>8700000</v>
      </c>
      <c r="FX35" s="383">
        <f>'[1]COE DISB 2019'!AV43</f>
        <v>0</v>
      </c>
      <c r="FY35" s="383">
        <f t="shared" si="45"/>
        <v>8700000</v>
      </c>
      <c r="FZ35" s="380"/>
      <c r="GA35" s="383">
        <f>'[1]COE commited funds to date'!AW38</f>
        <v>5000000</v>
      </c>
      <c r="GB35" s="383">
        <f>'[1]COE DISB 2019'!AW43</f>
        <v>0</v>
      </c>
      <c r="GC35" s="383">
        <f t="shared" si="46"/>
        <v>5000000</v>
      </c>
      <c r="GD35" s="380"/>
      <c r="GE35" s="383">
        <f>'[1]COE commited funds to date'!AX38</f>
        <v>20000000</v>
      </c>
      <c r="GF35" s="383">
        <f>'[1]COE DISB 2019'!AX43</f>
        <v>15137000</v>
      </c>
      <c r="GG35" s="383">
        <f t="shared" si="47"/>
        <v>4863000</v>
      </c>
      <c r="GH35" s="380"/>
      <c r="GI35" s="383">
        <f>'[1]COE commited funds to date'!AY38</f>
        <v>0</v>
      </c>
      <c r="GJ35" s="383">
        <f>'[1]COE DISB 2019'!AY43</f>
        <v>0</v>
      </c>
      <c r="GK35" s="383">
        <f t="shared" si="48"/>
        <v>0</v>
      </c>
      <c r="GL35" s="380"/>
      <c r="GM35" s="383">
        <f>'[1]COE commited funds to date'!AZ38</f>
        <v>116776600</v>
      </c>
      <c r="GN35" s="383">
        <f>'[1]COE DISB 2019'!AZ43</f>
        <v>0</v>
      </c>
      <c r="GO35" s="383">
        <f t="shared" si="49"/>
        <v>116776600</v>
      </c>
      <c r="GP35" s="380"/>
      <c r="GQ35" s="383">
        <f>'[1]COE commited funds to date'!BA38</f>
        <v>0</v>
      </c>
      <c r="GR35" s="383">
        <f>'[1]COE DISB 2019'!BA43</f>
        <v>0</v>
      </c>
      <c r="GS35" s="383">
        <f t="shared" si="50"/>
        <v>0</v>
      </c>
      <c r="GT35" s="380"/>
      <c r="GU35" s="383">
        <f>'[1]COE commited funds to date'!BB38</f>
        <v>0</v>
      </c>
      <c r="GV35" s="383">
        <f>'[1]COE DISB 2019'!BB43</f>
        <v>0</v>
      </c>
      <c r="GW35" s="383">
        <f t="shared" si="51"/>
        <v>0</v>
      </c>
      <c r="GX35" s="380"/>
      <c r="GY35" s="383">
        <f>'[1]COE commited funds to date'!BC38</f>
        <v>0</v>
      </c>
      <c r="GZ35" s="383">
        <f>'[1]COE DISB 2019'!BC43</f>
        <v>0</v>
      </c>
      <c r="HA35" s="383">
        <f t="shared" si="52"/>
        <v>0</v>
      </c>
      <c r="HB35" s="380"/>
      <c r="HC35" s="383">
        <f t="shared" si="53"/>
        <v>3410389565.5</v>
      </c>
      <c r="HD35" s="383">
        <f t="shared" si="53"/>
        <v>2853049965.5</v>
      </c>
      <c r="HE35" s="382">
        <f t="shared" si="54"/>
        <v>557339600</v>
      </c>
      <c r="HG35" s="383">
        <f t="shared" si="55"/>
        <v>868878965.5</v>
      </c>
      <c r="HH35" s="383">
        <f t="shared" si="55"/>
        <v>620128965.5</v>
      </c>
      <c r="HI35" s="383">
        <f t="shared" si="56"/>
        <v>248750000</v>
      </c>
      <c r="HK35" s="383">
        <f t="shared" si="57"/>
        <v>2295000000</v>
      </c>
      <c r="HL35" s="383">
        <f t="shared" si="57"/>
        <v>2145000000</v>
      </c>
      <c r="HM35" s="383">
        <f t="shared" si="58"/>
        <v>150000000</v>
      </c>
      <c r="HO35" s="383">
        <f t="shared" si="37"/>
        <v>1034000</v>
      </c>
      <c r="HP35" s="383">
        <f t="shared" si="37"/>
        <v>1034000</v>
      </c>
      <c r="HQ35" s="383">
        <f t="shared" si="59"/>
        <v>0</v>
      </c>
      <c r="HS35" s="383">
        <f t="shared" si="60"/>
        <v>40000000</v>
      </c>
      <c r="HT35" s="383">
        <f t="shared" si="60"/>
        <v>35137000</v>
      </c>
      <c r="HU35" s="383">
        <f t="shared" si="61"/>
        <v>4863000</v>
      </c>
      <c r="HW35" s="383">
        <f t="shared" si="62"/>
        <v>8700000</v>
      </c>
      <c r="HX35" s="383">
        <f t="shared" si="62"/>
        <v>0</v>
      </c>
      <c r="HY35" s="383">
        <f t="shared" si="63"/>
        <v>8700000</v>
      </c>
      <c r="IA35" s="387">
        <f t="shared" si="64"/>
        <v>5000000</v>
      </c>
      <c r="IB35" s="387">
        <f t="shared" si="64"/>
        <v>0</v>
      </c>
      <c r="IC35" s="387">
        <f t="shared" si="65"/>
        <v>5000000</v>
      </c>
      <c r="IE35" s="383">
        <f t="shared" si="66"/>
        <v>191776600</v>
      </c>
      <c r="IF35" s="383">
        <f t="shared" si="66"/>
        <v>51750000</v>
      </c>
      <c r="IG35" s="383">
        <f t="shared" si="67"/>
        <v>140026600</v>
      </c>
      <c r="II35" s="383">
        <f t="shared" si="68"/>
        <v>0</v>
      </c>
      <c r="IJ35" s="383">
        <f t="shared" si="68"/>
        <v>0</v>
      </c>
      <c r="IK35" s="383">
        <f t="shared" si="69"/>
        <v>0</v>
      </c>
    </row>
    <row r="36" spans="1:245" ht="19.5" customHeight="1" x14ac:dyDescent="0.25">
      <c r="A36" s="380">
        <v>33</v>
      </c>
      <c r="B36" s="380" t="s">
        <v>352</v>
      </c>
      <c r="C36" s="42"/>
      <c r="D36" s="382">
        <v>18318965.5</v>
      </c>
      <c r="E36" s="382">
        <f>'[1]COE DISB 2019'!D44</f>
        <v>18318965.5</v>
      </c>
      <c r="F36" s="383">
        <f t="shared" si="0"/>
        <v>0</v>
      </c>
      <c r="H36" s="382">
        <v>8000000</v>
      </c>
      <c r="I36" s="382">
        <f>'[1]COE DISB 2019'!E44</f>
        <v>8000000</v>
      </c>
      <c r="J36" s="383">
        <f t="shared" si="1"/>
        <v>0</v>
      </c>
      <c r="L36" s="382">
        <v>500000</v>
      </c>
      <c r="M36" s="382">
        <f>'[1]COE DISB 2019'!F44</f>
        <v>500000</v>
      </c>
      <c r="N36" s="383">
        <f t="shared" si="2"/>
        <v>0</v>
      </c>
      <c r="P36" s="353">
        <v>16000000</v>
      </c>
      <c r="Q36" s="382">
        <f>'[1]COE DISB 2019'!G44</f>
        <v>16000000</v>
      </c>
      <c r="R36" s="383">
        <f t="shared" si="3"/>
        <v>0</v>
      </c>
      <c r="T36" s="385">
        <v>366000</v>
      </c>
      <c r="U36" s="382">
        <f>'[1]COE DISB 2019'!H44</f>
        <v>366000</v>
      </c>
      <c r="V36" s="383">
        <f t="shared" si="4"/>
        <v>0</v>
      </c>
      <c r="X36" s="353">
        <v>0</v>
      </c>
      <c r="Y36" s="382">
        <f>'[1]COE DISB 2019'!I44</f>
        <v>0</v>
      </c>
      <c r="Z36" s="383">
        <f t="shared" si="5"/>
        <v>0</v>
      </c>
      <c r="AB36" s="385">
        <v>20000000</v>
      </c>
      <c r="AC36" s="382">
        <f>'[1]COE DISB 2019'!J44</f>
        <v>20000000</v>
      </c>
      <c r="AD36" s="383">
        <f t="shared" si="6"/>
        <v>0</v>
      </c>
      <c r="AF36" s="353">
        <v>0</v>
      </c>
      <c r="AG36" s="382">
        <f>'[1]COE DISB 2019'!K44</f>
        <v>0</v>
      </c>
      <c r="AH36" s="383">
        <f t="shared" si="7"/>
        <v>0</v>
      </c>
      <c r="AJ36" s="385">
        <v>10000000</v>
      </c>
      <c r="AK36" s="382">
        <f>'[1]COE DISB 2019'!L44</f>
        <v>10000000</v>
      </c>
      <c r="AL36" s="383">
        <f t="shared" si="8"/>
        <v>0</v>
      </c>
      <c r="AN36" s="382">
        <v>10000000</v>
      </c>
      <c r="AO36" s="382">
        <f>'[1]COE DISB 2019'!M44</f>
        <v>10000000</v>
      </c>
      <c r="AP36" s="383">
        <f t="shared" si="9"/>
        <v>0</v>
      </c>
      <c r="AR36" s="382">
        <v>15000000</v>
      </c>
      <c r="AS36" s="382">
        <f>'[1]COE DISB 2019'!N44</f>
        <v>15000000</v>
      </c>
      <c r="AT36" s="383">
        <f t="shared" si="10"/>
        <v>0</v>
      </c>
      <c r="AV36" s="382">
        <v>0</v>
      </c>
      <c r="AW36" s="385">
        <f>'[1]COE DISB 2019'!O44</f>
        <v>0</v>
      </c>
      <c r="AX36" s="382">
        <f t="shared" si="11"/>
        <v>0</v>
      </c>
      <c r="AZ36" s="382">
        <v>18000000</v>
      </c>
      <c r="BA36" s="382">
        <f>'[1]COE DISB 2019'!P44</f>
        <v>18000000</v>
      </c>
      <c r="BB36" s="382">
        <f t="shared" si="12"/>
        <v>0</v>
      </c>
      <c r="BD36" s="382">
        <v>23400000</v>
      </c>
      <c r="BE36" s="382">
        <f>'[1]COE DISB 2019'!Q44</f>
        <v>23400000</v>
      </c>
      <c r="BF36" s="382">
        <f t="shared" si="13"/>
        <v>0</v>
      </c>
      <c r="BH36" s="382">
        <v>0</v>
      </c>
      <c r="BI36" s="382">
        <f>'[1]COE DISB 2019'!R44</f>
        <v>0</v>
      </c>
      <c r="BJ36" s="382">
        <f t="shared" si="14"/>
        <v>0</v>
      </c>
      <c r="BL36" s="382">
        <v>43000000</v>
      </c>
      <c r="BM36" s="382">
        <f>'[1]COE DISB 2019'!S44</f>
        <v>43000000</v>
      </c>
      <c r="BN36" s="382">
        <f t="shared" si="15"/>
        <v>0</v>
      </c>
      <c r="BP36" s="382">
        <v>37160000</v>
      </c>
      <c r="BQ36" s="382">
        <f>'[1]COE DISB 2019'!T44</f>
        <v>37160000</v>
      </c>
      <c r="BR36" s="382">
        <f t="shared" si="16"/>
        <v>0</v>
      </c>
      <c r="BT36" s="382">
        <v>0</v>
      </c>
      <c r="BU36" s="382">
        <f>'[1]COE DISB 2019'!U44</f>
        <v>0</v>
      </c>
      <c r="BV36" s="382">
        <f t="shared" si="17"/>
        <v>0</v>
      </c>
      <c r="BX36" s="382">
        <v>112669500</v>
      </c>
      <c r="BY36" s="382">
        <f>'[1]COE DISB 2019'!V44</f>
        <v>112669500</v>
      </c>
      <c r="BZ36" s="382">
        <f t="shared" si="18"/>
        <v>0</v>
      </c>
      <c r="CB36" s="382">
        <f>'[1]COE commited funds to date'!W39</f>
        <v>160000000</v>
      </c>
      <c r="CC36" s="382">
        <f>'[1]COE DISB 2019'!W44</f>
        <v>160000000</v>
      </c>
      <c r="CD36" s="382">
        <f t="shared" si="19"/>
        <v>0</v>
      </c>
      <c r="CF36" s="382">
        <f>'[1]COE commited funds to date'!X39</f>
        <v>0</v>
      </c>
      <c r="CG36" s="382">
        <f>'[1]COE DISB 2019'!X44</f>
        <v>0</v>
      </c>
      <c r="CH36" s="382">
        <f t="shared" si="20"/>
        <v>0</v>
      </c>
      <c r="CJ36" s="382">
        <v>0</v>
      </c>
      <c r="CK36" s="382">
        <f>'[1]COE DISB 2019'!Y44</f>
        <v>0</v>
      </c>
      <c r="CL36" s="382">
        <f t="shared" si="21"/>
        <v>0</v>
      </c>
      <c r="CN36" s="382">
        <v>0</v>
      </c>
      <c r="CO36" s="382">
        <f>'[1]COE DISB 2019'!Z44</f>
        <v>0</v>
      </c>
      <c r="CP36" s="382">
        <f t="shared" si="22"/>
        <v>0</v>
      </c>
      <c r="CR36" s="382">
        <v>0</v>
      </c>
      <c r="CS36" s="382">
        <f>'[1]COE DISB 2019'!AA44</f>
        <v>0</v>
      </c>
      <c r="CT36" s="382">
        <f t="shared" si="23"/>
        <v>0</v>
      </c>
      <c r="CV36" s="382">
        <v>0</v>
      </c>
      <c r="CW36" s="382">
        <f>'[1]COE DISB 2019'!AB44</f>
        <v>0</v>
      </c>
      <c r="CX36" s="382">
        <f t="shared" si="24"/>
        <v>0</v>
      </c>
      <c r="CZ36" s="382">
        <f>'[1]COE commited funds to date'!AC39</f>
        <v>1000000000</v>
      </c>
      <c r="DA36" s="382">
        <f>'[1]COE DISB 2019'!AC44</f>
        <v>1000000000</v>
      </c>
      <c r="DB36" s="382">
        <f t="shared" si="25"/>
        <v>0</v>
      </c>
      <c r="DC36" s="386"/>
      <c r="DD36" s="382">
        <v>215000000</v>
      </c>
      <c r="DE36" s="382">
        <f>'[1]COE DISB 2019'!AD44</f>
        <v>215000000</v>
      </c>
      <c r="DF36" s="382">
        <f t="shared" si="26"/>
        <v>0</v>
      </c>
      <c r="DG36" s="386"/>
      <c r="DH36" s="382">
        <v>10000000</v>
      </c>
      <c r="DI36" s="382">
        <f>'[1]COE DISB 2019'!AE44</f>
        <v>10000000</v>
      </c>
      <c r="DJ36" s="382">
        <f t="shared" ref="DJ36:DJ43" si="70">DH36-DI36</f>
        <v>0</v>
      </c>
      <c r="DK36" s="386"/>
      <c r="DL36" s="382">
        <f>'[1]COE commited funds to date'!AD39</f>
        <v>100000000</v>
      </c>
      <c r="DM36" s="382">
        <f>'[1]COE DISB 2019'!AF44</f>
        <v>100000000</v>
      </c>
      <c r="DN36" s="382">
        <f t="shared" si="28"/>
        <v>0</v>
      </c>
      <c r="DO36" s="386"/>
      <c r="DP36" s="382">
        <v>0</v>
      </c>
      <c r="DQ36" s="382">
        <f>'[1]COE DISB 2019'!AG44</f>
        <v>0</v>
      </c>
      <c r="DR36" s="382">
        <f t="shared" si="29"/>
        <v>0</v>
      </c>
      <c r="DS36" s="386"/>
      <c r="DT36" s="353">
        <v>0</v>
      </c>
      <c r="DU36" s="382">
        <f>'[1]COE DISB 2019'!AH44</f>
        <v>0</v>
      </c>
      <c r="DV36" s="382">
        <f t="shared" si="30"/>
        <v>0</v>
      </c>
      <c r="DW36" s="386"/>
      <c r="DX36" s="382">
        <f>'[1]COE commited funds to date'!AI39</f>
        <v>100000000</v>
      </c>
      <c r="DY36" s="382">
        <f>'[1]COE DISB 2019'!AI44</f>
        <v>100000000</v>
      </c>
      <c r="DZ36" s="382">
        <f t="shared" si="31"/>
        <v>0</v>
      </c>
      <c r="EA36" s="386"/>
      <c r="EB36" s="382">
        <f>'[1]COE commited funds to date'!AJ39</f>
        <v>72000000</v>
      </c>
      <c r="EC36" s="382">
        <f>'[1]COE DISB 2019'!AJ44</f>
        <v>72000000</v>
      </c>
      <c r="ED36" s="382">
        <f t="shared" si="32"/>
        <v>0</v>
      </c>
      <c r="EE36" s="386"/>
      <c r="EF36" s="382">
        <f>'[1]COE commited funds to date'!AK39</f>
        <v>8000000</v>
      </c>
      <c r="EG36" s="382">
        <f>'[1]COE DISB 2019'!AK44</f>
        <v>8000000</v>
      </c>
      <c r="EH36" s="382">
        <f t="shared" si="33"/>
        <v>0</v>
      </c>
      <c r="EI36" s="386"/>
      <c r="EJ36" s="382">
        <f>'[1]COE commited funds to date'!AL39</f>
        <v>2000000</v>
      </c>
      <c r="EK36" s="382">
        <f>'[1]COE DISB 2019'!AL44</f>
        <v>2000000</v>
      </c>
      <c r="EL36" s="382">
        <f t="shared" si="34"/>
        <v>0</v>
      </c>
      <c r="EM36" s="386"/>
      <c r="EN36" s="382">
        <f>'[1]COE commited funds to date'!AM39</f>
        <v>7000000</v>
      </c>
      <c r="EO36" s="382">
        <f>'[1]COE DISB 2019'!AM44</f>
        <v>7000000</v>
      </c>
      <c r="EP36" s="382">
        <f t="shared" si="35"/>
        <v>0</v>
      </c>
      <c r="EQ36" s="386"/>
      <c r="ER36" s="382">
        <f>'[1]COE commited funds to date'!AN39</f>
        <v>450000000</v>
      </c>
      <c r="ES36" s="382">
        <f>'[1]COE DISB 2019'!AN44</f>
        <v>450000000</v>
      </c>
      <c r="ET36" s="382">
        <f t="shared" si="36"/>
        <v>0</v>
      </c>
      <c r="EV36" s="383">
        <f>'[1]COE commited funds to date'!AO39</f>
        <v>0</v>
      </c>
      <c r="EW36" s="383">
        <f>'[1]COE DISB 2019'!AO44</f>
        <v>0</v>
      </c>
      <c r="EX36" s="383">
        <f t="shared" si="38"/>
        <v>0</v>
      </c>
      <c r="EY36" s="380"/>
      <c r="EZ36" s="383">
        <f>'[1]COE commited funds to date'!AQ39</f>
        <v>0</v>
      </c>
      <c r="FA36" s="383">
        <f>'[1]COE DISB 2019'!AP44</f>
        <v>0</v>
      </c>
      <c r="FB36" s="383">
        <f t="shared" si="39"/>
        <v>0</v>
      </c>
      <c r="FC36" s="380"/>
      <c r="FD36" s="383">
        <f>'[1]COE commited funds to date'!AR39</f>
        <v>0</v>
      </c>
      <c r="FE36" s="383">
        <f>'[1]COE DISB 2019'!AQ44</f>
        <v>0</v>
      </c>
      <c r="FF36" s="383">
        <f t="shared" si="40"/>
        <v>0</v>
      </c>
      <c r="FG36" s="380"/>
      <c r="FH36" s="383">
        <f>'[1]COE commited funds to date'!AP39</f>
        <v>0</v>
      </c>
      <c r="FI36" s="383">
        <f>'[1]COE DISB 2019'!AR44</f>
        <v>0</v>
      </c>
      <c r="FJ36" s="383">
        <f t="shared" si="41"/>
        <v>0</v>
      </c>
      <c r="FK36" s="383">
        <f>'[1]COE commited funds to date'!AS39</f>
        <v>0</v>
      </c>
      <c r="FL36" s="383">
        <f>'[1]COE DISB 2019'!AS44</f>
        <v>0</v>
      </c>
      <c r="FM36" s="383">
        <f t="shared" si="42"/>
        <v>0</v>
      </c>
      <c r="FN36" s="380"/>
      <c r="FO36" s="383">
        <f>'[1]COE commited funds to date'!AT39</f>
        <v>200000000</v>
      </c>
      <c r="FP36" s="383">
        <f>'[1]COE DISB 2019'!AT44</f>
        <v>0</v>
      </c>
      <c r="FQ36" s="383">
        <f t="shared" si="43"/>
        <v>200000000</v>
      </c>
      <c r="FR36" s="380"/>
      <c r="FS36" s="383">
        <f>'[1]COE commited funds to date'!AU39</f>
        <v>75000000</v>
      </c>
      <c r="FT36" s="383">
        <f>'[1]COE DISB 2019'!AU44</f>
        <v>54000000</v>
      </c>
      <c r="FU36" s="383">
        <f t="shared" si="44"/>
        <v>21000000</v>
      </c>
      <c r="FV36" s="380"/>
      <c r="FW36" s="383">
        <f>'[1]COE commited funds to date'!AV39</f>
        <v>8700000</v>
      </c>
      <c r="FX36" s="383">
        <f>'[1]COE DISB 2019'!AV44</f>
        <v>0</v>
      </c>
      <c r="FY36" s="383">
        <f t="shared" si="45"/>
        <v>8700000</v>
      </c>
      <c r="FZ36" s="380"/>
      <c r="GA36" s="383">
        <f>'[1]COE commited funds to date'!AW39</f>
        <v>5000000</v>
      </c>
      <c r="GB36" s="383">
        <f>'[1]COE DISB 2019'!AW44</f>
        <v>0</v>
      </c>
      <c r="GC36" s="383">
        <f t="shared" si="46"/>
        <v>5000000</v>
      </c>
      <c r="GD36" s="380"/>
      <c r="GE36" s="383">
        <f>'[1]COE commited funds to date'!AX39</f>
        <v>20000000</v>
      </c>
      <c r="GF36" s="383">
        <f>'[1]COE DISB 2019'!AX44</f>
        <v>13200580</v>
      </c>
      <c r="GG36" s="383">
        <f t="shared" si="47"/>
        <v>6799420</v>
      </c>
      <c r="GH36" s="380"/>
      <c r="GI36" s="383">
        <f>'[1]COE commited funds to date'!AY39</f>
        <v>0</v>
      </c>
      <c r="GJ36" s="383">
        <f>'[1]COE DISB 2019'!AY44</f>
        <v>0</v>
      </c>
      <c r="GK36" s="383">
        <f t="shared" si="48"/>
        <v>0</v>
      </c>
      <c r="GL36" s="380"/>
      <c r="GM36" s="383">
        <f>'[1]COE commited funds to date'!AZ39</f>
        <v>116776600</v>
      </c>
      <c r="GN36" s="383">
        <f>'[1]COE DISB 2019'!AZ44</f>
        <v>0</v>
      </c>
      <c r="GO36" s="383">
        <f t="shared" si="49"/>
        <v>116776600</v>
      </c>
      <c r="GP36" s="380"/>
      <c r="GQ36" s="383">
        <f>'[1]COE commited funds to date'!BA39</f>
        <v>0</v>
      </c>
      <c r="GR36" s="383">
        <f>'[1]COE DISB 2019'!BA44</f>
        <v>0</v>
      </c>
      <c r="GS36" s="383">
        <f t="shared" si="50"/>
        <v>0</v>
      </c>
      <c r="GT36" s="380"/>
      <c r="GU36" s="383">
        <f>'[1]COE commited funds to date'!BB39</f>
        <v>0</v>
      </c>
      <c r="GV36" s="383">
        <f>'[1]COE DISB 2019'!BB44</f>
        <v>0</v>
      </c>
      <c r="GW36" s="383">
        <f t="shared" si="51"/>
        <v>0</v>
      </c>
      <c r="GX36" s="380"/>
      <c r="GY36" s="383">
        <f>'[1]COE commited funds to date'!BC39</f>
        <v>0</v>
      </c>
      <c r="GZ36" s="383">
        <f>'[1]COE DISB 2019'!BC44</f>
        <v>0</v>
      </c>
      <c r="HA36" s="383">
        <f t="shared" si="52"/>
        <v>0</v>
      </c>
      <c r="HB36" s="380"/>
      <c r="HC36" s="383">
        <f t="shared" si="53"/>
        <v>2881891065.5</v>
      </c>
      <c r="HD36" s="383">
        <f t="shared" si="53"/>
        <v>2523615045.5</v>
      </c>
      <c r="HE36" s="382">
        <f t="shared" si="54"/>
        <v>358276020</v>
      </c>
      <c r="HG36" s="383">
        <f t="shared" si="55"/>
        <v>818548465.5</v>
      </c>
      <c r="HH36" s="383">
        <f t="shared" si="55"/>
        <v>618548465.5</v>
      </c>
      <c r="HI36" s="383">
        <f t="shared" si="56"/>
        <v>200000000</v>
      </c>
      <c r="HK36" s="383">
        <f t="shared" si="57"/>
        <v>1810000000</v>
      </c>
      <c r="HL36" s="383">
        <f t="shared" si="57"/>
        <v>1810000000</v>
      </c>
      <c r="HM36" s="383">
        <f t="shared" si="58"/>
        <v>0</v>
      </c>
      <c r="HO36" s="383">
        <f t="shared" ref="HO36:HP68" si="71">L36+T36+AF36</f>
        <v>866000</v>
      </c>
      <c r="HP36" s="383">
        <f t="shared" si="71"/>
        <v>866000</v>
      </c>
      <c r="HQ36" s="383">
        <f t="shared" si="59"/>
        <v>0</v>
      </c>
      <c r="HS36" s="383">
        <f t="shared" si="60"/>
        <v>37000000</v>
      </c>
      <c r="HT36" s="383">
        <f t="shared" si="60"/>
        <v>30200580</v>
      </c>
      <c r="HU36" s="383">
        <f t="shared" si="61"/>
        <v>6799420</v>
      </c>
      <c r="HW36" s="383">
        <f t="shared" si="62"/>
        <v>16700000</v>
      </c>
      <c r="HX36" s="383">
        <f t="shared" si="62"/>
        <v>8000000</v>
      </c>
      <c r="HY36" s="383">
        <f t="shared" si="63"/>
        <v>8700000</v>
      </c>
      <c r="IA36" s="387">
        <f t="shared" si="64"/>
        <v>5000000</v>
      </c>
      <c r="IB36" s="387">
        <f t="shared" si="64"/>
        <v>0</v>
      </c>
      <c r="IC36" s="387">
        <f t="shared" si="65"/>
        <v>5000000</v>
      </c>
      <c r="IE36" s="383">
        <f t="shared" si="66"/>
        <v>191776600</v>
      </c>
      <c r="IF36" s="383">
        <f t="shared" si="66"/>
        <v>54000000</v>
      </c>
      <c r="IG36" s="383">
        <f t="shared" si="67"/>
        <v>137776600</v>
      </c>
      <c r="II36" s="383">
        <f t="shared" si="68"/>
        <v>2000000</v>
      </c>
      <c r="IJ36" s="383">
        <f t="shared" si="68"/>
        <v>2000000</v>
      </c>
      <c r="IK36" s="383">
        <f t="shared" si="69"/>
        <v>0</v>
      </c>
    </row>
    <row r="37" spans="1:245" ht="19.5" customHeight="1" x14ac:dyDescent="0.25">
      <c r="A37" s="380">
        <v>34</v>
      </c>
      <c r="B37" s="380" t="s">
        <v>353</v>
      </c>
      <c r="C37" s="381" t="s">
        <v>76</v>
      </c>
      <c r="D37" s="382">
        <v>18318965.5</v>
      </c>
      <c r="E37" s="382">
        <f>'[1]COE DISB 2019'!D45</f>
        <v>18318965.5</v>
      </c>
      <c r="F37" s="383">
        <f t="shared" si="0"/>
        <v>0</v>
      </c>
      <c r="H37" s="382">
        <v>8000000</v>
      </c>
      <c r="I37" s="382">
        <f>'[1]COE DISB 2019'!E45</f>
        <v>8000000</v>
      </c>
      <c r="J37" s="383">
        <f t="shared" si="1"/>
        <v>0</v>
      </c>
      <c r="L37" s="382">
        <v>500000</v>
      </c>
      <c r="M37" s="382">
        <f>'[1]COE DISB 2019'!F45</f>
        <v>500000</v>
      </c>
      <c r="N37" s="383">
        <f t="shared" si="2"/>
        <v>0</v>
      </c>
      <c r="P37" s="353">
        <v>16000000</v>
      </c>
      <c r="Q37" s="382">
        <f>'[1]COE DISB 2019'!G45</f>
        <v>16000000</v>
      </c>
      <c r="R37" s="383">
        <f t="shared" si="3"/>
        <v>0</v>
      </c>
      <c r="T37" s="385">
        <v>2619000</v>
      </c>
      <c r="U37" s="382">
        <f>'[1]COE DISB 2019'!H45</f>
        <v>2619000</v>
      </c>
      <c r="V37" s="383">
        <f t="shared" si="4"/>
        <v>0</v>
      </c>
      <c r="X37" s="353">
        <v>0</v>
      </c>
      <c r="Y37" s="382">
        <f>'[1]COE DISB 2019'!I45</f>
        <v>0</v>
      </c>
      <c r="Z37" s="383">
        <f t="shared" si="5"/>
        <v>0</v>
      </c>
      <c r="AB37" s="385">
        <v>20000000</v>
      </c>
      <c r="AC37" s="382">
        <f>'[1]COE DISB 2019'!J45</f>
        <v>20000000</v>
      </c>
      <c r="AD37" s="383">
        <f t="shared" si="6"/>
        <v>0</v>
      </c>
      <c r="AF37" s="353">
        <v>0</v>
      </c>
      <c r="AG37" s="382">
        <f>'[1]COE DISB 2019'!K45</f>
        <v>0</v>
      </c>
      <c r="AH37" s="383">
        <f t="shared" si="7"/>
        <v>0</v>
      </c>
      <c r="AJ37" s="385">
        <v>10000000</v>
      </c>
      <c r="AK37" s="382">
        <f>'[1]COE DISB 2019'!L45</f>
        <v>10000000</v>
      </c>
      <c r="AL37" s="383">
        <f t="shared" si="8"/>
        <v>0</v>
      </c>
      <c r="AN37" s="382">
        <v>10000000</v>
      </c>
      <c r="AO37" s="382">
        <f>'[1]COE DISB 2019'!M45</f>
        <v>10000000</v>
      </c>
      <c r="AP37" s="383">
        <f t="shared" si="9"/>
        <v>0</v>
      </c>
      <c r="AR37" s="382">
        <v>15000000</v>
      </c>
      <c r="AS37" s="382">
        <f>'[1]COE DISB 2019'!N45</f>
        <v>15000000</v>
      </c>
      <c r="AT37" s="383">
        <f t="shared" si="10"/>
        <v>0</v>
      </c>
      <c r="AV37" s="382">
        <v>0</v>
      </c>
      <c r="AW37" s="385">
        <f>'[1]COE DISB 2019'!O45</f>
        <v>0</v>
      </c>
      <c r="AX37" s="382">
        <f t="shared" si="11"/>
        <v>0</v>
      </c>
      <c r="AZ37" s="382">
        <v>18000000</v>
      </c>
      <c r="BA37" s="382">
        <f>'[1]COE DISB 2019'!P45</f>
        <v>18000000</v>
      </c>
      <c r="BB37" s="382">
        <f t="shared" si="12"/>
        <v>0</v>
      </c>
      <c r="BD37" s="382">
        <v>23400000</v>
      </c>
      <c r="BE37" s="382">
        <f>'[1]COE DISB 2019'!Q45</f>
        <v>23400000</v>
      </c>
      <c r="BF37" s="382">
        <f t="shared" si="13"/>
        <v>0</v>
      </c>
      <c r="BH37" s="382">
        <v>0</v>
      </c>
      <c r="BI37" s="382">
        <f>'[1]COE DISB 2019'!R45</f>
        <v>0</v>
      </c>
      <c r="BJ37" s="382">
        <f t="shared" si="14"/>
        <v>0</v>
      </c>
      <c r="BL37" s="382">
        <v>43000000</v>
      </c>
      <c r="BM37" s="382">
        <f>'[1]COE DISB 2019'!S45</f>
        <v>43000000</v>
      </c>
      <c r="BN37" s="382">
        <f t="shared" si="15"/>
        <v>0</v>
      </c>
      <c r="BP37" s="382">
        <v>37160000</v>
      </c>
      <c r="BQ37" s="382">
        <f>'[1]COE DISB 2019'!T45</f>
        <v>37160000</v>
      </c>
      <c r="BR37" s="382">
        <f t="shared" si="16"/>
        <v>0</v>
      </c>
      <c r="BT37" s="382">
        <v>0</v>
      </c>
      <c r="BU37" s="382">
        <f>'[1]COE DISB 2019'!U45</f>
        <v>0</v>
      </c>
      <c r="BV37" s="382">
        <f t="shared" si="17"/>
        <v>0</v>
      </c>
      <c r="BX37" s="382">
        <v>112670000</v>
      </c>
      <c r="BY37" s="382">
        <f>'[1]COE DISB 2019'!V45</f>
        <v>112670000</v>
      </c>
      <c r="BZ37" s="382">
        <f t="shared" si="18"/>
        <v>0</v>
      </c>
      <c r="CB37" s="382">
        <f>'[1]COE commited funds to date'!W40</f>
        <v>0</v>
      </c>
      <c r="CC37" s="382">
        <f>'[1]COE DISB 2019'!W45</f>
        <v>0</v>
      </c>
      <c r="CD37" s="382">
        <f t="shared" si="19"/>
        <v>0</v>
      </c>
      <c r="CF37" s="382">
        <f>'[1]COE commited funds to date'!X40</f>
        <v>125000000</v>
      </c>
      <c r="CG37" s="382">
        <f>'[1]COE DISB 2019'!X45</f>
        <v>125000000</v>
      </c>
      <c r="CH37" s="382">
        <f t="shared" si="20"/>
        <v>0</v>
      </c>
      <c r="CJ37" s="382">
        <v>10000000</v>
      </c>
      <c r="CK37" s="382">
        <f>'[1]COE DISB 2019'!Y45</f>
        <v>10000000</v>
      </c>
      <c r="CL37" s="382">
        <f t="shared" si="21"/>
        <v>0</v>
      </c>
      <c r="CN37" s="382">
        <v>0</v>
      </c>
      <c r="CO37" s="382">
        <f>'[1]COE DISB 2019'!Z45</f>
        <v>0</v>
      </c>
      <c r="CP37" s="382">
        <f t="shared" si="22"/>
        <v>0</v>
      </c>
      <c r="CR37" s="382">
        <v>210000000</v>
      </c>
      <c r="CS37" s="382">
        <f>'[1]COE DISB 2019'!AA45</f>
        <v>210000000</v>
      </c>
      <c r="CT37" s="382">
        <f t="shared" si="23"/>
        <v>0</v>
      </c>
      <c r="CV37" s="382">
        <v>10000000</v>
      </c>
      <c r="CW37" s="382">
        <f>'[1]COE DISB 2019'!AB45</f>
        <v>10000000</v>
      </c>
      <c r="CX37" s="382">
        <f t="shared" si="24"/>
        <v>0</v>
      </c>
      <c r="CZ37" s="382">
        <f>'[1]COE commited funds to date'!AC40</f>
        <v>0</v>
      </c>
      <c r="DA37" s="382">
        <f>'[1]COE DISB 2019'!AC45</f>
        <v>0</v>
      </c>
      <c r="DB37" s="382">
        <f t="shared" si="25"/>
        <v>0</v>
      </c>
      <c r="DC37" s="386"/>
      <c r="DD37" s="382">
        <v>215000000</v>
      </c>
      <c r="DE37" s="382">
        <f>'[1]COE DISB 2019'!AD45</f>
        <v>215000000</v>
      </c>
      <c r="DF37" s="382">
        <f t="shared" si="26"/>
        <v>0</v>
      </c>
      <c r="DG37" s="386"/>
      <c r="DH37" s="382">
        <v>10000000</v>
      </c>
      <c r="DI37" s="382">
        <f>'[1]COE DISB 2019'!AE45</f>
        <v>10000000</v>
      </c>
      <c r="DJ37" s="382">
        <f t="shared" si="70"/>
        <v>0</v>
      </c>
      <c r="DK37" s="386"/>
      <c r="DL37" s="382">
        <f>'[1]COE commited funds to date'!AD40</f>
        <v>0</v>
      </c>
      <c r="DM37" s="382">
        <f>'[1]COE DISB 2019'!AF45</f>
        <v>0</v>
      </c>
      <c r="DN37" s="382">
        <f t="shared" si="28"/>
        <v>0</v>
      </c>
      <c r="DO37" s="386"/>
      <c r="DP37" s="382">
        <v>325000000</v>
      </c>
      <c r="DQ37" s="382">
        <f>'[1]COE DISB 2019'!AG45</f>
        <v>325000000</v>
      </c>
      <c r="DR37" s="382">
        <f t="shared" si="29"/>
        <v>0</v>
      </c>
      <c r="DS37" s="386"/>
      <c r="DT37" s="353">
        <v>10000000</v>
      </c>
      <c r="DU37" s="382">
        <f>'[1]COE DISB 2019'!AH45</f>
        <v>10000000</v>
      </c>
      <c r="DV37" s="382">
        <f t="shared" si="30"/>
        <v>0</v>
      </c>
      <c r="DW37" s="386"/>
      <c r="DX37" s="382">
        <f>'[1]COE commited funds to date'!AI40</f>
        <v>100000000</v>
      </c>
      <c r="DY37" s="382">
        <f>'[1]COE DISB 2019'!AI45</f>
        <v>100000000</v>
      </c>
      <c r="DZ37" s="382">
        <f t="shared" si="31"/>
        <v>0</v>
      </c>
      <c r="EA37" s="386"/>
      <c r="EB37" s="382">
        <f>'[1]COE commited funds to date'!AJ40</f>
        <v>72000000</v>
      </c>
      <c r="EC37" s="382">
        <f>'[1]COE DISB 2019'!AJ45</f>
        <v>44640000</v>
      </c>
      <c r="ED37" s="382">
        <f t="shared" si="32"/>
        <v>27360000</v>
      </c>
      <c r="EE37" s="386"/>
      <c r="EF37" s="382">
        <f>'[1]COE commited funds to date'!AK40</f>
        <v>8000000</v>
      </c>
      <c r="EG37" s="382">
        <f>'[1]COE DISB 2019'!AK45</f>
        <v>0</v>
      </c>
      <c r="EH37" s="382">
        <f t="shared" si="33"/>
        <v>8000000</v>
      </c>
      <c r="EI37" s="386"/>
      <c r="EJ37" s="382">
        <f>'[1]COE commited funds to date'!AL40</f>
        <v>2000000</v>
      </c>
      <c r="EK37" s="382">
        <f>'[1]COE DISB 2019'!AL45</f>
        <v>0</v>
      </c>
      <c r="EL37" s="382">
        <f t="shared" si="34"/>
        <v>2000000</v>
      </c>
      <c r="EM37" s="386"/>
      <c r="EN37" s="382">
        <f>'[1]COE commited funds to date'!AM40</f>
        <v>7000000</v>
      </c>
      <c r="EO37" s="382">
        <f>'[1]COE DISB 2019'!AM45</f>
        <v>7000000</v>
      </c>
      <c r="EP37" s="382">
        <f t="shared" si="35"/>
        <v>0</v>
      </c>
      <c r="EQ37" s="386"/>
      <c r="ER37" s="382">
        <f>'[1]COE commited funds to date'!AN40</f>
        <v>100000000</v>
      </c>
      <c r="ES37" s="382">
        <f>'[1]COE DISB 2019'!AN45</f>
        <v>52000000</v>
      </c>
      <c r="ET37" s="382">
        <f t="shared" si="36"/>
        <v>48000000</v>
      </c>
      <c r="EV37" s="383">
        <f>'[1]COE commited funds to date'!AO40</f>
        <v>371067000</v>
      </c>
      <c r="EW37" s="383">
        <f>'[1]COE DISB 2019'!AO45</f>
        <v>230061540</v>
      </c>
      <c r="EX37" s="383">
        <f t="shared" si="38"/>
        <v>141005460</v>
      </c>
      <c r="EY37" s="380"/>
      <c r="EZ37" s="383">
        <f>'[1]COE commited funds to date'!AQ40</f>
        <v>12000000</v>
      </c>
      <c r="FA37" s="383">
        <f>'[1]COE DISB 2019'!AP45</f>
        <v>12000000</v>
      </c>
      <c r="FB37" s="383">
        <f t="shared" si="39"/>
        <v>0</v>
      </c>
      <c r="FC37" s="380"/>
      <c r="FD37" s="383">
        <f>'[1]COE commited funds to date'!AR40</f>
        <v>10000000</v>
      </c>
      <c r="FE37" s="383">
        <f>'[1]COE DISB 2019'!AQ45</f>
        <v>0</v>
      </c>
      <c r="FF37" s="383">
        <f t="shared" si="40"/>
        <v>10000000</v>
      </c>
      <c r="FG37" s="380"/>
      <c r="FH37" s="383">
        <f>'[1]COE commited funds to date'!AP40</f>
        <v>8000000</v>
      </c>
      <c r="FI37" s="383">
        <f>'[1]COE DISB 2019'!AR45</f>
        <v>0</v>
      </c>
      <c r="FJ37" s="383">
        <f t="shared" si="41"/>
        <v>8000000</v>
      </c>
      <c r="FK37" s="383">
        <f>'[1]COE commited funds to date'!AS40</f>
        <v>0</v>
      </c>
      <c r="FL37" s="383">
        <f>'[1]COE DISB 2019'!AS45</f>
        <v>0</v>
      </c>
      <c r="FM37" s="383">
        <f t="shared" si="42"/>
        <v>0</v>
      </c>
      <c r="FN37" s="380"/>
      <c r="FO37" s="383">
        <f>'[1]COE commited funds to date'!AT40</f>
        <v>200000000</v>
      </c>
      <c r="FP37" s="383">
        <f>'[1]COE DISB 2019'!AT45</f>
        <v>0</v>
      </c>
      <c r="FQ37" s="383">
        <f t="shared" si="43"/>
        <v>200000000</v>
      </c>
      <c r="FR37" s="380"/>
      <c r="FS37" s="383">
        <f>'[1]COE commited funds to date'!AU40</f>
        <v>75000000</v>
      </c>
      <c r="FT37" s="383">
        <f>'[1]COE DISB 2019'!AU45</f>
        <v>63750000</v>
      </c>
      <c r="FU37" s="383">
        <f t="shared" si="44"/>
        <v>11250000</v>
      </c>
      <c r="FV37" s="380"/>
      <c r="FW37" s="383">
        <f>'[1]COE commited funds to date'!AV40</f>
        <v>8700000</v>
      </c>
      <c r="FX37" s="383">
        <f>'[1]COE DISB 2019'!AV45</f>
        <v>0</v>
      </c>
      <c r="FY37" s="383">
        <f t="shared" si="45"/>
        <v>8700000</v>
      </c>
      <c r="FZ37" s="380"/>
      <c r="GA37" s="383">
        <f>'[1]COE commited funds to date'!AW40</f>
        <v>5000000</v>
      </c>
      <c r="GB37" s="383">
        <f>'[1]COE DISB 2019'!AW45</f>
        <v>0</v>
      </c>
      <c r="GC37" s="383">
        <f t="shared" si="46"/>
        <v>5000000</v>
      </c>
      <c r="GD37" s="380"/>
      <c r="GE37" s="383">
        <f>'[1]COE commited funds to date'!AX40</f>
        <v>20000000</v>
      </c>
      <c r="GF37" s="383">
        <f>'[1]COE DISB 2019'!AX45</f>
        <v>17887800</v>
      </c>
      <c r="GG37" s="383">
        <f t="shared" si="47"/>
        <v>2112200</v>
      </c>
      <c r="GH37" s="380"/>
      <c r="GI37" s="383">
        <f>'[1]COE commited funds to date'!AY40</f>
        <v>230000000</v>
      </c>
      <c r="GJ37" s="383">
        <f>'[1]COE DISB 2019'!AY45</f>
        <v>0</v>
      </c>
      <c r="GK37" s="383">
        <f t="shared" si="48"/>
        <v>230000000</v>
      </c>
      <c r="GL37" s="380"/>
      <c r="GM37" s="383">
        <f>'[1]COE commited funds to date'!AZ40</f>
        <v>116776600</v>
      </c>
      <c r="GN37" s="383">
        <f>'[1]COE DISB 2019'!AZ45</f>
        <v>0</v>
      </c>
      <c r="GO37" s="383">
        <f t="shared" si="49"/>
        <v>116776600</v>
      </c>
      <c r="GP37" s="380"/>
      <c r="GQ37" s="383">
        <f>'[1]COE commited funds to date'!BA40</f>
        <v>12000000</v>
      </c>
      <c r="GR37" s="383">
        <f>'[1]COE DISB 2019'!BA45</f>
        <v>0</v>
      </c>
      <c r="GS37" s="383">
        <f t="shared" si="50"/>
        <v>12000000</v>
      </c>
      <c r="GT37" s="380"/>
      <c r="GU37" s="383">
        <f>'[1]COE commited funds to date'!BB40</f>
        <v>5000000</v>
      </c>
      <c r="GV37" s="383">
        <f>'[1]COE DISB 2019'!BB45</f>
        <v>0</v>
      </c>
      <c r="GW37" s="383">
        <f t="shared" si="51"/>
        <v>5000000</v>
      </c>
      <c r="GX37" s="380"/>
      <c r="GY37" s="383">
        <f>'[1]COE commited funds to date'!BC40</f>
        <v>10308300</v>
      </c>
      <c r="GZ37" s="383">
        <f>'[1]COE DISB 2019'!BC45</f>
        <v>0</v>
      </c>
      <c r="HA37" s="383">
        <f t="shared" si="52"/>
        <v>10308300</v>
      </c>
      <c r="HB37" s="380"/>
      <c r="HC37" s="383">
        <f t="shared" si="53"/>
        <v>2622519865.5</v>
      </c>
      <c r="HD37" s="383">
        <f t="shared" si="53"/>
        <v>1777007305.5</v>
      </c>
      <c r="HE37" s="382">
        <f t="shared" si="54"/>
        <v>845512560</v>
      </c>
      <c r="HG37" s="383">
        <f t="shared" si="55"/>
        <v>2079615965.5</v>
      </c>
      <c r="HH37" s="383">
        <f t="shared" si="55"/>
        <v>1481250505.5</v>
      </c>
      <c r="HI37" s="383">
        <f t="shared" si="56"/>
        <v>598365460</v>
      </c>
      <c r="HK37" s="383">
        <f t="shared" si="57"/>
        <v>200000000</v>
      </c>
      <c r="HL37" s="383">
        <f t="shared" si="57"/>
        <v>152000000</v>
      </c>
      <c r="HM37" s="383">
        <f t="shared" si="58"/>
        <v>48000000</v>
      </c>
      <c r="HO37" s="383">
        <f t="shared" si="71"/>
        <v>3119000</v>
      </c>
      <c r="HP37" s="383">
        <f t="shared" si="71"/>
        <v>3119000</v>
      </c>
      <c r="HQ37" s="383">
        <f t="shared" si="59"/>
        <v>0</v>
      </c>
      <c r="HS37" s="383">
        <f t="shared" si="60"/>
        <v>89308300</v>
      </c>
      <c r="HT37" s="383">
        <f t="shared" si="60"/>
        <v>76887800</v>
      </c>
      <c r="HU37" s="383">
        <f t="shared" si="61"/>
        <v>12420500</v>
      </c>
      <c r="HW37" s="383">
        <f t="shared" si="62"/>
        <v>36700000</v>
      </c>
      <c r="HX37" s="383">
        <f t="shared" si="62"/>
        <v>0</v>
      </c>
      <c r="HY37" s="383">
        <f t="shared" si="63"/>
        <v>36700000</v>
      </c>
      <c r="IA37" s="387">
        <f t="shared" si="64"/>
        <v>20000000</v>
      </c>
      <c r="IB37" s="387">
        <f t="shared" si="64"/>
        <v>0</v>
      </c>
      <c r="IC37" s="387">
        <f t="shared" si="65"/>
        <v>20000000</v>
      </c>
      <c r="IE37" s="383">
        <f t="shared" si="66"/>
        <v>191776600</v>
      </c>
      <c r="IF37" s="383">
        <f t="shared" si="66"/>
        <v>63750000</v>
      </c>
      <c r="IG37" s="383">
        <f t="shared" si="67"/>
        <v>128026600</v>
      </c>
      <c r="II37" s="383">
        <f t="shared" si="68"/>
        <v>2000000</v>
      </c>
      <c r="IJ37" s="383">
        <f t="shared" si="68"/>
        <v>0</v>
      </c>
      <c r="IK37" s="383">
        <f t="shared" si="69"/>
        <v>2000000</v>
      </c>
    </row>
    <row r="38" spans="1:245" ht="19.5" customHeight="1" x14ac:dyDescent="0.25">
      <c r="A38" s="380">
        <v>35</v>
      </c>
      <c r="B38" s="380" t="s">
        <v>354</v>
      </c>
      <c r="C38" s="381" t="s">
        <v>63</v>
      </c>
      <c r="D38" s="382">
        <v>18318965.5</v>
      </c>
      <c r="E38" s="382">
        <f>'[1]COE DISB 2019'!D46</f>
        <v>18318965.5</v>
      </c>
      <c r="F38" s="383">
        <f t="shared" si="0"/>
        <v>0</v>
      </c>
      <c r="H38" s="382">
        <v>8000000</v>
      </c>
      <c r="I38" s="382">
        <f>'[1]COE DISB 2019'!E46</f>
        <v>8000000</v>
      </c>
      <c r="J38" s="383">
        <f t="shared" si="1"/>
        <v>0</v>
      </c>
      <c r="L38" s="382">
        <v>500000</v>
      </c>
      <c r="M38" s="382">
        <f>'[1]COE DISB 2019'!F46</f>
        <v>500000</v>
      </c>
      <c r="N38" s="383">
        <f t="shared" si="2"/>
        <v>0</v>
      </c>
      <c r="P38" s="353">
        <v>16000000</v>
      </c>
      <c r="Q38" s="382">
        <f>'[1]COE DISB 2019'!G46</f>
        <v>16000000</v>
      </c>
      <c r="R38" s="383">
        <f t="shared" si="3"/>
        <v>0</v>
      </c>
      <c r="T38" s="385">
        <v>144000</v>
      </c>
      <c r="U38" s="382">
        <f>'[1]COE DISB 2019'!H46</f>
        <v>144000</v>
      </c>
      <c r="V38" s="383">
        <f t="shared" si="4"/>
        <v>0</v>
      </c>
      <c r="X38" s="353">
        <v>0</v>
      </c>
      <c r="Y38" s="382">
        <f>'[1]COE DISB 2019'!I46</f>
        <v>0</v>
      </c>
      <c r="Z38" s="383">
        <f t="shared" si="5"/>
        <v>0</v>
      </c>
      <c r="AB38" s="385">
        <v>20000000</v>
      </c>
      <c r="AC38" s="382">
        <f>'[1]COE DISB 2019'!J46</f>
        <v>20000000</v>
      </c>
      <c r="AD38" s="383">
        <f t="shared" si="6"/>
        <v>0</v>
      </c>
      <c r="AF38" s="353">
        <v>0</v>
      </c>
      <c r="AG38" s="382">
        <f>'[1]COE DISB 2019'!K46</f>
        <v>0</v>
      </c>
      <c r="AH38" s="383">
        <f t="shared" si="7"/>
        <v>0</v>
      </c>
      <c r="AJ38" s="385">
        <v>10000000</v>
      </c>
      <c r="AK38" s="382">
        <f>'[1]COE DISB 2019'!L46</f>
        <v>10000000</v>
      </c>
      <c r="AL38" s="383">
        <f t="shared" si="8"/>
        <v>0</v>
      </c>
      <c r="AN38" s="382">
        <v>10000000</v>
      </c>
      <c r="AO38" s="382">
        <f>'[1]COE DISB 2019'!M46</f>
        <v>10000000</v>
      </c>
      <c r="AP38" s="383">
        <f t="shared" si="9"/>
        <v>0</v>
      </c>
      <c r="AR38" s="382">
        <v>15000000</v>
      </c>
      <c r="AS38" s="382">
        <f>'[1]COE DISB 2019'!N46</f>
        <v>15000000</v>
      </c>
      <c r="AT38" s="383">
        <f t="shared" si="10"/>
        <v>0</v>
      </c>
      <c r="AV38" s="382">
        <v>0</v>
      </c>
      <c r="AW38" s="385">
        <f>'[1]COE DISB 2019'!O46</f>
        <v>0</v>
      </c>
      <c r="AX38" s="382">
        <f t="shared" si="11"/>
        <v>0</v>
      </c>
      <c r="AZ38" s="382">
        <v>18000000</v>
      </c>
      <c r="BA38" s="382">
        <f>'[1]COE DISB 2019'!P46</f>
        <v>18000000</v>
      </c>
      <c r="BB38" s="382">
        <f t="shared" si="12"/>
        <v>0</v>
      </c>
      <c r="BD38" s="382">
        <v>23400000</v>
      </c>
      <c r="BE38" s="382">
        <f>'[1]COE DISB 2019'!Q46</f>
        <v>23400000</v>
      </c>
      <c r="BF38" s="382">
        <f t="shared" si="13"/>
        <v>0</v>
      </c>
      <c r="BH38" s="382">
        <v>0</v>
      </c>
      <c r="BI38" s="382">
        <f>'[1]COE DISB 2019'!R46</f>
        <v>0</v>
      </c>
      <c r="BJ38" s="382">
        <f t="shared" si="14"/>
        <v>0</v>
      </c>
      <c r="BL38" s="382">
        <v>43000000</v>
      </c>
      <c r="BM38" s="382">
        <f>'[1]COE DISB 2019'!S46</f>
        <v>43000000</v>
      </c>
      <c r="BN38" s="382">
        <f t="shared" si="15"/>
        <v>0</v>
      </c>
      <c r="BP38" s="382">
        <v>36911985.579999998</v>
      </c>
      <c r="BQ38" s="382">
        <f>'[1]COE DISB 2019'!T46</f>
        <v>36911985.579999998</v>
      </c>
      <c r="BR38" s="382">
        <f t="shared" si="16"/>
        <v>0</v>
      </c>
      <c r="BT38" s="382">
        <v>0</v>
      </c>
      <c r="BU38" s="382">
        <f>'[1]COE DISB 2019'!U46</f>
        <v>0</v>
      </c>
      <c r="BV38" s="382">
        <f t="shared" si="17"/>
        <v>0</v>
      </c>
      <c r="BX38" s="382">
        <v>111918014.42</v>
      </c>
      <c r="BY38" s="382">
        <f>'[1]COE DISB 2019'!V46</f>
        <v>111918014.42</v>
      </c>
      <c r="BZ38" s="382">
        <f t="shared" si="18"/>
        <v>0</v>
      </c>
      <c r="CB38" s="382">
        <v>0</v>
      </c>
      <c r="CC38" s="382">
        <f>'[1]COE DISB 2019'!W46</f>
        <v>0</v>
      </c>
      <c r="CD38" s="382">
        <f t="shared" si="19"/>
        <v>0</v>
      </c>
      <c r="CF38" s="382">
        <f>'[1]COE commited funds to date'!X41</f>
        <v>125000000</v>
      </c>
      <c r="CG38" s="382">
        <f>'[1]COE DISB 2019'!X46</f>
        <v>125000000</v>
      </c>
      <c r="CH38" s="382">
        <f t="shared" si="20"/>
        <v>0</v>
      </c>
      <c r="CJ38" s="382">
        <v>10000000</v>
      </c>
      <c r="CK38" s="382">
        <f>'[1]COE DISB 2019'!Y46</f>
        <v>10000000</v>
      </c>
      <c r="CL38" s="382">
        <f t="shared" si="21"/>
        <v>0</v>
      </c>
      <c r="CN38" s="382">
        <v>300000000</v>
      </c>
      <c r="CO38" s="382">
        <f>'[1]COE DISB 2019'!Z46</f>
        <v>300000000</v>
      </c>
      <c r="CP38" s="382">
        <f t="shared" si="22"/>
        <v>0</v>
      </c>
      <c r="CR38" s="382">
        <v>210000000</v>
      </c>
      <c r="CS38" s="382">
        <f>'[1]COE DISB 2019'!AA46</f>
        <v>210000000</v>
      </c>
      <c r="CT38" s="382">
        <f t="shared" si="23"/>
        <v>0</v>
      </c>
      <c r="CV38" s="382">
        <v>10000000</v>
      </c>
      <c r="CW38" s="382">
        <f>'[1]COE DISB 2019'!AB46</f>
        <v>10000000</v>
      </c>
      <c r="CX38" s="382">
        <f t="shared" si="24"/>
        <v>0</v>
      </c>
      <c r="CZ38" s="382">
        <f>'[1]COE commited funds to date'!AC41</f>
        <v>250000000.00000003</v>
      </c>
      <c r="DA38" s="382">
        <f>'[1]COE DISB 2019'!AC46</f>
        <v>250000000</v>
      </c>
      <c r="DB38" s="382">
        <f t="shared" si="25"/>
        <v>0</v>
      </c>
      <c r="DC38" s="386"/>
      <c r="DD38" s="382">
        <v>215000000</v>
      </c>
      <c r="DE38" s="382">
        <f>'[1]COE DISB 2019'!AD46</f>
        <v>214000000</v>
      </c>
      <c r="DF38" s="382">
        <f t="shared" si="26"/>
        <v>1000000</v>
      </c>
      <c r="DG38" s="386"/>
      <c r="DH38" s="382">
        <v>10000000</v>
      </c>
      <c r="DI38" s="382">
        <f>'[1]COE DISB 2019'!AE46</f>
        <v>10000000</v>
      </c>
      <c r="DJ38" s="382">
        <f t="shared" si="70"/>
        <v>0</v>
      </c>
      <c r="DK38" s="386"/>
      <c r="DL38" s="382">
        <f>'[1]COE commited funds to date'!AD41</f>
        <v>100000000</v>
      </c>
      <c r="DM38" s="382">
        <f>'[1]COE DISB 2019'!AF46</f>
        <v>100000000</v>
      </c>
      <c r="DN38" s="382">
        <f t="shared" si="28"/>
        <v>0</v>
      </c>
      <c r="DO38" s="386"/>
      <c r="DP38" s="382">
        <v>325000000</v>
      </c>
      <c r="DQ38" s="382">
        <f>'[1]COE DISB 2019'!AG46</f>
        <v>276250000</v>
      </c>
      <c r="DR38" s="382">
        <f t="shared" si="29"/>
        <v>48750000</v>
      </c>
      <c r="DS38" s="386"/>
      <c r="DT38" s="353">
        <v>10000000</v>
      </c>
      <c r="DU38" s="382">
        <f>'[1]COE DISB 2019'!AH46</f>
        <v>10000000</v>
      </c>
      <c r="DV38" s="382">
        <f t="shared" si="30"/>
        <v>0</v>
      </c>
      <c r="DW38" s="386"/>
      <c r="DX38" s="382">
        <f>'[1]COE commited funds to date'!AI41</f>
        <v>580000000</v>
      </c>
      <c r="DY38" s="382">
        <f>'[1]COE DISB 2019'!AI46</f>
        <v>520000000</v>
      </c>
      <c r="DZ38" s="382">
        <f t="shared" si="31"/>
        <v>60000000</v>
      </c>
      <c r="EA38" s="386"/>
      <c r="EB38" s="382">
        <f>'[1]COE commited funds to date'!AJ41</f>
        <v>72000000</v>
      </c>
      <c r="EC38" s="382">
        <f>'[1]COE DISB 2019'!AJ46</f>
        <v>61200000</v>
      </c>
      <c r="ED38" s="382">
        <f t="shared" si="32"/>
        <v>10800000</v>
      </c>
      <c r="EE38" s="386"/>
      <c r="EF38" s="382">
        <f>'[1]COE commited funds to date'!AK41</f>
        <v>8000000</v>
      </c>
      <c r="EG38" s="382">
        <f>'[1]COE DISB 2019'!AK46</f>
        <v>4320000</v>
      </c>
      <c r="EH38" s="382">
        <f t="shared" si="33"/>
        <v>3680000</v>
      </c>
      <c r="EI38" s="386"/>
      <c r="EJ38" s="382">
        <f>'[1]COE commited funds to date'!AL41</f>
        <v>2000000</v>
      </c>
      <c r="EK38" s="382">
        <f>'[1]COE DISB 2019'!AL46</f>
        <v>0</v>
      </c>
      <c r="EL38" s="382">
        <f t="shared" si="34"/>
        <v>2000000</v>
      </c>
      <c r="EM38" s="386"/>
      <c r="EN38" s="382">
        <f>'[1]COE commited funds to date'!AM41</f>
        <v>7000000</v>
      </c>
      <c r="EO38" s="382">
        <f>'[1]COE DISB 2019'!AM46</f>
        <v>7000000</v>
      </c>
      <c r="EP38" s="382">
        <f t="shared" si="35"/>
        <v>0</v>
      </c>
      <c r="EQ38" s="386"/>
      <c r="ER38" s="382">
        <f>'[1]COE commited funds to date'!AN41</f>
        <v>1150000000</v>
      </c>
      <c r="ES38" s="382">
        <f>'[1]COE DISB 2019'!AN46</f>
        <v>935000000</v>
      </c>
      <c r="ET38" s="382">
        <f t="shared" si="36"/>
        <v>215000000</v>
      </c>
      <c r="EV38" s="383">
        <f>'[1]COE commited funds to date'!AO41</f>
        <v>371067000</v>
      </c>
      <c r="EW38" s="383">
        <f>'[1]COE DISB 2019'!AO46</f>
        <v>315406950</v>
      </c>
      <c r="EX38" s="383">
        <f t="shared" si="38"/>
        <v>55660050</v>
      </c>
      <c r="EY38" s="380"/>
      <c r="EZ38" s="383">
        <f>'[1]COE commited funds to date'!AQ41</f>
        <v>12000000</v>
      </c>
      <c r="FA38" s="383">
        <f>'[1]COE DISB 2019'!AP46</f>
        <v>12000000</v>
      </c>
      <c r="FB38" s="383">
        <f t="shared" si="39"/>
        <v>0</v>
      </c>
      <c r="FC38" s="380"/>
      <c r="FD38" s="383">
        <f>'[1]COE commited funds to date'!AR41</f>
        <v>10000000</v>
      </c>
      <c r="FE38" s="383">
        <f>'[1]COE DISB 2019'!AQ46</f>
        <v>0</v>
      </c>
      <c r="FF38" s="383">
        <f t="shared" si="40"/>
        <v>10000000</v>
      </c>
      <c r="FG38" s="380"/>
      <c r="FH38" s="383">
        <f>'[1]COE commited funds to date'!AP41</f>
        <v>8000000</v>
      </c>
      <c r="FI38" s="383">
        <f>'[1]COE DISB 2019'!AR46</f>
        <v>4320000</v>
      </c>
      <c r="FJ38" s="383">
        <f t="shared" si="41"/>
        <v>3680000</v>
      </c>
      <c r="FK38" s="383">
        <f>'[1]COE commited funds to date'!AS41</f>
        <v>0</v>
      </c>
      <c r="FL38" s="383">
        <f>'[1]COE DISB 2019'!AS46</f>
        <v>0</v>
      </c>
      <c r="FM38" s="383">
        <f t="shared" si="42"/>
        <v>0</v>
      </c>
      <c r="FN38" s="380"/>
      <c r="FO38" s="383">
        <f>'[1]COE commited funds to date'!AT41</f>
        <v>200000000</v>
      </c>
      <c r="FP38" s="383">
        <f>'[1]COE DISB 2019'!AT46</f>
        <v>0</v>
      </c>
      <c r="FQ38" s="383">
        <f t="shared" si="43"/>
        <v>200000000</v>
      </c>
      <c r="FR38" s="380"/>
      <c r="FS38" s="383">
        <f>'[1]COE commited funds to date'!AU41</f>
        <v>75000000</v>
      </c>
      <c r="FT38" s="383">
        <f>'[1]COE DISB 2019'!AU46</f>
        <v>40500000</v>
      </c>
      <c r="FU38" s="383">
        <f t="shared" si="44"/>
        <v>34500000</v>
      </c>
      <c r="FV38" s="380"/>
      <c r="FW38" s="383">
        <f>'[1]COE commited funds to date'!AV41</f>
        <v>8700000</v>
      </c>
      <c r="FX38" s="383">
        <f>'[1]COE DISB 2019'!AV46</f>
        <v>0</v>
      </c>
      <c r="FY38" s="383">
        <f t="shared" si="45"/>
        <v>8700000</v>
      </c>
      <c r="FZ38" s="380"/>
      <c r="GA38" s="383">
        <f>'[1]COE commited funds to date'!AW41</f>
        <v>5000000</v>
      </c>
      <c r="GB38" s="383">
        <f>'[1]COE DISB 2019'!AW46</f>
        <v>0</v>
      </c>
      <c r="GC38" s="383">
        <f t="shared" si="46"/>
        <v>5000000</v>
      </c>
      <c r="GD38" s="380"/>
      <c r="GE38" s="383">
        <f>'[1]COE commited funds to date'!AX41</f>
        <v>20000000</v>
      </c>
      <c r="GF38" s="383">
        <f>'[1]COE DISB 2019'!AX46</f>
        <v>16495510</v>
      </c>
      <c r="GG38" s="383">
        <f t="shared" si="47"/>
        <v>3504490</v>
      </c>
      <c r="GH38" s="380"/>
      <c r="GI38" s="383">
        <f>'[1]COE commited funds to date'!AY41</f>
        <v>230000000</v>
      </c>
      <c r="GJ38" s="383">
        <f>'[1]COE DISB 2019'!AY46</f>
        <v>0</v>
      </c>
      <c r="GK38" s="383">
        <f t="shared" si="48"/>
        <v>230000000</v>
      </c>
      <c r="GL38" s="380"/>
      <c r="GM38" s="383">
        <f>'[1]COE commited funds to date'!AZ41</f>
        <v>116776600</v>
      </c>
      <c r="GN38" s="383">
        <f>'[1]COE DISB 2019'!AZ46</f>
        <v>0</v>
      </c>
      <c r="GO38" s="383">
        <f t="shared" si="49"/>
        <v>116776600</v>
      </c>
      <c r="GP38" s="380"/>
      <c r="GQ38" s="383">
        <f>'[1]COE commited funds to date'!BA41</f>
        <v>12000000</v>
      </c>
      <c r="GR38" s="383">
        <f>'[1]COE DISB 2019'!BA46</f>
        <v>0</v>
      </c>
      <c r="GS38" s="383">
        <f t="shared" si="50"/>
        <v>12000000</v>
      </c>
      <c r="GT38" s="380"/>
      <c r="GU38" s="383">
        <f>'[1]COE commited funds to date'!BB41</f>
        <v>5000000</v>
      </c>
      <c r="GV38" s="383">
        <f>'[1]COE DISB 2019'!BB46</f>
        <v>0</v>
      </c>
      <c r="GW38" s="383">
        <f t="shared" si="51"/>
        <v>5000000</v>
      </c>
      <c r="GX38" s="380"/>
      <c r="GY38" s="383">
        <f>'[1]COE commited funds to date'!BC41</f>
        <v>10308300</v>
      </c>
      <c r="GZ38" s="383">
        <f>'[1]COE DISB 2019'!BC46</f>
        <v>0</v>
      </c>
      <c r="HA38" s="383">
        <f t="shared" si="52"/>
        <v>10308300</v>
      </c>
      <c r="HB38" s="380"/>
      <c r="HC38" s="383">
        <f t="shared" si="53"/>
        <v>4799044865.5</v>
      </c>
      <c r="HD38" s="383">
        <f t="shared" si="53"/>
        <v>3762685425.5</v>
      </c>
      <c r="HE38" s="382">
        <f t="shared" si="54"/>
        <v>1036359440</v>
      </c>
      <c r="HG38" s="383">
        <f t="shared" si="55"/>
        <v>2078615965.5</v>
      </c>
      <c r="HH38" s="383">
        <f t="shared" si="55"/>
        <v>1532405915.5</v>
      </c>
      <c r="HI38" s="383">
        <f t="shared" si="56"/>
        <v>546210050</v>
      </c>
      <c r="HK38" s="383">
        <f t="shared" si="57"/>
        <v>2380000000</v>
      </c>
      <c r="HL38" s="383">
        <f t="shared" si="57"/>
        <v>2105000000</v>
      </c>
      <c r="HM38" s="383">
        <f t="shared" si="58"/>
        <v>275000000</v>
      </c>
      <c r="HO38" s="383">
        <f t="shared" si="71"/>
        <v>644000</v>
      </c>
      <c r="HP38" s="383">
        <f t="shared" si="71"/>
        <v>644000</v>
      </c>
      <c r="HQ38" s="383">
        <f t="shared" si="59"/>
        <v>0</v>
      </c>
      <c r="HS38" s="383">
        <f t="shared" si="60"/>
        <v>89308300</v>
      </c>
      <c r="HT38" s="383">
        <f t="shared" si="60"/>
        <v>75495510</v>
      </c>
      <c r="HU38" s="383">
        <f t="shared" si="61"/>
        <v>13812790</v>
      </c>
      <c r="HW38" s="383">
        <f t="shared" si="62"/>
        <v>36700000</v>
      </c>
      <c r="HX38" s="383">
        <f t="shared" si="62"/>
        <v>8640000</v>
      </c>
      <c r="HY38" s="383">
        <f t="shared" si="63"/>
        <v>28060000</v>
      </c>
      <c r="IA38" s="387">
        <f t="shared" si="64"/>
        <v>20000000</v>
      </c>
      <c r="IB38" s="387">
        <f t="shared" si="64"/>
        <v>0</v>
      </c>
      <c r="IC38" s="387">
        <f t="shared" si="65"/>
        <v>20000000</v>
      </c>
      <c r="IE38" s="383">
        <f t="shared" si="66"/>
        <v>191776600</v>
      </c>
      <c r="IF38" s="383">
        <f t="shared" si="66"/>
        <v>40500000</v>
      </c>
      <c r="IG38" s="383">
        <f t="shared" si="67"/>
        <v>151276600</v>
      </c>
      <c r="II38" s="383">
        <f t="shared" si="68"/>
        <v>2000000</v>
      </c>
      <c r="IJ38" s="383">
        <f t="shared" si="68"/>
        <v>0</v>
      </c>
      <c r="IK38" s="383">
        <f t="shared" si="69"/>
        <v>2000000</v>
      </c>
    </row>
    <row r="39" spans="1:245" ht="19.5" customHeight="1" x14ac:dyDescent="0.25">
      <c r="A39" s="380">
        <v>36</v>
      </c>
      <c r="B39" s="380" t="s">
        <v>355</v>
      </c>
      <c r="C39" s="381" t="s">
        <v>63</v>
      </c>
      <c r="D39" s="382">
        <v>18318965.5</v>
      </c>
      <c r="E39" s="382">
        <f>'[1]COE DISB 2019'!D47</f>
        <v>18318965.41</v>
      </c>
      <c r="F39" s="383">
        <f t="shared" si="0"/>
        <v>8.9999999850988388E-2</v>
      </c>
      <c r="H39" s="382">
        <v>8000000</v>
      </c>
      <c r="I39" s="382">
        <f>'[1]COE DISB 2019'!E47</f>
        <v>8000000</v>
      </c>
      <c r="J39" s="383">
        <f t="shared" si="1"/>
        <v>0</v>
      </c>
      <c r="L39" s="382">
        <v>500000</v>
      </c>
      <c r="M39" s="382">
        <f>'[1]COE DISB 2019'!F47</f>
        <v>500000</v>
      </c>
      <c r="N39" s="383">
        <f t="shared" si="2"/>
        <v>0</v>
      </c>
      <c r="P39" s="353">
        <v>16000000</v>
      </c>
      <c r="Q39" s="382">
        <f>'[1]COE DISB 2019'!G47</f>
        <v>16000000</v>
      </c>
      <c r="R39" s="383">
        <f t="shared" si="3"/>
        <v>0</v>
      </c>
      <c r="T39" s="385">
        <v>974635.2</v>
      </c>
      <c r="U39" s="385">
        <f>'[1]COE DISB 2019'!H47</f>
        <v>974635.2</v>
      </c>
      <c r="V39" s="383">
        <f t="shared" si="4"/>
        <v>0</v>
      </c>
      <c r="X39" s="353">
        <v>0</v>
      </c>
      <c r="Y39" s="382">
        <f>'[1]COE DISB 2019'!I47</f>
        <v>0</v>
      </c>
      <c r="Z39" s="383">
        <f t="shared" si="5"/>
        <v>0</v>
      </c>
      <c r="AB39" s="385">
        <v>20000000</v>
      </c>
      <c r="AC39" s="382">
        <f>'[1]COE DISB 2019'!J47</f>
        <v>20000000</v>
      </c>
      <c r="AD39" s="383">
        <f t="shared" si="6"/>
        <v>0</v>
      </c>
      <c r="AF39" s="353">
        <v>0</v>
      </c>
      <c r="AG39" s="382">
        <f>'[1]COE DISB 2019'!K47</f>
        <v>0</v>
      </c>
      <c r="AH39" s="383">
        <f t="shared" si="7"/>
        <v>0</v>
      </c>
      <c r="AJ39" s="385">
        <v>10000000</v>
      </c>
      <c r="AK39" s="382">
        <f>'[1]COE DISB 2019'!L47</f>
        <v>10000000</v>
      </c>
      <c r="AL39" s="383">
        <f t="shared" si="8"/>
        <v>0</v>
      </c>
      <c r="AN39" s="382">
        <v>10000000</v>
      </c>
      <c r="AO39" s="382">
        <f>'[1]COE DISB 2019'!M47</f>
        <v>10000000</v>
      </c>
      <c r="AP39" s="383">
        <f t="shared" si="9"/>
        <v>0</v>
      </c>
      <c r="AR39" s="382">
        <v>15000000</v>
      </c>
      <c r="AS39" s="382">
        <f>'[1]COE DISB 2019'!N47</f>
        <v>15000000</v>
      </c>
      <c r="AT39" s="383">
        <f t="shared" si="10"/>
        <v>0</v>
      </c>
      <c r="AV39" s="382">
        <v>5000000</v>
      </c>
      <c r="AW39" s="388">
        <f>'[1]COE DISB 2019'!O47</f>
        <v>5000000</v>
      </c>
      <c r="AX39" s="382">
        <f t="shared" si="11"/>
        <v>0</v>
      </c>
      <c r="AZ39" s="382">
        <v>18000000</v>
      </c>
      <c r="BA39" s="382">
        <f>'[1]COE DISB 2019'!P47</f>
        <v>18000000</v>
      </c>
      <c r="BB39" s="382">
        <f t="shared" si="12"/>
        <v>0</v>
      </c>
      <c r="BD39" s="382">
        <v>23400000</v>
      </c>
      <c r="BE39" s="382">
        <f>'[1]COE DISB 2019'!Q47</f>
        <v>23400000</v>
      </c>
      <c r="BF39" s="382">
        <f t="shared" si="13"/>
        <v>0</v>
      </c>
      <c r="BH39" s="382">
        <v>0</v>
      </c>
      <c r="BI39" s="382">
        <f>'[1]COE DISB 2019'!R47</f>
        <v>0</v>
      </c>
      <c r="BJ39" s="382">
        <f t="shared" si="14"/>
        <v>0</v>
      </c>
      <c r="BL39" s="382">
        <v>43000000</v>
      </c>
      <c r="BM39" s="382">
        <f>'[1]COE DISB 2019'!S47</f>
        <v>43000000</v>
      </c>
      <c r="BN39" s="382">
        <f t="shared" si="15"/>
        <v>0</v>
      </c>
      <c r="BP39" s="382">
        <v>37160000</v>
      </c>
      <c r="BQ39" s="382">
        <f>'[1]COE DISB 2019'!T47</f>
        <v>37160000</v>
      </c>
      <c r="BR39" s="382">
        <f t="shared" si="16"/>
        <v>0</v>
      </c>
      <c r="BT39" s="382">
        <v>0</v>
      </c>
      <c r="BU39" s="382">
        <f>'[1]COE DISB 2019'!U47</f>
        <v>0</v>
      </c>
      <c r="BV39" s="382">
        <f t="shared" si="17"/>
        <v>0</v>
      </c>
      <c r="BX39" s="382">
        <v>95769500</v>
      </c>
      <c r="BY39" s="382">
        <f>'[1]COE DISB 2019'!V47</f>
        <v>95769500</v>
      </c>
      <c r="BZ39" s="382">
        <f t="shared" si="18"/>
        <v>0</v>
      </c>
      <c r="CB39" s="382">
        <f>'[1]COE commited funds to date'!W42</f>
        <v>30000000</v>
      </c>
      <c r="CC39" s="382">
        <f>'[1]COE DISB 2019'!W47</f>
        <v>30000000</v>
      </c>
      <c r="CD39" s="382">
        <f t="shared" si="19"/>
        <v>0</v>
      </c>
      <c r="CF39" s="382">
        <f>'[1]COE commited funds to date'!X42</f>
        <v>125000000</v>
      </c>
      <c r="CG39" s="382">
        <f>'[1]COE DISB 2019'!X47</f>
        <v>125000000</v>
      </c>
      <c r="CH39" s="382">
        <f t="shared" si="20"/>
        <v>0</v>
      </c>
      <c r="CJ39" s="382">
        <v>10000000</v>
      </c>
      <c r="CK39" s="382">
        <f>'[1]COE DISB 2019'!Y47</f>
        <v>10000000</v>
      </c>
      <c r="CL39" s="382">
        <f t="shared" si="21"/>
        <v>0</v>
      </c>
      <c r="CN39" s="382">
        <v>0</v>
      </c>
      <c r="CO39" s="382">
        <f>'[1]COE DISB 2019'!Z47</f>
        <v>0</v>
      </c>
      <c r="CP39" s="382">
        <f t="shared" si="22"/>
        <v>0</v>
      </c>
      <c r="CR39" s="382">
        <v>210000000</v>
      </c>
      <c r="CS39" s="382">
        <f>'[1]COE DISB 2019'!AA47</f>
        <v>210000000</v>
      </c>
      <c r="CT39" s="382">
        <f t="shared" si="23"/>
        <v>0</v>
      </c>
      <c r="CV39" s="382">
        <v>10000000</v>
      </c>
      <c r="CW39" s="382">
        <f>'[1]COE DISB 2019'!AB47</f>
        <v>10000000</v>
      </c>
      <c r="CX39" s="382">
        <f t="shared" si="24"/>
        <v>0</v>
      </c>
      <c r="CZ39" s="382">
        <f>'[1]COE commited funds to date'!AC42</f>
        <v>0</v>
      </c>
      <c r="DA39" s="382">
        <f>'[1]COE DISB 2019'!AC47</f>
        <v>0</v>
      </c>
      <c r="DB39" s="382">
        <f t="shared" si="25"/>
        <v>0</v>
      </c>
      <c r="DC39" s="386"/>
      <c r="DD39" s="382">
        <v>215000000</v>
      </c>
      <c r="DE39" s="382">
        <f>'[1]COE DISB 2019'!AD47</f>
        <v>131150000</v>
      </c>
      <c r="DF39" s="382">
        <f t="shared" si="26"/>
        <v>83850000</v>
      </c>
      <c r="DG39" s="386"/>
      <c r="DH39" s="382">
        <v>10000000</v>
      </c>
      <c r="DI39" s="382">
        <f>'[1]COE DISB 2019'!AE47</f>
        <v>10000000</v>
      </c>
      <c r="DJ39" s="382">
        <f t="shared" si="70"/>
        <v>0</v>
      </c>
      <c r="DK39" s="386"/>
      <c r="DL39" s="382">
        <f>'[1]COE commited funds to date'!AD42</f>
        <v>10000000</v>
      </c>
      <c r="DM39" s="382">
        <f>'[1]COE DISB 2019'!AF47</f>
        <v>10000000</v>
      </c>
      <c r="DN39" s="382">
        <f t="shared" si="28"/>
        <v>0</v>
      </c>
      <c r="DO39" s="386"/>
      <c r="DP39" s="382">
        <v>325000000</v>
      </c>
      <c r="DQ39" s="382">
        <f>'[1]COE DISB 2019'!AG47</f>
        <v>198250000</v>
      </c>
      <c r="DR39" s="382">
        <f t="shared" si="29"/>
        <v>126750000</v>
      </c>
      <c r="DS39" s="386"/>
      <c r="DT39" s="353">
        <v>10000000</v>
      </c>
      <c r="DU39" s="382">
        <f>'[1]COE DISB 2019'!AH47</f>
        <v>10000000</v>
      </c>
      <c r="DV39" s="382">
        <f t="shared" si="30"/>
        <v>0</v>
      </c>
      <c r="DW39" s="386"/>
      <c r="DX39" s="382">
        <f>'[1]COE commited funds to date'!AI42</f>
        <v>10000000</v>
      </c>
      <c r="DY39" s="382">
        <f>'[1]COE DISB 2019'!AI47</f>
        <v>10000000</v>
      </c>
      <c r="DZ39" s="382">
        <f t="shared" si="31"/>
        <v>0</v>
      </c>
      <c r="EA39" s="386"/>
      <c r="EB39" s="382">
        <f>'[1]COE commited funds to date'!AJ42</f>
        <v>72000000</v>
      </c>
      <c r="EC39" s="382">
        <f>'[1]COE DISB 2019'!AJ47</f>
        <v>43920000</v>
      </c>
      <c r="ED39" s="382">
        <f t="shared" si="32"/>
        <v>28080000</v>
      </c>
      <c r="EE39" s="386"/>
      <c r="EF39" s="382">
        <f>'[1]COE commited funds to date'!AK42</f>
        <v>8000000</v>
      </c>
      <c r="EG39" s="382">
        <f>'[1]COE DISB 2019'!AK47</f>
        <v>8000000</v>
      </c>
      <c r="EH39" s="382">
        <f t="shared" si="33"/>
        <v>0</v>
      </c>
      <c r="EI39" s="386"/>
      <c r="EJ39" s="382">
        <f>'[1]COE commited funds to date'!AL42</f>
        <v>2000000</v>
      </c>
      <c r="EK39" s="382">
        <f>'[1]COE DISB 2019'!AL47</f>
        <v>1700000</v>
      </c>
      <c r="EL39" s="382">
        <f t="shared" si="34"/>
        <v>300000</v>
      </c>
      <c r="EM39" s="386"/>
      <c r="EN39" s="382">
        <f>'[1]COE commited funds to date'!AM42</f>
        <v>7000000</v>
      </c>
      <c r="EO39" s="382">
        <f>'[1]COE DISB 2019'!AM47</f>
        <v>7000000</v>
      </c>
      <c r="EP39" s="382">
        <f t="shared" si="35"/>
        <v>0</v>
      </c>
      <c r="EQ39" s="386"/>
      <c r="ER39" s="382">
        <f>'[1]COE commited funds to date'!AN42</f>
        <v>1000000000</v>
      </c>
      <c r="ES39" s="382">
        <f>'[1]COE DISB 2019'!AN47</f>
        <v>905000000</v>
      </c>
      <c r="ET39" s="382">
        <f t="shared" si="36"/>
        <v>95000000</v>
      </c>
      <c r="EV39" s="383">
        <f>'[1]COE commited funds to date'!AO42</f>
        <v>371067000</v>
      </c>
      <c r="EW39" s="383">
        <f>'[1]COE DISB 2019'!AO47</f>
        <v>226350870</v>
      </c>
      <c r="EX39" s="383">
        <f t="shared" si="38"/>
        <v>144716130</v>
      </c>
      <c r="EY39" s="380"/>
      <c r="EZ39" s="383">
        <f>'[1]COE commited funds to date'!AQ42</f>
        <v>12000000</v>
      </c>
      <c r="FA39" s="383">
        <f>'[1]COE DISB 2019'!AP47</f>
        <v>12000000</v>
      </c>
      <c r="FB39" s="383">
        <f t="shared" si="39"/>
        <v>0</v>
      </c>
      <c r="FC39" s="380"/>
      <c r="FD39" s="383">
        <f>'[1]COE commited funds to date'!AR42</f>
        <v>10000000</v>
      </c>
      <c r="FE39" s="383">
        <f>'[1]COE DISB 2019'!AQ47</f>
        <v>0</v>
      </c>
      <c r="FF39" s="383">
        <f t="shared" si="40"/>
        <v>10000000</v>
      </c>
      <c r="FG39" s="380"/>
      <c r="FH39" s="383">
        <f>'[1]COE commited funds to date'!AP42</f>
        <v>8000000</v>
      </c>
      <c r="FI39" s="383">
        <f>'[1]COE DISB 2019'!AR47</f>
        <v>8000000</v>
      </c>
      <c r="FJ39" s="383">
        <f t="shared" si="41"/>
        <v>0</v>
      </c>
      <c r="FK39" s="383">
        <f>'[1]COE commited funds to date'!AS42</f>
        <v>0</v>
      </c>
      <c r="FL39" s="383">
        <f>'[1]COE DISB 2019'!AS47</f>
        <v>0</v>
      </c>
      <c r="FM39" s="383">
        <f t="shared" si="42"/>
        <v>0</v>
      </c>
      <c r="FN39" s="380"/>
      <c r="FO39" s="383">
        <f>'[1]COE commited funds to date'!AT42</f>
        <v>200000000</v>
      </c>
      <c r="FP39" s="383">
        <f>'[1]COE DISB 2019'!AT47</f>
        <v>0</v>
      </c>
      <c r="FQ39" s="383">
        <f t="shared" si="43"/>
        <v>200000000</v>
      </c>
      <c r="FR39" s="380"/>
      <c r="FS39" s="383">
        <f>'[1]COE commited funds to date'!AU42</f>
        <v>75000000</v>
      </c>
      <c r="FT39" s="383">
        <f>'[1]COE DISB 2019'!AU47</f>
        <v>50250000</v>
      </c>
      <c r="FU39" s="383">
        <f t="shared" si="44"/>
        <v>24750000</v>
      </c>
      <c r="FV39" s="380"/>
      <c r="FW39" s="383">
        <f>'[1]COE commited funds to date'!AV42</f>
        <v>8700000</v>
      </c>
      <c r="FX39" s="383">
        <f>'[1]COE DISB 2019'!AV47</f>
        <v>0</v>
      </c>
      <c r="FY39" s="383">
        <f t="shared" si="45"/>
        <v>8700000</v>
      </c>
      <c r="FZ39" s="380"/>
      <c r="GA39" s="383">
        <f>'[1]COE commited funds to date'!AW42</f>
        <v>5000000</v>
      </c>
      <c r="GB39" s="383">
        <f>'[1]COE DISB 2019'!AW47</f>
        <v>0</v>
      </c>
      <c r="GC39" s="383">
        <f t="shared" si="46"/>
        <v>5000000</v>
      </c>
      <c r="GD39" s="380"/>
      <c r="GE39" s="383">
        <f>'[1]COE commited funds to date'!AX42</f>
        <v>20000000</v>
      </c>
      <c r="GF39" s="383">
        <f>'[1]COE DISB 2019'!AX47</f>
        <v>13174075</v>
      </c>
      <c r="GG39" s="383">
        <f t="shared" si="47"/>
        <v>6825925</v>
      </c>
      <c r="GH39" s="380"/>
      <c r="GI39" s="383">
        <f>'[1]COE commited funds to date'!AY42</f>
        <v>230000000</v>
      </c>
      <c r="GJ39" s="383">
        <f>'[1]COE DISB 2019'!AY47</f>
        <v>0</v>
      </c>
      <c r="GK39" s="383">
        <f t="shared" si="48"/>
        <v>230000000</v>
      </c>
      <c r="GL39" s="380"/>
      <c r="GM39" s="383">
        <f>'[1]COE commited funds to date'!AZ42</f>
        <v>116776600</v>
      </c>
      <c r="GN39" s="383">
        <f>'[1]COE DISB 2019'!AZ47</f>
        <v>0</v>
      </c>
      <c r="GO39" s="383">
        <f t="shared" si="49"/>
        <v>116776600</v>
      </c>
      <c r="GP39" s="380"/>
      <c r="GQ39" s="383">
        <f>'[1]COE commited funds to date'!BA42</f>
        <v>12000000</v>
      </c>
      <c r="GR39" s="383">
        <f>'[1]COE DISB 2019'!BA47</f>
        <v>0</v>
      </c>
      <c r="GS39" s="383">
        <f t="shared" si="50"/>
        <v>12000000</v>
      </c>
      <c r="GT39" s="380"/>
      <c r="GU39" s="383">
        <f>'[1]COE commited funds to date'!BB42</f>
        <v>5000000</v>
      </c>
      <c r="GV39" s="383">
        <f>'[1]COE DISB 2019'!BB47</f>
        <v>0</v>
      </c>
      <c r="GW39" s="383">
        <f t="shared" si="51"/>
        <v>5000000</v>
      </c>
      <c r="GX39" s="380"/>
      <c r="GY39" s="383">
        <f>'[1]COE commited funds to date'!BC42</f>
        <v>10308300</v>
      </c>
      <c r="GZ39" s="383">
        <f>'[1]COE DISB 2019'!BC47</f>
        <v>0</v>
      </c>
      <c r="HA39" s="383">
        <f t="shared" si="52"/>
        <v>10308300</v>
      </c>
      <c r="HB39" s="380"/>
      <c r="HC39" s="383">
        <f t="shared" si="53"/>
        <v>3458975000.6999998</v>
      </c>
      <c r="HD39" s="383">
        <f t="shared" si="53"/>
        <v>2350918045.6100001</v>
      </c>
      <c r="HE39" s="382">
        <f t="shared" si="54"/>
        <v>1108056955.0899997</v>
      </c>
      <c r="HG39" s="383">
        <f t="shared" si="55"/>
        <v>2062715465.5</v>
      </c>
      <c r="HH39" s="383">
        <f t="shared" si="55"/>
        <v>1249319335.4099998</v>
      </c>
      <c r="HI39" s="383">
        <f t="shared" si="56"/>
        <v>813396130.09000015</v>
      </c>
      <c r="HK39" s="383">
        <f t="shared" si="57"/>
        <v>1050000000</v>
      </c>
      <c r="HL39" s="383">
        <f t="shared" si="57"/>
        <v>955000000</v>
      </c>
      <c r="HM39" s="383">
        <f t="shared" si="58"/>
        <v>95000000</v>
      </c>
      <c r="HO39" s="383">
        <f t="shared" si="71"/>
        <v>1474635.2</v>
      </c>
      <c r="HP39" s="383">
        <f t="shared" si="71"/>
        <v>1474635.2</v>
      </c>
      <c r="HQ39" s="383">
        <f t="shared" si="59"/>
        <v>0</v>
      </c>
      <c r="HS39" s="383">
        <f t="shared" si="60"/>
        <v>89308300</v>
      </c>
      <c r="HT39" s="383">
        <f t="shared" si="60"/>
        <v>72174075</v>
      </c>
      <c r="HU39" s="383">
        <f t="shared" si="61"/>
        <v>17134225</v>
      </c>
      <c r="HW39" s="383">
        <f t="shared" si="62"/>
        <v>36700000</v>
      </c>
      <c r="HX39" s="383">
        <f t="shared" si="62"/>
        <v>16000000</v>
      </c>
      <c r="HY39" s="383">
        <f t="shared" si="63"/>
        <v>20700000</v>
      </c>
      <c r="IA39" s="387">
        <f t="shared" si="64"/>
        <v>20000000</v>
      </c>
      <c r="IB39" s="387">
        <f t="shared" si="64"/>
        <v>0</v>
      </c>
      <c r="IC39" s="387">
        <f t="shared" si="65"/>
        <v>20000000</v>
      </c>
      <c r="IE39" s="383">
        <f t="shared" si="66"/>
        <v>191776600</v>
      </c>
      <c r="IF39" s="383">
        <f t="shared" si="66"/>
        <v>50250000</v>
      </c>
      <c r="IG39" s="383">
        <f t="shared" si="67"/>
        <v>141526600</v>
      </c>
      <c r="II39" s="383">
        <f t="shared" si="68"/>
        <v>2000000</v>
      </c>
      <c r="IJ39" s="383">
        <f t="shared" si="68"/>
        <v>1700000</v>
      </c>
      <c r="IK39" s="383">
        <f t="shared" si="69"/>
        <v>300000</v>
      </c>
    </row>
    <row r="40" spans="1:245" ht="19.5" customHeight="1" x14ac:dyDescent="0.25">
      <c r="A40" s="380">
        <v>37</v>
      </c>
      <c r="B40" s="380" t="s">
        <v>356</v>
      </c>
      <c r="C40" s="400" t="s">
        <v>63</v>
      </c>
      <c r="D40" s="382">
        <v>18318965.5</v>
      </c>
      <c r="E40" s="382">
        <f>'[1]COE DISB 2019'!D48</f>
        <v>18318965.5</v>
      </c>
      <c r="F40" s="383">
        <f t="shared" si="0"/>
        <v>0</v>
      </c>
      <c r="H40" s="382">
        <v>8000000</v>
      </c>
      <c r="I40" s="382">
        <f>'[1]COE DISB 2019'!E48</f>
        <v>8000000</v>
      </c>
      <c r="J40" s="383">
        <f t="shared" si="1"/>
        <v>0</v>
      </c>
      <c r="L40" s="382">
        <v>500000</v>
      </c>
      <c r="M40" s="382">
        <f>'[1]COE DISB 2019'!F48</f>
        <v>500000</v>
      </c>
      <c r="N40" s="383">
        <f t="shared" si="2"/>
        <v>0</v>
      </c>
      <c r="P40" s="353">
        <v>16000000</v>
      </c>
      <c r="Q40" s="382">
        <f>'[1]COE DISB 2019'!G48</f>
        <v>16000000</v>
      </c>
      <c r="R40" s="383">
        <f t="shared" si="3"/>
        <v>0</v>
      </c>
      <c r="T40" s="385">
        <v>156000</v>
      </c>
      <c r="U40" s="382">
        <f>'[1]COE DISB 2019'!H48</f>
        <v>156000</v>
      </c>
      <c r="V40" s="383">
        <f t="shared" si="4"/>
        <v>0</v>
      </c>
      <c r="X40" s="353">
        <v>0</v>
      </c>
      <c r="Y40" s="382">
        <f>'[1]COE DISB 2019'!I48</f>
        <v>0</v>
      </c>
      <c r="Z40" s="383">
        <f t="shared" si="5"/>
        <v>0</v>
      </c>
      <c r="AB40" s="385">
        <v>20000000</v>
      </c>
      <c r="AC40" s="382">
        <f>'[1]COE DISB 2019'!J48</f>
        <v>20000000</v>
      </c>
      <c r="AD40" s="383">
        <f t="shared" si="6"/>
        <v>0</v>
      </c>
      <c r="AF40" s="353">
        <v>0</v>
      </c>
      <c r="AG40" s="382">
        <f>'[1]COE DISB 2019'!K48</f>
        <v>0</v>
      </c>
      <c r="AH40" s="383">
        <f t="shared" si="7"/>
        <v>0</v>
      </c>
      <c r="AJ40" s="385">
        <v>10000000</v>
      </c>
      <c r="AK40" s="382">
        <f>'[1]COE DISB 2019'!L48</f>
        <v>10000000</v>
      </c>
      <c r="AL40" s="383">
        <f t="shared" si="8"/>
        <v>0</v>
      </c>
      <c r="AN40" s="382">
        <v>10000000</v>
      </c>
      <c r="AO40" s="382">
        <f>'[1]COE DISB 2019'!M48</f>
        <v>10000000</v>
      </c>
      <c r="AP40" s="383">
        <f t="shared" si="9"/>
        <v>0</v>
      </c>
      <c r="AR40" s="382">
        <v>15000000</v>
      </c>
      <c r="AS40" s="382">
        <f>'[1]COE DISB 2019'!N48</f>
        <v>15000000</v>
      </c>
      <c r="AT40" s="383">
        <f t="shared" si="10"/>
        <v>0</v>
      </c>
      <c r="AV40" s="382">
        <v>0</v>
      </c>
      <c r="AW40" s="353">
        <f>'[1]COE DISB 2019'!O48</f>
        <v>0</v>
      </c>
      <c r="AX40" s="382">
        <f t="shared" si="11"/>
        <v>0</v>
      </c>
      <c r="AZ40" s="382">
        <v>18000000</v>
      </c>
      <c r="BA40" s="382">
        <f>'[1]COE DISB 2019'!P48</f>
        <v>18000000</v>
      </c>
      <c r="BB40" s="382">
        <f t="shared" si="12"/>
        <v>0</v>
      </c>
      <c r="BD40" s="382">
        <v>23400000</v>
      </c>
      <c r="BE40" s="382">
        <f>'[1]COE DISB 2019'!Q48</f>
        <v>23400000</v>
      </c>
      <c r="BF40" s="382">
        <f t="shared" si="13"/>
        <v>0</v>
      </c>
      <c r="BH40" s="382">
        <v>0</v>
      </c>
      <c r="BI40" s="382">
        <f>'[1]COE DISB 2019'!R48</f>
        <v>0</v>
      </c>
      <c r="BJ40" s="382">
        <f t="shared" si="14"/>
        <v>0</v>
      </c>
      <c r="BL40" s="382">
        <v>43000000</v>
      </c>
      <c r="BM40" s="382">
        <f>'[1]COE DISB 2019'!S48</f>
        <v>43000000</v>
      </c>
      <c r="BN40" s="382">
        <f t="shared" si="15"/>
        <v>0</v>
      </c>
      <c r="BP40" s="382">
        <v>37160000</v>
      </c>
      <c r="BQ40" s="382">
        <f>'[1]COE DISB 2019'!T48</f>
        <v>37160000</v>
      </c>
      <c r="BR40" s="382">
        <f t="shared" si="16"/>
        <v>0</v>
      </c>
      <c r="BT40" s="382">
        <v>0</v>
      </c>
      <c r="BU40" s="382">
        <f>'[1]COE DISB 2019'!U48</f>
        <v>0</v>
      </c>
      <c r="BV40" s="382">
        <f t="shared" si="17"/>
        <v>0</v>
      </c>
      <c r="BX40" s="382">
        <v>112670000</v>
      </c>
      <c r="BY40" s="382">
        <f>'[1]COE DISB 2019'!V48</f>
        <v>112670000</v>
      </c>
      <c r="BZ40" s="382">
        <f t="shared" si="18"/>
        <v>0</v>
      </c>
      <c r="CB40" s="382">
        <f>'[1]COE commited funds to date'!W43</f>
        <v>235000000</v>
      </c>
      <c r="CC40" s="382">
        <f>'[1]COE DISB 2019'!W48</f>
        <v>235000000</v>
      </c>
      <c r="CD40" s="382">
        <f t="shared" si="19"/>
        <v>0</v>
      </c>
      <c r="CF40" s="382">
        <f>'[1]COE commited funds to date'!X43</f>
        <v>125000000</v>
      </c>
      <c r="CG40" s="382">
        <f>'[1]COE DISB 2019'!X48</f>
        <v>125000000</v>
      </c>
      <c r="CH40" s="382">
        <f t="shared" si="20"/>
        <v>0</v>
      </c>
      <c r="CJ40" s="382">
        <v>10000000</v>
      </c>
      <c r="CK40" s="382">
        <f>'[1]COE DISB 2019'!Y48</f>
        <v>10000000</v>
      </c>
      <c r="CL40" s="382">
        <f t="shared" si="21"/>
        <v>0</v>
      </c>
      <c r="CN40" s="382">
        <v>0</v>
      </c>
      <c r="CO40" s="382">
        <f>'[1]COE DISB 2019'!Z48</f>
        <v>0</v>
      </c>
      <c r="CP40" s="382">
        <f t="shared" si="22"/>
        <v>0</v>
      </c>
      <c r="CR40" s="382">
        <v>210000000</v>
      </c>
      <c r="CS40" s="382">
        <f>'[1]COE DISB 2019'!AA48</f>
        <v>210000000</v>
      </c>
      <c r="CT40" s="382">
        <f t="shared" si="23"/>
        <v>0</v>
      </c>
      <c r="CV40" s="382">
        <v>10000000</v>
      </c>
      <c r="CW40" s="382">
        <f>'[1]COE DISB 2019'!AB48</f>
        <v>10000000</v>
      </c>
      <c r="CX40" s="382">
        <f t="shared" si="24"/>
        <v>0</v>
      </c>
      <c r="CZ40" s="382">
        <f>'[1]COE commited funds to date'!AC43</f>
        <v>500000000</v>
      </c>
      <c r="DA40" s="382">
        <f>'[1]COE DISB 2019'!AC48</f>
        <v>500000000</v>
      </c>
      <c r="DB40" s="382">
        <f t="shared" si="25"/>
        <v>0</v>
      </c>
      <c r="DC40" s="386"/>
      <c r="DD40" s="382">
        <v>215000000</v>
      </c>
      <c r="DE40" s="382">
        <f>'[1]COE DISB 2019'!AD48</f>
        <v>215000000</v>
      </c>
      <c r="DF40" s="382">
        <f t="shared" si="26"/>
        <v>0</v>
      </c>
      <c r="DG40" s="386"/>
      <c r="DH40" s="382">
        <v>10000000</v>
      </c>
      <c r="DI40" s="382">
        <f>'[1]COE DISB 2019'!AE48</f>
        <v>10000000</v>
      </c>
      <c r="DJ40" s="382">
        <f t="shared" si="70"/>
        <v>0</v>
      </c>
      <c r="DK40" s="386"/>
      <c r="DL40" s="382">
        <f>'[1]COE commited funds to date'!AD43</f>
        <v>630000000</v>
      </c>
      <c r="DM40" s="382">
        <f>'[1]COE DISB 2019'!AF48</f>
        <v>630000000</v>
      </c>
      <c r="DN40" s="382">
        <f t="shared" si="28"/>
        <v>0</v>
      </c>
      <c r="DO40" s="386"/>
      <c r="DP40" s="382">
        <v>325000000</v>
      </c>
      <c r="DQ40" s="382">
        <f>'[1]COE DISB 2019'!AG48</f>
        <v>325000000</v>
      </c>
      <c r="DR40" s="382">
        <f t="shared" si="29"/>
        <v>0</v>
      </c>
      <c r="DS40" s="386"/>
      <c r="DT40" s="353">
        <v>10000000</v>
      </c>
      <c r="DU40" s="382">
        <f>'[1]COE DISB 2019'!AH48</f>
        <v>10000000</v>
      </c>
      <c r="DV40" s="382">
        <f t="shared" si="30"/>
        <v>0</v>
      </c>
      <c r="DW40" s="386"/>
      <c r="DX40" s="382">
        <f>'[1]COE commited funds to date'!AI43</f>
        <v>600000000</v>
      </c>
      <c r="DY40" s="382">
        <f>'[1]COE DISB 2019'!AI48</f>
        <v>600000000</v>
      </c>
      <c r="DZ40" s="382">
        <f t="shared" si="31"/>
        <v>0</v>
      </c>
      <c r="EA40" s="386"/>
      <c r="EB40" s="382">
        <f>'[1]COE commited funds to date'!AJ43</f>
        <v>72000000</v>
      </c>
      <c r="EC40" s="382">
        <f>'[1]COE DISB 2019'!AJ48</f>
        <v>61200000</v>
      </c>
      <c r="ED40" s="382">
        <f t="shared" si="32"/>
        <v>10800000</v>
      </c>
      <c r="EE40" s="386"/>
      <c r="EF40" s="382">
        <f>'[1]COE commited funds to date'!AK43</f>
        <v>8000000</v>
      </c>
      <c r="EG40" s="382">
        <f>'[1]COE DISB 2019'!AK48</f>
        <v>0</v>
      </c>
      <c r="EH40" s="382">
        <f t="shared" si="33"/>
        <v>8000000</v>
      </c>
      <c r="EI40" s="386"/>
      <c r="EJ40" s="382">
        <f>'[1]COE commited funds to date'!AL43</f>
        <v>2000000</v>
      </c>
      <c r="EK40" s="382">
        <f>'[1]COE DISB 2019'!AL48</f>
        <v>2000000</v>
      </c>
      <c r="EL40" s="382">
        <f t="shared" si="34"/>
        <v>0</v>
      </c>
      <c r="EM40" s="386"/>
      <c r="EN40" s="382">
        <f>'[1]COE commited funds to date'!AM43</f>
        <v>7000000</v>
      </c>
      <c r="EO40" s="382">
        <f>'[1]COE DISB 2019'!AM48</f>
        <v>7000000</v>
      </c>
      <c r="EP40" s="382">
        <f t="shared" si="35"/>
        <v>0</v>
      </c>
      <c r="EQ40" s="386"/>
      <c r="ER40" s="382">
        <f>'[1]COE commited funds to date'!AN43</f>
        <v>310000000</v>
      </c>
      <c r="ES40" s="382">
        <f>'[1]COE DISB 2019'!AN48</f>
        <v>310000000</v>
      </c>
      <c r="ET40" s="382">
        <f t="shared" si="36"/>
        <v>0</v>
      </c>
      <c r="EV40" s="383">
        <f>'[1]COE commited funds to date'!AO43</f>
        <v>371067000</v>
      </c>
      <c r="EW40" s="383">
        <f>'[1]COE DISB 2019'!AO48</f>
        <v>315406950</v>
      </c>
      <c r="EX40" s="383">
        <f t="shared" si="38"/>
        <v>55660050</v>
      </c>
      <c r="EY40" s="380"/>
      <c r="EZ40" s="383">
        <f>'[1]COE commited funds to date'!AQ43</f>
        <v>12000000</v>
      </c>
      <c r="FA40" s="383">
        <f>'[1]COE DISB 2019'!AP48</f>
        <v>12000000</v>
      </c>
      <c r="FB40" s="383">
        <f t="shared" si="39"/>
        <v>0</v>
      </c>
      <c r="FC40" s="380"/>
      <c r="FD40" s="383">
        <f>'[1]COE commited funds to date'!AR43</f>
        <v>10000000</v>
      </c>
      <c r="FE40" s="383">
        <f>'[1]COE DISB 2019'!AQ48</f>
        <v>0</v>
      </c>
      <c r="FF40" s="383">
        <f t="shared" si="40"/>
        <v>10000000</v>
      </c>
      <c r="FG40" s="380"/>
      <c r="FH40" s="383">
        <f>'[1]COE commited funds to date'!AP43</f>
        <v>8000000</v>
      </c>
      <c r="FI40" s="383">
        <f>'[1]COE DISB 2019'!AR48</f>
        <v>0</v>
      </c>
      <c r="FJ40" s="383">
        <f t="shared" si="41"/>
        <v>8000000</v>
      </c>
      <c r="FK40" s="383">
        <f>'[1]COE commited funds to date'!AS43</f>
        <v>0</v>
      </c>
      <c r="FL40" s="383">
        <f>'[1]COE DISB 2019'!AS48</f>
        <v>0</v>
      </c>
      <c r="FM40" s="383">
        <f t="shared" si="42"/>
        <v>0</v>
      </c>
      <c r="FN40" s="380"/>
      <c r="FO40" s="383">
        <f>'[1]COE commited funds to date'!AT43</f>
        <v>200000000</v>
      </c>
      <c r="FP40" s="383">
        <f>'[1]COE DISB 2019'!AT48</f>
        <v>0</v>
      </c>
      <c r="FQ40" s="383">
        <f t="shared" si="43"/>
        <v>200000000</v>
      </c>
      <c r="FR40" s="380"/>
      <c r="FS40" s="383">
        <f>'[1]COE commited funds to date'!AU43</f>
        <v>75000000</v>
      </c>
      <c r="FT40" s="383">
        <f>'[1]COE DISB 2019'!AU48</f>
        <v>75000000</v>
      </c>
      <c r="FU40" s="383">
        <f t="shared" si="44"/>
        <v>0</v>
      </c>
      <c r="FV40" s="380"/>
      <c r="FW40" s="383">
        <f>'[1]COE commited funds to date'!AV43</f>
        <v>8700000</v>
      </c>
      <c r="FX40" s="383">
        <f>'[1]COE DISB 2019'!AV48</f>
        <v>0</v>
      </c>
      <c r="FY40" s="383">
        <f t="shared" si="45"/>
        <v>8700000</v>
      </c>
      <c r="FZ40" s="380"/>
      <c r="GA40" s="383">
        <f>'[1]COE commited funds to date'!AW43</f>
        <v>5000000</v>
      </c>
      <c r="GB40" s="383">
        <f>'[1]COE DISB 2019'!AW48</f>
        <v>0</v>
      </c>
      <c r="GC40" s="383">
        <f t="shared" si="46"/>
        <v>5000000</v>
      </c>
      <c r="GD40" s="380"/>
      <c r="GE40" s="383">
        <f>'[1]COE commited funds to date'!AX43</f>
        <v>20000000</v>
      </c>
      <c r="GF40" s="383">
        <f>'[1]COE DISB 2019'!AX48</f>
        <v>19166100</v>
      </c>
      <c r="GG40" s="383">
        <f t="shared" si="47"/>
        <v>833900</v>
      </c>
      <c r="GH40" s="380"/>
      <c r="GI40" s="383">
        <f>'[1]COE commited funds to date'!AY43</f>
        <v>230000000</v>
      </c>
      <c r="GJ40" s="383">
        <f>'[1]COE DISB 2019'!AY48</f>
        <v>0</v>
      </c>
      <c r="GK40" s="383">
        <f t="shared" si="48"/>
        <v>230000000</v>
      </c>
      <c r="GL40" s="380"/>
      <c r="GM40" s="383">
        <f>'[1]COE commited funds to date'!AZ43</f>
        <v>116776600</v>
      </c>
      <c r="GN40" s="383">
        <f>'[1]COE DISB 2019'!AZ48</f>
        <v>0</v>
      </c>
      <c r="GO40" s="383">
        <f t="shared" si="49"/>
        <v>116776600</v>
      </c>
      <c r="GP40" s="380"/>
      <c r="GQ40" s="383">
        <f>'[1]COE commited funds to date'!BA43</f>
        <v>12000000</v>
      </c>
      <c r="GR40" s="383">
        <f>'[1]COE DISB 2019'!BA48</f>
        <v>0</v>
      </c>
      <c r="GS40" s="383">
        <f t="shared" si="50"/>
        <v>12000000</v>
      </c>
      <c r="GT40" s="380"/>
      <c r="GU40" s="383">
        <f>'[1]COE commited funds to date'!BB43</f>
        <v>5000000</v>
      </c>
      <c r="GV40" s="383">
        <f>'[1]COE DISB 2019'!BB48</f>
        <v>0</v>
      </c>
      <c r="GW40" s="383">
        <f t="shared" si="51"/>
        <v>5000000</v>
      </c>
      <c r="GX40" s="380"/>
      <c r="GY40" s="383">
        <f>'[1]COE commited funds to date'!BC43</f>
        <v>10308300</v>
      </c>
      <c r="GZ40" s="383">
        <f>'[1]COE DISB 2019'!BC48</f>
        <v>0</v>
      </c>
      <c r="HA40" s="383">
        <f t="shared" si="52"/>
        <v>10308300</v>
      </c>
      <c r="HB40" s="380"/>
      <c r="HC40" s="383">
        <f t="shared" si="53"/>
        <v>4695056865.5</v>
      </c>
      <c r="HD40" s="383">
        <f t="shared" si="53"/>
        <v>4013978015.5</v>
      </c>
      <c r="HE40" s="382">
        <f t="shared" si="54"/>
        <v>681078850</v>
      </c>
      <c r="HG40" s="383">
        <f t="shared" si="55"/>
        <v>2079615965.5</v>
      </c>
      <c r="HH40" s="383">
        <f t="shared" si="55"/>
        <v>1583155915.5</v>
      </c>
      <c r="HI40" s="383">
        <f t="shared" si="56"/>
        <v>496460050</v>
      </c>
      <c r="HK40" s="383">
        <f t="shared" si="57"/>
        <v>2275000000</v>
      </c>
      <c r="HL40" s="383">
        <f t="shared" si="57"/>
        <v>2275000000</v>
      </c>
      <c r="HM40" s="383">
        <f t="shared" si="58"/>
        <v>0</v>
      </c>
      <c r="HO40" s="383">
        <f t="shared" si="71"/>
        <v>656000</v>
      </c>
      <c r="HP40" s="383">
        <f t="shared" si="71"/>
        <v>656000</v>
      </c>
      <c r="HQ40" s="383">
        <f t="shared" si="59"/>
        <v>0</v>
      </c>
      <c r="HS40" s="383">
        <f t="shared" si="60"/>
        <v>89308300</v>
      </c>
      <c r="HT40" s="383">
        <f t="shared" si="60"/>
        <v>78166100</v>
      </c>
      <c r="HU40" s="383">
        <f t="shared" si="61"/>
        <v>11142200</v>
      </c>
      <c r="HW40" s="383">
        <f t="shared" si="62"/>
        <v>36700000</v>
      </c>
      <c r="HX40" s="383">
        <f t="shared" si="62"/>
        <v>0</v>
      </c>
      <c r="HY40" s="383">
        <f t="shared" si="63"/>
        <v>36700000</v>
      </c>
      <c r="IA40" s="387">
        <f t="shared" si="64"/>
        <v>20000000</v>
      </c>
      <c r="IB40" s="387">
        <f t="shared" si="64"/>
        <v>0</v>
      </c>
      <c r="IC40" s="387">
        <f t="shared" si="65"/>
        <v>20000000</v>
      </c>
      <c r="IE40" s="383">
        <f t="shared" si="66"/>
        <v>191776600</v>
      </c>
      <c r="IF40" s="383">
        <f t="shared" si="66"/>
        <v>75000000</v>
      </c>
      <c r="IG40" s="383">
        <f t="shared" si="67"/>
        <v>116776600</v>
      </c>
      <c r="II40" s="383">
        <f t="shared" si="68"/>
        <v>2000000</v>
      </c>
      <c r="IJ40" s="383">
        <f t="shared" si="68"/>
        <v>2000000</v>
      </c>
      <c r="IK40" s="383">
        <f t="shared" si="69"/>
        <v>0</v>
      </c>
    </row>
    <row r="41" spans="1:245" ht="19.5" customHeight="1" x14ac:dyDescent="0.25">
      <c r="A41" s="380">
        <v>38</v>
      </c>
      <c r="B41" s="380" t="s">
        <v>357</v>
      </c>
      <c r="C41" s="381" t="s">
        <v>63</v>
      </c>
      <c r="D41" s="382">
        <v>18318965.5</v>
      </c>
      <c r="E41" s="382">
        <f>'[1]COE DISB 2019'!D49</f>
        <v>18318965.5</v>
      </c>
      <c r="F41" s="383">
        <f t="shared" si="0"/>
        <v>0</v>
      </c>
      <c r="H41" s="382">
        <v>8000000</v>
      </c>
      <c r="I41" s="382">
        <f>'[1]COE DISB 2019'!E49</f>
        <v>8000000</v>
      </c>
      <c r="J41" s="383">
        <f t="shared" si="1"/>
        <v>0</v>
      </c>
      <c r="L41" s="382">
        <v>500000</v>
      </c>
      <c r="M41" s="382">
        <f>'[1]COE DISB 2019'!F49</f>
        <v>500000</v>
      </c>
      <c r="N41" s="383">
        <f t="shared" si="2"/>
        <v>0</v>
      </c>
      <c r="P41" s="353">
        <v>16000000</v>
      </c>
      <c r="Q41" s="382">
        <f>'[1]COE DISB 2019'!G49</f>
        <v>16000000</v>
      </c>
      <c r="R41" s="383">
        <f t="shared" si="3"/>
        <v>0</v>
      </c>
      <c r="T41" s="353">
        <v>0</v>
      </c>
      <c r="U41" s="382">
        <f>'[1]COE DISB 2019'!H49</f>
        <v>0</v>
      </c>
      <c r="V41" s="383">
        <f t="shared" si="4"/>
        <v>0</v>
      </c>
      <c r="X41" s="353">
        <v>0</v>
      </c>
      <c r="Y41" s="382">
        <f>'[1]COE DISB 2019'!I49</f>
        <v>0</v>
      </c>
      <c r="Z41" s="383">
        <f t="shared" si="5"/>
        <v>0</v>
      </c>
      <c r="AB41" s="385">
        <v>20000000</v>
      </c>
      <c r="AC41" s="382">
        <f>'[1]COE DISB 2019'!J49</f>
        <v>20000000</v>
      </c>
      <c r="AD41" s="383">
        <f t="shared" si="6"/>
        <v>0</v>
      </c>
      <c r="AF41" s="353">
        <v>0</v>
      </c>
      <c r="AG41" s="382">
        <f>'[1]COE DISB 2019'!K49</f>
        <v>0</v>
      </c>
      <c r="AH41" s="383">
        <f t="shared" si="7"/>
        <v>0</v>
      </c>
      <c r="AJ41" s="385">
        <v>10000000</v>
      </c>
      <c r="AK41" s="382">
        <f>'[1]COE DISB 2019'!L49</f>
        <v>10000000</v>
      </c>
      <c r="AL41" s="383">
        <f t="shared" si="8"/>
        <v>0</v>
      </c>
      <c r="AN41" s="382">
        <v>10000000</v>
      </c>
      <c r="AO41" s="382">
        <f>'[1]COE DISB 2019'!M49</f>
        <v>10000000</v>
      </c>
      <c r="AP41" s="383">
        <f t="shared" si="9"/>
        <v>0</v>
      </c>
      <c r="AR41" s="382">
        <v>15000000</v>
      </c>
      <c r="AS41" s="382">
        <f>'[1]COE DISB 2019'!N49</f>
        <v>15000000</v>
      </c>
      <c r="AT41" s="383">
        <f t="shared" si="10"/>
        <v>0</v>
      </c>
      <c r="AV41" s="382">
        <v>0</v>
      </c>
      <c r="AW41" s="385">
        <f>'[1]COE DISB 2019'!O49</f>
        <v>0</v>
      </c>
      <c r="AX41" s="382">
        <f t="shared" si="11"/>
        <v>0</v>
      </c>
      <c r="AZ41" s="382">
        <v>18000000</v>
      </c>
      <c r="BA41" s="382">
        <f>'[1]COE DISB 2019'!P49</f>
        <v>18000000</v>
      </c>
      <c r="BB41" s="382">
        <f t="shared" si="12"/>
        <v>0</v>
      </c>
      <c r="BD41" s="382">
        <v>23400000</v>
      </c>
      <c r="BE41" s="382">
        <f>'[1]COE DISB 2019'!Q49</f>
        <v>23400000</v>
      </c>
      <c r="BF41" s="382">
        <f t="shared" si="13"/>
        <v>0</v>
      </c>
      <c r="BH41" s="382">
        <v>0</v>
      </c>
      <c r="BI41" s="382">
        <f>'[1]COE DISB 2019'!R49</f>
        <v>0</v>
      </c>
      <c r="BJ41" s="382">
        <f t="shared" si="14"/>
        <v>0</v>
      </c>
      <c r="BL41" s="382">
        <v>43000000</v>
      </c>
      <c r="BM41" s="382">
        <f>'[1]COE DISB 2019'!S49</f>
        <v>43000000</v>
      </c>
      <c r="BN41" s="382">
        <f t="shared" si="15"/>
        <v>0</v>
      </c>
      <c r="BP41" s="382">
        <v>37160000</v>
      </c>
      <c r="BQ41" s="382">
        <f>'[1]COE DISB 2019'!T49</f>
        <v>37160000</v>
      </c>
      <c r="BR41" s="382">
        <f t="shared" si="16"/>
        <v>0</v>
      </c>
      <c r="BT41" s="382">
        <v>0</v>
      </c>
      <c r="BU41" s="382">
        <f>'[1]COE DISB 2019'!U49</f>
        <v>0</v>
      </c>
      <c r="BV41" s="382">
        <f t="shared" si="17"/>
        <v>0</v>
      </c>
      <c r="BX41" s="382">
        <v>112670000</v>
      </c>
      <c r="BY41" s="382">
        <f>'[1]COE DISB 2019'!V49</f>
        <v>112670000</v>
      </c>
      <c r="BZ41" s="382">
        <f t="shared" si="18"/>
        <v>0</v>
      </c>
      <c r="CB41" s="382">
        <f>'[1]COE commited funds to date'!W44</f>
        <v>0</v>
      </c>
      <c r="CC41" s="382">
        <f>'[1]COE DISB 2019'!W49</f>
        <v>0</v>
      </c>
      <c r="CD41" s="382">
        <f t="shared" si="19"/>
        <v>0</v>
      </c>
      <c r="CF41" s="382">
        <f>'[1]COE commited funds to date'!X44</f>
        <v>125000000</v>
      </c>
      <c r="CG41" s="382">
        <f>'[1]COE DISB 2019'!X49</f>
        <v>125000000</v>
      </c>
      <c r="CH41" s="382">
        <f t="shared" si="20"/>
        <v>0</v>
      </c>
      <c r="CJ41" s="382">
        <v>10000000</v>
      </c>
      <c r="CK41" s="382">
        <f>'[1]COE DISB 2019'!Y49</f>
        <v>10000000</v>
      </c>
      <c r="CL41" s="382">
        <f t="shared" si="21"/>
        <v>0</v>
      </c>
      <c r="CN41" s="382">
        <v>0</v>
      </c>
      <c r="CO41" s="382">
        <f>'[1]COE DISB 2019'!Z49</f>
        <v>0</v>
      </c>
      <c r="CP41" s="382">
        <f t="shared" si="22"/>
        <v>0</v>
      </c>
      <c r="CR41" s="382">
        <v>210000000</v>
      </c>
      <c r="CS41" s="382">
        <f>'[1]COE DISB 2019'!AA49</f>
        <v>210000000</v>
      </c>
      <c r="CT41" s="382">
        <f t="shared" si="23"/>
        <v>0</v>
      </c>
      <c r="CV41" s="382">
        <v>10000000</v>
      </c>
      <c r="CW41" s="382">
        <f>'[1]COE DISB 2019'!AB49</f>
        <v>10000000</v>
      </c>
      <c r="CX41" s="382">
        <f t="shared" si="24"/>
        <v>0</v>
      </c>
      <c r="CZ41" s="382">
        <f>'[1]COE commited funds to date'!AC44</f>
        <v>50000000</v>
      </c>
      <c r="DA41" s="382">
        <f>'[1]COE DISB 2019'!AC49</f>
        <v>50000000</v>
      </c>
      <c r="DB41" s="382">
        <f t="shared" si="25"/>
        <v>0</v>
      </c>
      <c r="DC41" s="386"/>
      <c r="DD41" s="382">
        <v>215000000</v>
      </c>
      <c r="DE41" s="382">
        <f>'[1]COE DISB 2019'!AD49</f>
        <v>215000000</v>
      </c>
      <c r="DF41" s="382">
        <f t="shared" si="26"/>
        <v>0</v>
      </c>
      <c r="DG41" s="386"/>
      <c r="DH41" s="382">
        <v>10000000</v>
      </c>
      <c r="DI41" s="382">
        <f>'[1]COE DISB 2019'!AE49</f>
        <v>10000000</v>
      </c>
      <c r="DJ41" s="382">
        <f t="shared" si="70"/>
        <v>0</v>
      </c>
      <c r="DK41" s="386"/>
      <c r="DL41" s="382">
        <f>'[1]COE commited funds to date'!AD44</f>
        <v>30000000</v>
      </c>
      <c r="DM41" s="382">
        <f>'[1]COE DISB 2019'!AF49</f>
        <v>30000000</v>
      </c>
      <c r="DN41" s="382">
        <f t="shared" si="28"/>
        <v>0</v>
      </c>
      <c r="DO41" s="386"/>
      <c r="DP41" s="382">
        <v>325000000</v>
      </c>
      <c r="DQ41" s="382">
        <f>'[1]COE DISB 2019'!AG49</f>
        <v>325000000</v>
      </c>
      <c r="DR41" s="382">
        <f t="shared" si="29"/>
        <v>0</v>
      </c>
      <c r="DS41" s="386"/>
      <c r="DT41" s="353">
        <v>10000000</v>
      </c>
      <c r="DU41" s="382">
        <f>'[1]COE DISB 2019'!AH49</f>
        <v>10000000</v>
      </c>
      <c r="DV41" s="382">
        <f t="shared" si="30"/>
        <v>0</v>
      </c>
      <c r="DW41" s="386"/>
      <c r="DX41" s="382">
        <f>'[1]COE commited funds to date'!AI44</f>
        <v>30000000</v>
      </c>
      <c r="DY41" s="382">
        <f>'[1]COE DISB 2019'!AI49</f>
        <v>30000000</v>
      </c>
      <c r="DZ41" s="382">
        <f t="shared" si="31"/>
        <v>0</v>
      </c>
      <c r="EA41" s="386"/>
      <c r="EB41" s="382">
        <f>'[1]COE commited funds to date'!AJ44</f>
        <v>72000000</v>
      </c>
      <c r="EC41" s="382">
        <f>'[1]COE DISB 2019'!AJ49</f>
        <v>61200000</v>
      </c>
      <c r="ED41" s="382">
        <f t="shared" si="32"/>
        <v>10800000</v>
      </c>
      <c r="EE41" s="386"/>
      <c r="EF41" s="382">
        <f>'[1]COE commited funds to date'!AK44</f>
        <v>8000000</v>
      </c>
      <c r="EG41" s="382">
        <f>'[1]COE DISB 2019'!AK49</f>
        <v>0</v>
      </c>
      <c r="EH41" s="382">
        <f t="shared" si="33"/>
        <v>8000000</v>
      </c>
      <c r="EI41" s="386"/>
      <c r="EJ41" s="382">
        <f>'[1]COE commited funds to date'!AL44</f>
        <v>2000000</v>
      </c>
      <c r="EK41" s="382">
        <f>'[1]COE DISB 2019'!AL49</f>
        <v>0</v>
      </c>
      <c r="EL41" s="382">
        <f t="shared" si="34"/>
        <v>2000000</v>
      </c>
      <c r="EM41" s="386"/>
      <c r="EN41" s="382">
        <f>'[1]COE commited funds to date'!AM44</f>
        <v>7000000</v>
      </c>
      <c r="EO41" s="382">
        <f>'[1]COE DISB 2019'!AM49</f>
        <v>7000000</v>
      </c>
      <c r="EP41" s="382">
        <f t="shared" si="35"/>
        <v>0</v>
      </c>
      <c r="EQ41" s="386"/>
      <c r="ER41" s="382">
        <f>'[1]COE commited funds to date'!AN44</f>
        <v>1000000000</v>
      </c>
      <c r="ES41" s="382">
        <f>'[1]COE DISB 2019'!AN49</f>
        <v>970000000</v>
      </c>
      <c r="ET41" s="382">
        <f t="shared" si="36"/>
        <v>30000000</v>
      </c>
      <c r="EV41" s="383">
        <f>'[1]COE commited funds to date'!AO44</f>
        <v>371067000</v>
      </c>
      <c r="EW41" s="383">
        <f>'[1]COE DISB 2019'!AO49</f>
        <v>315406950</v>
      </c>
      <c r="EX41" s="383">
        <f t="shared" si="38"/>
        <v>55660050</v>
      </c>
      <c r="EY41" s="380"/>
      <c r="EZ41" s="383">
        <f>'[1]COE commited funds to date'!AQ44</f>
        <v>12000000</v>
      </c>
      <c r="FA41" s="383">
        <f>'[1]COE DISB 2019'!AP49</f>
        <v>12000000</v>
      </c>
      <c r="FB41" s="383">
        <f t="shared" si="39"/>
        <v>0</v>
      </c>
      <c r="FC41" s="380"/>
      <c r="FD41" s="383">
        <f>'[1]COE commited funds to date'!AR44</f>
        <v>10000000</v>
      </c>
      <c r="FE41" s="383">
        <f>'[1]COE DISB 2019'!AQ49</f>
        <v>0</v>
      </c>
      <c r="FF41" s="383">
        <f t="shared" si="40"/>
        <v>10000000</v>
      </c>
      <c r="FG41" s="380"/>
      <c r="FH41" s="383">
        <f>'[1]COE commited funds to date'!AP44</f>
        <v>8000000</v>
      </c>
      <c r="FI41" s="383">
        <f>'[1]COE DISB 2019'!AR49</f>
        <v>0</v>
      </c>
      <c r="FJ41" s="383">
        <f t="shared" si="41"/>
        <v>8000000</v>
      </c>
      <c r="FK41" s="383">
        <f>'[1]COE commited funds to date'!AS44</f>
        <v>0</v>
      </c>
      <c r="FL41" s="383">
        <f>'[1]COE DISB 2019'!AS49</f>
        <v>0</v>
      </c>
      <c r="FM41" s="383">
        <f t="shared" si="42"/>
        <v>0</v>
      </c>
      <c r="FN41" s="380"/>
      <c r="FO41" s="383">
        <f>'[1]COE commited funds to date'!AT44</f>
        <v>200000000</v>
      </c>
      <c r="FP41" s="383">
        <f>'[1]COE DISB 2019'!AT49</f>
        <v>0</v>
      </c>
      <c r="FQ41" s="383">
        <f t="shared" si="43"/>
        <v>200000000</v>
      </c>
      <c r="FR41" s="380"/>
      <c r="FS41" s="383">
        <f>'[1]COE commited funds to date'!AU44</f>
        <v>75000000</v>
      </c>
      <c r="FT41" s="383">
        <f>'[1]COE DISB 2019'!AU49</f>
        <v>63750000</v>
      </c>
      <c r="FU41" s="383">
        <f t="shared" si="44"/>
        <v>11250000</v>
      </c>
      <c r="FV41" s="380"/>
      <c r="FW41" s="383">
        <f>'[1]COE commited funds to date'!AV44</f>
        <v>8700000</v>
      </c>
      <c r="FX41" s="383">
        <f>'[1]COE DISB 2019'!AV49</f>
        <v>0</v>
      </c>
      <c r="FY41" s="383">
        <f t="shared" si="45"/>
        <v>8700000</v>
      </c>
      <c r="FZ41" s="380"/>
      <c r="GA41" s="383">
        <f>'[1]COE commited funds to date'!AW44</f>
        <v>5000000</v>
      </c>
      <c r="GB41" s="383">
        <f>'[1]COE DISB 2019'!AW49</f>
        <v>0</v>
      </c>
      <c r="GC41" s="383">
        <f t="shared" si="46"/>
        <v>5000000</v>
      </c>
      <c r="GD41" s="380"/>
      <c r="GE41" s="383">
        <f>'[1]COE commited funds to date'!AX44</f>
        <v>20000000</v>
      </c>
      <c r="GF41" s="383">
        <f>'[1]COE DISB 2019'!AX49</f>
        <v>10661200</v>
      </c>
      <c r="GG41" s="383">
        <f t="shared" si="47"/>
        <v>9338800</v>
      </c>
      <c r="GH41" s="380"/>
      <c r="GI41" s="383">
        <f>'[1]COE commited funds to date'!AY44</f>
        <v>230000000</v>
      </c>
      <c r="GJ41" s="383">
        <f>'[1]COE DISB 2019'!AY49</f>
        <v>0</v>
      </c>
      <c r="GK41" s="383">
        <f t="shared" si="48"/>
        <v>230000000</v>
      </c>
      <c r="GL41" s="380"/>
      <c r="GM41" s="383">
        <f>'[1]COE commited funds to date'!AZ44</f>
        <v>116776600</v>
      </c>
      <c r="GN41" s="383">
        <f>'[1]COE DISB 2019'!AZ49</f>
        <v>0</v>
      </c>
      <c r="GO41" s="383">
        <f t="shared" si="49"/>
        <v>116776600</v>
      </c>
      <c r="GP41" s="380"/>
      <c r="GQ41" s="383">
        <f>'[1]COE commited funds to date'!BA44</f>
        <v>12000000</v>
      </c>
      <c r="GR41" s="383">
        <f>'[1]COE DISB 2019'!BA49</f>
        <v>0</v>
      </c>
      <c r="GS41" s="383">
        <f t="shared" si="50"/>
        <v>12000000</v>
      </c>
      <c r="GT41" s="380"/>
      <c r="GU41" s="383">
        <f>'[1]COE commited funds to date'!BB44</f>
        <v>5000000</v>
      </c>
      <c r="GV41" s="383">
        <f>'[1]COE DISB 2019'!BB49</f>
        <v>0</v>
      </c>
      <c r="GW41" s="383">
        <f t="shared" si="51"/>
        <v>5000000</v>
      </c>
      <c r="GX41" s="380"/>
      <c r="GY41" s="383">
        <f>'[1]COE commited funds to date'!BC44</f>
        <v>10308300</v>
      </c>
      <c r="GZ41" s="383">
        <f>'[1]COE DISB 2019'!BC49</f>
        <v>0</v>
      </c>
      <c r="HA41" s="383">
        <f t="shared" si="52"/>
        <v>10308300</v>
      </c>
      <c r="HB41" s="380"/>
      <c r="HC41" s="383">
        <f t="shared" si="53"/>
        <v>3529900865.5</v>
      </c>
      <c r="HD41" s="383">
        <f t="shared" si="53"/>
        <v>2797067115.5</v>
      </c>
      <c r="HE41" s="382">
        <f t="shared" si="54"/>
        <v>732833750</v>
      </c>
      <c r="HG41" s="383">
        <f t="shared" si="55"/>
        <v>2079615965.5</v>
      </c>
      <c r="HH41" s="383">
        <f t="shared" si="55"/>
        <v>1583155915.5</v>
      </c>
      <c r="HI41" s="383">
        <f t="shared" si="56"/>
        <v>496460050</v>
      </c>
      <c r="HK41" s="383">
        <f t="shared" si="57"/>
        <v>1110000000</v>
      </c>
      <c r="HL41" s="383">
        <f t="shared" si="57"/>
        <v>1080000000</v>
      </c>
      <c r="HM41" s="383">
        <f t="shared" si="58"/>
        <v>30000000</v>
      </c>
      <c r="HO41" s="383">
        <f t="shared" si="71"/>
        <v>500000</v>
      </c>
      <c r="HP41" s="383">
        <f t="shared" si="71"/>
        <v>500000</v>
      </c>
      <c r="HQ41" s="383">
        <f t="shared" si="59"/>
        <v>0</v>
      </c>
      <c r="HS41" s="383">
        <f t="shared" si="60"/>
        <v>89308300</v>
      </c>
      <c r="HT41" s="383">
        <f t="shared" si="60"/>
        <v>69661200</v>
      </c>
      <c r="HU41" s="383">
        <f t="shared" si="61"/>
        <v>19647100</v>
      </c>
      <c r="HW41" s="383">
        <f t="shared" si="62"/>
        <v>36700000</v>
      </c>
      <c r="HX41" s="383">
        <f t="shared" si="62"/>
        <v>0</v>
      </c>
      <c r="HY41" s="383">
        <f t="shared" si="63"/>
        <v>36700000</v>
      </c>
      <c r="IA41" s="387">
        <f t="shared" si="64"/>
        <v>20000000</v>
      </c>
      <c r="IB41" s="387">
        <f t="shared" si="64"/>
        <v>0</v>
      </c>
      <c r="IC41" s="387">
        <f t="shared" si="65"/>
        <v>20000000</v>
      </c>
      <c r="IE41" s="383">
        <f t="shared" si="66"/>
        <v>191776600</v>
      </c>
      <c r="IF41" s="383">
        <f t="shared" si="66"/>
        <v>63750000</v>
      </c>
      <c r="IG41" s="383">
        <f t="shared" si="67"/>
        <v>128026600</v>
      </c>
      <c r="II41" s="383">
        <f t="shared" si="68"/>
        <v>2000000</v>
      </c>
      <c r="IJ41" s="383">
        <f t="shared" si="68"/>
        <v>0</v>
      </c>
      <c r="IK41" s="383">
        <f t="shared" si="69"/>
        <v>2000000</v>
      </c>
    </row>
    <row r="42" spans="1:245" ht="19.5" customHeight="1" x14ac:dyDescent="0.25">
      <c r="A42" s="380">
        <v>39</v>
      </c>
      <c r="B42" s="380" t="s">
        <v>358</v>
      </c>
      <c r="C42" s="42" t="s">
        <v>63</v>
      </c>
      <c r="D42" s="382">
        <v>18318965.5</v>
      </c>
      <c r="E42" s="382">
        <f>'[1]COE DISB 2019'!D50</f>
        <v>18318965.5</v>
      </c>
      <c r="F42" s="383">
        <f t="shared" si="0"/>
        <v>0</v>
      </c>
      <c r="H42" s="382">
        <v>8000000</v>
      </c>
      <c r="I42" s="382">
        <f>'[1]COE DISB 2019'!E50</f>
        <v>8000000</v>
      </c>
      <c r="J42" s="383">
        <f t="shared" si="1"/>
        <v>0</v>
      </c>
      <c r="L42" s="382">
        <v>500000</v>
      </c>
      <c r="M42" s="382">
        <f>'[1]COE DISB 2019'!F50</f>
        <v>500000</v>
      </c>
      <c r="N42" s="383">
        <f t="shared" si="2"/>
        <v>0</v>
      </c>
      <c r="P42" s="353">
        <v>16000000</v>
      </c>
      <c r="Q42" s="382">
        <f>'[1]COE DISB 2019'!G50</f>
        <v>16000000</v>
      </c>
      <c r="R42" s="383">
        <f t="shared" si="3"/>
        <v>0</v>
      </c>
      <c r="T42" s="385">
        <v>285000</v>
      </c>
      <c r="U42" s="382">
        <f>'[1]COE DISB 2019'!H50</f>
        <v>285000</v>
      </c>
      <c r="V42" s="383">
        <f t="shared" si="4"/>
        <v>0</v>
      </c>
      <c r="X42" s="353">
        <v>0</v>
      </c>
      <c r="Y42" s="382">
        <f>'[1]COE DISB 2019'!I50</f>
        <v>0</v>
      </c>
      <c r="Z42" s="383">
        <f t="shared" si="5"/>
        <v>0</v>
      </c>
      <c r="AB42" s="385">
        <v>20000000</v>
      </c>
      <c r="AC42" s="382">
        <f>'[1]COE DISB 2019'!J50</f>
        <v>20000000</v>
      </c>
      <c r="AD42" s="383">
        <f t="shared" si="6"/>
        <v>0</v>
      </c>
      <c r="AF42" s="353">
        <v>0</v>
      </c>
      <c r="AG42" s="382">
        <f>'[1]COE DISB 2019'!K50</f>
        <v>0</v>
      </c>
      <c r="AH42" s="383">
        <f t="shared" si="7"/>
        <v>0</v>
      </c>
      <c r="AJ42" s="385">
        <v>10000000</v>
      </c>
      <c r="AK42" s="382">
        <f>'[1]COE DISB 2019'!L50</f>
        <v>10000000</v>
      </c>
      <c r="AL42" s="383">
        <f t="shared" si="8"/>
        <v>0</v>
      </c>
      <c r="AN42" s="382">
        <v>10000000</v>
      </c>
      <c r="AO42" s="382">
        <f>'[1]COE DISB 2019'!M50</f>
        <v>10000000</v>
      </c>
      <c r="AP42" s="383">
        <f t="shared" si="9"/>
        <v>0</v>
      </c>
      <c r="AR42" s="382">
        <v>15000000</v>
      </c>
      <c r="AS42" s="382">
        <f>'[1]COE DISB 2019'!N50</f>
        <v>15000000</v>
      </c>
      <c r="AT42" s="383">
        <f t="shared" si="10"/>
        <v>0</v>
      </c>
      <c r="AV42" s="382">
        <v>0</v>
      </c>
      <c r="AW42" s="385">
        <f>'[1]COE DISB 2019'!O50</f>
        <v>0</v>
      </c>
      <c r="AX42" s="382">
        <f t="shared" si="11"/>
        <v>0</v>
      </c>
      <c r="AZ42" s="382">
        <v>18000000</v>
      </c>
      <c r="BA42" s="382">
        <f>'[1]COE DISB 2019'!P50</f>
        <v>18000000</v>
      </c>
      <c r="BB42" s="382">
        <f t="shared" si="12"/>
        <v>0</v>
      </c>
      <c r="BD42" s="382">
        <v>23400000</v>
      </c>
      <c r="BE42" s="382">
        <f>'[1]COE DISB 2019'!Q50</f>
        <v>23400000</v>
      </c>
      <c r="BF42" s="382">
        <f t="shared" si="13"/>
        <v>0</v>
      </c>
      <c r="BH42" s="382">
        <v>0</v>
      </c>
      <c r="BI42" s="382">
        <f>'[1]COE DISB 2019'!R50</f>
        <v>0</v>
      </c>
      <c r="BJ42" s="382">
        <f t="shared" si="14"/>
        <v>0</v>
      </c>
      <c r="BL42" s="382">
        <v>43000000</v>
      </c>
      <c r="BM42" s="382">
        <f>'[1]COE DISB 2019'!S50</f>
        <v>43000000</v>
      </c>
      <c r="BN42" s="382">
        <f t="shared" si="15"/>
        <v>0</v>
      </c>
      <c r="BP42" s="382">
        <v>37160000</v>
      </c>
      <c r="BQ42" s="382">
        <f>'[1]COE DISB 2019'!T50</f>
        <v>37160000</v>
      </c>
      <c r="BR42" s="382">
        <f t="shared" si="16"/>
        <v>0</v>
      </c>
      <c r="BT42" s="382">
        <v>0</v>
      </c>
      <c r="BU42" s="382">
        <f>'[1]COE DISB 2019'!U50</f>
        <v>0</v>
      </c>
      <c r="BV42" s="382">
        <f t="shared" si="17"/>
        <v>0</v>
      </c>
      <c r="BX42" s="382">
        <v>112670000</v>
      </c>
      <c r="BY42" s="382">
        <f>'[1]COE DISB 2019'!V50</f>
        <v>112670000</v>
      </c>
      <c r="BZ42" s="382">
        <f t="shared" si="18"/>
        <v>0</v>
      </c>
      <c r="CB42" s="382">
        <f>'[1]COE commited funds to date'!W45</f>
        <v>0</v>
      </c>
      <c r="CC42" s="382">
        <f>'[1]COE DISB 2019'!W50</f>
        <v>0</v>
      </c>
      <c r="CD42" s="382">
        <f t="shared" si="19"/>
        <v>0</v>
      </c>
      <c r="CF42" s="382">
        <f>'[1]COE commited funds to date'!X45</f>
        <v>125000000</v>
      </c>
      <c r="CG42" s="382">
        <f>'[1]COE DISB 2019'!X50</f>
        <v>125000000</v>
      </c>
      <c r="CH42" s="382">
        <f t="shared" si="20"/>
        <v>0</v>
      </c>
      <c r="CJ42" s="382">
        <v>10000000</v>
      </c>
      <c r="CK42" s="382">
        <f>'[1]COE DISB 2019'!Y50</f>
        <v>10000000</v>
      </c>
      <c r="CL42" s="382">
        <f t="shared" si="21"/>
        <v>0</v>
      </c>
      <c r="CN42" s="382"/>
      <c r="CO42" s="382">
        <f>'[1]COE DISB 2019'!Z50</f>
        <v>0</v>
      </c>
      <c r="CP42" s="382">
        <f t="shared" si="22"/>
        <v>0</v>
      </c>
      <c r="CR42" s="382">
        <v>210000000</v>
      </c>
      <c r="CS42" s="382">
        <f>'[1]COE DISB 2019'!AA50</f>
        <v>210000000</v>
      </c>
      <c r="CT42" s="382">
        <f t="shared" si="23"/>
        <v>0</v>
      </c>
      <c r="CV42" s="382">
        <v>10000000</v>
      </c>
      <c r="CW42" s="382">
        <f>'[1]COE DISB 2019'!AB50</f>
        <v>10000000</v>
      </c>
      <c r="CX42" s="382">
        <f t="shared" si="24"/>
        <v>0</v>
      </c>
      <c r="CZ42" s="382">
        <f>'[1]COE commited funds to date'!AC45</f>
        <v>470000000</v>
      </c>
      <c r="DA42" s="382">
        <f>'[1]COE DISB 2019'!AC50</f>
        <v>470000000</v>
      </c>
      <c r="DB42" s="382">
        <f t="shared" si="25"/>
        <v>0</v>
      </c>
      <c r="DC42" s="386"/>
      <c r="DD42" s="382">
        <v>215000000</v>
      </c>
      <c r="DE42" s="382">
        <f>'[1]COE DISB 2019'!AD50</f>
        <v>215000000</v>
      </c>
      <c r="DF42" s="382">
        <f t="shared" si="26"/>
        <v>0</v>
      </c>
      <c r="DG42" s="386"/>
      <c r="DH42" s="382">
        <v>10000000</v>
      </c>
      <c r="DI42" s="382">
        <f>'[1]COE DISB 2019'!AE50</f>
        <v>10000000</v>
      </c>
      <c r="DJ42" s="382">
        <f t="shared" si="70"/>
        <v>0</v>
      </c>
      <c r="DK42" s="386"/>
      <c r="DL42" s="382">
        <f>'[1]COE commited funds to date'!AD45</f>
        <v>300000000</v>
      </c>
      <c r="DM42" s="382">
        <f>'[1]COE DISB 2019'!AF50</f>
        <v>177000000</v>
      </c>
      <c r="DN42" s="382">
        <f t="shared" si="28"/>
        <v>123000000</v>
      </c>
      <c r="DO42" s="386"/>
      <c r="DP42" s="382">
        <v>325000000</v>
      </c>
      <c r="DQ42" s="382">
        <f>'[1]COE DISB 2019'!AG50</f>
        <v>325000000</v>
      </c>
      <c r="DR42" s="382">
        <f t="shared" si="29"/>
        <v>0</v>
      </c>
      <c r="DS42" s="386"/>
      <c r="DT42" s="353">
        <v>10000000</v>
      </c>
      <c r="DU42" s="382">
        <f>'[1]COE DISB 2019'!AH50</f>
        <v>10000000</v>
      </c>
      <c r="DV42" s="382">
        <f t="shared" si="30"/>
        <v>0</v>
      </c>
      <c r="DW42" s="386"/>
      <c r="DX42" s="382">
        <f>'[1]COE commited funds to date'!AI45</f>
        <v>91600000</v>
      </c>
      <c r="DY42" s="382">
        <f>'[1]COE DISB 2019'!AI50</f>
        <v>91600000</v>
      </c>
      <c r="DZ42" s="382">
        <f t="shared" si="31"/>
        <v>0</v>
      </c>
      <c r="EA42" s="386"/>
      <c r="EB42" s="382">
        <f>'[1]COE commited funds to date'!AJ45</f>
        <v>72000000</v>
      </c>
      <c r="EC42" s="382">
        <f>'[1]COE DISB 2019'!AJ50</f>
        <v>61200000</v>
      </c>
      <c r="ED42" s="382">
        <f t="shared" si="32"/>
        <v>10800000</v>
      </c>
      <c r="EE42" s="386"/>
      <c r="EF42" s="382">
        <f>'[1]COE commited funds to date'!AK45</f>
        <v>8000000</v>
      </c>
      <c r="EG42" s="382">
        <f>'[1]COE DISB 2019'!AK50</f>
        <v>4320000</v>
      </c>
      <c r="EH42" s="382">
        <f t="shared" si="33"/>
        <v>3680000</v>
      </c>
      <c r="EI42" s="386"/>
      <c r="EJ42" s="382">
        <f>'[1]COE commited funds to date'!AL45</f>
        <v>2000000</v>
      </c>
      <c r="EK42" s="382">
        <f>'[1]COE DISB 2019'!AL50</f>
        <v>0</v>
      </c>
      <c r="EL42" s="382">
        <f t="shared" si="34"/>
        <v>2000000</v>
      </c>
      <c r="EM42" s="386"/>
      <c r="EN42" s="382">
        <f>'[1]COE commited funds to date'!AM45</f>
        <v>7000000</v>
      </c>
      <c r="EO42" s="382">
        <f>'[1]COE DISB 2019'!AM50</f>
        <v>7000000</v>
      </c>
      <c r="EP42" s="382">
        <f t="shared" si="35"/>
        <v>0</v>
      </c>
      <c r="EQ42" s="386"/>
      <c r="ER42" s="382">
        <f>'[1]COE commited funds to date'!AN45</f>
        <v>1850000000</v>
      </c>
      <c r="ES42" s="382">
        <f>'[1]COE DISB 2019'!AN50</f>
        <v>1707500000</v>
      </c>
      <c r="ET42" s="382">
        <f t="shared" si="36"/>
        <v>142500000</v>
      </c>
      <c r="EV42" s="383">
        <f>'[1]COE commited funds to date'!AO45</f>
        <v>371067000</v>
      </c>
      <c r="EW42" s="383">
        <f>'[1]COE DISB 2019'!AO50</f>
        <v>315406950</v>
      </c>
      <c r="EX42" s="383">
        <f t="shared" si="38"/>
        <v>55660050</v>
      </c>
      <c r="EY42" s="380"/>
      <c r="EZ42" s="383">
        <f>'[1]COE commited funds to date'!AQ45</f>
        <v>12000000</v>
      </c>
      <c r="FA42" s="383">
        <f>'[1]COE DISB 2019'!AP50</f>
        <v>12000000</v>
      </c>
      <c r="FB42" s="383">
        <f t="shared" si="39"/>
        <v>0</v>
      </c>
      <c r="FC42" s="380"/>
      <c r="FD42" s="383">
        <f>'[1]COE commited funds to date'!AR45</f>
        <v>10000000</v>
      </c>
      <c r="FE42" s="383">
        <f>'[1]COE DISB 2019'!AQ50</f>
        <v>0</v>
      </c>
      <c r="FF42" s="383">
        <f t="shared" si="40"/>
        <v>10000000</v>
      </c>
      <c r="FG42" s="380"/>
      <c r="FH42" s="383">
        <f>'[1]COE commited funds to date'!AP45</f>
        <v>8000000</v>
      </c>
      <c r="FI42" s="383">
        <f>'[1]COE DISB 2019'!AR50</f>
        <v>4320000</v>
      </c>
      <c r="FJ42" s="383">
        <f t="shared" si="41"/>
        <v>3680000</v>
      </c>
      <c r="FK42" s="383">
        <f>'[1]COE commited funds to date'!AS45</f>
        <v>150000000</v>
      </c>
      <c r="FL42" s="383">
        <f>'[1]COE DISB 2019'!AS50</f>
        <v>127500000</v>
      </c>
      <c r="FM42" s="383">
        <f t="shared" si="42"/>
        <v>22500000</v>
      </c>
      <c r="FN42" s="380"/>
      <c r="FO42" s="383">
        <f>'[1]COE commited funds to date'!AT45</f>
        <v>200000000</v>
      </c>
      <c r="FP42" s="383">
        <f>'[1]COE DISB 2019'!AT50</f>
        <v>0</v>
      </c>
      <c r="FQ42" s="383">
        <f t="shared" si="43"/>
        <v>200000000</v>
      </c>
      <c r="FR42" s="380"/>
      <c r="FS42" s="383">
        <f>'[1]COE commited funds to date'!AU45</f>
        <v>75000000</v>
      </c>
      <c r="FT42" s="383">
        <f>'[1]COE DISB 2019'!AU50</f>
        <v>60000000</v>
      </c>
      <c r="FU42" s="383">
        <f t="shared" si="44"/>
        <v>15000000</v>
      </c>
      <c r="FV42" s="380"/>
      <c r="FW42" s="383">
        <f>'[1]COE commited funds to date'!AV45</f>
        <v>8700000</v>
      </c>
      <c r="FX42" s="383">
        <f>'[1]COE DISB 2019'!AV50</f>
        <v>0</v>
      </c>
      <c r="FY42" s="383">
        <f t="shared" si="45"/>
        <v>8700000</v>
      </c>
      <c r="FZ42" s="380"/>
      <c r="GA42" s="383">
        <f>'[1]COE commited funds to date'!AW45</f>
        <v>5000000</v>
      </c>
      <c r="GB42" s="383">
        <f>'[1]COE DISB 2019'!AW50</f>
        <v>0</v>
      </c>
      <c r="GC42" s="383">
        <f t="shared" si="46"/>
        <v>5000000</v>
      </c>
      <c r="GD42" s="380"/>
      <c r="GE42" s="383">
        <f>'[1]COE commited funds to date'!AX45</f>
        <v>20000000</v>
      </c>
      <c r="GF42" s="383">
        <f>'[1]COE DISB 2019'!AX50</f>
        <v>8784550</v>
      </c>
      <c r="GG42" s="383">
        <f t="shared" si="47"/>
        <v>11215450</v>
      </c>
      <c r="GH42" s="380"/>
      <c r="GI42" s="383">
        <f>'[1]COE commited funds to date'!AY45</f>
        <v>230000000</v>
      </c>
      <c r="GJ42" s="383">
        <f>'[1]COE DISB 2019'!AY50</f>
        <v>0</v>
      </c>
      <c r="GK42" s="383">
        <f t="shared" si="48"/>
        <v>230000000</v>
      </c>
      <c r="GL42" s="380"/>
      <c r="GM42" s="383">
        <f>'[1]COE commited funds to date'!AZ45</f>
        <v>116776600</v>
      </c>
      <c r="GN42" s="383">
        <f>'[1]COE DISB 2019'!AZ50</f>
        <v>0</v>
      </c>
      <c r="GO42" s="383">
        <f t="shared" si="49"/>
        <v>116776600</v>
      </c>
      <c r="GP42" s="380"/>
      <c r="GQ42" s="383">
        <f>'[1]COE commited funds to date'!BA45</f>
        <v>12000000</v>
      </c>
      <c r="GR42" s="383">
        <f>'[1]COE DISB 2019'!BA50</f>
        <v>0</v>
      </c>
      <c r="GS42" s="383">
        <f t="shared" si="50"/>
        <v>12000000</v>
      </c>
      <c r="GT42" s="380"/>
      <c r="GU42" s="383">
        <f>'[1]COE commited funds to date'!BB45</f>
        <v>5000000</v>
      </c>
      <c r="GV42" s="383">
        <f>'[1]COE DISB 2019'!BB50</f>
        <v>0</v>
      </c>
      <c r="GW42" s="383">
        <f t="shared" si="51"/>
        <v>5000000</v>
      </c>
      <c r="GX42" s="380"/>
      <c r="GY42" s="383">
        <f>'[1]COE commited funds to date'!BC45</f>
        <v>10308300</v>
      </c>
      <c r="GZ42" s="383">
        <f>'[1]COE DISB 2019'!BC50</f>
        <v>0</v>
      </c>
      <c r="HA42" s="383">
        <f t="shared" si="52"/>
        <v>10308300</v>
      </c>
      <c r="HB42" s="380"/>
      <c r="HC42" s="383">
        <f t="shared" si="53"/>
        <v>5281785865.5</v>
      </c>
      <c r="HD42" s="383">
        <f t="shared" si="53"/>
        <v>4293965465.5</v>
      </c>
      <c r="HE42" s="382">
        <f t="shared" si="54"/>
        <v>987820400</v>
      </c>
      <c r="HG42" s="383">
        <f t="shared" si="55"/>
        <v>2079615965.5</v>
      </c>
      <c r="HH42" s="383">
        <f t="shared" si="55"/>
        <v>1583155915.5</v>
      </c>
      <c r="HI42" s="383">
        <f t="shared" si="56"/>
        <v>496460050</v>
      </c>
      <c r="HK42" s="383">
        <f t="shared" si="57"/>
        <v>2711600000</v>
      </c>
      <c r="HL42" s="383">
        <f t="shared" si="57"/>
        <v>2446100000</v>
      </c>
      <c r="HM42" s="383">
        <f t="shared" si="58"/>
        <v>265500000</v>
      </c>
      <c r="HO42" s="383">
        <f t="shared" si="71"/>
        <v>785000</v>
      </c>
      <c r="HP42" s="383">
        <f t="shared" si="71"/>
        <v>785000</v>
      </c>
      <c r="HQ42" s="383">
        <f t="shared" si="59"/>
        <v>0</v>
      </c>
      <c r="HS42" s="383">
        <f t="shared" si="60"/>
        <v>89308300</v>
      </c>
      <c r="HT42" s="383">
        <f t="shared" si="60"/>
        <v>67784550</v>
      </c>
      <c r="HU42" s="383">
        <f t="shared" si="61"/>
        <v>21523750</v>
      </c>
      <c r="HW42" s="383">
        <f t="shared" si="62"/>
        <v>36700000</v>
      </c>
      <c r="HX42" s="383">
        <f t="shared" si="62"/>
        <v>8640000</v>
      </c>
      <c r="HY42" s="383">
        <f t="shared" si="63"/>
        <v>28060000</v>
      </c>
      <c r="IA42" s="387">
        <f t="shared" si="64"/>
        <v>20000000</v>
      </c>
      <c r="IB42" s="387">
        <f t="shared" si="64"/>
        <v>0</v>
      </c>
      <c r="IC42" s="387">
        <f t="shared" si="65"/>
        <v>20000000</v>
      </c>
      <c r="IE42" s="383">
        <f t="shared" si="66"/>
        <v>341776600</v>
      </c>
      <c r="IF42" s="383">
        <f t="shared" si="66"/>
        <v>187500000</v>
      </c>
      <c r="IG42" s="383">
        <f t="shared" si="67"/>
        <v>154276600</v>
      </c>
      <c r="II42" s="383">
        <f t="shared" si="68"/>
        <v>2000000</v>
      </c>
      <c r="IJ42" s="383">
        <f t="shared" si="68"/>
        <v>0</v>
      </c>
      <c r="IK42" s="383">
        <f t="shared" si="69"/>
        <v>2000000</v>
      </c>
    </row>
    <row r="43" spans="1:245" ht="19.5" customHeight="1" x14ac:dyDescent="0.25">
      <c r="A43" s="380">
        <v>40</v>
      </c>
      <c r="B43" s="380" t="s">
        <v>359</v>
      </c>
      <c r="C43" s="381" t="s">
        <v>61</v>
      </c>
      <c r="D43" s="382">
        <v>18318965.5</v>
      </c>
      <c r="E43" s="382">
        <f>'[1]COE DISB 2019'!D51</f>
        <v>18318965.5</v>
      </c>
      <c r="F43" s="383">
        <f t="shared" si="0"/>
        <v>0</v>
      </c>
      <c r="H43" s="382">
        <v>8000000</v>
      </c>
      <c r="I43" s="382">
        <f>'[1]COE DISB 2019'!E51</f>
        <v>8000000</v>
      </c>
      <c r="J43" s="383">
        <f t="shared" si="1"/>
        <v>0</v>
      </c>
      <c r="L43" s="382">
        <v>500000</v>
      </c>
      <c r="M43" s="382">
        <f>'[1]COE DISB 2019'!F51</f>
        <v>500000</v>
      </c>
      <c r="N43" s="383">
        <f t="shared" si="2"/>
        <v>0</v>
      </c>
      <c r="P43" s="353">
        <v>16000000</v>
      </c>
      <c r="Q43" s="382">
        <f>'[1]COE DISB 2019'!G51</f>
        <v>16000000</v>
      </c>
      <c r="R43" s="383">
        <f t="shared" si="3"/>
        <v>0</v>
      </c>
      <c r="T43" s="385">
        <v>1026000</v>
      </c>
      <c r="U43" s="382">
        <f>'[1]COE DISB 2019'!H51</f>
        <v>1026000</v>
      </c>
      <c r="V43" s="383">
        <f t="shared" si="4"/>
        <v>0</v>
      </c>
      <c r="X43" s="353">
        <v>0</v>
      </c>
      <c r="Y43" s="382">
        <f>'[1]COE DISB 2019'!I51</f>
        <v>0</v>
      </c>
      <c r="Z43" s="383">
        <f t="shared" si="5"/>
        <v>0</v>
      </c>
      <c r="AB43" s="385">
        <v>20000000</v>
      </c>
      <c r="AC43" s="382">
        <f>'[1]COE DISB 2019'!J51</f>
        <v>20000000</v>
      </c>
      <c r="AD43" s="383">
        <f t="shared" si="6"/>
        <v>0</v>
      </c>
      <c r="AF43" s="353">
        <v>0</v>
      </c>
      <c r="AG43" s="382">
        <f>'[1]COE DISB 2019'!K51</f>
        <v>0</v>
      </c>
      <c r="AH43" s="383">
        <f t="shared" si="7"/>
        <v>0</v>
      </c>
      <c r="AJ43" s="385">
        <v>10000000</v>
      </c>
      <c r="AK43" s="382">
        <f>'[1]COE DISB 2019'!L51</f>
        <v>10000000</v>
      </c>
      <c r="AL43" s="383">
        <f t="shared" si="8"/>
        <v>0</v>
      </c>
      <c r="AN43" s="382">
        <v>10000000</v>
      </c>
      <c r="AO43" s="382">
        <f>'[1]COE DISB 2019'!M51</f>
        <v>10000000</v>
      </c>
      <c r="AP43" s="383">
        <f t="shared" si="9"/>
        <v>0</v>
      </c>
      <c r="AR43" s="382">
        <v>15000000</v>
      </c>
      <c r="AS43" s="382">
        <f>'[1]COE DISB 2019'!N51</f>
        <v>15000000</v>
      </c>
      <c r="AT43" s="383">
        <f t="shared" si="10"/>
        <v>0</v>
      </c>
      <c r="AV43" s="382">
        <v>5000000</v>
      </c>
      <c r="AW43" s="388">
        <f>'[1]COE DISB 2019'!O51</f>
        <v>5000000</v>
      </c>
      <c r="AX43" s="382">
        <f t="shared" si="11"/>
        <v>0</v>
      </c>
      <c r="AZ43" s="382">
        <v>18000000</v>
      </c>
      <c r="BA43" s="382">
        <f>'[1]COE DISB 2019'!P51</f>
        <v>18000000</v>
      </c>
      <c r="BB43" s="382">
        <f t="shared" si="12"/>
        <v>0</v>
      </c>
      <c r="BD43" s="382">
        <v>23400000</v>
      </c>
      <c r="BE43" s="382">
        <f>'[1]COE DISB 2019'!Q51</f>
        <v>23400000</v>
      </c>
      <c r="BF43" s="382">
        <f t="shared" si="13"/>
        <v>0</v>
      </c>
      <c r="BH43" s="382">
        <v>0</v>
      </c>
      <c r="BI43" s="382">
        <f>'[1]COE DISB 2019'!R51</f>
        <v>0</v>
      </c>
      <c r="BJ43" s="382">
        <f t="shared" si="14"/>
        <v>0</v>
      </c>
      <c r="BL43" s="382">
        <v>43000000</v>
      </c>
      <c r="BM43" s="382">
        <f>'[1]COE DISB 2019'!S51</f>
        <v>43000000</v>
      </c>
      <c r="BN43" s="382">
        <f t="shared" si="15"/>
        <v>0</v>
      </c>
      <c r="BP43" s="382">
        <v>37160000</v>
      </c>
      <c r="BQ43" s="382">
        <f>'[1]COE DISB 2019'!T51</f>
        <v>37160000</v>
      </c>
      <c r="BR43" s="382">
        <f t="shared" si="16"/>
        <v>0</v>
      </c>
      <c r="BT43" s="382">
        <v>0</v>
      </c>
      <c r="BU43" s="382">
        <f>'[1]COE DISB 2019'!U51</f>
        <v>0</v>
      </c>
      <c r="BV43" s="382">
        <f t="shared" si="17"/>
        <v>0</v>
      </c>
      <c r="BX43" s="382">
        <v>112670000</v>
      </c>
      <c r="BY43" s="382">
        <f>'[1]COE DISB 2019'!V51</f>
        <v>112670000</v>
      </c>
      <c r="BZ43" s="382">
        <f t="shared" si="18"/>
        <v>0</v>
      </c>
      <c r="CB43" s="382">
        <f>'[1]COE commited funds to date'!W46</f>
        <v>50000000</v>
      </c>
      <c r="CC43" s="382">
        <f>'[1]COE DISB 2019'!W51</f>
        <v>50000000</v>
      </c>
      <c r="CD43" s="382">
        <f t="shared" si="19"/>
        <v>0</v>
      </c>
      <c r="CF43" s="382">
        <f>'[1]COE commited funds to date'!X46</f>
        <v>125000000</v>
      </c>
      <c r="CG43" s="382">
        <f>'[1]COE DISB 2019'!X51</f>
        <v>125000000</v>
      </c>
      <c r="CH43" s="382">
        <f t="shared" si="20"/>
        <v>0</v>
      </c>
      <c r="CJ43" s="382">
        <v>10000000</v>
      </c>
      <c r="CK43" s="382">
        <f>'[1]COE DISB 2019'!Y51</f>
        <v>10000000</v>
      </c>
      <c r="CL43" s="382">
        <f t="shared" si="21"/>
        <v>0</v>
      </c>
      <c r="CN43" s="382">
        <v>0</v>
      </c>
      <c r="CO43" s="382">
        <f>'[1]COE DISB 2019'!Z51</f>
        <v>0</v>
      </c>
      <c r="CP43" s="382">
        <f t="shared" si="22"/>
        <v>0</v>
      </c>
      <c r="CR43" s="382">
        <v>210000000</v>
      </c>
      <c r="CS43" s="382">
        <f>'[1]COE DISB 2019'!AA51</f>
        <v>210000000</v>
      </c>
      <c r="CT43" s="382">
        <f t="shared" si="23"/>
        <v>0</v>
      </c>
      <c r="CV43" s="382">
        <v>10000000</v>
      </c>
      <c r="CW43" s="382">
        <f>'[1]COE DISB 2019'!AB51</f>
        <v>10000000</v>
      </c>
      <c r="CX43" s="382">
        <f t="shared" si="24"/>
        <v>0</v>
      </c>
      <c r="CZ43" s="382">
        <f>'[1]COE commited funds to date'!AC46</f>
        <v>0</v>
      </c>
      <c r="DA43" s="382">
        <f>'[1]COE DISB 2019'!AC51</f>
        <v>0</v>
      </c>
      <c r="DB43" s="382">
        <f t="shared" si="25"/>
        <v>0</v>
      </c>
      <c r="DC43" s="386"/>
      <c r="DD43" s="382">
        <v>215000000</v>
      </c>
      <c r="DE43" s="382">
        <f>'[1]COE DISB 2019'!AD51</f>
        <v>215000000</v>
      </c>
      <c r="DF43" s="382">
        <f t="shared" si="26"/>
        <v>0</v>
      </c>
      <c r="DG43" s="386"/>
      <c r="DH43" s="382">
        <v>10000000</v>
      </c>
      <c r="DI43" s="382">
        <f>'[1]COE DISB 2019'!AE51</f>
        <v>10000000</v>
      </c>
      <c r="DJ43" s="382">
        <f t="shared" si="70"/>
        <v>0</v>
      </c>
      <c r="DK43" s="386"/>
      <c r="DL43" s="382">
        <f>'[1]COE commited funds to date'!AD46</f>
        <v>0</v>
      </c>
      <c r="DM43" s="382">
        <f>'[1]COE DISB 2019'!AF51</f>
        <v>0</v>
      </c>
      <c r="DN43" s="382">
        <f t="shared" si="28"/>
        <v>0</v>
      </c>
      <c r="DO43" s="386"/>
      <c r="DP43" s="382">
        <v>325000000</v>
      </c>
      <c r="DQ43" s="382">
        <f>'[1]COE DISB 2019'!AG51</f>
        <v>325000000</v>
      </c>
      <c r="DR43" s="382">
        <f t="shared" si="29"/>
        <v>0</v>
      </c>
      <c r="DS43" s="386"/>
      <c r="DT43" s="353">
        <v>10000000</v>
      </c>
      <c r="DU43" s="382">
        <f>'[1]COE DISB 2019'!AH51</f>
        <v>10000000</v>
      </c>
      <c r="DV43" s="382">
        <f t="shared" si="30"/>
        <v>0</v>
      </c>
      <c r="DW43" s="386"/>
      <c r="DX43" s="382">
        <f>'[1]COE commited funds to date'!AI46</f>
        <v>200000000</v>
      </c>
      <c r="DY43" s="382">
        <f>'[1]COE DISB 2019'!AI51</f>
        <v>200000000</v>
      </c>
      <c r="DZ43" s="382">
        <f t="shared" si="31"/>
        <v>0</v>
      </c>
      <c r="EA43" s="386"/>
      <c r="EB43" s="382">
        <f>'[1]COE commited funds to date'!AJ46</f>
        <v>0</v>
      </c>
      <c r="EC43" s="382">
        <f>'[1]COE DISB 2019'!AJ51</f>
        <v>0</v>
      </c>
      <c r="ED43" s="382">
        <f t="shared" si="32"/>
        <v>0</v>
      </c>
      <c r="EE43" s="386"/>
      <c r="EF43" s="382">
        <f>'[1]COE commited funds to date'!AK46</f>
        <v>0</v>
      </c>
      <c r="EG43" s="382">
        <f>'[1]COE DISB 2019'!AK51</f>
        <v>0</v>
      </c>
      <c r="EH43" s="382">
        <f t="shared" si="33"/>
        <v>0</v>
      </c>
      <c r="EI43" s="386"/>
      <c r="EJ43" s="382">
        <f>'[1]COE commited funds to date'!AL46</f>
        <v>0</v>
      </c>
      <c r="EK43" s="382">
        <f>'[1]COE DISB 2019'!AL51</f>
        <v>0</v>
      </c>
      <c r="EL43" s="382">
        <f t="shared" si="34"/>
        <v>0</v>
      </c>
      <c r="EM43" s="386"/>
      <c r="EN43" s="382">
        <f>'[1]COE commited funds to date'!AM46</f>
        <v>0</v>
      </c>
      <c r="EO43" s="382">
        <f>'[1]COE DISB 2019'!AM51</f>
        <v>0</v>
      </c>
      <c r="EP43" s="382">
        <f t="shared" si="35"/>
        <v>0</v>
      </c>
      <c r="EQ43" s="386"/>
      <c r="ER43" s="382">
        <f>'[1]COE commited funds to date'!AN46</f>
        <v>1450000000</v>
      </c>
      <c r="ES43" s="382">
        <f>'[1]COE DISB 2019'!AN51</f>
        <v>1322500000</v>
      </c>
      <c r="ET43" s="382">
        <f t="shared" si="36"/>
        <v>127500000</v>
      </c>
      <c r="EV43" s="383">
        <f>'[1]COE commited funds to date'!AO46</f>
        <v>371067000</v>
      </c>
      <c r="EW43" s="383">
        <f>'[1]COE DISB 2019'!AO51</f>
        <v>222640200</v>
      </c>
      <c r="EX43" s="383">
        <f t="shared" si="38"/>
        <v>148426800</v>
      </c>
      <c r="EY43" s="380"/>
      <c r="EZ43" s="383">
        <f>'[1]COE commited funds to date'!AQ46</f>
        <v>12000000</v>
      </c>
      <c r="FA43" s="383">
        <f>'[1]COE DISB 2019'!AP51</f>
        <v>9649600</v>
      </c>
      <c r="FB43" s="383">
        <f t="shared" si="39"/>
        <v>2350400</v>
      </c>
      <c r="FC43" s="380"/>
      <c r="FD43" s="383">
        <f>'[1]COE commited funds to date'!AR46</f>
        <v>10000000</v>
      </c>
      <c r="FE43" s="383">
        <f>'[1]COE DISB 2019'!AQ51</f>
        <v>0</v>
      </c>
      <c r="FF43" s="383">
        <f t="shared" si="40"/>
        <v>10000000</v>
      </c>
      <c r="FG43" s="380"/>
      <c r="FH43" s="383">
        <f>'[1]COE commited funds to date'!AP46</f>
        <v>8000000</v>
      </c>
      <c r="FI43" s="383">
        <f>'[1]COE DISB 2019'!AR51</f>
        <v>0</v>
      </c>
      <c r="FJ43" s="383">
        <f t="shared" si="41"/>
        <v>8000000</v>
      </c>
      <c r="FK43" s="383">
        <f>'[1]COE commited funds to date'!AS46</f>
        <v>0</v>
      </c>
      <c r="FL43" s="383">
        <f>'[1]COE DISB 2019'!AS51</f>
        <v>0</v>
      </c>
      <c r="FM43" s="383">
        <f t="shared" si="42"/>
        <v>0</v>
      </c>
      <c r="FN43" s="380"/>
      <c r="FO43" s="383">
        <f>'[1]COE commited funds to date'!AT46</f>
        <v>0</v>
      </c>
      <c r="FP43" s="383">
        <f>'[1]COE DISB 2019'!AT51</f>
        <v>0</v>
      </c>
      <c r="FQ43" s="383">
        <f t="shared" si="43"/>
        <v>0</v>
      </c>
      <c r="FR43" s="380"/>
      <c r="FS43" s="383">
        <f>'[1]COE commited funds to date'!AU46</f>
        <v>75000000</v>
      </c>
      <c r="FT43" s="383">
        <f>'[1]COE DISB 2019'!AU51</f>
        <v>51000000</v>
      </c>
      <c r="FU43" s="383">
        <f t="shared" si="44"/>
        <v>24000000</v>
      </c>
      <c r="FV43" s="380"/>
      <c r="FW43" s="383">
        <f>'[1]COE commited funds to date'!AV46</f>
        <v>0</v>
      </c>
      <c r="FX43" s="383">
        <f>'[1]COE DISB 2019'!AV51</f>
        <v>0</v>
      </c>
      <c r="FY43" s="383">
        <f t="shared" si="45"/>
        <v>0</v>
      </c>
      <c r="FZ43" s="380"/>
      <c r="GA43" s="383">
        <f>'[1]COE commited funds to date'!AW46</f>
        <v>0</v>
      </c>
      <c r="GB43" s="383">
        <f>'[1]COE DISB 2019'!AW51</f>
        <v>0</v>
      </c>
      <c r="GC43" s="383">
        <f t="shared" si="46"/>
        <v>0</v>
      </c>
      <c r="GD43" s="380"/>
      <c r="GE43" s="383">
        <f>'[1]COE commited funds to date'!AX46</f>
        <v>0</v>
      </c>
      <c r="GF43" s="383">
        <f>'[1]COE DISB 2019'!AX51</f>
        <v>0</v>
      </c>
      <c r="GG43" s="383">
        <f t="shared" si="47"/>
        <v>0</v>
      </c>
      <c r="GH43" s="380"/>
      <c r="GI43" s="383">
        <f>'[1]COE commited funds to date'!AY46</f>
        <v>230000000</v>
      </c>
      <c r="GJ43" s="383">
        <f>'[1]COE DISB 2019'!AY51</f>
        <v>0</v>
      </c>
      <c r="GK43" s="383">
        <f t="shared" si="48"/>
        <v>230000000</v>
      </c>
      <c r="GL43" s="380"/>
      <c r="GM43" s="383">
        <f>'[1]COE commited funds to date'!AZ46</f>
        <v>116776600</v>
      </c>
      <c r="GN43" s="383">
        <f>'[1]COE DISB 2019'!AZ51</f>
        <v>0</v>
      </c>
      <c r="GO43" s="383">
        <f t="shared" si="49"/>
        <v>116776600</v>
      </c>
      <c r="GP43" s="380"/>
      <c r="GQ43" s="383">
        <f>'[1]COE commited funds to date'!BA46</f>
        <v>12000000</v>
      </c>
      <c r="GR43" s="383">
        <f>'[1]COE DISB 2019'!BA51</f>
        <v>0</v>
      </c>
      <c r="GS43" s="383">
        <f t="shared" si="50"/>
        <v>12000000</v>
      </c>
      <c r="GT43" s="380"/>
      <c r="GU43" s="383">
        <f>'[1]COE commited funds to date'!BB46</f>
        <v>5000000</v>
      </c>
      <c r="GV43" s="383">
        <f>'[1]COE DISB 2019'!BB51</f>
        <v>0</v>
      </c>
      <c r="GW43" s="383">
        <f t="shared" si="51"/>
        <v>5000000</v>
      </c>
      <c r="GX43" s="380"/>
      <c r="GY43" s="383">
        <f>'[1]COE commited funds to date'!BC46</f>
        <v>10308300</v>
      </c>
      <c r="GZ43" s="383">
        <f>'[1]COE DISB 2019'!BC51</f>
        <v>0</v>
      </c>
      <c r="HA43" s="383">
        <f t="shared" si="52"/>
        <v>10308300</v>
      </c>
      <c r="HB43" s="380"/>
      <c r="HC43" s="383">
        <f t="shared" si="53"/>
        <v>3803226865.5</v>
      </c>
      <c r="HD43" s="383">
        <f t="shared" si="53"/>
        <v>3108864765.5</v>
      </c>
      <c r="HE43" s="382">
        <f t="shared" si="54"/>
        <v>694362100</v>
      </c>
      <c r="HG43" s="383">
        <f t="shared" si="55"/>
        <v>1807615965.5</v>
      </c>
      <c r="HH43" s="383">
        <f t="shared" si="55"/>
        <v>1429189165.5</v>
      </c>
      <c r="HI43" s="383">
        <f t="shared" si="56"/>
        <v>378426800</v>
      </c>
      <c r="HK43" s="383">
        <f t="shared" si="57"/>
        <v>1700000000</v>
      </c>
      <c r="HL43" s="383">
        <f t="shared" si="57"/>
        <v>1572500000</v>
      </c>
      <c r="HM43" s="383">
        <f t="shared" si="58"/>
        <v>127500000</v>
      </c>
      <c r="HO43" s="383">
        <f t="shared" si="71"/>
        <v>1526000</v>
      </c>
      <c r="HP43" s="383">
        <f t="shared" si="71"/>
        <v>1526000</v>
      </c>
      <c r="HQ43" s="383">
        <f t="shared" si="59"/>
        <v>0</v>
      </c>
      <c r="HS43" s="383">
        <f t="shared" si="60"/>
        <v>62308300</v>
      </c>
      <c r="HT43" s="383">
        <f t="shared" si="60"/>
        <v>49649600</v>
      </c>
      <c r="HU43" s="383">
        <f t="shared" si="61"/>
        <v>12658700</v>
      </c>
      <c r="HW43" s="383">
        <f t="shared" si="62"/>
        <v>20000000</v>
      </c>
      <c r="HX43" s="383">
        <f t="shared" si="62"/>
        <v>0</v>
      </c>
      <c r="HY43" s="383">
        <f t="shared" si="63"/>
        <v>20000000</v>
      </c>
      <c r="IA43" s="387">
        <f t="shared" si="64"/>
        <v>15000000</v>
      </c>
      <c r="IB43" s="387">
        <f t="shared" si="64"/>
        <v>0</v>
      </c>
      <c r="IC43" s="387">
        <f t="shared" si="65"/>
        <v>15000000</v>
      </c>
      <c r="IE43" s="383">
        <f t="shared" si="66"/>
        <v>191776600</v>
      </c>
      <c r="IF43" s="383">
        <f t="shared" si="66"/>
        <v>51000000</v>
      </c>
      <c r="IG43" s="383">
        <f t="shared" si="67"/>
        <v>140776600</v>
      </c>
      <c r="II43" s="383">
        <f t="shared" si="68"/>
        <v>0</v>
      </c>
      <c r="IJ43" s="383">
        <f t="shared" si="68"/>
        <v>0</v>
      </c>
      <c r="IK43" s="383">
        <f t="shared" si="69"/>
        <v>0</v>
      </c>
    </row>
    <row r="44" spans="1:245" ht="19.5" customHeight="1" x14ac:dyDescent="0.25">
      <c r="A44" s="380">
        <v>41</v>
      </c>
      <c r="B44" s="380" t="s">
        <v>360</v>
      </c>
      <c r="C44" s="381"/>
      <c r="D44" s="382">
        <v>18318965.5</v>
      </c>
      <c r="E44" s="382">
        <f>'[1]COE DISB 2019'!D52</f>
        <v>18318965.5</v>
      </c>
      <c r="F44" s="383">
        <f t="shared" si="0"/>
        <v>0</v>
      </c>
      <c r="H44" s="382">
        <v>8000000</v>
      </c>
      <c r="I44" s="382">
        <f>'[1]COE DISB 2019'!E52</f>
        <v>8000000</v>
      </c>
      <c r="J44" s="383">
        <f t="shared" si="1"/>
        <v>0</v>
      </c>
      <c r="L44" s="382">
        <v>500000</v>
      </c>
      <c r="M44" s="382">
        <f>'[1]COE DISB 2019'!F52</f>
        <v>500000</v>
      </c>
      <c r="N44" s="383">
        <f t="shared" si="2"/>
        <v>0</v>
      </c>
      <c r="P44" s="353">
        <v>16000000</v>
      </c>
      <c r="Q44" s="382">
        <f>'[1]COE DISB 2019'!G52</f>
        <v>16000000</v>
      </c>
      <c r="R44" s="383">
        <f t="shared" si="3"/>
        <v>0</v>
      </c>
      <c r="T44" s="353">
        <v>0</v>
      </c>
      <c r="U44" s="382">
        <f>'[1]COE DISB 2019'!H52</f>
        <v>0</v>
      </c>
      <c r="V44" s="383">
        <f t="shared" si="4"/>
        <v>0</v>
      </c>
      <c r="X44" s="353">
        <v>0</v>
      </c>
      <c r="Y44" s="382">
        <f>'[1]COE DISB 2019'!I52</f>
        <v>0</v>
      </c>
      <c r="Z44" s="383">
        <f t="shared" si="5"/>
        <v>0</v>
      </c>
      <c r="AB44" s="385">
        <v>20000000</v>
      </c>
      <c r="AC44" s="382">
        <f>'[1]COE DISB 2019'!J52</f>
        <v>20000000</v>
      </c>
      <c r="AD44" s="383">
        <f t="shared" si="6"/>
        <v>0</v>
      </c>
      <c r="AF44" s="353">
        <v>0</v>
      </c>
      <c r="AG44" s="382">
        <f>'[1]COE DISB 2019'!K52</f>
        <v>0</v>
      </c>
      <c r="AH44" s="383">
        <f t="shared" si="7"/>
        <v>0</v>
      </c>
      <c r="AJ44" s="385">
        <v>10000000</v>
      </c>
      <c r="AK44" s="382">
        <f>'[1]COE DISB 2019'!L52</f>
        <v>10000000</v>
      </c>
      <c r="AL44" s="383">
        <f t="shared" si="8"/>
        <v>0</v>
      </c>
      <c r="AN44" s="382">
        <v>10000000</v>
      </c>
      <c r="AO44" s="382">
        <f>'[1]COE DISB 2019'!M52</f>
        <v>10000000</v>
      </c>
      <c r="AP44" s="383">
        <f t="shared" si="9"/>
        <v>0</v>
      </c>
      <c r="AR44" s="382">
        <v>15000000</v>
      </c>
      <c r="AS44" s="382">
        <f>'[1]COE DISB 2019'!N52</f>
        <v>15000000</v>
      </c>
      <c r="AT44" s="383">
        <f t="shared" si="10"/>
        <v>0</v>
      </c>
      <c r="AV44" s="382">
        <v>5000000</v>
      </c>
      <c r="AW44" s="388">
        <f>'[1]COE DISB 2019'!O52</f>
        <v>5000000</v>
      </c>
      <c r="AX44" s="382">
        <f t="shared" si="11"/>
        <v>0</v>
      </c>
      <c r="AZ44" s="382">
        <v>18000000</v>
      </c>
      <c r="BA44" s="382">
        <f>'[1]COE DISB 2019'!P52</f>
        <v>18000000</v>
      </c>
      <c r="BB44" s="382">
        <f t="shared" si="12"/>
        <v>0</v>
      </c>
      <c r="BD44" s="382">
        <v>23400000</v>
      </c>
      <c r="BE44" s="382">
        <f>'[1]COE DISB 2019'!Q52</f>
        <v>23400000</v>
      </c>
      <c r="BF44" s="382">
        <f t="shared" si="13"/>
        <v>0</v>
      </c>
      <c r="BH44" s="382">
        <v>0</v>
      </c>
      <c r="BI44" s="382">
        <f>'[1]COE DISB 2019'!R52</f>
        <v>0</v>
      </c>
      <c r="BJ44" s="382">
        <f t="shared" si="14"/>
        <v>0</v>
      </c>
      <c r="BL44" s="382">
        <v>43000000</v>
      </c>
      <c r="BM44" s="382">
        <f>'[1]COE DISB 2019'!S52</f>
        <v>43000000</v>
      </c>
      <c r="BN44" s="382">
        <f t="shared" si="15"/>
        <v>0</v>
      </c>
      <c r="BP44" s="382">
        <v>37160000</v>
      </c>
      <c r="BQ44" s="382">
        <f>'[1]COE DISB 2019'!T52</f>
        <v>37160000</v>
      </c>
      <c r="BR44" s="382">
        <f t="shared" si="16"/>
        <v>0</v>
      </c>
      <c r="BT44" s="382">
        <v>0</v>
      </c>
      <c r="BU44" s="382">
        <f>'[1]COE DISB 2019'!U52</f>
        <v>0</v>
      </c>
      <c r="BV44" s="382">
        <f t="shared" si="17"/>
        <v>0</v>
      </c>
      <c r="BX44" s="382">
        <v>0</v>
      </c>
      <c r="BY44" s="382">
        <f>'[1]COE DISB 2019'!V52</f>
        <v>0</v>
      </c>
      <c r="BZ44" s="382">
        <f t="shared" si="18"/>
        <v>0</v>
      </c>
      <c r="CB44" s="382">
        <f>'[1]COE commited funds to date'!W47</f>
        <v>0</v>
      </c>
      <c r="CC44" s="382">
        <f>'[1]COE DISB 2019'!W52</f>
        <v>0</v>
      </c>
      <c r="CD44" s="382">
        <f t="shared" si="19"/>
        <v>0</v>
      </c>
      <c r="CF44" s="382">
        <f>'[1]COE commited funds to date'!X47</f>
        <v>125000000</v>
      </c>
      <c r="CG44" s="382">
        <f>'[1]COE DISB 2019'!X52</f>
        <v>125000000</v>
      </c>
      <c r="CH44" s="382">
        <f t="shared" si="20"/>
        <v>0</v>
      </c>
      <c r="CJ44" s="382">
        <v>10000000</v>
      </c>
      <c r="CK44" s="382">
        <f>'[1]COE DISB 2019'!Y52</f>
        <v>10000000</v>
      </c>
      <c r="CL44" s="382">
        <f t="shared" si="21"/>
        <v>0</v>
      </c>
      <c r="CN44" s="382">
        <v>250000000</v>
      </c>
      <c r="CO44" s="382">
        <f>'[1]COE DISB 2019'!Z52</f>
        <v>250000000</v>
      </c>
      <c r="CP44" s="382">
        <f t="shared" si="22"/>
        <v>0</v>
      </c>
      <c r="CR44" s="382">
        <v>0</v>
      </c>
      <c r="CS44" s="382">
        <f>'[1]COE DISB 2019'!AA52</f>
        <v>0</v>
      </c>
      <c r="CT44" s="382">
        <f t="shared" si="23"/>
        <v>0</v>
      </c>
      <c r="CV44" s="382">
        <v>0</v>
      </c>
      <c r="CW44" s="382">
        <f>'[1]COE DISB 2019'!AB52</f>
        <v>0</v>
      </c>
      <c r="CX44" s="382">
        <f t="shared" si="24"/>
        <v>0</v>
      </c>
      <c r="CZ44" s="382">
        <f>'[1]COE commited funds to date'!AC47</f>
        <v>0</v>
      </c>
      <c r="DA44" s="382">
        <f>'[1]COE DISB 2019'!AC52</f>
        <v>0</v>
      </c>
      <c r="DB44" s="382">
        <f t="shared" si="25"/>
        <v>0</v>
      </c>
      <c r="DC44" s="386"/>
      <c r="DD44" s="382">
        <v>0</v>
      </c>
      <c r="DE44" s="382">
        <f>'[1]COE DISB 2019'!AD52</f>
        <v>0</v>
      </c>
      <c r="DF44" s="382">
        <f t="shared" si="26"/>
        <v>0</v>
      </c>
      <c r="DG44" s="386"/>
      <c r="DH44" s="397">
        <v>0</v>
      </c>
      <c r="DI44" s="397">
        <f>'[1]COE DISB 2019'!AE52</f>
        <v>0</v>
      </c>
      <c r="DJ44" s="397">
        <v>0</v>
      </c>
      <c r="DK44" s="386"/>
      <c r="DL44" s="382">
        <f>'[1]COE commited funds to date'!AD47</f>
        <v>0</v>
      </c>
      <c r="DM44" s="382">
        <f>'[1]COE DISB 2019'!AF52</f>
        <v>0</v>
      </c>
      <c r="DN44" s="382">
        <f t="shared" si="28"/>
        <v>0</v>
      </c>
      <c r="DO44" s="386"/>
      <c r="DP44" s="382">
        <v>325000000</v>
      </c>
      <c r="DQ44" s="382">
        <f>'[1]COE DISB 2019'!AG52</f>
        <v>325000000</v>
      </c>
      <c r="DR44" s="382">
        <f t="shared" si="29"/>
        <v>0</v>
      </c>
      <c r="DS44" s="386"/>
      <c r="DT44" s="353">
        <v>10000000</v>
      </c>
      <c r="DU44" s="382">
        <f>'[1]COE DISB 2019'!AH52</f>
        <v>10000000</v>
      </c>
      <c r="DV44" s="382">
        <f t="shared" si="30"/>
        <v>0</v>
      </c>
      <c r="DW44" s="386"/>
      <c r="DX44" s="382">
        <f>'[1]COE commited funds to date'!AI47</f>
        <v>100000000</v>
      </c>
      <c r="DY44" s="382">
        <f>'[1]COE DISB 2019'!AI52</f>
        <v>100000000</v>
      </c>
      <c r="DZ44" s="382">
        <f t="shared" si="31"/>
        <v>0</v>
      </c>
      <c r="EA44" s="386"/>
      <c r="EB44" s="382">
        <f>'[1]COE commited funds to date'!AJ47</f>
        <v>0</v>
      </c>
      <c r="EC44" s="382">
        <f>'[1]COE DISB 2019'!AJ52</f>
        <v>0</v>
      </c>
      <c r="ED44" s="382">
        <f t="shared" si="32"/>
        <v>0</v>
      </c>
      <c r="EE44" s="386"/>
      <c r="EF44" s="382">
        <f>'[1]COE commited funds to date'!AK47</f>
        <v>0</v>
      </c>
      <c r="EG44" s="382">
        <f>'[1]COE DISB 2019'!AK52</f>
        <v>0</v>
      </c>
      <c r="EH44" s="382">
        <f t="shared" si="33"/>
        <v>0</v>
      </c>
      <c r="EI44" s="386"/>
      <c r="EJ44" s="382">
        <f>'[1]COE commited funds to date'!AL47</f>
        <v>0</v>
      </c>
      <c r="EK44" s="382">
        <f>'[1]COE DISB 2019'!AL52</f>
        <v>0</v>
      </c>
      <c r="EL44" s="382">
        <f t="shared" si="34"/>
        <v>0</v>
      </c>
      <c r="EM44" s="386"/>
      <c r="EN44" s="382">
        <f>'[1]COE commited funds to date'!AM47</f>
        <v>0</v>
      </c>
      <c r="EO44" s="382">
        <f>'[1]COE DISB 2019'!AM52</f>
        <v>0</v>
      </c>
      <c r="EP44" s="382">
        <f t="shared" si="35"/>
        <v>0</v>
      </c>
      <c r="EQ44" s="386"/>
      <c r="ER44" s="382">
        <f>'[1]COE commited funds to date'!AN47</f>
        <v>250000000</v>
      </c>
      <c r="ES44" s="382">
        <f>'[1]COE DISB 2019'!AN52</f>
        <v>250000000</v>
      </c>
      <c r="ET44" s="382">
        <f t="shared" si="36"/>
        <v>0</v>
      </c>
      <c r="EV44" s="383">
        <f>'[1]COE commited funds to date'!AO47</f>
        <v>0</v>
      </c>
      <c r="EW44" s="383">
        <f>'[1]COE DISB 2019'!AO52</f>
        <v>0</v>
      </c>
      <c r="EX44" s="383">
        <f t="shared" si="38"/>
        <v>0</v>
      </c>
      <c r="EY44" s="380"/>
      <c r="EZ44" s="383">
        <f>'[1]COE commited funds to date'!AQ47</f>
        <v>0</v>
      </c>
      <c r="FA44" s="383">
        <f>'[1]COE DISB 2019'!AP52</f>
        <v>0</v>
      </c>
      <c r="FB44" s="383">
        <f t="shared" si="39"/>
        <v>0</v>
      </c>
      <c r="FC44" s="380"/>
      <c r="FD44" s="383">
        <f>'[1]COE commited funds to date'!AR47</f>
        <v>0</v>
      </c>
      <c r="FE44" s="383">
        <f>'[1]COE DISB 2019'!AQ52</f>
        <v>0</v>
      </c>
      <c r="FF44" s="383">
        <f t="shared" si="40"/>
        <v>0</v>
      </c>
      <c r="FG44" s="380"/>
      <c r="FH44" s="383">
        <f>'[1]COE commited funds to date'!AP47</f>
        <v>0</v>
      </c>
      <c r="FI44" s="383">
        <f>'[1]COE DISB 2019'!AR52</f>
        <v>0</v>
      </c>
      <c r="FJ44" s="383">
        <f t="shared" si="41"/>
        <v>0</v>
      </c>
      <c r="FK44" s="383">
        <f>'[1]COE commited funds to date'!AS47</f>
        <v>0</v>
      </c>
      <c r="FL44" s="383">
        <f>'[1]COE DISB 2019'!AS52</f>
        <v>0</v>
      </c>
      <c r="FM44" s="383">
        <f t="shared" si="42"/>
        <v>0</v>
      </c>
      <c r="FN44" s="380"/>
      <c r="FO44" s="383">
        <f>'[1]COE commited funds to date'!AT47</f>
        <v>200000000</v>
      </c>
      <c r="FP44" s="383">
        <f>'[1]COE DISB 2019'!AT52</f>
        <v>0</v>
      </c>
      <c r="FQ44" s="383">
        <f t="shared" si="43"/>
        <v>200000000</v>
      </c>
      <c r="FR44" s="380"/>
      <c r="FS44" s="383">
        <f>'[1]COE commited funds to date'!AU47</f>
        <v>75000000</v>
      </c>
      <c r="FT44" s="383">
        <f>'[1]COE DISB 2019'!AU52</f>
        <v>51000000</v>
      </c>
      <c r="FU44" s="383">
        <f t="shared" si="44"/>
        <v>24000000</v>
      </c>
      <c r="FV44" s="380"/>
      <c r="FW44" s="383">
        <f>'[1]COE commited funds to date'!AV47</f>
        <v>8700000</v>
      </c>
      <c r="FX44" s="383">
        <f>'[1]COE DISB 2019'!AV52</f>
        <v>0</v>
      </c>
      <c r="FY44" s="383">
        <f t="shared" si="45"/>
        <v>8700000</v>
      </c>
      <c r="FZ44" s="380"/>
      <c r="GA44" s="383">
        <f>'[1]COE commited funds to date'!AW47</f>
        <v>5000000</v>
      </c>
      <c r="GB44" s="383">
        <f>'[1]COE DISB 2019'!AW52</f>
        <v>0</v>
      </c>
      <c r="GC44" s="383">
        <f t="shared" si="46"/>
        <v>5000000</v>
      </c>
      <c r="GD44" s="380"/>
      <c r="GE44" s="383">
        <f>'[1]COE commited funds to date'!AX47</f>
        <v>20000000</v>
      </c>
      <c r="GF44" s="383">
        <f>'[1]COE DISB 2019'!AX52</f>
        <v>10058000</v>
      </c>
      <c r="GG44" s="383">
        <f t="shared" si="47"/>
        <v>9942000</v>
      </c>
      <c r="GH44" s="380"/>
      <c r="GI44" s="383">
        <f>'[1]COE commited funds to date'!AY47</f>
        <v>0</v>
      </c>
      <c r="GJ44" s="383">
        <f>'[1]COE DISB 2019'!AY52</f>
        <v>0</v>
      </c>
      <c r="GK44" s="383">
        <f t="shared" si="48"/>
        <v>0</v>
      </c>
      <c r="GL44" s="380"/>
      <c r="GM44" s="383">
        <f>'[1]COE commited funds to date'!AZ47</f>
        <v>116776600</v>
      </c>
      <c r="GN44" s="383">
        <f>'[1]COE DISB 2019'!AZ52</f>
        <v>0</v>
      </c>
      <c r="GO44" s="383">
        <f t="shared" si="49"/>
        <v>116776600</v>
      </c>
      <c r="GP44" s="380"/>
      <c r="GQ44" s="383">
        <f>'[1]COE commited funds to date'!BA47</f>
        <v>0</v>
      </c>
      <c r="GR44" s="383">
        <f>'[1]COE DISB 2019'!BA52</f>
        <v>0</v>
      </c>
      <c r="GS44" s="383">
        <f t="shared" si="50"/>
        <v>0</v>
      </c>
      <c r="GT44" s="380"/>
      <c r="GU44" s="383">
        <f>'[1]COE commited funds to date'!BB47</f>
        <v>0</v>
      </c>
      <c r="GV44" s="383">
        <f>'[1]COE DISB 2019'!BB52</f>
        <v>0</v>
      </c>
      <c r="GW44" s="383">
        <f t="shared" si="51"/>
        <v>0</v>
      </c>
      <c r="GX44" s="380"/>
      <c r="GY44" s="383">
        <f>'[1]COE commited funds to date'!BC47</f>
        <v>0</v>
      </c>
      <c r="GZ44" s="383">
        <f>'[1]COE DISB 2019'!BC52</f>
        <v>0</v>
      </c>
      <c r="HA44" s="383">
        <f t="shared" si="52"/>
        <v>0</v>
      </c>
      <c r="HB44" s="380"/>
      <c r="HC44" s="383">
        <f t="shared" si="53"/>
        <v>1719855565.5</v>
      </c>
      <c r="HD44" s="383">
        <f t="shared" si="53"/>
        <v>1355436965.5</v>
      </c>
      <c r="HE44" s="382">
        <f t="shared" si="54"/>
        <v>364418600</v>
      </c>
      <c r="HG44" s="383">
        <f t="shared" si="55"/>
        <v>868878965.5</v>
      </c>
      <c r="HH44" s="383">
        <f t="shared" si="55"/>
        <v>668878965.5</v>
      </c>
      <c r="HI44" s="383">
        <f t="shared" si="56"/>
        <v>200000000</v>
      </c>
      <c r="HK44" s="383">
        <f t="shared" si="57"/>
        <v>600000000</v>
      </c>
      <c r="HL44" s="383">
        <f t="shared" si="57"/>
        <v>600000000</v>
      </c>
      <c r="HM44" s="383">
        <f t="shared" si="58"/>
        <v>0</v>
      </c>
      <c r="HO44" s="383">
        <f t="shared" si="71"/>
        <v>500000</v>
      </c>
      <c r="HP44" s="383">
        <f t="shared" si="71"/>
        <v>500000</v>
      </c>
      <c r="HQ44" s="383">
        <f t="shared" si="59"/>
        <v>0</v>
      </c>
      <c r="HS44" s="383">
        <f t="shared" si="60"/>
        <v>40000000</v>
      </c>
      <c r="HT44" s="383">
        <f t="shared" si="60"/>
        <v>30058000</v>
      </c>
      <c r="HU44" s="383">
        <f t="shared" si="61"/>
        <v>9942000</v>
      </c>
      <c r="HW44" s="383">
        <f t="shared" si="62"/>
        <v>8700000</v>
      </c>
      <c r="HX44" s="383">
        <f t="shared" si="62"/>
        <v>0</v>
      </c>
      <c r="HY44" s="383">
        <f t="shared" si="63"/>
        <v>8700000</v>
      </c>
      <c r="IA44" s="387">
        <f t="shared" si="64"/>
        <v>5000000</v>
      </c>
      <c r="IB44" s="387">
        <f t="shared" si="64"/>
        <v>0</v>
      </c>
      <c r="IC44" s="387">
        <f t="shared" si="65"/>
        <v>5000000</v>
      </c>
      <c r="IE44" s="383">
        <f t="shared" si="66"/>
        <v>191776600</v>
      </c>
      <c r="IF44" s="383">
        <f t="shared" si="66"/>
        <v>51000000</v>
      </c>
      <c r="IG44" s="383">
        <f t="shared" si="67"/>
        <v>140776600</v>
      </c>
      <c r="II44" s="383">
        <f t="shared" si="68"/>
        <v>0</v>
      </c>
      <c r="IJ44" s="383">
        <f t="shared" si="68"/>
        <v>0</v>
      </c>
      <c r="IK44" s="383">
        <f t="shared" si="69"/>
        <v>0</v>
      </c>
    </row>
    <row r="45" spans="1:245" ht="19.5" customHeight="1" x14ac:dyDescent="0.25">
      <c r="A45" s="380">
        <v>42</v>
      </c>
      <c r="B45" s="380" t="s">
        <v>361</v>
      </c>
      <c r="C45" s="381" t="s">
        <v>61</v>
      </c>
      <c r="D45" s="382">
        <v>18318965.5</v>
      </c>
      <c r="E45" s="382">
        <f>'[1]COE DISB 2019'!D53</f>
        <v>18318965.5</v>
      </c>
      <c r="F45" s="383">
        <f t="shared" si="0"/>
        <v>0</v>
      </c>
      <c r="H45" s="382">
        <v>8000000</v>
      </c>
      <c r="I45" s="382">
        <f>'[1]COE DISB 2019'!E53</f>
        <v>8000000</v>
      </c>
      <c r="J45" s="383">
        <f t="shared" si="1"/>
        <v>0</v>
      </c>
      <c r="L45" s="382">
        <v>500000</v>
      </c>
      <c r="M45" s="382">
        <f>'[1]COE DISB 2019'!F53</f>
        <v>500000</v>
      </c>
      <c r="N45" s="383">
        <f t="shared" si="2"/>
        <v>0</v>
      </c>
      <c r="P45" s="353">
        <v>16000000</v>
      </c>
      <c r="Q45" s="382">
        <f>'[1]COE DISB 2019'!G53</f>
        <v>16000000</v>
      </c>
      <c r="R45" s="383">
        <f t="shared" si="3"/>
        <v>0</v>
      </c>
      <c r="T45" s="385">
        <v>1791000</v>
      </c>
      <c r="U45" s="382">
        <f>'[1]COE DISB 2019'!H53</f>
        <v>1791000</v>
      </c>
      <c r="V45" s="383">
        <f t="shared" si="4"/>
        <v>0</v>
      </c>
      <c r="X45" s="353">
        <v>0</v>
      </c>
      <c r="Y45" s="382">
        <f>'[1]COE DISB 2019'!I53</f>
        <v>0</v>
      </c>
      <c r="Z45" s="383">
        <f t="shared" si="5"/>
        <v>0</v>
      </c>
      <c r="AB45" s="385">
        <v>20000000</v>
      </c>
      <c r="AC45" s="382">
        <f>'[1]COE DISB 2019'!J53</f>
        <v>20000000</v>
      </c>
      <c r="AD45" s="383">
        <f t="shared" si="6"/>
        <v>0</v>
      </c>
      <c r="AF45" s="353">
        <v>1855000</v>
      </c>
      <c r="AG45" s="382">
        <f>'[1]COE DISB 2019'!K53</f>
        <v>1855000</v>
      </c>
      <c r="AH45" s="383">
        <f t="shared" si="7"/>
        <v>0</v>
      </c>
      <c r="AJ45" s="385">
        <v>10000000</v>
      </c>
      <c r="AK45" s="382">
        <f>'[1]COE DISB 2019'!L53</f>
        <v>10000000</v>
      </c>
      <c r="AL45" s="383">
        <f t="shared" si="8"/>
        <v>0</v>
      </c>
      <c r="AN45" s="382">
        <v>10000000</v>
      </c>
      <c r="AO45" s="382">
        <f>'[1]COE DISB 2019'!M53</f>
        <v>10000000</v>
      </c>
      <c r="AP45" s="383">
        <f t="shared" si="9"/>
        <v>0</v>
      </c>
      <c r="AR45" s="382">
        <v>15000000</v>
      </c>
      <c r="AS45" s="382">
        <f>'[1]COE DISB 2019'!N53</f>
        <v>15000000</v>
      </c>
      <c r="AT45" s="383">
        <f t="shared" si="10"/>
        <v>0</v>
      </c>
      <c r="AV45" s="382">
        <v>0</v>
      </c>
      <c r="AW45" s="385">
        <f>'[1]COE DISB 2019'!O53</f>
        <v>0</v>
      </c>
      <c r="AX45" s="382">
        <f t="shared" si="11"/>
        <v>0</v>
      </c>
      <c r="AZ45" s="382">
        <v>18000000</v>
      </c>
      <c r="BA45" s="382">
        <f>'[1]COE DISB 2019'!P53</f>
        <v>18000000</v>
      </c>
      <c r="BB45" s="382">
        <f t="shared" si="12"/>
        <v>0</v>
      </c>
      <c r="BD45" s="382">
        <v>23400000</v>
      </c>
      <c r="BE45" s="382">
        <f>'[1]COE DISB 2019'!Q53</f>
        <v>23400000</v>
      </c>
      <c r="BF45" s="382">
        <f t="shared" si="13"/>
        <v>0</v>
      </c>
      <c r="BH45" s="382">
        <v>0</v>
      </c>
      <c r="BI45" s="382">
        <f>'[1]COE DISB 2019'!R53</f>
        <v>0</v>
      </c>
      <c r="BJ45" s="382">
        <f t="shared" si="14"/>
        <v>0</v>
      </c>
      <c r="BL45" s="382">
        <v>43000000</v>
      </c>
      <c r="BM45" s="382">
        <f>'[1]COE DISB 2019'!S53</f>
        <v>43000000</v>
      </c>
      <c r="BN45" s="382">
        <f t="shared" si="15"/>
        <v>0</v>
      </c>
      <c r="BP45" s="382">
        <v>37160000</v>
      </c>
      <c r="BQ45" s="382">
        <f>'[1]COE DISB 2019'!T53</f>
        <v>37160000</v>
      </c>
      <c r="BR45" s="382">
        <f t="shared" si="16"/>
        <v>0</v>
      </c>
      <c r="BT45" s="382">
        <v>0</v>
      </c>
      <c r="BU45" s="382">
        <f>'[1]COE DISB 2019'!U53</f>
        <v>0</v>
      </c>
      <c r="BV45" s="382">
        <f t="shared" si="17"/>
        <v>0</v>
      </c>
      <c r="BX45" s="382">
        <v>112670000</v>
      </c>
      <c r="BY45" s="382">
        <f>'[1]COE DISB 2019'!V53</f>
        <v>112670000</v>
      </c>
      <c r="BZ45" s="382">
        <f t="shared" si="18"/>
        <v>0</v>
      </c>
      <c r="CB45" s="382">
        <f>'[1]COE commited funds to date'!W48</f>
        <v>0</v>
      </c>
      <c r="CC45" s="382">
        <f>'[1]COE DISB 2019'!W53</f>
        <v>0</v>
      </c>
      <c r="CD45" s="382">
        <f t="shared" si="19"/>
        <v>0</v>
      </c>
      <c r="CF45" s="382">
        <f>'[1]COE commited funds to date'!X48</f>
        <v>0</v>
      </c>
      <c r="CG45" s="382">
        <f>'[1]COE DISB 2019'!X53</f>
        <v>0</v>
      </c>
      <c r="CH45" s="382">
        <f t="shared" si="20"/>
        <v>0</v>
      </c>
      <c r="CJ45" s="382">
        <v>0</v>
      </c>
      <c r="CK45" s="382">
        <f>'[1]COE DISB 2019'!Y53</f>
        <v>0</v>
      </c>
      <c r="CL45" s="382">
        <f t="shared" si="21"/>
        <v>0</v>
      </c>
      <c r="CN45" s="382">
        <v>0</v>
      </c>
      <c r="CO45" s="382">
        <f>'[1]COE DISB 2019'!Z53</f>
        <v>0</v>
      </c>
      <c r="CP45" s="382">
        <f t="shared" si="22"/>
        <v>0</v>
      </c>
      <c r="CR45" s="382">
        <v>0</v>
      </c>
      <c r="CS45" s="382">
        <f>'[1]COE DISB 2019'!AA53</f>
        <v>0</v>
      </c>
      <c r="CT45" s="382">
        <f t="shared" si="23"/>
        <v>0</v>
      </c>
      <c r="CV45" s="382">
        <v>0</v>
      </c>
      <c r="CW45" s="382">
        <f>'[1]COE DISB 2019'!AB53</f>
        <v>0</v>
      </c>
      <c r="CX45" s="382">
        <f t="shared" si="24"/>
        <v>0</v>
      </c>
      <c r="CZ45" s="382">
        <f>'[1]COE commited funds to date'!AC48</f>
        <v>0</v>
      </c>
      <c r="DA45" s="382">
        <f>'[1]COE DISB 2019'!AC53</f>
        <v>0</v>
      </c>
      <c r="DB45" s="382">
        <f t="shared" si="25"/>
        <v>0</v>
      </c>
      <c r="DC45" s="386"/>
      <c r="DD45" s="382">
        <v>215000000</v>
      </c>
      <c r="DE45" s="382">
        <f>'[1]COE DISB 2019'!AD53</f>
        <v>215000000</v>
      </c>
      <c r="DF45" s="382">
        <f t="shared" si="26"/>
        <v>0</v>
      </c>
      <c r="DG45" s="386"/>
      <c r="DH45" s="382">
        <v>10000000</v>
      </c>
      <c r="DI45" s="382">
        <f>'[1]COE DISB 2019'!AE53</f>
        <v>10000000</v>
      </c>
      <c r="DJ45" s="382">
        <f>DH45-DI45</f>
        <v>0</v>
      </c>
      <c r="DK45" s="386"/>
      <c r="DL45" s="382">
        <f>'[1]COE commited funds to date'!AD48</f>
        <v>0</v>
      </c>
      <c r="DM45" s="382">
        <f>'[1]COE DISB 2019'!AF53</f>
        <v>0</v>
      </c>
      <c r="DN45" s="382">
        <f t="shared" si="28"/>
        <v>0</v>
      </c>
      <c r="DO45" s="386"/>
      <c r="DP45" s="382">
        <v>0</v>
      </c>
      <c r="DQ45" s="382">
        <f>'[1]COE DISB 2019'!AG53</f>
        <v>0</v>
      </c>
      <c r="DR45" s="382">
        <f t="shared" si="29"/>
        <v>0</v>
      </c>
      <c r="DS45" s="386"/>
      <c r="DT45" s="353">
        <v>0</v>
      </c>
      <c r="DU45" s="382">
        <f>'[1]COE DISB 2019'!AH53</f>
        <v>0</v>
      </c>
      <c r="DV45" s="382">
        <f t="shared" si="30"/>
        <v>0</v>
      </c>
      <c r="DW45" s="386"/>
      <c r="DX45" s="382">
        <f>'[1]COE commited funds to date'!AI48</f>
        <v>300000000</v>
      </c>
      <c r="DY45" s="382">
        <f>'[1]COE DISB 2019'!AI53</f>
        <v>300000000</v>
      </c>
      <c r="DZ45" s="382">
        <f t="shared" si="31"/>
        <v>0</v>
      </c>
      <c r="EA45" s="386"/>
      <c r="EB45" s="382">
        <f>'[1]COE commited funds to date'!AJ48</f>
        <v>0</v>
      </c>
      <c r="EC45" s="382">
        <f>'[1]COE DISB 2019'!AJ53</f>
        <v>0</v>
      </c>
      <c r="ED45" s="382">
        <f t="shared" si="32"/>
        <v>0</v>
      </c>
      <c r="EE45" s="386"/>
      <c r="EF45" s="382">
        <f>'[1]COE commited funds to date'!AK48</f>
        <v>0</v>
      </c>
      <c r="EG45" s="382">
        <f>'[1]COE DISB 2019'!AK53</f>
        <v>0</v>
      </c>
      <c r="EH45" s="382">
        <f t="shared" si="33"/>
        <v>0</v>
      </c>
      <c r="EI45" s="386"/>
      <c r="EJ45" s="382">
        <f>'[1]COE commited funds to date'!AL48</f>
        <v>0</v>
      </c>
      <c r="EK45" s="382">
        <f>'[1]COE DISB 2019'!AL53</f>
        <v>0</v>
      </c>
      <c r="EL45" s="382">
        <f t="shared" si="34"/>
        <v>0</v>
      </c>
      <c r="EM45" s="386"/>
      <c r="EN45" s="382">
        <f>'[1]COE commited funds to date'!AM48</f>
        <v>0</v>
      </c>
      <c r="EO45" s="382">
        <f>'[1]COE DISB 2019'!AM53</f>
        <v>0</v>
      </c>
      <c r="EP45" s="382">
        <f t="shared" si="35"/>
        <v>0</v>
      </c>
      <c r="EQ45" s="386"/>
      <c r="ER45" s="382">
        <f>'[1]COE commited funds to date'!AN48</f>
        <v>350000000</v>
      </c>
      <c r="ES45" s="382">
        <f>'[1]COE DISB 2019'!AN53</f>
        <v>350000000</v>
      </c>
      <c r="ET45" s="382">
        <f t="shared" si="36"/>
        <v>0</v>
      </c>
      <c r="EV45" s="383">
        <f>'[1]COE commited funds to date'!AO48</f>
        <v>371067000</v>
      </c>
      <c r="EW45" s="383">
        <f>'[1]COE DISB 2019'!AO53</f>
        <v>222640200</v>
      </c>
      <c r="EX45" s="383">
        <f t="shared" si="38"/>
        <v>148426800</v>
      </c>
      <c r="EY45" s="380"/>
      <c r="EZ45" s="383">
        <f>'[1]COE commited funds to date'!AQ48</f>
        <v>12000000</v>
      </c>
      <c r="FA45" s="383">
        <f>'[1]COE DISB 2019'!AP53</f>
        <v>3593200</v>
      </c>
      <c r="FB45" s="383">
        <f t="shared" si="39"/>
        <v>8406800</v>
      </c>
      <c r="FC45" s="380"/>
      <c r="FD45" s="383">
        <f>'[1]COE commited funds to date'!AR48</f>
        <v>10000000</v>
      </c>
      <c r="FE45" s="383">
        <f>'[1]COE DISB 2019'!AQ53</f>
        <v>0</v>
      </c>
      <c r="FF45" s="383">
        <f t="shared" si="40"/>
        <v>10000000</v>
      </c>
      <c r="FG45" s="380"/>
      <c r="FH45" s="383">
        <f>'[1]COE commited funds to date'!AP48</f>
        <v>8000000</v>
      </c>
      <c r="FI45" s="383">
        <f>'[1]COE DISB 2019'!AR53</f>
        <v>6800000</v>
      </c>
      <c r="FJ45" s="383">
        <f t="shared" si="41"/>
        <v>1200000</v>
      </c>
      <c r="FK45" s="383">
        <f>'[1]COE commited funds to date'!AS48</f>
        <v>150000000</v>
      </c>
      <c r="FL45" s="383">
        <f>'[1]COE DISB 2019'!AS53</f>
        <v>150000000</v>
      </c>
      <c r="FM45" s="383">
        <f t="shared" si="42"/>
        <v>0</v>
      </c>
      <c r="FN45" s="380"/>
      <c r="FO45" s="383">
        <f>'[1]COE commited funds to date'!AT48</f>
        <v>0</v>
      </c>
      <c r="FP45" s="383">
        <f>'[1]COE DISB 2019'!AT53</f>
        <v>0</v>
      </c>
      <c r="FQ45" s="383">
        <f t="shared" si="43"/>
        <v>0</v>
      </c>
      <c r="FR45" s="380"/>
      <c r="FS45" s="383">
        <f>'[1]COE commited funds to date'!AU48</f>
        <v>75000000</v>
      </c>
      <c r="FT45" s="383">
        <f>'[1]COE DISB 2019'!AU53</f>
        <v>50250000</v>
      </c>
      <c r="FU45" s="383">
        <f t="shared" si="44"/>
        <v>24750000</v>
      </c>
      <c r="FV45" s="380"/>
      <c r="FW45" s="383">
        <f>'[1]COE commited funds to date'!AV48</f>
        <v>0</v>
      </c>
      <c r="FX45" s="383">
        <f>'[1]COE DISB 2019'!AV53</f>
        <v>0</v>
      </c>
      <c r="FY45" s="383">
        <f t="shared" si="45"/>
        <v>0</v>
      </c>
      <c r="FZ45" s="380"/>
      <c r="GA45" s="383">
        <f>'[1]COE commited funds to date'!AW48</f>
        <v>0</v>
      </c>
      <c r="GB45" s="383">
        <f>'[1]COE DISB 2019'!AW53</f>
        <v>0</v>
      </c>
      <c r="GC45" s="383">
        <f t="shared" si="46"/>
        <v>0</v>
      </c>
      <c r="GD45" s="380"/>
      <c r="GE45" s="383">
        <f>'[1]COE commited funds to date'!AX48</f>
        <v>0</v>
      </c>
      <c r="GF45" s="383">
        <f>'[1]COE DISB 2019'!AX53</f>
        <v>0</v>
      </c>
      <c r="GG45" s="383">
        <f t="shared" si="47"/>
        <v>0</v>
      </c>
      <c r="GH45" s="380"/>
      <c r="GI45" s="383">
        <f>'[1]COE commited funds to date'!AY48</f>
        <v>0</v>
      </c>
      <c r="GJ45" s="383">
        <f>'[1]COE DISB 2019'!AY53</f>
        <v>0</v>
      </c>
      <c r="GK45" s="383">
        <f t="shared" si="48"/>
        <v>0</v>
      </c>
      <c r="GL45" s="380"/>
      <c r="GM45" s="383">
        <f>'[1]COE commited funds to date'!AZ48</f>
        <v>116776600</v>
      </c>
      <c r="GN45" s="383">
        <f>'[1]COE DISB 2019'!AZ53</f>
        <v>0</v>
      </c>
      <c r="GO45" s="383">
        <f t="shared" si="49"/>
        <v>116776600</v>
      </c>
      <c r="GP45" s="380"/>
      <c r="GQ45" s="383">
        <f>'[1]COE commited funds to date'!BA48</f>
        <v>0</v>
      </c>
      <c r="GR45" s="383">
        <f>'[1]COE DISB 2019'!BA53</f>
        <v>0</v>
      </c>
      <c r="GS45" s="383">
        <f t="shared" si="50"/>
        <v>0</v>
      </c>
      <c r="GT45" s="380"/>
      <c r="GU45" s="383">
        <f>'[1]COE commited funds to date'!BB48</f>
        <v>0</v>
      </c>
      <c r="GV45" s="383">
        <f>'[1]COE DISB 2019'!BB53</f>
        <v>0</v>
      </c>
      <c r="GW45" s="383">
        <f t="shared" si="51"/>
        <v>0</v>
      </c>
      <c r="GX45" s="380"/>
      <c r="GY45" s="383">
        <f>'[1]COE commited funds to date'!BC48</f>
        <v>0</v>
      </c>
      <c r="GZ45" s="383">
        <f>'[1]COE DISB 2019'!BC53</f>
        <v>0</v>
      </c>
      <c r="HA45" s="383">
        <f t="shared" si="52"/>
        <v>0</v>
      </c>
      <c r="HB45" s="380"/>
      <c r="HC45" s="383">
        <f t="shared" si="53"/>
        <v>1953538565.5</v>
      </c>
      <c r="HD45" s="383">
        <f t="shared" si="53"/>
        <v>1643978365.5</v>
      </c>
      <c r="HE45" s="382">
        <f t="shared" si="54"/>
        <v>309560200</v>
      </c>
      <c r="HG45" s="383">
        <f t="shared" si="55"/>
        <v>917615965.5</v>
      </c>
      <c r="HH45" s="383">
        <f t="shared" si="55"/>
        <v>769189165.5</v>
      </c>
      <c r="HI45" s="383">
        <f t="shared" si="56"/>
        <v>148426800</v>
      </c>
      <c r="HK45" s="383">
        <f t="shared" si="57"/>
        <v>650000000</v>
      </c>
      <c r="HL45" s="383">
        <f t="shared" si="57"/>
        <v>650000000</v>
      </c>
      <c r="HM45" s="383">
        <f t="shared" si="58"/>
        <v>0</v>
      </c>
      <c r="HO45" s="383">
        <f t="shared" si="71"/>
        <v>4146000</v>
      </c>
      <c r="HP45" s="383">
        <f t="shared" si="71"/>
        <v>4146000</v>
      </c>
      <c r="HQ45" s="383">
        <f t="shared" si="59"/>
        <v>0</v>
      </c>
      <c r="HS45" s="383">
        <f t="shared" si="60"/>
        <v>22000000</v>
      </c>
      <c r="HT45" s="383">
        <f t="shared" si="60"/>
        <v>13593200</v>
      </c>
      <c r="HU45" s="383">
        <f t="shared" si="61"/>
        <v>8406800</v>
      </c>
      <c r="HW45" s="383">
        <f t="shared" si="62"/>
        <v>8000000</v>
      </c>
      <c r="HX45" s="383">
        <f t="shared" si="62"/>
        <v>6800000</v>
      </c>
      <c r="HY45" s="383">
        <f t="shared" si="63"/>
        <v>1200000</v>
      </c>
      <c r="IA45" s="387">
        <f t="shared" si="64"/>
        <v>10000000</v>
      </c>
      <c r="IB45" s="387">
        <f t="shared" si="64"/>
        <v>0</v>
      </c>
      <c r="IC45" s="387">
        <f t="shared" si="65"/>
        <v>10000000</v>
      </c>
      <c r="IE45" s="383">
        <f t="shared" si="66"/>
        <v>341776600</v>
      </c>
      <c r="IF45" s="383">
        <f t="shared" si="66"/>
        <v>200250000</v>
      </c>
      <c r="IG45" s="383">
        <f t="shared" si="67"/>
        <v>141526600</v>
      </c>
      <c r="II45" s="383">
        <f t="shared" si="68"/>
        <v>0</v>
      </c>
      <c r="IJ45" s="383">
        <f t="shared" si="68"/>
        <v>0</v>
      </c>
      <c r="IK45" s="383">
        <f t="shared" si="69"/>
        <v>0</v>
      </c>
    </row>
    <row r="46" spans="1:245" ht="19.5" customHeight="1" x14ac:dyDescent="0.25">
      <c r="A46" s="380">
        <v>43</v>
      </c>
      <c r="B46" s="380" t="s">
        <v>362</v>
      </c>
      <c r="C46" s="381"/>
      <c r="D46" s="382">
        <v>18318965.5</v>
      </c>
      <c r="E46" s="382">
        <f>'[1]COE DISB 2019'!D54</f>
        <v>18318965.5</v>
      </c>
      <c r="F46" s="383">
        <f t="shared" si="0"/>
        <v>0</v>
      </c>
      <c r="H46" s="382">
        <v>8000000</v>
      </c>
      <c r="I46" s="382">
        <f>'[1]COE DISB 2019'!E54</f>
        <v>8000000</v>
      </c>
      <c r="J46" s="383">
        <f t="shared" si="1"/>
        <v>0</v>
      </c>
      <c r="L46" s="382">
        <v>500000</v>
      </c>
      <c r="M46" s="382">
        <f>'[1]COE DISB 2019'!F54</f>
        <v>500000</v>
      </c>
      <c r="N46" s="383">
        <f t="shared" si="2"/>
        <v>0</v>
      </c>
      <c r="P46" s="353">
        <v>16000000</v>
      </c>
      <c r="Q46" s="382">
        <f>'[1]COE DISB 2019'!G54</f>
        <v>16000000</v>
      </c>
      <c r="R46" s="383">
        <f t="shared" si="3"/>
        <v>0</v>
      </c>
      <c r="T46" s="385">
        <v>219000</v>
      </c>
      <c r="U46" s="382">
        <f>'[1]COE DISB 2019'!H54</f>
        <v>219000</v>
      </c>
      <c r="V46" s="383">
        <f t="shared" si="4"/>
        <v>0</v>
      </c>
      <c r="X46" s="385">
        <v>4000000</v>
      </c>
      <c r="Y46" s="382">
        <f>'[1]COE DISB 2019'!I54</f>
        <v>4000000</v>
      </c>
      <c r="Z46" s="383">
        <f t="shared" si="5"/>
        <v>0</v>
      </c>
      <c r="AB46" s="385">
        <v>20000000</v>
      </c>
      <c r="AC46" s="382">
        <f>'[1]COE DISB 2019'!J54</f>
        <v>20000000</v>
      </c>
      <c r="AD46" s="383">
        <f t="shared" si="6"/>
        <v>0</v>
      </c>
      <c r="AF46" s="353">
        <v>0</v>
      </c>
      <c r="AG46" s="382">
        <f>'[1]COE DISB 2019'!K54</f>
        <v>0</v>
      </c>
      <c r="AH46" s="383">
        <f t="shared" si="7"/>
        <v>0</v>
      </c>
      <c r="AJ46" s="385">
        <v>10000000</v>
      </c>
      <c r="AK46" s="382">
        <f>'[1]COE DISB 2019'!L54</f>
        <v>10000000</v>
      </c>
      <c r="AL46" s="383">
        <f t="shared" si="8"/>
        <v>0</v>
      </c>
      <c r="AN46" s="382">
        <v>10000000</v>
      </c>
      <c r="AO46" s="382">
        <f>'[1]COE DISB 2019'!M54</f>
        <v>10000000</v>
      </c>
      <c r="AP46" s="383">
        <f t="shared" si="9"/>
        <v>0</v>
      </c>
      <c r="AR46" s="382">
        <v>15000000</v>
      </c>
      <c r="AS46" s="382">
        <f>'[1]COE DISB 2019'!N54</f>
        <v>15000000</v>
      </c>
      <c r="AT46" s="383">
        <f t="shared" si="10"/>
        <v>0</v>
      </c>
      <c r="AV46" s="382">
        <v>10000000</v>
      </c>
      <c r="AW46" s="388">
        <f>'[1]COE DISB 2019'!O54</f>
        <v>10000000</v>
      </c>
      <c r="AX46" s="382">
        <f t="shared" si="11"/>
        <v>0</v>
      </c>
      <c r="AZ46" s="382">
        <v>18000000</v>
      </c>
      <c r="BA46" s="382">
        <f>'[1]COE DISB 2019'!P54</f>
        <v>18000000</v>
      </c>
      <c r="BB46" s="382">
        <f t="shared" si="12"/>
        <v>0</v>
      </c>
      <c r="BD46" s="382">
        <v>23400000</v>
      </c>
      <c r="BE46" s="382">
        <f>'[1]COE DISB 2019'!Q54</f>
        <v>23400000</v>
      </c>
      <c r="BF46" s="382">
        <f t="shared" si="13"/>
        <v>0</v>
      </c>
      <c r="BH46" s="382">
        <v>0</v>
      </c>
      <c r="BI46" s="382">
        <f>'[1]COE DISB 2019'!R54</f>
        <v>0</v>
      </c>
      <c r="BJ46" s="382">
        <f t="shared" si="14"/>
        <v>0</v>
      </c>
      <c r="BL46" s="382">
        <v>43000000</v>
      </c>
      <c r="BM46" s="382">
        <f>'[1]COE DISB 2019'!S54</f>
        <v>43000000</v>
      </c>
      <c r="BN46" s="382">
        <f t="shared" si="15"/>
        <v>0</v>
      </c>
      <c r="BP46" s="382">
        <v>37160000</v>
      </c>
      <c r="BQ46" s="382">
        <f>'[1]COE DISB 2019'!T54</f>
        <v>37160000</v>
      </c>
      <c r="BR46" s="382">
        <f t="shared" si="16"/>
        <v>0</v>
      </c>
      <c r="BT46" s="382">
        <v>0</v>
      </c>
      <c r="BU46" s="382">
        <f>'[1]COE DISB 2019'!U54</f>
        <v>0</v>
      </c>
      <c r="BV46" s="382">
        <f t="shared" si="17"/>
        <v>0</v>
      </c>
      <c r="BX46" s="382">
        <v>0</v>
      </c>
      <c r="BY46" s="382">
        <f>'[1]COE DISB 2019'!V54</f>
        <v>0</v>
      </c>
      <c r="BZ46" s="382">
        <f t="shared" si="18"/>
        <v>0</v>
      </c>
      <c r="CB46" s="382">
        <f>'[1]COE commited funds to date'!W49</f>
        <v>0</v>
      </c>
      <c r="CC46" s="382">
        <f>'[1]COE DISB 2019'!W54</f>
        <v>0</v>
      </c>
      <c r="CD46" s="382">
        <f t="shared" si="19"/>
        <v>0</v>
      </c>
      <c r="CF46" s="382">
        <f>'[1]COE commited funds to date'!X49</f>
        <v>0</v>
      </c>
      <c r="CG46" s="382">
        <f>'[1]COE DISB 2019'!X54</f>
        <v>0</v>
      </c>
      <c r="CH46" s="382">
        <f t="shared" si="20"/>
        <v>0</v>
      </c>
      <c r="CJ46" s="382">
        <v>0</v>
      </c>
      <c r="CK46" s="382">
        <f>'[1]COE DISB 2019'!Y54</f>
        <v>0</v>
      </c>
      <c r="CL46" s="382">
        <f t="shared" si="21"/>
        <v>0</v>
      </c>
      <c r="CN46" s="382">
        <v>0</v>
      </c>
      <c r="CO46" s="382">
        <f>'[1]COE DISB 2019'!Z54</f>
        <v>0</v>
      </c>
      <c r="CP46" s="382">
        <f t="shared" si="22"/>
        <v>0</v>
      </c>
      <c r="CR46" s="382">
        <v>210000000</v>
      </c>
      <c r="CS46" s="382">
        <f>'[1]COE DISB 2019'!AA54</f>
        <v>210000000</v>
      </c>
      <c r="CT46" s="382">
        <f t="shared" si="23"/>
        <v>0</v>
      </c>
      <c r="CV46" s="382">
        <v>10000000</v>
      </c>
      <c r="CW46" s="382">
        <f>'[1]COE DISB 2019'!AB54</f>
        <v>10000000</v>
      </c>
      <c r="CX46" s="382">
        <f t="shared" si="24"/>
        <v>0</v>
      </c>
      <c r="CZ46" s="382">
        <f>'[1]COE commited funds to date'!AC49</f>
        <v>100000000</v>
      </c>
      <c r="DA46" s="382">
        <f>'[1]COE DISB 2019'!AC54</f>
        <v>100000000</v>
      </c>
      <c r="DB46" s="382">
        <f t="shared" si="25"/>
        <v>0</v>
      </c>
      <c r="DC46" s="386"/>
      <c r="DD46" s="382">
        <v>0</v>
      </c>
      <c r="DE46" s="382">
        <f>'[1]COE DISB 2019'!AD54</f>
        <v>0</v>
      </c>
      <c r="DF46" s="382">
        <f t="shared" si="26"/>
        <v>0</v>
      </c>
      <c r="DG46" s="386"/>
      <c r="DH46" s="397">
        <v>0</v>
      </c>
      <c r="DI46" s="397">
        <f>'[1]COE DISB 2019'!AE54</f>
        <v>0</v>
      </c>
      <c r="DJ46" s="397">
        <v>0</v>
      </c>
      <c r="DK46" s="386"/>
      <c r="DL46" s="382">
        <f>'[1]COE commited funds to date'!AD49</f>
        <v>0</v>
      </c>
      <c r="DM46" s="382">
        <f>'[1]COE DISB 2019'!AF54</f>
        <v>0</v>
      </c>
      <c r="DN46" s="382">
        <f t="shared" si="28"/>
        <v>0</v>
      </c>
      <c r="DO46" s="386"/>
      <c r="DP46" s="382">
        <v>0</v>
      </c>
      <c r="DQ46" s="382">
        <f>'[1]COE DISB 2019'!AG54</f>
        <v>0</v>
      </c>
      <c r="DR46" s="382">
        <f t="shared" si="29"/>
        <v>0</v>
      </c>
      <c r="DS46" s="386"/>
      <c r="DT46" s="353">
        <v>0</v>
      </c>
      <c r="DU46" s="382">
        <f>'[1]COE DISB 2019'!AH54</f>
        <v>0</v>
      </c>
      <c r="DV46" s="382">
        <f t="shared" si="30"/>
        <v>0</v>
      </c>
      <c r="DW46" s="386"/>
      <c r="DX46" s="382">
        <f>'[1]COE commited funds to date'!AI49</f>
        <v>300000000</v>
      </c>
      <c r="DY46" s="382">
        <f>'[1]COE DISB 2019'!AI54</f>
        <v>300000000</v>
      </c>
      <c r="DZ46" s="382">
        <f t="shared" si="31"/>
        <v>0</v>
      </c>
      <c r="EA46" s="386"/>
      <c r="EB46" s="382">
        <f>'[1]COE commited funds to date'!AJ49</f>
        <v>72000000</v>
      </c>
      <c r="EC46" s="382">
        <f>'[1]COE DISB 2019'!AJ54</f>
        <v>72000000</v>
      </c>
      <c r="ED46" s="382">
        <f t="shared" si="32"/>
        <v>0</v>
      </c>
      <c r="EE46" s="386"/>
      <c r="EF46" s="382">
        <f>'[1]COE commited funds to date'!AK49</f>
        <v>8000000</v>
      </c>
      <c r="EG46" s="382">
        <f>'[1]COE DISB 2019'!AK54</f>
        <v>8000000</v>
      </c>
      <c r="EH46" s="382">
        <f t="shared" si="33"/>
        <v>0</v>
      </c>
      <c r="EI46" s="386"/>
      <c r="EJ46" s="382">
        <f>'[1]COE commited funds to date'!AL49</f>
        <v>2000000</v>
      </c>
      <c r="EK46" s="382">
        <f>'[1]COE DISB 2019'!AL54</f>
        <v>2000000</v>
      </c>
      <c r="EL46" s="382">
        <f t="shared" si="34"/>
        <v>0</v>
      </c>
      <c r="EM46" s="386"/>
      <c r="EN46" s="382">
        <f>'[1]COE commited funds to date'!AM49</f>
        <v>7000000</v>
      </c>
      <c r="EO46" s="382">
        <f>'[1]COE DISB 2019'!AM54</f>
        <v>7000000</v>
      </c>
      <c r="EP46" s="382">
        <f t="shared" si="35"/>
        <v>0</v>
      </c>
      <c r="EQ46" s="386"/>
      <c r="ER46" s="382">
        <f>'[1]COE commited funds to date'!AN49</f>
        <v>350000000</v>
      </c>
      <c r="ES46" s="382">
        <f>'[1]COE DISB 2019'!AN54</f>
        <v>350000000</v>
      </c>
      <c r="ET46" s="382">
        <f t="shared" si="36"/>
        <v>0</v>
      </c>
      <c r="EV46" s="383">
        <f>'[1]COE commited funds to date'!AO49</f>
        <v>0</v>
      </c>
      <c r="EW46" s="383">
        <f>'[1]COE DISB 2019'!AO54</f>
        <v>0</v>
      </c>
      <c r="EX46" s="383">
        <f t="shared" si="38"/>
        <v>0</v>
      </c>
      <c r="EY46" s="380"/>
      <c r="EZ46" s="383">
        <f>'[1]COE commited funds to date'!AQ49</f>
        <v>0</v>
      </c>
      <c r="FA46" s="383">
        <f>'[1]COE DISB 2019'!AP54</f>
        <v>0</v>
      </c>
      <c r="FB46" s="383">
        <f t="shared" si="39"/>
        <v>0</v>
      </c>
      <c r="FC46" s="380"/>
      <c r="FD46" s="383">
        <f>'[1]COE commited funds to date'!AR49</f>
        <v>0</v>
      </c>
      <c r="FE46" s="383">
        <f>'[1]COE DISB 2019'!AQ54</f>
        <v>0</v>
      </c>
      <c r="FF46" s="383">
        <f t="shared" si="40"/>
        <v>0</v>
      </c>
      <c r="FG46" s="380"/>
      <c r="FH46" s="383">
        <f>'[1]COE commited funds to date'!AP49</f>
        <v>0</v>
      </c>
      <c r="FI46" s="383">
        <f>'[1]COE DISB 2019'!AR54</f>
        <v>0</v>
      </c>
      <c r="FJ46" s="383">
        <f t="shared" si="41"/>
        <v>0</v>
      </c>
      <c r="FK46" s="383">
        <f>'[1]COE commited funds to date'!AS49</f>
        <v>0</v>
      </c>
      <c r="FL46" s="383">
        <f>'[1]COE DISB 2019'!AS54</f>
        <v>0</v>
      </c>
      <c r="FM46" s="383">
        <f t="shared" si="42"/>
        <v>0</v>
      </c>
      <c r="FN46" s="380"/>
      <c r="FO46" s="383">
        <f>'[1]COE commited funds to date'!AT49</f>
        <v>0</v>
      </c>
      <c r="FP46" s="383">
        <f>'[1]COE DISB 2019'!AT54</f>
        <v>0</v>
      </c>
      <c r="FQ46" s="383">
        <f t="shared" si="43"/>
        <v>0</v>
      </c>
      <c r="FR46" s="380"/>
      <c r="FS46" s="383">
        <f>'[1]COE commited funds to date'!AU49</f>
        <v>75000000</v>
      </c>
      <c r="FT46" s="383">
        <f>'[1]COE DISB 2019'!AU54</f>
        <v>51000000</v>
      </c>
      <c r="FU46" s="383">
        <f t="shared" si="44"/>
        <v>24000000</v>
      </c>
      <c r="FV46" s="380"/>
      <c r="FW46" s="383">
        <f>'[1]COE commited funds to date'!AV49</f>
        <v>0</v>
      </c>
      <c r="FX46" s="383">
        <f>'[1]COE DISB 2019'!AV54</f>
        <v>0</v>
      </c>
      <c r="FY46" s="383">
        <f t="shared" si="45"/>
        <v>0</v>
      </c>
      <c r="FZ46" s="380"/>
      <c r="GA46" s="383">
        <f>'[1]COE commited funds to date'!AW49</f>
        <v>0</v>
      </c>
      <c r="GB46" s="383">
        <f>'[1]COE DISB 2019'!AW54</f>
        <v>0</v>
      </c>
      <c r="GC46" s="383">
        <f t="shared" si="46"/>
        <v>0</v>
      </c>
      <c r="GD46" s="380"/>
      <c r="GE46" s="383">
        <f>'[1]COE commited funds to date'!AX49</f>
        <v>0</v>
      </c>
      <c r="GF46" s="383">
        <f>'[1]COE DISB 2019'!AX54</f>
        <v>0</v>
      </c>
      <c r="GG46" s="383">
        <f t="shared" si="47"/>
        <v>0</v>
      </c>
      <c r="GH46" s="380"/>
      <c r="GI46" s="383">
        <f>'[1]COE commited funds to date'!AY49</f>
        <v>230000000</v>
      </c>
      <c r="GJ46" s="383">
        <f>'[1]COE DISB 2019'!AY54</f>
        <v>0</v>
      </c>
      <c r="GK46" s="383">
        <f t="shared" si="48"/>
        <v>230000000</v>
      </c>
      <c r="GL46" s="380"/>
      <c r="GM46" s="383">
        <f>'[1]COE commited funds to date'!AZ49</f>
        <v>116776600</v>
      </c>
      <c r="GN46" s="383">
        <f>'[1]COE DISB 2019'!AZ54</f>
        <v>0</v>
      </c>
      <c r="GO46" s="383">
        <f t="shared" si="49"/>
        <v>116776600</v>
      </c>
      <c r="GP46" s="380"/>
      <c r="GQ46" s="383">
        <f>'[1]COE commited funds to date'!BA49</f>
        <v>12000000</v>
      </c>
      <c r="GR46" s="383">
        <f>'[1]COE DISB 2019'!BA54</f>
        <v>0</v>
      </c>
      <c r="GS46" s="383">
        <f t="shared" si="50"/>
        <v>12000000</v>
      </c>
      <c r="GT46" s="380"/>
      <c r="GU46" s="383">
        <f>'[1]COE commited funds to date'!BB49</f>
        <v>5000000</v>
      </c>
      <c r="GV46" s="383">
        <f>'[1]COE DISB 2019'!BB54</f>
        <v>0</v>
      </c>
      <c r="GW46" s="383">
        <f t="shared" si="51"/>
        <v>5000000</v>
      </c>
      <c r="GX46" s="380"/>
      <c r="GY46" s="383">
        <f>'[1]COE commited funds to date'!BC49</f>
        <v>10308300</v>
      </c>
      <c r="GZ46" s="383">
        <f>'[1]COE DISB 2019'!BC54</f>
        <v>4183835</v>
      </c>
      <c r="HA46" s="383">
        <f t="shared" si="52"/>
        <v>6124465</v>
      </c>
      <c r="HB46" s="380"/>
      <c r="HC46" s="383">
        <f t="shared" si="53"/>
        <v>1741682865.5</v>
      </c>
      <c r="HD46" s="383">
        <f t="shared" si="53"/>
        <v>1347781800.5</v>
      </c>
      <c r="HE46" s="382">
        <f t="shared" si="54"/>
        <v>393901065</v>
      </c>
      <c r="HG46" s="383">
        <f t="shared" si="55"/>
        <v>730878965.5</v>
      </c>
      <c r="HH46" s="383">
        <f t="shared" si="55"/>
        <v>500878965.5</v>
      </c>
      <c r="HI46" s="383">
        <f t="shared" si="56"/>
        <v>230000000</v>
      </c>
      <c r="HK46" s="383">
        <f t="shared" si="57"/>
        <v>750000000</v>
      </c>
      <c r="HL46" s="383">
        <f t="shared" si="57"/>
        <v>750000000</v>
      </c>
      <c r="HM46" s="383">
        <f t="shared" si="58"/>
        <v>0</v>
      </c>
      <c r="HO46" s="383">
        <f t="shared" si="71"/>
        <v>719000</v>
      </c>
      <c r="HP46" s="383">
        <f t="shared" si="71"/>
        <v>719000</v>
      </c>
      <c r="HQ46" s="383">
        <f t="shared" si="59"/>
        <v>0</v>
      </c>
      <c r="HS46" s="383">
        <f t="shared" si="60"/>
        <v>27308300</v>
      </c>
      <c r="HT46" s="383">
        <f t="shared" si="60"/>
        <v>21183835</v>
      </c>
      <c r="HU46" s="383">
        <f t="shared" si="61"/>
        <v>6124465</v>
      </c>
      <c r="HW46" s="383">
        <f t="shared" si="62"/>
        <v>20000000</v>
      </c>
      <c r="HX46" s="383">
        <f t="shared" si="62"/>
        <v>8000000</v>
      </c>
      <c r="HY46" s="383">
        <f t="shared" si="63"/>
        <v>12000000</v>
      </c>
      <c r="IA46" s="387">
        <f t="shared" si="64"/>
        <v>5000000</v>
      </c>
      <c r="IB46" s="387">
        <f t="shared" si="64"/>
        <v>0</v>
      </c>
      <c r="IC46" s="387">
        <f t="shared" si="65"/>
        <v>5000000</v>
      </c>
      <c r="IE46" s="383">
        <f t="shared" si="66"/>
        <v>191776600</v>
      </c>
      <c r="IF46" s="383">
        <f t="shared" si="66"/>
        <v>51000000</v>
      </c>
      <c r="IG46" s="383">
        <f t="shared" si="67"/>
        <v>140776600</v>
      </c>
      <c r="II46" s="383">
        <f t="shared" si="68"/>
        <v>2000000</v>
      </c>
      <c r="IJ46" s="383">
        <f t="shared" si="68"/>
        <v>2000000</v>
      </c>
      <c r="IK46" s="383">
        <f t="shared" si="69"/>
        <v>0</v>
      </c>
    </row>
    <row r="47" spans="1:245" ht="19.5" customHeight="1" x14ac:dyDescent="0.25">
      <c r="A47" s="380">
        <v>44</v>
      </c>
      <c r="B47" s="380" t="s">
        <v>363</v>
      </c>
      <c r="C47" s="381" t="s">
        <v>61</v>
      </c>
      <c r="D47" s="382">
        <v>18318965.5</v>
      </c>
      <c r="E47" s="382">
        <f>'[1]COE DISB 2019'!D55</f>
        <v>18318965.5</v>
      </c>
      <c r="F47" s="383">
        <f t="shared" si="0"/>
        <v>0</v>
      </c>
      <c r="H47" s="382">
        <v>8000000</v>
      </c>
      <c r="I47" s="382">
        <f>'[1]COE DISB 2019'!E55</f>
        <v>8000000</v>
      </c>
      <c r="J47" s="383">
        <f t="shared" si="1"/>
        <v>0</v>
      </c>
      <c r="L47" s="382">
        <v>500000</v>
      </c>
      <c r="M47" s="382">
        <f>'[1]COE DISB 2019'!F55</f>
        <v>500000</v>
      </c>
      <c r="N47" s="383">
        <f t="shared" si="2"/>
        <v>0</v>
      </c>
      <c r="P47" s="353">
        <v>16000000</v>
      </c>
      <c r="Q47" s="382">
        <f>'[1]COE DISB 2019'!G55</f>
        <v>16000000</v>
      </c>
      <c r="R47" s="383">
        <f t="shared" si="3"/>
        <v>0</v>
      </c>
      <c r="T47" s="385">
        <v>622000</v>
      </c>
      <c r="U47" s="382">
        <f>'[1]COE DISB 2019'!H55</f>
        <v>622000</v>
      </c>
      <c r="V47" s="383">
        <f t="shared" si="4"/>
        <v>0</v>
      </c>
      <c r="X47" s="353">
        <v>0</v>
      </c>
      <c r="Y47" s="382">
        <f>'[1]COE DISB 2019'!I55</f>
        <v>0</v>
      </c>
      <c r="Z47" s="383">
        <f t="shared" si="5"/>
        <v>0</v>
      </c>
      <c r="AB47" s="385">
        <v>20000000</v>
      </c>
      <c r="AC47" s="382">
        <f>'[1]COE DISB 2019'!J55</f>
        <v>20000000</v>
      </c>
      <c r="AD47" s="383">
        <f t="shared" si="6"/>
        <v>0</v>
      </c>
      <c r="AF47" s="353">
        <v>0</v>
      </c>
      <c r="AG47" s="382">
        <f>'[1]COE DISB 2019'!K55</f>
        <v>0</v>
      </c>
      <c r="AH47" s="383">
        <f t="shared" si="7"/>
        <v>0</v>
      </c>
      <c r="AJ47" s="385">
        <v>10000000</v>
      </c>
      <c r="AK47" s="382">
        <f>'[1]COE DISB 2019'!L55</f>
        <v>10000000</v>
      </c>
      <c r="AL47" s="383">
        <f t="shared" si="8"/>
        <v>0</v>
      </c>
      <c r="AN47" s="382">
        <v>10000000</v>
      </c>
      <c r="AO47" s="382">
        <f>'[1]COE DISB 2019'!M55</f>
        <v>10000000</v>
      </c>
      <c r="AP47" s="383">
        <f t="shared" si="9"/>
        <v>0</v>
      </c>
      <c r="AR47" s="382">
        <v>15000000</v>
      </c>
      <c r="AS47" s="382">
        <f>'[1]COE DISB 2019'!N55</f>
        <v>15000000</v>
      </c>
      <c r="AT47" s="383">
        <f t="shared" si="10"/>
        <v>0</v>
      </c>
      <c r="AV47" s="382">
        <v>5000000</v>
      </c>
      <c r="AW47" s="388">
        <f>'[1]COE DISB 2019'!O55</f>
        <v>5000000</v>
      </c>
      <c r="AX47" s="382">
        <f t="shared" si="11"/>
        <v>0</v>
      </c>
      <c r="AZ47" s="382">
        <v>18000000</v>
      </c>
      <c r="BA47" s="382">
        <f>'[1]COE DISB 2019'!P55</f>
        <v>18000000</v>
      </c>
      <c r="BB47" s="382">
        <f t="shared" si="12"/>
        <v>0</v>
      </c>
      <c r="BD47" s="382">
        <v>23400000</v>
      </c>
      <c r="BE47" s="382">
        <f>'[1]COE DISB 2019'!Q55</f>
        <v>23400000</v>
      </c>
      <c r="BF47" s="382">
        <f t="shared" si="13"/>
        <v>0</v>
      </c>
      <c r="BH47" s="382">
        <v>0</v>
      </c>
      <c r="BI47" s="382">
        <f>'[1]COE DISB 2019'!R55</f>
        <v>0</v>
      </c>
      <c r="BJ47" s="382">
        <f t="shared" si="14"/>
        <v>0</v>
      </c>
      <c r="BL47" s="382">
        <v>43000000</v>
      </c>
      <c r="BM47" s="382">
        <f>'[1]COE DISB 2019'!S55</f>
        <v>43000000</v>
      </c>
      <c r="BN47" s="382">
        <f t="shared" si="15"/>
        <v>0</v>
      </c>
      <c r="BP47" s="382">
        <v>37160000</v>
      </c>
      <c r="BQ47" s="382">
        <f>'[1]COE DISB 2019'!T55</f>
        <v>37160000</v>
      </c>
      <c r="BR47" s="382">
        <f t="shared" si="16"/>
        <v>0</v>
      </c>
      <c r="BT47" s="382">
        <v>0</v>
      </c>
      <c r="BU47" s="382">
        <f>'[1]COE DISB 2019'!U55</f>
        <v>0</v>
      </c>
      <c r="BV47" s="382">
        <f t="shared" si="17"/>
        <v>0</v>
      </c>
      <c r="BX47" s="382">
        <v>112670000</v>
      </c>
      <c r="BY47" s="382">
        <f>'[1]COE DISB 2019'!V55</f>
        <v>112670000</v>
      </c>
      <c r="BZ47" s="382">
        <f t="shared" si="18"/>
        <v>0</v>
      </c>
      <c r="CB47" s="382">
        <f>'[1]COE commited funds to date'!W50</f>
        <v>100000000</v>
      </c>
      <c r="CC47" s="382">
        <f>'[1]COE DISB 2019'!W55</f>
        <v>100000000</v>
      </c>
      <c r="CD47" s="382">
        <f t="shared" si="19"/>
        <v>0</v>
      </c>
      <c r="CF47" s="382">
        <f>'[1]COE commited funds to date'!X50</f>
        <v>125000000</v>
      </c>
      <c r="CG47" s="382">
        <f>'[1]COE DISB 2019'!X55</f>
        <v>125000000</v>
      </c>
      <c r="CH47" s="382">
        <f t="shared" si="20"/>
        <v>0</v>
      </c>
      <c r="CJ47" s="382">
        <v>10000000</v>
      </c>
      <c r="CK47" s="382">
        <f>'[1]COE DISB 2019'!Y55</f>
        <v>10000000</v>
      </c>
      <c r="CL47" s="382">
        <f t="shared" si="21"/>
        <v>0</v>
      </c>
      <c r="CN47" s="382">
        <v>500000000</v>
      </c>
      <c r="CO47" s="382">
        <f>'[1]COE DISB 2019'!Z55</f>
        <v>500000000</v>
      </c>
      <c r="CP47" s="382">
        <f t="shared" si="22"/>
        <v>0</v>
      </c>
      <c r="CR47" s="382">
        <v>210000000</v>
      </c>
      <c r="CS47" s="382">
        <f>'[1]COE DISB 2019'!AA55</f>
        <v>210000000</v>
      </c>
      <c r="CT47" s="382">
        <f t="shared" si="23"/>
        <v>0</v>
      </c>
      <c r="CV47" s="382">
        <v>10000000</v>
      </c>
      <c r="CW47" s="382">
        <f>'[1]COE DISB 2019'!AB55</f>
        <v>10000000</v>
      </c>
      <c r="CX47" s="382">
        <f t="shared" si="24"/>
        <v>0</v>
      </c>
      <c r="CZ47" s="382">
        <f>'[1]COE commited funds to date'!AC50</f>
        <v>382000000</v>
      </c>
      <c r="DA47" s="382">
        <f>'[1]COE DISB 2019'!AC55</f>
        <v>382000000</v>
      </c>
      <c r="DB47" s="382">
        <f t="shared" si="25"/>
        <v>0</v>
      </c>
      <c r="DC47" s="386"/>
      <c r="DD47" s="382">
        <v>215000000</v>
      </c>
      <c r="DE47" s="382">
        <f>'[1]COE DISB 2019'!AD55</f>
        <v>215000000</v>
      </c>
      <c r="DF47" s="382">
        <f t="shared" si="26"/>
        <v>0</v>
      </c>
      <c r="DG47" s="386"/>
      <c r="DH47" s="382">
        <v>10000000</v>
      </c>
      <c r="DI47" s="382">
        <f>'[1]COE DISB 2019'!AE55</f>
        <v>10000000</v>
      </c>
      <c r="DJ47" s="382">
        <f>DH47-DI47</f>
        <v>0</v>
      </c>
      <c r="DK47" s="386"/>
      <c r="DL47" s="382">
        <f>'[1]COE commited funds to date'!AD50</f>
        <v>500000000</v>
      </c>
      <c r="DM47" s="382">
        <f>'[1]COE DISB 2019'!AF55</f>
        <v>500000000</v>
      </c>
      <c r="DN47" s="382">
        <f t="shared" si="28"/>
        <v>0</v>
      </c>
      <c r="DO47" s="386"/>
      <c r="DP47" s="382">
        <v>325000000</v>
      </c>
      <c r="DQ47" s="382">
        <f>'[1]COE DISB 2019'!AG55</f>
        <v>325000000</v>
      </c>
      <c r="DR47" s="382">
        <f t="shared" si="29"/>
        <v>0</v>
      </c>
      <c r="DS47" s="386"/>
      <c r="DT47" s="353">
        <v>10000000</v>
      </c>
      <c r="DU47" s="382">
        <f>'[1]COE DISB 2019'!AH55</f>
        <v>10000000</v>
      </c>
      <c r="DV47" s="382">
        <f t="shared" si="30"/>
        <v>0</v>
      </c>
      <c r="DW47" s="386"/>
      <c r="DX47" s="382">
        <f>'[1]COE commited funds to date'!AI50</f>
        <v>221000000</v>
      </c>
      <c r="DY47" s="382">
        <f>'[1]COE DISB 2019'!AI55</f>
        <v>195350000</v>
      </c>
      <c r="DZ47" s="382">
        <f t="shared" si="31"/>
        <v>25650000</v>
      </c>
      <c r="EA47" s="386"/>
      <c r="EB47" s="382">
        <f>'[1]COE commited funds to date'!AJ50</f>
        <v>72000000</v>
      </c>
      <c r="EC47" s="382">
        <f>'[1]COE DISB 2019'!AJ55</f>
        <v>44640000</v>
      </c>
      <c r="ED47" s="382">
        <f t="shared" si="32"/>
        <v>27360000</v>
      </c>
      <c r="EE47" s="386"/>
      <c r="EF47" s="382">
        <f>'[1]COE commited funds to date'!AK50</f>
        <v>8000000</v>
      </c>
      <c r="EG47" s="382">
        <f>'[1]COE DISB 2019'!AK55</f>
        <v>8000000</v>
      </c>
      <c r="EH47" s="382">
        <f t="shared" si="33"/>
        <v>0</v>
      </c>
      <c r="EI47" s="386"/>
      <c r="EJ47" s="382">
        <f>'[1]COE commited funds to date'!AL50</f>
        <v>2000000</v>
      </c>
      <c r="EK47" s="382">
        <f>'[1]COE DISB 2019'!AL55</f>
        <v>0</v>
      </c>
      <c r="EL47" s="382">
        <f t="shared" si="34"/>
        <v>2000000</v>
      </c>
      <c r="EM47" s="386"/>
      <c r="EN47" s="382">
        <f>'[1]COE commited funds to date'!AM50</f>
        <v>7000000</v>
      </c>
      <c r="EO47" s="382">
        <f>'[1]COE DISB 2019'!AM55</f>
        <v>7000000</v>
      </c>
      <c r="EP47" s="382">
        <f t="shared" si="35"/>
        <v>0</v>
      </c>
      <c r="EQ47" s="386"/>
      <c r="ER47" s="382">
        <f>'[1]COE commited funds to date'!AN50</f>
        <v>2690000000</v>
      </c>
      <c r="ES47" s="382">
        <f>'[1]COE DISB 2019'!AN55</f>
        <v>2690000000</v>
      </c>
      <c r="ET47" s="382">
        <f t="shared" si="36"/>
        <v>0</v>
      </c>
      <c r="EV47" s="383">
        <f>'[1]COE commited funds to date'!AO50</f>
        <v>371067000</v>
      </c>
      <c r="EW47" s="383">
        <f>'[1]COE DISB 2019'!AO55</f>
        <v>230061540</v>
      </c>
      <c r="EX47" s="383">
        <f t="shared" si="38"/>
        <v>141005460</v>
      </c>
      <c r="EY47" s="380"/>
      <c r="EZ47" s="383">
        <f>'[1]COE commited funds to date'!AQ50</f>
        <v>12000000</v>
      </c>
      <c r="FA47" s="383">
        <f>'[1]COE DISB 2019'!AP55</f>
        <v>12000000</v>
      </c>
      <c r="FB47" s="383">
        <f t="shared" si="39"/>
        <v>0</v>
      </c>
      <c r="FC47" s="380"/>
      <c r="FD47" s="383">
        <f>'[1]COE commited funds to date'!AR50</f>
        <v>10000000</v>
      </c>
      <c r="FE47" s="383">
        <f>'[1]COE DISB 2019'!AQ55</f>
        <v>0</v>
      </c>
      <c r="FF47" s="383">
        <f t="shared" si="40"/>
        <v>10000000</v>
      </c>
      <c r="FG47" s="380"/>
      <c r="FH47" s="383">
        <f>'[1]COE commited funds to date'!AP50</f>
        <v>8000000</v>
      </c>
      <c r="FI47" s="383">
        <f>'[1]COE DISB 2019'!AR55</f>
        <v>8000000</v>
      </c>
      <c r="FJ47" s="383">
        <f t="shared" si="41"/>
        <v>0</v>
      </c>
      <c r="FK47" s="383">
        <f>'[1]COE commited funds to date'!AS50</f>
        <v>0</v>
      </c>
      <c r="FL47" s="383">
        <f>'[1]COE DISB 2019'!AS55</f>
        <v>0</v>
      </c>
      <c r="FM47" s="383">
        <f t="shared" si="42"/>
        <v>0</v>
      </c>
      <c r="FN47" s="380"/>
      <c r="FO47" s="383">
        <f>'[1]COE commited funds to date'!AT50</f>
        <v>200000000</v>
      </c>
      <c r="FP47" s="383">
        <f>'[1]COE DISB 2019'!AT55</f>
        <v>0</v>
      </c>
      <c r="FQ47" s="383">
        <f t="shared" si="43"/>
        <v>200000000</v>
      </c>
      <c r="FR47" s="380"/>
      <c r="FS47" s="383">
        <f>'[1]COE commited funds to date'!AU50</f>
        <v>75000000</v>
      </c>
      <c r="FT47" s="383">
        <f>'[1]COE DISB 2019'!AU55</f>
        <v>75000000</v>
      </c>
      <c r="FU47" s="383">
        <f t="shared" si="44"/>
        <v>0</v>
      </c>
      <c r="FV47" s="380"/>
      <c r="FW47" s="383">
        <f>'[1]COE commited funds to date'!AV50</f>
        <v>8700000</v>
      </c>
      <c r="FX47" s="383">
        <f>'[1]COE DISB 2019'!AV55</f>
        <v>0</v>
      </c>
      <c r="FY47" s="383">
        <f t="shared" si="45"/>
        <v>8700000</v>
      </c>
      <c r="FZ47" s="380"/>
      <c r="GA47" s="383">
        <f>'[1]COE commited funds to date'!AW50</f>
        <v>5000000</v>
      </c>
      <c r="GB47" s="383">
        <f>'[1]COE DISB 2019'!AW55</f>
        <v>0</v>
      </c>
      <c r="GC47" s="383">
        <f t="shared" si="46"/>
        <v>5000000</v>
      </c>
      <c r="GD47" s="380"/>
      <c r="GE47" s="383">
        <f>'[1]COE commited funds to date'!AX50</f>
        <v>20000000</v>
      </c>
      <c r="GF47" s="383">
        <f>'[1]COE DISB 2019'!AX55</f>
        <v>12737000</v>
      </c>
      <c r="GG47" s="383">
        <f t="shared" si="47"/>
        <v>7263000</v>
      </c>
      <c r="GH47" s="380"/>
      <c r="GI47" s="383">
        <f>'[1]COE commited funds to date'!AY50</f>
        <v>230000000</v>
      </c>
      <c r="GJ47" s="383">
        <f>'[1]COE DISB 2019'!AY55</f>
        <v>0</v>
      </c>
      <c r="GK47" s="383">
        <f t="shared" si="48"/>
        <v>230000000</v>
      </c>
      <c r="GL47" s="380"/>
      <c r="GM47" s="383">
        <f>'[1]COE commited funds to date'!AZ50</f>
        <v>116776600</v>
      </c>
      <c r="GN47" s="383">
        <f>'[1]COE DISB 2019'!AZ55</f>
        <v>0</v>
      </c>
      <c r="GO47" s="383">
        <f t="shared" si="49"/>
        <v>116776600</v>
      </c>
      <c r="GP47" s="380"/>
      <c r="GQ47" s="383">
        <f>'[1]COE commited funds to date'!BA50</f>
        <v>12000000</v>
      </c>
      <c r="GR47" s="383">
        <f>'[1]COE DISB 2019'!BA55</f>
        <v>0</v>
      </c>
      <c r="GS47" s="383">
        <f t="shared" si="50"/>
        <v>12000000</v>
      </c>
      <c r="GT47" s="380"/>
      <c r="GU47" s="383">
        <f>'[1]COE commited funds to date'!BB50</f>
        <v>5000000</v>
      </c>
      <c r="GV47" s="383">
        <f>'[1]COE DISB 2019'!BB55</f>
        <v>0</v>
      </c>
      <c r="GW47" s="383">
        <f t="shared" si="51"/>
        <v>5000000</v>
      </c>
      <c r="GX47" s="380"/>
      <c r="GY47" s="383">
        <f>'[1]COE commited funds to date'!BC50</f>
        <v>10308300</v>
      </c>
      <c r="GZ47" s="383">
        <f>'[1]COE DISB 2019'!BC55</f>
        <v>0</v>
      </c>
      <c r="HA47" s="383">
        <f t="shared" si="52"/>
        <v>10308300</v>
      </c>
      <c r="HB47" s="380"/>
      <c r="HC47" s="383">
        <f t="shared" si="53"/>
        <v>6818522865.5</v>
      </c>
      <c r="HD47" s="383">
        <f t="shared" si="53"/>
        <v>6017459505.5</v>
      </c>
      <c r="HE47" s="382">
        <f t="shared" si="54"/>
        <v>801063360</v>
      </c>
      <c r="HG47" s="383">
        <f t="shared" si="55"/>
        <v>2079615965.5</v>
      </c>
      <c r="HH47" s="383">
        <f t="shared" si="55"/>
        <v>1481250505.5</v>
      </c>
      <c r="HI47" s="383">
        <f t="shared" si="56"/>
        <v>598365460</v>
      </c>
      <c r="HK47" s="383">
        <f t="shared" si="57"/>
        <v>4393000000</v>
      </c>
      <c r="HL47" s="383">
        <f t="shared" si="57"/>
        <v>4367350000</v>
      </c>
      <c r="HM47" s="383">
        <f t="shared" si="58"/>
        <v>25650000</v>
      </c>
      <c r="HO47" s="383">
        <f t="shared" si="71"/>
        <v>1122000</v>
      </c>
      <c r="HP47" s="383">
        <f t="shared" si="71"/>
        <v>1122000</v>
      </c>
      <c r="HQ47" s="383">
        <f t="shared" si="59"/>
        <v>0</v>
      </c>
      <c r="HS47" s="383">
        <f t="shared" si="60"/>
        <v>89308300</v>
      </c>
      <c r="HT47" s="383">
        <f t="shared" si="60"/>
        <v>71737000</v>
      </c>
      <c r="HU47" s="383">
        <f t="shared" si="61"/>
        <v>17571300</v>
      </c>
      <c r="HW47" s="383">
        <f t="shared" si="62"/>
        <v>36700000</v>
      </c>
      <c r="HX47" s="383">
        <f t="shared" si="62"/>
        <v>16000000</v>
      </c>
      <c r="HY47" s="383">
        <f t="shared" si="63"/>
        <v>20700000</v>
      </c>
      <c r="IA47" s="387">
        <f t="shared" si="64"/>
        <v>20000000</v>
      </c>
      <c r="IB47" s="387">
        <f t="shared" si="64"/>
        <v>0</v>
      </c>
      <c r="IC47" s="387">
        <f t="shared" si="65"/>
        <v>20000000</v>
      </c>
      <c r="IE47" s="383">
        <f t="shared" si="66"/>
        <v>191776600</v>
      </c>
      <c r="IF47" s="383">
        <f t="shared" si="66"/>
        <v>75000000</v>
      </c>
      <c r="IG47" s="383">
        <f t="shared" si="67"/>
        <v>116776600</v>
      </c>
      <c r="II47" s="383">
        <f t="shared" si="68"/>
        <v>2000000</v>
      </c>
      <c r="IJ47" s="383">
        <f t="shared" si="68"/>
        <v>0</v>
      </c>
      <c r="IK47" s="383">
        <f t="shared" si="69"/>
        <v>2000000</v>
      </c>
    </row>
    <row r="48" spans="1:245" ht="19.5" customHeight="1" x14ac:dyDescent="0.25">
      <c r="A48" s="380">
        <v>45</v>
      </c>
      <c r="B48" s="380" t="s">
        <v>364</v>
      </c>
      <c r="C48" s="381" t="s">
        <v>61</v>
      </c>
      <c r="D48" s="382">
        <v>18318965.5</v>
      </c>
      <c r="E48" s="382">
        <f>'[1]COE DISB 2019'!D56</f>
        <v>18318965.010000002</v>
      </c>
      <c r="F48" s="383">
        <f t="shared" si="0"/>
        <v>0.48999999836087227</v>
      </c>
      <c r="H48" s="382">
        <v>8000000</v>
      </c>
      <c r="I48" s="382">
        <f>'[1]COE DISB 2019'!E56</f>
        <v>8000000</v>
      </c>
      <c r="J48" s="383">
        <f t="shared" si="1"/>
        <v>0</v>
      </c>
      <c r="L48" s="382">
        <v>500000</v>
      </c>
      <c r="M48" s="382">
        <f>'[1]COE DISB 2019'!F56</f>
        <v>500000</v>
      </c>
      <c r="N48" s="383">
        <f t="shared" si="2"/>
        <v>0</v>
      </c>
      <c r="P48" s="353">
        <v>16000000</v>
      </c>
      <c r="Q48" s="382">
        <f>'[1]COE DISB 2019'!G56</f>
        <v>16000000</v>
      </c>
      <c r="R48" s="383">
        <f t="shared" si="3"/>
        <v>0</v>
      </c>
      <c r="T48" s="385">
        <v>538000</v>
      </c>
      <c r="U48" s="382">
        <f>'[1]COE DISB 2019'!H56</f>
        <v>538000</v>
      </c>
      <c r="V48" s="383">
        <f t="shared" si="4"/>
        <v>0</v>
      </c>
      <c r="X48" s="353">
        <v>0</v>
      </c>
      <c r="Y48" s="382">
        <f>'[1]COE DISB 2019'!I56</f>
        <v>0</v>
      </c>
      <c r="Z48" s="383">
        <f t="shared" si="5"/>
        <v>0</v>
      </c>
      <c r="AB48" s="385">
        <v>20000000</v>
      </c>
      <c r="AC48" s="382">
        <f>'[1]COE DISB 2019'!J56</f>
        <v>20000000</v>
      </c>
      <c r="AD48" s="383">
        <f t="shared" si="6"/>
        <v>0</v>
      </c>
      <c r="AF48" s="353">
        <v>0</v>
      </c>
      <c r="AG48" s="382">
        <f>'[1]COE DISB 2019'!K56</f>
        <v>0</v>
      </c>
      <c r="AH48" s="383">
        <f t="shared" si="7"/>
        <v>0</v>
      </c>
      <c r="AJ48" s="385">
        <v>10000000</v>
      </c>
      <c r="AK48" s="382">
        <f>'[1]COE DISB 2019'!L56</f>
        <v>10000000</v>
      </c>
      <c r="AL48" s="383">
        <f t="shared" si="8"/>
        <v>0</v>
      </c>
      <c r="AN48" s="382">
        <v>10000000</v>
      </c>
      <c r="AO48" s="382">
        <f>'[1]COE DISB 2019'!M56</f>
        <v>10000000</v>
      </c>
      <c r="AP48" s="383">
        <f t="shared" si="9"/>
        <v>0</v>
      </c>
      <c r="AR48" s="382">
        <v>15000000</v>
      </c>
      <c r="AS48" s="382">
        <f>'[1]COE DISB 2019'!N56</f>
        <v>15000000</v>
      </c>
      <c r="AT48" s="383">
        <f t="shared" si="10"/>
        <v>0</v>
      </c>
      <c r="AV48" s="382">
        <v>0</v>
      </c>
      <c r="AW48" s="385">
        <f>'[1]COE DISB 2019'!O56</f>
        <v>0</v>
      </c>
      <c r="AX48" s="382">
        <f t="shared" si="11"/>
        <v>0</v>
      </c>
      <c r="AZ48" s="382">
        <v>18000000</v>
      </c>
      <c r="BA48" s="382">
        <f>'[1]COE DISB 2019'!P56</f>
        <v>18000000</v>
      </c>
      <c r="BB48" s="382">
        <f t="shared" si="12"/>
        <v>0</v>
      </c>
      <c r="BD48" s="382">
        <v>23400000</v>
      </c>
      <c r="BE48" s="382">
        <f>'[1]COE DISB 2019'!Q56</f>
        <v>23400000</v>
      </c>
      <c r="BF48" s="382">
        <f t="shared" si="13"/>
        <v>0</v>
      </c>
      <c r="BH48" s="382">
        <v>0</v>
      </c>
      <c r="BI48" s="382">
        <f>'[1]COE DISB 2019'!R56</f>
        <v>0</v>
      </c>
      <c r="BJ48" s="382">
        <f t="shared" si="14"/>
        <v>0</v>
      </c>
      <c r="BL48" s="382">
        <v>36550000</v>
      </c>
      <c r="BM48" s="382">
        <f>'[1]COE DISB 2019'!S56</f>
        <v>36550000</v>
      </c>
      <c r="BN48" s="382">
        <f t="shared" si="15"/>
        <v>0</v>
      </c>
      <c r="BP48" s="382">
        <v>31586000</v>
      </c>
      <c r="BQ48" s="382">
        <f>'[1]COE DISB 2019'!T56</f>
        <v>31586000</v>
      </c>
      <c r="BR48" s="382">
        <f t="shared" si="16"/>
        <v>0</v>
      </c>
      <c r="BT48" s="382">
        <v>0</v>
      </c>
      <c r="BU48" s="382">
        <f>'[1]COE DISB 2019'!U56</f>
        <v>0</v>
      </c>
      <c r="BV48" s="382">
        <f t="shared" si="17"/>
        <v>0</v>
      </c>
      <c r="BX48" s="382">
        <v>112663000</v>
      </c>
      <c r="BY48" s="382">
        <f>'[1]COE DISB 2019'!V56</f>
        <v>112663000</v>
      </c>
      <c r="BZ48" s="382">
        <f t="shared" si="18"/>
        <v>0</v>
      </c>
      <c r="CB48" s="382">
        <f>'[1]COE commited funds to date'!W51</f>
        <v>100000000</v>
      </c>
      <c r="CC48" s="382">
        <f>'[1]COE DISB 2019'!W56</f>
        <v>100000000</v>
      </c>
      <c r="CD48" s="382">
        <f t="shared" si="19"/>
        <v>0</v>
      </c>
      <c r="CF48" s="382">
        <f>'[1]COE commited funds to date'!X51</f>
        <v>125000000</v>
      </c>
      <c r="CG48" s="382">
        <f>'[1]COE DISB 2019'!X56</f>
        <v>125000000</v>
      </c>
      <c r="CH48" s="382">
        <f t="shared" si="20"/>
        <v>0</v>
      </c>
      <c r="CJ48" s="382">
        <v>10000000</v>
      </c>
      <c r="CK48" s="382">
        <f>'[1]COE DISB 2019'!Y56</f>
        <v>9013550</v>
      </c>
      <c r="CL48" s="382">
        <f t="shared" si="21"/>
        <v>986450</v>
      </c>
      <c r="CN48" s="382">
        <v>0</v>
      </c>
      <c r="CO48" s="382">
        <f>'[1]COE DISB 2019'!Z56</f>
        <v>0</v>
      </c>
      <c r="CP48" s="382">
        <f t="shared" si="22"/>
        <v>0</v>
      </c>
      <c r="CR48" s="382">
        <v>210000000</v>
      </c>
      <c r="CS48" s="382">
        <f>'[1]COE DISB 2019'!AA56</f>
        <v>210000000</v>
      </c>
      <c r="CT48" s="382">
        <f t="shared" si="23"/>
        <v>0</v>
      </c>
      <c r="CV48" s="382">
        <v>10000000</v>
      </c>
      <c r="CW48" s="382">
        <f>'[1]COE DISB 2019'!AB56</f>
        <v>10000000</v>
      </c>
      <c r="CX48" s="382">
        <f t="shared" si="24"/>
        <v>0</v>
      </c>
      <c r="CZ48" s="382">
        <f>'[1]COE commited funds to date'!AC51</f>
        <v>50000000</v>
      </c>
      <c r="DA48" s="382">
        <f>'[1]COE DISB 2019'!AC56</f>
        <v>50000000</v>
      </c>
      <c r="DB48" s="382">
        <f t="shared" si="25"/>
        <v>0</v>
      </c>
      <c r="DC48" s="386"/>
      <c r="DD48" s="382">
        <v>215000000</v>
      </c>
      <c r="DE48" s="382">
        <f>'[1]COE DISB 2019'!AD56</f>
        <v>215000000</v>
      </c>
      <c r="DF48" s="382">
        <f t="shared" si="26"/>
        <v>0</v>
      </c>
      <c r="DG48" s="386"/>
      <c r="DH48" s="382">
        <v>10000000</v>
      </c>
      <c r="DI48" s="382">
        <f>'[1]COE DISB 2019'!AE56</f>
        <v>10000000</v>
      </c>
      <c r="DJ48" s="382">
        <f>DH48-DI48</f>
        <v>0</v>
      </c>
      <c r="DK48" s="386"/>
      <c r="DL48" s="382">
        <f>'[1]COE commited funds to date'!AD51</f>
        <v>460000000</v>
      </c>
      <c r="DM48" s="382">
        <f>'[1]COE DISB 2019'!AF56</f>
        <v>431800000</v>
      </c>
      <c r="DN48" s="382">
        <f t="shared" si="28"/>
        <v>28200000</v>
      </c>
      <c r="DO48" s="386"/>
      <c r="DP48" s="382">
        <v>325000000</v>
      </c>
      <c r="DQ48" s="382">
        <f>'[1]COE DISB 2019'!AG56</f>
        <v>325000000</v>
      </c>
      <c r="DR48" s="382">
        <f t="shared" si="29"/>
        <v>0</v>
      </c>
      <c r="DS48" s="386"/>
      <c r="DT48" s="353">
        <v>10000000</v>
      </c>
      <c r="DU48" s="382">
        <f>'[1]COE DISB 2019'!AH56</f>
        <v>10000000</v>
      </c>
      <c r="DV48" s="382">
        <f t="shared" si="30"/>
        <v>0</v>
      </c>
      <c r="DW48" s="386"/>
      <c r="DX48" s="382">
        <f>'[1]COE commited funds to date'!AI51</f>
        <v>200000000</v>
      </c>
      <c r="DY48" s="382">
        <f>'[1]COE DISB 2019'!AI56</f>
        <v>200000000</v>
      </c>
      <c r="DZ48" s="382">
        <f t="shared" si="31"/>
        <v>0</v>
      </c>
      <c r="EA48" s="386"/>
      <c r="EB48" s="382">
        <f>'[1]COE commited funds to date'!AJ51</f>
        <v>72000000</v>
      </c>
      <c r="EC48" s="382">
        <f>'[1]COE DISB 2019'!AJ56</f>
        <v>61200000</v>
      </c>
      <c r="ED48" s="382">
        <f t="shared" si="32"/>
        <v>10800000</v>
      </c>
      <c r="EE48" s="386"/>
      <c r="EF48" s="382">
        <f>'[1]COE commited funds to date'!AK51</f>
        <v>8000000</v>
      </c>
      <c r="EG48" s="382">
        <f>'[1]COE DISB 2019'!AK56</f>
        <v>8000000</v>
      </c>
      <c r="EH48" s="382">
        <f t="shared" si="33"/>
        <v>0</v>
      </c>
      <c r="EI48" s="386"/>
      <c r="EJ48" s="382">
        <f>'[1]COE commited funds to date'!AL51</f>
        <v>2000000</v>
      </c>
      <c r="EK48" s="382">
        <f>'[1]COE DISB 2019'!AL56</f>
        <v>0</v>
      </c>
      <c r="EL48" s="382">
        <f t="shared" si="34"/>
        <v>2000000</v>
      </c>
      <c r="EM48" s="386"/>
      <c r="EN48" s="382">
        <f>'[1]COE commited funds to date'!AM51</f>
        <v>7000000</v>
      </c>
      <c r="EO48" s="382">
        <f>'[1]COE DISB 2019'!AM56</f>
        <v>7000000</v>
      </c>
      <c r="EP48" s="382">
        <f t="shared" si="35"/>
        <v>0</v>
      </c>
      <c r="EQ48" s="386"/>
      <c r="ER48" s="382">
        <f>'[1]COE commited funds to date'!AN51</f>
        <v>3000000000</v>
      </c>
      <c r="ES48" s="382">
        <f>'[1]COE DISB 2019'!AN56</f>
        <v>2553100000</v>
      </c>
      <c r="ET48" s="382">
        <f t="shared" si="36"/>
        <v>446900000</v>
      </c>
      <c r="EV48" s="383">
        <f>'[1]COE commited funds to date'!AO51</f>
        <v>371067000</v>
      </c>
      <c r="EW48" s="383">
        <f>'[1]COE DISB 2019'!AO56</f>
        <v>315406955</v>
      </c>
      <c r="EX48" s="383">
        <f t="shared" si="38"/>
        <v>55660045</v>
      </c>
      <c r="EY48" s="380"/>
      <c r="EZ48" s="383">
        <f>'[1]COE commited funds to date'!AQ51</f>
        <v>12000000</v>
      </c>
      <c r="FA48" s="383">
        <f>'[1]COE DISB 2019'!AP56</f>
        <v>12000000</v>
      </c>
      <c r="FB48" s="383">
        <f t="shared" si="39"/>
        <v>0</v>
      </c>
      <c r="FC48" s="380"/>
      <c r="FD48" s="383">
        <f>'[1]COE commited funds to date'!AR51</f>
        <v>10000000</v>
      </c>
      <c r="FE48" s="383">
        <f>'[1]COE DISB 2019'!AQ56</f>
        <v>0</v>
      </c>
      <c r="FF48" s="383">
        <f t="shared" si="40"/>
        <v>10000000</v>
      </c>
      <c r="FG48" s="380"/>
      <c r="FH48" s="383">
        <f>'[1]COE commited funds to date'!AP51</f>
        <v>8000000</v>
      </c>
      <c r="FI48" s="383">
        <f>'[1]COE DISB 2019'!AR56</f>
        <v>8000000</v>
      </c>
      <c r="FJ48" s="383">
        <f t="shared" si="41"/>
        <v>0</v>
      </c>
      <c r="FK48" s="383">
        <f>'[1]COE commited funds to date'!AS51</f>
        <v>0</v>
      </c>
      <c r="FL48" s="383">
        <f>'[1]COE DISB 2019'!AS56</f>
        <v>0</v>
      </c>
      <c r="FM48" s="383">
        <f t="shared" si="42"/>
        <v>0</v>
      </c>
      <c r="FN48" s="380"/>
      <c r="FO48" s="383">
        <f>'[1]COE commited funds to date'!AT51</f>
        <v>200000000</v>
      </c>
      <c r="FP48" s="383">
        <f>'[1]COE DISB 2019'!AT56</f>
        <v>0</v>
      </c>
      <c r="FQ48" s="383">
        <f t="shared" si="43"/>
        <v>200000000</v>
      </c>
      <c r="FR48" s="380"/>
      <c r="FS48" s="383">
        <f>'[1]COE commited funds to date'!AU51</f>
        <v>75000000</v>
      </c>
      <c r="FT48" s="383">
        <f>'[1]COE DISB 2019'!AU56</f>
        <v>51000000</v>
      </c>
      <c r="FU48" s="383">
        <f t="shared" si="44"/>
        <v>24000000</v>
      </c>
      <c r="FV48" s="380"/>
      <c r="FW48" s="383">
        <f>'[1]COE commited funds to date'!AV51</f>
        <v>8700000</v>
      </c>
      <c r="FX48" s="383">
        <f>'[1]COE DISB 2019'!AV56</f>
        <v>0</v>
      </c>
      <c r="FY48" s="383">
        <f t="shared" si="45"/>
        <v>8700000</v>
      </c>
      <c r="FZ48" s="380"/>
      <c r="GA48" s="383">
        <f>'[1]COE commited funds to date'!AW51</f>
        <v>5000000</v>
      </c>
      <c r="GB48" s="383">
        <f>'[1]COE DISB 2019'!AW56</f>
        <v>0</v>
      </c>
      <c r="GC48" s="383">
        <f t="shared" si="46"/>
        <v>5000000</v>
      </c>
      <c r="GD48" s="380"/>
      <c r="GE48" s="383">
        <f>'[1]COE commited funds to date'!AX51</f>
        <v>20000000</v>
      </c>
      <c r="GF48" s="383">
        <f>'[1]COE DISB 2019'!AX56</f>
        <v>13778800</v>
      </c>
      <c r="GG48" s="383">
        <f t="shared" si="47"/>
        <v>6221200</v>
      </c>
      <c r="GH48" s="380"/>
      <c r="GI48" s="383">
        <f>'[1]COE commited funds to date'!AY51</f>
        <v>230000000</v>
      </c>
      <c r="GJ48" s="383">
        <f>'[1]COE DISB 2019'!AY56</f>
        <v>0</v>
      </c>
      <c r="GK48" s="383">
        <f t="shared" si="48"/>
        <v>230000000</v>
      </c>
      <c r="GL48" s="380"/>
      <c r="GM48" s="383">
        <f>'[1]COE commited funds to date'!AZ51</f>
        <v>116776600</v>
      </c>
      <c r="GN48" s="383">
        <f>'[1]COE DISB 2019'!AZ56</f>
        <v>0</v>
      </c>
      <c r="GO48" s="383">
        <f t="shared" si="49"/>
        <v>116776600</v>
      </c>
      <c r="GP48" s="380"/>
      <c r="GQ48" s="383">
        <f>'[1]COE commited funds to date'!BA51</f>
        <v>12000000</v>
      </c>
      <c r="GR48" s="383">
        <f>'[1]COE DISB 2019'!BA56</f>
        <v>0</v>
      </c>
      <c r="GS48" s="383">
        <f t="shared" si="50"/>
        <v>12000000</v>
      </c>
      <c r="GT48" s="380"/>
      <c r="GU48" s="383">
        <f>'[1]COE commited funds to date'!BB51</f>
        <v>5000000</v>
      </c>
      <c r="GV48" s="383">
        <f>'[1]COE DISB 2019'!BB56</f>
        <v>0</v>
      </c>
      <c r="GW48" s="383">
        <f t="shared" si="51"/>
        <v>5000000</v>
      </c>
      <c r="GX48" s="380"/>
      <c r="GY48" s="383">
        <f>'[1]COE commited funds to date'!BC51</f>
        <v>10308300</v>
      </c>
      <c r="GZ48" s="383">
        <f>'[1]COE DISB 2019'!BC56</f>
        <v>0</v>
      </c>
      <c r="HA48" s="383">
        <f t="shared" si="52"/>
        <v>10308300</v>
      </c>
      <c r="HB48" s="380"/>
      <c r="HC48" s="383">
        <f t="shared" si="53"/>
        <v>6218407865.5</v>
      </c>
      <c r="HD48" s="383">
        <f t="shared" si="53"/>
        <v>5045855270.0100002</v>
      </c>
      <c r="HE48" s="382">
        <f t="shared" si="54"/>
        <v>1172552595.4899998</v>
      </c>
      <c r="HG48" s="383">
        <f t="shared" si="55"/>
        <v>2067584965.5</v>
      </c>
      <c r="HH48" s="383">
        <f t="shared" si="55"/>
        <v>1571124920.01</v>
      </c>
      <c r="HI48" s="383">
        <f t="shared" si="56"/>
        <v>496460045.49000001</v>
      </c>
      <c r="HK48" s="383">
        <f t="shared" si="57"/>
        <v>3810000000</v>
      </c>
      <c r="HL48" s="383">
        <f t="shared" si="57"/>
        <v>3334900000</v>
      </c>
      <c r="HM48" s="383">
        <f t="shared" si="58"/>
        <v>475100000</v>
      </c>
      <c r="HO48" s="383">
        <f t="shared" si="71"/>
        <v>1038000</v>
      </c>
      <c r="HP48" s="383">
        <f t="shared" si="71"/>
        <v>1038000</v>
      </c>
      <c r="HQ48" s="383">
        <f t="shared" si="59"/>
        <v>0</v>
      </c>
      <c r="HS48" s="383">
        <f t="shared" si="60"/>
        <v>89308300</v>
      </c>
      <c r="HT48" s="383">
        <f t="shared" si="60"/>
        <v>71792350</v>
      </c>
      <c r="HU48" s="383">
        <f t="shared" si="61"/>
        <v>17515950</v>
      </c>
      <c r="HW48" s="383">
        <f t="shared" si="62"/>
        <v>36700000</v>
      </c>
      <c r="HX48" s="383">
        <f t="shared" si="62"/>
        <v>16000000</v>
      </c>
      <c r="HY48" s="383">
        <f t="shared" si="63"/>
        <v>20700000</v>
      </c>
      <c r="IA48" s="387">
        <f t="shared" si="64"/>
        <v>20000000</v>
      </c>
      <c r="IB48" s="387">
        <f t="shared" si="64"/>
        <v>0</v>
      </c>
      <c r="IC48" s="387">
        <f t="shared" si="65"/>
        <v>20000000</v>
      </c>
      <c r="IE48" s="383">
        <f t="shared" si="66"/>
        <v>191776600</v>
      </c>
      <c r="IF48" s="383">
        <f t="shared" si="66"/>
        <v>51000000</v>
      </c>
      <c r="IG48" s="383">
        <f t="shared" si="67"/>
        <v>140776600</v>
      </c>
      <c r="II48" s="383">
        <f t="shared" si="68"/>
        <v>2000000</v>
      </c>
      <c r="IJ48" s="383">
        <f t="shared" si="68"/>
        <v>0</v>
      </c>
      <c r="IK48" s="383">
        <f t="shared" si="69"/>
        <v>2000000</v>
      </c>
    </row>
    <row r="49" spans="1:245" ht="19.5" customHeight="1" x14ac:dyDescent="0.25">
      <c r="A49" s="380">
        <v>46</v>
      </c>
      <c r="B49" s="380" t="s">
        <v>365</v>
      </c>
      <c r="C49" s="381" t="s">
        <v>69</v>
      </c>
      <c r="D49" s="382">
        <v>18318769.5</v>
      </c>
      <c r="E49" s="382">
        <f>'[1]COE DISB 2019'!D57</f>
        <v>18318769.5</v>
      </c>
      <c r="F49" s="383">
        <f t="shared" si="0"/>
        <v>0</v>
      </c>
      <c r="H49" s="382">
        <v>8000000</v>
      </c>
      <c r="I49" s="382">
        <f>'[1]COE DISB 2019'!E57</f>
        <v>8000000</v>
      </c>
      <c r="J49" s="383">
        <f t="shared" si="1"/>
        <v>0</v>
      </c>
      <c r="L49" s="382">
        <v>500000</v>
      </c>
      <c r="M49" s="382">
        <f>'[1]COE DISB 2019'!F57</f>
        <v>500000</v>
      </c>
      <c r="N49" s="383">
        <f t="shared" si="2"/>
        <v>0</v>
      </c>
      <c r="P49" s="353">
        <v>16000000</v>
      </c>
      <c r="Q49" s="382">
        <f>'[1]COE DISB 2019'!G57</f>
        <v>16000000</v>
      </c>
      <c r="R49" s="383">
        <f t="shared" si="3"/>
        <v>0</v>
      </c>
      <c r="T49" s="385">
        <v>1833000</v>
      </c>
      <c r="U49" s="382">
        <f>'[1]COE DISB 2019'!H57</f>
        <v>1833000</v>
      </c>
      <c r="V49" s="383">
        <f t="shared" si="4"/>
        <v>0</v>
      </c>
      <c r="X49" s="385"/>
      <c r="Y49" s="382">
        <f>'[1]COE DISB 2019'!I57</f>
        <v>0</v>
      </c>
      <c r="Z49" s="383">
        <f t="shared" si="5"/>
        <v>0</v>
      </c>
      <c r="AB49" s="385">
        <v>20000000</v>
      </c>
      <c r="AC49" s="382">
        <f>'[1]COE DISB 2019'!J57</f>
        <v>20000000</v>
      </c>
      <c r="AD49" s="383">
        <f t="shared" si="6"/>
        <v>0</v>
      </c>
      <c r="AF49" s="353">
        <v>1833000</v>
      </c>
      <c r="AG49" s="382">
        <f>'[1]COE DISB 2019'!K57</f>
        <v>1833000</v>
      </c>
      <c r="AH49" s="383">
        <f t="shared" si="7"/>
        <v>0</v>
      </c>
      <c r="AJ49" s="385">
        <v>10000000</v>
      </c>
      <c r="AK49" s="382">
        <f>'[1]COE DISB 2019'!L57</f>
        <v>10000000</v>
      </c>
      <c r="AL49" s="383">
        <f t="shared" si="8"/>
        <v>0</v>
      </c>
      <c r="AN49" s="382">
        <v>10000000</v>
      </c>
      <c r="AO49" s="382">
        <f>'[1]COE DISB 2019'!M57</f>
        <v>10000000</v>
      </c>
      <c r="AP49" s="383">
        <f t="shared" si="9"/>
        <v>0</v>
      </c>
      <c r="AR49" s="382">
        <v>15000000</v>
      </c>
      <c r="AS49" s="382">
        <f>'[1]COE DISB 2019'!N57</f>
        <v>15000000</v>
      </c>
      <c r="AT49" s="383">
        <f t="shared" si="10"/>
        <v>0</v>
      </c>
      <c r="AV49" s="382">
        <v>4250000</v>
      </c>
      <c r="AW49" s="388">
        <f>'[1]COE DISB 2019'!O57</f>
        <v>4250000</v>
      </c>
      <c r="AX49" s="382">
        <f t="shared" si="11"/>
        <v>0</v>
      </c>
      <c r="AZ49" s="382">
        <v>18000000</v>
      </c>
      <c r="BA49" s="382">
        <f>'[1]COE DISB 2019'!P57</f>
        <v>18000000</v>
      </c>
      <c r="BB49" s="382">
        <f t="shared" si="12"/>
        <v>0</v>
      </c>
      <c r="BD49" s="382">
        <v>23400000</v>
      </c>
      <c r="BE49" s="382">
        <f>'[1]COE DISB 2019'!Q57</f>
        <v>23400000</v>
      </c>
      <c r="BF49" s="382">
        <f t="shared" si="13"/>
        <v>0</v>
      </c>
      <c r="BH49" s="382">
        <v>0</v>
      </c>
      <c r="BI49" s="382">
        <f>'[1]COE DISB 2019'!R57</f>
        <v>0</v>
      </c>
      <c r="BJ49" s="382">
        <f t="shared" si="14"/>
        <v>0</v>
      </c>
      <c r="BL49" s="382">
        <v>43000000</v>
      </c>
      <c r="BM49" s="382">
        <f>'[1]COE DISB 2019'!S57</f>
        <v>43000000</v>
      </c>
      <c r="BN49" s="382">
        <f t="shared" si="15"/>
        <v>0</v>
      </c>
      <c r="BP49" s="382">
        <v>37159600</v>
      </c>
      <c r="BQ49" s="382">
        <f>'[1]COE DISB 2019'!T57</f>
        <v>37159600</v>
      </c>
      <c r="BR49" s="382">
        <f t="shared" si="16"/>
        <v>0</v>
      </c>
      <c r="BT49" s="382">
        <v>0</v>
      </c>
      <c r="BU49" s="382">
        <f>'[1]COE DISB 2019'!U57</f>
        <v>0</v>
      </c>
      <c r="BV49" s="382">
        <f t="shared" si="17"/>
        <v>0</v>
      </c>
      <c r="BX49" s="382">
        <v>112669700</v>
      </c>
      <c r="BY49" s="382">
        <f>'[1]COE DISB 2019'!V57</f>
        <v>112669700</v>
      </c>
      <c r="BZ49" s="382">
        <f t="shared" si="18"/>
        <v>0</v>
      </c>
      <c r="CB49" s="382">
        <f>'[1]COE commited funds to date'!W52</f>
        <v>100000000</v>
      </c>
      <c r="CC49" s="382">
        <f>'[1]COE DISB 2019'!W57</f>
        <v>100000000</v>
      </c>
      <c r="CD49" s="382">
        <f t="shared" si="19"/>
        <v>0</v>
      </c>
      <c r="CF49" s="382">
        <f>'[1]COE commited funds to date'!X52</f>
        <v>0</v>
      </c>
      <c r="CG49" s="382">
        <f>'[1]COE DISB 2019'!X57</f>
        <v>0</v>
      </c>
      <c r="CH49" s="382">
        <f t="shared" si="20"/>
        <v>0</v>
      </c>
      <c r="CJ49" s="382">
        <v>0</v>
      </c>
      <c r="CK49" s="382">
        <f>'[1]COE DISB 2019'!Y57</f>
        <v>0</v>
      </c>
      <c r="CL49" s="382">
        <f t="shared" si="21"/>
        <v>0</v>
      </c>
      <c r="CN49" s="382">
        <v>160000000</v>
      </c>
      <c r="CO49" s="382">
        <f>'[1]COE DISB 2019'!Z57</f>
        <v>160000000</v>
      </c>
      <c r="CP49" s="382">
        <f t="shared" si="22"/>
        <v>0</v>
      </c>
      <c r="CR49" s="382">
        <v>210000000</v>
      </c>
      <c r="CS49" s="382">
        <f>'[1]COE DISB 2019'!AA57</f>
        <v>178500000</v>
      </c>
      <c r="CT49" s="382">
        <f t="shared" si="23"/>
        <v>31500000</v>
      </c>
      <c r="CV49" s="382">
        <v>10000000</v>
      </c>
      <c r="CW49" s="382">
        <f>'[1]COE DISB 2019'!AB57</f>
        <v>10000000</v>
      </c>
      <c r="CX49" s="382">
        <f t="shared" si="24"/>
        <v>0</v>
      </c>
      <c r="CZ49" s="382">
        <f>'[1]COE commited funds to date'!AC52</f>
        <v>0</v>
      </c>
      <c r="DA49" s="382">
        <f>'[1]COE DISB 2019'!AC57</f>
        <v>0</v>
      </c>
      <c r="DB49" s="382">
        <f t="shared" si="25"/>
        <v>0</v>
      </c>
      <c r="DC49" s="386"/>
      <c r="DD49" s="382">
        <v>0</v>
      </c>
      <c r="DE49" s="382">
        <f>'[1]COE DISB 2019'!AD57</f>
        <v>0</v>
      </c>
      <c r="DF49" s="382">
        <f t="shared" si="26"/>
        <v>0</v>
      </c>
      <c r="DG49" s="386"/>
      <c r="DH49" s="397">
        <v>0</v>
      </c>
      <c r="DI49" s="397">
        <f>'[1]COE DISB 2019'!AE57</f>
        <v>0</v>
      </c>
      <c r="DJ49" s="397">
        <v>0</v>
      </c>
      <c r="DK49" s="386"/>
      <c r="DL49" s="382">
        <f>'[1]COE commited funds to date'!AD52</f>
        <v>0</v>
      </c>
      <c r="DM49" s="382">
        <f>'[1]COE DISB 2019'!AF57</f>
        <v>0</v>
      </c>
      <c r="DN49" s="382">
        <f t="shared" si="28"/>
        <v>0</v>
      </c>
      <c r="DO49" s="386"/>
      <c r="DP49" s="382">
        <v>325000000</v>
      </c>
      <c r="DQ49" s="382">
        <f>'[1]COE DISB 2019'!AG57</f>
        <v>276250000</v>
      </c>
      <c r="DR49" s="382">
        <f t="shared" si="29"/>
        <v>48750000</v>
      </c>
      <c r="DS49" s="386"/>
      <c r="DT49" s="353">
        <v>10000000</v>
      </c>
      <c r="DU49" s="382">
        <f>'[1]COE DISB 2019'!AH57</f>
        <v>10000000</v>
      </c>
      <c r="DV49" s="382">
        <f t="shared" si="30"/>
        <v>0</v>
      </c>
      <c r="DW49" s="386"/>
      <c r="DX49" s="382">
        <f>'[1]COE commited funds to date'!AI52</f>
        <v>225000000</v>
      </c>
      <c r="DY49" s="382">
        <f>'[1]COE DISB 2019'!AI57</f>
        <v>225000000</v>
      </c>
      <c r="DZ49" s="382">
        <f t="shared" si="31"/>
        <v>0</v>
      </c>
      <c r="EA49" s="386"/>
      <c r="EB49" s="382">
        <f>'[1]COE commited funds to date'!AJ52</f>
        <v>0</v>
      </c>
      <c r="EC49" s="382">
        <f>'[1]COE DISB 2019'!AJ57</f>
        <v>0</v>
      </c>
      <c r="ED49" s="382">
        <f t="shared" si="32"/>
        <v>0</v>
      </c>
      <c r="EE49" s="386"/>
      <c r="EF49" s="382">
        <f>'[1]COE commited funds to date'!AK52</f>
        <v>0</v>
      </c>
      <c r="EG49" s="382">
        <f>'[1]COE DISB 2019'!AK57</f>
        <v>0</v>
      </c>
      <c r="EH49" s="382">
        <f t="shared" si="33"/>
        <v>0</v>
      </c>
      <c r="EI49" s="386"/>
      <c r="EJ49" s="382">
        <f>'[1]COE commited funds to date'!AL52</f>
        <v>0</v>
      </c>
      <c r="EK49" s="382">
        <f>'[1]COE DISB 2019'!AL57</f>
        <v>0</v>
      </c>
      <c r="EL49" s="382">
        <f t="shared" si="34"/>
        <v>0</v>
      </c>
      <c r="EM49" s="386"/>
      <c r="EN49" s="382">
        <f>'[1]COE commited funds to date'!AM52</f>
        <v>0</v>
      </c>
      <c r="EO49" s="382">
        <f>'[1]COE DISB 2019'!AM57</f>
        <v>0</v>
      </c>
      <c r="EP49" s="382">
        <f t="shared" si="35"/>
        <v>0</v>
      </c>
      <c r="EQ49" s="386"/>
      <c r="ER49" s="382">
        <f>'[1]COE commited funds to date'!AN52</f>
        <v>150000000</v>
      </c>
      <c r="ES49" s="382">
        <f>'[1]COE DISB 2019'!AN57</f>
        <v>90750000</v>
      </c>
      <c r="ET49" s="382">
        <f t="shared" si="36"/>
        <v>59250000</v>
      </c>
      <c r="EV49" s="383">
        <f>'[1]COE commited funds to date'!AO52</f>
        <v>371067000</v>
      </c>
      <c r="EW49" s="383">
        <f>'[1]COE DISB 2019'!AO57</f>
        <v>233772210</v>
      </c>
      <c r="EX49" s="383">
        <f t="shared" si="38"/>
        <v>137294790</v>
      </c>
      <c r="EY49" s="380"/>
      <c r="EZ49" s="383">
        <f>'[1]COE commited funds to date'!AQ52</f>
        <v>12000000</v>
      </c>
      <c r="FA49" s="383">
        <f>'[1]COE DISB 2019'!AP57</f>
        <v>12000000</v>
      </c>
      <c r="FB49" s="383">
        <f t="shared" si="39"/>
        <v>0</v>
      </c>
      <c r="FC49" s="380"/>
      <c r="FD49" s="383">
        <f>'[1]COE commited funds to date'!AR52</f>
        <v>10000000</v>
      </c>
      <c r="FE49" s="383">
        <f>'[1]COE DISB 2019'!AQ57</f>
        <v>0</v>
      </c>
      <c r="FF49" s="383">
        <f t="shared" si="40"/>
        <v>10000000</v>
      </c>
      <c r="FG49" s="380"/>
      <c r="FH49" s="383">
        <f>'[1]COE commited funds to date'!AP52</f>
        <v>8000000</v>
      </c>
      <c r="FI49" s="383">
        <f>'[1]COE DISB 2019'!AR57</f>
        <v>0</v>
      </c>
      <c r="FJ49" s="383">
        <f t="shared" si="41"/>
        <v>8000000</v>
      </c>
      <c r="FK49" s="383">
        <f>'[1]COE commited funds to date'!AS52</f>
        <v>0</v>
      </c>
      <c r="FL49" s="383">
        <f>'[1]COE DISB 2019'!AS57</f>
        <v>0</v>
      </c>
      <c r="FM49" s="383">
        <f t="shared" si="42"/>
        <v>0</v>
      </c>
      <c r="FN49" s="380"/>
      <c r="FO49" s="383">
        <f>'[1]COE commited funds to date'!AT52</f>
        <v>0</v>
      </c>
      <c r="FP49" s="383">
        <f>'[1]COE DISB 2019'!AT57</f>
        <v>0</v>
      </c>
      <c r="FQ49" s="383">
        <f t="shared" si="43"/>
        <v>0</v>
      </c>
      <c r="FR49" s="380"/>
      <c r="FS49" s="383">
        <f>'[1]COE commited funds to date'!AU52</f>
        <v>75000000</v>
      </c>
      <c r="FT49" s="383">
        <f>'[1]COE DISB 2019'!AU57</f>
        <v>0</v>
      </c>
      <c r="FU49" s="383">
        <f t="shared" si="44"/>
        <v>75000000</v>
      </c>
      <c r="FV49" s="380"/>
      <c r="FW49" s="383">
        <f>'[1]COE commited funds to date'!AV52</f>
        <v>0</v>
      </c>
      <c r="FX49" s="383">
        <f>'[1]COE DISB 2019'!AV57</f>
        <v>0</v>
      </c>
      <c r="FY49" s="383">
        <f t="shared" si="45"/>
        <v>0</v>
      </c>
      <c r="FZ49" s="380"/>
      <c r="GA49" s="383">
        <f>'[1]COE commited funds to date'!AW52</f>
        <v>0</v>
      </c>
      <c r="GB49" s="383">
        <f>'[1]COE DISB 2019'!AW57</f>
        <v>0</v>
      </c>
      <c r="GC49" s="383">
        <f t="shared" si="46"/>
        <v>0</v>
      </c>
      <c r="GD49" s="380"/>
      <c r="GE49" s="383">
        <f>'[1]COE commited funds to date'!AX52</f>
        <v>0</v>
      </c>
      <c r="GF49" s="383">
        <f>'[1]COE DISB 2019'!AX57</f>
        <v>8066400</v>
      </c>
      <c r="GG49" s="383">
        <f t="shared" si="47"/>
        <v>-8066400</v>
      </c>
      <c r="GH49" s="380"/>
      <c r="GI49" s="383">
        <f>'[1]COE commited funds to date'!AY52</f>
        <v>230000000</v>
      </c>
      <c r="GJ49" s="383">
        <f>'[1]COE DISB 2019'!AY57</f>
        <v>0</v>
      </c>
      <c r="GK49" s="383">
        <f t="shared" si="48"/>
        <v>230000000</v>
      </c>
      <c r="GL49" s="380"/>
      <c r="GM49" s="383">
        <f>'[1]COE commited funds to date'!AZ52</f>
        <v>116776600</v>
      </c>
      <c r="GN49" s="383">
        <f>'[1]COE DISB 2019'!AZ57</f>
        <v>0</v>
      </c>
      <c r="GO49" s="383">
        <f t="shared" si="49"/>
        <v>116776600</v>
      </c>
      <c r="GP49" s="380"/>
      <c r="GQ49" s="383">
        <f>'[1]COE commited funds to date'!BA52</f>
        <v>12000000</v>
      </c>
      <c r="GR49" s="383">
        <f>'[1]COE DISB 2019'!BA57</f>
        <v>0</v>
      </c>
      <c r="GS49" s="383">
        <f t="shared" si="50"/>
        <v>12000000</v>
      </c>
      <c r="GT49" s="380"/>
      <c r="GU49" s="383">
        <f>'[1]COE commited funds to date'!BB52</f>
        <v>5000000</v>
      </c>
      <c r="GV49" s="383">
        <f>'[1]COE DISB 2019'!BB57</f>
        <v>0</v>
      </c>
      <c r="GW49" s="383">
        <f t="shared" si="51"/>
        <v>5000000</v>
      </c>
      <c r="GX49" s="380"/>
      <c r="GY49" s="383">
        <f>'[1]COE commited funds to date'!BC52</f>
        <v>10308300</v>
      </c>
      <c r="GZ49" s="383">
        <f>'[1]COE DISB 2019'!BC57</f>
        <v>0</v>
      </c>
      <c r="HA49" s="383">
        <f t="shared" si="52"/>
        <v>10308300</v>
      </c>
      <c r="HB49" s="380"/>
      <c r="HC49" s="383">
        <f t="shared" si="53"/>
        <v>2380115969.5</v>
      </c>
      <c r="HD49" s="383">
        <f t="shared" si="53"/>
        <v>1644302679.5</v>
      </c>
      <c r="HE49" s="382">
        <f t="shared" si="54"/>
        <v>735813290</v>
      </c>
      <c r="HG49" s="383">
        <f t="shared" si="55"/>
        <v>1467615069.5</v>
      </c>
      <c r="HH49" s="383">
        <f t="shared" si="55"/>
        <v>1020070279.5</v>
      </c>
      <c r="HI49" s="383">
        <f t="shared" si="56"/>
        <v>447544790</v>
      </c>
      <c r="HK49" s="383">
        <f t="shared" si="57"/>
        <v>635000000</v>
      </c>
      <c r="HL49" s="383">
        <f t="shared" si="57"/>
        <v>575750000</v>
      </c>
      <c r="HM49" s="383">
        <f t="shared" si="58"/>
        <v>59250000</v>
      </c>
      <c r="HO49" s="383">
        <f t="shared" si="71"/>
        <v>4166000</v>
      </c>
      <c r="HP49" s="383">
        <f t="shared" si="71"/>
        <v>4166000</v>
      </c>
      <c r="HQ49" s="383">
        <f t="shared" si="59"/>
        <v>0</v>
      </c>
      <c r="HS49" s="383">
        <f t="shared" si="60"/>
        <v>42308300</v>
      </c>
      <c r="HT49" s="383">
        <f t="shared" si="60"/>
        <v>40066400</v>
      </c>
      <c r="HU49" s="383">
        <f t="shared" si="61"/>
        <v>2241900</v>
      </c>
      <c r="HW49" s="383">
        <f t="shared" si="62"/>
        <v>20000000</v>
      </c>
      <c r="HX49" s="383">
        <f t="shared" si="62"/>
        <v>0</v>
      </c>
      <c r="HY49" s="383">
        <f t="shared" si="63"/>
        <v>20000000</v>
      </c>
      <c r="IA49" s="387">
        <f t="shared" si="64"/>
        <v>15000000</v>
      </c>
      <c r="IB49" s="387">
        <f t="shared" si="64"/>
        <v>0</v>
      </c>
      <c r="IC49" s="387">
        <f t="shared" si="65"/>
        <v>15000000</v>
      </c>
      <c r="IE49" s="383">
        <f t="shared" si="66"/>
        <v>191776600</v>
      </c>
      <c r="IF49" s="383">
        <f t="shared" si="66"/>
        <v>0</v>
      </c>
      <c r="IG49" s="383">
        <f t="shared" si="67"/>
        <v>191776600</v>
      </c>
      <c r="II49" s="383">
        <f t="shared" si="68"/>
        <v>0</v>
      </c>
      <c r="IJ49" s="383">
        <f t="shared" si="68"/>
        <v>0</v>
      </c>
      <c r="IK49" s="383">
        <f t="shared" si="69"/>
        <v>0</v>
      </c>
    </row>
    <row r="50" spans="1:245" ht="19.5" customHeight="1" x14ac:dyDescent="0.25">
      <c r="A50" s="380">
        <v>47</v>
      </c>
      <c r="B50" s="380" t="s">
        <v>366</v>
      </c>
      <c r="C50" s="42"/>
      <c r="D50" s="382">
        <v>18318965.5</v>
      </c>
      <c r="E50" s="382">
        <f>'[1]COE DISB 2019'!D58</f>
        <v>18318965.5</v>
      </c>
      <c r="F50" s="383">
        <f t="shared" si="0"/>
        <v>0</v>
      </c>
      <c r="H50" s="382">
        <v>8000000</v>
      </c>
      <c r="I50" s="382">
        <f>'[1]COE DISB 2019'!E58</f>
        <v>8000000</v>
      </c>
      <c r="J50" s="383">
        <f t="shared" si="1"/>
        <v>0</v>
      </c>
      <c r="L50" s="382">
        <v>500000</v>
      </c>
      <c r="M50" s="382">
        <f>'[1]COE DISB 2019'!F58</f>
        <v>500000</v>
      </c>
      <c r="N50" s="383">
        <f t="shared" si="2"/>
        <v>0</v>
      </c>
      <c r="P50" s="353">
        <v>16000000</v>
      </c>
      <c r="Q50" s="382">
        <f>'[1]COE DISB 2019'!G58</f>
        <v>16000000</v>
      </c>
      <c r="R50" s="383">
        <f t="shared" si="3"/>
        <v>0</v>
      </c>
      <c r="T50" s="385">
        <v>410000</v>
      </c>
      <c r="U50" s="382">
        <f>'[1]COE DISB 2019'!H58</f>
        <v>410000</v>
      </c>
      <c r="V50" s="383">
        <f t="shared" si="4"/>
        <v>0</v>
      </c>
      <c r="X50" s="353">
        <v>0</v>
      </c>
      <c r="Y50" s="382">
        <f>'[1]COE DISB 2019'!I58</f>
        <v>0</v>
      </c>
      <c r="Z50" s="383">
        <f t="shared" si="5"/>
        <v>0</v>
      </c>
      <c r="AB50" s="385">
        <v>20000000</v>
      </c>
      <c r="AC50" s="382">
        <f>'[1]COE DISB 2019'!J58</f>
        <v>20000000</v>
      </c>
      <c r="AD50" s="383">
        <f t="shared" si="6"/>
        <v>0</v>
      </c>
      <c r="AF50" s="353">
        <v>0</v>
      </c>
      <c r="AG50" s="382">
        <f>'[1]COE DISB 2019'!K58</f>
        <v>0</v>
      </c>
      <c r="AH50" s="383">
        <f t="shared" si="7"/>
        <v>0</v>
      </c>
      <c r="AJ50" s="385">
        <v>10000000</v>
      </c>
      <c r="AK50" s="382">
        <f>'[1]COE DISB 2019'!L58</f>
        <v>10000000</v>
      </c>
      <c r="AL50" s="383">
        <f t="shared" si="8"/>
        <v>0</v>
      </c>
      <c r="AN50" s="382">
        <v>10000000</v>
      </c>
      <c r="AO50" s="382">
        <f>'[1]COE DISB 2019'!M58</f>
        <v>10000000</v>
      </c>
      <c r="AP50" s="383">
        <f t="shared" si="9"/>
        <v>0</v>
      </c>
      <c r="AR50" s="382">
        <v>15000000</v>
      </c>
      <c r="AS50" s="382">
        <f>'[1]COE DISB 2019'!N58</f>
        <v>15000000</v>
      </c>
      <c r="AT50" s="383">
        <f t="shared" si="10"/>
        <v>0</v>
      </c>
      <c r="AV50" s="382">
        <v>0</v>
      </c>
      <c r="AW50" s="385">
        <f>'[1]COE DISB 2019'!O58</f>
        <v>0</v>
      </c>
      <c r="AX50" s="382">
        <f t="shared" si="11"/>
        <v>0</v>
      </c>
      <c r="AZ50" s="382">
        <v>18000000</v>
      </c>
      <c r="BA50" s="382">
        <f>'[1]COE DISB 2019'!P58</f>
        <v>18000000</v>
      </c>
      <c r="BB50" s="382">
        <f t="shared" si="12"/>
        <v>0</v>
      </c>
      <c r="BD50" s="382">
        <v>23400000</v>
      </c>
      <c r="BE50" s="382">
        <f>'[1]COE DISB 2019'!Q58</f>
        <v>23400000</v>
      </c>
      <c r="BF50" s="382">
        <f t="shared" si="13"/>
        <v>0</v>
      </c>
      <c r="BH50" s="382">
        <v>0</v>
      </c>
      <c r="BI50" s="382">
        <f>'[1]COE DISB 2019'!R58</f>
        <v>0</v>
      </c>
      <c r="BJ50" s="382">
        <f t="shared" si="14"/>
        <v>0</v>
      </c>
      <c r="BL50" s="382">
        <v>43000000</v>
      </c>
      <c r="BM50" s="382">
        <f>'[1]COE DISB 2019'!S58</f>
        <v>43000000</v>
      </c>
      <c r="BN50" s="382">
        <f t="shared" si="15"/>
        <v>0</v>
      </c>
      <c r="BP50" s="382">
        <v>37160000</v>
      </c>
      <c r="BQ50" s="382">
        <f>'[1]COE DISB 2019'!T58</f>
        <v>37160000</v>
      </c>
      <c r="BR50" s="382">
        <f t="shared" si="16"/>
        <v>0</v>
      </c>
      <c r="BT50" s="382">
        <v>0</v>
      </c>
      <c r="BU50" s="382">
        <f>'[1]COE DISB 2019'!U58</f>
        <v>0</v>
      </c>
      <c r="BV50" s="382">
        <f t="shared" si="17"/>
        <v>0</v>
      </c>
      <c r="BX50" s="382">
        <v>0</v>
      </c>
      <c r="BY50" s="382">
        <f>'[1]COE DISB 2019'!V58</f>
        <v>0</v>
      </c>
      <c r="BZ50" s="382">
        <f t="shared" si="18"/>
        <v>0</v>
      </c>
      <c r="CB50" s="382">
        <f>'[1]COE commited funds to date'!W53</f>
        <v>0</v>
      </c>
      <c r="CC50" s="382">
        <f>'[1]COE DISB 2019'!W58</f>
        <v>0</v>
      </c>
      <c r="CD50" s="382">
        <f t="shared" si="19"/>
        <v>0</v>
      </c>
      <c r="CF50" s="382">
        <f>'[1]COE commited funds to date'!X53</f>
        <v>125000000</v>
      </c>
      <c r="CG50" s="382">
        <f>'[1]COE DISB 2019'!X58</f>
        <v>125000000</v>
      </c>
      <c r="CH50" s="382">
        <f t="shared" si="20"/>
        <v>0</v>
      </c>
      <c r="CJ50" s="382">
        <v>10000000</v>
      </c>
      <c r="CK50" s="382">
        <f>'[1]COE DISB 2019'!Y58</f>
        <v>10000000</v>
      </c>
      <c r="CL50" s="382">
        <f t="shared" si="21"/>
        <v>0</v>
      </c>
      <c r="CN50" s="382">
        <v>0</v>
      </c>
      <c r="CO50" s="382">
        <f>'[1]COE DISB 2019'!Z58</f>
        <v>0</v>
      </c>
      <c r="CP50" s="382">
        <f t="shared" si="22"/>
        <v>0</v>
      </c>
      <c r="CR50" s="382"/>
      <c r="CS50" s="382">
        <f>'[1]COE DISB 2019'!AA58</f>
        <v>0</v>
      </c>
      <c r="CT50" s="382">
        <f t="shared" si="23"/>
        <v>0</v>
      </c>
      <c r="CV50" s="382">
        <v>0</v>
      </c>
      <c r="CW50" s="382">
        <f>'[1]COE DISB 2019'!AB58</f>
        <v>0</v>
      </c>
      <c r="CX50" s="382">
        <f t="shared" si="24"/>
        <v>0</v>
      </c>
      <c r="CZ50" s="382">
        <f>'[1]COE commited funds to date'!AC53</f>
        <v>151000000</v>
      </c>
      <c r="DA50" s="382">
        <f>'[1]COE DISB 2019'!AC58</f>
        <v>151000000</v>
      </c>
      <c r="DB50" s="382">
        <f t="shared" si="25"/>
        <v>0</v>
      </c>
      <c r="DC50" s="386"/>
      <c r="DD50" s="382">
        <v>215000000</v>
      </c>
      <c r="DE50" s="382">
        <f>'[1]COE DISB 2019'!AD58</f>
        <v>215000000</v>
      </c>
      <c r="DF50" s="382">
        <f t="shared" si="26"/>
        <v>0</v>
      </c>
      <c r="DG50" s="386"/>
      <c r="DH50" s="382">
        <v>10000000</v>
      </c>
      <c r="DI50" s="382">
        <f>'[1]COE DISB 2019'!AE58</f>
        <v>10000000</v>
      </c>
      <c r="DJ50" s="382">
        <f>DH50-DI50</f>
        <v>0</v>
      </c>
      <c r="DK50" s="386"/>
      <c r="DL50" s="382">
        <f>'[1]COE commited funds to date'!AD53</f>
        <v>341600000</v>
      </c>
      <c r="DM50" s="382">
        <f>'[1]COE DISB 2019'!AF58</f>
        <v>341600000</v>
      </c>
      <c r="DN50" s="382">
        <f t="shared" si="28"/>
        <v>0</v>
      </c>
      <c r="DO50" s="386"/>
      <c r="DP50" s="382">
        <v>0</v>
      </c>
      <c r="DQ50" s="382">
        <f>'[1]COE DISB 2019'!AG58</f>
        <v>0</v>
      </c>
      <c r="DR50" s="382">
        <f t="shared" si="29"/>
        <v>0</v>
      </c>
      <c r="DS50" s="386"/>
      <c r="DT50" s="353">
        <v>0</v>
      </c>
      <c r="DU50" s="382">
        <f>'[1]COE DISB 2019'!AH58</f>
        <v>0</v>
      </c>
      <c r="DV50" s="382">
        <f t="shared" si="30"/>
        <v>0</v>
      </c>
      <c r="DW50" s="386"/>
      <c r="DX50" s="382">
        <f>'[1]COE commited funds to date'!AI53</f>
        <v>70000000</v>
      </c>
      <c r="DY50" s="382">
        <f>'[1]COE DISB 2019'!AI58</f>
        <v>70000000</v>
      </c>
      <c r="DZ50" s="382">
        <f t="shared" si="31"/>
        <v>0</v>
      </c>
      <c r="EA50" s="386"/>
      <c r="EB50" s="382">
        <f>'[1]COE commited funds to date'!AJ53</f>
        <v>72000000</v>
      </c>
      <c r="EC50" s="382">
        <f>'[1]COE DISB 2019'!AJ58</f>
        <v>0</v>
      </c>
      <c r="ED50" s="382">
        <f t="shared" si="32"/>
        <v>72000000</v>
      </c>
      <c r="EE50" s="386"/>
      <c r="EF50" s="382">
        <f>'[1]COE commited funds to date'!AK53</f>
        <v>8000000</v>
      </c>
      <c r="EG50" s="382">
        <f>'[1]COE DISB 2019'!AK58</f>
        <v>0</v>
      </c>
      <c r="EH50" s="382">
        <f t="shared" si="33"/>
        <v>8000000</v>
      </c>
      <c r="EI50" s="386"/>
      <c r="EJ50" s="382">
        <f>'[1]COE commited funds to date'!AL53</f>
        <v>2000000</v>
      </c>
      <c r="EK50" s="382">
        <f>'[1]COE DISB 2019'!AL58</f>
        <v>1700000</v>
      </c>
      <c r="EL50" s="382">
        <f t="shared" si="34"/>
        <v>300000</v>
      </c>
      <c r="EM50" s="386"/>
      <c r="EN50" s="382">
        <f>'[1]COE commited funds to date'!AM53</f>
        <v>7000000</v>
      </c>
      <c r="EO50" s="382">
        <f>'[1]COE DISB 2019'!AM58</f>
        <v>7000000</v>
      </c>
      <c r="EP50" s="382">
        <f t="shared" si="35"/>
        <v>0</v>
      </c>
      <c r="EQ50" s="386"/>
      <c r="ER50" s="382">
        <f>'[1]COE commited funds to date'!AN53</f>
        <v>4950000000</v>
      </c>
      <c r="ES50" s="382">
        <f>'[1]COE DISB 2019'!AN58</f>
        <v>3905000000</v>
      </c>
      <c r="ET50" s="382">
        <f t="shared" si="36"/>
        <v>1045000000</v>
      </c>
      <c r="EV50" s="383">
        <f>'[1]COE commited funds to date'!AO53</f>
        <v>0</v>
      </c>
      <c r="EW50" s="383">
        <f>'[1]COE DISB 2019'!AO58</f>
        <v>0</v>
      </c>
      <c r="EX50" s="383">
        <f t="shared" si="38"/>
        <v>0</v>
      </c>
      <c r="EY50" s="380"/>
      <c r="EZ50" s="383">
        <f>'[1]COE commited funds to date'!AQ53</f>
        <v>0</v>
      </c>
      <c r="FA50" s="383">
        <f>'[1]COE DISB 2019'!AP58</f>
        <v>0</v>
      </c>
      <c r="FB50" s="383">
        <f t="shared" si="39"/>
        <v>0</v>
      </c>
      <c r="FC50" s="380"/>
      <c r="FD50" s="383">
        <f>'[1]COE commited funds to date'!AR53</f>
        <v>0</v>
      </c>
      <c r="FE50" s="383">
        <f>'[1]COE DISB 2019'!AQ58</f>
        <v>0</v>
      </c>
      <c r="FF50" s="383">
        <f t="shared" si="40"/>
        <v>0</v>
      </c>
      <c r="FG50" s="380"/>
      <c r="FH50" s="383">
        <f>'[1]COE commited funds to date'!AP53</f>
        <v>0</v>
      </c>
      <c r="FI50" s="383">
        <f>'[1]COE DISB 2019'!AR58</f>
        <v>0</v>
      </c>
      <c r="FJ50" s="383">
        <f t="shared" si="41"/>
        <v>0</v>
      </c>
      <c r="FK50" s="383">
        <f>'[1]COE commited funds to date'!AS53</f>
        <v>0</v>
      </c>
      <c r="FL50" s="383">
        <f>'[1]COE DISB 2019'!AS58</f>
        <v>0</v>
      </c>
      <c r="FM50" s="383">
        <f t="shared" si="42"/>
        <v>0</v>
      </c>
      <c r="FN50" s="380"/>
      <c r="FO50" s="383">
        <f>'[1]COE commited funds to date'!AT53</f>
        <v>200000000</v>
      </c>
      <c r="FP50" s="383">
        <f>'[1]COE DISB 2019'!AT58</f>
        <v>0</v>
      </c>
      <c r="FQ50" s="383">
        <f t="shared" si="43"/>
        <v>200000000</v>
      </c>
      <c r="FR50" s="380"/>
      <c r="FS50" s="383">
        <f>'[1]COE commited funds to date'!AU53</f>
        <v>75000000</v>
      </c>
      <c r="FT50" s="383">
        <f>'[1]COE DISB 2019'!AU58</f>
        <v>63750000</v>
      </c>
      <c r="FU50" s="383">
        <f t="shared" si="44"/>
        <v>11250000</v>
      </c>
      <c r="FV50" s="380"/>
      <c r="FW50" s="383">
        <f>'[1]COE commited funds to date'!AV53</f>
        <v>8700000</v>
      </c>
      <c r="FX50" s="383">
        <f>'[1]COE DISB 2019'!AV58</f>
        <v>0</v>
      </c>
      <c r="FY50" s="383">
        <f t="shared" si="45"/>
        <v>8700000</v>
      </c>
      <c r="FZ50" s="380"/>
      <c r="GA50" s="383">
        <f>'[1]COE commited funds to date'!AW53</f>
        <v>5000000</v>
      </c>
      <c r="GB50" s="383">
        <f>'[1]COE DISB 2019'!AW58</f>
        <v>0</v>
      </c>
      <c r="GC50" s="383">
        <f t="shared" si="46"/>
        <v>5000000</v>
      </c>
      <c r="GD50" s="380"/>
      <c r="GE50" s="383">
        <f>'[1]COE commited funds to date'!AX53</f>
        <v>20000000</v>
      </c>
      <c r="GF50" s="383">
        <f>'[1]COE DISB 2019'!AX58</f>
        <v>5227050</v>
      </c>
      <c r="GG50" s="383">
        <f t="shared" si="47"/>
        <v>14772950</v>
      </c>
      <c r="GH50" s="380"/>
      <c r="GI50" s="383">
        <f>'[1]COE commited funds to date'!AY53</f>
        <v>0</v>
      </c>
      <c r="GJ50" s="383">
        <f>'[1]COE DISB 2019'!AY58</f>
        <v>0</v>
      </c>
      <c r="GK50" s="383">
        <f t="shared" si="48"/>
        <v>0</v>
      </c>
      <c r="GL50" s="380"/>
      <c r="GM50" s="383">
        <f>'[1]COE commited funds to date'!AZ53</f>
        <v>116776600</v>
      </c>
      <c r="GN50" s="383">
        <f>'[1]COE DISB 2019'!AZ58</f>
        <v>0</v>
      </c>
      <c r="GO50" s="383">
        <f t="shared" si="49"/>
        <v>116776600</v>
      </c>
      <c r="GP50" s="380"/>
      <c r="GQ50" s="383">
        <f>'[1]COE commited funds to date'!BA53</f>
        <v>0</v>
      </c>
      <c r="GR50" s="383">
        <f>'[1]COE DISB 2019'!BA58</f>
        <v>0</v>
      </c>
      <c r="GS50" s="383">
        <f t="shared" si="50"/>
        <v>0</v>
      </c>
      <c r="GT50" s="380"/>
      <c r="GU50" s="383">
        <f>'[1]COE commited funds to date'!BB53</f>
        <v>0</v>
      </c>
      <c r="GV50" s="383">
        <f>'[1]COE DISB 2019'!BB58</f>
        <v>0</v>
      </c>
      <c r="GW50" s="383">
        <f t="shared" si="51"/>
        <v>0</v>
      </c>
      <c r="GX50" s="380"/>
      <c r="GY50" s="383">
        <f>'[1]COE commited funds to date'!BC53</f>
        <v>0</v>
      </c>
      <c r="GZ50" s="383">
        <f>'[1]COE DISB 2019'!BC58</f>
        <v>0</v>
      </c>
      <c r="HA50" s="383">
        <f t="shared" si="52"/>
        <v>0</v>
      </c>
      <c r="HB50" s="380"/>
      <c r="HC50" s="383">
        <f t="shared" si="53"/>
        <v>6606865565.5</v>
      </c>
      <c r="HD50" s="383">
        <f t="shared" si="53"/>
        <v>5125066015.5</v>
      </c>
      <c r="HE50" s="382">
        <f t="shared" si="54"/>
        <v>1481799550</v>
      </c>
      <c r="HG50" s="383">
        <f t="shared" si="55"/>
        <v>830878965.5</v>
      </c>
      <c r="HH50" s="383">
        <f t="shared" si="55"/>
        <v>558878965.5</v>
      </c>
      <c r="HI50" s="383">
        <f t="shared" si="56"/>
        <v>272000000</v>
      </c>
      <c r="HK50" s="383">
        <f t="shared" si="57"/>
        <v>5512600000</v>
      </c>
      <c r="HL50" s="383">
        <f t="shared" si="57"/>
        <v>4467600000</v>
      </c>
      <c r="HM50" s="383">
        <f t="shared" si="58"/>
        <v>1045000000</v>
      </c>
      <c r="HO50" s="383">
        <f t="shared" si="71"/>
        <v>910000</v>
      </c>
      <c r="HP50" s="383">
        <f t="shared" si="71"/>
        <v>910000</v>
      </c>
      <c r="HQ50" s="383">
        <f t="shared" si="59"/>
        <v>0</v>
      </c>
      <c r="HS50" s="383">
        <f t="shared" si="60"/>
        <v>47000000</v>
      </c>
      <c r="HT50" s="383">
        <f t="shared" si="60"/>
        <v>32227050</v>
      </c>
      <c r="HU50" s="383">
        <f t="shared" si="61"/>
        <v>14772950</v>
      </c>
      <c r="HW50" s="383">
        <f t="shared" si="62"/>
        <v>16700000</v>
      </c>
      <c r="HX50" s="383">
        <f t="shared" si="62"/>
        <v>0</v>
      </c>
      <c r="HY50" s="383">
        <f t="shared" si="63"/>
        <v>16700000</v>
      </c>
      <c r="IA50" s="387">
        <f t="shared" si="64"/>
        <v>5000000</v>
      </c>
      <c r="IB50" s="387">
        <f t="shared" si="64"/>
        <v>0</v>
      </c>
      <c r="IC50" s="387">
        <f t="shared" si="65"/>
        <v>5000000</v>
      </c>
      <c r="IE50" s="383">
        <f t="shared" si="66"/>
        <v>191776600</v>
      </c>
      <c r="IF50" s="383">
        <f t="shared" si="66"/>
        <v>63750000</v>
      </c>
      <c r="IG50" s="383">
        <f t="shared" si="67"/>
        <v>128026600</v>
      </c>
      <c r="II50" s="383">
        <f t="shared" si="68"/>
        <v>2000000</v>
      </c>
      <c r="IJ50" s="383">
        <f t="shared" si="68"/>
        <v>1700000</v>
      </c>
      <c r="IK50" s="383">
        <f t="shared" si="69"/>
        <v>300000</v>
      </c>
    </row>
    <row r="51" spans="1:245" ht="19.5" customHeight="1" x14ac:dyDescent="0.25">
      <c r="A51" s="380">
        <v>48</v>
      </c>
      <c r="B51" s="380" t="s">
        <v>367</v>
      </c>
      <c r="C51" s="381" t="s">
        <v>69</v>
      </c>
      <c r="D51" s="382">
        <v>18318965.5</v>
      </c>
      <c r="E51" s="382">
        <f>'[1]COE DISB 2019'!D59</f>
        <v>18318965.5</v>
      </c>
      <c r="F51" s="383">
        <f t="shared" si="0"/>
        <v>0</v>
      </c>
      <c r="H51" s="382">
        <v>8000000</v>
      </c>
      <c r="I51" s="382">
        <f>'[1]COE DISB 2019'!E59</f>
        <v>8000000</v>
      </c>
      <c r="J51" s="383">
        <f t="shared" si="1"/>
        <v>0</v>
      </c>
      <c r="L51" s="382">
        <v>500000</v>
      </c>
      <c r="M51" s="382">
        <f>'[1]COE DISB 2019'!F59</f>
        <v>500000</v>
      </c>
      <c r="N51" s="383">
        <f t="shared" si="2"/>
        <v>0</v>
      </c>
      <c r="P51" s="353">
        <v>16000000</v>
      </c>
      <c r="Q51" s="382">
        <f>'[1]COE DISB 2019'!G59</f>
        <v>16000000</v>
      </c>
      <c r="R51" s="383">
        <f t="shared" si="3"/>
        <v>0</v>
      </c>
      <c r="T51" s="353">
        <v>0</v>
      </c>
      <c r="U51" s="382">
        <f>'[1]COE DISB 2019'!H59</f>
        <v>0</v>
      </c>
      <c r="V51" s="383">
        <f t="shared" si="4"/>
        <v>0</v>
      </c>
      <c r="X51" s="353">
        <v>0</v>
      </c>
      <c r="Y51" s="382">
        <f>'[1]COE DISB 2019'!I59</f>
        <v>0</v>
      </c>
      <c r="Z51" s="383">
        <f t="shared" si="5"/>
        <v>0</v>
      </c>
      <c r="AB51" s="385">
        <v>20000000</v>
      </c>
      <c r="AC51" s="382">
        <f>'[1]COE DISB 2019'!J59</f>
        <v>20000000</v>
      </c>
      <c r="AD51" s="383">
        <f t="shared" si="6"/>
        <v>0</v>
      </c>
      <c r="AF51" s="353">
        <v>0</v>
      </c>
      <c r="AG51" s="382">
        <f>'[1]COE DISB 2019'!K59</f>
        <v>0</v>
      </c>
      <c r="AH51" s="383">
        <f t="shared" si="7"/>
        <v>0</v>
      </c>
      <c r="AJ51" s="385">
        <v>10000000</v>
      </c>
      <c r="AK51" s="382">
        <f>'[1]COE DISB 2019'!L59</f>
        <v>10000000</v>
      </c>
      <c r="AL51" s="383">
        <f t="shared" si="8"/>
        <v>0</v>
      </c>
      <c r="AN51" s="382">
        <v>10000000</v>
      </c>
      <c r="AO51" s="382">
        <f>'[1]COE DISB 2019'!M59</f>
        <v>10000000</v>
      </c>
      <c r="AP51" s="383">
        <f t="shared" si="9"/>
        <v>0</v>
      </c>
      <c r="AR51" s="382">
        <v>15000000</v>
      </c>
      <c r="AS51" s="382">
        <f>'[1]COE DISB 2019'!N59</f>
        <v>15000000</v>
      </c>
      <c r="AT51" s="383">
        <f t="shared" si="10"/>
        <v>0</v>
      </c>
      <c r="AV51" s="382">
        <v>0</v>
      </c>
      <c r="AW51" s="385">
        <f>'[1]COE DISB 2019'!O59</f>
        <v>0</v>
      </c>
      <c r="AX51" s="382">
        <f t="shared" si="11"/>
        <v>0</v>
      </c>
      <c r="AZ51" s="382">
        <v>18000000</v>
      </c>
      <c r="BA51" s="382">
        <f>'[1]COE DISB 2019'!P59</f>
        <v>18000000</v>
      </c>
      <c r="BB51" s="382">
        <f t="shared" si="12"/>
        <v>0</v>
      </c>
      <c r="BD51" s="382">
        <v>23400000</v>
      </c>
      <c r="BE51" s="382">
        <f>'[1]COE DISB 2019'!Q59</f>
        <v>23400000</v>
      </c>
      <c r="BF51" s="382">
        <f t="shared" si="13"/>
        <v>0</v>
      </c>
      <c r="BH51" s="382">
        <v>0</v>
      </c>
      <c r="BI51" s="382">
        <f>'[1]COE DISB 2019'!R59</f>
        <v>0</v>
      </c>
      <c r="BJ51" s="382">
        <f t="shared" si="14"/>
        <v>0</v>
      </c>
      <c r="BL51" s="382">
        <v>43000000</v>
      </c>
      <c r="BM51" s="382">
        <f>'[1]COE DISB 2019'!S59</f>
        <v>43000000</v>
      </c>
      <c r="BN51" s="382">
        <f t="shared" si="15"/>
        <v>0</v>
      </c>
      <c r="BP51" s="382">
        <v>37160000</v>
      </c>
      <c r="BQ51" s="382">
        <f>'[1]COE DISB 2019'!T59</f>
        <v>37160000</v>
      </c>
      <c r="BR51" s="382">
        <f t="shared" si="16"/>
        <v>0</v>
      </c>
      <c r="BT51" s="382">
        <v>0</v>
      </c>
      <c r="BU51" s="382">
        <f>'[1]COE DISB 2019'!U59</f>
        <v>0</v>
      </c>
      <c r="BV51" s="382">
        <f t="shared" si="17"/>
        <v>0</v>
      </c>
      <c r="BX51" s="382">
        <v>112670000</v>
      </c>
      <c r="BY51" s="382">
        <f>'[1]COE DISB 2019'!V59</f>
        <v>112670000</v>
      </c>
      <c r="BZ51" s="382">
        <f t="shared" si="18"/>
        <v>0</v>
      </c>
      <c r="CB51" s="382">
        <f>'[1]COE commited funds to date'!W54</f>
        <v>0</v>
      </c>
      <c r="CC51" s="382">
        <f>'[1]COE DISB 2019'!W59</f>
        <v>0</v>
      </c>
      <c r="CD51" s="382">
        <f t="shared" si="19"/>
        <v>0</v>
      </c>
      <c r="CF51" s="382">
        <f>'[1]COE commited funds to date'!X54</f>
        <v>125000000</v>
      </c>
      <c r="CG51" s="382">
        <f>'[1]COE DISB 2019'!X59</f>
        <v>125000000</v>
      </c>
      <c r="CH51" s="382">
        <f t="shared" si="20"/>
        <v>0</v>
      </c>
      <c r="CJ51" s="382">
        <v>10000000</v>
      </c>
      <c r="CK51" s="382">
        <f>'[1]COE DISB 2019'!Y59</f>
        <v>10000000</v>
      </c>
      <c r="CL51" s="382">
        <f t="shared" si="21"/>
        <v>0</v>
      </c>
      <c r="CN51" s="382">
        <v>0</v>
      </c>
      <c r="CO51" s="382">
        <f>'[1]COE DISB 2019'!Z59</f>
        <v>0</v>
      </c>
      <c r="CP51" s="382">
        <f t="shared" si="22"/>
        <v>0</v>
      </c>
      <c r="CR51" s="382">
        <v>210000000</v>
      </c>
      <c r="CS51" s="382">
        <f>'[1]COE DISB 2019'!AA59</f>
        <v>210000000</v>
      </c>
      <c r="CT51" s="382">
        <f t="shared" si="23"/>
        <v>0</v>
      </c>
      <c r="CV51" s="382">
        <v>10000000</v>
      </c>
      <c r="CW51" s="382">
        <f>'[1]COE DISB 2019'!AB59</f>
        <v>10000000</v>
      </c>
      <c r="CX51" s="382">
        <f t="shared" si="24"/>
        <v>0</v>
      </c>
      <c r="CZ51" s="382">
        <f>'[1]COE commited funds to date'!AC54</f>
        <v>242000000</v>
      </c>
      <c r="DA51" s="382">
        <f>'[1]COE DISB 2019'!AC59</f>
        <v>212000000</v>
      </c>
      <c r="DB51" s="382">
        <f t="shared" si="25"/>
        <v>30000000</v>
      </c>
      <c r="DC51" s="386"/>
      <c r="DD51" s="382">
        <v>215000000</v>
      </c>
      <c r="DE51" s="382">
        <f>'[1]COE DISB 2019'!AD59</f>
        <v>182750000</v>
      </c>
      <c r="DF51" s="382">
        <f t="shared" si="26"/>
        <v>32250000</v>
      </c>
      <c r="DG51" s="386"/>
      <c r="DH51" s="382">
        <v>10000000</v>
      </c>
      <c r="DI51" s="382">
        <f>'[1]COE DISB 2019'!AE59</f>
        <v>10000000</v>
      </c>
      <c r="DJ51" s="382">
        <f>DH51-DI51</f>
        <v>0</v>
      </c>
      <c r="DK51" s="386"/>
      <c r="DL51" s="382">
        <f>'[1]COE commited funds to date'!AD54</f>
        <v>0</v>
      </c>
      <c r="DM51" s="382">
        <f>'[1]COE DISB 2019'!AF59</f>
        <v>0</v>
      </c>
      <c r="DN51" s="382">
        <f t="shared" si="28"/>
        <v>0</v>
      </c>
      <c r="DO51" s="386"/>
      <c r="DP51" s="382">
        <v>325000000</v>
      </c>
      <c r="DQ51" s="382">
        <f>'[1]COE DISB 2019'!AG59</f>
        <v>276250000</v>
      </c>
      <c r="DR51" s="382">
        <f t="shared" si="29"/>
        <v>48750000</v>
      </c>
      <c r="DS51" s="386"/>
      <c r="DT51" s="353">
        <v>10000000</v>
      </c>
      <c r="DU51" s="382">
        <f>'[1]COE DISB 2019'!AH59</f>
        <v>10000000</v>
      </c>
      <c r="DV51" s="382">
        <f t="shared" si="30"/>
        <v>0</v>
      </c>
      <c r="DW51" s="386"/>
      <c r="DX51" s="382">
        <f>'[1]COE commited funds to date'!AI54</f>
        <v>0</v>
      </c>
      <c r="DY51" s="382">
        <f>'[1]COE DISB 2019'!AI59</f>
        <v>0</v>
      </c>
      <c r="DZ51" s="382">
        <f t="shared" si="31"/>
        <v>0</v>
      </c>
      <c r="EA51" s="386"/>
      <c r="EB51" s="382">
        <f>'[1]COE commited funds to date'!AJ54</f>
        <v>72000000</v>
      </c>
      <c r="EC51" s="382">
        <f>'[1]COE DISB 2019'!AJ59</f>
        <v>61200000</v>
      </c>
      <c r="ED51" s="382">
        <f t="shared" si="32"/>
        <v>10800000</v>
      </c>
      <c r="EE51" s="386"/>
      <c r="EF51" s="382">
        <f>'[1]COE commited funds to date'!AK54</f>
        <v>8000000</v>
      </c>
      <c r="EG51" s="382">
        <f>'[1]COE DISB 2019'!AK59</f>
        <v>0</v>
      </c>
      <c r="EH51" s="382">
        <f t="shared" si="33"/>
        <v>8000000</v>
      </c>
      <c r="EI51" s="386"/>
      <c r="EJ51" s="382">
        <f>'[1]COE commited funds to date'!AL54</f>
        <v>2000000</v>
      </c>
      <c r="EK51" s="382">
        <f>'[1]COE DISB 2019'!AL59</f>
        <v>0</v>
      </c>
      <c r="EL51" s="382">
        <f t="shared" si="34"/>
        <v>2000000</v>
      </c>
      <c r="EM51" s="386"/>
      <c r="EN51" s="382">
        <f>'[1]COE commited funds to date'!AM54</f>
        <v>7000000</v>
      </c>
      <c r="EO51" s="382">
        <f>'[1]COE DISB 2019'!AM59</f>
        <v>7000000</v>
      </c>
      <c r="EP51" s="382">
        <f t="shared" si="35"/>
        <v>0</v>
      </c>
      <c r="EQ51" s="386"/>
      <c r="ER51" s="382">
        <f>'[1]COE commited funds to date'!AN54</f>
        <v>0</v>
      </c>
      <c r="ES51" s="382">
        <f>'[1]COE DISB 2019'!AN59</f>
        <v>0</v>
      </c>
      <c r="ET51" s="382">
        <f t="shared" si="36"/>
        <v>0</v>
      </c>
      <c r="EV51" s="383">
        <f>'[1]COE commited funds to date'!AO54</f>
        <v>371067000</v>
      </c>
      <c r="EW51" s="383">
        <f>'[1]COE DISB 2019'!AO59</f>
        <v>0</v>
      </c>
      <c r="EX51" s="383">
        <f t="shared" si="38"/>
        <v>371067000</v>
      </c>
      <c r="EY51" s="380"/>
      <c r="EZ51" s="383">
        <f>'[1]COE commited funds to date'!AQ54</f>
        <v>12000000</v>
      </c>
      <c r="FA51" s="383">
        <f>'[1]COE DISB 2019'!AP59</f>
        <v>11640000</v>
      </c>
      <c r="FB51" s="383">
        <f t="shared" si="39"/>
        <v>360000</v>
      </c>
      <c r="FC51" s="380"/>
      <c r="FD51" s="383">
        <f>'[1]COE commited funds to date'!AR54</f>
        <v>10000000</v>
      </c>
      <c r="FE51" s="383">
        <f>'[1]COE DISB 2019'!AQ59</f>
        <v>0</v>
      </c>
      <c r="FF51" s="383">
        <f t="shared" si="40"/>
        <v>10000000</v>
      </c>
      <c r="FG51" s="380"/>
      <c r="FH51" s="383">
        <f>'[1]COE commited funds to date'!AP54</f>
        <v>8000000</v>
      </c>
      <c r="FI51" s="383">
        <f>'[1]COE DISB 2019'!AR59</f>
        <v>0</v>
      </c>
      <c r="FJ51" s="383">
        <f t="shared" si="41"/>
        <v>8000000</v>
      </c>
      <c r="FK51" s="383">
        <f>'[1]COE commited funds to date'!AS54</f>
        <v>0</v>
      </c>
      <c r="FL51" s="383">
        <f>'[1]COE DISB 2019'!AS59</f>
        <v>0</v>
      </c>
      <c r="FM51" s="383">
        <f t="shared" si="42"/>
        <v>0</v>
      </c>
      <c r="FN51" s="380"/>
      <c r="FO51" s="383">
        <f>'[1]COE commited funds to date'!AT54</f>
        <v>200000000</v>
      </c>
      <c r="FP51" s="383">
        <f>'[1]COE DISB 2019'!AT59</f>
        <v>0</v>
      </c>
      <c r="FQ51" s="383">
        <f t="shared" si="43"/>
        <v>200000000</v>
      </c>
      <c r="FR51" s="380"/>
      <c r="FS51" s="383">
        <f>'[1]COE commited funds to date'!AU54</f>
        <v>75000000</v>
      </c>
      <c r="FT51" s="383">
        <f>'[1]COE DISB 2019'!AU59</f>
        <v>0</v>
      </c>
      <c r="FU51" s="383">
        <f t="shared" si="44"/>
        <v>75000000</v>
      </c>
      <c r="FV51" s="380"/>
      <c r="FW51" s="383">
        <f>'[1]COE commited funds to date'!AV54</f>
        <v>8700000</v>
      </c>
      <c r="FX51" s="383">
        <f>'[1]COE DISB 2019'!AV59</f>
        <v>0</v>
      </c>
      <c r="FY51" s="383">
        <f t="shared" si="45"/>
        <v>8700000</v>
      </c>
      <c r="FZ51" s="380"/>
      <c r="GA51" s="383">
        <f>'[1]COE commited funds to date'!AW54</f>
        <v>5000000</v>
      </c>
      <c r="GB51" s="383">
        <f>'[1]COE DISB 2019'!AW59</f>
        <v>0</v>
      </c>
      <c r="GC51" s="383">
        <f t="shared" si="46"/>
        <v>5000000</v>
      </c>
      <c r="GD51" s="380"/>
      <c r="GE51" s="383">
        <f>'[1]COE commited funds to date'!AX54</f>
        <v>20000000</v>
      </c>
      <c r="GF51" s="383">
        <f>'[1]COE DISB 2019'!AX59</f>
        <v>17393000</v>
      </c>
      <c r="GG51" s="383">
        <f t="shared" si="47"/>
        <v>2607000</v>
      </c>
      <c r="GH51" s="380"/>
      <c r="GI51" s="383">
        <f>'[1]COE commited funds to date'!AY54</f>
        <v>230000000</v>
      </c>
      <c r="GJ51" s="383">
        <f>'[1]COE DISB 2019'!AY59</f>
        <v>0</v>
      </c>
      <c r="GK51" s="383">
        <f t="shared" si="48"/>
        <v>230000000</v>
      </c>
      <c r="GL51" s="380"/>
      <c r="GM51" s="383">
        <f>'[1]COE commited funds to date'!AZ54</f>
        <v>116776600</v>
      </c>
      <c r="GN51" s="383">
        <f>'[1]COE DISB 2019'!AZ59</f>
        <v>0</v>
      </c>
      <c r="GO51" s="383">
        <f t="shared" si="49"/>
        <v>116776600</v>
      </c>
      <c r="GP51" s="380"/>
      <c r="GQ51" s="383">
        <f>'[1]COE commited funds to date'!BA54</f>
        <v>12000000</v>
      </c>
      <c r="GR51" s="383">
        <f>'[1]COE DISB 2019'!BA59</f>
        <v>0</v>
      </c>
      <c r="GS51" s="383">
        <f t="shared" si="50"/>
        <v>12000000</v>
      </c>
      <c r="GT51" s="380"/>
      <c r="GU51" s="383">
        <f>'[1]COE commited funds to date'!BB54</f>
        <v>5000000</v>
      </c>
      <c r="GV51" s="383">
        <f>'[1]COE DISB 2019'!BB59</f>
        <v>0</v>
      </c>
      <c r="GW51" s="383">
        <f t="shared" si="51"/>
        <v>5000000</v>
      </c>
      <c r="GX51" s="380"/>
      <c r="GY51" s="383">
        <f>'[1]COE commited funds to date'!BC54</f>
        <v>10308300</v>
      </c>
      <c r="GZ51" s="383">
        <f>'[1]COE DISB 2019'!BC59</f>
        <v>0</v>
      </c>
      <c r="HA51" s="383">
        <f t="shared" si="52"/>
        <v>10308300</v>
      </c>
      <c r="HB51" s="380"/>
      <c r="HC51" s="383">
        <f t="shared" si="53"/>
        <v>2661900865.5</v>
      </c>
      <c r="HD51" s="383">
        <f t="shared" si="53"/>
        <v>1475281965.5</v>
      </c>
      <c r="HE51" s="382">
        <f t="shared" si="54"/>
        <v>1186618900</v>
      </c>
      <c r="HG51" s="383">
        <f t="shared" si="55"/>
        <v>2079615965.5</v>
      </c>
      <c r="HH51" s="383">
        <f t="shared" si="55"/>
        <v>1186748965.5</v>
      </c>
      <c r="HI51" s="383">
        <f t="shared" si="56"/>
        <v>892867000</v>
      </c>
      <c r="HK51" s="383">
        <f t="shared" si="57"/>
        <v>242000000</v>
      </c>
      <c r="HL51" s="383">
        <f t="shared" si="57"/>
        <v>212000000</v>
      </c>
      <c r="HM51" s="383">
        <f t="shared" si="58"/>
        <v>30000000</v>
      </c>
      <c r="HO51" s="383">
        <f t="shared" si="71"/>
        <v>500000</v>
      </c>
      <c r="HP51" s="383">
        <f t="shared" si="71"/>
        <v>500000</v>
      </c>
      <c r="HQ51" s="383">
        <f t="shared" si="59"/>
        <v>0</v>
      </c>
      <c r="HS51" s="383">
        <f t="shared" si="60"/>
        <v>89308300</v>
      </c>
      <c r="HT51" s="383">
        <f t="shared" si="60"/>
        <v>76033000</v>
      </c>
      <c r="HU51" s="383">
        <f t="shared" si="61"/>
        <v>13275300</v>
      </c>
      <c r="HW51" s="383">
        <f t="shared" si="62"/>
        <v>36700000</v>
      </c>
      <c r="HX51" s="383">
        <f t="shared" si="62"/>
        <v>0</v>
      </c>
      <c r="HY51" s="383">
        <f t="shared" si="63"/>
        <v>36700000</v>
      </c>
      <c r="IA51" s="387">
        <f t="shared" si="64"/>
        <v>20000000</v>
      </c>
      <c r="IB51" s="387">
        <f t="shared" si="64"/>
        <v>0</v>
      </c>
      <c r="IC51" s="387">
        <f t="shared" si="65"/>
        <v>20000000</v>
      </c>
      <c r="IE51" s="383">
        <f t="shared" si="66"/>
        <v>191776600</v>
      </c>
      <c r="IF51" s="383">
        <f t="shared" si="66"/>
        <v>0</v>
      </c>
      <c r="IG51" s="383">
        <f t="shared" si="67"/>
        <v>191776600</v>
      </c>
      <c r="II51" s="383">
        <f t="shared" si="68"/>
        <v>2000000</v>
      </c>
      <c r="IJ51" s="383">
        <f t="shared" si="68"/>
        <v>0</v>
      </c>
      <c r="IK51" s="383">
        <f t="shared" si="69"/>
        <v>2000000</v>
      </c>
    </row>
    <row r="52" spans="1:245" ht="19.5" customHeight="1" x14ac:dyDescent="0.25">
      <c r="A52" s="380">
        <v>49</v>
      </c>
      <c r="B52" s="380" t="s">
        <v>368</v>
      </c>
      <c r="C52" s="381" t="s">
        <v>69</v>
      </c>
      <c r="D52" s="382">
        <v>18318965.5</v>
      </c>
      <c r="E52" s="382">
        <f>'[1]COE DISB 2019'!D60</f>
        <v>18318965.5</v>
      </c>
      <c r="F52" s="383">
        <f t="shared" si="0"/>
        <v>0</v>
      </c>
      <c r="H52" s="382">
        <v>8000000</v>
      </c>
      <c r="I52" s="382">
        <f>'[1]COE DISB 2019'!E60</f>
        <v>8000000</v>
      </c>
      <c r="J52" s="383">
        <f t="shared" si="1"/>
        <v>0</v>
      </c>
      <c r="L52" s="382">
        <v>500000</v>
      </c>
      <c r="M52" s="382">
        <f>'[1]COE DISB 2019'!F60</f>
        <v>500000</v>
      </c>
      <c r="N52" s="383">
        <f t="shared" si="2"/>
        <v>0</v>
      </c>
      <c r="P52" s="353">
        <v>14322000</v>
      </c>
      <c r="Q52" s="382">
        <f>'[1]COE DISB 2019'!G60</f>
        <v>14322000</v>
      </c>
      <c r="R52" s="383">
        <f t="shared" si="3"/>
        <v>0</v>
      </c>
      <c r="T52" s="353">
        <v>0</v>
      </c>
      <c r="U52" s="382">
        <f>'[1]COE DISB 2019'!H60</f>
        <v>0</v>
      </c>
      <c r="V52" s="383">
        <f t="shared" si="4"/>
        <v>0</v>
      </c>
      <c r="X52" s="353">
        <v>0</v>
      </c>
      <c r="Y52" s="382">
        <f>'[1]COE DISB 2019'!I60</f>
        <v>0</v>
      </c>
      <c r="Z52" s="383">
        <f t="shared" si="5"/>
        <v>0</v>
      </c>
      <c r="AB52" s="385">
        <v>20000000</v>
      </c>
      <c r="AC52" s="382">
        <f>'[1]COE DISB 2019'!J60</f>
        <v>20000000</v>
      </c>
      <c r="AD52" s="383">
        <f t="shared" si="6"/>
        <v>0</v>
      </c>
      <c r="AF52" s="353">
        <v>0</v>
      </c>
      <c r="AG52" s="382">
        <f>'[1]COE DISB 2019'!K60</f>
        <v>0</v>
      </c>
      <c r="AH52" s="383">
        <f t="shared" si="7"/>
        <v>0</v>
      </c>
      <c r="AJ52" s="385">
        <v>8500000</v>
      </c>
      <c r="AK52" s="382">
        <f>'[1]COE DISB 2019'!L60</f>
        <v>8500000</v>
      </c>
      <c r="AL52" s="383">
        <f t="shared" si="8"/>
        <v>0</v>
      </c>
      <c r="AN52" s="382">
        <v>10000000</v>
      </c>
      <c r="AO52" s="382">
        <f>'[1]COE DISB 2019'!M60</f>
        <v>10000000</v>
      </c>
      <c r="AP52" s="383">
        <f t="shared" si="9"/>
        <v>0</v>
      </c>
      <c r="AR52" s="382">
        <v>15000000</v>
      </c>
      <c r="AS52" s="382">
        <f>'[1]COE DISB 2019'!N60</f>
        <v>15000000</v>
      </c>
      <c r="AT52" s="383">
        <f t="shared" si="10"/>
        <v>0</v>
      </c>
      <c r="AV52" s="382">
        <v>4250000</v>
      </c>
      <c r="AW52" s="388">
        <f>'[1]COE DISB 2019'!O60</f>
        <v>4250000</v>
      </c>
      <c r="AX52" s="382">
        <f t="shared" si="11"/>
        <v>0</v>
      </c>
      <c r="AZ52" s="382">
        <v>18000000</v>
      </c>
      <c r="BA52" s="382">
        <f>'[1]COE DISB 2019'!P60</f>
        <v>18000000</v>
      </c>
      <c r="BB52" s="382">
        <f t="shared" si="12"/>
        <v>0</v>
      </c>
      <c r="BD52" s="382">
        <v>23400000</v>
      </c>
      <c r="BE52" s="382">
        <f>'[1]COE DISB 2019'!Q60</f>
        <v>23400000</v>
      </c>
      <c r="BF52" s="382">
        <f t="shared" si="13"/>
        <v>0</v>
      </c>
      <c r="BH52" s="382">
        <v>0</v>
      </c>
      <c r="BI52" s="382">
        <f>'[1]COE DISB 2019'!R60</f>
        <v>0</v>
      </c>
      <c r="BJ52" s="382">
        <f t="shared" si="14"/>
        <v>0</v>
      </c>
      <c r="BL52" s="382">
        <v>43000000</v>
      </c>
      <c r="BM52" s="382">
        <f>'[1]COE DISB 2019'!S60</f>
        <v>43000000</v>
      </c>
      <c r="BN52" s="382">
        <f t="shared" si="15"/>
        <v>0</v>
      </c>
      <c r="BP52" s="382">
        <v>37160000</v>
      </c>
      <c r="BQ52" s="382">
        <f>'[1]COE DISB 2019'!T60</f>
        <v>37160000</v>
      </c>
      <c r="BR52" s="382">
        <f t="shared" si="16"/>
        <v>0</v>
      </c>
      <c r="BT52" s="382">
        <v>0</v>
      </c>
      <c r="BU52" s="382">
        <f>'[1]COE DISB 2019'!U60</f>
        <v>0</v>
      </c>
      <c r="BV52" s="382">
        <f t="shared" si="17"/>
        <v>0</v>
      </c>
      <c r="BX52" s="382">
        <v>112670000</v>
      </c>
      <c r="BY52" s="382">
        <f>'[1]COE DISB 2019'!V60</f>
        <v>112670000</v>
      </c>
      <c r="BZ52" s="382">
        <f t="shared" si="18"/>
        <v>0</v>
      </c>
      <c r="CB52" s="382">
        <f>'[1]COE commited funds to date'!W55</f>
        <v>0</v>
      </c>
      <c r="CC52" s="382">
        <f>'[1]COE DISB 2019'!W60</f>
        <v>0</v>
      </c>
      <c r="CD52" s="382">
        <f t="shared" si="19"/>
        <v>0</v>
      </c>
      <c r="CF52" s="382">
        <f>'[1]COE commited funds to date'!X55</f>
        <v>125000000</v>
      </c>
      <c r="CG52" s="382">
        <f>'[1]COE DISB 2019'!X60</f>
        <v>125000000</v>
      </c>
      <c r="CH52" s="382">
        <f t="shared" si="20"/>
        <v>0</v>
      </c>
      <c r="CJ52" s="382">
        <v>10000000</v>
      </c>
      <c r="CK52" s="382">
        <f>'[1]COE DISB 2019'!Y60</f>
        <v>10000000</v>
      </c>
      <c r="CL52" s="382">
        <f t="shared" si="21"/>
        <v>0</v>
      </c>
      <c r="CN52" s="382">
        <v>0</v>
      </c>
      <c r="CO52" s="382">
        <f>'[1]COE DISB 2019'!Z60</f>
        <v>0</v>
      </c>
      <c r="CP52" s="382">
        <f t="shared" si="22"/>
        <v>0</v>
      </c>
      <c r="CR52" s="382">
        <v>210000000</v>
      </c>
      <c r="CS52" s="382">
        <f>'[1]COE DISB 2019'!AA60</f>
        <v>210000000</v>
      </c>
      <c r="CT52" s="382">
        <f t="shared" si="23"/>
        <v>0</v>
      </c>
      <c r="CV52" s="382">
        <v>10000000</v>
      </c>
      <c r="CW52" s="382">
        <f>'[1]COE DISB 2019'!AB60</f>
        <v>10000000</v>
      </c>
      <c r="CX52" s="382">
        <f t="shared" si="24"/>
        <v>0</v>
      </c>
      <c r="CZ52" s="382">
        <f>'[1]COE commited funds to date'!AC55</f>
        <v>0</v>
      </c>
      <c r="DA52" s="382">
        <f>'[1]COE DISB 2019'!AC60</f>
        <v>0</v>
      </c>
      <c r="DB52" s="382">
        <f t="shared" si="25"/>
        <v>0</v>
      </c>
      <c r="DC52" s="386"/>
      <c r="DD52" s="382">
        <v>215000000</v>
      </c>
      <c r="DE52" s="382">
        <f>'[1]COE DISB 2019'!AD60</f>
        <v>215000000</v>
      </c>
      <c r="DF52" s="382">
        <f t="shared" si="26"/>
        <v>0</v>
      </c>
      <c r="DG52" s="386"/>
      <c r="DH52" s="382">
        <v>10000000</v>
      </c>
      <c r="DI52" s="382">
        <f>'[1]COE DISB 2019'!AE60</f>
        <v>10000000</v>
      </c>
      <c r="DJ52" s="382">
        <f>DH52-DI52</f>
        <v>0</v>
      </c>
      <c r="DK52" s="386"/>
      <c r="DL52" s="382">
        <f>'[1]COE commited funds to date'!AD55</f>
        <v>134000000</v>
      </c>
      <c r="DM52" s="382">
        <f>'[1]COE DISB 2019'!AF60</f>
        <v>134000000</v>
      </c>
      <c r="DN52" s="382">
        <f t="shared" si="28"/>
        <v>0</v>
      </c>
      <c r="DO52" s="386"/>
      <c r="DP52" s="382">
        <v>325000000</v>
      </c>
      <c r="DQ52" s="382">
        <f>'[1]COE DISB 2019'!AG60</f>
        <v>325000000</v>
      </c>
      <c r="DR52" s="382">
        <f t="shared" si="29"/>
        <v>0</v>
      </c>
      <c r="DS52" s="386"/>
      <c r="DT52" s="353">
        <v>10000000</v>
      </c>
      <c r="DU52" s="382">
        <f>'[1]COE DISB 2019'!AH60</f>
        <v>10000000</v>
      </c>
      <c r="DV52" s="382">
        <f t="shared" si="30"/>
        <v>0</v>
      </c>
      <c r="DW52" s="386"/>
      <c r="DX52" s="382">
        <f>'[1]COE commited funds to date'!AI55</f>
        <v>50000000</v>
      </c>
      <c r="DY52" s="382">
        <f>'[1]COE DISB 2019'!AI60</f>
        <v>50000000</v>
      </c>
      <c r="DZ52" s="382">
        <f t="shared" si="31"/>
        <v>0</v>
      </c>
      <c r="EA52" s="386"/>
      <c r="EB52" s="382">
        <f>'[1]COE commited funds to date'!AJ55</f>
        <v>72000000</v>
      </c>
      <c r="EC52" s="382">
        <f>'[1]COE DISB 2019'!AJ60</f>
        <v>40320000</v>
      </c>
      <c r="ED52" s="382">
        <f t="shared" si="32"/>
        <v>31680000</v>
      </c>
      <c r="EE52" s="386"/>
      <c r="EF52" s="382">
        <f>'[1]COE commited funds to date'!AK55</f>
        <v>8000000</v>
      </c>
      <c r="EG52" s="382">
        <f>'[1]COE DISB 2019'!AK60</f>
        <v>4000000</v>
      </c>
      <c r="EH52" s="382">
        <f t="shared" si="33"/>
        <v>4000000</v>
      </c>
      <c r="EI52" s="386"/>
      <c r="EJ52" s="382">
        <f>'[1]COE commited funds to date'!AL55</f>
        <v>2000000</v>
      </c>
      <c r="EK52" s="382">
        <f>'[1]COE DISB 2019'!AL60</f>
        <v>0</v>
      </c>
      <c r="EL52" s="382">
        <f t="shared" si="34"/>
        <v>2000000</v>
      </c>
      <c r="EM52" s="386"/>
      <c r="EN52" s="382">
        <f>'[1]COE commited funds to date'!AM55</f>
        <v>7000000</v>
      </c>
      <c r="EO52" s="382">
        <f>'[1]COE DISB 2019'!AM60</f>
        <v>7000000</v>
      </c>
      <c r="EP52" s="382">
        <f t="shared" si="35"/>
        <v>0</v>
      </c>
      <c r="EQ52" s="386"/>
      <c r="ER52" s="382">
        <f>'[1]COE commited funds to date'!AN55</f>
        <v>50000000</v>
      </c>
      <c r="ES52" s="382">
        <f>'[1]COE DISB 2019'!AN60</f>
        <v>50000000</v>
      </c>
      <c r="ET52" s="382">
        <f t="shared" si="36"/>
        <v>0</v>
      </c>
      <c r="EV52" s="383">
        <f>'[1]COE commited funds to date'!AO55</f>
        <v>371067000</v>
      </c>
      <c r="EW52" s="383">
        <f>'[1]COE DISB 2019'!AO60</f>
        <v>207797520</v>
      </c>
      <c r="EX52" s="383">
        <f t="shared" si="38"/>
        <v>163269480</v>
      </c>
      <c r="EY52" s="380"/>
      <c r="EZ52" s="383">
        <f>'[1]COE commited funds to date'!AQ55</f>
        <v>12000000</v>
      </c>
      <c r="FA52" s="383">
        <f>'[1]COE DISB 2019'!AP60</f>
        <v>12000000</v>
      </c>
      <c r="FB52" s="383">
        <f t="shared" si="39"/>
        <v>0</v>
      </c>
      <c r="FC52" s="380"/>
      <c r="FD52" s="383">
        <f>'[1]COE commited funds to date'!AR55</f>
        <v>10000000</v>
      </c>
      <c r="FE52" s="383">
        <f>'[1]COE DISB 2019'!AQ60</f>
        <v>0</v>
      </c>
      <c r="FF52" s="383">
        <f t="shared" si="40"/>
        <v>10000000</v>
      </c>
      <c r="FG52" s="380"/>
      <c r="FH52" s="383">
        <f>'[1]COE commited funds to date'!AP55</f>
        <v>8000000</v>
      </c>
      <c r="FI52" s="383">
        <f>'[1]COE DISB 2019'!AR60</f>
        <v>4000000</v>
      </c>
      <c r="FJ52" s="383">
        <f t="shared" si="41"/>
        <v>4000000</v>
      </c>
      <c r="FK52" s="383">
        <f>'[1]COE commited funds to date'!AS55</f>
        <v>150000000</v>
      </c>
      <c r="FL52" s="383">
        <f>'[1]COE DISB 2019'!AS60</f>
        <v>127500000</v>
      </c>
      <c r="FM52" s="383">
        <f t="shared" si="42"/>
        <v>22500000</v>
      </c>
      <c r="FN52" s="380"/>
      <c r="FO52" s="383">
        <f>'[1]COE commited funds to date'!AT55</f>
        <v>200000000</v>
      </c>
      <c r="FP52" s="383">
        <f>'[1]COE DISB 2019'!AT60</f>
        <v>0</v>
      </c>
      <c r="FQ52" s="383">
        <f t="shared" si="43"/>
        <v>200000000</v>
      </c>
      <c r="FR52" s="380"/>
      <c r="FS52" s="383">
        <f>'[1]COE commited funds to date'!AU55</f>
        <v>75000000</v>
      </c>
      <c r="FT52" s="383">
        <f>'[1]COE DISB 2019'!AU60</f>
        <v>57750000</v>
      </c>
      <c r="FU52" s="383">
        <f t="shared" si="44"/>
        <v>17250000</v>
      </c>
      <c r="FV52" s="380"/>
      <c r="FW52" s="383">
        <f>'[1]COE commited funds to date'!AV55</f>
        <v>8700000</v>
      </c>
      <c r="FX52" s="383">
        <f>'[1]COE DISB 2019'!AV60</f>
        <v>0</v>
      </c>
      <c r="FY52" s="383">
        <f t="shared" si="45"/>
        <v>8700000</v>
      </c>
      <c r="FZ52" s="380"/>
      <c r="GA52" s="383">
        <f>'[1]COE commited funds to date'!AW55</f>
        <v>5000000</v>
      </c>
      <c r="GB52" s="383">
        <f>'[1]COE DISB 2019'!AW60</f>
        <v>0</v>
      </c>
      <c r="GC52" s="383">
        <f t="shared" si="46"/>
        <v>5000000</v>
      </c>
      <c r="GD52" s="380"/>
      <c r="GE52" s="383">
        <f>'[1]COE commited funds to date'!AX55</f>
        <v>20000000</v>
      </c>
      <c r="GF52" s="383">
        <f>'[1]COE DISB 2019'!AX60</f>
        <v>15523600</v>
      </c>
      <c r="GG52" s="383">
        <f t="shared" si="47"/>
        <v>4476400</v>
      </c>
      <c r="GH52" s="380"/>
      <c r="GI52" s="383">
        <f>'[1]COE commited funds to date'!AY55</f>
        <v>230000000</v>
      </c>
      <c r="GJ52" s="383">
        <f>'[1]COE DISB 2019'!AY60</f>
        <v>0</v>
      </c>
      <c r="GK52" s="383">
        <f t="shared" si="48"/>
        <v>230000000</v>
      </c>
      <c r="GL52" s="380"/>
      <c r="GM52" s="383">
        <f>'[1]COE commited funds to date'!AZ55</f>
        <v>116776600</v>
      </c>
      <c r="GN52" s="383">
        <f>'[1]COE DISB 2019'!AZ60</f>
        <v>0</v>
      </c>
      <c r="GO52" s="383">
        <f t="shared" si="49"/>
        <v>116776600</v>
      </c>
      <c r="GP52" s="380"/>
      <c r="GQ52" s="383">
        <f>'[1]COE commited funds to date'!BA55</f>
        <v>12000000</v>
      </c>
      <c r="GR52" s="383">
        <f>'[1]COE DISB 2019'!BA60</f>
        <v>0</v>
      </c>
      <c r="GS52" s="383">
        <f t="shared" si="50"/>
        <v>12000000</v>
      </c>
      <c r="GT52" s="380"/>
      <c r="GU52" s="383">
        <f>'[1]COE commited funds to date'!BB55</f>
        <v>5000000</v>
      </c>
      <c r="GV52" s="383">
        <f>'[1]COE DISB 2019'!BB60</f>
        <v>0</v>
      </c>
      <c r="GW52" s="383">
        <f t="shared" si="51"/>
        <v>5000000</v>
      </c>
      <c r="GX52" s="380"/>
      <c r="GY52" s="383">
        <f>'[1]COE commited funds to date'!BC55</f>
        <v>10308300</v>
      </c>
      <c r="GZ52" s="383">
        <f>'[1]COE DISB 2019'!BC60</f>
        <v>0</v>
      </c>
      <c r="HA52" s="383">
        <f t="shared" si="52"/>
        <v>10308300</v>
      </c>
      <c r="HB52" s="380"/>
      <c r="HC52" s="383">
        <f t="shared" si="53"/>
        <v>2804972865.5</v>
      </c>
      <c r="HD52" s="383">
        <f t="shared" si="53"/>
        <v>1958012085.5</v>
      </c>
      <c r="HE52" s="382">
        <f t="shared" si="54"/>
        <v>846960780</v>
      </c>
      <c r="HG52" s="383">
        <f t="shared" si="55"/>
        <v>2076437965.5</v>
      </c>
      <c r="HH52" s="383">
        <f t="shared" si="55"/>
        <v>1451488485.5</v>
      </c>
      <c r="HI52" s="383">
        <f t="shared" si="56"/>
        <v>624949480</v>
      </c>
      <c r="HK52" s="383">
        <f t="shared" si="57"/>
        <v>234000000</v>
      </c>
      <c r="HL52" s="383">
        <f t="shared" si="57"/>
        <v>234000000</v>
      </c>
      <c r="HM52" s="383">
        <f t="shared" si="58"/>
        <v>0</v>
      </c>
      <c r="HO52" s="383">
        <f t="shared" si="71"/>
        <v>500000</v>
      </c>
      <c r="HP52" s="383">
        <f t="shared" si="71"/>
        <v>500000</v>
      </c>
      <c r="HQ52" s="383">
        <f t="shared" si="59"/>
        <v>0</v>
      </c>
      <c r="HS52" s="383">
        <f t="shared" si="60"/>
        <v>89308300</v>
      </c>
      <c r="HT52" s="383">
        <f t="shared" si="60"/>
        <v>74523600</v>
      </c>
      <c r="HU52" s="383">
        <f t="shared" si="61"/>
        <v>14784700</v>
      </c>
      <c r="HW52" s="383">
        <f t="shared" si="62"/>
        <v>36700000</v>
      </c>
      <c r="HX52" s="383">
        <f t="shared" si="62"/>
        <v>8000000</v>
      </c>
      <c r="HY52" s="383">
        <f t="shared" si="63"/>
        <v>28700000</v>
      </c>
      <c r="IA52" s="387">
        <f t="shared" si="64"/>
        <v>20000000</v>
      </c>
      <c r="IB52" s="387">
        <f t="shared" si="64"/>
        <v>0</v>
      </c>
      <c r="IC52" s="387">
        <f t="shared" si="65"/>
        <v>20000000</v>
      </c>
      <c r="IE52" s="383">
        <f t="shared" si="66"/>
        <v>341776600</v>
      </c>
      <c r="IF52" s="383">
        <f t="shared" si="66"/>
        <v>185250000</v>
      </c>
      <c r="IG52" s="383">
        <f t="shared" si="67"/>
        <v>156526600</v>
      </c>
      <c r="II52" s="383">
        <f t="shared" si="68"/>
        <v>2000000</v>
      </c>
      <c r="IJ52" s="383">
        <f t="shared" si="68"/>
        <v>0</v>
      </c>
      <c r="IK52" s="383">
        <f t="shared" si="69"/>
        <v>2000000</v>
      </c>
    </row>
    <row r="53" spans="1:245" ht="19.5" customHeight="1" x14ac:dyDescent="0.25">
      <c r="A53" s="380">
        <v>50</v>
      </c>
      <c r="B53" s="380" t="s">
        <v>369</v>
      </c>
      <c r="C53" s="381" t="s">
        <v>69</v>
      </c>
      <c r="D53" s="382">
        <v>18318965.5</v>
      </c>
      <c r="E53" s="382">
        <f>'[1]COE DISB 2019'!D61</f>
        <v>18318965.539999999</v>
      </c>
      <c r="F53" s="383">
        <f t="shared" si="0"/>
        <v>-3.9999999105930328E-2</v>
      </c>
      <c r="H53" s="382">
        <v>8000000</v>
      </c>
      <c r="I53" s="382">
        <f>'[1]COE DISB 2019'!E61</f>
        <v>8000000</v>
      </c>
      <c r="J53" s="383">
        <f t="shared" si="1"/>
        <v>0</v>
      </c>
      <c r="L53" s="382">
        <v>500000</v>
      </c>
      <c r="M53" s="382">
        <f>'[1]COE DISB 2019'!F61</f>
        <v>500000</v>
      </c>
      <c r="N53" s="383">
        <f t="shared" si="2"/>
        <v>0</v>
      </c>
      <c r="P53" s="385">
        <v>16000000</v>
      </c>
      <c r="Q53" s="382">
        <f>'[1]COE DISB 2019'!G61</f>
        <v>16000000</v>
      </c>
      <c r="R53" s="383">
        <f t="shared" si="3"/>
        <v>0</v>
      </c>
      <c r="T53" s="385">
        <v>1571000</v>
      </c>
      <c r="U53" s="382">
        <f>'[1]COE DISB 2019'!H61</f>
        <v>1571000</v>
      </c>
      <c r="V53" s="383">
        <f t="shared" si="4"/>
        <v>0</v>
      </c>
      <c r="X53" s="353">
        <v>0</v>
      </c>
      <c r="Y53" s="382">
        <f>'[1]COE DISB 2019'!I61</f>
        <v>0</v>
      </c>
      <c r="Z53" s="383">
        <f t="shared" si="5"/>
        <v>0</v>
      </c>
      <c r="AB53" s="385">
        <v>20000000</v>
      </c>
      <c r="AC53" s="382">
        <f>'[1]COE DISB 2019'!J61</f>
        <v>20000000</v>
      </c>
      <c r="AD53" s="383">
        <f t="shared" si="6"/>
        <v>0</v>
      </c>
      <c r="AF53" s="353">
        <v>31000</v>
      </c>
      <c r="AG53" s="382">
        <f>'[1]COE DISB 2019'!K61</f>
        <v>31000</v>
      </c>
      <c r="AH53" s="383">
        <f t="shared" si="7"/>
        <v>0</v>
      </c>
      <c r="AJ53" s="385">
        <v>10000000</v>
      </c>
      <c r="AK53" s="382">
        <f>'[1]COE DISB 2019'!L61</f>
        <v>10000000</v>
      </c>
      <c r="AL53" s="383">
        <f t="shared" si="8"/>
        <v>0</v>
      </c>
      <c r="AN53" s="382">
        <v>10000000</v>
      </c>
      <c r="AO53" s="382">
        <f>'[1]COE DISB 2019'!M61</f>
        <v>10000000</v>
      </c>
      <c r="AP53" s="383">
        <f t="shared" si="9"/>
        <v>0</v>
      </c>
      <c r="AR53" s="382">
        <v>15000000</v>
      </c>
      <c r="AS53" s="382">
        <f>'[1]COE DISB 2019'!N61</f>
        <v>15000000</v>
      </c>
      <c r="AT53" s="383">
        <f t="shared" si="10"/>
        <v>0</v>
      </c>
      <c r="AV53" s="382">
        <v>5000000</v>
      </c>
      <c r="AW53" s="388">
        <f>'[1]COE DISB 2019'!O61</f>
        <v>5000000</v>
      </c>
      <c r="AX53" s="382">
        <f t="shared" si="11"/>
        <v>0</v>
      </c>
      <c r="AZ53" s="382">
        <v>18000000</v>
      </c>
      <c r="BA53" s="382">
        <f>'[1]COE DISB 2019'!P61</f>
        <v>18000000</v>
      </c>
      <c r="BB53" s="382">
        <f t="shared" si="12"/>
        <v>0</v>
      </c>
      <c r="BD53" s="382">
        <v>23400000</v>
      </c>
      <c r="BE53" s="382">
        <f>'[1]COE DISB 2019'!Q61</f>
        <v>23400000</v>
      </c>
      <c r="BF53" s="382">
        <f t="shared" si="13"/>
        <v>0</v>
      </c>
      <c r="BH53" s="382">
        <v>0</v>
      </c>
      <c r="BI53" s="382">
        <f>'[1]COE DISB 2019'!R61</f>
        <v>0</v>
      </c>
      <c r="BJ53" s="382">
        <f t="shared" si="14"/>
        <v>0</v>
      </c>
      <c r="BL53" s="382">
        <v>43000000</v>
      </c>
      <c r="BM53" s="382">
        <f>'[1]COE DISB 2019'!S61</f>
        <v>43000000</v>
      </c>
      <c r="BN53" s="382">
        <f t="shared" si="15"/>
        <v>0</v>
      </c>
      <c r="BP53" s="382">
        <v>37160000</v>
      </c>
      <c r="BQ53" s="382">
        <f>'[1]COE DISB 2019'!T61</f>
        <v>37160000</v>
      </c>
      <c r="BR53" s="382">
        <f t="shared" si="16"/>
        <v>0</v>
      </c>
      <c r="BT53" s="382">
        <v>0</v>
      </c>
      <c r="BU53" s="382">
        <f>'[1]COE DISB 2019'!U61</f>
        <v>0</v>
      </c>
      <c r="BV53" s="382">
        <f t="shared" si="17"/>
        <v>0</v>
      </c>
      <c r="BX53" s="382">
        <v>112670000</v>
      </c>
      <c r="BY53" s="382">
        <f>'[1]COE DISB 2019'!V61</f>
        <v>112670000</v>
      </c>
      <c r="BZ53" s="382">
        <f t="shared" si="18"/>
        <v>0</v>
      </c>
      <c r="CB53" s="382">
        <f>'[1]COE commited funds to date'!W56</f>
        <v>0</v>
      </c>
      <c r="CC53" s="382">
        <f>'[1]COE DISB 2019'!W61</f>
        <v>0</v>
      </c>
      <c r="CD53" s="382">
        <f t="shared" si="19"/>
        <v>0</v>
      </c>
      <c r="CF53" s="382">
        <f>'[1]COE commited funds to date'!X56</f>
        <v>0</v>
      </c>
      <c r="CG53" s="382">
        <f>'[1]COE DISB 2019'!X61</f>
        <v>0</v>
      </c>
      <c r="CH53" s="382">
        <f t="shared" si="20"/>
        <v>0</v>
      </c>
      <c r="CJ53" s="382">
        <v>0</v>
      </c>
      <c r="CK53" s="382">
        <f>'[1]COE DISB 2019'!Y61</f>
        <v>0</v>
      </c>
      <c r="CL53" s="382">
        <f t="shared" si="21"/>
        <v>0</v>
      </c>
      <c r="CN53" s="382">
        <v>500000000</v>
      </c>
      <c r="CO53" s="382">
        <f>'[1]COE DISB 2019'!Z61</f>
        <v>500000000</v>
      </c>
      <c r="CP53" s="382">
        <f t="shared" si="22"/>
        <v>0</v>
      </c>
      <c r="CR53" s="382">
        <v>210000000</v>
      </c>
      <c r="CS53" s="382">
        <f>'[1]COE DISB 2019'!AA61</f>
        <v>210000000</v>
      </c>
      <c r="CT53" s="382">
        <f t="shared" si="23"/>
        <v>0</v>
      </c>
      <c r="CV53" s="382">
        <v>10000000</v>
      </c>
      <c r="CW53" s="382">
        <f>'[1]COE DISB 2019'!AB61</f>
        <v>10000000</v>
      </c>
      <c r="CX53" s="382">
        <f t="shared" si="24"/>
        <v>0</v>
      </c>
      <c r="CZ53" s="382">
        <f>'[1]COE commited funds to date'!AC56</f>
        <v>0</v>
      </c>
      <c r="DA53" s="382">
        <f>'[1]COE DISB 2019'!AC61</f>
        <v>0</v>
      </c>
      <c r="DB53" s="382">
        <f t="shared" si="25"/>
        <v>0</v>
      </c>
      <c r="DC53" s="386"/>
      <c r="DD53" s="382">
        <v>0</v>
      </c>
      <c r="DE53" s="382">
        <f>'[1]COE DISB 2019'!AD61</f>
        <v>0</v>
      </c>
      <c r="DF53" s="382">
        <f t="shared" si="26"/>
        <v>0</v>
      </c>
      <c r="DG53" s="386"/>
      <c r="DH53" s="397">
        <v>0</v>
      </c>
      <c r="DI53" s="397">
        <f>'[1]COE DISB 2019'!AE61</f>
        <v>0</v>
      </c>
      <c r="DJ53" s="397">
        <v>0</v>
      </c>
      <c r="DK53" s="386"/>
      <c r="DL53" s="382">
        <f>'[1]COE commited funds to date'!AD56</f>
        <v>0</v>
      </c>
      <c r="DM53" s="382">
        <f>'[1]COE DISB 2019'!AF61</f>
        <v>0</v>
      </c>
      <c r="DN53" s="382">
        <f t="shared" si="28"/>
        <v>0</v>
      </c>
      <c r="DO53" s="386"/>
      <c r="DP53" s="382">
        <v>325000000</v>
      </c>
      <c r="DQ53" s="382">
        <f>'[1]COE DISB 2019'!AG61</f>
        <v>325000000</v>
      </c>
      <c r="DR53" s="382">
        <f t="shared" si="29"/>
        <v>0</v>
      </c>
      <c r="DS53" s="386"/>
      <c r="DT53" s="353">
        <v>10000000</v>
      </c>
      <c r="DU53" s="382">
        <f>'[1]COE DISB 2019'!AH61</f>
        <v>10000000</v>
      </c>
      <c r="DV53" s="382">
        <f t="shared" si="30"/>
        <v>0</v>
      </c>
      <c r="DW53" s="386"/>
      <c r="DX53" s="382">
        <f>'[1]COE commited funds to date'!AI56</f>
        <v>100000000</v>
      </c>
      <c r="DY53" s="382">
        <f>'[1]COE DISB 2019'!AI61</f>
        <v>100000000</v>
      </c>
      <c r="DZ53" s="382">
        <f t="shared" si="31"/>
        <v>0</v>
      </c>
      <c r="EA53" s="386"/>
      <c r="EB53" s="382">
        <f>'[1]COE commited funds to date'!AJ56</f>
        <v>0</v>
      </c>
      <c r="EC53" s="382">
        <f>'[1]COE DISB 2019'!AJ61</f>
        <v>0</v>
      </c>
      <c r="ED53" s="382">
        <f t="shared" si="32"/>
        <v>0</v>
      </c>
      <c r="EE53" s="386"/>
      <c r="EF53" s="382">
        <f>'[1]COE commited funds to date'!AK56</f>
        <v>0</v>
      </c>
      <c r="EG53" s="382">
        <f>'[1]COE DISB 2019'!AK61</f>
        <v>0</v>
      </c>
      <c r="EH53" s="382">
        <f t="shared" si="33"/>
        <v>0</v>
      </c>
      <c r="EI53" s="386"/>
      <c r="EJ53" s="382">
        <f>'[1]COE commited funds to date'!AL56</f>
        <v>0</v>
      </c>
      <c r="EK53" s="382">
        <f>'[1]COE DISB 2019'!AL61</f>
        <v>0</v>
      </c>
      <c r="EL53" s="382">
        <f t="shared" si="34"/>
        <v>0</v>
      </c>
      <c r="EM53" s="386"/>
      <c r="EN53" s="382">
        <f>'[1]COE commited funds to date'!AM56</f>
        <v>0</v>
      </c>
      <c r="EO53" s="382">
        <f>'[1]COE DISB 2019'!AM61</f>
        <v>0</v>
      </c>
      <c r="EP53" s="382">
        <f t="shared" si="35"/>
        <v>0</v>
      </c>
      <c r="EQ53" s="386"/>
      <c r="ER53" s="382">
        <f>'[1]COE commited funds to date'!AN56</f>
        <v>2800000000</v>
      </c>
      <c r="ES53" s="382">
        <f>'[1]COE DISB 2019'!AN61</f>
        <v>2800000000</v>
      </c>
      <c r="ET53" s="382">
        <f t="shared" si="36"/>
        <v>0</v>
      </c>
      <c r="EV53" s="383">
        <f>'[1]COE commited funds to date'!AO56</f>
        <v>371067000</v>
      </c>
      <c r="EW53" s="383">
        <f>'[1]COE DISB 2019'!AO61</f>
        <v>200376180</v>
      </c>
      <c r="EX53" s="383">
        <f t="shared" si="38"/>
        <v>170690820</v>
      </c>
      <c r="EY53" s="380"/>
      <c r="EZ53" s="383">
        <f>'[1]COE commited funds to date'!AQ56</f>
        <v>12000000</v>
      </c>
      <c r="FA53" s="383">
        <f>'[1]COE DISB 2019'!AP61</f>
        <v>11379520</v>
      </c>
      <c r="FB53" s="383">
        <f t="shared" si="39"/>
        <v>620480</v>
      </c>
      <c r="FC53" s="380"/>
      <c r="FD53" s="383">
        <f>'[1]COE commited funds to date'!AR56</f>
        <v>10000000</v>
      </c>
      <c r="FE53" s="383">
        <f>'[1]COE DISB 2019'!AQ61</f>
        <v>0</v>
      </c>
      <c r="FF53" s="383">
        <f t="shared" si="40"/>
        <v>10000000</v>
      </c>
      <c r="FG53" s="380"/>
      <c r="FH53" s="383">
        <f>'[1]COE commited funds to date'!AP56</f>
        <v>8000000</v>
      </c>
      <c r="FI53" s="383">
        <f>'[1]COE DISB 2019'!AR61</f>
        <v>0</v>
      </c>
      <c r="FJ53" s="383">
        <f t="shared" si="41"/>
        <v>8000000</v>
      </c>
      <c r="FK53" s="383">
        <f>'[1]COE commited funds to date'!AS56</f>
        <v>0</v>
      </c>
      <c r="FL53" s="383">
        <f>'[1]COE DISB 2019'!AS61</f>
        <v>0</v>
      </c>
      <c r="FM53" s="383">
        <f t="shared" si="42"/>
        <v>0</v>
      </c>
      <c r="FN53" s="380"/>
      <c r="FO53" s="383">
        <f>'[1]COE commited funds to date'!AT56</f>
        <v>0</v>
      </c>
      <c r="FP53" s="383">
        <f>'[1]COE DISB 2019'!AT61</f>
        <v>0</v>
      </c>
      <c r="FQ53" s="383">
        <f t="shared" si="43"/>
        <v>0</v>
      </c>
      <c r="FR53" s="380"/>
      <c r="FS53" s="383">
        <f>'[1]COE commited funds to date'!AU56</f>
        <v>150000000</v>
      </c>
      <c r="FT53" s="383">
        <f>'[1]COE DISB 2019'!AU61</f>
        <v>115500000</v>
      </c>
      <c r="FU53" s="383">
        <f t="shared" si="44"/>
        <v>34500000</v>
      </c>
      <c r="FV53" s="380"/>
      <c r="FW53" s="383">
        <f>'[1]COE commited funds to date'!AV56</f>
        <v>0</v>
      </c>
      <c r="FX53" s="383">
        <f>'[1]COE DISB 2019'!AV61</f>
        <v>0</v>
      </c>
      <c r="FY53" s="383">
        <f t="shared" si="45"/>
        <v>0</v>
      </c>
      <c r="FZ53" s="380"/>
      <c r="GA53" s="383">
        <f>'[1]COE commited funds to date'!AW56</f>
        <v>0</v>
      </c>
      <c r="GB53" s="383">
        <f>'[1]COE DISB 2019'!AW61</f>
        <v>0</v>
      </c>
      <c r="GC53" s="383">
        <f t="shared" si="46"/>
        <v>0</v>
      </c>
      <c r="GD53" s="380"/>
      <c r="GE53" s="383">
        <f>'[1]COE commited funds to date'!AX56</f>
        <v>0</v>
      </c>
      <c r="GF53" s="383">
        <f>'[1]COE DISB 2019'!AX61</f>
        <v>0</v>
      </c>
      <c r="GG53" s="383">
        <f t="shared" si="47"/>
        <v>0</v>
      </c>
      <c r="GH53" s="380"/>
      <c r="GI53" s="383">
        <f>'[1]COE commited funds to date'!AY56</f>
        <v>230000000</v>
      </c>
      <c r="GJ53" s="383">
        <f>'[1]COE DISB 2019'!AY61</f>
        <v>0</v>
      </c>
      <c r="GK53" s="383">
        <f t="shared" si="48"/>
        <v>230000000</v>
      </c>
      <c r="GL53" s="380"/>
      <c r="GM53" s="383">
        <f>'[1]COE commited funds to date'!AZ56</f>
        <v>116776600</v>
      </c>
      <c r="GN53" s="383">
        <f>'[1]COE DISB 2019'!AZ61</f>
        <v>0</v>
      </c>
      <c r="GO53" s="383">
        <f t="shared" si="49"/>
        <v>116776600</v>
      </c>
      <c r="GP53" s="380"/>
      <c r="GQ53" s="383">
        <f>'[1]COE commited funds to date'!BA56</f>
        <v>12000000</v>
      </c>
      <c r="GR53" s="383">
        <f>'[1]COE DISB 2019'!BA61</f>
        <v>0</v>
      </c>
      <c r="GS53" s="383">
        <f t="shared" si="50"/>
        <v>12000000</v>
      </c>
      <c r="GT53" s="380"/>
      <c r="GU53" s="383">
        <f>'[1]COE commited funds to date'!BB56</f>
        <v>5000000</v>
      </c>
      <c r="GV53" s="383">
        <f>'[1]COE DISB 2019'!BB61</f>
        <v>0</v>
      </c>
      <c r="GW53" s="383">
        <f t="shared" si="51"/>
        <v>5000000</v>
      </c>
      <c r="GX53" s="380"/>
      <c r="GY53" s="383">
        <f>'[1]COE commited funds to date'!BC56</f>
        <v>10308300</v>
      </c>
      <c r="GZ53" s="383">
        <f>'[1]COE DISB 2019'!BC61</f>
        <v>0</v>
      </c>
      <c r="HA53" s="383">
        <f t="shared" si="52"/>
        <v>10308300</v>
      </c>
      <c r="HB53" s="380"/>
      <c r="HC53" s="383">
        <f t="shared" si="53"/>
        <v>5218802865.5</v>
      </c>
      <c r="HD53" s="383">
        <f t="shared" si="53"/>
        <v>4620906665.54</v>
      </c>
      <c r="HE53" s="382">
        <f t="shared" si="54"/>
        <v>597896199.96000004</v>
      </c>
      <c r="HG53" s="383">
        <f t="shared" si="55"/>
        <v>1467615965.5</v>
      </c>
      <c r="HH53" s="383">
        <f t="shared" si="55"/>
        <v>1066925145.54</v>
      </c>
      <c r="HI53" s="383">
        <f t="shared" si="56"/>
        <v>400690819.96000004</v>
      </c>
      <c r="HK53" s="383">
        <f t="shared" si="57"/>
        <v>3400000000</v>
      </c>
      <c r="HL53" s="383">
        <f t="shared" si="57"/>
        <v>3400000000</v>
      </c>
      <c r="HM53" s="383">
        <f t="shared" si="58"/>
        <v>0</v>
      </c>
      <c r="HO53" s="383">
        <f t="shared" si="71"/>
        <v>2102000</v>
      </c>
      <c r="HP53" s="383">
        <f t="shared" si="71"/>
        <v>2102000</v>
      </c>
      <c r="HQ53" s="383">
        <f t="shared" si="59"/>
        <v>0</v>
      </c>
      <c r="HS53" s="383">
        <f t="shared" si="60"/>
        <v>42308300</v>
      </c>
      <c r="HT53" s="383">
        <f t="shared" si="60"/>
        <v>31379520</v>
      </c>
      <c r="HU53" s="383">
        <f t="shared" si="61"/>
        <v>10928780</v>
      </c>
      <c r="HW53" s="383">
        <f t="shared" si="62"/>
        <v>20000000</v>
      </c>
      <c r="HX53" s="383">
        <f t="shared" si="62"/>
        <v>0</v>
      </c>
      <c r="HY53" s="383">
        <f t="shared" si="63"/>
        <v>20000000</v>
      </c>
      <c r="IA53" s="387">
        <f t="shared" si="64"/>
        <v>15000000</v>
      </c>
      <c r="IB53" s="387">
        <f t="shared" si="64"/>
        <v>0</v>
      </c>
      <c r="IC53" s="387">
        <f t="shared" si="65"/>
        <v>15000000</v>
      </c>
      <c r="IE53" s="383">
        <f t="shared" si="66"/>
        <v>266776600</v>
      </c>
      <c r="IF53" s="383">
        <f t="shared" si="66"/>
        <v>115500000</v>
      </c>
      <c r="IG53" s="383">
        <f t="shared" si="67"/>
        <v>151276600</v>
      </c>
      <c r="II53" s="383">
        <f t="shared" si="68"/>
        <v>0</v>
      </c>
      <c r="IJ53" s="383">
        <f t="shared" si="68"/>
        <v>0</v>
      </c>
      <c r="IK53" s="383">
        <f t="shared" si="69"/>
        <v>0</v>
      </c>
    </row>
    <row r="54" spans="1:245" ht="19.5" customHeight="1" x14ac:dyDescent="0.25">
      <c r="A54" s="380">
        <v>51</v>
      </c>
      <c r="B54" s="380" t="s">
        <v>370</v>
      </c>
      <c r="C54" s="381"/>
      <c r="D54" s="382">
        <v>18318965.5</v>
      </c>
      <c r="E54" s="382">
        <f>'[1]COE DISB 2019'!D62</f>
        <v>18318966.559999999</v>
      </c>
      <c r="F54" s="383">
        <f t="shared" si="0"/>
        <v>-1.0599999986588955</v>
      </c>
      <c r="H54" s="382">
        <v>8000000</v>
      </c>
      <c r="I54" s="382">
        <f>'[1]COE DISB 2019'!E62</f>
        <v>8000000</v>
      </c>
      <c r="J54" s="383">
        <f t="shared" si="1"/>
        <v>0</v>
      </c>
      <c r="L54" s="382">
        <v>500000</v>
      </c>
      <c r="M54" s="382">
        <f>'[1]COE DISB 2019'!F62</f>
        <v>500000</v>
      </c>
      <c r="N54" s="383">
        <f t="shared" si="2"/>
        <v>0</v>
      </c>
      <c r="P54" s="385">
        <v>16000000</v>
      </c>
      <c r="Q54" s="382">
        <f>'[1]COE DISB 2019'!G62</f>
        <v>16000000</v>
      </c>
      <c r="R54" s="383">
        <f t="shared" si="3"/>
        <v>0</v>
      </c>
      <c r="T54" s="385">
        <v>1441998</v>
      </c>
      <c r="U54" s="382">
        <f>'[1]COE DISB 2019'!H62</f>
        <v>1441998</v>
      </c>
      <c r="V54" s="383">
        <f t="shared" si="4"/>
        <v>0</v>
      </c>
      <c r="X54" s="353">
        <v>0</v>
      </c>
      <c r="Y54" s="382">
        <f>'[1]COE DISB 2019'!I62</f>
        <v>0</v>
      </c>
      <c r="Z54" s="383">
        <f t="shared" si="5"/>
        <v>0</v>
      </c>
      <c r="AB54" s="385">
        <v>20000000</v>
      </c>
      <c r="AC54" s="382">
        <f>'[1]COE DISB 2019'!J62</f>
        <v>20000000</v>
      </c>
      <c r="AD54" s="383">
        <f t="shared" si="6"/>
        <v>0</v>
      </c>
      <c r="AF54" s="353">
        <v>0</v>
      </c>
      <c r="AG54" s="382">
        <f>'[1]COE DISB 2019'!K62</f>
        <v>0</v>
      </c>
      <c r="AH54" s="383">
        <f t="shared" si="7"/>
        <v>0</v>
      </c>
      <c r="AJ54" s="385">
        <v>10000000</v>
      </c>
      <c r="AK54" s="382">
        <f>'[1]COE DISB 2019'!L62</f>
        <v>10000000</v>
      </c>
      <c r="AL54" s="383">
        <f t="shared" si="8"/>
        <v>0</v>
      </c>
      <c r="AN54" s="382">
        <v>10000000</v>
      </c>
      <c r="AO54" s="382">
        <f>'[1]COE DISB 2019'!M62</f>
        <v>10000000</v>
      </c>
      <c r="AP54" s="383">
        <f t="shared" si="9"/>
        <v>0</v>
      </c>
      <c r="AR54" s="382">
        <v>15000000</v>
      </c>
      <c r="AS54" s="382">
        <f>'[1]COE DISB 2019'!N62</f>
        <v>15000000</v>
      </c>
      <c r="AT54" s="383">
        <f t="shared" si="10"/>
        <v>0</v>
      </c>
      <c r="AV54" s="382">
        <v>5000000</v>
      </c>
      <c r="AW54" s="388">
        <f>'[1]COE DISB 2019'!O62</f>
        <v>5000000</v>
      </c>
      <c r="AX54" s="382">
        <f t="shared" si="11"/>
        <v>0</v>
      </c>
      <c r="AZ54" s="382">
        <v>18000000</v>
      </c>
      <c r="BA54" s="382">
        <f>'[1]COE DISB 2019'!P62</f>
        <v>18000000</v>
      </c>
      <c r="BB54" s="382">
        <f t="shared" si="12"/>
        <v>0</v>
      </c>
      <c r="BD54" s="382">
        <v>23400000</v>
      </c>
      <c r="BE54" s="382">
        <f>'[1]COE DISB 2019'!Q62</f>
        <v>23400000</v>
      </c>
      <c r="BF54" s="382">
        <f t="shared" si="13"/>
        <v>0</v>
      </c>
      <c r="BH54" s="382">
        <v>0</v>
      </c>
      <c r="BI54" s="382">
        <f>'[1]COE DISB 2019'!R62</f>
        <v>0</v>
      </c>
      <c r="BJ54" s="382">
        <f t="shared" si="14"/>
        <v>0</v>
      </c>
      <c r="BL54" s="382">
        <v>43000000</v>
      </c>
      <c r="BM54" s="382">
        <f>'[1]COE DISB 2019'!S62</f>
        <v>43000000</v>
      </c>
      <c r="BN54" s="382">
        <f t="shared" si="15"/>
        <v>0</v>
      </c>
      <c r="BP54" s="382">
        <v>37160000</v>
      </c>
      <c r="BQ54" s="382">
        <f>'[1]COE DISB 2019'!T62</f>
        <v>37160000</v>
      </c>
      <c r="BR54" s="382">
        <f t="shared" si="16"/>
        <v>0</v>
      </c>
      <c r="BT54" s="382">
        <v>0</v>
      </c>
      <c r="BU54" s="382">
        <f>'[1]COE DISB 2019'!U62</f>
        <v>0</v>
      </c>
      <c r="BV54" s="382">
        <f t="shared" si="17"/>
        <v>0</v>
      </c>
      <c r="BX54" s="382">
        <v>0</v>
      </c>
      <c r="BY54" s="382">
        <f>'[1]COE DISB 2019'!V62</f>
        <v>0</v>
      </c>
      <c r="BZ54" s="382">
        <f t="shared" si="18"/>
        <v>0</v>
      </c>
      <c r="CB54" s="382">
        <f>'[1]COE commited funds to date'!W57</f>
        <v>170000000</v>
      </c>
      <c r="CC54" s="382">
        <f>'[1]COE DISB 2019'!W62</f>
        <v>170000000</v>
      </c>
      <c r="CD54" s="382">
        <f t="shared" si="19"/>
        <v>0</v>
      </c>
      <c r="CF54" s="382">
        <f>'[1]COE commited funds to date'!X57</f>
        <v>125000000</v>
      </c>
      <c r="CG54" s="382">
        <f>'[1]COE DISB 2019'!X62</f>
        <v>106250000</v>
      </c>
      <c r="CH54" s="382">
        <f t="shared" si="20"/>
        <v>18750000</v>
      </c>
      <c r="CJ54" s="382">
        <v>10000000</v>
      </c>
      <c r="CK54" s="382">
        <f>'[1]COE DISB 2019'!Y62</f>
        <v>0</v>
      </c>
      <c r="CL54" s="382">
        <f t="shared" si="21"/>
        <v>10000000</v>
      </c>
      <c r="CN54" s="382">
        <v>0</v>
      </c>
      <c r="CO54" s="382">
        <f>'[1]COE DISB 2019'!Z62</f>
        <v>0</v>
      </c>
      <c r="CP54" s="382">
        <f t="shared" si="22"/>
        <v>0</v>
      </c>
      <c r="CR54" s="382">
        <v>0</v>
      </c>
      <c r="CS54" s="382">
        <f>'[1]COE DISB 2019'!AA62</f>
        <v>0</v>
      </c>
      <c r="CT54" s="382">
        <f t="shared" si="23"/>
        <v>0</v>
      </c>
      <c r="CV54" s="382">
        <v>0</v>
      </c>
      <c r="CW54" s="382">
        <f>'[1]COE DISB 2019'!AB62</f>
        <v>0</v>
      </c>
      <c r="CX54" s="382">
        <f t="shared" si="24"/>
        <v>0</v>
      </c>
      <c r="CZ54" s="382">
        <f>'[1]COE commited funds to date'!AC57</f>
        <v>253000000</v>
      </c>
      <c r="DA54" s="382">
        <f>'[1]COE DISB 2019'!AC62</f>
        <v>141680000</v>
      </c>
      <c r="DB54" s="382">
        <f t="shared" si="25"/>
        <v>111320000</v>
      </c>
      <c r="DC54" s="386"/>
      <c r="DD54" s="382">
        <v>215000000</v>
      </c>
      <c r="DE54" s="382">
        <f>'[1]COE DISB 2019'!AD62</f>
        <v>182750000</v>
      </c>
      <c r="DF54" s="382">
        <f t="shared" si="26"/>
        <v>32250000</v>
      </c>
      <c r="DG54" s="386"/>
      <c r="DH54" s="382">
        <v>10000000</v>
      </c>
      <c r="DI54" s="382">
        <f>'[1]COE DISB 2019'!AE62</f>
        <v>10000000</v>
      </c>
      <c r="DJ54" s="382">
        <f>DH54-DI54</f>
        <v>0</v>
      </c>
      <c r="DK54" s="386"/>
      <c r="DL54" s="382">
        <f>'[1]COE commited funds to date'!AD57</f>
        <v>0</v>
      </c>
      <c r="DM54" s="382">
        <f>'[1]COE DISB 2019'!AF62</f>
        <v>0</v>
      </c>
      <c r="DN54" s="382">
        <f t="shared" si="28"/>
        <v>0</v>
      </c>
      <c r="DO54" s="386"/>
      <c r="DP54" s="382">
        <v>0</v>
      </c>
      <c r="DQ54" s="382">
        <f>'[1]COE DISB 2019'!AG62</f>
        <v>0</v>
      </c>
      <c r="DR54" s="382">
        <f t="shared" si="29"/>
        <v>0</v>
      </c>
      <c r="DS54" s="386"/>
      <c r="DT54" s="353">
        <v>0</v>
      </c>
      <c r="DU54" s="382">
        <f>'[1]COE DISB 2019'!AH62</f>
        <v>0</v>
      </c>
      <c r="DV54" s="382">
        <f t="shared" si="30"/>
        <v>0</v>
      </c>
      <c r="DW54" s="386"/>
      <c r="DX54" s="382">
        <f>'[1]COE commited funds to date'!AI57</f>
        <v>100000000</v>
      </c>
      <c r="DY54" s="382">
        <f>'[1]COE DISB 2019'!AI62</f>
        <v>100000000</v>
      </c>
      <c r="DZ54" s="382">
        <f t="shared" si="31"/>
        <v>0</v>
      </c>
      <c r="EA54" s="386"/>
      <c r="EB54" s="382">
        <f>'[1]COE commited funds to date'!AJ57</f>
        <v>72000000</v>
      </c>
      <c r="EC54" s="382">
        <f>'[1]COE DISB 2019'!AJ62</f>
        <v>51120000</v>
      </c>
      <c r="ED54" s="382">
        <f t="shared" si="32"/>
        <v>20880000</v>
      </c>
      <c r="EE54" s="386"/>
      <c r="EF54" s="382">
        <f>'[1]COE commited funds to date'!AK57</f>
        <v>8000000</v>
      </c>
      <c r="EG54" s="382">
        <f>'[1]COE DISB 2019'!AK62</f>
        <v>6800000</v>
      </c>
      <c r="EH54" s="382">
        <f t="shared" si="33"/>
        <v>1200000</v>
      </c>
      <c r="EI54" s="386"/>
      <c r="EJ54" s="382">
        <f>'[1]COE commited funds to date'!AL57</f>
        <v>2000000</v>
      </c>
      <c r="EK54" s="382">
        <f>'[1]COE DISB 2019'!AL62</f>
        <v>0</v>
      </c>
      <c r="EL54" s="382">
        <f t="shared" si="34"/>
        <v>2000000</v>
      </c>
      <c r="EM54" s="386"/>
      <c r="EN54" s="382">
        <f>'[1]COE commited funds to date'!AM57</f>
        <v>7000000</v>
      </c>
      <c r="EO54" s="382">
        <f>'[1]COE DISB 2019'!AM62</f>
        <v>6775650</v>
      </c>
      <c r="EP54" s="382">
        <f t="shared" si="35"/>
        <v>224350</v>
      </c>
      <c r="EQ54" s="386"/>
      <c r="ER54" s="382">
        <f>'[1]COE commited funds to date'!AN57</f>
        <v>400000000</v>
      </c>
      <c r="ES54" s="382">
        <f>'[1]COE DISB 2019'!AN62</f>
        <v>400000000</v>
      </c>
      <c r="ET54" s="382">
        <f t="shared" si="36"/>
        <v>0</v>
      </c>
      <c r="EV54" s="383">
        <f>'[1]COE commited funds to date'!AO57</f>
        <v>0</v>
      </c>
      <c r="EW54" s="383">
        <f>'[1]COE DISB 2019'!AO62</f>
        <v>0</v>
      </c>
      <c r="EX54" s="383">
        <f t="shared" si="38"/>
        <v>0</v>
      </c>
      <c r="EY54" s="380"/>
      <c r="EZ54" s="383">
        <f>'[1]COE commited funds to date'!AQ57</f>
        <v>0</v>
      </c>
      <c r="FA54" s="383">
        <f>'[1]COE DISB 2019'!AP62</f>
        <v>0</v>
      </c>
      <c r="FB54" s="383">
        <f t="shared" si="39"/>
        <v>0</v>
      </c>
      <c r="FC54" s="380"/>
      <c r="FD54" s="383">
        <f>'[1]COE commited funds to date'!AR57</f>
        <v>0</v>
      </c>
      <c r="FE54" s="383">
        <f>'[1]COE DISB 2019'!AQ62</f>
        <v>0</v>
      </c>
      <c r="FF54" s="383">
        <f t="shared" si="40"/>
        <v>0</v>
      </c>
      <c r="FG54" s="380"/>
      <c r="FH54" s="383">
        <f>'[1]COE commited funds to date'!AP57</f>
        <v>0</v>
      </c>
      <c r="FI54" s="383">
        <f>'[1]COE DISB 2019'!AR62</f>
        <v>0</v>
      </c>
      <c r="FJ54" s="383">
        <f t="shared" si="41"/>
        <v>0</v>
      </c>
      <c r="FK54" s="383">
        <f>'[1]COE commited funds to date'!AS57</f>
        <v>0</v>
      </c>
      <c r="FL54" s="383">
        <f>'[1]COE DISB 2019'!AS62</f>
        <v>0</v>
      </c>
      <c r="FM54" s="383">
        <f t="shared" si="42"/>
        <v>0</v>
      </c>
      <c r="FN54" s="380"/>
      <c r="FO54" s="383">
        <f>'[1]COE commited funds to date'!AT57</f>
        <v>200000000</v>
      </c>
      <c r="FP54" s="383">
        <f>'[1]COE DISB 2019'!AT62</f>
        <v>0</v>
      </c>
      <c r="FQ54" s="383">
        <f t="shared" si="43"/>
        <v>200000000</v>
      </c>
      <c r="FR54" s="380"/>
      <c r="FS54" s="383">
        <f>'[1]COE commited funds to date'!AU57</f>
        <v>75000000</v>
      </c>
      <c r="FT54" s="383">
        <f>'[1]COE DISB 2019'!AU62</f>
        <v>41250000</v>
      </c>
      <c r="FU54" s="383">
        <f t="shared" si="44"/>
        <v>33750000</v>
      </c>
      <c r="FV54" s="380"/>
      <c r="FW54" s="383">
        <f>'[1]COE commited funds to date'!AV57</f>
        <v>8700000</v>
      </c>
      <c r="FX54" s="383">
        <f>'[1]COE DISB 2019'!AV62</f>
        <v>0</v>
      </c>
      <c r="FY54" s="383">
        <f t="shared" si="45"/>
        <v>8700000</v>
      </c>
      <c r="FZ54" s="380"/>
      <c r="GA54" s="383">
        <f>'[1]COE commited funds to date'!AW57</f>
        <v>5000000</v>
      </c>
      <c r="GB54" s="383">
        <f>'[1]COE DISB 2019'!AW62</f>
        <v>0</v>
      </c>
      <c r="GC54" s="383">
        <f t="shared" si="46"/>
        <v>5000000</v>
      </c>
      <c r="GD54" s="380"/>
      <c r="GE54" s="383">
        <f>'[1]COE commited funds to date'!AX57</f>
        <v>20000000</v>
      </c>
      <c r="GF54" s="383">
        <f>'[1]COE DISB 2019'!AX62</f>
        <v>0</v>
      </c>
      <c r="GG54" s="383">
        <f t="shared" si="47"/>
        <v>20000000</v>
      </c>
      <c r="GH54" s="380"/>
      <c r="GI54" s="383">
        <f>'[1]COE commited funds to date'!AY57</f>
        <v>0</v>
      </c>
      <c r="GJ54" s="383">
        <f>'[1]COE DISB 2019'!AY62</f>
        <v>0</v>
      </c>
      <c r="GK54" s="383">
        <f t="shared" si="48"/>
        <v>0</v>
      </c>
      <c r="GL54" s="380"/>
      <c r="GM54" s="383">
        <f>'[1]COE commited funds to date'!AZ57</f>
        <v>116776600</v>
      </c>
      <c r="GN54" s="383">
        <f>'[1]COE DISB 2019'!AZ62</f>
        <v>0</v>
      </c>
      <c r="GO54" s="383">
        <f t="shared" si="49"/>
        <v>116776600</v>
      </c>
      <c r="GP54" s="380"/>
      <c r="GQ54" s="383">
        <f>'[1]COE commited funds to date'!BA57</f>
        <v>0</v>
      </c>
      <c r="GR54" s="383">
        <f>'[1]COE DISB 2019'!BA62</f>
        <v>0</v>
      </c>
      <c r="GS54" s="383">
        <f t="shared" si="50"/>
        <v>0</v>
      </c>
      <c r="GT54" s="380"/>
      <c r="GU54" s="383">
        <f>'[1]COE commited funds to date'!BB57</f>
        <v>0</v>
      </c>
      <c r="GV54" s="383">
        <f>'[1]COE DISB 2019'!BB62</f>
        <v>0</v>
      </c>
      <c r="GW54" s="383">
        <f t="shared" si="51"/>
        <v>0</v>
      </c>
      <c r="GX54" s="380"/>
      <c r="GY54" s="383">
        <f>'[1]COE commited funds to date'!BC57</f>
        <v>0</v>
      </c>
      <c r="GZ54" s="383">
        <f>'[1]COE DISB 2019'!BC62</f>
        <v>0</v>
      </c>
      <c r="HA54" s="383">
        <f t="shared" si="52"/>
        <v>0</v>
      </c>
      <c r="HB54" s="380"/>
      <c r="HC54" s="383">
        <f t="shared" si="53"/>
        <v>2023297563.5</v>
      </c>
      <c r="HD54" s="383">
        <f t="shared" si="53"/>
        <v>1442446614.5599999</v>
      </c>
      <c r="HE54" s="382">
        <f t="shared" si="54"/>
        <v>580850948.94000006</v>
      </c>
      <c r="HG54" s="383">
        <f t="shared" si="55"/>
        <v>830878965.5</v>
      </c>
      <c r="HH54" s="383">
        <f t="shared" si="55"/>
        <v>558998966.55999994</v>
      </c>
      <c r="HI54" s="383">
        <f t="shared" si="56"/>
        <v>271879998.94000006</v>
      </c>
      <c r="HK54" s="383">
        <f t="shared" si="57"/>
        <v>923000000</v>
      </c>
      <c r="HL54" s="383">
        <f t="shared" si="57"/>
        <v>811680000</v>
      </c>
      <c r="HM54" s="383">
        <f t="shared" si="58"/>
        <v>111320000</v>
      </c>
      <c r="HO54" s="383">
        <f t="shared" si="71"/>
        <v>1941998</v>
      </c>
      <c r="HP54" s="383">
        <f t="shared" si="71"/>
        <v>1941998</v>
      </c>
      <c r="HQ54" s="383">
        <f t="shared" si="59"/>
        <v>0</v>
      </c>
      <c r="HS54" s="383">
        <f t="shared" si="60"/>
        <v>47000000</v>
      </c>
      <c r="HT54" s="383">
        <f t="shared" si="60"/>
        <v>16775650</v>
      </c>
      <c r="HU54" s="383">
        <f t="shared" si="61"/>
        <v>30224350</v>
      </c>
      <c r="HW54" s="383">
        <f t="shared" si="62"/>
        <v>16700000</v>
      </c>
      <c r="HX54" s="383">
        <f t="shared" si="62"/>
        <v>6800000</v>
      </c>
      <c r="HY54" s="383">
        <f t="shared" si="63"/>
        <v>9900000</v>
      </c>
      <c r="IA54" s="387">
        <f t="shared" si="64"/>
        <v>5000000</v>
      </c>
      <c r="IB54" s="387">
        <f t="shared" si="64"/>
        <v>0</v>
      </c>
      <c r="IC54" s="387">
        <f t="shared" si="65"/>
        <v>5000000</v>
      </c>
      <c r="IE54" s="383">
        <f t="shared" si="66"/>
        <v>191776600</v>
      </c>
      <c r="IF54" s="383">
        <f t="shared" si="66"/>
        <v>41250000</v>
      </c>
      <c r="IG54" s="383">
        <f t="shared" si="67"/>
        <v>150526600</v>
      </c>
      <c r="II54" s="383">
        <f t="shared" si="68"/>
        <v>2000000</v>
      </c>
      <c r="IJ54" s="383">
        <f t="shared" si="68"/>
        <v>0</v>
      </c>
      <c r="IK54" s="383">
        <f t="shared" si="69"/>
        <v>2000000</v>
      </c>
    </row>
    <row r="55" spans="1:245" ht="19.5" customHeight="1" x14ac:dyDescent="0.25">
      <c r="A55" s="380">
        <v>52</v>
      </c>
      <c r="B55" s="380" t="s">
        <v>371</v>
      </c>
      <c r="C55" s="398" t="s">
        <v>69</v>
      </c>
      <c r="D55" s="382">
        <v>18318965.5</v>
      </c>
      <c r="E55" s="382">
        <f>'[1]COE DISB 2019'!D63</f>
        <v>18318965.5</v>
      </c>
      <c r="F55" s="383">
        <f t="shared" si="0"/>
        <v>0</v>
      </c>
      <c r="H55" s="382">
        <v>8000000</v>
      </c>
      <c r="I55" s="382">
        <f>'[1]COE DISB 2019'!E63</f>
        <v>8000000</v>
      </c>
      <c r="J55" s="383">
        <f t="shared" si="1"/>
        <v>0</v>
      </c>
      <c r="L55" s="382">
        <v>500000</v>
      </c>
      <c r="M55" s="382">
        <f>'[1]COE DISB 2019'!F63</f>
        <v>500000</v>
      </c>
      <c r="N55" s="383">
        <f t="shared" si="2"/>
        <v>0</v>
      </c>
      <c r="P55" s="385">
        <v>16000000</v>
      </c>
      <c r="Q55" s="382">
        <f>'[1]COE DISB 2019'!G63</f>
        <v>16000000</v>
      </c>
      <c r="R55" s="383">
        <f t="shared" si="3"/>
        <v>0</v>
      </c>
      <c r="T55" s="385">
        <v>2861000</v>
      </c>
      <c r="U55" s="382">
        <f>'[1]COE DISB 2019'!H63</f>
        <v>2861000</v>
      </c>
      <c r="V55" s="383">
        <f t="shared" si="4"/>
        <v>0</v>
      </c>
      <c r="X55" s="353">
        <v>0</v>
      </c>
      <c r="Y55" s="382">
        <f>'[1]COE DISB 2019'!I63</f>
        <v>0</v>
      </c>
      <c r="Z55" s="383">
        <f t="shared" si="5"/>
        <v>0</v>
      </c>
      <c r="AB55" s="385">
        <v>20000000</v>
      </c>
      <c r="AC55" s="382">
        <f>'[1]COE DISB 2019'!J63</f>
        <v>20000000</v>
      </c>
      <c r="AD55" s="383">
        <f t="shared" si="6"/>
        <v>0</v>
      </c>
      <c r="AF55" s="353">
        <v>0</v>
      </c>
      <c r="AG55" s="382">
        <f>'[1]COE DISB 2019'!K63</f>
        <v>0</v>
      </c>
      <c r="AH55" s="383">
        <f t="shared" si="7"/>
        <v>0</v>
      </c>
      <c r="AJ55" s="385">
        <v>10000000</v>
      </c>
      <c r="AK55" s="382">
        <f>'[1]COE DISB 2019'!L63</f>
        <v>10000000</v>
      </c>
      <c r="AL55" s="383">
        <f t="shared" si="8"/>
        <v>0</v>
      </c>
      <c r="AN55" s="382">
        <v>10000000</v>
      </c>
      <c r="AO55" s="382">
        <f>'[1]COE DISB 2019'!M63</f>
        <v>10000000</v>
      </c>
      <c r="AP55" s="383">
        <f t="shared" si="9"/>
        <v>0</v>
      </c>
      <c r="AR55" s="382">
        <v>15000000</v>
      </c>
      <c r="AS55" s="382">
        <f>'[1]COE DISB 2019'!N63</f>
        <v>15000000</v>
      </c>
      <c r="AT55" s="383">
        <f t="shared" si="10"/>
        <v>0</v>
      </c>
      <c r="AV55" s="382">
        <v>5000000</v>
      </c>
      <c r="AW55" s="388">
        <f>'[1]COE DISB 2019'!O63</f>
        <v>5000000</v>
      </c>
      <c r="AX55" s="382">
        <f t="shared" si="11"/>
        <v>0</v>
      </c>
      <c r="AZ55" s="382">
        <v>18000000</v>
      </c>
      <c r="BA55" s="382">
        <f>'[1]COE DISB 2019'!P63</f>
        <v>18000000</v>
      </c>
      <c r="BB55" s="382">
        <f t="shared" si="12"/>
        <v>0</v>
      </c>
      <c r="BD55" s="382">
        <v>23400000</v>
      </c>
      <c r="BE55" s="382">
        <f>'[1]COE DISB 2019'!Q63</f>
        <v>23400000</v>
      </c>
      <c r="BF55" s="382">
        <f t="shared" si="13"/>
        <v>0</v>
      </c>
      <c r="BH55" s="382">
        <v>0</v>
      </c>
      <c r="BI55" s="382">
        <f>'[1]COE DISB 2019'!R63</f>
        <v>0</v>
      </c>
      <c r="BJ55" s="382">
        <f t="shared" si="14"/>
        <v>0</v>
      </c>
      <c r="BL55" s="382">
        <v>43000000</v>
      </c>
      <c r="BM55" s="382">
        <f>'[1]COE DISB 2019'!S63</f>
        <v>43000000</v>
      </c>
      <c r="BN55" s="382">
        <f t="shared" si="15"/>
        <v>0</v>
      </c>
      <c r="BP55" s="382">
        <v>37160000</v>
      </c>
      <c r="BQ55" s="382">
        <f>'[1]COE DISB 2019'!T63</f>
        <v>37160000</v>
      </c>
      <c r="BR55" s="382">
        <f t="shared" si="16"/>
        <v>0</v>
      </c>
      <c r="BT55" s="382">
        <v>0</v>
      </c>
      <c r="BU55" s="382">
        <f>'[1]COE DISB 2019'!U63</f>
        <v>0</v>
      </c>
      <c r="BV55" s="382">
        <f t="shared" si="17"/>
        <v>0</v>
      </c>
      <c r="BX55" s="382">
        <v>112669500</v>
      </c>
      <c r="BY55" s="382">
        <f>'[1]COE DISB 2019'!V63</f>
        <v>112669500</v>
      </c>
      <c r="BZ55" s="382">
        <f t="shared" si="18"/>
        <v>0</v>
      </c>
      <c r="CB55" s="382">
        <f>'[1]COE commited funds to date'!W58</f>
        <v>210000000</v>
      </c>
      <c r="CC55" s="382">
        <f>'[1]COE DISB 2019'!W63</f>
        <v>210000000</v>
      </c>
      <c r="CD55" s="382">
        <f t="shared" si="19"/>
        <v>0</v>
      </c>
      <c r="CF55" s="382">
        <f>'[1]COE commited funds to date'!X58</f>
        <v>125000000</v>
      </c>
      <c r="CG55" s="382">
        <f>'[1]COE DISB 2019'!X63</f>
        <v>125000000</v>
      </c>
      <c r="CH55" s="382">
        <f t="shared" si="20"/>
        <v>0</v>
      </c>
      <c r="CJ55" s="382">
        <v>10000000</v>
      </c>
      <c r="CK55" s="382">
        <f>'[1]COE DISB 2019'!Y63</f>
        <v>10000000</v>
      </c>
      <c r="CL55" s="382">
        <f t="shared" si="21"/>
        <v>0</v>
      </c>
      <c r="CN55" s="382">
        <v>0</v>
      </c>
      <c r="CO55" s="382">
        <f>'[1]COE DISB 2019'!Z63</f>
        <v>0</v>
      </c>
      <c r="CP55" s="382">
        <f t="shared" si="22"/>
        <v>0</v>
      </c>
      <c r="CR55" s="382">
        <v>210000000</v>
      </c>
      <c r="CS55" s="382">
        <f>'[1]COE DISB 2019'!AA63</f>
        <v>210000000</v>
      </c>
      <c r="CT55" s="382">
        <f t="shared" si="23"/>
        <v>0</v>
      </c>
      <c r="CV55" s="382">
        <v>10000000</v>
      </c>
      <c r="CW55" s="382">
        <f>'[1]COE DISB 2019'!AB63</f>
        <v>10000000</v>
      </c>
      <c r="CX55" s="382">
        <f t="shared" si="24"/>
        <v>0</v>
      </c>
      <c r="CZ55" s="382">
        <f>'[1]COE commited funds to date'!AC58</f>
        <v>0</v>
      </c>
      <c r="DA55" s="382">
        <f>'[1]COE DISB 2019'!AC63</f>
        <v>0</v>
      </c>
      <c r="DB55" s="382">
        <f t="shared" si="25"/>
        <v>0</v>
      </c>
      <c r="DC55" s="386"/>
      <c r="DD55" s="382">
        <v>215000000</v>
      </c>
      <c r="DE55" s="382">
        <f>'[1]COE DISB 2019'!AD63</f>
        <v>135450000</v>
      </c>
      <c r="DF55" s="382">
        <f t="shared" si="26"/>
        <v>79550000</v>
      </c>
      <c r="DG55" s="386"/>
      <c r="DH55" s="382">
        <v>10000000</v>
      </c>
      <c r="DI55" s="382">
        <f>'[1]COE DISB 2019'!AE63</f>
        <v>10000000</v>
      </c>
      <c r="DJ55" s="382">
        <f>DH55-DI55</f>
        <v>0</v>
      </c>
      <c r="DK55" s="386"/>
      <c r="DL55" s="382">
        <f>'[1]COE commited funds to date'!AD58</f>
        <v>0</v>
      </c>
      <c r="DM55" s="382">
        <f>'[1]COE DISB 2019'!AF63</f>
        <v>0</v>
      </c>
      <c r="DN55" s="382">
        <f t="shared" si="28"/>
        <v>0</v>
      </c>
      <c r="DO55" s="386"/>
      <c r="DP55" s="382">
        <v>325000000</v>
      </c>
      <c r="DQ55" s="382">
        <f>'[1]COE DISB 2019'!AG63</f>
        <v>204750000</v>
      </c>
      <c r="DR55" s="382">
        <f t="shared" si="29"/>
        <v>120250000</v>
      </c>
      <c r="DS55" s="386"/>
      <c r="DT55" s="353">
        <v>10000000</v>
      </c>
      <c r="DU55" s="382">
        <f>'[1]COE DISB 2019'!AH63</f>
        <v>10000000</v>
      </c>
      <c r="DV55" s="382">
        <f t="shared" si="30"/>
        <v>0</v>
      </c>
      <c r="DW55" s="386"/>
      <c r="DX55" s="382">
        <f>'[1]COE commited funds to date'!AI58</f>
        <v>250000000</v>
      </c>
      <c r="DY55" s="382">
        <f>'[1]COE DISB 2019'!AI63</f>
        <v>250000000</v>
      </c>
      <c r="DZ55" s="382">
        <f t="shared" si="31"/>
        <v>0</v>
      </c>
      <c r="EA55" s="386"/>
      <c r="EB55" s="382">
        <f>'[1]COE commited funds to date'!AJ58</f>
        <v>72000000</v>
      </c>
      <c r="EC55" s="382">
        <f>'[1]COE DISB 2019'!AJ63</f>
        <v>45360000</v>
      </c>
      <c r="ED55" s="382">
        <f t="shared" si="32"/>
        <v>26640000</v>
      </c>
      <c r="EE55" s="386"/>
      <c r="EF55" s="382">
        <f>'[1]COE commited funds to date'!AK58</f>
        <v>8000000</v>
      </c>
      <c r="EG55" s="382">
        <f>'[1]COE DISB 2019'!AK63</f>
        <v>0</v>
      </c>
      <c r="EH55" s="382">
        <f t="shared" si="33"/>
        <v>8000000</v>
      </c>
      <c r="EI55" s="386"/>
      <c r="EJ55" s="382">
        <f>'[1]COE commited funds to date'!AL58</f>
        <v>2000000</v>
      </c>
      <c r="EK55" s="382">
        <f>'[1]COE DISB 2019'!AL63</f>
        <v>0</v>
      </c>
      <c r="EL55" s="382">
        <f t="shared" si="34"/>
        <v>2000000</v>
      </c>
      <c r="EM55" s="386"/>
      <c r="EN55" s="382">
        <f>'[1]COE commited funds to date'!AM58</f>
        <v>7000000</v>
      </c>
      <c r="EO55" s="382">
        <f>'[1]COE DISB 2019'!AM63</f>
        <v>7000000</v>
      </c>
      <c r="EP55" s="382">
        <f t="shared" si="35"/>
        <v>0</v>
      </c>
      <c r="EQ55" s="386"/>
      <c r="ER55" s="382">
        <f>'[1]COE commited funds to date'!AN58</f>
        <v>3600000000</v>
      </c>
      <c r="ES55" s="382">
        <f>'[1]COE DISB 2019'!AN63</f>
        <v>3435000000</v>
      </c>
      <c r="ET55" s="382">
        <f t="shared" si="36"/>
        <v>165000000</v>
      </c>
      <c r="EV55" s="383">
        <f>'[1]COE commited funds to date'!AO58</f>
        <v>371067000</v>
      </c>
      <c r="EW55" s="383">
        <f>'[1]COE DISB 2019'!AO63</f>
        <v>233772210</v>
      </c>
      <c r="EX55" s="383">
        <f t="shared" si="38"/>
        <v>137294790</v>
      </c>
      <c r="EY55" s="380"/>
      <c r="EZ55" s="383">
        <f>'[1]COE commited funds to date'!AQ58</f>
        <v>12000000</v>
      </c>
      <c r="FA55" s="383">
        <f>'[1]COE DISB 2019'!AP63</f>
        <v>11788400</v>
      </c>
      <c r="FB55" s="383">
        <f t="shared" si="39"/>
        <v>211600</v>
      </c>
      <c r="FC55" s="380"/>
      <c r="FD55" s="383">
        <f>'[1]COE commited funds to date'!AR58</f>
        <v>10000000</v>
      </c>
      <c r="FE55" s="383">
        <f>'[1]COE DISB 2019'!AQ63</f>
        <v>0</v>
      </c>
      <c r="FF55" s="383">
        <f t="shared" si="40"/>
        <v>10000000</v>
      </c>
      <c r="FG55" s="380"/>
      <c r="FH55" s="383">
        <f>'[1]COE commited funds to date'!AP58</f>
        <v>8000000</v>
      </c>
      <c r="FI55" s="383">
        <f>'[1]COE DISB 2019'!AR63</f>
        <v>0</v>
      </c>
      <c r="FJ55" s="383">
        <f t="shared" si="41"/>
        <v>8000000</v>
      </c>
      <c r="FK55" s="383">
        <f>'[1]COE commited funds to date'!AS58</f>
        <v>0</v>
      </c>
      <c r="FL55" s="383">
        <f>'[1]COE DISB 2019'!AS63</f>
        <v>0</v>
      </c>
      <c r="FM55" s="383">
        <f t="shared" si="42"/>
        <v>0</v>
      </c>
      <c r="FN55" s="380"/>
      <c r="FO55" s="383">
        <f>'[1]COE commited funds to date'!AT58</f>
        <v>200000000</v>
      </c>
      <c r="FP55" s="383">
        <f>'[1]COE DISB 2019'!AT63</f>
        <v>0</v>
      </c>
      <c r="FQ55" s="383">
        <f t="shared" si="43"/>
        <v>200000000</v>
      </c>
      <c r="FR55" s="380"/>
      <c r="FS55" s="383">
        <f>'[1]COE commited funds to date'!AU58</f>
        <v>75000000</v>
      </c>
      <c r="FT55" s="383">
        <f>'[1]COE DISB 2019'!AU63</f>
        <v>52500000</v>
      </c>
      <c r="FU55" s="383">
        <f t="shared" si="44"/>
        <v>22500000</v>
      </c>
      <c r="FV55" s="380"/>
      <c r="FW55" s="383">
        <f>'[1]COE commited funds to date'!AV58</f>
        <v>8700000</v>
      </c>
      <c r="FX55" s="383">
        <f>'[1]COE DISB 2019'!AV63</f>
        <v>0</v>
      </c>
      <c r="FY55" s="383">
        <f t="shared" si="45"/>
        <v>8700000</v>
      </c>
      <c r="FZ55" s="380"/>
      <c r="GA55" s="383">
        <f>'[1]COE commited funds to date'!AW58</f>
        <v>5000000</v>
      </c>
      <c r="GB55" s="383">
        <f>'[1]COE DISB 2019'!AW63</f>
        <v>0</v>
      </c>
      <c r="GC55" s="383">
        <f t="shared" si="46"/>
        <v>5000000</v>
      </c>
      <c r="GD55" s="380"/>
      <c r="GE55" s="383">
        <f>'[1]COE commited funds to date'!AX58</f>
        <v>20000000</v>
      </c>
      <c r="GF55" s="383">
        <f>'[1]COE DISB 2019'!AX63</f>
        <v>0</v>
      </c>
      <c r="GG55" s="383">
        <f t="shared" si="47"/>
        <v>20000000</v>
      </c>
      <c r="GH55" s="380"/>
      <c r="GI55" s="383">
        <f>'[1]COE commited funds to date'!AY58</f>
        <v>230000000</v>
      </c>
      <c r="GJ55" s="383">
        <f>'[1]COE DISB 2019'!AY63</f>
        <v>0</v>
      </c>
      <c r="GK55" s="383">
        <f t="shared" si="48"/>
        <v>230000000</v>
      </c>
      <c r="GL55" s="380"/>
      <c r="GM55" s="383">
        <f>'[1]COE commited funds to date'!AZ58</f>
        <v>116776600</v>
      </c>
      <c r="GN55" s="383">
        <f>'[1]COE DISB 2019'!AZ63</f>
        <v>0</v>
      </c>
      <c r="GO55" s="383">
        <f t="shared" si="49"/>
        <v>116776600</v>
      </c>
      <c r="GP55" s="380"/>
      <c r="GQ55" s="383">
        <f>'[1]COE commited funds to date'!BA58</f>
        <v>12000000</v>
      </c>
      <c r="GR55" s="383">
        <f>'[1]COE DISB 2019'!BA63</f>
        <v>0</v>
      </c>
      <c r="GS55" s="383">
        <f t="shared" si="50"/>
        <v>12000000</v>
      </c>
      <c r="GT55" s="380"/>
      <c r="GU55" s="383">
        <f>'[1]COE commited funds to date'!BB58</f>
        <v>5000000</v>
      </c>
      <c r="GV55" s="383">
        <f>'[1]COE DISB 2019'!BB63</f>
        <v>0</v>
      </c>
      <c r="GW55" s="383">
        <f t="shared" si="51"/>
        <v>5000000</v>
      </c>
      <c r="GX55" s="380"/>
      <c r="GY55" s="383">
        <f>'[1]COE commited funds to date'!BC58</f>
        <v>10308300</v>
      </c>
      <c r="GZ55" s="383">
        <f>'[1]COE DISB 2019'!BC63</f>
        <v>0</v>
      </c>
      <c r="HA55" s="383">
        <f t="shared" si="52"/>
        <v>10308300</v>
      </c>
      <c r="HB55" s="380"/>
      <c r="HC55" s="383">
        <f t="shared" si="53"/>
        <v>6487761365.5</v>
      </c>
      <c r="HD55" s="383">
        <f t="shared" si="53"/>
        <v>5300530075.5</v>
      </c>
      <c r="HE55" s="382">
        <f t="shared" si="54"/>
        <v>1187231290</v>
      </c>
      <c r="HG55" s="383">
        <f t="shared" si="55"/>
        <v>2079615465.5</v>
      </c>
      <c r="HH55" s="383">
        <f t="shared" si="55"/>
        <v>1285880675.5</v>
      </c>
      <c r="HI55" s="383">
        <f t="shared" si="56"/>
        <v>793734790</v>
      </c>
      <c r="HK55" s="383">
        <f t="shared" si="57"/>
        <v>4060000000</v>
      </c>
      <c r="HL55" s="383">
        <f t="shared" si="57"/>
        <v>3895000000</v>
      </c>
      <c r="HM55" s="383">
        <f t="shared" si="58"/>
        <v>165000000</v>
      </c>
      <c r="HO55" s="383">
        <f t="shared" si="71"/>
        <v>3361000</v>
      </c>
      <c r="HP55" s="383">
        <f t="shared" si="71"/>
        <v>3361000</v>
      </c>
      <c r="HQ55" s="383">
        <f t="shared" si="59"/>
        <v>0</v>
      </c>
      <c r="HS55" s="383">
        <f t="shared" si="60"/>
        <v>89308300</v>
      </c>
      <c r="HT55" s="383">
        <f t="shared" si="60"/>
        <v>58788400</v>
      </c>
      <c r="HU55" s="383">
        <f t="shared" si="61"/>
        <v>30519900</v>
      </c>
      <c r="HW55" s="383">
        <f t="shared" si="62"/>
        <v>36700000</v>
      </c>
      <c r="HX55" s="383">
        <f t="shared" si="62"/>
        <v>0</v>
      </c>
      <c r="HY55" s="383">
        <f t="shared" si="63"/>
        <v>36700000</v>
      </c>
      <c r="IA55" s="387">
        <f t="shared" si="64"/>
        <v>20000000</v>
      </c>
      <c r="IB55" s="387">
        <f t="shared" si="64"/>
        <v>0</v>
      </c>
      <c r="IC55" s="387">
        <f t="shared" si="65"/>
        <v>20000000</v>
      </c>
      <c r="IE55" s="383">
        <f t="shared" si="66"/>
        <v>191776600</v>
      </c>
      <c r="IF55" s="383">
        <f t="shared" si="66"/>
        <v>52500000</v>
      </c>
      <c r="IG55" s="383">
        <f t="shared" si="67"/>
        <v>139276600</v>
      </c>
      <c r="II55" s="383">
        <f t="shared" si="68"/>
        <v>2000000</v>
      </c>
      <c r="IJ55" s="383">
        <f t="shared" si="68"/>
        <v>0</v>
      </c>
      <c r="IK55" s="383">
        <f t="shared" si="69"/>
        <v>2000000</v>
      </c>
    </row>
    <row r="56" spans="1:245" ht="19.5" customHeight="1" x14ac:dyDescent="0.25">
      <c r="A56" s="380">
        <v>53</v>
      </c>
      <c r="B56" s="380" t="s">
        <v>372</v>
      </c>
      <c r="C56" s="381" t="s">
        <v>61</v>
      </c>
      <c r="D56" s="382">
        <v>18318965.5</v>
      </c>
      <c r="E56" s="382">
        <f>'[1]COE DISB 2019'!D64</f>
        <v>18318965.5</v>
      </c>
      <c r="F56" s="383">
        <f t="shared" si="0"/>
        <v>0</v>
      </c>
      <c r="H56" s="382">
        <v>8000000</v>
      </c>
      <c r="I56" s="382">
        <f>'[1]COE DISB 2019'!E64</f>
        <v>8000000</v>
      </c>
      <c r="J56" s="383">
        <f t="shared" si="1"/>
        <v>0</v>
      </c>
      <c r="L56" s="382">
        <v>500000</v>
      </c>
      <c r="M56" s="382">
        <f>'[1]COE DISB 2019'!F64</f>
        <v>500000</v>
      </c>
      <c r="N56" s="383">
        <f t="shared" si="2"/>
        <v>0</v>
      </c>
      <c r="P56" s="385">
        <v>16000000</v>
      </c>
      <c r="Q56" s="382">
        <f>'[1]COE DISB 2019'!G64</f>
        <v>16000000</v>
      </c>
      <c r="R56" s="383">
        <f t="shared" si="3"/>
        <v>0</v>
      </c>
      <c r="T56" s="385">
        <v>844000</v>
      </c>
      <c r="U56" s="382">
        <f>'[1]COE DISB 2019'!H64</f>
        <v>844000</v>
      </c>
      <c r="V56" s="383">
        <f t="shared" si="4"/>
        <v>0</v>
      </c>
      <c r="X56" s="353">
        <v>0</v>
      </c>
      <c r="Y56" s="382">
        <f>'[1]COE DISB 2019'!I64</f>
        <v>0</v>
      </c>
      <c r="Z56" s="383">
        <f t="shared" si="5"/>
        <v>0</v>
      </c>
      <c r="AB56" s="385">
        <v>20000000</v>
      </c>
      <c r="AC56" s="382">
        <f>'[1]COE DISB 2019'!J64</f>
        <v>20000000</v>
      </c>
      <c r="AD56" s="383">
        <f t="shared" si="6"/>
        <v>0</v>
      </c>
      <c r="AF56" s="353">
        <v>0</v>
      </c>
      <c r="AG56" s="382">
        <f>'[1]COE DISB 2019'!K64</f>
        <v>0</v>
      </c>
      <c r="AH56" s="383">
        <f t="shared" si="7"/>
        <v>0</v>
      </c>
      <c r="AJ56" s="385">
        <v>10000000</v>
      </c>
      <c r="AK56" s="382">
        <f>'[1]COE DISB 2019'!L64</f>
        <v>10000000</v>
      </c>
      <c r="AL56" s="383">
        <f t="shared" si="8"/>
        <v>0</v>
      </c>
      <c r="AN56" s="382">
        <v>10000000</v>
      </c>
      <c r="AO56" s="382">
        <f>'[1]COE DISB 2019'!M64</f>
        <v>10000000</v>
      </c>
      <c r="AP56" s="383">
        <f t="shared" si="9"/>
        <v>0</v>
      </c>
      <c r="AR56" s="382">
        <v>15000000</v>
      </c>
      <c r="AS56" s="382">
        <f>'[1]COE DISB 2019'!N64</f>
        <v>15000000</v>
      </c>
      <c r="AT56" s="383">
        <f t="shared" si="10"/>
        <v>0</v>
      </c>
      <c r="AV56" s="382">
        <v>0</v>
      </c>
      <c r="AW56" s="385">
        <f>'[1]COE DISB 2019'!O64</f>
        <v>0</v>
      </c>
      <c r="AX56" s="382">
        <f t="shared" si="11"/>
        <v>0</v>
      </c>
      <c r="AZ56" s="382">
        <v>18000000</v>
      </c>
      <c r="BA56" s="382">
        <f>'[1]COE DISB 2019'!P64</f>
        <v>18000000</v>
      </c>
      <c r="BB56" s="382">
        <f t="shared" si="12"/>
        <v>0</v>
      </c>
      <c r="BD56" s="382">
        <v>23400000</v>
      </c>
      <c r="BE56" s="382">
        <f>'[1]COE DISB 2019'!Q64</f>
        <v>23400000</v>
      </c>
      <c r="BF56" s="382">
        <f t="shared" si="13"/>
        <v>0</v>
      </c>
      <c r="BH56" s="382">
        <v>0</v>
      </c>
      <c r="BI56" s="382">
        <f>'[1]COE DISB 2019'!R64</f>
        <v>0</v>
      </c>
      <c r="BJ56" s="382">
        <f t="shared" si="14"/>
        <v>0</v>
      </c>
      <c r="BL56" s="382">
        <v>43000000</v>
      </c>
      <c r="BM56" s="382">
        <f>'[1]COE DISB 2019'!S64</f>
        <v>43000000</v>
      </c>
      <c r="BN56" s="382">
        <f t="shared" si="15"/>
        <v>0</v>
      </c>
      <c r="BP56" s="382">
        <v>37160000</v>
      </c>
      <c r="BQ56" s="382">
        <f>'[1]COE DISB 2019'!T64</f>
        <v>37160000</v>
      </c>
      <c r="BR56" s="382">
        <f t="shared" si="16"/>
        <v>0</v>
      </c>
      <c r="BT56" s="382">
        <v>0</v>
      </c>
      <c r="BU56" s="382">
        <f>'[1]COE DISB 2019'!U64</f>
        <v>0</v>
      </c>
      <c r="BV56" s="382">
        <f t="shared" si="17"/>
        <v>0</v>
      </c>
      <c r="BX56" s="382">
        <v>112670000</v>
      </c>
      <c r="BY56" s="382">
        <f>'[1]COE DISB 2019'!V64</f>
        <v>112670000</v>
      </c>
      <c r="BZ56" s="382">
        <f t="shared" si="18"/>
        <v>0</v>
      </c>
      <c r="CB56" s="382">
        <f>'[1]COE commited funds to date'!W59</f>
        <v>0</v>
      </c>
      <c r="CC56" s="382">
        <f>'[1]COE DISB 2019'!W64</f>
        <v>0</v>
      </c>
      <c r="CD56" s="382">
        <f t="shared" si="19"/>
        <v>0</v>
      </c>
      <c r="CF56" s="382">
        <f>'[1]COE commited funds to date'!X59</f>
        <v>125000000</v>
      </c>
      <c r="CG56" s="382">
        <f>'[1]COE DISB 2019'!X64</f>
        <v>125000000</v>
      </c>
      <c r="CH56" s="382">
        <f t="shared" si="20"/>
        <v>0</v>
      </c>
      <c r="CJ56" s="382">
        <v>10000000</v>
      </c>
      <c r="CK56" s="382">
        <f>'[1]COE DISB 2019'!Y64</f>
        <v>10000000</v>
      </c>
      <c r="CL56" s="382">
        <f t="shared" si="21"/>
        <v>0</v>
      </c>
      <c r="CN56" s="382">
        <v>0</v>
      </c>
      <c r="CO56" s="382">
        <f>'[1]COE DISB 2019'!Z64</f>
        <v>0</v>
      </c>
      <c r="CP56" s="382">
        <f t="shared" si="22"/>
        <v>0</v>
      </c>
      <c r="CR56" s="382">
        <v>210000000</v>
      </c>
      <c r="CS56" s="382">
        <f>'[1]COE DISB 2019'!AA64</f>
        <v>210000000</v>
      </c>
      <c r="CT56" s="382">
        <f t="shared" si="23"/>
        <v>0</v>
      </c>
      <c r="CV56" s="382">
        <v>10000000</v>
      </c>
      <c r="CW56" s="382">
        <f>'[1]COE DISB 2019'!AB64</f>
        <v>10000000</v>
      </c>
      <c r="CX56" s="382">
        <f t="shared" si="24"/>
        <v>0</v>
      </c>
      <c r="CZ56" s="382">
        <f>'[1]COE commited funds to date'!AC59</f>
        <v>0</v>
      </c>
      <c r="DA56" s="382">
        <f>'[1]COE DISB 2019'!AC64</f>
        <v>0</v>
      </c>
      <c r="DB56" s="382">
        <f t="shared" si="25"/>
        <v>0</v>
      </c>
      <c r="DC56" s="386"/>
      <c r="DD56" s="382">
        <v>215000000</v>
      </c>
      <c r="DE56" s="382">
        <f>'[1]COE DISB 2019'!AD64</f>
        <v>215000000</v>
      </c>
      <c r="DF56" s="382">
        <f t="shared" si="26"/>
        <v>0</v>
      </c>
      <c r="DG56" s="386"/>
      <c r="DH56" s="382">
        <v>10000000</v>
      </c>
      <c r="DI56" s="382">
        <f>'[1]COE DISB 2019'!AE64</f>
        <v>10000000</v>
      </c>
      <c r="DJ56" s="382">
        <f>DH56-DI56</f>
        <v>0</v>
      </c>
      <c r="DK56" s="386"/>
      <c r="DL56" s="382">
        <f>'[1]COE commited funds to date'!AD59</f>
        <v>0</v>
      </c>
      <c r="DM56" s="382">
        <f>'[1]COE DISB 2019'!AF64</f>
        <v>0</v>
      </c>
      <c r="DN56" s="382">
        <f t="shared" si="28"/>
        <v>0</v>
      </c>
      <c r="DO56" s="386"/>
      <c r="DP56" s="382">
        <v>325000000</v>
      </c>
      <c r="DQ56" s="382">
        <f>'[1]COE DISB 2019'!AG64</f>
        <v>325000000</v>
      </c>
      <c r="DR56" s="382">
        <f t="shared" si="29"/>
        <v>0</v>
      </c>
      <c r="DS56" s="386"/>
      <c r="DT56" s="353">
        <v>10000000</v>
      </c>
      <c r="DU56" s="382">
        <f>'[1]COE DISB 2019'!AH64</f>
        <v>10000000</v>
      </c>
      <c r="DV56" s="382">
        <f t="shared" si="30"/>
        <v>0</v>
      </c>
      <c r="DW56" s="386"/>
      <c r="DX56" s="382">
        <f>'[1]COE commited funds to date'!AI59</f>
        <v>41600000</v>
      </c>
      <c r="DY56" s="382">
        <f>'[1]COE DISB 2019'!AI64</f>
        <v>35360000</v>
      </c>
      <c r="DZ56" s="382">
        <f t="shared" si="31"/>
        <v>6240000</v>
      </c>
      <c r="EA56" s="386"/>
      <c r="EB56" s="382">
        <f>'[1]COE commited funds to date'!AJ59</f>
        <v>72000000</v>
      </c>
      <c r="EC56" s="382">
        <f>'[1]COE DISB 2019'!AJ64</f>
        <v>72000000</v>
      </c>
      <c r="ED56" s="382">
        <f t="shared" si="32"/>
        <v>0</v>
      </c>
      <c r="EE56" s="386"/>
      <c r="EF56" s="382">
        <f>'[1]COE commited funds to date'!AK59</f>
        <v>8000000</v>
      </c>
      <c r="EG56" s="382">
        <f>'[1]COE DISB 2019'!AK64</f>
        <v>6800000</v>
      </c>
      <c r="EH56" s="382">
        <f t="shared" si="33"/>
        <v>1200000</v>
      </c>
      <c r="EI56" s="386"/>
      <c r="EJ56" s="382">
        <f>'[1]COE commited funds to date'!AL59</f>
        <v>2000000</v>
      </c>
      <c r="EK56" s="382">
        <f>'[1]COE DISB 2019'!AL64</f>
        <v>0</v>
      </c>
      <c r="EL56" s="382">
        <f t="shared" si="34"/>
        <v>2000000</v>
      </c>
      <c r="EM56" s="386"/>
      <c r="EN56" s="382">
        <f>'[1]COE commited funds to date'!AM59</f>
        <v>7000000</v>
      </c>
      <c r="EO56" s="382">
        <f>'[1]COE DISB 2019'!AM64</f>
        <v>7000000</v>
      </c>
      <c r="EP56" s="382">
        <f t="shared" si="35"/>
        <v>0</v>
      </c>
      <c r="EQ56" s="386"/>
      <c r="ER56" s="382">
        <f>'[1]COE commited funds to date'!AN59</f>
        <v>2000000000</v>
      </c>
      <c r="ES56" s="382">
        <f>'[1]COE DISB 2019'!AN64</f>
        <v>1947500000</v>
      </c>
      <c r="ET56" s="382">
        <f t="shared" si="36"/>
        <v>52500000</v>
      </c>
      <c r="EV56" s="383">
        <f>'[1]COE commited funds to date'!AO59</f>
        <v>371067000</v>
      </c>
      <c r="EW56" s="383">
        <f>'[1]COE DISB 2019'!AO64</f>
        <v>371067000</v>
      </c>
      <c r="EX56" s="383">
        <f t="shared" si="38"/>
        <v>0</v>
      </c>
      <c r="EY56" s="380"/>
      <c r="EZ56" s="383">
        <f>'[1]COE commited funds to date'!AQ59</f>
        <v>12000000</v>
      </c>
      <c r="FA56" s="383">
        <f>'[1]COE DISB 2019'!AP64</f>
        <v>12000000</v>
      </c>
      <c r="FB56" s="383">
        <f t="shared" si="39"/>
        <v>0</v>
      </c>
      <c r="FC56" s="380"/>
      <c r="FD56" s="383">
        <f>'[1]COE commited funds to date'!AR59</f>
        <v>10000000</v>
      </c>
      <c r="FE56" s="383">
        <f>'[1]COE DISB 2019'!AQ64</f>
        <v>0</v>
      </c>
      <c r="FF56" s="383">
        <f t="shared" si="40"/>
        <v>10000000</v>
      </c>
      <c r="FG56" s="380"/>
      <c r="FH56" s="383">
        <f>'[1]COE commited funds to date'!AP59</f>
        <v>8000000</v>
      </c>
      <c r="FI56" s="383">
        <f>'[1]COE DISB 2019'!AR64</f>
        <v>6800000</v>
      </c>
      <c r="FJ56" s="383">
        <f t="shared" si="41"/>
        <v>1200000</v>
      </c>
      <c r="FK56" s="383">
        <f>'[1]COE commited funds to date'!AS59</f>
        <v>0</v>
      </c>
      <c r="FL56" s="383">
        <f>'[1]COE DISB 2019'!AS64</f>
        <v>0</v>
      </c>
      <c r="FM56" s="383">
        <f t="shared" si="42"/>
        <v>0</v>
      </c>
      <c r="FN56" s="380"/>
      <c r="FO56" s="383">
        <f>'[1]COE commited funds to date'!AT59</f>
        <v>200000000</v>
      </c>
      <c r="FP56" s="383">
        <f>'[1]COE DISB 2019'!AT64</f>
        <v>116000000</v>
      </c>
      <c r="FQ56" s="383">
        <f t="shared" si="43"/>
        <v>84000000</v>
      </c>
      <c r="FR56" s="380"/>
      <c r="FS56" s="383">
        <f>'[1]COE commited funds to date'!AU59</f>
        <v>75000000</v>
      </c>
      <c r="FT56" s="383">
        <f>'[1]COE DISB 2019'!AU64</f>
        <v>63750000</v>
      </c>
      <c r="FU56" s="383">
        <f t="shared" si="44"/>
        <v>11250000</v>
      </c>
      <c r="FV56" s="380"/>
      <c r="FW56" s="383">
        <f>'[1]COE commited funds to date'!AV59</f>
        <v>8700000</v>
      </c>
      <c r="FX56" s="383">
        <f>'[1]COE DISB 2019'!AV64</f>
        <v>0</v>
      </c>
      <c r="FY56" s="383">
        <f t="shared" si="45"/>
        <v>8700000</v>
      </c>
      <c r="FZ56" s="380"/>
      <c r="GA56" s="383">
        <f>'[1]COE commited funds to date'!AW59</f>
        <v>5000000</v>
      </c>
      <c r="GB56" s="383">
        <f>'[1]COE DISB 2019'!AW64</f>
        <v>0</v>
      </c>
      <c r="GC56" s="383">
        <f t="shared" si="46"/>
        <v>5000000</v>
      </c>
      <c r="GD56" s="380"/>
      <c r="GE56" s="383">
        <f>'[1]COE commited funds to date'!AX59</f>
        <v>20000000</v>
      </c>
      <c r="GF56" s="383">
        <f>'[1]COE DISB 2019'!AX64</f>
        <v>3661000</v>
      </c>
      <c r="GG56" s="383">
        <f t="shared" si="47"/>
        <v>16339000</v>
      </c>
      <c r="GH56" s="380"/>
      <c r="GI56" s="383">
        <f>'[1]COE commited funds to date'!AY59</f>
        <v>230000000</v>
      </c>
      <c r="GJ56" s="383">
        <f>'[1]COE DISB 2019'!AY64</f>
        <v>133400000</v>
      </c>
      <c r="GK56" s="383">
        <f t="shared" si="48"/>
        <v>96600000</v>
      </c>
      <c r="GL56" s="380"/>
      <c r="GM56" s="383">
        <f>'[1]COE commited funds to date'!AZ59</f>
        <v>116776600</v>
      </c>
      <c r="GN56" s="383">
        <f>'[1]COE DISB 2019'!AZ64</f>
        <v>0</v>
      </c>
      <c r="GO56" s="383">
        <f t="shared" si="49"/>
        <v>116776600</v>
      </c>
      <c r="GP56" s="380"/>
      <c r="GQ56" s="383">
        <f>'[1]COE commited funds to date'!BA59</f>
        <v>12000000</v>
      </c>
      <c r="GR56" s="383">
        <f>'[1]COE DISB 2019'!BA64</f>
        <v>0</v>
      </c>
      <c r="GS56" s="383">
        <f t="shared" si="50"/>
        <v>12000000</v>
      </c>
      <c r="GT56" s="380"/>
      <c r="GU56" s="383">
        <f>'[1]COE commited funds to date'!BB59</f>
        <v>5000000</v>
      </c>
      <c r="GV56" s="383">
        <f>'[1]COE DISB 2019'!BB64</f>
        <v>0</v>
      </c>
      <c r="GW56" s="383">
        <f t="shared" si="51"/>
        <v>5000000</v>
      </c>
      <c r="GX56" s="380"/>
      <c r="GY56" s="383">
        <f>'[1]COE commited funds to date'!BC59</f>
        <v>10308300</v>
      </c>
      <c r="GZ56" s="383">
        <f>'[1]COE DISB 2019'!BC64</f>
        <v>0</v>
      </c>
      <c r="HA56" s="383">
        <f t="shared" si="52"/>
        <v>10308300</v>
      </c>
      <c r="HB56" s="380"/>
      <c r="HC56" s="383">
        <f t="shared" si="53"/>
        <v>4462344865.5</v>
      </c>
      <c r="HD56" s="383">
        <f t="shared" si="53"/>
        <v>4023230965.5</v>
      </c>
      <c r="HE56" s="382">
        <f t="shared" si="54"/>
        <v>439113900</v>
      </c>
      <c r="HG56" s="383">
        <f t="shared" si="55"/>
        <v>2079615965.5</v>
      </c>
      <c r="HH56" s="383">
        <f t="shared" si="55"/>
        <v>1899015965.5</v>
      </c>
      <c r="HI56" s="383">
        <f t="shared" si="56"/>
        <v>180600000</v>
      </c>
      <c r="HK56" s="383">
        <f t="shared" si="57"/>
        <v>2041600000</v>
      </c>
      <c r="HL56" s="383">
        <f t="shared" si="57"/>
        <v>1982860000</v>
      </c>
      <c r="HM56" s="383">
        <f t="shared" si="58"/>
        <v>58740000</v>
      </c>
      <c r="HO56" s="383">
        <f t="shared" si="71"/>
        <v>1344000</v>
      </c>
      <c r="HP56" s="383">
        <f t="shared" si="71"/>
        <v>1344000</v>
      </c>
      <c r="HQ56" s="383">
        <f t="shared" si="59"/>
        <v>0</v>
      </c>
      <c r="HS56" s="383">
        <f t="shared" si="60"/>
        <v>89308300</v>
      </c>
      <c r="HT56" s="383">
        <f t="shared" si="60"/>
        <v>62661000</v>
      </c>
      <c r="HU56" s="383">
        <f t="shared" si="61"/>
        <v>26647300</v>
      </c>
      <c r="HW56" s="383">
        <f t="shared" si="62"/>
        <v>36700000</v>
      </c>
      <c r="HX56" s="383">
        <f t="shared" si="62"/>
        <v>13600000</v>
      </c>
      <c r="HY56" s="383">
        <f t="shared" si="63"/>
        <v>23100000</v>
      </c>
      <c r="IA56" s="387">
        <f t="shared" si="64"/>
        <v>20000000</v>
      </c>
      <c r="IB56" s="387">
        <f t="shared" si="64"/>
        <v>0</v>
      </c>
      <c r="IC56" s="387">
        <f t="shared" si="65"/>
        <v>20000000</v>
      </c>
      <c r="IE56" s="383">
        <f t="shared" si="66"/>
        <v>191776600</v>
      </c>
      <c r="IF56" s="383">
        <f t="shared" si="66"/>
        <v>63750000</v>
      </c>
      <c r="IG56" s="383">
        <f t="shared" si="67"/>
        <v>128026600</v>
      </c>
      <c r="II56" s="383">
        <f t="shared" si="68"/>
        <v>2000000</v>
      </c>
      <c r="IJ56" s="383">
        <f t="shared" si="68"/>
        <v>0</v>
      </c>
      <c r="IK56" s="383">
        <f t="shared" si="69"/>
        <v>2000000</v>
      </c>
    </row>
    <row r="57" spans="1:245" ht="19.5" customHeight="1" x14ac:dyDescent="0.25">
      <c r="A57" s="380" t="s">
        <v>373</v>
      </c>
      <c r="B57" s="380" t="s">
        <v>374</v>
      </c>
      <c r="C57" s="381"/>
      <c r="D57" s="382">
        <v>18318965.5</v>
      </c>
      <c r="E57" s="382">
        <f>'[1]COE DISB 2019'!D65</f>
        <v>18318965.5</v>
      </c>
      <c r="F57" s="383">
        <f t="shared" si="0"/>
        <v>0</v>
      </c>
      <c r="H57" s="382">
        <v>8000000</v>
      </c>
      <c r="I57" s="382">
        <f>'[1]COE DISB 2019'!E65</f>
        <v>8000000</v>
      </c>
      <c r="J57" s="383">
        <f t="shared" si="1"/>
        <v>0</v>
      </c>
      <c r="L57" s="382">
        <v>500000</v>
      </c>
      <c r="M57" s="382">
        <f>'[1]COE DISB 2019'!F65</f>
        <v>500000</v>
      </c>
      <c r="N57" s="383">
        <f t="shared" si="2"/>
        <v>0</v>
      </c>
      <c r="P57" s="385">
        <v>16000000</v>
      </c>
      <c r="Q57" s="382">
        <f>'[1]COE DISB 2019'!G65</f>
        <v>16000000</v>
      </c>
      <c r="R57" s="383">
        <f t="shared" si="3"/>
        <v>0</v>
      </c>
      <c r="T57" s="385">
        <v>966000</v>
      </c>
      <c r="U57" s="382">
        <f>'[1]COE DISB 2019'!H65</f>
        <v>966000</v>
      </c>
      <c r="V57" s="383">
        <f t="shared" si="4"/>
        <v>0</v>
      </c>
      <c r="X57" s="353">
        <v>0</v>
      </c>
      <c r="Y57" s="382">
        <f>'[1]COE DISB 2019'!I65</f>
        <v>0</v>
      </c>
      <c r="Z57" s="383">
        <f t="shared" si="5"/>
        <v>0</v>
      </c>
      <c r="AB57" s="385">
        <v>20000000</v>
      </c>
      <c r="AC57" s="382">
        <f>'[1]COE DISB 2019'!J65</f>
        <v>20000000</v>
      </c>
      <c r="AD57" s="383">
        <f t="shared" si="6"/>
        <v>0</v>
      </c>
      <c r="AF57" s="353">
        <v>0</v>
      </c>
      <c r="AG57" s="382">
        <f>'[1]COE DISB 2019'!K65</f>
        <v>0</v>
      </c>
      <c r="AH57" s="383">
        <f t="shared" si="7"/>
        <v>0</v>
      </c>
      <c r="AJ57" s="385">
        <v>10000000</v>
      </c>
      <c r="AK57" s="382">
        <f>'[1]COE DISB 2019'!L65</f>
        <v>10000000</v>
      </c>
      <c r="AL57" s="383">
        <f t="shared" si="8"/>
        <v>0</v>
      </c>
      <c r="AN57" s="382">
        <v>10000000</v>
      </c>
      <c r="AO57" s="382">
        <f>'[1]COE DISB 2019'!M65</f>
        <v>10000000</v>
      </c>
      <c r="AP57" s="383">
        <f t="shared" si="9"/>
        <v>0</v>
      </c>
      <c r="AR57" s="382">
        <v>15000000</v>
      </c>
      <c r="AS57" s="382">
        <f>'[1]COE DISB 2019'!N65</f>
        <v>15000000</v>
      </c>
      <c r="AT57" s="383">
        <f t="shared" si="10"/>
        <v>0</v>
      </c>
      <c r="AV57" s="382">
        <v>5000000</v>
      </c>
      <c r="AW57" s="388">
        <f>'[1]COE DISB 2019'!O65</f>
        <v>5000000</v>
      </c>
      <c r="AX57" s="382">
        <f t="shared" si="11"/>
        <v>0</v>
      </c>
      <c r="AZ57" s="382">
        <v>18000000</v>
      </c>
      <c r="BA57" s="382">
        <f>'[1]COE DISB 2019'!P65</f>
        <v>18000000</v>
      </c>
      <c r="BB57" s="382">
        <f t="shared" si="12"/>
        <v>0</v>
      </c>
      <c r="BD57" s="382">
        <v>23400000</v>
      </c>
      <c r="BE57" s="382">
        <f>'[1]COE DISB 2019'!Q65</f>
        <v>23400000</v>
      </c>
      <c r="BF57" s="382">
        <f t="shared" si="13"/>
        <v>0</v>
      </c>
      <c r="BH57" s="382">
        <v>0</v>
      </c>
      <c r="BI57" s="382">
        <f>'[1]COE DISB 2019'!R65</f>
        <v>0</v>
      </c>
      <c r="BJ57" s="382">
        <f t="shared" si="14"/>
        <v>0</v>
      </c>
      <c r="BL57" s="382">
        <v>43000000</v>
      </c>
      <c r="BM57" s="382">
        <f>'[1]COE DISB 2019'!S65</f>
        <v>43000000</v>
      </c>
      <c r="BN57" s="382">
        <f t="shared" si="15"/>
        <v>0</v>
      </c>
      <c r="BP57" s="382">
        <v>37160000</v>
      </c>
      <c r="BQ57" s="382">
        <f>'[1]COE DISB 2019'!T65</f>
        <v>37160000</v>
      </c>
      <c r="BR57" s="382">
        <f t="shared" si="16"/>
        <v>0</v>
      </c>
      <c r="BT57" s="382">
        <v>0</v>
      </c>
      <c r="BU57" s="382">
        <f>'[1]COE DISB 2019'!U65</f>
        <v>0</v>
      </c>
      <c r="BV57" s="382">
        <f t="shared" si="17"/>
        <v>0</v>
      </c>
      <c r="BX57" s="382">
        <v>112670000</v>
      </c>
      <c r="BY57" s="382">
        <f>'[1]COE DISB 2019'!V65</f>
        <v>112670000</v>
      </c>
      <c r="BZ57" s="382">
        <f t="shared" si="18"/>
        <v>0</v>
      </c>
      <c r="CB57" s="382">
        <f>'[1]COE commited funds to date'!W60</f>
        <v>855000000</v>
      </c>
      <c r="CC57" s="382">
        <f>'[1]COE DISB 2019'!W65</f>
        <v>855000000</v>
      </c>
      <c r="CD57" s="382">
        <f t="shared" si="19"/>
        <v>0</v>
      </c>
      <c r="CF57" s="382">
        <f>'[1]COE commited funds to date'!X60</f>
        <v>0</v>
      </c>
      <c r="CG57" s="382">
        <f>'[1]COE DISB 2019'!X65</f>
        <v>0</v>
      </c>
      <c r="CH57" s="382">
        <f t="shared" si="20"/>
        <v>0</v>
      </c>
      <c r="CJ57" s="382">
        <v>0</v>
      </c>
      <c r="CK57" s="382">
        <f>'[1]COE DISB 2019'!Y65</f>
        <v>0</v>
      </c>
      <c r="CL57" s="382">
        <f t="shared" si="21"/>
        <v>0</v>
      </c>
      <c r="CN57" s="382">
        <v>500000000</v>
      </c>
      <c r="CO57" s="382">
        <f>'[1]COE DISB 2019'!Z65</f>
        <v>500000000</v>
      </c>
      <c r="CP57" s="382">
        <f t="shared" si="22"/>
        <v>0</v>
      </c>
      <c r="CR57" s="382">
        <v>0</v>
      </c>
      <c r="CS57" s="382">
        <f>'[1]COE DISB 2019'!AA65</f>
        <v>0</v>
      </c>
      <c r="CT57" s="382">
        <f t="shared" si="23"/>
        <v>0</v>
      </c>
      <c r="CV57" s="382">
        <v>0</v>
      </c>
      <c r="CW57" s="382">
        <f>'[1]COE DISB 2019'!AB65</f>
        <v>0</v>
      </c>
      <c r="CX57" s="382">
        <f t="shared" si="24"/>
        <v>0</v>
      </c>
      <c r="CZ57" s="382">
        <f>'[1]COE commited funds to date'!AC60</f>
        <v>0</v>
      </c>
      <c r="DA57" s="382">
        <f>'[1]COE DISB 2019'!AC65</f>
        <v>0</v>
      </c>
      <c r="DB57" s="382">
        <f t="shared" si="25"/>
        <v>0</v>
      </c>
      <c r="DC57" s="386"/>
      <c r="DD57" s="397">
        <v>0</v>
      </c>
      <c r="DE57" s="397">
        <f>'[1]COE DISB 2019'!AD65</f>
        <v>0</v>
      </c>
      <c r="DF57" s="397">
        <v>0</v>
      </c>
      <c r="DG57" s="386"/>
      <c r="DH57" s="397">
        <v>0</v>
      </c>
      <c r="DI57" s="397">
        <f>'[1]COE DISB 2019'!AE65</f>
        <v>0</v>
      </c>
      <c r="DJ57" s="397">
        <v>0</v>
      </c>
      <c r="DK57" s="386"/>
      <c r="DL57" s="382">
        <f>'[1]COE commited funds to date'!AD60</f>
        <v>0</v>
      </c>
      <c r="DM57" s="382">
        <f>'[1]COE DISB 2019'!AF65</f>
        <v>0</v>
      </c>
      <c r="DN57" s="382">
        <f t="shared" si="28"/>
        <v>0</v>
      </c>
      <c r="DO57" s="386"/>
      <c r="DP57" s="382">
        <v>0</v>
      </c>
      <c r="DQ57" s="382">
        <f>'[1]COE DISB 2019'!AG65</f>
        <v>0</v>
      </c>
      <c r="DR57" s="382">
        <f t="shared" si="29"/>
        <v>0</v>
      </c>
      <c r="DS57" s="386"/>
      <c r="DT57" s="353">
        <v>0</v>
      </c>
      <c r="DU57" s="382">
        <f>'[1]COE DISB 2019'!AH65</f>
        <v>0</v>
      </c>
      <c r="DV57" s="382">
        <f t="shared" si="30"/>
        <v>0</v>
      </c>
      <c r="DW57" s="386"/>
      <c r="DX57" s="382">
        <f>'[1]COE commited funds to date'!AI60</f>
        <v>0</v>
      </c>
      <c r="DY57" s="382">
        <f>'[1]COE DISB 2019'!AI65</f>
        <v>0</v>
      </c>
      <c r="DZ57" s="382">
        <f t="shared" si="31"/>
        <v>0</v>
      </c>
      <c r="EA57" s="386"/>
      <c r="EB57" s="382">
        <f>'[1]COE commited funds to date'!AJ60</f>
        <v>0</v>
      </c>
      <c r="EC57" s="382">
        <f>'[1]COE DISB 2019'!AJ65</f>
        <v>0</v>
      </c>
      <c r="ED57" s="382">
        <f t="shared" si="32"/>
        <v>0</v>
      </c>
      <c r="EE57" s="386"/>
      <c r="EF57" s="382">
        <f>'[1]COE commited funds to date'!AK60</f>
        <v>0</v>
      </c>
      <c r="EG57" s="382">
        <f>'[1]COE DISB 2019'!AK65</f>
        <v>0</v>
      </c>
      <c r="EH57" s="382">
        <f t="shared" si="33"/>
        <v>0</v>
      </c>
      <c r="EI57" s="386"/>
      <c r="EJ57" s="382">
        <f>'[1]COE commited funds to date'!AL60</f>
        <v>0</v>
      </c>
      <c r="EK57" s="382">
        <f>'[1]COE DISB 2019'!AL65</f>
        <v>0</v>
      </c>
      <c r="EL57" s="382">
        <f t="shared" si="34"/>
        <v>0</v>
      </c>
      <c r="EM57" s="386"/>
      <c r="EN57" s="382">
        <f>'[1]COE commited funds to date'!AM60</f>
        <v>0</v>
      </c>
      <c r="EO57" s="382">
        <f>'[1]COE DISB 2019'!AM65</f>
        <v>0</v>
      </c>
      <c r="EP57" s="382">
        <f t="shared" si="35"/>
        <v>0</v>
      </c>
      <c r="EQ57" s="386"/>
      <c r="ER57" s="382">
        <f>'[1]COE commited funds to date'!AN60</f>
        <v>0</v>
      </c>
      <c r="ES57" s="382">
        <f>'[1]COE DISB 2019'!AN65</f>
        <v>0</v>
      </c>
      <c r="ET57" s="382">
        <f t="shared" si="36"/>
        <v>0</v>
      </c>
      <c r="EV57" s="383">
        <f>'[1]COE commited funds to date'!AO60</f>
        <v>0</v>
      </c>
      <c r="EW57" s="383">
        <f>'[1]COE DISB 2019'!AO65</f>
        <v>0</v>
      </c>
      <c r="EX57" s="383">
        <f t="shared" si="38"/>
        <v>0</v>
      </c>
      <c r="EY57" s="380"/>
      <c r="EZ57" s="383">
        <f>'[1]COE commited funds to date'!AQ60</f>
        <v>0</v>
      </c>
      <c r="FA57" s="383">
        <f>'[1]COE DISB 2019'!AP65</f>
        <v>0</v>
      </c>
      <c r="FB57" s="383">
        <f t="shared" si="39"/>
        <v>0</v>
      </c>
      <c r="FC57" s="380"/>
      <c r="FD57" s="383">
        <f>'[1]COE commited funds to date'!AR60</f>
        <v>0</v>
      </c>
      <c r="FE57" s="383">
        <f>'[1]COE DISB 2019'!AQ65</f>
        <v>0</v>
      </c>
      <c r="FF57" s="383">
        <f t="shared" si="40"/>
        <v>0</v>
      </c>
      <c r="FG57" s="380"/>
      <c r="FH57" s="383">
        <f>'[1]COE commited funds to date'!AP60</f>
        <v>0</v>
      </c>
      <c r="FI57" s="383">
        <f>'[1]COE DISB 2019'!AR65</f>
        <v>0</v>
      </c>
      <c r="FJ57" s="383">
        <f t="shared" si="41"/>
        <v>0</v>
      </c>
      <c r="FK57" s="383">
        <f>'[1]COE commited funds to date'!AS60</f>
        <v>0</v>
      </c>
      <c r="FL57" s="383">
        <f>'[1]COE DISB 2019'!AS65</f>
        <v>0</v>
      </c>
      <c r="FM57" s="383">
        <f t="shared" si="42"/>
        <v>0</v>
      </c>
      <c r="FN57" s="380"/>
      <c r="FO57" s="383">
        <f>'[1]COE commited funds to date'!AT60</f>
        <v>0</v>
      </c>
      <c r="FP57" s="383">
        <f>'[1]COE DISB 2019'!AT65</f>
        <v>0</v>
      </c>
      <c r="FQ57" s="383">
        <f t="shared" si="43"/>
        <v>0</v>
      </c>
      <c r="FR57" s="380"/>
      <c r="FS57" s="383">
        <f>'[1]COE commited funds to date'!AU60</f>
        <v>0</v>
      </c>
      <c r="FT57" s="383">
        <f>'[1]COE DISB 2019'!AU65</f>
        <v>0</v>
      </c>
      <c r="FU57" s="383">
        <f t="shared" si="44"/>
        <v>0</v>
      </c>
      <c r="FV57" s="380"/>
      <c r="FW57" s="383">
        <f>'[1]COE commited funds to date'!AV60</f>
        <v>0</v>
      </c>
      <c r="FX57" s="383">
        <f>'[1]COE DISB 2019'!AV65</f>
        <v>0</v>
      </c>
      <c r="FY57" s="383">
        <f t="shared" si="45"/>
        <v>0</v>
      </c>
      <c r="FZ57" s="380"/>
      <c r="GA57" s="383">
        <f>'[1]COE commited funds to date'!AW60</f>
        <v>0</v>
      </c>
      <c r="GB57" s="383">
        <f>'[1]COE DISB 2019'!AW65</f>
        <v>0</v>
      </c>
      <c r="GC57" s="383">
        <f t="shared" si="46"/>
        <v>0</v>
      </c>
      <c r="GD57" s="380"/>
      <c r="GE57" s="383">
        <f>'[1]COE commited funds to date'!AX60</f>
        <v>0</v>
      </c>
      <c r="GF57" s="383">
        <f>'[1]COE DISB 2019'!AX65</f>
        <v>0</v>
      </c>
      <c r="GG57" s="383">
        <f t="shared" si="47"/>
        <v>0</v>
      </c>
      <c r="GH57" s="380"/>
      <c r="GI57" s="383">
        <f>'[1]COE commited funds to date'!AY60</f>
        <v>0</v>
      </c>
      <c r="GJ57" s="383">
        <f>'[1]COE DISB 2019'!AY65</f>
        <v>0</v>
      </c>
      <c r="GK57" s="383">
        <f t="shared" si="48"/>
        <v>0</v>
      </c>
      <c r="GL57" s="380"/>
      <c r="GM57" s="383">
        <f>'[1]COE commited funds to date'!AZ60</f>
        <v>0</v>
      </c>
      <c r="GN57" s="383">
        <f>'[1]COE DISB 2019'!AZ65</f>
        <v>0</v>
      </c>
      <c r="GO57" s="383">
        <f t="shared" si="49"/>
        <v>0</v>
      </c>
      <c r="GP57" s="380"/>
      <c r="GQ57" s="383">
        <f>'[1]COE commited funds to date'!BA60</f>
        <v>0</v>
      </c>
      <c r="GR57" s="383">
        <f>'[1]COE DISB 2019'!BA65</f>
        <v>0</v>
      </c>
      <c r="GS57" s="383">
        <f t="shared" si="50"/>
        <v>0</v>
      </c>
      <c r="GT57" s="380"/>
      <c r="GU57" s="383">
        <f>'[1]COE commited funds to date'!BB60</f>
        <v>0</v>
      </c>
      <c r="GV57" s="383">
        <f>'[1]COE DISB 2019'!BB65</f>
        <v>0</v>
      </c>
      <c r="GW57" s="383">
        <f t="shared" si="51"/>
        <v>0</v>
      </c>
      <c r="GX57" s="380"/>
      <c r="GY57" s="383">
        <f>'[1]COE commited funds to date'!BC60</f>
        <v>0</v>
      </c>
      <c r="GZ57" s="383">
        <f>'[1]COE DISB 2019'!BC65</f>
        <v>0</v>
      </c>
      <c r="HA57" s="383">
        <f t="shared" si="52"/>
        <v>0</v>
      </c>
      <c r="HB57" s="380"/>
      <c r="HC57" s="383">
        <f t="shared" si="53"/>
        <v>1693014965.5</v>
      </c>
      <c r="HD57" s="383">
        <f t="shared" si="53"/>
        <v>1693014965.5</v>
      </c>
      <c r="HE57" s="382">
        <f t="shared" si="54"/>
        <v>0</v>
      </c>
      <c r="HG57" s="383">
        <f t="shared" si="55"/>
        <v>331548965.5</v>
      </c>
      <c r="HH57" s="383">
        <f t="shared" si="55"/>
        <v>331548965.5</v>
      </c>
      <c r="HI57" s="383">
        <f t="shared" si="56"/>
        <v>0</v>
      </c>
      <c r="HK57" s="383">
        <f t="shared" si="57"/>
        <v>1355000000</v>
      </c>
      <c r="HL57" s="383">
        <f t="shared" si="57"/>
        <v>1355000000</v>
      </c>
      <c r="HM57" s="383">
        <f t="shared" si="58"/>
        <v>0</v>
      </c>
      <c r="HO57" s="383">
        <f t="shared" si="71"/>
        <v>1466000</v>
      </c>
      <c r="HP57" s="383">
        <f t="shared" si="71"/>
        <v>1466000</v>
      </c>
      <c r="HQ57" s="383">
        <f t="shared" si="59"/>
        <v>0</v>
      </c>
      <c r="HS57" s="383">
        <f t="shared" si="60"/>
        <v>0</v>
      </c>
      <c r="HT57" s="383">
        <f t="shared" si="60"/>
        <v>0</v>
      </c>
      <c r="HU57" s="383">
        <f t="shared" si="61"/>
        <v>0</v>
      </c>
      <c r="HW57" s="383">
        <f t="shared" si="62"/>
        <v>0</v>
      </c>
      <c r="HX57" s="383">
        <f t="shared" si="62"/>
        <v>0</v>
      </c>
      <c r="HY57" s="383">
        <f t="shared" si="63"/>
        <v>0</v>
      </c>
      <c r="IA57" s="387">
        <f t="shared" si="64"/>
        <v>0</v>
      </c>
      <c r="IB57" s="387">
        <f t="shared" si="64"/>
        <v>0</v>
      </c>
      <c r="IC57" s="387">
        <f t="shared" si="65"/>
        <v>0</v>
      </c>
      <c r="IE57" s="383">
        <f t="shared" si="66"/>
        <v>0</v>
      </c>
      <c r="IF57" s="383">
        <f t="shared" si="66"/>
        <v>0</v>
      </c>
      <c r="IG57" s="383">
        <f t="shared" si="67"/>
        <v>0</v>
      </c>
      <c r="II57" s="383">
        <f t="shared" si="68"/>
        <v>0</v>
      </c>
      <c r="IJ57" s="383">
        <f t="shared" si="68"/>
        <v>0</v>
      </c>
      <c r="IK57" s="383">
        <f t="shared" si="69"/>
        <v>0</v>
      </c>
    </row>
    <row r="58" spans="1:245" ht="19.5" customHeight="1" x14ac:dyDescent="0.25">
      <c r="A58" s="380">
        <v>54</v>
      </c>
      <c r="B58" s="380" t="s">
        <v>375</v>
      </c>
      <c r="C58" s="42" t="s">
        <v>63</v>
      </c>
      <c r="D58" s="382">
        <v>18318965.5</v>
      </c>
      <c r="E58" s="382">
        <f>'[1]COE DISB 2019'!D66</f>
        <v>18318965.510000002</v>
      </c>
      <c r="F58" s="383">
        <f t="shared" si="0"/>
        <v>-1.0000001639127731E-2</v>
      </c>
      <c r="H58" s="382">
        <v>8000000</v>
      </c>
      <c r="I58" s="382">
        <f>'[1]COE DISB 2019'!E66</f>
        <v>8000000</v>
      </c>
      <c r="J58" s="383">
        <f t="shared" si="1"/>
        <v>0</v>
      </c>
      <c r="L58" s="382">
        <v>500000</v>
      </c>
      <c r="M58" s="382">
        <f>'[1]COE DISB 2019'!F66</f>
        <v>500000</v>
      </c>
      <c r="N58" s="383">
        <f t="shared" si="2"/>
        <v>0</v>
      </c>
      <c r="P58" s="385">
        <v>16000000</v>
      </c>
      <c r="Q58" s="382">
        <f>'[1]COE DISB 2019'!G66</f>
        <v>16000000</v>
      </c>
      <c r="R58" s="383">
        <f t="shared" si="3"/>
        <v>0</v>
      </c>
      <c r="T58" s="385">
        <v>871000</v>
      </c>
      <c r="U58" s="382">
        <f>'[1]COE DISB 2019'!H66</f>
        <v>871000</v>
      </c>
      <c r="V58" s="383">
        <f t="shared" si="4"/>
        <v>0</v>
      </c>
      <c r="X58" s="353">
        <v>0</v>
      </c>
      <c r="Y58" s="382">
        <f>'[1]COE DISB 2019'!I66</f>
        <v>0</v>
      </c>
      <c r="Z58" s="383">
        <f t="shared" si="5"/>
        <v>0</v>
      </c>
      <c r="AB58" s="385">
        <v>20000000</v>
      </c>
      <c r="AC58" s="382">
        <f>'[1]COE DISB 2019'!J66</f>
        <v>20000000</v>
      </c>
      <c r="AD58" s="383">
        <f t="shared" si="6"/>
        <v>0</v>
      </c>
      <c r="AF58" s="353">
        <v>0</v>
      </c>
      <c r="AG58" s="382">
        <f>'[1]COE DISB 2019'!K66</f>
        <v>0</v>
      </c>
      <c r="AH58" s="383">
        <f t="shared" si="7"/>
        <v>0</v>
      </c>
      <c r="AJ58" s="385">
        <v>10000000</v>
      </c>
      <c r="AK58" s="382">
        <f>'[1]COE DISB 2019'!L66</f>
        <v>10000000</v>
      </c>
      <c r="AL58" s="383">
        <f t="shared" si="8"/>
        <v>0</v>
      </c>
      <c r="AN58" s="382">
        <v>10000000</v>
      </c>
      <c r="AO58" s="382">
        <f>'[1]COE DISB 2019'!M66</f>
        <v>10000000</v>
      </c>
      <c r="AP58" s="383">
        <f t="shared" si="9"/>
        <v>0</v>
      </c>
      <c r="AR58" s="382">
        <v>15000000</v>
      </c>
      <c r="AS58" s="382">
        <f>'[1]COE DISB 2019'!N66</f>
        <v>15000000</v>
      </c>
      <c r="AT58" s="383">
        <f t="shared" si="10"/>
        <v>0</v>
      </c>
      <c r="AV58" s="382">
        <v>5000000</v>
      </c>
      <c r="AW58" s="385">
        <f>'[1]COE DISB 2019'!O66</f>
        <v>5000000</v>
      </c>
      <c r="AX58" s="382">
        <f t="shared" si="11"/>
        <v>0</v>
      </c>
      <c r="AZ58" s="382">
        <v>18000000</v>
      </c>
      <c r="BA58" s="382">
        <f>'[1]COE DISB 2019'!P66</f>
        <v>18000000</v>
      </c>
      <c r="BB58" s="382">
        <f t="shared" si="12"/>
        <v>0</v>
      </c>
      <c r="BD58" s="382">
        <v>23400000</v>
      </c>
      <c r="BE58" s="382">
        <f>'[1]COE DISB 2019'!Q66</f>
        <v>23400000</v>
      </c>
      <c r="BF58" s="382">
        <f t="shared" si="13"/>
        <v>0</v>
      </c>
      <c r="BH58" s="382">
        <v>0</v>
      </c>
      <c r="BI58" s="382">
        <f>'[1]COE DISB 2019'!R66</f>
        <v>0</v>
      </c>
      <c r="BJ58" s="382">
        <f t="shared" si="14"/>
        <v>0</v>
      </c>
      <c r="BL58" s="382">
        <v>43000000</v>
      </c>
      <c r="BM58" s="382">
        <f>'[1]COE DISB 2019'!S66</f>
        <v>43000000</v>
      </c>
      <c r="BN58" s="382">
        <f t="shared" si="15"/>
        <v>0</v>
      </c>
      <c r="BP58" s="382">
        <v>37160000</v>
      </c>
      <c r="BQ58" s="382">
        <f>'[1]COE DISB 2019'!T66</f>
        <v>37160000</v>
      </c>
      <c r="BR58" s="382">
        <f t="shared" si="16"/>
        <v>0</v>
      </c>
      <c r="BT58" s="382">
        <v>0</v>
      </c>
      <c r="BU58" s="382">
        <f>'[1]COE DISB 2019'!U66</f>
        <v>0</v>
      </c>
      <c r="BV58" s="382">
        <f t="shared" si="17"/>
        <v>0</v>
      </c>
      <c r="BX58" s="382">
        <v>112670000</v>
      </c>
      <c r="BY58" s="382">
        <f>'[1]COE DISB 2019'!V66</f>
        <v>112670000</v>
      </c>
      <c r="BZ58" s="382">
        <f t="shared" si="18"/>
        <v>0</v>
      </c>
      <c r="CB58" s="382">
        <f>'[1]COE commited funds to date'!W61</f>
        <v>20000000</v>
      </c>
      <c r="CC58" s="382">
        <f>'[1]COE DISB 2019'!W66</f>
        <v>20000000</v>
      </c>
      <c r="CD58" s="382">
        <f t="shared" si="19"/>
        <v>0</v>
      </c>
      <c r="CF58" s="382">
        <f>'[1]COE commited funds to date'!X61</f>
        <v>125000000</v>
      </c>
      <c r="CG58" s="382">
        <f>'[1]COE DISB 2019'!X66</f>
        <v>125000000</v>
      </c>
      <c r="CH58" s="382">
        <f t="shared" si="20"/>
        <v>0</v>
      </c>
      <c r="CJ58" s="382">
        <v>10000000</v>
      </c>
      <c r="CK58" s="382">
        <f>'[1]COE DISB 2019'!Y66</f>
        <v>10000000</v>
      </c>
      <c r="CL58" s="382">
        <f t="shared" si="21"/>
        <v>0</v>
      </c>
      <c r="CN58" s="382">
        <v>500000000</v>
      </c>
      <c r="CO58" s="382">
        <f>'[1]COE DISB 2019'!Z66</f>
        <v>500000000</v>
      </c>
      <c r="CP58" s="382">
        <f t="shared" si="22"/>
        <v>0</v>
      </c>
      <c r="CR58" s="382">
        <v>210000000</v>
      </c>
      <c r="CS58" s="382">
        <f>'[1]COE DISB 2019'!AA66</f>
        <v>210000000</v>
      </c>
      <c r="CT58" s="382">
        <f t="shared" si="23"/>
        <v>0</v>
      </c>
      <c r="CV58" s="382">
        <v>10000000</v>
      </c>
      <c r="CW58" s="382">
        <f>'[1]COE DISB 2019'!AB66</f>
        <v>10000000</v>
      </c>
      <c r="CX58" s="382">
        <f t="shared" si="24"/>
        <v>0</v>
      </c>
      <c r="CZ58" s="382">
        <f>'[1]COE commited funds to date'!AC61</f>
        <v>542000000</v>
      </c>
      <c r="DA58" s="382">
        <f>'[1]COE DISB 2019'!AC66</f>
        <v>542000000</v>
      </c>
      <c r="DB58" s="382">
        <f t="shared" si="25"/>
        <v>0</v>
      </c>
      <c r="DC58" s="386"/>
      <c r="DD58" s="382">
        <v>215000000</v>
      </c>
      <c r="DE58" s="382">
        <f>'[1]COE DISB 2019'!AD66</f>
        <v>215000000</v>
      </c>
      <c r="DF58" s="382">
        <f>DD58-DE58</f>
        <v>0</v>
      </c>
      <c r="DG58" s="386"/>
      <c r="DH58" s="382">
        <v>10000000</v>
      </c>
      <c r="DI58" s="382">
        <f>'[1]COE DISB 2019'!AE66</f>
        <v>10000000</v>
      </c>
      <c r="DJ58" s="382">
        <f>DH58-DI58</f>
        <v>0</v>
      </c>
      <c r="DK58" s="386"/>
      <c r="DL58" s="382">
        <f>'[1]COE commited funds to date'!AD61</f>
        <v>350000000</v>
      </c>
      <c r="DM58" s="382">
        <f>'[1]COE DISB 2019'!AF66</f>
        <v>350000000</v>
      </c>
      <c r="DN58" s="382">
        <f t="shared" si="28"/>
        <v>0</v>
      </c>
      <c r="DO58" s="386"/>
      <c r="DP58" s="382">
        <v>325000000</v>
      </c>
      <c r="DQ58" s="382">
        <f>'[1]COE DISB 2019'!AG66</f>
        <v>325000000</v>
      </c>
      <c r="DR58" s="382">
        <f t="shared" si="29"/>
        <v>0</v>
      </c>
      <c r="DS58" s="386"/>
      <c r="DT58" s="353">
        <v>10000000</v>
      </c>
      <c r="DU58" s="382">
        <f>'[1]COE DISB 2019'!AH66</f>
        <v>10000000</v>
      </c>
      <c r="DV58" s="382">
        <f t="shared" si="30"/>
        <v>0</v>
      </c>
      <c r="DW58" s="386"/>
      <c r="DX58" s="382">
        <f>'[1]COE commited funds to date'!AI61</f>
        <v>80000000</v>
      </c>
      <c r="DY58" s="382">
        <f>'[1]COE DISB 2019'!AI66</f>
        <v>65000000</v>
      </c>
      <c r="DZ58" s="382">
        <f t="shared" si="31"/>
        <v>15000000</v>
      </c>
      <c r="EA58" s="386"/>
      <c r="EB58" s="382">
        <f>'[1]COE commited funds to date'!AJ61</f>
        <v>72000000</v>
      </c>
      <c r="EC58" s="382">
        <f>'[1]COE DISB 2019'!AJ66</f>
        <v>61200000</v>
      </c>
      <c r="ED58" s="382">
        <f t="shared" si="32"/>
        <v>10800000</v>
      </c>
      <c r="EE58" s="386"/>
      <c r="EF58" s="382">
        <f>'[1]COE commited funds to date'!AK61</f>
        <v>8000000</v>
      </c>
      <c r="EG58" s="382">
        <f>'[1]COE DISB 2019'!AK66</f>
        <v>6800000</v>
      </c>
      <c r="EH58" s="382">
        <f t="shared" si="33"/>
        <v>1200000</v>
      </c>
      <c r="EI58" s="386"/>
      <c r="EJ58" s="382">
        <f>'[1]COE commited funds to date'!AL61</f>
        <v>2000000</v>
      </c>
      <c r="EK58" s="382">
        <f>'[1]COE DISB 2019'!AL66</f>
        <v>0</v>
      </c>
      <c r="EL58" s="382">
        <f t="shared" si="34"/>
        <v>2000000</v>
      </c>
      <c r="EM58" s="386"/>
      <c r="EN58" s="382">
        <f>'[1]COE commited funds to date'!AM61</f>
        <v>7000000</v>
      </c>
      <c r="EO58" s="382">
        <f>'[1]COE DISB 2019'!AM66</f>
        <v>7000000</v>
      </c>
      <c r="EP58" s="382">
        <f t="shared" si="35"/>
        <v>0</v>
      </c>
      <c r="EQ58" s="386"/>
      <c r="ER58" s="382">
        <f>'[1]COE commited funds to date'!AN61</f>
        <v>2500000000</v>
      </c>
      <c r="ES58" s="382">
        <f>'[1]COE DISB 2019'!AN66</f>
        <v>2477500000</v>
      </c>
      <c r="ET58" s="382">
        <f t="shared" si="36"/>
        <v>22500000</v>
      </c>
      <c r="EV58" s="383">
        <f>'[1]COE commited funds to date'!AO61</f>
        <v>371067000</v>
      </c>
      <c r="EW58" s="383">
        <f>'[1]COE DISB 2019'!AO66</f>
        <v>315406950</v>
      </c>
      <c r="EX58" s="383">
        <f t="shared" si="38"/>
        <v>55660050</v>
      </c>
      <c r="EY58" s="380"/>
      <c r="EZ58" s="383">
        <f>'[1]COE commited funds to date'!AQ61</f>
        <v>12000000</v>
      </c>
      <c r="FA58" s="383">
        <f>'[1]COE DISB 2019'!AP66</f>
        <v>12000000</v>
      </c>
      <c r="FB58" s="383">
        <f t="shared" si="39"/>
        <v>0</v>
      </c>
      <c r="FC58" s="380"/>
      <c r="FD58" s="383">
        <f>'[1]COE commited funds to date'!AR61</f>
        <v>10000000</v>
      </c>
      <c r="FE58" s="383">
        <f>'[1]COE DISB 2019'!AQ66</f>
        <v>0</v>
      </c>
      <c r="FF58" s="383">
        <f t="shared" si="40"/>
        <v>10000000</v>
      </c>
      <c r="FG58" s="380"/>
      <c r="FH58" s="383">
        <f>'[1]COE commited funds to date'!AP61</f>
        <v>8000000</v>
      </c>
      <c r="FI58" s="383">
        <f>'[1]COE DISB 2019'!AR66</f>
        <v>6800000</v>
      </c>
      <c r="FJ58" s="383">
        <f t="shared" si="41"/>
        <v>1200000</v>
      </c>
      <c r="FK58" s="383">
        <f>'[1]COE commited funds to date'!AS61</f>
        <v>0</v>
      </c>
      <c r="FL58" s="383">
        <f>'[1]COE DISB 2019'!AS66</f>
        <v>0</v>
      </c>
      <c r="FM58" s="383">
        <f t="shared" si="42"/>
        <v>0</v>
      </c>
      <c r="FN58" s="380"/>
      <c r="FO58" s="383">
        <f>'[1]COE commited funds to date'!AT61</f>
        <v>200000000</v>
      </c>
      <c r="FP58" s="383">
        <f>'[1]COE DISB 2019'!AT66</f>
        <v>0</v>
      </c>
      <c r="FQ58" s="383">
        <f t="shared" si="43"/>
        <v>200000000</v>
      </c>
      <c r="FR58" s="380"/>
      <c r="FS58" s="383">
        <f>'[1]COE commited funds to date'!AU61</f>
        <v>75000000</v>
      </c>
      <c r="FT58" s="383">
        <f>'[1]COE DISB 2019'!AU66</f>
        <v>51750000</v>
      </c>
      <c r="FU58" s="383">
        <f t="shared" si="44"/>
        <v>23250000</v>
      </c>
      <c r="FV58" s="380"/>
      <c r="FW58" s="383">
        <f>'[1]COE commited funds to date'!AV61</f>
        <v>8700000</v>
      </c>
      <c r="FX58" s="383">
        <f>'[1]COE DISB 2019'!AV66</f>
        <v>0</v>
      </c>
      <c r="FY58" s="383">
        <f t="shared" si="45"/>
        <v>8700000</v>
      </c>
      <c r="FZ58" s="380"/>
      <c r="GA58" s="383">
        <f>'[1]COE commited funds to date'!AW61</f>
        <v>5000000</v>
      </c>
      <c r="GB58" s="383">
        <f>'[1]COE DISB 2019'!AW66</f>
        <v>0</v>
      </c>
      <c r="GC58" s="383">
        <f t="shared" si="46"/>
        <v>5000000</v>
      </c>
      <c r="GD58" s="380"/>
      <c r="GE58" s="383">
        <f>'[1]COE commited funds to date'!AX61</f>
        <v>20000000</v>
      </c>
      <c r="GF58" s="383">
        <f>'[1]COE DISB 2019'!AX66</f>
        <v>20000000</v>
      </c>
      <c r="GG58" s="383">
        <f t="shared" si="47"/>
        <v>0</v>
      </c>
      <c r="GH58" s="380"/>
      <c r="GI58" s="383">
        <f>'[1]COE commited funds to date'!AY61</f>
        <v>230000000</v>
      </c>
      <c r="GJ58" s="383">
        <f>'[1]COE DISB 2019'!AY66</f>
        <v>0</v>
      </c>
      <c r="GK58" s="383">
        <f t="shared" si="48"/>
        <v>230000000</v>
      </c>
      <c r="GL58" s="380"/>
      <c r="GM58" s="383">
        <f>'[1]COE commited funds to date'!AZ61</f>
        <v>116776600</v>
      </c>
      <c r="GN58" s="383">
        <f>'[1]COE DISB 2019'!AZ66</f>
        <v>0</v>
      </c>
      <c r="GO58" s="383">
        <f t="shared" si="49"/>
        <v>116776600</v>
      </c>
      <c r="GP58" s="380"/>
      <c r="GQ58" s="383">
        <f>'[1]COE commited funds to date'!BA61</f>
        <v>12000000</v>
      </c>
      <c r="GR58" s="383">
        <f>'[1]COE DISB 2019'!BA66</f>
        <v>0</v>
      </c>
      <c r="GS58" s="383">
        <f t="shared" si="50"/>
        <v>12000000</v>
      </c>
      <c r="GT58" s="380"/>
      <c r="GU58" s="383">
        <f>'[1]COE commited funds to date'!BB61</f>
        <v>5000000</v>
      </c>
      <c r="GV58" s="383">
        <f>'[1]COE DISB 2019'!BB66</f>
        <v>0</v>
      </c>
      <c r="GW58" s="383">
        <f t="shared" si="51"/>
        <v>5000000</v>
      </c>
      <c r="GX58" s="380"/>
      <c r="GY58" s="383">
        <f>'[1]COE commited funds to date'!BC61</f>
        <v>10308300</v>
      </c>
      <c r="GZ58" s="383">
        <f>'[1]COE DISB 2019'!BC66</f>
        <v>10280400</v>
      </c>
      <c r="HA58" s="383">
        <f t="shared" si="52"/>
        <v>27900</v>
      </c>
      <c r="HB58" s="380"/>
      <c r="HC58" s="383">
        <f t="shared" si="53"/>
        <v>6417771865.5</v>
      </c>
      <c r="HD58" s="383">
        <f t="shared" si="53"/>
        <v>5698657315.5100002</v>
      </c>
      <c r="HE58" s="382">
        <f t="shared" si="54"/>
        <v>719114549.98999977</v>
      </c>
      <c r="HG58" s="383">
        <f t="shared" si="55"/>
        <v>2079615965.5</v>
      </c>
      <c r="HH58" s="383">
        <f t="shared" si="55"/>
        <v>1583155915.51</v>
      </c>
      <c r="HI58" s="383">
        <f t="shared" si="56"/>
        <v>496460049.99000001</v>
      </c>
      <c r="HK58" s="383">
        <f t="shared" si="57"/>
        <v>3992000000</v>
      </c>
      <c r="HL58" s="383">
        <f t="shared" si="57"/>
        <v>3954500000</v>
      </c>
      <c r="HM58" s="383">
        <f t="shared" si="58"/>
        <v>37500000</v>
      </c>
      <c r="HO58" s="383">
        <f t="shared" si="71"/>
        <v>1371000</v>
      </c>
      <c r="HP58" s="383">
        <f t="shared" si="71"/>
        <v>1371000</v>
      </c>
      <c r="HQ58" s="383">
        <f t="shared" si="59"/>
        <v>0</v>
      </c>
      <c r="HS58" s="383">
        <f t="shared" si="60"/>
        <v>89308300</v>
      </c>
      <c r="HT58" s="383">
        <f t="shared" si="60"/>
        <v>89280400</v>
      </c>
      <c r="HU58" s="383">
        <f t="shared" si="61"/>
        <v>27900</v>
      </c>
      <c r="HW58" s="383">
        <f t="shared" si="62"/>
        <v>36700000</v>
      </c>
      <c r="HX58" s="383">
        <f t="shared" si="62"/>
        <v>13600000</v>
      </c>
      <c r="HY58" s="383">
        <f t="shared" si="63"/>
        <v>23100000</v>
      </c>
      <c r="IA58" s="387">
        <f t="shared" si="64"/>
        <v>20000000</v>
      </c>
      <c r="IB58" s="387">
        <f t="shared" si="64"/>
        <v>0</v>
      </c>
      <c r="IC58" s="387">
        <f t="shared" si="65"/>
        <v>20000000</v>
      </c>
      <c r="IE58" s="383">
        <f t="shared" si="66"/>
        <v>191776600</v>
      </c>
      <c r="IF58" s="383">
        <f t="shared" si="66"/>
        <v>51750000</v>
      </c>
      <c r="IG58" s="383">
        <f t="shared" si="67"/>
        <v>140026600</v>
      </c>
      <c r="II58" s="383">
        <f t="shared" si="68"/>
        <v>2000000</v>
      </c>
      <c r="IJ58" s="383">
        <f t="shared" si="68"/>
        <v>0</v>
      </c>
      <c r="IK58" s="383">
        <f t="shared" si="69"/>
        <v>2000000</v>
      </c>
    </row>
    <row r="59" spans="1:245" ht="19.5" customHeight="1" x14ac:dyDescent="0.25">
      <c r="A59" s="380">
        <v>55</v>
      </c>
      <c r="B59" s="380" t="s">
        <v>376</v>
      </c>
      <c r="C59" s="42" t="s">
        <v>74</v>
      </c>
      <c r="D59" s="382">
        <v>18318965.5</v>
      </c>
      <c r="E59" s="382">
        <f>'[1]COE DISB 2019'!D67</f>
        <v>20150862.050000001</v>
      </c>
      <c r="F59" s="383">
        <f t="shared" si="0"/>
        <v>-1831896.5500000007</v>
      </c>
      <c r="H59" s="382">
        <v>8000000</v>
      </c>
      <c r="I59" s="382">
        <f>'[1]COE DISB 2019'!E67</f>
        <v>8000000</v>
      </c>
      <c r="J59" s="383">
        <f t="shared" si="1"/>
        <v>0</v>
      </c>
      <c r="L59" s="382">
        <v>500000</v>
      </c>
      <c r="M59" s="382">
        <f>'[1]COE DISB 2019'!F67</f>
        <v>500000</v>
      </c>
      <c r="N59" s="383">
        <f t="shared" si="2"/>
        <v>0</v>
      </c>
      <c r="P59" s="385">
        <v>16000000</v>
      </c>
      <c r="Q59" s="382">
        <f>'[1]COE DISB 2019'!G67</f>
        <v>16000000</v>
      </c>
      <c r="R59" s="383">
        <f t="shared" si="3"/>
        <v>0</v>
      </c>
      <c r="T59" s="385">
        <v>2141000</v>
      </c>
      <c r="U59" s="382">
        <f>'[1]COE DISB 2019'!H67</f>
        <v>2141000</v>
      </c>
      <c r="V59" s="383">
        <f t="shared" si="4"/>
        <v>0</v>
      </c>
      <c r="X59" s="353">
        <v>0</v>
      </c>
      <c r="Y59" s="382">
        <f>'[1]COE DISB 2019'!I67</f>
        <v>0</v>
      </c>
      <c r="Z59" s="383">
        <f t="shared" si="5"/>
        <v>0</v>
      </c>
      <c r="AB59" s="385">
        <v>20000000</v>
      </c>
      <c r="AC59" s="382">
        <f>'[1]COE DISB 2019'!J67</f>
        <v>20000000</v>
      </c>
      <c r="AD59" s="383">
        <f t="shared" si="6"/>
        <v>0</v>
      </c>
      <c r="AF59" s="385">
        <v>281000</v>
      </c>
      <c r="AG59" s="382">
        <f>'[1]COE DISB 2019'!K67</f>
        <v>281000</v>
      </c>
      <c r="AH59" s="383">
        <f t="shared" si="7"/>
        <v>0</v>
      </c>
      <c r="AJ59" s="385">
        <v>10000000</v>
      </c>
      <c r="AK59" s="382">
        <f>'[1]COE DISB 2019'!L67</f>
        <v>10000000</v>
      </c>
      <c r="AL59" s="383">
        <f t="shared" si="8"/>
        <v>0</v>
      </c>
      <c r="AN59" s="382">
        <v>10000000</v>
      </c>
      <c r="AO59" s="382">
        <f>'[1]COE DISB 2019'!M67</f>
        <v>10000000</v>
      </c>
      <c r="AP59" s="383">
        <f t="shared" si="9"/>
        <v>0</v>
      </c>
      <c r="AR59" s="382">
        <v>15000000</v>
      </c>
      <c r="AS59" s="382">
        <f>'[1]COE DISB 2019'!N67</f>
        <v>15000000</v>
      </c>
      <c r="AT59" s="383">
        <f t="shared" si="10"/>
        <v>0</v>
      </c>
      <c r="AV59" s="382">
        <v>5000000</v>
      </c>
      <c r="AW59" s="385">
        <f>'[1]COE DISB 2019'!O67</f>
        <v>5000000</v>
      </c>
      <c r="AX59" s="382">
        <f t="shared" si="11"/>
        <v>0</v>
      </c>
      <c r="AZ59" s="382">
        <v>18000000</v>
      </c>
      <c r="BA59" s="382">
        <f>'[1]COE DISB 2019'!P67</f>
        <v>18000000</v>
      </c>
      <c r="BB59" s="382">
        <f t="shared" si="12"/>
        <v>0</v>
      </c>
      <c r="BD59" s="382">
        <v>23400000</v>
      </c>
      <c r="BE59" s="382">
        <f>'[1]COE DISB 2019'!Q67</f>
        <v>23400000</v>
      </c>
      <c r="BF59" s="382">
        <f t="shared" si="13"/>
        <v>0</v>
      </c>
      <c r="BH59" s="382">
        <v>0</v>
      </c>
      <c r="BI59" s="382">
        <f>'[1]COE DISB 2019'!R67</f>
        <v>0</v>
      </c>
      <c r="BJ59" s="382">
        <f t="shared" si="14"/>
        <v>0</v>
      </c>
      <c r="BL59" s="382">
        <v>43000000</v>
      </c>
      <c r="BM59" s="382">
        <f>'[1]COE DISB 2019'!S67</f>
        <v>43000000</v>
      </c>
      <c r="BN59" s="382">
        <f t="shared" si="15"/>
        <v>0</v>
      </c>
      <c r="BP59" s="382">
        <v>37160000</v>
      </c>
      <c r="BQ59" s="382">
        <f>'[1]COE DISB 2019'!T67</f>
        <v>37160000</v>
      </c>
      <c r="BR59" s="382">
        <f t="shared" si="16"/>
        <v>0</v>
      </c>
      <c r="BT59" s="382">
        <v>0</v>
      </c>
      <c r="BU59" s="382">
        <f>'[1]COE DISB 2019'!U67</f>
        <v>0</v>
      </c>
      <c r="BV59" s="382">
        <f t="shared" si="17"/>
        <v>0</v>
      </c>
      <c r="BX59" s="382">
        <v>112670000</v>
      </c>
      <c r="BY59" s="382">
        <f>'[1]COE DISB 2019'!V67</f>
        <v>112670000</v>
      </c>
      <c r="BZ59" s="382">
        <f t="shared" si="18"/>
        <v>0</v>
      </c>
      <c r="CB59" s="382">
        <f>'[1]COE commited funds to date'!W62</f>
        <v>50000000</v>
      </c>
      <c r="CC59" s="382">
        <f>'[1]COE DISB 2019'!W67</f>
        <v>50000000</v>
      </c>
      <c r="CD59" s="382">
        <f t="shared" si="19"/>
        <v>0</v>
      </c>
      <c r="CF59" s="382">
        <f>'[1]COE commited funds to date'!X62</f>
        <v>125000000</v>
      </c>
      <c r="CG59" s="382">
        <f>'[1]COE DISB 2019'!X67</f>
        <v>125000000</v>
      </c>
      <c r="CH59" s="382">
        <f t="shared" si="20"/>
        <v>0</v>
      </c>
      <c r="CJ59" s="382">
        <v>10000000</v>
      </c>
      <c r="CK59" s="382">
        <f>'[1]COE DISB 2019'!Y67</f>
        <v>10000000</v>
      </c>
      <c r="CL59" s="382">
        <f t="shared" si="21"/>
        <v>0</v>
      </c>
      <c r="CN59" s="382">
        <v>525000000</v>
      </c>
      <c r="CO59" s="382">
        <f>'[1]COE DISB 2019'!Z67</f>
        <v>525000000</v>
      </c>
      <c r="CP59" s="382">
        <f t="shared" si="22"/>
        <v>0</v>
      </c>
      <c r="CR59" s="382">
        <v>210000000</v>
      </c>
      <c r="CS59" s="382">
        <f>'[1]COE DISB 2019'!AA67</f>
        <v>210000000</v>
      </c>
      <c r="CT59" s="382">
        <f t="shared" si="23"/>
        <v>0</v>
      </c>
      <c r="CV59" s="382">
        <v>10000000</v>
      </c>
      <c r="CW59" s="382">
        <f>'[1]COE DISB 2019'!AB67</f>
        <v>10000000</v>
      </c>
      <c r="CX59" s="382">
        <f t="shared" si="24"/>
        <v>0</v>
      </c>
      <c r="CZ59" s="382">
        <f>'[1]COE commited funds to date'!AC62</f>
        <v>500000000</v>
      </c>
      <c r="DA59" s="382">
        <f>'[1]COE DISB 2019'!AC67</f>
        <v>500000000</v>
      </c>
      <c r="DB59" s="382">
        <f t="shared" si="25"/>
        <v>0</v>
      </c>
      <c r="DC59" s="386"/>
      <c r="DD59" s="382">
        <v>215000000</v>
      </c>
      <c r="DE59" s="382">
        <f>'[1]COE DISB 2019'!AD67</f>
        <v>182750000</v>
      </c>
      <c r="DF59" s="382">
        <f>DD59-DE59</f>
        <v>32250000</v>
      </c>
      <c r="DG59" s="386"/>
      <c r="DH59" s="382">
        <v>10000000</v>
      </c>
      <c r="DI59" s="382">
        <f>'[1]COE DISB 2019'!AE67</f>
        <v>10000000</v>
      </c>
      <c r="DJ59" s="382">
        <f>DH59-DI59</f>
        <v>0</v>
      </c>
      <c r="DK59" s="386"/>
      <c r="DL59" s="382">
        <f>'[1]COE commited funds to date'!AD62</f>
        <v>0</v>
      </c>
      <c r="DM59" s="382">
        <f>'[1]COE DISB 2019'!AF67</f>
        <v>0</v>
      </c>
      <c r="DN59" s="382">
        <f t="shared" si="28"/>
        <v>0</v>
      </c>
      <c r="DO59" s="386"/>
      <c r="DP59" s="382">
        <v>325000000</v>
      </c>
      <c r="DQ59" s="382">
        <f>'[1]COE DISB 2019'!AG67</f>
        <v>325000000</v>
      </c>
      <c r="DR59" s="382">
        <f t="shared" si="29"/>
        <v>0</v>
      </c>
      <c r="DS59" s="386"/>
      <c r="DT59" s="353">
        <v>10000000</v>
      </c>
      <c r="DU59" s="382">
        <f>'[1]COE DISB 2019'!AH67</f>
        <v>10000000</v>
      </c>
      <c r="DV59" s="382">
        <f t="shared" si="30"/>
        <v>0</v>
      </c>
      <c r="DW59" s="386"/>
      <c r="DX59" s="382">
        <f>'[1]COE commited funds to date'!AI62</f>
        <v>110000000</v>
      </c>
      <c r="DY59" s="382">
        <f>'[1]COE DISB 2019'!AI67</f>
        <v>107000000</v>
      </c>
      <c r="DZ59" s="382">
        <f t="shared" si="31"/>
        <v>3000000</v>
      </c>
      <c r="EA59" s="386"/>
      <c r="EB59" s="382">
        <f>'[1]COE commited funds to date'!AJ62</f>
        <v>72000000</v>
      </c>
      <c r="EC59" s="382">
        <f>'[1]COE DISB 2019'!AJ67</f>
        <v>72000000</v>
      </c>
      <c r="ED59" s="382">
        <f t="shared" si="32"/>
        <v>0</v>
      </c>
      <c r="EE59" s="386"/>
      <c r="EF59" s="382">
        <f>'[1]COE commited funds to date'!AK62</f>
        <v>8000000</v>
      </c>
      <c r="EG59" s="382">
        <f>'[1]COE DISB 2019'!AK67</f>
        <v>8000000</v>
      </c>
      <c r="EH59" s="382">
        <f t="shared" si="33"/>
        <v>0</v>
      </c>
      <c r="EI59" s="386"/>
      <c r="EJ59" s="382">
        <f>'[1]COE commited funds to date'!AL62</f>
        <v>2000000</v>
      </c>
      <c r="EK59" s="382">
        <f>'[1]COE DISB 2019'!AL67</f>
        <v>0</v>
      </c>
      <c r="EL59" s="382">
        <f t="shared" si="34"/>
        <v>2000000</v>
      </c>
      <c r="EM59" s="386"/>
      <c r="EN59" s="382">
        <f>'[1]COE commited funds to date'!AM62</f>
        <v>7000000</v>
      </c>
      <c r="EO59" s="382">
        <f>'[1]COE DISB 2019'!AM67</f>
        <v>6960400</v>
      </c>
      <c r="EP59" s="382">
        <f t="shared" si="35"/>
        <v>39600</v>
      </c>
      <c r="EQ59" s="386"/>
      <c r="ER59" s="382">
        <f>'[1]COE commited funds to date'!AN62</f>
        <v>5000000000</v>
      </c>
      <c r="ES59" s="382">
        <f>'[1]COE DISB 2019'!AN67</f>
        <v>4897550000</v>
      </c>
      <c r="ET59" s="382">
        <f t="shared" si="36"/>
        <v>102450000</v>
      </c>
      <c r="EV59" s="383">
        <f>'[1]COE commited funds to date'!AO62</f>
        <v>371067000</v>
      </c>
      <c r="EW59" s="383">
        <f>'[1]COE DISB 2019'!AO67</f>
        <v>371067000</v>
      </c>
      <c r="EX59" s="383">
        <f t="shared" si="38"/>
        <v>0</v>
      </c>
      <c r="EY59" s="380"/>
      <c r="EZ59" s="383">
        <f>'[1]COE commited funds to date'!AQ62</f>
        <v>12000000</v>
      </c>
      <c r="FA59" s="383">
        <f>'[1]COE DISB 2019'!AP67</f>
        <v>0</v>
      </c>
      <c r="FB59" s="383">
        <f t="shared" si="39"/>
        <v>12000000</v>
      </c>
      <c r="FC59" s="380"/>
      <c r="FD59" s="383">
        <f>'[1]COE commited funds to date'!AR62</f>
        <v>10000000</v>
      </c>
      <c r="FE59" s="383">
        <f>'[1]COE DISB 2019'!AQ67</f>
        <v>0</v>
      </c>
      <c r="FF59" s="383">
        <f t="shared" si="40"/>
        <v>10000000</v>
      </c>
      <c r="FG59" s="380"/>
      <c r="FH59" s="383">
        <f>'[1]COE commited funds to date'!AP62</f>
        <v>8000000</v>
      </c>
      <c r="FI59" s="383">
        <f>'[1]COE DISB 2019'!AR67</f>
        <v>8000000</v>
      </c>
      <c r="FJ59" s="383">
        <f t="shared" si="41"/>
        <v>0</v>
      </c>
      <c r="FK59" s="383">
        <f>'[1]COE commited funds to date'!AS62</f>
        <v>0</v>
      </c>
      <c r="FL59" s="383">
        <f>'[1]COE DISB 2019'!AS67</f>
        <v>0</v>
      </c>
      <c r="FM59" s="383">
        <f t="shared" si="42"/>
        <v>0</v>
      </c>
      <c r="FN59" s="380"/>
      <c r="FO59" s="383">
        <f>'[1]COE commited funds to date'!AT62</f>
        <v>200000000</v>
      </c>
      <c r="FP59" s="383">
        <f>'[1]COE DISB 2019'!AT67</f>
        <v>0</v>
      </c>
      <c r="FQ59" s="383">
        <f t="shared" si="43"/>
        <v>200000000</v>
      </c>
      <c r="FR59" s="380"/>
      <c r="FS59" s="383">
        <f>'[1]COE commited funds to date'!AU62</f>
        <v>75000000</v>
      </c>
      <c r="FT59" s="383">
        <f>'[1]COE DISB 2019'!AU67</f>
        <v>75000000</v>
      </c>
      <c r="FU59" s="383">
        <f t="shared" si="44"/>
        <v>0</v>
      </c>
      <c r="FV59" s="380"/>
      <c r="FW59" s="383">
        <f>'[1]COE commited funds to date'!AV62</f>
        <v>8700000</v>
      </c>
      <c r="FX59" s="383">
        <f>'[1]COE DISB 2019'!AV67</f>
        <v>0</v>
      </c>
      <c r="FY59" s="383">
        <f t="shared" si="45"/>
        <v>8700000</v>
      </c>
      <c r="FZ59" s="380"/>
      <c r="GA59" s="383">
        <f>'[1]COE commited funds to date'!AW62</f>
        <v>5000000</v>
      </c>
      <c r="GB59" s="383">
        <f>'[1]COE DISB 2019'!AW67</f>
        <v>0</v>
      </c>
      <c r="GC59" s="383">
        <f t="shared" si="46"/>
        <v>5000000</v>
      </c>
      <c r="GD59" s="380"/>
      <c r="GE59" s="383">
        <f>'[1]COE commited funds to date'!AX62</f>
        <v>20000000</v>
      </c>
      <c r="GF59" s="383">
        <f>'[1]COE DISB 2019'!AX67</f>
        <v>0</v>
      </c>
      <c r="GG59" s="383">
        <f t="shared" si="47"/>
        <v>20000000</v>
      </c>
      <c r="GH59" s="380"/>
      <c r="GI59" s="383">
        <f>'[1]COE commited funds to date'!AY62</f>
        <v>230000000</v>
      </c>
      <c r="GJ59" s="383">
        <f>'[1]COE DISB 2019'!AY67</f>
        <v>0</v>
      </c>
      <c r="GK59" s="383">
        <f t="shared" si="48"/>
        <v>230000000</v>
      </c>
      <c r="GL59" s="380"/>
      <c r="GM59" s="383">
        <f>'[1]COE commited funds to date'!AZ62</f>
        <v>116776600</v>
      </c>
      <c r="GN59" s="383">
        <f>'[1]COE DISB 2019'!AZ67</f>
        <v>0</v>
      </c>
      <c r="GO59" s="383">
        <f t="shared" si="49"/>
        <v>116776600</v>
      </c>
      <c r="GP59" s="380"/>
      <c r="GQ59" s="383">
        <f>'[1]COE commited funds to date'!BA62</f>
        <v>12000000</v>
      </c>
      <c r="GR59" s="383">
        <f>'[1]COE DISB 2019'!BA67</f>
        <v>0</v>
      </c>
      <c r="GS59" s="383">
        <f t="shared" si="50"/>
        <v>12000000</v>
      </c>
      <c r="GT59" s="380"/>
      <c r="GU59" s="383">
        <f>'[1]COE commited funds to date'!BB62</f>
        <v>5000000</v>
      </c>
      <c r="GV59" s="383">
        <f>'[1]COE DISB 2019'!BB67</f>
        <v>0</v>
      </c>
      <c r="GW59" s="383">
        <f t="shared" si="51"/>
        <v>5000000</v>
      </c>
      <c r="GX59" s="380"/>
      <c r="GY59" s="383">
        <f>'[1]COE commited funds to date'!BC62</f>
        <v>10308300</v>
      </c>
      <c r="GZ59" s="383">
        <f>'[1]COE DISB 2019'!BC67</f>
        <v>0</v>
      </c>
      <c r="HA59" s="383">
        <f t="shared" si="52"/>
        <v>10308300</v>
      </c>
      <c r="HB59" s="380"/>
      <c r="HC59" s="383">
        <f t="shared" si="53"/>
        <v>8612322865.5</v>
      </c>
      <c r="HD59" s="383">
        <f t="shared" si="53"/>
        <v>7844630262.0500002</v>
      </c>
      <c r="HE59" s="382">
        <f t="shared" si="54"/>
        <v>767692603.44999981</v>
      </c>
      <c r="HG59" s="383">
        <f t="shared" si="55"/>
        <v>2079615965.5</v>
      </c>
      <c r="HH59" s="383">
        <f t="shared" si="55"/>
        <v>1619197862.05</v>
      </c>
      <c r="HI59" s="383">
        <f t="shared" si="56"/>
        <v>460418103.45000005</v>
      </c>
      <c r="HK59" s="383">
        <f t="shared" si="57"/>
        <v>6185000000</v>
      </c>
      <c r="HL59" s="383">
        <f t="shared" si="57"/>
        <v>6079550000</v>
      </c>
      <c r="HM59" s="383">
        <f t="shared" si="58"/>
        <v>105450000</v>
      </c>
      <c r="HO59" s="383">
        <f t="shared" si="71"/>
        <v>2922000</v>
      </c>
      <c r="HP59" s="383">
        <f t="shared" si="71"/>
        <v>2922000</v>
      </c>
      <c r="HQ59" s="383">
        <f t="shared" si="59"/>
        <v>0</v>
      </c>
      <c r="HS59" s="383">
        <f t="shared" si="60"/>
        <v>89308300</v>
      </c>
      <c r="HT59" s="383">
        <f t="shared" si="60"/>
        <v>46960400</v>
      </c>
      <c r="HU59" s="383">
        <f t="shared" si="61"/>
        <v>42347900</v>
      </c>
      <c r="HW59" s="383">
        <f t="shared" si="62"/>
        <v>36700000</v>
      </c>
      <c r="HX59" s="383">
        <f t="shared" si="62"/>
        <v>16000000</v>
      </c>
      <c r="HY59" s="383">
        <f t="shared" si="63"/>
        <v>20700000</v>
      </c>
      <c r="IA59" s="387">
        <f t="shared" si="64"/>
        <v>20000000</v>
      </c>
      <c r="IB59" s="387">
        <f t="shared" si="64"/>
        <v>0</v>
      </c>
      <c r="IC59" s="387">
        <f t="shared" si="65"/>
        <v>20000000</v>
      </c>
      <c r="IE59" s="383">
        <f t="shared" si="66"/>
        <v>191776600</v>
      </c>
      <c r="IF59" s="383">
        <f t="shared" si="66"/>
        <v>75000000</v>
      </c>
      <c r="IG59" s="383">
        <f t="shared" si="67"/>
        <v>116776600</v>
      </c>
      <c r="II59" s="383">
        <f t="shared" si="68"/>
        <v>2000000</v>
      </c>
      <c r="IJ59" s="383">
        <f t="shared" si="68"/>
        <v>0</v>
      </c>
      <c r="IK59" s="383">
        <f t="shared" si="69"/>
        <v>2000000</v>
      </c>
    </row>
    <row r="60" spans="1:245" ht="19.5" customHeight="1" x14ac:dyDescent="0.25">
      <c r="A60" s="380">
        <v>56</v>
      </c>
      <c r="B60" s="380" t="s">
        <v>377</v>
      </c>
      <c r="C60" s="42" t="s">
        <v>74</v>
      </c>
      <c r="D60" s="382">
        <v>18318965.5</v>
      </c>
      <c r="E60" s="382">
        <f>'[1]COE DISB 2019'!D68</f>
        <v>18319965.489999998</v>
      </c>
      <c r="F60" s="383">
        <f t="shared" si="0"/>
        <v>-999.98999999836087</v>
      </c>
      <c r="H60" s="382">
        <v>8000000</v>
      </c>
      <c r="I60" s="382">
        <f>'[1]COE DISB 2019'!E68</f>
        <v>8000000</v>
      </c>
      <c r="J60" s="383">
        <f t="shared" si="1"/>
        <v>0</v>
      </c>
      <c r="L60" s="382">
        <v>500000</v>
      </c>
      <c r="M60" s="382">
        <f>'[1]COE DISB 2019'!F68</f>
        <v>500000</v>
      </c>
      <c r="N60" s="383">
        <f t="shared" si="2"/>
        <v>0</v>
      </c>
      <c r="P60" s="385">
        <v>16000000</v>
      </c>
      <c r="Q60" s="382">
        <f>'[1]COE DISB 2019'!G68</f>
        <v>16000000</v>
      </c>
      <c r="R60" s="383">
        <f t="shared" si="3"/>
        <v>0</v>
      </c>
      <c r="T60" s="385">
        <v>145000</v>
      </c>
      <c r="U60" s="382">
        <f>'[1]COE DISB 2019'!H68</f>
        <v>145000</v>
      </c>
      <c r="V60" s="383">
        <f t="shared" si="4"/>
        <v>0</v>
      </c>
      <c r="X60" s="353">
        <v>0</v>
      </c>
      <c r="Y60" s="382">
        <f>'[1]COE DISB 2019'!I68</f>
        <v>0</v>
      </c>
      <c r="Z60" s="383">
        <f t="shared" si="5"/>
        <v>0</v>
      </c>
      <c r="AB60" s="385">
        <v>20000000</v>
      </c>
      <c r="AC60" s="382">
        <f>'[1]COE DISB 2019'!J68</f>
        <v>20000000</v>
      </c>
      <c r="AD60" s="383">
        <f t="shared" si="6"/>
        <v>0</v>
      </c>
      <c r="AF60" s="353">
        <v>0</v>
      </c>
      <c r="AG60" s="382">
        <f>'[1]COE DISB 2019'!K68</f>
        <v>0</v>
      </c>
      <c r="AH60" s="383">
        <f t="shared" si="7"/>
        <v>0</v>
      </c>
      <c r="AJ60" s="385">
        <v>10000000</v>
      </c>
      <c r="AK60" s="382">
        <f>'[1]COE DISB 2019'!L68</f>
        <v>10000000</v>
      </c>
      <c r="AL60" s="383">
        <f t="shared" si="8"/>
        <v>0</v>
      </c>
      <c r="AN60" s="382">
        <v>10000000</v>
      </c>
      <c r="AO60" s="382">
        <f>'[1]COE DISB 2019'!M68</f>
        <v>10000000</v>
      </c>
      <c r="AP60" s="383">
        <f t="shared" si="9"/>
        <v>0</v>
      </c>
      <c r="AR60" s="382">
        <v>15000000</v>
      </c>
      <c r="AS60" s="382">
        <f>'[1]COE DISB 2019'!N68</f>
        <v>15000000</v>
      </c>
      <c r="AT60" s="383">
        <f t="shared" si="10"/>
        <v>0</v>
      </c>
      <c r="AV60" s="382">
        <v>0</v>
      </c>
      <c r="AW60" s="385">
        <f>'[1]COE DISB 2019'!O68</f>
        <v>0</v>
      </c>
      <c r="AX60" s="382">
        <f t="shared" si="11"/>
        <v>0</v>
      </c>
      <c r="AZ60" s="382">
        <v>18000000</v>
      </c>
      <c r="BA60" s="382">
        <f>'[1]COE DISB 2019'!P68</f>
        <v>18000000</v>
      </c>
      <c r="BB60" s="382">
        <f t="shared" si="12"/>
        <v>0</v>
      </c>
      <c r="BD60" s="382">
        <v>23400000</v>
      </c>
      <c r="BE60" s="382">
        <f>'[1]COE DISB 2019'!Q68</f>
        <v>23400000</v>
      </c>
      <c r="BF60" s="382">
        <f t="shared" si="13"/>
        <v>0</v>
      </c>
      <c r="BH60" s="382">
        <v>0</v>
      </c>
      <c r="BI60" s="382">
        <f>'[1]COE DISB 2019'!R68</f>
        <v>0</v>
      </c>
      <c r="BJ60" s="382">
        <f t="shared" si="14"/>
        <v>0</v>
      </c>
      <c r="BL60" s="382">
        <v>43000000</v>
      </c>
      <c r="BM60" s="382">
        <f>'[1]COE DISB 2019'!S68</f>
        <v>43000000</v>
      </c>
      <c r="BN60" s="382">
        <f t="shared" si="15"/>
        <v>0</v>
      </c>
      <c r="BP60" s="382">
        <v>37160000</v>
      </c>
      <c r="BQ60" s="382">
        <f>'[1]COE DISB 2019'!T68</f>
        <v>37160000</v>
      </c>
      <c r="BR60" s="382">
        <f t="shared" si="16"/>
        <v>0</v>
      </c>
      <c r="BT60" s="382">
        <v>28650100</v>
      </c>
      <c r="BU60" s="382">
        <f>'[1]COE DISB 2019'!U68</f>
        <v>28650100</v>
      </c>
      <c r="BV60" s="382">
        <f t="shared" si="17"/>
        <v>0</v>
      </c>
      <c r="BX60" s="382">
        <v>112670000</v>
      </c>
      <c r="BY60" s="382">
        <f>'[1]COE DISB 2019'!V68</f>
        <v>112670000</v>
      </c>
      <c r="BZ60" s="382">
        <f t="shared" si="18"/>
        <v>0</v>
      </c>
      <c r="CB60" s="382">
        <f>'[1]COE commited funds to date'!W63</f>
        <v>50000000</v>
      </c>
      <c r="CC60" s="382">
        <f>'[1]COE DISB 2019'!W68</f>
        <v>50000000</v>
      </c>
      <c r="CD60" s="382">
        <f t="shared" si="19"/>
        <v>0</v>
      </c>
      <c r="CF60" s="382">
        <f>'[1]COE commited funds to date'!X63</f>
        <v>125000000</v>
      </c>
      <c r="CG60" s="382">
        <f>'[1]COE DISB 2019'!X68</f>
        <v>125000000</v>
      </c>
      <c r="CH60" s="382">
        <f t="shared" si="20"/>
        <v>0</v>
      </c>
      <c r="CJ60" s="382">
        <v>10000000</v>
      </c>
      <c r="CK60" s="382">
        <f>'[1]COE DISB 2019'!Y68</f>
        <v>10000000</v>
      </c>
      <c r="CL60" s="382">
        <f t="shared" si="21"/>
        <v>0</v>
      </c>
      <c r="CN60" s="382">
        <v>120000000</v>
      </c>
      <c r="CO60" s="382">
        <f>'[1]COE DISB 2019'!Z68</f>
        <v>120000000</v>
      </c>
      <c r="CP60" s="382">
        <f t="shared" si="22"/>
        <v>0</v>
      </c>
      <c r="CR60" s="382">
        <v>210000000</v>
      </c>
      <c r="CS60" s="382">
        <f>'[1]COE DISB 2019'!AA68</f>
        <v>210000000</v>
      </c>
      <c r="CT60" s="382">
        <f t="shared" si="23"/>
        <v>0</v>
      </c>
      <c r="CV60" s="382">
        <v>10000000</v>
      </c>
      <c r="CW60" s="382">
        <f>'[1]COE DISB 2019'!AB68</f>
        <v>10000000</v>
      </c>
      <c r="CX60" s="382">
        <f t="shared" si="24"/>
        <v>0</v>
      </c>
      <c r="CZ60" s="382">
        <f>'[1]COE commited funds to date'!AC63</f>
        <v>217000000</v>
      </c>
      <c r="DA60" s="382">
        <f>'[1]COE DISB 2019'!AC68</f>
        <v>217000000</v>
      </c>
      <c r="DB60" s="382">
        <f t="shared" si="25"/>
        <v>0</v>
      </c>
      <c r="DC60" s="386"/>
      <c r="DD60" s="382">
        <v>215000000</v>
      </c>
      <c r="DE60" s="382">
        <f>'[1]COE DISB 2019'!AD68</f>
        <v>215000000</v>
      </c>
      <c r="DF60" s="382">
        <f>DD60-DE60</f>
        <v>0</v>
      </c>
      <c r="DG60" s="386"/>
      <c r="DH60" s="382">
        <v>10000000</v>
      </c>
      <c r="DI60" s="382">
        <f>'[1]COE DISB 2019'!AE68</f>
        <v>10000000</v>
      </c>
      <c r="DJ60" s="382">
        <f>DH60-DI60</f>
        <v>0</v>
      </c>
      <c r="DK60" s="386"/>
      <c r="DL60" s="382">
        <f>'[1]COE commited funds to date'!AD63</f>
        <v>0</v>
      </c>
      <c r="DM60" s="382">
        <f>'[1]COE DISB 2019'!AF68</f>
        <v>0</v>
      </c>
      <c r="DN60" s="382">
        <f t="shared" si="28"/>
        <v>0</v>
      </c>
      <c r="DO60" s="386"/>
      <c r="DP60" s="382">
        <v>325000000</v>
      </c>
      <c r="DQ60" s="382">
        <f>'[1]COE DISB 2019'!AG68</f>
        <v>325000000</v>
      </c>
      <c r="DR60" s="382">
        <f t="shared" si="29"/>
        <v>0</v>
      </c>
      <c r="DS60" s="386"/>
      <c r="DT60" s="353">
        <v>10000000</v>
      </c>
      <c r="DU60" s="382">
        <f>'[1]COE DISB 2019'!AH68</f>
        <v>10000000</v>
      </c>
      <c r="DV60" s="382">
        <f t="shared" si="30"/>
        <v>0</v>
      </c>
      <c r="DW60" s="386"/>
      <c r="DX60" s="382">
        <f>'[1]COE commited funds to date'!AI63</f>
        <v>41600000</v>
      </c>
      <c r="DY60" s="382">
        <f>'[1]COE DISB 2019'!AI68</f>
        <v>41600000</v>
      </c>
      <c r="DZ60" s="382">
        <f t="shared" si="31"/>
        <v>0</v>
      </c>
      <c r="EA60" s="386"/>
      <c r="EB60" s="382">
        <f>'[1]COE commited funds to date'!AJ63</f>
        <v>72000000</v>
      </c>
      <c r="EC60" s="382">
        <f>'[1]COE DISB 2019'!AJ68</f>
        <v>46800000</v>
      </c>
      <c r="ED60" s="382">
        <f t="shared" si="32"/>
        <v>25200000</v>
      </c>
      <c r="EE60" s="386"/>
      <c r="EF60" s="382">
        <f>'[1]COE commited funds to date'!AK63</f>
        <v>8000000</v>
      </c>
      <c r="EG60" s="382">
        <f>'[1]COE DISB 2019'!AK68</f>
        <v>6800000</v>
      </c>
      <c r="EH60" s="382">
        <f t="shared" si="33"/>
        <v>1200000</v>
      </c>
      <c r="EI60" s="386"/>
      <c r="EJ60" s="382">
        <f>'[1]COE commited funds to date'!AL63</f>
        <v>2000000</v>
      </c>
      <c r="EK60" s="382">
        <f>'[1]COE DISB 2019'!AL68</f>
        <v>0</v>
      </c>
      <c r="EL60" s="382">
        <f t="shared" si="34"/>
        <v>2000000</v>
      </c>
      <c r="EM60" s="386"/>
      <c r="EN60" s="382">
        <f>'[1]COE commited funds to date'!AM63</f>
        <v>7000000</v>
      </c>
      <c r="EO60" s="382">
        <f>'[1]COE DISB 2019'!AM68</f>
        <v>7000000</v>
      </c>
      <c r="EP60" s="382">
        <f t="shared" si="35"/>
        <v>0</v>
      </c>
      <c r="EQ60" s="386"/>
      <c r="ER60" s="382">
        <f>'[1]COE commited funds to date'!AN63</f>
        <v>100000000</v>
      </c>
      <c r="ES60" s="382">
        <f>'[1]COE DISB 2019'!AN68</f>
        <v>100000000</v>
      </c>
      <c r="ET60" s="382">
        <f t="shared" si="36"/>
        <v>0</v>
      </c>
      <c r="EV60" s="383">
        <f>'[1]COE commited funds to date'!AO63</f>
        <v>371067000</v>
      </c>
      <c r="EW60" s="383">
        <f>'[1]COE DISB 2019'!AO68</f>
        <v>241193550</v>
      </c>
      <c r="EX60" s="383">
        <f t="shared" si="38"/>
        <v>129873450</v>
      </c>
      <c r="EY60" s="380"/>
      <c r="EZ60" s="383">
        <f>'[1]COE commited funds to date'!AQ63</f>
        <v>12000000</v>
      </c>
      <c r="FA60" s="383">
        <f>'[1]COE DISB 2019'!AP68</f>
        <v>12000000</v>
      </c>
      <c r="FB60" s="383">
        <f t="shared" si="39"/>
        <v>0</v>
      </c>
      <c r="FC60" s="380"/>
      <c r="FD60" s="383">
        <f>'[1]COE commited funds to date'!AR63</f>
        <v>10000000</v>
      </c>
      <c r="FE60" s="383">
        <f>'[1]COE DISB 2019'!AQ68</f>
        <v>0</v>
      </c>
      <c r="FF60" s="383">
        <f t="shared" si="40"/>
        <v>10000000</v>
      </c>
      <c r="FG60" s="380"/>
      <c r="FH60" s="383">
        <f>'[1]COE commited funds to date'!AP63</f>
        <v>8000000</v>
      </c>
      <c r="FI60" s="383">
        <f>'[1]COE DISB 2019'!AR68</f>
        <v>6800000</v>
      </c>
      <c r="FJ60" s="383">
        <f t="shared" si="41"/>
        <v>1200000</v>
      </c>
      <c r="FK60" s="383">
        <f>'[1]COE commited funds to date'!AS63</f>
        <v>0</v>
      </c>
      <c r="FL60" s="383">
        <f>'[1]COE DISB 2019'!AS68</f>
        <v>0</v>
      </c>
      <c r="FM60" s="383">
        <f t="shared" si="42"/>
        <v>0</v>
      </c>
      <c r="FN60" s="380"/>
      <c r="FO60" s="383">
        <f>'[1]COE commited funds to date'!AT63</f>
        <v>200000000</v>
      </c>
      <c r="FP60" s="383">
        <f>'[1]COE DISB 2019'!AT68</f>
        <v>0</v>
      </c>
      <c r="FQ60" s="383">
        <f t="shared" si="43"/>
        <v>200000000</v>
      </c>
      <c r="FR60" s="380"/>
      <c r="FS60" s="383">
        <f>'[1]COE commited funds to date'!AU63</f>
        <v>75000000</v>
      </c>
      <c r="FT60" s="383">
        <f>'[1]COE DISB 2019'!AU68</f>
        <v>63750000</v>
      </c>
      <c r="FU60" s="383">
        <f t="shared" si="44"/>
        <v>11250000</v>
      </c>
      <c r="FV60" s="380"/>
      <c r="FW60" s="383">
        <f>'[1]COE commited funds to date'!AV63</f>
        <v>8700000</v>
      </c>
      <c r="FX60" s="383">
        <f>'[1]COE DISB 2019'!AV68</f>
        <v>0</v>
      </c>
      <c r="FY60" s="383">
        <f t="shared" si="45"/>
        <v>8700000</v>
      </c>
      <c r="FZ60" s="380"/>
      <c r="GA60" s="383">
        <f>'[1]COE commited funds to date'!AW63</f>
        <v>5000000</v>
      </c>
      <c r="GB60" s="383">
        <f>'[1]COE DISB 2019'!AW68</f>
        <v>0</v>
      </c>
      <c r="GC60" s="383">
        <f t="shared" si="46"/>
        <v>5000000</v>
      </c>
      <c r="GD60" s="380"/>
      <c r="GE60" s="383">
        <f>'[1]COE commited funds to date'!AX63</f>
        <v>20000000</v>
      </c>
      <c r="GF60" s="383">
        <f>'[1]COE DISB 2019'!AX68</f>
        <v>19623200</v>
      </c>
      <c r="GG60" s="383">
        <f t="shared" si="47"/>
        <v>376800</v>
      </c>
      <c r="GH60" s="380"/>
      <c r="GI60" s="383">
        <f>'[1]COE commited funds to date'!AY63</f>
        <v>230000000</v>
      </c>
      <c r="GJ60" s="383">
        <f>'[1]COE DISB 2019'!AY68</f>
        <v>0</v>
      </c>
      <c r="GK60" s="383">
        <f t="shared" si="48"/>
        <v>230000000</v>
      </c>
      <c r="GL60" s="380"/>
      <c r="GM60" s="383">
        <f>'[1]COE commited funds to date'!AZ63</f>
        <v>116776600</v>
      </c>
      <c r="GN60" s="383">
        <f>'[1]COE DISB 2019'!AZ68</f>
        <v>0</v>
      </c>
      <c r="GO60" s="383">
        <f t="shared" si="49"/>
        <v>116776600</v>
      </c>
      <c r="GP60" s="380"/>
      <c r="GQ60" s="383">
        <f>'[1]COE commited funds to date'!BA63</f>
        <v>12000000</v>
      </c>
      <c r="GR60" s="383">
        <f>'[1]COE DISB 2019'!BA68</f>
        <v>0</v>
      </c>
      <c r="GS60" s="383">
        <f t="shared" si="50"/>
        <v>12000000</v>
      </c>
      <c r="GT60" s="380"/>
      <c r="GU60" s="383">
        <f>'[1]COE commited funds to date'!BB63</f>
        <v>5000000</v>
      </c>
      <c r="GV60" s="383">
        <f>'[1]COE DISB 2019'!BB68</f>
        <v>0</v>
      </c>
      <c r="GW60" s="383">
        <f t="shared" si="51"/>
        <v>5000000</v>
      </c>
      <c r="GX60" s="380"/>
      <c r="GY60" s="383">
        <f>'[1]COE commited funds to date'!BC63</f>
        <v>10308300</v>
      </c>
      <c r="GZ60" s="383">
        <f>'[1]COE DISB 2019'!BC68</f>
        <v>0</v>
      </c>
      <c r="HA60" s="383">
        <f t="shared" si="52"/>
        <v>10308300</v>
      </c>
      <c r="HB60" s="380"/>
      <c r="HC60" s="383">
        <f t="shared" si="53"/>
        <v>2977295965.5</v>
      </c>
      <c r="HD60" s="383">
        <f t="shared" si="53"/>
        <v>2208411815.4899998</v>
      </c>
      <c r="HE60" s="382">
        <f t="shared" si="54"/>
        <v>768884150.01000023</v>
      </c>
      <c r="HG60" s="383">
        <f t="shared" si="55"/>
        <v>2079615965.5</v>
      </c>
      <c r="HH60" s="383">
        <f t="shared" si="55"/>
        <v>1494543515.49</v>
      </c>
      <c r="HI60" s="383">
        <f t="shared" si="56"/>
        <v>585072450.00999999</v>
      </c>
      <c r="HK60" s="383">
        <f t="shared" si="57"/>
        <v>557250100</v>
      </c>
      <c r="HL60" s="383">
        <f t="shared" si="57"/>
        <v>557250100</v>
      </c>
      <c r="HM60" s="383">
        <f t="shared" si="58"/>
        <v>0</v>
      </c>
      <c r="HO60" s="383">
        <f t="shared" si="71"/>
        <v>645000</v>
      </c>
      <c r="HP60" s="383">
        <f t="shared" si="71"/>
        <v>645000</v>
      </c>
      <c r="HQ60" s="383">
        <f t="shared" si="59"/>
        <v>0</v>
      </c>
      <c r="HS60" s="383">
        <f t="shared" si="60"/>
        <v>89308300</v>
      </c>
      <c r="HT60" s="383">
        <f t="shared" si="60"/>
        <v>78623200</v>
      </c>
      <c r="HU60" s="383">
        <f t="shared" si="61"/>
        <v>10685100</v>
      </c>
      <c r="HW60" s="383">
        <f t="shared" si="62"/>
        <v>36700000</v>
      </c>
      <c r="HX60" s="383">
        <f t="shared" si="62"/>
        <v>13600000</v>
      </c>
      <c r="HY60" s="383">
        <f t="shared" si="63"/>
        <v>23100000</v>
      </c>
      <c r="IA60" s="387">
        <f t="shared" si="64"/>
        <v>20000000</v>
      </c>
      <c r="IB60" s="387">
        <f t="shared" si="64"/>
        <v>0</v>
      </c>
      <c r="IC60" s="387">
        <f t="shared" si="65"/>
        <v>20000000</v>
      </c>
      <c r="IE60" s="383">
        <f t="shared" si="66"/>
        <v>191776600</v>
      </c>
      <c r="IF60" s="383">
        <f t="shared" si="66"/>
        <v>63750000</v>
      </c>
      <c r="IG60" s="383">
        <f t="shared" si="67"/>
        <v>128026600</v>
      </c>
      <c r="II60" s="383">
        <f t="shared" si="68"/>
        <v>2000000</v>
      </c>
      <c r="IJ60" s="383">
        <f t="shared" si="68"/>
        <v>0</v>
      </c>
      <c r="IK60" s="383">
        <f t="shared" si="69"/>
        <v>2000000</v>
      </c>
    </row>
    <row r="61" spans="1:245" ht="19.5" customHeight="1" x14ac:dyDescent="0.25">
      <c r="A61" s="380">
        <v>57</v>
      </c>
      <c r="B61" s="380" t="s">
        <v>378</v>
      </c>
      <c r="C61" s="401" t="s">
        <v>63</v>
      </c>
      <c r="D61" s="382">
        <v>0</v>
      </c>
      <c r="E61" s="382">
        <f>'[1]COE DISB 2019'!D69</f>
        <v>0</v>
      </c>
      <c r="F61" s="383">
        <f t="shared" si="0"/>
        <v>0</v>
      </c>
      <c r="H61" s="382">
        <v>0</v>
      </c>
      <c r="I61" s="382">
        <f>'[1]COE DISB 2019'!E69</f>
        <v>0</v>
      </c>
      <c r="J61" s="383">
        <f t="shared" si="1"/>
        <v>0</v>
      </c>
      <c r="L61" s="382">
        <v>0</v>
      </c>
      <c r="M61" s="382">
        <f>'[1]COE DISB 2019'!F69</f>
        <v>0</v>
      </c>
      <c r="N61" s="383">
        <f t="shared" si="2"/>
        <v>0</v>
      </c>
      <c r="P61" s="353">
        <v>0</v>
      </c>
      <c r="Q61" s="382">
        <f>'[1]COE DISB 2019'!G69</f>
        <v>0</v>
      </c>
      <c r="R61" s="383">
        <f t="shared" si="3"/>
        <v>0</v>
      </c>
      <c r="T61" s="353">
        <v>0</v>
      </c>
      <c r="U61" s="382">
        <f>'[1]COE DISB 2019'!H69</f>
        <v>0</v>
      </c>
      <c r="V61" s="383">
        <f t="shared" si="4"/>
        <v>0</v>
      </c>
      <c r="X61" s="353">
        <v>0</v>
      </c>
      <c r="Y61" s="382">
        <f>'[1]COE DISB 2019'!I69</f>
        <v>0</v>
      </c>
      <c r="Z61" s="383">
        <f t="shared" si="5"/>
        <v>0</v>
      </c>
      <c r="AB61" s="385">
        <v>20000000</v>
      </c>
      <c r="AC61" s="382">
        <f>'[1]COE DISB 2019'!J69</f>
        <v>20000000</v>
      </c>
      <c r="AD61" s="383">
        <f t="shared" si="6"/>
        <v>0</v>
      </c>
      <c r="AF61" s="353">
        <v>0</v>
      </c>
      <c r="AG61" s="382">
        <f>'[1]COE DISB 2019'!K69</f>
        <v>0</v>
      </c>
      <c r="AH61" s="383">
        <f t="shared" si="7"/>
        <v>0</v>
      </c>
      <c r="AJ61" s="385">
        <v>10000000</v>
      </c>
      <c r="AK61" s="382">
        <f>'[1]COE DISB 2019'!L69</f>
        <v>10000000</v>
      </c>
      <c r="AL61" s="383">
        <f t="shared" si="8"/>
        <v>0</v>
      </c>
      <c r="AN61" s="382">
        <v>10000000</v>
      </c>
      <c r="AO61" s="382">
        <f>'[1]COE DISB 2019'!M69</f>
        <v>10000000</v>
      </c>
      <c r="AP61" s="383">
        <f t="shared" si="9"/>
        <v>0</v>
      </c>
      <c r="AR61" s="382">
        <v>15000000</v>
      </c>
      <c r="AS61" s="382">
        <f>'[1]COE DISB 2019'!N69</f>
        <v>15000000</v>
      </c>
      <c r="AT61" s="383">
        <f t="shared" si="10"/>
        <v>0</v>
      </c>
      <c r="AV61" s="382">
        <v>0</v>
      </c>
      <c r="AW61" s="385">
        <f>'[1]COE DISB 2019'!O69</f>
        <v>0</v>
      </c>
      <c r="AX61" s="382">
        <f t="shared" si="11"/>
        <v>0</v>
      </c>
      <c r="AZ61" s="382">
        <v>18000000</v>
      </c>
      <c r="BA61" s="382">
        <f>'[1]COE DISB 2019'!P69</f>
        <v>18000000</v>
      </c>
      <c r="BB61" s="382">
        <f t="shared" si="12"/>
        <v>0</v>
      </c>
      <c r="BD61" s="382">
        <v>23400000</v>
      </c>
      <c r="BE61" s="382">
        <f>'[1]COE DISB 2019'!Q69</f>
        <v>23400000</v>
      </c>
      <c r="BF61" s="382">
        <f t="shared" si="13"/>
        <v>0</v>
      </c>
      <c r="BH61" s="382">
        <v>0</v>
      </c>
      <c r="BI61" s="382">
        <f>'[1]COE DISB 2019'!R69</f>
        <v>0</v>
      </c>
      <c r="BJ61" s="382">
        <f t="shared" si="14"/>
        <v>0</v>
      </c>
      <c r="BL61" s="382">
        <v>43000000</v>
      </c>
      <c r="BM61" s="382">
        <f>'[1]COE DISB 2019'!S69</f>
        <v>43000000</v>
      </c>
      <c r="BN61" s="382">
        <f t="shared" si="15"/>
        <v>0</v>
      </c>
      <c r="BP61" s="382">
        <v>37160000</v>
      </c>
      <c r="BQ61" s="382">
        <f>'[1]COE DISB 2019'!T69</f>
        <v>37160000</v>
      </c>
      <c r="BR61" s="382">
        <f t="shared" si="16"/>
        <v>0</v>
      </c>
      <c r="BT61" s="382">
        <v>0</v>
      </c>
      <c r="BU61" s="382">
        <f>'[1]COE DISB 2019'!U69</f>
        <v>0</v>
      </c>
      <c r="BV61" s="382">
        <f t="shared" si="17"/>
        <v>0</v>
      </c>
      <c r="BX61" s="382">
        <v>112669500</v>
      </c>
      <c r="BY61" s="382">
        <f>'[1]COE DISB 2019'!V69</f>
        <v>112669500</v>
      </c>
      <c r="BZ61" s="382">
        <f t="shared" si="18"/>
        <v>0</v>
      </c>
      <c r="CB61" s="382">
        <f>'[1]COE commited funds to date'!W64</f>
        <v>0</v>
      </c>
      <c r="CC61" s="382">
        <f>'[1]COE DISB 2019'!W69</f>
        <v>0</v>
      </c>
      <c r="CD61" s="382">
        <f t="shared" si="19"/>
        <v>0</v>
      </c>
      <c r="CF61" s="382">
        <f>'[1]COE commited funds to date'!X64</f>
        <v>125000000</v>
      </c>
      <c r="CG61" s="382">
        <f>'[1]COE DISB 2019'!X69</f>
        <v>125000000</v>
      </c>
      <c r="CH61" s="382">
        <f t="shared" si="20"/>
        <v>0</v>
      </c>
      <c r="CJ61" s="382">
        <v>10000000</v>
      </c>
      <c r="CK61" s="382">
        <f>'[1]COE DISB 2019'!Y69</f>
        <v>10000000</v>
      </c>
      <c r="CL61" s="382">
        <f t="shared" si="21"/>
        <v>0</v>
      </c>
      <c r="CN61" s="382">
        <v>250000000</v>
      </c>
      <c r="CO61" s="382">
        <f>'[1]COE DISB 2019'!Z69</f>
        <v>250000000</v>
      </c>
      <c r="CP61" s="382">
        <f t="shared" si="22"/>
        <v>0</v>
      </c>
      <c r="CR61" s="382">
        <v>210000000</v>
      </c>
      <c r="CS61" s="382">
        <f>'[1]COE DISB 2019'!AA69</f>
        <v>210000000</v>
      </c>
      <c r="CT61" s="382">
        <f t="shared" si="23"/>
        <v>0</v>
      </c>
      <c r="CV61" s="382">
        <v>10000000</v>
      </c>
      <c r="CW61" s="382">
        <f>'[1]COE DISB 2019'!AB69</f>
        <v>10000000</v>
      </c>
      <c r="CX61" s="382">
        <f t="shared" si="24"/>
        <v>0</v>
      </c>
      <c r="CZ61" s="382">
        <f>'[1]COE commited funds to date'!AC64</f>
        <v>400000000</v>
      </c>
      <c r="DA61" s="382">
        <f>'[1]COE DISB 2019'!AC69</f>
        <v>400000000</v>
      </c>
      <c r="DB61" s="382">
        <f t="shared" si="25"/>
        <v>0</v>
      </c>
      <c r="DC61" s="386"/>
      <c r="DD61" s="382">
        <v>215000000</v>
      </c>
      <c r="DE61" s="382">
        <f>'[1]COE DISB 2019'!AD69</f>
        <v>215000000</v>
      </c>
      <c r="DF61" s="382">
        <f>DD61-DE61</f>
        <v>0</v>
      </c>
      <c r="DG61" s="386"/>
      <c r="DH61" s="382">
        <v>10000000</v>
      </c>
      <c r="DI61" s="382">
        <f>'[1]COE DISB 2019'!AE69</f>
        <v>10000000</v>
      </c>
      <c r="DJ61" s="382">
        <f>DH61-DI61</f>
        <v>0</v>
      </c>
      <c r="DK61" s="386"/>
      <c r="DL61" s="382">
        <f>'[1]COE commited funds to date'!AD64</f>
        <v>0</v>
      </c>
      <c r="DM61" s="382">
        <f>'[1]COE DISB 2019'!AF69</f>
        <v>0</v>
      </c>
      <c r="DN61" s="382">
        <f t="shared" si="28"/>
        <v>0</v>
      </c>
      <c r="DO61" s="386"/>
      <c r="DP61" s="382">
        <v>325000000</v>
      </c>
      <c r="DQ61" s="382">
        <f>'[1]COE DISB 2019'!AG69</f>
        <v>325000000</v>
      </c>
      <c r="DR61" s="382">
        <f t="shared" si="29"/>
        <v>0</v>
      </c>
      <c r="DS61" s="386"/>
      <c r="DT61" s="353">
        <v>10000000</v>
      </c>
      <c r="DU61" s="382">
        <f>'[1]COE DISB 2019'!AH69</f>
        <v>10000000</v>
      </c>
      <c r="DV61" s="382">
        <f t="shared" si="30"/>
        <v>0</v>
      </c>
      <c r="DW61" s="386"/>
      <c r="DX61" s="382">
        <f>'[1]COE commited funds to date'!AI64</f>
        <v>280000000</v>
      </c>
      <c r="DY61" s="382">
        <f>'[1]COE DISB 2019'!AI69</f>
        <v>280000000</v>
      </c>
      <c r="DZ61" s="382">
        <f t="shared" si="31"/>
        <v>0</v>
      </c>
      <c r="EA61" s="386"/>
      <c r="EB61" s="382">
        <f>'[1]COE commited funds to date'!AJ64</f>
        <v>72000000</v>
      </c>
      <c r="EC61" s="382">
        <f>'[1]COE DISB 2019'!AJ69</f>
        <v>72000000</v>
      </c>
      <c r="ED61" s="382">
        <f t="shared" si="32"/>
        <v>0</v>
      </c>
      <c r="EE61" s="386"/>
      <c r="EF61" s="382">
        <f>'[1]COE commited funds to date'!AK64</f>
        <v>8000000</v>
      </c>
      <c r="EG61" s="382">
        <f>'[1]COE DISB 2019'!AK69</f>
        <v>8000000</v>
      </c>
      <c r="EH61" s="382">
        <f t="shared" si="33"/>
        <v>0</v>
      </c>
      <c r="EI61" s="386"/>
      <c r="EJ61" s="382">
        <f>'[1]COE commited funds to date'!AL64</f>
        <v>2000000</v>
      </c>
      <c r="EK61" s="382">
        <f>'[1]COE DISB 2019'!AL69</f>
        <v>2000000</v>
      </c>
      <c r="EL61" s="382">
        <f t="shared" si="34"/>
        <v>0</v>
      </c>
      <c r="EM61" s="386"/>
      <c r="EN61" s="382">
        <f>'[1]COE commited funds to date'!AM64</f>
        <v>7000000</v>
      </c>
      <c r="EO61" s="382">
        <f>'[1]COE DISB 2019'!AM69</f>
        <v>7000000</v>
      </c>
      <c r="EP61" s="382">
        <f t="shared" si="35"/>
        <v>0</v>
      </c>
      <c r="EQ61" s="386"/>
      <c r="ER61" s="382">
        <f>'[1]COE commited funds to date'!AN64</f>
        <v>1100000000</v>
      </c>
      <c r="ES61" s="382">
        <f>'[1]COE DISB 2019'!AN69</f>
        <v>1100000000</v>
      </c>
      <c r="ET61" s="382">
        <f t="shared" si="36"/>
        <v>0</v>
      </c>
      <c r="EV61" s="383">
        <f>'[1]COE commited funds to date'!AO64</f>
        <v>371067000</v>
      </c>
      <c r="EW61" s="383">
        <f>'[1]COE DISB 2019'!AO69</f>
        <v>371067000</v>
      </c>
      <c r="EX61" s="383">
        <f t="shared" si="38"/>
        <v>0</v>
      </c>
      <c r="EY61" s="380"/>
      <c r="EZ61" s="383">
        <f>'[1]COE commited funds to date'!AQ64</f>
        <v>12000000</v>
      </c>
      <c r="FA61" s="383">
        <f>'[1]COE DISB 2019'!AP69</f>
        <v>10276472.5</v>
      </c>
      <c r="FB61" s="383">
        <f t="shared" si="39"/>
        <v>1723527.5</v>
      </c>
      <c r="FC61" s="380"/>
      <c r="FD61" s="383">
        <f>'[1]COE commited funds to date'!AR64</f>
        <v>10000000</v>
      </c>
      <c r="FE61" s="383">
        <f>'[1]COE DISB 2019'!AQ69</f>
        <v>0</v>
      </c>
      <c r="FF61" s="383">
        <f t="shared" si="40"/>
        <v>10000000</v>
      </c>
      <c r="FG61" s="380"/>
      <c r="FH61" s="383">
        <f>'[1]COE commited funds to date'!AP64</f>
        <v>8000000</v>
      </c>
      <c r="FI61" s="383">
        <f>'[1]COE DISB 2019'!AR69</f>
        <v>8000000</v>
      </c>
      <c r="FJ61" s="383">
        <f t="shared" si="41"/>
        <v>0</v>
      </c>
      <c r="FK61" s="383">
        <f>'[1]COE commited funds to date'!AS64</f>
        <v>150000000</v>
      </c>
      <c r="FL61" s="383">
        <f>'[1]COE DISB 2019'!AS69</f>
        <v>150000000</v>
      </c>
      <c r="FM61" s="383">
        <f t="shared" si="42"/>
        <v>0</v>
      </c>
      <c r="FN61" s="380"/>
      <c r="FO61" s="383">
        <f>'[1]COE commited funds to date'!AT64</f>
        <v>200000000</v>
      </c>
      <c r="FP61" s="383">
        <f>'[1]COE DISB 2019'!AT69</f>
        <v>0</v>
      </c>
      <c r="FQ61" s="383">
        <f t="shared" si="43"/>
        <v>200000000</v>
      </c>
      <c r="FR61" s="380"/>
      <c r="FS61" s="383">
        <f>'[1]COE commited funds to date'!AU64</f>
        <v>75000000</v>
      </c>
      <c r="FT61" s="383">
        <f>'[1]COE DISB 2019'!AU69</f>
        <v>75000000</v>
      </c>
      <c r="FU61" s="383">
        <f t="shared" si="44"/>
        <v>0</v>
      </c>
      <c r="FV61" s="380"/>
      <c r="FW61" s="383">
        <f>'[1]COE commited funds to date'!AV64</f>
        <v>8700000</v>
      </c>
      <c r="FX61" s="383">
        <f>'[1]COE DISB 2019'!AV69</f>
        <v>0</v>
      </c>
      <c r="FY61" s="383">
        <f t="shared" si="45"/>
        <v>8700000</v>
      </c>
      <c r="FZ61" s="380"/>
      <c r="GA61" s="383">
        <f>'[1]COE commited funds to date'!AW64</f>
        <v>5000000</v>
      </c>
      <c r="GB61" s="383">
        <f>'[1]COE DISB 2019'!AW69</f>
        <v>0</v>
      </c>
      <c r="GC61" s="383">
        <f t="shared" si="46"/>
        <v>5000000</v>
      </c>
      <c r="GD61" s="380"/>
      <c r="GE61" s="383">
        <f>'[1]COE commited funds to date'!AX64</f>
        <v>20000000</v>
      </c>
      <c r="GF61" s="383">
        <f>'[1]COE DISB 2019'!AX69</f>
        <v>0</v>
      </c>
      <c r="GG61" s="383">
        <f t="shared" si="47"/>
        <v>20000000</v>
      </c>
      <c r="GH61" s="380"/>
      <c r="GI61" s="383">
        <f>'[1]COE commited funds to date'!AY64</f>
        <v>230000000</v>
      </c>
      <c r="GJ61" s="383">
        <f>'[1]COE DISB 2019'!AY69</f>
        <v>0</v>
      </c>
      <c r="GK61" s="383">
        <f t="shared" si="48"/>
        <v>230000000</v>
      </c>
      <c r="GL61" s="380"/>
      <c r="GM61" s="383">
        <f>'[1]COE commited funds to date'!AZ64</f>
        <v>116776600</v>
      </c>
      <c r="GN61" s="383">
        <f>'[1]COE DISB 2019'!AZ69</f>
        <v>0</v>
      </c>
      <c r="GO61" s="383">
        <f t="shared" si="49"/>
        <v>116776600</v>
      </c>
      <c r="GP61" s="380"/>
      <c r="GQ61" s="383">
        <f>'[1]COE commited funds to date'!BA64</f>
        <v>12000000</v>
      </c>
      <c r="GR61" s="383">
        <f>'[1]COE DISB 2019'!BA69</f>
        <v>0</v>
      </c>
      <c r="GS61" s="383">
        <f t="shared" si="50"/>
        <v>12000000</v>
      </c>
      <c r="GT61" s="380"/>
      <c r="GU61" s="383">
        <f>'[1]COE commited funds to date'!BB64</f>
        <v>5000000</v>
      </c>
      <c r="GV61" s="383">
        <f>'[1]COE DISB 2019'!BB69</f>
        <v>0</v>
      </c>
      <c r="GW61" s="383">
        <f t="shared" si="51"/>
        <v>5000000</v>
      </c>
      <c r="GX61" s="380"/>
      <c r="GY61" s="383">
        <f>'[1]COE commited funds to date'!BC64</f>
        <v>10308300</v>
      </c>
      <c r="GZ61" s="383">
        <f>'[1]COE DISB 2019'!BC69</f>
        <v>0</v>
      </c>
      <c r="HA61" s="383">
        <f t="shared" si="52"/>
        <v>10308300</v>
      </c>
      <c r="HB61" s="380"/>
      <c r="HC61" s="383">
        <f t="shared" si="53"/>
        <v>4557081400</v>
      </c>
      <c r="HD61" s="383">
        <f t="shared" si="53"/>
        <v>3937572972.5</v>
      </c>
      <c r="HE61" s="382">
        <f t="shared" si="54"/>
        <v>619508427.5</v>
      </c>
      <c r="HG61" s="383">
        <f t="shared" si="55"/>
        <v>2037296500</v>
      </c>
      <c r="HH61" s="383">
        <f t="shared" si="55"/>
        <v>1607296500</v>
      </c>
      <c r="HI61" s="383">
        <f t="shared" si="56"/>
        <v>430000000</v>
      </c>
      <c r="HK61" s="383">
        <f t="shared" si="57"/>
        <v>2030000000</v>
      </c>
      <c r="HL61" s="383">
        <f t="shared" si="57"/>
        <v>2030000000</v>
      </c>
      <c r="HM61" s="383">
        <f t="shared" si="58"/>
        <v>0</v>
      </c>
      <c r="HO61" s="383">
        <f t="shared" si="71"/>
        <v>0</v>
      </c>
      <c r="HP61" s="383">
        <f t="shared" si="71"/>
        <v>0</v>
      </c>
      <c r="HQ61" s="383">
        <f t="shared" si="59"/>
        <v>0</v>
      </c>
      <c r="HS61" s="383">
        <f t="shared" si="60"/>
        <v>89308300</v>
      </c>
      <c r="HT61" s="383">
        <f t="shared" si="60"/>
        <v>57276472.5</v>
      </c>
      <c r="HU61" s="383">
        <f t="shared" si="61"/>
        <v>32031827.5</v>
      </c>
      <c r="HW61" s="383">
        <f t="shared" si="62"/>
        <v>36700000</v>
      </c>
      <c r="HX61" s="383">
        <f t="shared" si="62"/>
        <v>16000000</v>
      </c>
      <c r="HY61" s="383">
        <f t="shared" si="63"/>
        <v>20700000</v>
      </c>
      <c r="IA61" s="387">
        <f t="shared" si="64"/>
        <v>20000000</v>
      </c>
      <c r="IB61" s="387">
        <f t="shared" si="64"/>
        <v>0</v>
      </c>
      <c r="IC61" s="387">
        <f t="shared" si="65"/>
        <v>20000000</v>
      </c>
      <c r="IE61" s="383">
        <f t="shared" si="66"/>
        <v>341776600</v>
      </c>
      <c r="IF61" s="383">
        <f t="shared" si="66"/>
        <v>225000000</v>
      </c>
      <c r="IG61" s="383">
        <f t="shared" si="67"/>
        <v>116776600</v>
      </c>
      <c r="II61" s="383">
        <f t="shared" si="68"/>
        <v>2000000</v>
      </c>
      <c r="IJ61" s="383">
        <f t="shared" si="68"/>
        <v>2000000</v>
      </c>
      <c r="IK61" s="383">
        <f t="shared" si="69"/>
        <v>0</v>
      </c>
    </row>
    <row r="62" spans="1:245" ht="19.5" customHeight="1" x14ac:dyDescent="0.25">
      <c r="A62" s="380">
        <v>58</v>
      </c>
      <c r="B62" s="380" t="s">
        <v>379</v>
      </c>
      <c r="C62" s="381" t="s">
        <v>76</v>
      </c>
      <c r="D62" s="382">
        <v>0</v>
      </c>
      <c r="E62" s="382">
        <f>'[1]COE DISB 2019'!D70</f>
        <v>0</v>
      </c>
      <c r="F62" s="383">
        <f t="shared" si="0"/>
        <v>0</v>
      </c>
      <c r="H62" s="382">
        <v>0</v>
      </c>
      <c r="I62" s="382">
        <f>'[1]COE DISB 2019'!E70</f>
        <v>0</v>
      </c>
      <c r="J62" s="383">
        <f t="shared" si="1"/>
        <v>0</v>
      </c>
      <c r="L62" s="382">
        <v>0</v>
      </c>
      <c r="M62" s="382">
        <f>'[1]COE DISB 2019'!F70</f>
        <v>0</v>
      </c>
      <c r="N62" s="383">
        <f t="shared" si="2"/>
        <v>0</v>
      </c>
      <c r="P62" s="353">
        <v>0</v>
      </c>
      <c r="Q62" s="382">
        <f>'[1]COE DISB 2019'!G70</f>
        <v>0</v>
      </c>
      <c r="R62" s="383">
        <f t="shared" si="3"/>
        <v>0</v>
      </c>
      <c r="T62" s="353">
        <v>0</v>
      </c>
      <c r="U62" s="382">
        <f>'[1]COE DISB 2019'!H70</f>
        <v>0</v>
      </c>
      <c r="V62" s="383">
        <f t="shared" si="4"/>
        <v>0</v>
      </c>
      <c r="X62" s="353">
        <v>0</v>
      </c>
      <c r="Y62" s="382">
        <f>'[1]COE DISB 2019'!I70</f>
        <v>0</v>
      </c>
      <c r="Z62" s="383">
        <f t="shared" si="5"/>
        <v>0</v>
      </c>
      <c r="AB62" s="353">
        <v>0</v>
      </c>
      <c r="AC62" s="382">
        <f>'[1]COE DISB 2019'!J70</f>
        <v>0</v>
      </c>
      <c r="AD62" s="383">
        <f t="shared" si="6"/>
        <v>0</v>
      </c>
      <c r="AF62" s="353">
        <v>0</v>
      </c>
      <c r="AG62" s="382">
        <f>'[1]COE DISB 2019'!K70</f>
        <v>0</v>
      </c>
      <c r="AH62" s="383">
        <f t="shared" si="7"/>
        <v>0</v>
      </c>
      <c r="AJ62" s="353">
        <v>0</v>
      </c>
      <c r="AK62" s="382">
        <f>'[1]COE DISB 2019'!L70</f>
        <v>0</v>
      </c>
      <c r="AL62" s="383">
        <f t="shared" si="8"/>
        <v>0</v>
      </c>
      <c r="AN62" s="382">
        <v>0</v>
      </c>
      <c r="AO62" s="382">
        <f>'[1]COE DISB 2019'!M70</f>
        <v>0</v>
      </c>
      <c r="AP62" s="383">
        <f t="shared" si="9"/>
        <v>0</v>
      </c>
      <c r="AR62" s="382">
        <v>15000000</v>
      </c>
      <c r="AS62" s="382">
        <f>'[1]COE DISB 2019'!N70</f>
        <v>15000000</v>
      </c>
      <c r="AT62" s="383">
        <f t="shared" si="10"/>
        <v>0</v>
      </c>
      <c r="AV62" s="382">
        <v>0</v>
      </c>
      <c r="AW62" s="385">
        <f>'[1]COE DISB 2019'!O70</f>
        <v>0</v>
      </c>
      <c r="AX62" s="382">
        <f t="shared" si="11"/>
        <v>0</v>
      </c>
      <c r="AZ62" s="382">
        <v>18000000</v>
      </c>
      <c r="BA62" s="382">
        <f>'[1]COE DISB 2019'!P70</f>
        <v>18000000</v>
      </c>
      <c r="BB62" s="382">
        <f t="shared" si="12"/>
        <v>0</v>
      </c>
      <c r="BD62" s="382">
        <v>23400000</v>
      </c>
      <c r="BE62" s="382">
        <f>'[1]COE DISB 2019'!Q70</f>
        <v>23400000</v>
      </c>
      <c r="BF62" s="382">
        <f t="shared" si="13"/>
        <v>0</v>
      </c>
      <c r="BH62" s="382">
        <v>0</v>
      </c>
      <c r="BI62" s="382">
        <f>'[1]COE DISB 2019'!R70</f>
        <v>0</v>
      </c>
      <c r="BJ62" s="382">
        <f t="shared" si="14"/>
        <v>0</v>
      </c>
      <c r="BL62" s="382">
        <v>43000000</v>
      </c>
      <c r="BM62" s="382">
        <f>'[1]COE DISB 2019'!S70</f>
        <v>43000000</v>
      </c>
      <c r="BN62" s="382">
        <f t="shared" si="15"/>
        <v>0</v>
      </c>
      <c r="BP62" s="382">
        <v>37160000</v>
      </c>
      <c r="BQ62" s="382">
        <f>'[1]COE DISB 2019'!T70</f>
        <v>37160000</v>
      </c>
      <c r="BR62" s="382">
        <f t="shared" si="16"/>
        <v>0</v>
      </c>
      <c r="BT62" s="382">
        <v>0</v>
      </c>
      <c r="BU62" s="382">
        <f>'[1]COE DISB 2019'!U70</f>
        <v>0</v>
      </c>
      <c r="BV62" s="382">
        <f t="shared" si="17"/>
        <v>0</v>
      </c>
      <c r="BX62" s="382">
        <v>112670000</v>
      </c>
      <c r="BY62" s="382">
        <f>'[1]COE DISB 2019'!V70</f>
        <v>112670000</v>
      </c>
      <c r="BZ62" s="382">
        <f t="shared" si="18"/>
        <v>0</v>
      </c>
      <c r="CB62" s="382">
        <f>'[1]COE commited funds to date'!W65</f>
        <v>0</v>
      </c>
      <c r="CC62" s="382">
        <f>'[1]COE DISB 2019'!W70</f>
        <v>0</v>
      </c>
      <c r="CD62" s="382">
        <f t="shared" si="19"/>
        <v>0</v>
      </c>
      <c r="CF62" s="353">
        <f>'[1]COE commited funds to date'!X65</f>
        <v>125000000</v>
      </c>
      <c r="CG62" s="382">
        <f>'[1]COE DISB 2019'!X70</f>
        <v>125000000</v>
      </c>
      <c r="CH62" s="382">
        <f t="shared" si="20"/>
        <v>0</v>
      </c>
      <c r="CJ62" s="382">
        <v>10000000</v>
      </c>
      <c r="CK62" s="382">
        <f>'[1]COE DISB 2019'!Y70</f>
        <v>9624182.5</v>
      </c>
      <c r="CL62" s="382">
        <f t="shared" si="21"/>
        <v>375817.5</v>
      </c>
      <c r="CN62" s="382">
        <v>0</v>
      </c>
      <c r="CO62" s="382">
        <f>'[1]COE DISB 2019'!Z70</f>
        <v>0</v>
      </c>
      <c r="CP62" s="382">
        <f t="shared" si="22"/>
        <v>0</v>
      </c>
      <c r="CR62" s="382">
        <v>210000000</v>
      </c>
      <c r="CS62" s="382">
        <f>'[1]COE DISB 2019'!AA70</f>
        <v>210000000</v>
      </c>
      <c r="CT62" s="382">
        <f t="shared" si="23"/>
        <v>0</v>
      </c>
      <c r="CV62" s="382">
        <v>10000000</v>
      </c>
      <c r="CW62" s="382">
        <f>'[1]COE DISB 2019'!AB70</f>
        <v>10000000</v>
      </c>
      <c r="CX62" s="382">
        <f t="shared" si="24"/>
        <v>0</v>
      </c>
      <c r="CZ62" s="382">
        <f>'[1]COE commited funds to date'!AC65</f>
        <v>267000000</v>
      </c>
      <c r="DA62" s="382">
        <f>'[1]COE DISB 2019'!AC70</f>
        <v>267000000</v>
      </c>
      <c r="DB62" s="382">
        <f t="shared" si="25"/>
        <v>0</v>
      </c>
      <c r="DC62" s="386"/>
      <c r="DD62" s="382">
        <v>215000000</v>
      </c>
      <c r="DE62" s="382">
        <f>'[1]COE DISB 2019'!AD70</f>
        <v>215000000</v>
      </c>
      <c r="DF62" s="382">
        <f>DD62-DE62</f>
        <v>0</v>
      </c>
      <c r="DG62" s="386"/>
      <c r="DH62" s="382">
        <v>10000000</v>
      </c>
      <c r="DI62" s="382">
        <f>'[1]COE DISB 2019'!AE70</f>
        <v>10000000</v>
      </c>
      <c r="DJ62" s="382">
        <f>DH62-DI62</f>
        <v>0</v>
      </c>
      <c r="DK62" s="386"/>
      <c r="DL62" s="382">
        <f>'[1]COE commited funds to date'!AD65</f>
        <v>0</v>
      </c>
      <c r="DM62" s="382">
        <f>'[1]COE DISB 2019'!AF70</f>
        <v>0</v>
      </c>
      <c r="DN62" s="382">
        <f t="shared" si="28"/>
        <v>0</v>
      </c>
      <c r="DO62" s="386"/>
      <c r="DP62" s="382">
        <v>325000000</v>
      </c>
      <c r="DQ62" s="382">
        <f>'[1]COE DISB 2019'!AG70</f>
        <v>325000000</v>
      </c>
      <c r="DR62" s="382">
        <f t="shared" si="29"/>
        <v>0</v>
      </c>
      <c r="DS62" s="386"/>
      <c r="DT62" s="353">
        <v>10000000</v>
      </c>
      <c r="DU62" s="382">
        <f>'[1]COE DISB 2019'!AH70</f>
        <v>8372927.75</v>
      </c>
      <c r="DV62" s="382">
        <f t="shared" si="30"/>
        <v>1627072.25</v>
      </c>
      <c r="DW62" s="386"/>
      <c r="DX62" s="382">
        <f>'[1]COE commited funds to date'!AI65</f>
        <v>41600000</v>
      </c>
      <c r="DY62" s="382">
        <f>'[1]COE DISB 2019'!AI70</f>
        <v>41600000</v>
      </c>
      <c r="DZ62" s="382">
        <f t="shared" si="31"/>
        <v>0</v>
      </c>
      <c r="EA62" s="386"/>
      <c r="EB62" s="382">
        <f>'[1]COE commited funds to date'!AJ65</f>
        <v>72000000</v>
      </c>
      <c r="EC62" s="382">
        <f>'[1]COE DISB 2019'!AJ70</f>
        <v>61200000</v>
      </c>
      <c r="ED62" s="382">
        <f t="shared" si="32"/>
        <v>10800000</v>
      </c>
      <c r="EE62" s="386"/>
      <c r="EF62" s="382">
        <f>'[1]COE commited funds to date'!AK65</f>
        <v>8000000</v>
      </c>
      <c r="EG62" s="382">
        <f>'[1]COE DISB 2019'!AK70</f>
        <v>0</v>
      </c>
      <c r="EH62" s="382">
        <f t="shared" si="33"/>
        <v>8000000</v>
      </c>
      <c r="EI62" s="386"/>
      <c r="EJ62" s="382">
        <f>'[1]COE commited funds to date'!AL65</f>
        <v>2000000</v>
      </c>
      <c r="EK62" s="382">
        <f>'[1]COE DISB 2019'!AL70</f>
        <v>0</v>
      </c>
      <c r="EL62" s="382">
        <f t="shared" si="34"/>
        <v>2000000</v>
      </c>
      <c r="EM62" s="386"/>
      <c r="EN62" s="382">
        <f>'[1]COE commited funds to date'!AM65</f>
        <v>7000000</v>
      </c>
      <c r="EO62" s="382">
        <f>'[1]COE DISB 2019'!AM70</f>
        <v>7000000</v>
      </c>
      <c r="EP62" s="382">
        <f t="shared" si="35"/>
        <v>0</v>
      </c>
      <c r="EQ62" s="386"/>
      <c r="ER62" s="382">
        <f>'[1]COE commited funds to date'!AN65</f>
        <v>200000000</v>
      </c>
      <c r="ES62" s="382">
        <f>'[1]COE DISB 2019'!AN70</f>
        <v>200000000</v>
      </c>
      <c r="ET62" s="382">
        <f t="shared" si="36"/>
        <v>0</v>
      </c>
      <c r="EV62" s="383">
        <f>'[1]COE commited funds to date'!AO65</f>
        <v>371067000</v>
      </c>
      <c r="EW62" s="383">
        <f>'[1]COE DISB 2019'!AO70</f>
        <v>315406950</v>
      </c>
      <c r="EX62" s="383">
        <f t="shared" si="38"/>
        <v>55660050</v>
      </c>
      <c r="EY62" s="380"/>
      <c r="EZ62" s="383">
        <f>'[1]COE commited funds to date'!AQ65</f>
        <v>12000000</v>
      </c>
      <c r="FA62" s="383">
        <f>'[1]COE DISB 2019'!AP70</f>
        <v>12000000</v>
      </c>
      <c r="FB62" s="383">
        <f t="shared" si="39"/>
        <v>0</v>
      </c>
      <c r="FC62" s="380"/>
      <c r="FD62" s="383">
        <f>'[1]COE commited funds to date'!AR65</f>
        <v>10000000</v>
      </c>
      <c r="FE62" s="383">
        <f>'[1]COE DISB 2019'!AQ70</f>
        <v>0</v>
      </c>
      <c r="FF62" s="383">
        <f t="shared" si="40"/>
        <v>10000000</v>
      </c>
      <c r="FG62" s="380"/>
      <c r="FH62" s="383">
        <f>'[1]COE commited funds to date'!AP65</f>
        <v>8000000</v>
      </c>
      <c r="FI62" s="383">
        <f>'[1]COE DISB 2019'!AR70</f>
        <v>0</v>
      </c>
      <c r="FJ62" s="383">
        <f t="shared" si="41"/>
        <v>8000000</v>
      </c>
      <c r="FK62" s="383">
        <f>'[1]COE commited funds to date'!AS65</f>
        <v>150000000</v>
      </c>
      <c r="FL62" s="383">
        <f>'[1]COE DISB 2019'!AS70</f>
        <v>0</v>
      </c>
      <c r="FM62" s="383">
        <f t="shared" si="42"/>
        <v>150000000</v>
      </c>
      <c r="FN62" s="380"/>
      <c r="FO62" s="383">
        <f>'[1]COE commited funds to date'!AT65</f>
        <v>200000000</v>
      </c>
      <c r="FP62" s="383">
        <f>'[1]COE DISB 2019'!AT70</f>
        <v>0</v>
      </c>
      <c r="FQ62" s="383">
        <f t="shared" si="43"/>
        <v>200000000</v>
      </c>
      <c r="FR62" s="380"/>
      <c r="FS62" s="383">
        <f>'[1]COE commited funds to date'!AU65</f>
        <v>75000000</v>
      </c>
      <c r="FT62" s="383">
        <f>'[1]COE DISB 2019'!AU70</f>
        <v>0</v>
      </c>
      <c r="FU62" s="383">
        <f t="shared" si="44"/>
        <v>75000000</v>
      </c>
      <c r="FV62" s="380"/>
      <c r="FW62" s="383">
        <f>'[1]COE commited funds to date'!AV65</f>
        <v>8700000</v>
      </c>
      <c r="FX62" s="383">
        <f>'[1]COE DISB 2019'!AV70</f>
        <v>0</v>
      </c>
      <c r="FY62" s="383">
        <f t="shared" si="45"/>
        <v>8700000</v>
      </c>
      <c r="FZ62" s="380"/>
      <c r="GA62" s="383">
        <f>'[1]COE commited funds to date'!AW65</f>
        <v>5000000</v>
      </c>
      <c r="GB62" s="383">
        <f>'[1]COE DISB 2019'!AW70</f>
        <v>0</v>
      </c>
      <c r="GC62" s="383">
        <f t="shared" si="46"/>
        <v>5000000</v>
      </c>
      <c r="GD62" s="380"/>
      <c r="GE62" s="383">
        <f>'[1]COE commited funds to date'!AX65</f>
        <v>20000000</v>
      </c>
      <c r="GF62" s="383">
        <f>'[1]COE DISB 2019'!AX70</f>
        <v>2001675</v>
      </c>
      <c r="GG62" s="383">
        <f t="shared" si="47"/>
        <v>17998325</v>
      </c>
      <c r="GH62" s="380"/>
      <c r="GI62" s="383">
        <f>'[1]COE commited funds to date'!AY65</f>
        <v>230000000</v>
      </c>
      <c r="GJ62" s="383">
        <f>'[1]COE DISB 2019'!AY70</f>
        <v>0</v>
      </c>
      <c r="GK62" s="383">
        <f t="shared" si="48"/>
        <v>230000000</v>
      </c>
      <c r="GL62" s="380"/>
      <c r="GM62" s="383">
        <f>'[1]COE commited funds to date'!AZ65</f>
        <v>116776600</v>
      </c>
      <c r="GN62" s="383">
        <f>'[1]COE DISB 2019'!AZ70</f>
        <v>0</v>
      </c>
      <c r="GO62" s="383">
        <f t="shared" si="49"/>
        <v>116776600</v>
      </c>
      <c r="GP62" s="380"/>
      <c r="GQ62" s="383">
        <f>'[1]COE commited funds to date'!BA65</f>
        <v>12000000</v>
      </c>
      <c r="GR62" s="383">
        <f>'[1]COE DISB 2019'!BA70</f>
        <v>0</v>
      </c>
      <c r="GS62" s="383">
        <f t="shared" si="50"/>
        <v>12000000</v>
      </c>
      <c r="GT62" s="380"/>
      <c r="GU62" s="383">
        <f>'[1]COE commited funds to date'!BB65</f>
        <v>5000000</v>
      </c>
      <c r="GV62" s="383">
        <f>'[1]COE DISB 2019'!BB70</f>
        <v>0</v>
      </c>
      <c r="GW62" s="383">
        <f t="shared" si="51"/>
        <v>5000000</v>
      </c>
      <c r="GX62" s="380"/>
      <c r="GY62" s="383">
        <f>'[1]COE commited funds to date'!BC65</f>
        <v>10308300</v>
      </c>
      <c r="GZ62" s="383">
        <f>'[1]COE DISB 2019'!BC70</f>
        <v>0</v>
      </c>
      <c r="HA62" s="383">
        <f t="shared" si="52"/>
        <v>10308300</v>
      </c>
      <c r="HB62" s="380"/>
      <c r="HC62" s="383">
        <f t="shared" si="53"/>
        <v>2995681900</v>
      </c>
      <c r="HD62" s="383">
        <f t="shared" si="53"/>
        <v>2068435735.25</v>
      </c>
      <c r="HE62" s="382">
        <f t="shared" si="54"/>
        <v>927246164.75</v>
      </c>
      <c r="HG62" s="383">
        <f t="shared" si="55"/>
        <v>1997297000</v>
      </c>
      <c r="HH62" s="383">
        <f t="shared" si="55"/>
        <v>1500836950</v>
      </c>
      <c r="HI62" s="383">
        <f t="shared" si="56"/>
        <v>496460050</v>
      </c>
      <c r="HK62" s="383">
        <f t="shared" si="57"/>
        <v>508600000</v>
      </c>
      <c r="HL62" s="383">
        <f t="shared" si="57"/>
        <v>508600000</v>
      </c>
      <c r="HM62" s="383">
        <f t="shared" si="58"/>
        <v>0</v>
      </c>
      <c r="HO62" s="383">
        <f t="shared" si="71"/>
        <v>0</v>
      </c>
      <c r="HP62" s="383">
        <f t="shared" si="71"/>
        <v>0</v>
      </c>
      <c r="HQ62" s="383">
        <f t="shared" si="59"/>
        <v>0</v>
      </c>
      <c r="HS62" s="383">
        <f t="shared" si="60"/>
        <v>89308300</v>
      </c>
      <c r="HT62" s="383">
        <f t="shared" si="60"/>
        <v>58998785.25</v>
      </c>
      <c r="HU62" s="383">
        <f t="shared" si="61"/>
        <v>30309514.75</v>
      </c>
      <c r="HW62" s="383">
        <f t="shared" si="62"/>
        <v>36700000</v>
      </c>
      <c r="HX62" s="383">
        <f t="shared" si="62"/>
        <v>0</v>
      </c>
      <c r="HY62" s="383">
        <f t="shared" si="63"/>
        <v>36700000</v>
      </c>
      <c r="IA62" s="387">
        <f t="shared" si="64"/>
        <v>20000000</v>
      </c>
      <c r="IB62" s="387">
        <f t="shared" si="64"/>
        <v>0</v>
      </c>
      <c r="IC62" s="387">
        <f t="shared" si="65"/>
        <v>20000000</v>
      </c>
      <c r="IE62" s="383">
        <f t="shared" si="66"/>
        <v>341776600</v>
      </c>
      <c r="IF62" s="383">
        <f t="shared" si="66"/>
        <v>0</v>
      </c>
      <c r="IG62" s="383">
        <f t="shared" si="67"/>
        <v>341776600</v>
      </c>
      <c r="II62" s="383">
        <f t="shared" si="68"/>
        <v>2000000</v>
      </c>
      <c r="IJ62" s="383">
        <f t="shared" si="68"/>
        <v>0</v>
      </c>
      <c r="IK62" s="383">
        <f t="shared" si="69"/>
        <v>2000000</v>
      </c>
    </row>
    <row r="63" spans="1:245" ht="19.5" customHeight="1" x14ac:dyDescent="0.25">
      <c r="A63" s="380">
        <v>59</v>
      </c>
      <c r="B63" s="380" t="s">
        <v>380</v>
      </c>
      <c r="C63" s="42"/>
      <c r="D63" s="382">
        <v>0</v>
      </c>
      <c r="E63" s="382">
        <f>'[1]COE DISB 2019'!D71</f>
        <v>0</v>
      </c>
      <c r="F63" s="383">
        <f t="shared" si="0"/>
        <v>0</v>
      </c>
      <c r="H63" s="382">
        <v>0</v>
      </c>
      <c r="I63" s="382">
        <f>'[1]COE DISB 2019'!E71</f>
        <v>0</v>
      </c>
      <c r="J63" s="383">
        <f t="shared" si="1"/>
        <v>0</v>
      </c>
      <c r="L63" s="382">
        <v>0</v>
      </c>
      <c r="M63" s="382">
        <f>'[1]COE DISB 2019'!F71</f>
        <v>0</v>
      </c>
      <c r="N63" s="383">
        <f t="shared" si="2"/>
        <v>0</v>
      </c>
      <c r="P63" s="353">
        <v>0</v>
      </c>
      <c r="Q63" s="382">
        <f>'[1]COE DISB 2019'!G71</f>
        <v>0</v>
      </c>
      <c r="R63" s="383">
        <f t="shared" si="3"/>
        <v>0</v>
      </c>
      <c r="T63" s="353">
        <v>0</v>
      </c>
      <c r="U63" s="382">
        <f>'[1]COE DISB 2019'!H71</f>
        <v>0</v>
      </c>
      <c r="V63" s="383">
        <f t="shared" si="4"/>
        <v>0</v>
      </c>
      <c r="X63" s="353">
        <v>0</v>
      </c>
      <c r="Y63" s="382">
        <f>'[1]COE DISB 2019'!I71</f>
        <v>0</v>
      </c>
      <c r="Z63" s="383">
        <f t="shared" si="5"/>
        <v>0</v>
      </c>
      <c r="AB63" s="353">
        <v>0</v>
      </c>
      <c r="AC63" s="382">
        <f>'[1]COE DISB 2019'!J71</f>
        <v>0</v>
      </c>
      <c r="AD63" s="383">
        <f t="shared" si="6"/>
        <v>0</v>
      </c>
      <c r="AF63" s="353">
        <v>0</v>
      </c>
      <c r="AG63" s="382">
        <f>'[1]COE DISB 2019'!K71</f>
        <v>0</v>
      </c>
      <c r="AH63" s="383">
        <f t="shared" si="7"/>
        <v>0</v>
      </c>
      <c r="AJ63" s="353">
        <v>0</v>
      </c>
      <c r="AK63" s="382">
        <f>'[1]COE DISB 2019'!L71</f>
        <v>0</v>
      </c>
      <c r="AL63" s="383">
        <f t="shared" si="8"/>
        <v>0</v>
      </c>
      <c r="AN63" s="382">
        <v>0</v>
      </c>
      <c r="AO63" s="382">
        <f>'[1]COE DISB 2019'!M71</f>
        <v>0</v>
      </c>
      <c r="AP63" s="383">
        <f t="shared" si="9"/>
        <v>0</v>
      </c>
      <c r="AR63" s="382">
        <v>0</v>
      </c>
      <c r="AS63" s="382">
        <f>'[1]COE DISB 2019'!N71</f>
        <v>0</v>
      </c>
      <c r="AT63" s="383">
        <f t="shared" si="10"/>
        <v>0</v>
      </c>
      <c r="AV63" s="382">
        <v>0</v>
      </c>
      <c r="AW63" s="385">
        <f>'[1]COE DISB 2019'!O71</f>
        <v>0</v>
      </c>
      <c r="AX63" s="382">
        <f t="shared" si="11"/>
        <v>0</v>
      </c>
      <c r="AZ63" s="382">
        <v>18000000</v>
      </c>
      <c r="BA63" s="382">
        <f>'[1]COE DISB 2019'!P71</f>
        <v>18000000</v>
      </c>
      <c r="BB63" s="382">
        <f t="shared" si="12"/>
        <v>0</v>
      </c>
      <c r="BD63" s="382">
        <v>23400000</v>
      </c>
      <c r="BE63" s="382">
        <f>'[1]COE DISB 2019'!Q71</f>
        <v>23400000</v>
      </c>
      <c r="BF63" s="382">
        <f t="shared" si="13"/>
        <v>0</v>
      </c>
      <c r="BH63" s="382">
        <v>0</v>
      </c>
      <c r="BI63" s="382">
        <f>'[1]COE DISB 2019'!R71</f>
        <v>0</v>
      </c>
      <c r="BJ63" s="382">
        <f t="shared" si="14"/>
        <v>0</v>
      </c>
      <c r="BL63" s="382">
        <v>43000000</v>
      </c>
      <c r="BM63" s="382">
        <f>'[1]COE DISB 2019'!S71</f>
        <v>43000000</v>
      </c>
      <c r="BN63" s="382">
        <f t="shared" si="15"/>
        <v>0</v>
      </c>
      <c r="BP63" s="382">
        <v>37160000</v>
      </c>
      <c r="BQ63" s="382">
        <f>'[1]COE DISB 2019'!T71</f>
        <v>37160000</v>
      </c>
      <c r="BR63" s="382">
        <f t="shared" si="16"/>
        <v>0</v>
      </c>
      <c r="BT63" s="382">
        <v>0</v>
      </c>
      <c r="BU63" s="382">
        <f>'[1]COE DISB 2019'!U71</f>
        <v>0</v>
      </c>
      <c r="BV63" s="382">
        <f t="shared" si="17"/>
        <v>0</v>
      </c>
      <c r="BX63" s="382">
        <v>0</v>
      </c>
      <c r="BY63" s="382">
        <f>'[1]COE DISB 2019'!V71</f>
        <v>0</v>
      </c>
      <c r="BZ63" s="382">
        <f t="shared" si="18"/>
        <v>0</v>
      </c>
      <c r="CB63" s="382">
        <f>'[1]COE commited funds to date'!W66</f>
        <v>0</v>
      </c>
      <c r="CC63" s="382">
        <f>'[1]COE DISB 2019'!W71</f>
        <v>0</v>
      </c>
      <c r="CD63" s="382">
        <f t="shared" si="19"/>
        <v>0</v>
      </c>
      <c r="CF63" s="382">
        <f>'[1]COE commited funds to date'!X66</f>
        <v>0</v>
      </c>
      <c r="CG63" s="382">
        <f>'[1]COE DISB 2019'!X71</f>
        <v>0</v>
      </c>
      <c r="CH63" s="382">
        <f t="shared" si="20"/>
        <v>0</v>
      </c>
      <c r="CJ63" s="382">
        <v>0</v>
      </c>
      <c r="CK63" s="382">
        <f>'[1]COE DISB 2019'!Y71</f>
        <v>0</v>
      </c>
      <c r="CL63" s="382">
        <f t="shared" si="21"/>
        <v>0</v>
      </c>
      <c r="CN63" s="382">
        <v>0</v>
      </c>
      <c r="CO63" s="382">
        <f>'[1]COE DISB 2019'!Z71</f>
        <v>0</v>
      </c>
      <c r="CP63" s="382">
        <f t="shared" si="22"/>
        <v>0</v>
      </c>
      <c r="CR63" s="382">
        <v>210000000</v>
      </c>
      <c r="CS63" s="382">
        <f>'[1]COE DISB 2019'!AA71</f>
        <v>210000000</v>
      </c>
      <c r="CT63" s="382">
        <f t="shared" si="23"/>
        <v>0</v>
      </c>
      <c r="CV63" s="382">
        <v>10000000</v>
      </c>
      <c r="CW63" s="382">
        <f>'[1]COE DISB 2019'!AB71</f>
        <v>10000000</v>
      </c>
      <c r="CX63" s="382">
        <f t="shared" si="24"/>
        <v>0</v>
      </c>
      <c r="CZ63" s="382">
        <f>'[1]COE commited funds to date'!AC66</f>
        <v>0</v>
      </c>
      <c r="DA63" s="382">
        <f>'[1]COE DISB 2019'!AC71</f>
        <v>0</v>
      </c>
      <c r="DB63" s="382">
        <f t="shared" si="25"/>
        <v>0</v>
      </c>
      <c r="DC63" s="386"/>
      <c r="DD63" s="397">
        <v>0</v>
      </c>
      <c r="DE63" s="397">
        <f>'[1]COE DISB 2019'!AD71</f>
        <v>0</v>
      </c>
      <c r="DF63" s="397">
        <v>0</v>
      </c>
      <c r="DG63" s="386"/>
      <c r="DH63" s="397">
        <v>0</v>
      </c>
      <c r="DI63" s="397">
        <f>'[1]COE DISB 2019'!AE71</f>
        <v>0</v>
      </c>
      <c r="DJ63" s="397">
        <v>0</v>
      </c>
      <c r="DK63" s="386"/>
      <c r="DL63" s="382">
        <f>'[1]COE commited funds to date'!AD66</f>
        <v>0</v>
      </c>
      <c r="DM63" s="382">
        <f>'[1]COE DISB 2019'!AF71</f>
        <v>0</v>
      </c>
      <c r="DN63" s="382">
        <f t="shared" si="28"/>
        <v>0</v>
      </c>
      <c r="DO63" s="386"/>
      <c r="DP63" s="382">
        <v>0</v>
      </c>
      <c r="DQ63" s="382">
        <f>'[1]COE DISB 2019'!AG71</f>
        <v>0</v>
      </c>
      <c r="DR63" s="382">
        <f t="shared" si="29"/>
        <v>0</v>
      </c>
      <c r="DS63" s="386"/>
      <c r="DT63" s="353">
        <v>0</v>
      </c>
      <c r="DU63" s="382">
        <f>'[1]COE DISB 2019'!AH71</f>
        <v>0</v>
      </c>
      <c r="DV63" s="382">
        <f t="shared" si="30"/>
        <v>0</v>
      </c>
      <c r="DW63" s="386"/>
      <c r="DX63" s="382">
        <f>'[1]COE commited funds to date'!AI66</f>
        <v>50000000</v>
      </c>
      <c r="DY63" s="382">
        <f>'[1]COE DISB 2019'!AI71</f>
        <v>50000000</v>
      </c>
      <c r="DZ63" s="382">
        <f t="shared" si="31"/>
        <v>0</v>
      </c>
      <c r="EA63" s="386"/>
      <c r="EB63" s="382">
        <f>'[1]COE commited funds to date'!AJ66</f>
        <v>72000000</v>
      </c>
      <c r="EC63" s="382">
        <f>'[1]COE DISB 2019'!AJ71</f>
        <v>72000000</v>
      </c>
      <c r="ED63" s="382">
        <f t="shared" si="32"/>
        <v>0</v>
      </c>
      <c r="EE63" s="386"/>
      <c r="EF63" s="382">
        <f>'[1]COE commited funds to date'!AK66</f>
        <v>8000000</v>
      </c>
      <c r="EG63" s="382">
        <f>'[1]COE DISB 2019'!AK71</f>
        <v>8000000</v>
      </c>
      <c r="EH63" s="382">
        <f t="shared" si="33"/>
        <v>0</v>
      </c>
      <c r="EI63" s="386"/>
      <c r="EJ63" s="382">
        <f>'[1]COE commited funds to date'!AL66</f>
        <v>2000000</v>
      </c>
      <c r="EK63" s="382">
        <f>'[1]COE DISB 2019'!AL71</f>
        <v>0</v>
      </c>
      <c r="EL63" s="382">
        <f t="shared" si="34"/>
        <v>2000000</v>
      </c>
      <c r="EM63" s="386"/>
      <c r="EN63" s="382">
        <f>'[1]COE commited funds to date'!AM66</f>
        <v>7000000</v>
      </c>
      <c r="EO63" s="382">
        <f>'[1]COE DISB 2019'!AM71</f>
        <v>6962800</v>
      </c>
      <c r="EP63" s="382">
        <f t="shared" si="35"/>
        <v>37200</v>
      </c>
      <c r="EQ63" s="386"/>
      <c r="ER63" s="382">
        <f>'[1]COE commited funds to date'!AN66</f>
        <v>100000000</v>
      </c>
      <c r="ES63" s="382">
        <f>'[1]COE DISB 2019'!AN71</f>
        <v>100000000</v>
      </c>
      <c r="ET63" s="382">
        <f t="shared" si="36"/>
        <v>0</v>
      </c>
      <c r="EV63" s="383">
        <f>'[1]COE commited funds to date'!AO66</f>
        <v>0</v>
      </c>
      <c r="EW63" s="383">
        <f>'[1]COE DISB 2019'!AO71</f>
        <v>0</v>
      </c>
      <c r="EX63" s="383">
        <f t="shared" si="38"/>
        <v>0</v>
      </c>
      <c r="EY63" s="380"/>
      <c r="EZ63" s="383">
        <f>'[1]COE commited funds to date'!AQ66</f>
        <v>0</v>
      </c>
      <c r="FA63" s="383">
        <f>'[1]COE DISB 2019'!AP71</f>
        <v>0</v>
      </c>
      <c r="FB63" s="383">
        <f t="shared" si="39"/>
        <v>0</v>
      </c>
      <c r="FC63" s="380"/>
      <c r="FD63" s="383">
        <f>'[1]COE commited funds to date'!AR66</f>
        <v>0</v>
      </c>
      <c r="FE63" s="383">
        <f>'[1]COE DISB 2019'!AQ71</f>
        <v>0</v>
      </c>
      <c r="FF63" s="383">
        <f t="shared" si="40"/>
        <v>0</v>
      </c>
      <c r="FG63" s="380"/>
      <c r="FH63" s="383">
        <f>'[1]COE commited funds to date'!AP66</f>
        <v>0</v>
      </c>
      <c r="FI63" s="383">
        <f>'[1]COE DISB 2019'!AR71</f>
        <v>0</v>
      </c>
      <c r="FJ63" s="383">
        <f t="shared" si="41"/>
        <v>0</v>
      </c>
      <c r="FK63" s="383">
        <f>'[1]COE commited funds to date'!AS66</f>
        <v>0</v>
      </c>
      <c r="FL63" s="383">
        <f>'[1]COE DISB 2019'!AS71</f>
        <v>0</v>
      </c>
      <c r="FM63" s="383">
        <f t="shared" si="42"/>
        <v>0</v>
      </c>
      <c r="FN63" s="380"/>
      <c r="FO63" s="383">
        <f>'[1]COE commited funds to date'!AT66</f>
        <v>0</v>
      </c>
      <c r="FP63" s="383">
        <f>'[1]COE DISB 2019'!AT71</f>
        <v>0</v>
      </c>
      <c r="FQ63" s="383">
        <f t="shared" si="43"/>
        <v>0</v>
      </c>
      <c r="FR63" s="380"/>
      <c r="FS63" s="383">
        <f>'[1]COE commited funds to date'!AU66</f>
        <v>75000000</v>
      </c>
      <c r="FT63" s="383">
        <f>'[1]COE DISB 2019'!AU71</f>
        <v>50250000</v>
      </c>
      <c r="FU63" s="383">
        <f t="shared" si="44"/>
        <v>24750000</v>
      </c>
      <c r="FV63" s="380"/>
      <c r="FW63" s="383">
        <f>'[1]COE commited funds to date'!AV66</f>
        <v>0</v>
      </c>
      <c r="FX63" s="383">
        <f>'[1]COE DISB 2019'!AV71</f>
        <v>0</v>
      </c>
      <c r="FY63" s="383">
        <f t="shared" si="45"/>
        <v>0</v>
      </c>
      <c r="FZ63" s="380"/>
      <c r="GA63" s="383">
        <f>'[1]COE commited funds to date'!AW66</f>
        <v>0</v>
      </c>
      <c r="GB63" s="383">
        <f>'[1]COE DISB 2019'!AW71</f>
        <v>0</v>
      </c>
      <c r="GC63" s="383">
        <f t="shared" si="46"/>
        <v>0</v>
      </c>
      <c r="GD63" s="380"/>
      <c r="GE63" s="383">
        <f>'[1]COE commited funds to date'!AX66</f>
        <v>0</v>
      </c>
      <c r="GF63" s="383">
        <f>'[1]COE DISB 2019'!AX71</f>
        <v>0</v>
      </c>
      <c r="GG63" s="383">
        <f t="shared" si="47"/>
        <v>0</v>
      </c>
      <c r="GH63" s="380"/>
      <c r="GI63" s="383">
        <f>'[1]COE commited funds to date'!AY66</f>
        <v>230000000</v>
      </c>
      <c r="GJ63" s="383">
        <f>'[1]COE DISB 2019'!AY71</f>
        <v>0</v>
      </c>
      <c r="GK63" s="383">
        <f t="shared" si="48"/>
        <v>230000000</v>
      </c>
      <c r="GL63" s="380"/>
      <c r="GM63" s="383">
        <f>'[1]COE commited funds to date'!AZ66</f>
        <v>116776600</v>
      </c>
      <c r="GN63" s="383">
        <f>'[1]COE DISB 2019'!AZ71</f>
        <v>0</v>
      </c>
      <c r="GO63" s="383">
        <f t="shared" si="49"/>
        <v>116776600</v>
      </c>
      <c r="GP63" s="380"/>
      <c r="GQ63" s="383">
        <f>'[1]COE commited funds to date'!BA66</f>
        <v>12000000</v>
      </c>
      <c r="GR63" s="383">
        <f>'[1]COE DISB 2019'!BA71</f>
        <v>0</v>
      </c>
      <c r="GS63" s="383">
        <f t="shared" si="50"/>
        <v>12000000</v>
      </c>
      <c r="GT63" s="380"/>
      <c r="GU63" s="383">
        <f>'[1]COE commited funds to date'!BB66</f>
        <v>5000000</v>
      </c>
      <c r="GV63" s="383">
        <f>'[1]COE DISB 2019'!BB71</f>
        <v>0</v>
      </c>
      <c r="GW63" s="383">
        <f t="shared" si="51"/>
        <v>5000000</v>
      </c>
      <c r="GX63" s="380"/>
      <c r="GY63" s="383">
        <f>'[1]COE commited funds to date'!BC66</f>
        <v>10308300</v>
      </c>
      <c r="GZ63" s="383">
        <f>'[1]COE DISB 2019'!BC71</f>
        <v>0</v>
      </c>
      <c r="HA63" s="383">
        <f t="shared" si="52"/>
        <v>10308300</v>
      </c>
      <c r="HB63" s="380"/>
      <c r="HC63" s="383">
        <f t="shared" si="53"/>
        <v>1029644900</v>
      </c>
      <c r="HD63" s="383">
        <f t="shared" si="53"/>
        <v>628772800</v>
      </c>
      <c r="HE63" s="382">
        <f t="shared" si="54"/>
        <v>400872100</v>
      </c>
      <c r="HG63" s="383">
        <f t="shared" si="55"/>
        <v>633560000</v>
      </c>
      <c r="HH63" s="383">
        <f t="shared" si="55"/>
        <v>403560000</v>
      </c>
      <c r="HI63" s="383">
        <f t="shared" si="56"/>
        <v>230000000</v>
      </c>
      <c r="HK63" s="383">
        <f t="shared" si="57"/>
        <v>150000000</v>
      </c>
      <c r="HL63" s="383">
        <f t="shared" si="57"/>
        <v>150000000</v>
      </c>
      <c r="HM63" s="383">
        <f t="shared" si="58"/>
        <v>0</v>
      </c>
      <c r="HO63" s="383">
        <f t="shared" si="71"/>
        <v>0</v>
      </c>
      <c r="HP63" s="383">
        <f t="shared" si="71"/>
        <v>0</v>
      </c>
      <c r="HQ63" s="383">
        <f t="shared" si="59"/>
        <v>0</v>
      </c>
      <c r="HS63" s="383">
        <f t="shared" si="60"/>
        <v>27308300</v>
      </c>
      <c r="HT63" s="383">
        <f t="shared" si="60"/>
        <v>16962800</v>
      </c>
      <c r="HU63" s="383">
        <f t="shared" si="61"/>
        <v>10345500</v>
      </c>
      <c r="HW63" s="383">
        <f t="shared" si="62"/>
        <v>20000000</v>
      </c>
      <c r="HX63" s="383">
        <f t="shared" si="62"/>
        <v>8000000</v>
      </c>
      <c r="HY63" s="383">
        <f t="shared" si="63"/>
        <v>12000000</v>
      </c>
      <c r="IA63" s="387">
        <f t="shared" si="64"/>
        <v>5000000</v>
      </c>
      <c r="IB63" s="387">
        <f t="shared" si="64"/>
        <v>0</v>
      </c>
      <c r="IC63" s="387">
        <f t="shared" si="65"/>
        <v>5000000</v>
      </c>
      <c r="IE63" s="383">
        <f t="shared" si="66"/>
        <v>191776600</v>
      </c>
      <c r="IF63" s="383">
        <f t="shared" si="66"/>
        <v>50250000</v>
      </c>
      <c r="IG63" s="383">
        <f t="shared" si="67"/>
        <v>141526600</v>
      </c>
      <c r="II63" s="383">
        <f t="shared" si="68"/>
        <v>2000000</v>
      </c>
      <c r="IJ63" s="383">
        <f t="shared" si="68"/>
        <v>0</v>
      </c>
      <c r="IK63" s="383">
        <f t="shared" si="69"/>
        <v>2000000</v>
      </c>
    </row>
    <row r="64" spans="1:245" ht="19.5" customHeight="1" x14ac:dyDescent="0.25">
      <c r="A64" s="380">
        <v>60</v>
      </c>
      <c r="B64" s="380" t="s">
        <v>381</v>
      </c>
      <c r="C64" s="42" t="s">
        <v>61</v>
      </c>
      <c r="D64" s="382">
        <v>18318965.5</v>
      </c>
      <c r="E64" s="382">
        <f>'[1]COE DISB 2019'!D72</f>
        <v>18318964.640000001</v>
      </c>
      <c r="F64" s="383">
        <f t="shared" si="0"/>
        <v>0.85999999940395355</v>
      </c>
      <c r="H64" s="382">
        <v>8000000</v>
      </c>
      <c r="I64" s="382">
        <f>'[1]COE DISB 2019'!E72</f>
        <v>8000000</v>
      </c>
      <c r="J64" s="383">
        <f t="shared" si="1"/>
        <v>0</v>
      </c>
      <c r="L64" s="382">
        <v>500000</v>
      </c>
      <c r="M64" s="382">
        <f>'[1]COE DISB 2019'!F72</f>
        <v>500000</v>
      </c>
      <c r="N64" s="383">
        <f t="shared" si="2"/>
        <v>0</v>
      </c>
      <c r="P64" s="353">
        <v>16000000</v>
      </c>
      <c r="Q64" s="382">
        <f>'[1]COE DISB 2019'!G72</f>
        <v>16000000</v>
      </c>
      <c r="R64" s="383">
        <f t="shared" si="3"/>
        <v>0</v>
      </c>
      <c r="T64" s="385">
        <v>99000</v>
      </c>
      <c r="U64" s="382">
        <f>'[1]COE DISB 2019'!H72</f>
        <v>99000</v>
      </c>
      <c r="V64" s="383">
        <f t="shared" si="4"/>
        <v>0</v>
      </c>
      <c r="X64" s="353">
        <v>0</v>
      </c>
      <c r="Y64" s="382">
        <f>'[1]COE DISB 2019'!I72</f>
        <v>0</v>
      </c>
      <c r="Z64" s="383">
        <f t="shared" si="5"/>
        <v>0</v>
      </c>
      <c r="AB64" s="385">
        <v>20000000</v>
      </c>
      <c r="AC64" s="382">
        <f>'[1]COE DISB 2019'!J72</f>
        <v>20000000</v>
      </c>
      <c r="AD64" s="383">
        <f t="shared" si="6"/>
        <v>0</v>
      </c>
      <c r="AF64" s="353">
        <v>0</v>
      </c>
      <c r="AG64" s="382">
        <f>'[1]COE DISB 2019'!K72</f>
        <v>0</v>
      </c>
      <c r="AH64" s="383">
        <f t="shared" si="7"/>
        <v>0</v>
      </c>
      <c r="AJ64" s="385">
        <v>10000000</v>
      </c>
      <c r="AK64" s="382">
        <f>'[1]COE DISB 2019'!L72</f>
        <v>10000000</v>
      </c>
      <c r="AL64" s="383">
        <f t="shared" si="8"/>
        <v>0</v>
      </c>
      <c r="AN64" s="382">
        <v>10000000</v>
      </c>
      <c r="AO64" s="382">
        <f>'[1]COE DISB 2019'!M72</f>
        <v>10000000</v>
      </c>
      <c r="AP64" s="383">
        <f t="shared" si="9"/>
        <v>0</v>
      </c>
      <c r="AR64" s="382">
        <v>15000000</v>
      </c>
      <c r="AS64" s="382">
        <f>'[1]COE DISB 2019'!N72</f>
        <v>15000000</v>
      </c>
      <c r="AT64" s="383">
        <f t="shared" si="10"/>
        <v>0</v>
      </c>
      <c r="AV64" s="382">
        <v>0</v>
      </c>
      <c r="AW64" s="385">
        <f>'[1]COE DISB 2019'!O72</f>
        <v>0</v>
      </c>
      <c r="AX64" s="382">
        <f t="shared" si="11"/>
        <v>0</v>
      </c>
      <c r="AZ64" s="382">
        <v>18000000</v>
      </c>
      <c r="BA64" s="382">
        <f>'[1]COE DISB 2019'!P72</f>
        <v>18000000</v>
      </c>
      <c r="BB64" s="382">
        <f t="shared" si="12"/>
        <v>0</v>
      </c>
      <c r="BD64" s="382">
        <v>23400000</v>
      </c>
      <c r="BE64" s="382">
        <f>'[1]COE DISB 2019'!Q72</f>
        <v>23400000</v>
      </c>
      <c r="BF64" s="382">
        <f t="shared" si="13"/>
        <v>0</v>
      </c>
      <c r="BH64" s="382">
        <v>0</v>
      </c>
      <c r="BI64" s="382">
        <f>'[1]COE DISB 2019'!R72</f>
        <v>0</v>
      </c>
      <c r="BJ64" s="382">
        <f t="shared" si="14"/>
        <v>0</v>
      </c>
      <c r="BL64" s="382">
        <v>43000000</v>
      </c>
      <c r="BM64" s="382">
        <f>'[1]COE DISB 2019'!S72</f>
        <v>43000000</v>
      </c>
      <c r="BN64" s="382">
        <f t="shared" si="15"/>
        <v>0</v>
      </c>
      <c r="BP64" s="382">
        <v>37160000</v>
      </c>
      <c r="BQ64" s="382">
        <f>'[1]COE DISB 2019'!T72</f>
        <v>37160000</v>
      </c>
      <c r="BR64" s="382">
        <f t="shared" si="16"/>
        <v>0</v>
      </c>
      <c r="BT64" s="382">
        <v>0</v>
      </c>
      <c r="BU64" s="382">
        <f>'[1]COE DISB 2019'!U72</f>
        <v>0</v>
      </c>
      <c r="BV64" s="382">
        <f t="shared" si="17"/>
        <v>0</v>
      </c>
      <c r="BX64" s="382">
        <v>112670000</v>
      </c>
      <c r="BY64" s="382">
        <f>'[1]COE DISB 2019'!V72</f>
        <v>112670000</v>
      </c>
      <c r="BZ64" s="382">
        <f t="shared" si="18"/>
        <v>0</v>
      </c>
      <c r="CB64" s="382">
        <f>'[1]COE commited funds to date'!W67</f>
        <v>0</v>
      </c>
      <c r="CC64" s="382">
        <f>'[1]COE DISB 2019'!W72</f>
        <v>0</v>
      </c>
      <c r="CD64" s="382">
        <f t="shared" si="19"/>
        <v>0</v>
      </c>
      <c r="CF64" s="382">
        <f>'[1]COE commited funds to date'!X67</f>
        <v>125000000</v>
      </c>
      <c r="CG64" s="382">
        <f>'[1]COE DISB 2019'!X72</f>
        <v>125000000</v>
      </c>
      <c r="CH64" s="382">
        <f t="shared" si="20"/>
        <v>0</v>
      </c>
      <c r="CJ64" s="382">
        <v>10000000</v>
      </c>
      <c r="CK64" s="382">
        <f>'[1]COE DISB 2019'!Y72</f>
        <v>10000000</v>
      </c>
      <c r="CL64" s="382">
        <f t="shared" si="21"/>
        <v>0</v>
      </c>
      <c r="CN64" s="382">
        <v>0</v>
      </c>
      <c r="CO64" s="382">
        <f>'[1]COE DISB 2019'!Z72</f>
        <v>0</v>
      </c>
      <c r="CP64" s="382">
        <f t="shared" si="22"/>
        <v>0</v>
      </c>
      <c r="CR64" s="382">
        <v>210000000</v>
      </c>
      <c r="CS64" s="382">
        <f>'[1]COE DISB 2019'!AA72</f>
        <v>210000000</v>
      </c>
      <c r="CT64" s="382">
        <f t="shared" si="23"/>
        <v>0</v>
      </c>
      <c r="CV64" s="382">
        <v>10000000</v>
      </c>
      <c r="CW64" s="382">
        <f>'[1]COE DISB 2019'!AB72</f>
        <v>10000000</v>
      </c>
      <c r="CX64" s="382">
        <f t="shared" si="24"/>
        <v>0</v>
      </c>
      <c r="CZ64" s="382">
        <f>'[1]COE commited funds to date'!AC67</f>
        <v>0</v>
      </c>
      <c r="DA64" s="382">
        <f>'[1]COE DISB 2019'!AC72</f>
        <v>0</v>
      </c>
      <c r="DB64" s="382">
        <f t="shared" si="25"/>
        <v>0</v>
      </c>
      <c r="DC64" s="386"/>
      <c r="DD64" s="382">
        <v>215000000</v>
      </c>
      <c r="DE64" s="382">
        <f>'[1]COE DISB 2019'!AD72</f>
        <v>215000000</v>
      </c>
      <c r="DF64" s="382">
        <f>DD64-DE64</f>
        <v>0</v>
      </c>
      <c r="DG64" s="386"/>
      <c r="DH64" s="382">
        <v>10000000</v>
      </c>
      <c r="DI64" s="382">
        <f>'[1]COE DISB 2019'!AE72</f>
        <v>10000000</v>
      </c>
      <c r="DJ64" s="382">
        <f>DH64-DI64</f>
        <v>0</v>
      </c>
      <c r="DK64" s="386"/>
      <c r="DL64" s="382">
        <f>'[1]COE commited funds to date'!AD67</f>
        <v>0</v>
      </c>
      <c r="DM64" s="382">
        <f>'[1]COE DISB 2019'!AF72</f>
        <v>0</v>
      </c>
      <c r="DN64" s="382">
        <f t="shared" si="28"/>
        <v>0</v>
      </c>
      <c r="DO64" s="386"/>
      <c r="DP64" s="382">
        <v>325000000</v>
      </c>
      <c r="DQ64" s="382">
        <f>'[1]COE DISB 2019'!AG72</f>
        <v>325000000</v>
      </c>
      <c r="DR64" s="382">
        <f t="shared" si="29"/>
        <v>0</v>
      </c>
      <c r="DS64" s="386"/>
      <c r="DT64" s="353">
        <v>10000000</v>
      </c>
      <c r="DU64" s="382">
        <f>'[1]COE DISB 2019'!AH72</f>
        <v>628700</v>
      </c>
      <c r="DV64" s="382">
        <f t="shared" si="30"/>
        <v>9371300</v>
      </c>
      <c r="DW64" s="386"/>
      <c r="DX64" s="382">
        <f>'[1]COE commited funds to date'!AI67</f>
        <v>50000000</v>
      </c>
      <c r="DY64" s="382">
        <f>'[1]COE DISB 2019'!AI72</f>
        <v>50000000</v>
      </c>
      <c r="DZ64" s="382">
        <f t="shared" si="31"/>
        <v>0</v>
      </c>
      <c r="EA64" s="386"/>
      <c r="EB64" s="382">
        <f>'[1]COE commited funds to date'!AJ67</f>
        <v>72000000</v>
      </c>
      <c r="EC64" s="382">
        <f>'[1]COE DISB 2019'!AJ72</f>
        <v>72000000</v>
      </c>
      <c r="ED64" s="382">
        <f t="shared" si="32"/>
        <v>0</v>
      </c>
      <c r="EE64" s="386"/>
      <c r="EF64" s="382">
        <f>'[1]COE commited funds to date'!AK67</f>
        <v>8000000</v>
      </c>
      <c r="EG64" s="382">
        <f>'[1]COE DISB 2019'!AK72</f>
        <v>8000000</v>
      </c>
      <c r="EH64" s="382">
        <f t="shared" si="33"/>
        <v>0</v>
      </c>
      <c r="EI64" s="386"/>
      <c r="EJ64" s="382">
        <f>'[1]COE commited funds to date'!AL67</f>
        <v>2000000</v>
      </c>
      <c r="EK64" s="382">
        <f>'[1]COE DISB 2019'!AL72</f>
        <v>0</v>
      </c>
      <c r="EL64" s="382">
        <f t="shared" si="34"/>
        <v>2000000</v>
      </c>
      <c r="EM64" s="386"/>
      <c r="EN64" s="382">
        <f>'[1]COE commited funds to date'!AM67</f>
        <v>7000000</v>
      </c>
      <c r="EO64" s="382">
        <f>'[1]COE DISB 2019'!AM72</f>
        <v>5529400</v>
      </c>
      <c r="EP64" s="382">
        <f t="shared" si="35"/>
        <v>1470600</v>
      </c>
      <c r="EQ64" s="386"/>
      <c r="ER64" s="382">
        <f>'[1]COE commited funds to date'!AN67</f>
        <v>50000000</v>
      </c>
      <c r="ES64" s="382">
        <f>'[1]COE DISB 2019'!AN72</f>
        <v>50000000</v>
      </c>
      <c r="ET64" s="382">
        <f t="shared" si="36"/>
        <v>0</v>
      </c>
      <c r="EV64" s="383">
        <f>'[1]COE commited funds to date'!AO67</f>
        <v>371067000</v>
      </c>
      <c r="EW64" s="383">
        <f>'[1]COE DISB 2019'!AO72</f>
        <v>315406950</v>
      </c>
      <c r="EX64" s="383">
        <f t="shared" si="38"/>
        <v>55660050</v>
      </c>
      <c r="EY64" s="380"/>
      <c r="EZ64" s="383">
        <f>'[1]COE commited funds to date'!AQ67</f>
        <v>12000000</v>
      </c>
      <c r="FA64" s="383">
        <f>'[1]COE DISB 2019'!AP72</f>
        <v>6634600</v>
      </c>
      <c r="FB64" s="383">
        <f t="shared" si="39"/>
        <v>5365400</v>
      </c>
      <c r="FC64" s="380"/>
      <c r="FD64" s="383">
        <f>'[1]COE commited funds to date'!AR67</f>
        <v>10000000</v>
      </c>
      <c r="FE64" s="383">
        <f>'[1]COE DISB 2019'!AQ72</f>
        <v>0</v>
      </c>
      <c r="FF64" s="383">
        <f t="shared" si="40"/>
        <v>10000000</v>
      </c>
      <c r="FG64" s="380"/>
      <c r="FH64" s="383">
        <f>'[1]COE commited funds to date'!AP67</f>
        <v>8000000</v>
      </c>
      <c r="FI64" s="383">
        <f>'[1]COE DISB 2019'!AR72</f>
        <v>6800000</v>
      </c>
      <c r="FJ64" s="383">
        <f t="shared" si="41"/>
        <v>1200000</v>
      </c>
      <c r="FK64" s="383">
        <f>'[1]COE commited funds to date'!AS67</f>
        <v>0</v>
      </c>
      <c r="FL64" s="383">
        <f>'[1]COE DISB 2019'!AS72</f>
        <v>0</v>
      </c>
      <c r="FM64" s="383">
        <f t="shared" si="42"/>
        <v>0</v>
      </c>
      <c r="FN64" s="380"/>
      <c r="FO64" s="383">
        <f>'[1]COE commited funds to date'!AT67</f>
        <v>200000000</v>
      </c>
      <c r="FP64" s="383">
        <f>'[1]COE DISB 2019'!AT72</f>
        <v>0</v>
      </c>
      <c r="FQ64" s="383">
        <f t="shared" si="43"/>
        <v>200000000</v>
      </c>
      <c r="FR64" s="380"/>
      <c r="FS64" s="383">
        <f>'[1]COE commited funds to date'!AU67</f>
        <v>75000000</v>
      </c>
      <c r="FT64" s="383">
        <f>'[1]COE DISB 2019'!AU72</f>
        <v>0</v>
      </c>
      <c r="FU64" s="383">
        <f t="shared" si="44"/>
        <v>75000000</v>
      </c>
      <c r="FV64" s="380"/>
      <c r="FW64" s="383">
        <f>'[1]COE commited funds to date'!AV67</f>
        <v>8700000</v>
      </c>
      <c r="FX64" s="383">
        <f>'[1]COE DISB 2019'!AV72</f>
        <v>0</v>
      </c>
      <c r="FY64" s="383">
        <f t="shared" si="45"/>
        <v>8700000</v>
      </c>
      <c r="FZ64" s="380"/>
      <c r="GA64" s="383">
        <f>'[1]COE commited funds to date'!AW67</f>
        <v>5000000</v>
      </c>
      <c r="GB64" s="383">
        <f>'[1]COE DISB 2019'!AW72</f>
        <v>0</v>
      </c>
      <c r="GC64" s="383">
        <f t="shared" si="46"/>
        <v>5000000</v>
      </c>
      <c r="GD64" s="380"/>
      <c r="GE64" s="383">
        <f>'[1]COE commited funds to date'!AX67</f>
        <v>20000000</v>
      </c>
      <c r="GF64" s="383">
        <f>'[1]COE DISB 2019'!AX72</f>
        <v>0</v>
      </c>
      <c r="GG64" s="383">
        <f t="shared" si="47"/>
        <v>20000000</v>
      </c>
      <c r="GH64" s="380"/>
      <c r="GI64" s="383">
        <f>'[1]COE commited funds to date'!AY67</f>
        <v>230000000</v>
      </c>
      <c r="GJ64" s="383">
        <f>'[1]COE DISB 2019'!AY72</f>
        <v>0</v>
      </c>
      <c r="GK64" s="383">
        <f t="shared" si="48"/>
        <v>230000000</v>
      </c>
      <c r="GL64" s="380"/>
      <c r="GM64" s="383">
        <f>'[1]COE commited funds to date'!AZ67</f>
        <v>116776600</v>
      </c>
      <c r="GN64" s="383">
        <f>'[1]COE DISB 2019'!AZ72</f>
        <v>0</v>
      </c>
      <c r="GO64" s="383">
        <f t="shared" si="49"/>
        <v>116776600</v>
      </c>
      <c r="GP64" s="380"/>
      <c r="GQ64" s="383">
        <f>'[1]COE commited funds to date'!BA67</f>
        <v>12000000</v>
      </c>
      <c r="GR64" s="383">
        <f>'[1]COE DISB 2019'!BA72</f>
        <v>0</v>
      </c>
      <c r="GS64" s="383">
        <f t="shared" si="50"/>
        <v>12000000</v>
      </c>
      <c r="GT64" s="380"/>
      <c r="GU64" s="383">
        <f>'[1]COE commited funds to date'!BB67</f>
        <v>5000000</v>
      </c>
      <c r="GV64" s="383">
        <f>'[1]COE DISB 2019'!BB72</f>
        <v>0</v>
      </c>
      <c r="GW64" s="383">
        <f t="shared" si="51"/>
        <v>5000000</v>
      </c>
      <c r="GX64" s="380"/>
      <c r="GY64" s="383">
        <f>'[1]COE commited funds to date'!BC67</f>
        <v>10308300</v>
      </c>
      <c r="GZ64" s="383">
        <f>'[1]COE DISB 2019'!BC72</f>
        <v>0</v>
      </c>
      <c r="HA64" s="383">
        <f t="shared" si="52"/>
        <v>10308300</v>
      </c>
      <c r="HB64" s="380"/>
      <c r="HC64" s="383">
        <f t="shared" si="53"/>
        <v>2519999865.5</v>
      </c>
      <c r="HD64" s="383">
        <f t="shared" si="53"/>
        <v>1752147614.6399999</v>
      </c>
      <c r="HE64" s="382">
        <f t="shared" si="54"/>
        <v>767852250.86000013</v>
      </c>
      <c r="HG64" s="383">
        <f t="shared" si="55"/>
        <v>2079615965.5</v>
      </c>
      <c r="HH64" s="383">
        <f t="shared" si="55"/>
        <v>1593955914.6399999</v>
      </c>
      <c r="HI64" s="383">
        <f t="shared" si="56"/>
        <v>485660050.86000013</v>
      </c>
      <c r="HK64" s="383">
        <f t="shared" si="57"/>
        <v>100000000</v>
      </c>
      <c r="HL64" s="383">
        <f t="shared" si="57"/>
        <v>100000000</v>
      </c>
      <c r="HM64" s="383">
        <f t="shared" si="58"/>
        <v>0</v>
      </c>
      <c r="HO64" s="383">
        <f t="shared" si="71"/>
        <v>599000</v>
      </c>
      <c r="HP64" s="383">
        <f t="shared" si="71"/>
        <v>599000</v>
      </c>
      <c r="HQ64" s="383">
        <f t="shared" si="59"/>
        <v>0</v>
      </c>
      <c r="HS64" s="383">
        <f t="shared" si="60"/>
        <v>89308300</v>
      </c>
      <c r="HT64" s="383">
        <f t="shared" si="60"/>
        <v>42792700</v>
      </c>
      <c r="HU64" s="383">
        <f t="shared" si="61"/>
        <v>46515600</v>
      </c>
      <c r="HW64" s="383">
        <f t="shared" si="62"/>
        <v>36700000</v>
      </c>
      <c r="HX64" s="383">
        <f t="shared" si="62"/>
        <v>14800000</v>
      </c>
      <c r="HY64" s="383">
        <f t="shared" si="63"/>
        <v>21900000</v>
      </c>
      <c r="IA64" s="387">
        <f t="shared" si="64"/>
        <v>20000000</v>
      </c>
      <c r="IB64" s="387">
        <f t="shared" si="64"/>
        <v>0</v>
      </c>
      <c r="IC64" s="387">
        <f t="shared" si="65"/>
        <v>20000000</v>
      </c>
      <c r="IE64" s="383">
        <f t="shared" si="66"/>
        <v>191776600</v>
      </c>
      <c r="IF64" s="383">
        <f t="shared" si="66"/>
        <v>0</v>
      </c>
      <c r="IG64" s="383">
        <f t="shared" si="67"/>
        <v>191776600</v>
      </c>
      <c r="II64" s="383">
        <f t="shared" si="68"/>
        <v>2000000</v>
      </c>
      <c r="IJ64" s="383">
        <f t="shared" si="68"/>
        <v>0</v>
      </c>
      <c r="IK64" s="383">
        <f t="shared" si="69"/>
        <v>2000000</v>
      </c>
    </row>
    <row r="65" spans="1:245" ht="19.5" customHeight="1" x14ac:dyDescent="0.25">
      <c r="A65" s="380">
        <v>61</v>
      </c>
      <c r="B65" s="380" t="s">
        <v>382</v>
      </c>
      <c r="C65" s="402" t="s">
        <v>76</v>
      </c>
      <c r="D65" s="382">
        <v>0</v>
      </c>
      <c r="E65" s="382">
        <f>'[1]COE DISB 2019'!D73</f>
        <v>0</v>
      </c>
      <c r="F65" s="383">
        <f t="shared" si="0"/>
        <v>0</v>
      </c>
      <c r="H65" s="382">
        <v>0</v>
      </c>
      <c r="I65" s="382">
        <f>'[1]COE DISB 2019'!E73</f>
        <v>0</v>
      </c>
      <c r="J65" s="383">
        <f t="shared" si="1"/>
        <v>0</v>
      </c>
      <c r="L65" s="382">
        <v>0</v>
      </c>
      <c r="M65" s="382">
        <f>'[1]COE DISB 2019'!F73</f>
        <v>0</v>
      </c>
      <c r="N65" s="383">
        <f t="shared" si="2"/>
        <v>0</v>
      </c>
      <c r="P65" s="385">
        <v>0</v>
      </c>
      <c r="Q65" s="382">
        <f>'[1]COE DISB 2019'!G73</f>
        <v>0</v>
      </c>
      <c r="R65" s="383">
        <f t="shared" si="3"/>
        <v>0</v>
      </c>
      <c r="T65" s="385">
        <v>0</v>
      </c>
      <c r="U65" s="382">
        <f>'[1]COE DISB 2019'!H73</f>
        <v>0</v>
      </c>
      <c r="V65" s="383">
        <f t="shared" si="4"/>
        <v>0</v>
      </c>
      <c r="X65" s="385">
        <v>0</v>
      </c>
      <c r="Y65" s="382">
        <f>'[1]COE DISB 2019'!I73</f>
        <v>0</v>
      </c>
      <c r="Z65" s="383">
        <f t="shared" si="5"/>
        <v>0</v>
      </c>
      <c r="AB65" s="385">
        <v>0</v>
      </c>
      <c r="AC65" s="382">
        <f>'[1]COE DISB 2019'!J73</f>
        <v>0</v>
      </c>
      <c r="AD65" s="383">
        <f t="shared" si="6"/>
        <v>0</v>
      </c>
      <c r="AF65" s="385">
        <v>0</v>
      </c>
      <c r="AG65" s="382">
        <f>'[1]COE DISB 2019'!K73</f>
        <v>0</v>
      </c>
      <c r="AH65" s="383">
        <f t="shared" si="7"/>
        <v>0</v>
      </c>
      <c r="AJ65" s="385">
        <v>0</v>
      </c>
      <c r="AK65" s="382">
        <f>'[1]COE DISB 2019'!L73</f>
        <v>0</v>
      </c>
      <c r="AL65" s="383">
        <f t="shared" si="8"/>
        <v>0</v>
      </c>
      <c r="AN65" s="382">
        <v>0</v>
      </c>
      <c r="AO65" s="382">
        <f>'[1]COE DISB 2019'!M73</f>
        <v>0</v>
      </c>
      <c r="AP65" s="383">
        <f t="shared" si="9"/>
        <v>0</v>
      </c>
      <c r="AR65" s="382">
        <v>0</v>
      </c>
      <c r="AS65" s="382">
        <f>'[1]COE DISB 2019'!N73</f>
        <v>0</v>
      </c>
      <c r="AT65" s="383">
        <f t="shared" si="10"/>
        <v>0</v>
      </c>
      <c r="AV65" s="382">
        <v>0</v>
      </c>
      <c r="AW65" s="388">
        <f>'[1]COE DISB 2019'!O73</f>
        <v>0</v>
      </c>
      <c r="AX65" s="382">
        <f t="shared" si="11"/>
        <v>0</v>
      </c>
      <c r="AZ65" s="382">
        <v>0</v>
      </c>
      <c r="BA65" s="382">
        <f>'[1]COE DISB 2019'!P73</f>
        <v>0</v>
      </c>
      <c r="BB65" s="382">
        <f t="shared" si="12"/>
        <v>0</v>
      </c>
      <c r="BD65" s="382">
        <v>0</v>
      </c>
      <c r="BE65" s="382">
        <f>'[1]COE DISB 2019'!Q73</f>
        <v>0</v>
      </c>
      <c r="BF65" s="382">
        <f t="shared" si="13"/>
        <v>0</v>
      </c>
      <c r="BH65" s="382">
        <v>0</v>
      </c>
      <c r="BI65" s="382">
        <f>'[1]COE DISB 2019'!R73</f>
        <v>0</v>
      </c>
      <c r="BJ65" s="382">
        <f t="shared" si="14"/>
        <v>0</v>
      </c>
      <c r="BL65" s="382">
        <v>43000000</v>
      </c>
      <c r="BM65" s="382">
        <f>'[1]COE DISB 2019'!S73</f>
        <v>43000000</v>
      </c>
      <c r="BN65" s="382">
        <f t="shared" si="15"/>
        <v>0</v>
      </c>
      <c r="BP65" s="382">
        <v>37160000</v>
      </c>
      <c r="BQ65" s="382">
        <f>'[1]COE DISB 2019'!T73</f>
        <v>37160000</v>
      </c>
      <c r="BR65" s="382">
        <f t="shared" si="16"/>
        <v>0</v>
      </c>
      <c r="BT65" s="382">
        <v>0</v>
      </c>
      <c r="BU65" s="382">
        <f>'[1]COE DISB 2019'!U73</f>
        <v>0</v>
      </c>
      <c r="BV65" s="382">
        <f t="shared" si="17"/>
        <v>0</v>
      </c>
      <c r="BX65" s="382">
        <v>112670000</v>
      </c>
      <c r="BY65" s="382">
        <f>'[1]COE DISB 2019'!V73</f>
        <v>112670000</v>
      </c>
      <c r="BZ65" s="382">
        <f t="shared" si="18"/>
        <v>0</v>
      </c>
      <c r="CB65" s="382">
        <f>'[1]COE commited funds to date'!W68</f>
        <v>85000000</v>
      </c>
      <c r="CC65" s="382">
        <f>'[1]COE DISB 2019'!W73</f>
        <v>85000000</v>
      </c>
      <c r="CD65" s="382">
        <f t="shared" si="19"/>
        <v>0</v>
      </c>
      <c r="CF65" s="382">
        <f>'[1]COE commited funds to date'!X68</f>
        <v>125000000</v>
      </c>
      <c r="CG65" s="382">
        <f>'[1]COE DISB 2019'!X73</f>
        <v>106250000</v>
      </c>
      <c r="CH65" s="382">
        <f t="shared" si="20"/>
        <v>18750000</v>
      </c>
      <c r="CJ65" s="382">
        <v>10000000</v>
      </c>
      <c r="CK65" s="382">
        <f>'[1]COE DISB 2019'!Y73</f>
        <v>0</v>
      </c>
      <c r="CL65" s="382">
        <f t="shared" si="21"/>
        <v>10000000</v>
      </c>
      <c r="CN65" s="382">
        <v>0</v>
      </c>
      <c r="CO65" s="382">
        <f>'[1]COE DISB 2019'!Z73</f>
        <v>0</v>
      </c>
      <c r="CP65" s="382">
        <f t="shared" si="22"/>
        <v>0</v>
      </c>
      <c r="CR65" s="382">
        <v>210000000</v>
      </c>
      <c r="CS65" s="382">
        <f>'[1]COE DISB 2019'!AA73</f>
        <v>178500000</v>
      </c>
      <c r="CT65" s="382">
        <f t="shared" si="23"/>
        <v>31500000</v>
      </c>
      <c r="CV65" s="382">
        <v>10000000</v>
      </c>
      <c r="CW65" s="382">
        <f>'[1]COE DISB 2019'!AB73</f>
        <v>10000000</v>
      </c>
      <c r="CX65" s="382">
        <f t="shared" si="24"/>
        <v>0</v>
      </c>
      <c r="CZ65" s="382">
        <f>'[1]COE commited funds to date'!AC68</f>
        <v>0</v>
      </c>
      <c r="DA65" s="382">
        <f>'[1]COE DISB 2019'!AC73</f>
        <v>0</v>
      </c>
      <c r="DB65" s="382">
        <f t="shared" si="25"/>
        <v>0</v>
      </c>
      <c r="DC65" s="386"/>
      <c r="DD65" s="382">
        <v>215000000</v>
      </c>
      <c r="DE65" s="382">
        <f>'[1]COE DISB 2019'!AD73</f>
        <v>182750000</v>
      </c>
      <c r="DF65" s="382">
        <f>DD65-DE65</f>
        <v>32250000</v>
      </c>
      <c r="DG65" s="386"/>
      <c r="DH65" s="382">
        <v>10000000</v>
      </c>
      <c r="DI65" s="382">
        <f>'[1]COE DISB 2019'!AE73</f>
        <v>10000000</v>
      </c>
      <c r="DJ65" s="382">
        <f>DH65-DI65</f>
        <v>0</v>
      </c>
      <c r="DK65" s="386"/>
      <c r="DL65" s="382">
        <f>'[1]COE commited funds to date'!AD68</f>
        <v>0</v>
      </c>
      <c r="DM65" s="382">
        <f>'[1]COE DISB 2019'!AF73</f>
        <v>0</v>
      </c>
      <c r="DN65" s="382">
        <f t="shared" si="28"/>
        <v>0</v>
      </c>
      <c r="DO65" s="386"/>
      <c r="DP65" s="382">
        <v>325000000</v>
      </c>
      <c r="DQ65" s="382">
        <f>'[1]COE DISB 2019'!AG73</f>
        <v>242250000</v>
      </c>
      <c r="DR65" s="382">
        <f t="shared" si="29"/>
        <v>82750000</v>
      </c>
      <c r="DS65" s="386"/>
      <c r="DT65" s="353">
        <v>10000000</v>
      </c>
      <c r="DU65" s="382">
        <f>'[1]COE DISB 2019'!AH73</f>
        <v>10000000</v>
      </c>
      <c r="DV65" s="382">
        <f t="shared" si="30"/>
        <v>0</v>
      </c>
      <c r="DW65" s="386"/>
      <c r="DX65" s="382">
        <f>'[1]COE commited funds to date'!AI68</f>
        <v>0</v>
      </c>
      <c r="DY65" s="382">
        <f>'[1]COE DISB 2019'!AI73</f>
        <v>0</v>
      </c>
      <c r="DZ65" s="382">
        <f t="shared" si="31"/>
        <v>0</v>
      </c>
      <c r="EA65" s="386"/>
      <c r="EB65" s="382">
        <f>'[1]COE commited funds to date'!AJ68</f>
        <v>72000000</v>
      </c>
      <c r="EC65" s="382">
        <f>'[1]COE DISB 2019'!AJ73</f>
        <v>0</v>
      </c>
      <c r="ED65" s="382">
        <f t="shared" si="32"/>
        <v>72000000</v>
      </c>
      <c r="EE65" s="386"/>
      <c r="EF65" s="382">
        <f>'[1]COE commited funds to date'!AK68</f>
        <v>8000000</v>
      </c>
      <c r="EG65" s="382">
        <f>'[1]COE DISB 2019'!AK73</f>
        <v>0</v>
      </c>
      <c r="EH65" s="382">
        <f t="shared" si="33"/>
        <v>8000000</v>
      </c>
      <c r="EI65" s="386"/>
      <c r="EJ65" s="382">
        <f>'[1]COE commited funds to date'!AL68</f>
        <v>2000000</v>
      </c>
      <c r="EK65" s="382">
        <f>'[1]COE DISB 2019'!AL73</f>
        <v>0</v>
      </c>
      <c r="EL65" s="382">
        <f t="shared" si="34"/>
        <v>2000000</v>
      </c>
      <c r="EM65" s="386"/>
      <c r="EN65" s="382">
        <f>'[1]COE commited funds to date'!AM68</f>
        <v>7000000</v>
      </c>
      <c r="EO65" s="382">
        <f>'[1]COE DISB 2019'!AM73</f>
        <v>5619540</v>
      </c>
      <c r="EP65" s="382">
        <f t="shared" si="35"/>
        <v>1380460</v>
      </c>
      <c r="EQ65" s="386"/>
      <c r="ER65" s="382">
        <f>'[1]COE commited funds to date'!AN68</f>
        <v>0</v>
      </c>
      <c r="ES65" s="382">
        <f>'[1]COE DISB 2019'!AN73</f>
        <v>0</v>
      </c>
      <c r="ET65" s="382">
        <f t="shared" si="36"/>
        <v>0</v>
      </c>
      <c r="EV65" s="383">
        <f>'[1]COE commited funds to date'!AO68</f>
        <v>371067000</v>
      </c>
      <c r="EW65" s="383">
        <f>'[1]COE DISB 2019'!AO73</f>
        <v>0</v>
      </c>
      <c r="EX65" s="383">
        <f t="shared" si="38"/>
        <v>371067000</v>
      </c>
      <c r="EY65" s="380"/>
      <c r="EZ65" s="383">
        <f>'[1]COE commited funds to date'!AQ68</f>
        <v>12000000</v>
      </c>
      <c r="FA65" s="383">
        <f>'[1]COE DISB 2019'!AP73</f>
        <v>0</v>
      </c>
      <c r="FB65" s="383">
        <f t="shared" si="39"/>
        <v>12000000</v>
      </c>
      <c r="FC65" s="380"/>
      <c r="FD65" s="383">
        <f>'[1]COE commited funds to date'!AR68</f>
        <v>10000000</v>
      </c>
      <c r="FE65" s="383">
        <f>'[1]COE DISB 2019'!AQ73</f>
        <v>0</v>
      </c>
      <c r="FF65" s="383">
        <f t="shared" si="40"/>
        <v>10000000</v>
      </c>
      <c r="FG65" s="380"/>
      <c r="FH65" s="383">
        <f>'[1]COE commited funds to date'!AP68</f>
        <v>8000000</v>
      </c>
      <c r="FI65" s="383">
        <f>'[1]COE DISB 2019'!AR73</f>
        <v>0</v>
      </c>
      <c r="FJ65" s="383">
        <f t="shared" si="41"/>
        <v>8000000</v>
      </c>
      <c r="FK65" s="383">
        <f>'[1]COE commited funds to date'!AS68</f>
        <v>150000000</v>
      </c>
      <c r="FL65" s="383">
        <f>'[1]COE DISB 2019'!AS73</f>
        <v>127500000</v>
      </c>
      <c r="FM65" s="383">
        <f t="shared" si="42"/>
        <v>22500000</v>
      </c>
      <c r="FN65" s="380"/>
      <c r="FO65" s="383">
        <f>'[1]COE commited funds to date'!AT68</f>
        <v>200000000</v>
      </c>
      <c r="FP65" s="383">
        <f>'[1]COE DISB 2019'!AT73</f>
        <v>0</v>
      </c>
      <c r="FQ65" s="383">
        <f t="shared" si="43"/>
        <v>200000000</v>
      </c>
      <c r="FR65" s="380"/>
      <c r="FS65" s="383">
        <f>'[1]COE commited funds to date'!AU68</f>
        <v>75000000</v>
      </c>
      <c r="FT65" s="383">
        <f>'[1]COE DISB 2019'!AU73</f>
        <v>49500000</v>
      </c>
      <c r="FU65" s="383">
        <f t="shared" si="44"/>
        <v>25500000</v>
      </c>
      <c r="FV65" s="380"/>
      <c r="FW65" s="383">
        <f>'[1]COE commited funds to date'!AV68</f>
        <v>8700000</v>
      </c>
      <c r="FX65" s="383">
        <f>'[1]COE DISB 2019'!AV73</f>
        <v>0</v>
      </c>
      <c r="FY65" s="383">
        <f t="shared" si="45"/>
        <v>8700000</v>
      </c>
      <c r="FZ65" s="380"/>
      <c r="GA65" s="383">
        <f>'[1]COE commited funds to date'!AW68</f>
        <v>5000000</v>
      </c>
      <c r="GB65" s="383">
        <f>'[1]COE DISB 2019'!AW73</f>
        <v>0</v>
      </c>
      <c r="GC65" s="383">
        <f t="shared" si="46"/>
        <v>5000000</v>
      </c>
      <c r="GD65" s="380"/>
      <c r="GE65" s="383">
        <f>'[1]COE commited funds to date'!AX68</f>
        <v>20000000</v>
      </c>
      <c r="GF65" s="383">
        <f>'[1]COE DISB 2019'!AX73</f>
        <v>0</v>
      </c>
      <c r="GG65" s="383">
        <f t="shared" si="47"/>
        <v>20000000</v>
      </c>
      <c r="GH65" s="380"/>
      <c r="GI65" s="383">
        <f>'[1]COE commited funds to date'!AY68</f>
        <v>230000000</v>
      </c>
      <c r="GJ65" s="383">
        <f>'[1]COE DISB 2019'!AY73</f>
        <v>0</v>
      </c>
      <c r="GK65" s="383">
        <f t="shared" si="48"/>
        <v>230000000</v>
      </c>
      <c r="GL65" s="380"/>
      <c r="GM65" s="383">
        <f>'[1]COE commited funds to date'!AZ68</f>
        <v>116776600</v>
      </c>
      <c r="GN65" s="383">
        <f>'[1]COE DISB 2019'!AZ73</f>
        <v>0</v>
      </c>
      <c r="GO65" s="383">
        <f t="shared" si="49"/>
        <v>116776600</v>
      </c>
      <c r="GP65" s="380"/>
      <c r="GQ65" s="383">
        <f>'[1]COE commited funds to date'!BA68</f>
        <v>12000000</v>
      </c>
      <c r="GR65" s="383">
        <f>'[1]COE DISB 2019'!BA73</f>
        <v>0</v>
      </c>
      <c r="GS65" s="383">
        <f t="shared" si="50"/>
        <v>12000000</v>
      </c>
      <c r="GT65" s="380"/>
      <c r="GU65" s="383">
        <f>'[1]COE commited funds to date'!BB68</f>
        <v>5000000</v>
      </c>
      <c r="GV65" s="383">
        <f>'[1]COE DISB 2019'!BB73</f>
        <v>0</v>
      </c>
      <c r="GW65" s="383">
        <f t="shared" si="51"/>
        <v>5000000</v>
      </c>
      <c r="GX65" s="380"/>
      <c r="GY65" s="383">
        <f>'[1]COE commited funds to date'!BC68</f>
        <v>10308300</v>
      </c>
      <c r="GZ65" s="383">
        <f>'[1]COE DISB 2019'!BC73</f>
        <v>0</v>
      </c>
      <c r="HA65" s="383">
        <f t="shared" si="52"/>
        <v>10308300</v>
      </c>
      <c r="HB65" s="380"/>
      <c r="HC65" s="383">
        <f t="shared" si="53"/>
        <v>2515681900</v>
      </c>
      <c r="HD65" s="383">
        <f t="shared" si="53"/>
        <v>1200199540</v>
      </c>
      <c r="HE65" s="382">
        <f t="shared" si="54"/>
        <v>1315482360</v>
      </c>
      <c r="HG65" s="383">
        <f t="shared" si="55"/>
        <v>1940897000</v>
      </c>
      <c r="HH65" s="383">
        <f t="shared" si="55"/>
        <v>902580000</v>
      </c>
      <c r="HI65" s="383">
        <f t="shared" si="56"/>
        <v>1038317000</v>
      </c>
      <c r="HK65" s="383">
        <f t="shared" si="57"/>
        <v>85000000</v>
      </c>
      <c r="HL65" s="383">
        <f t="shared" si="57"/>
        <v>85000000</v>
      </c>
      <c r="HM65" s="383">
        <f t="shared" si="58"/>
        <v>0</v>
      </c>
      <c r="HO65" s="383">
        <f t="shared" si="71"/>
        <v>0</v>
      </c>
      <c r="HP65" s="383">
        <f t="shared" si="71"/>
        <v>0</v>
      </c>
      <c r="HQ65" s="383">
        <f t="shared" si="59"/>
        <v>0</v>
      </c>
      <c r="HS65" s="383">
        <f t="shared" si="60"/>
        <v>89308300</v>
      </c>
      <c r="HT65" s="383">
        <f t="shared" si="60"/>
        <v>35619540</v>
      </c>
      <c r="HU65" s="383">
        <f t="shared" si="61"/>
        <v>53688760</v>
      </c>
      <c r="HW65" s="383">
        <f t="shared" si="62"/>
        <v>36700000</v>
      </c>
      <c r="HX65" s="383">
        <f t="shared" si="62"/>
        <v>0</v>
      </c>
      <c r="HY65" s="383">
        <f t="shared" si="63"/>
        <v>36700000</v>
      </c>
      <c r="IA65" s="387">
        <f t="shared" si="64"/>
        <v>20000000</v>
      </c>
      <c r="IB65" s="387">
        <f t="shared" si="64"/>
        <v>0</v>
      </c>
      <c r="IC65" s="387">
        <f t="shared" si="65"/>
        <v>20000000</v>
      </c>
      <c r="IE65" s="383">
        <f t="shared" si="66"/>
        <v>341776600</v>
      </c>
      <c r="IF65" s="383">
        <f t="shared" si="66"/>
        <v>177000000</v>
      </c>
      <c r="IG65" s="383">
        <f t="shared" si="67"/>
        <v>164776600</v>
      </c>
      <c r="II65" s="383">
        <f t="shared" si="68"/>
        <v>2000000</v>
      </c>
      <c r="IJ65" s="383">
        <f t="shared" si="68"/>
        <v>0</v>
      </c>
      <c r="IK65" s="383">
        <f t="shared" si="69"/>
        <v>2000000</v>
      </c>
    </row>
    <row r="66" spans="1:245" ht="19.5" customHeight="1" x14ac:dyDescent="0.25">
      <c r="A66" s="380">
        <v>62</v>
      </c>
      <c r="B66" s="380" t="s">
        <v>383</v>
      </c>
      <c r="C66" s="42" t="s">
        <v>65</v>
      </c>
      <c r="D66" s="382">
        <v>18318965.5</v>
      </c>
      <c r="E66" s="382">
        <f>'[1]COE DISB 2019'!D74</f>
        <v>18318965.5</v>
      </c>
      <c r="F66" s="383">
        <f t="shared" si="0"/>
        <v>0</v>
      </c>
      <c r="H66" s="382">
        <v>8000000</v>
      </c>
      <c r="I66" s="382">
        <f>'[1]COE DISB 2019'!E74</f>
        <v>8000000</v>
      </c>
      <c r="J66" s="383">
        <f t="shared" si="1"/>
        <v>0</v>
      </c>
      <c r="L66" s="382">
        <v>500000</v>
      </c>
      <c r="M66" s="382">
        <f>'[1]COE DISB 2019'!F74</f>
        <v>500000</v>
      </c>
      <c r="N66" s="383">
        <f t="shared" si="2"/>
        <v>0</v>
      </c>
      <c r="P66" s="353">
        <v>16000000</v>
      </c>
      <c r="Q66" s="382">
        <f>'[1]COE DISB 2019'!G74</f>
        <v>16000000</v>
      </c>
      <c r="R66" s="383">
        <f t="shared" si="3"/>
        <v>0</v>
      </c>
      <c r="T66" s="385">
        <v>1213000</v>
      </c>
      <c r="U66" s="382">
        <f>'[1]COE DISB 2019'!H74</f>
        <v>1213000</v>
      </c>
      <c r="V66" s="383">
        <f t="shared" si="4"/>
        <v>0</v>
      </c>
      <c r="X66" s="353">
        <v>0</v>
      </c>
      <c r="Y66" s="382">
        <f>'[1]COE DISB 2019'!I74</f>
        <v>0</v>
      </c>
      <c r="Z66" s="383">
        <f t="shared" si="5"/>
        <v>0</v>
      </c>
      <c r="AB66" s="385">
        <v>20000000</v>
      </c>
      <c r="AC66" s="382">
        <f>'[1]COE DISB 2019'!J74</f>
        <v>20000000</v>
      </c>
      <c r="AD66" s="383">
        <f t="shared" si="6"/>
        <v>0</v>
      </c>
      <c r="AF66" s="353">
        <v>0</v>
      </c>
      <c r="AG66" s="382">
        <f>'[1]COE DISB 2019'!K74</f>
        <v>0</v>
      </c>
      <c r="AH66" s="383">
        <f t="shared" si="7"/>
        <v>0</v>
      </c>
      <c r="AJ66" s="385">
        <v>10000000</v>
      </c>
      <c r="AK66" s="382">
        <f>'[1]COE DISB 2019'!L74</f>
        <v>10000000</v>
      </c>
      <c r="AL66" s="383">
        <f t="shared" si="8"/>
        <v>0</v>
      </c>
      <c r="AN66" s="382">
        <v>10000000</v>
      </c>
      <c r="AO66" s="382">
        <f>'[1]COE DISB 2019'!M74</f>
        <v>10000000</v>
      </c>
      <c r="AP66" s="383">
        <f t="shared" si="9"/>
        <v>0</v>
      </c>
      <c r="AR66" s="382">
        <f>15000000-15000000</f>
        <v>0</v>
      </c>
      <c r="AS66" s="382">
        <f>'[1]COE DISB 2019'!N74</f>
        <v>0</v>
      </c>
      <c r="AT66" s="383">
        <f t="shared" si="10"/>
        <v>0</v>
      </c>
      <c r="AV66" s="382">
        <v>0</v>
      </c>
      <c r="AW66" s="385">
        <f>'[1]COE DISB 2019'!O74</f>
        <v>0</v>
      </c>
      <c r="AX66" s="382">
        <f t="shared" si="11"/>
        <v>0</v>
      </c>
      <c r="AZ66" s="382">
        <v>0</v>
      </c>
      <c r="BA66" s="382">
        <f>'[1]COE DISB 2019'!P74</f>
        <v>0</v>
      </c>
      <c r="BB66" s="382">
        <f t="shared" si="12"/>
        <v>0</v>
      </c>
      <c r="BD66" s="382">
        <v>0</v>
      </c>
      <c r="BE66" s="382">
        <f>'[1]COE DISB 2019'!Q74</f>
        <v>0</v>
      </c>
      <c r="BF66" s="382">
        <f t="shared" si="13"/>
        <v>0</v>
      </c>
      <c r="BH66" s="382">
        <v>0</v>
      </c>
      <c r="BI66" s="382">
        <f>'[1]COE DISB 2019'!R74</f>
        <v>0</v>
      </c>
      <c r="BJ66" s="382">
        <f t="shared" si="14"/>
        <v>0</v>
      </c>
      <c r="BL66" s="382">
        <v>0</v>
      </c>
      <c r="BM66" s="382">
        <f>'[1]COE DISB 2019'!S74</f>
        <v>0</v>
      </c>
      <c r="BN66" s="382">
        <f t="shared" si="15"/>
        <v>0</v>
      </c>
      <c r="BP66" s="382">
        <v>0</v>
      </c>
      <c r="BQ66" s="382">
        <f>'[1]COE DISB 2019'!T74</f>
        <v>0</v>
      </c>
      <c r="BR66" s="382">
        <f t="shared" si="16"/>
        <v>0</v>
      </c>
      <c r="BT66" s="382">
        <v>0</v>
      </c>
      <c r="BU66" s="382">
        <f>'[1]COE DISB 2019'!U74</f>
        <v>0</v>
      </c>
      <c r="BV66" s="382">
        <f t="shared" si="17"/>
        <v>0</v>
      </c>
      <c r="BX66" s="382">
        <v>112670000</v>
      </c>
      <c r="BY66" s="382">
        <f>'[1]COE DISB 2019'!V74</f>
        <v>112670000</v>
      </c>
      <c r="BZ66" s="382">
        <f t="shared" si="18"/>
        <v>0</v>
      </c>
      <c r="CB66" s="382">
        <f>'[1]COE commited funds to date'!W69</f>
        <v>100000000</v>
      </c>
      <c r="CC66" s="382">
        <f>'[1]COE DISB 2019'!W74</f>
        <v>100000000</v>
      </c>
      <c r="CD66" s="382">
        <f t="shared" si="19"/>
        <v>0</v>
      </c>
      <c r="CF66" s="382">
        <f>'[1]COE commited funds to date'!X69</f>
        <v>125000000</v>
      </c>
      <c r="CG66" s="382">
        <f>'[1]COE DISB 2019'!X74</f>
        <v>125000000</v>
      </c>
      <c r="CH66" s="382">
        <f t="shared" si="20"/>
        <v>0</v>
      </c>
      <c r="CJ66" s="382">
        <v>10000000</v>
      </c>
      <c r="CK66" s="382">
        <f>'[1]COE DISB 2019'!Y74</f>
        <v>10000000</v>
      </c>
      <c r="CL66" s="382">
        <f t="shared" si="21"/>
        <v>0</v>
      </c>
      <c r="CN66" s="382">
        <v>0</v>
      </c>
      <c r="CO66" s="382">
        <f>'[1]COE DISB 2019'!Z74</f>
        <v>0</v>
      </c>
      <c r="CP66" s="382">
        <f t="shared" si="22"/>
        <v>0</v>
      </c>
      <c r="CR66" s="382">
        <v>210000000</v>
      </c>
      <c r="CS66" s="382">
        <f>'[1]COE DISB 2019'!AA74</f>
        <v>210000000</v>
      </c>
      <c r="CT66" s="382">
        <f t="shared" si="23"/>
        <v>0</v>
      </c>
      <c r="CV66" s="382">
        <v>10000000</v>
      </c>
      <c r="CW66" s="382">
        <f>'[1]COE DISB 2019'!AB74</f>
        <v>10000000</v>
      </c>
      <c r="CX66" s="382">
        <f t="shared" si="24"/>
        <v>0</v>
      </c>
      <c r="CZ66" s="382">
        <f>'[1]COE commited funds to date'!AC69</f>
        <v>0</v>
      </c>
      <c r="DA66" s="382">
        <f>'[1]COE DISB 2019'!AC74</f>
        <v>0</v>
      </c>
      <c r="DB66" s="382">
        <f t="shared" si="25"/>
        <v>0</v>
      </c>
      <c r="DC66" s="386"/>
      <c r="DD66" s="382">
        <v>215000000</v>
      </c>
      <c r="DE66" s="382">
        <f>'[1]COE DISB 2019'!AD74</f>
        <v>215000000</v>
      </c>
      <c r="DF66" s="382">
        <f>DD66-DE66</f>
        <v>0</v>
      </c>
      <c r="DG66" s="386"/>
      <c r="DH66" s="382">
        <v>10000000</v>
      </c>
      <c r="DI66" s="382">
        <f>'[1]COE DISB 2019'!AE74</f>
        <v>10000000</v>
      </c>
      <c r="DJ66" s="382">
        <f>DH66-DI66</f>
        <v>0</v>
      </c>
      <c r="DK66" s="386"/>
      <c r="DL66" s="382">
        <f>'[1]COE commited funds to date'!AD69</f>
        <v>141600000</v>
      </c>
      <c r="DM66" s="382">
        <f>'[1]COE DISB 2019'!AF74</f>
        <v>141600000</v>
      </c>
      <c r="DN66" s="382">
        <f t="shared" si="28"/>
        <v>0</v>
      </c>
      <c r="DO66" s="386"/>
      <c r="DP66" s="382">
        <v>325000000</v>
      </c>
      <c r="DQ66" s="382">
        <f>'[1]COE DISB 2019'!AG74</f>
        <v>325000000</v>
      </c>
      <c r="DR66" s="382">
        <f t="shared" si="29"/>
        <v>0</v>
      </c>
      <c r="DS66" s="386"/>
      <c r="DT66" s="353">
        <v>10000000</v>
      </c>
      <c r="DU66" s="382">
        <f>'[1]COE DISB 2019'!AH74</f>
        <v>1903360</v>
      </c>
      <c r="DV66" s="382">
        <f t="shared" si="30"/>
        <v>8096640</v>
      </c>
      <c r="DW66" s="386"/>
      <c r="DX66" s="382">
        <f>'[1]COE commited funds to date'!AI69</f>
        <v>50000000</v>
      </c>
      <c r="DY66" s="382">
        <f>'[1]COE DISB 2019'!AI74</f>
        <v>50000000</v>
      </c>
      <c r="DZ66" s="382">
        <f t="shared" si="31"/>
        <v>0</v>
      </c>
      <c r="EA66" s="386"/>
      <c r="EB66" s="382">
        <f>'[1]COE commited funds to date'!AJ69</f>
        <v>72000000</v>
      </c>
      <c r="EC66" s="382">
        <f>'[1]COE DISB 2019'!AJ74</f>
        <v>46080000</v>
      </c>
      <c r="ED66" s="382">
        <f t="shared" si="32"/>
        <v>25920000</v>
      </c>
      <c r="EE66" s="386"/>
      <c r="EF66" s="382">
        <f>'[1]COE commited funds to date'!AK69</f>
        <v>8000000</v>
      </c>
      <c r="EG66" s="382">
        <f>'[1]COE DISB 2019'!AK74</f>
        <v>0</v>
      </c>
      <c r="EH66" s="382">
        <f t="shared" si="33"/>
        <v>8000000</v>
      </c>
      <c r="EI66" s="386"/>
      <c r="EJ66" s="382">
        <f>'[1]COE commited funds to date'!AL69</f>
        <v>2000000</v>
      </c>
      <c r="EK66" s="382">
        <f>'[1]COE DISB 2019'!AL74</f>
        <v>0</v>
      </c>
      <c r="EL66" s="382">
        <f t="shared" si="34"/>
        <v>2000000</v>
      </c>
      <c r="EM66" s="386"/>
      <c r="EN66" s="382">
        <f>'[1]COE commited funds to date'!AM69</f>
        <v>7000000</v>
      </c>
      <c r="EO66" s="382">
        <f>'[1]COE DISB 2019'!AM74</f>
        <v>7000000</v>
      </c>
      <c r="EP66" s="382">
        <f t="shared" si="35"/>
        <v>0</v>
      </c>
      <c r="EQ66" s="386"/>
      <c r="ER66" s="382">
        <f>'[1]COE commited funds to date'!AN69</f>
        <v>0</v>
      </c>
      <c r="ES66" s="382">
        <f>'[1]COE DISB 2019'!AN74</f>
        <v>0</v>
      </c>
      <c r="ET66" s="382">
        <f t="shared" si="36"/>
        <v>0</v>
      </c>
      <c r="EV66" s="383">
        <f>'[1]COE commited funds to date'!AO69</f>
        <v>371067000</v>
      </c>
      <c r="EW66" s="383">
        <f>'[1]COE DISB 2019'!AO74</f>
        <v>237482880</v>
      </c>
      <c r="EX66" s="383">
        <f t="shared" si="38"/>
        <v>133584120</v>
      </c>
      <c r="EY66" s="380"/>
      <c r="EZ66" s="383">
        <f>'[1]COE commited funds to date'!AQ69</f>
        <v>12000000</v>
      </c>
      <c r="FA66" s="383">
        <f>'[1]COE DISB 2019'!AP74</f>
        <v>9019000</v>
      </c>
      <c r="FB66" s="383">
        <f t="shared" si="39"/>
        <v>2981000</v>
      </c>
      <c r="FC66" s="380"/>
      <c r="FD66" s="383">
        <f>'[1]COE commited funds to date'!AR69</f>
        <v>10000000</v>
      </c>
      <c r="FE66" s="383">
        <f>'[1]COE DISB 2019'!AQ74</f>
        <v>0</v>
      </c>
      <c r="FF66" s="383">
        <f t="shared" si="40"/>
        <v>10000000</v>
      </c>
      <c r="FG66" s="380"/>
      <c r="FH66" s="383">
        <f>'[1]COE commited funds to date'!AP69</f>
        <v>8000000</v>
      </c>
      <c r="FI66" s="383">
        <f>'[1]COE DISB 2019'!AR74</f>
        <v>0</v>
      </c>
      <c r="FJ66" s="383">
        <f t="shared" si="41"/>
        <v>8000000</v>
      </c>
      <c r="FK66" s="383">
        <f>'[1]COE commited funds to date'!AS69</f>
        <v>0</v>
      </c>
      <c r="FL66" s="383">
        <f>'[1]COE DISB 2019'!AS74</f>
        <v>0</v>
      </c>
      <c r="FM66" s="383">
        <f t="shared" si="42"/>
        <v>0</v>
      </c>
      <c r="FN66" s="380"/>
      <c r="FO66" s="383">
        <f>'[1]COE commited funds to date'!AT69</f>
        <v>200000000</v>
      </c>
      <c r="FP66" s="383">
        <f>'[1]COE DISB 2019'!AT74</f>
        <v>0</v>
      </c>
      <c r="FQ66" s="383">
        <f t="shared" si="43"/>
        <v>200000000</v>
      </c>
      <c r="FR66" s="380"/>
      <c r="FS66" s="383">
        <f>'[1]COE commited funds to date'!AU69</f>
        <v>75000000</v>
      </c>
      <c r="FT66" s="383">
        <f>'[1]COE DISB 2019'!AU74</f>
        <v>0</v>
      </c>
      <c r="FU66" s="383">
        <f t="shared" si="44"/>
        <v>75000000</v>
      </c>
      <c r="FV66" s="380"/>
      <c r="FW66" s="383">
        <f>'[1]COE commited funds to date'!AV69</f>
        <v>8700000</v>
      </c>
      <c r="FX66" s="383">
        <f>'[1]COE DISB 2019'!AV74</f>
        <v>0</v>
      </c>
      <c r="FY66" s="383">
        <f t="shared" si="45"/>
        <v>8700000</v>
      </c>
      <c r="FZ66" s="380"/>
      <c r="GA66" s="383">
        <f>'[1]COE commited funds to date'!AW69</f>
        <v>5000000</v>
      </c>
      <c r="GB66" s="383">
        <f>'[1]COE DISB 2019'!AW74</f>
        <v>0</v>
      </c>
      <c r="GC66" s="383">
        <f t="shared" si="46"/>
        <v>5000000</v>
      </c>
      <c r="GD66" s="380"/>
      <c r="GE66" s="383">
        <f>'[1]COE commited funds to date'!AX69</f>
        <v>20000000</v>
      </c>
      <c r="GF66" s="383">
        <f>'[1]COE DISB 2019'!AX74</f>
        <v>0</v>
      </c>
      <c r="GG66" s="383">
        <f t="shared" si="47"/>
        <v>20000000</v>
      </c>
      <c r="GH66" s="380"/>
      <c r="GI66" s="383">
        <f>'[1]COE commited funds to date'!AY69</f>
        <v>230000000</v>
      </c>
      <c r="GJ66" s="383">
        <f>'[1]COE DISB 2019'!AY74</f>
        <v>0</v>
      </c>
      <c r="GK66" s="383">
        <f t="shared" si="48"/>
        <v>230000000</v>
      </c>
      <c r="GL66" s="380"/>
      <c r="GM66" s="383">
        <f>'[1]COE commited funds to date'!AZ69</f>
        <v>116776600</v>
      </c>
      <c r="GN66" s="383">
        <f>'[1]COE DISB 2019'!AZ74</f>
        <v>0</v>
      </c>
      <c r="GO66" s="383">
        <f t="shared" si="49"/>
        <v>116776600</v>
      </c>
      <c r="GP66" s="380"/>
      <c r="GQ66" s="383">
        <f>'[1]COE commited funds to date'!BA69</f>
        <v>12000000</v>
      </c>
      <c r="GR66" s="383">
        <f>'[1]COE DISB 2019'!BA74</f>
        <v>0</v>
      </c>
      <c r="GS66" s="383">
        <f t="shared" si="50"/>
        <v>12000000</v>
      </c>
      <c r="GT66" s="380"/>
      <c r="GU66" s="383">
        <f>'[1]COE commited funds to date'!BB69</f>
        <v>5000000</v>
      </c>
      <c r="GV66" s="383">
        <f>'[1]COE DISB 2019'!BB74</f>
        <v>0</v>
      </c>
      <c r="GW66" s="383">
        <f t="shared" si="51"/>
        <v>5000000</v>
      </c>
      <c r="GX66" s="380"/>
      <c r="GY66" s="383">
        <f>'[1]COE commited funds to date'!BC69</f>
        <v>10308300</v>
      </c>
      <c r="GZ66" s="383">
        <f>'[1]COE DISB 2019'!BC74</f>
        <v>0</v>
      </c>
      <c r="HA66" s="383">
        <f t="shared" si="52"/>
        <v>10308300</v>
      </c>
      <c r="HB66" s="380"/>
      <c r="HC66" s="383">
        <f t="shared" si="53"/>
        <v>2576153865.5</v>
      </c>
      <c r="HD66" s="383">
        <f t="shared" si="53"/>
        <v>1694787205.5</v>
      </c>
      <c r="HE66" s="382">
        <f t="shared" si="54"/>
        <v>881366660</v>
      </c>
      <c r="HG66" s="383">
        <f t="shared" si="55"/>
        <v>1943055965.5</v>
      </c>
      <c r="HH66" s="383">
        <f t="shared" si="55"/>
        <v>1353551845.5</v>
      </c>
      <c r="HI66" s="383">
        <f t="shared" si="56"/>
        <v>589504120</v>
      </c>
      <c r="HK66" s="383">
        <f t="shared" si="57"/>
        <v>291600000</v>
      </c>
      <c r="HL66" s="383">
        <f t="shared" si="57"/>
        <v>291600000</v>
      </c>
      <c r="HM66" s="383">
        <f t="shared" si="58"/>
        <v>0</v>
      </c>
      <c r="HO66" s="383">
        <f t="shared" si="71"/>
        <v>1713000</v>
      </c>
      <c r="HP66" s="383">
        <f t="shared" si="71"/>
        <v>1713000</v>
      </c>
      <c r="HQ66" s="383">
        <f t="shared" si="59"/>
        <v>0</v>
      </c>
      <c r="HS66" s="383">
        <f t="shared" si="60"/>
        <v>89308300</v>
      </c>
      <c r="HT66" s="383">
        <f t="shared" si="60"/>
        <v>47922360</v>
      </c>
      <c r="HU66" s="383">
        <f t="shared" si="61"/>
        <v>41385940</v>
      </c>
      <c r="HW66" s="383">
        <f t="shared" si="62"/>
        <v>36700000</v>
      </c>
      <c r="HX66" s="383">
        <f t="shared" si="62"/>
        <v>0</v>
      </c>
      <c r="HY66" s="383">
        <f t="shared" si="63"/>
        <v>36700000</v>
      </c>
      <c r="IA66" s="387">
        <f t="shared" si="64"/>
        <v>20000000</v>
      </c>
      <c r="IB66" s="387">
        <f t="shared" si="64"/>
        <v>0</v>
      </c>
      <c r="IC66" s="387">
        <f t="shared" si="65"/>
        <v>20000000</v>
      </c>
      <c r="IE66" s="383">
        <f t="shared" si="66"/>
        <v>191776600</v>
      </c>
      <c r="IF66" s="383">
        <f t="shared" si="66"/>
        <v>0</v>
      </c>
      <c r="IG66" s="383">
        <f t="shared" si="67"/>
        <v>191776600</v>
      </c>
      <c r="II66" s="383">
        <f t="shared" si="68"/>
        <v>2000000</v>
      </c>
      <c r="IJ66" s="383">
        <f t="shared" si="68"/>
        <v>0</v>
      </c>
      <c r="IK66" s="383">
        <f t="shared" si="69"/>
        <v>2000000</v>
      </c>
    </row>
    <row r="67" spans="1:245" ht="19.5" customHeight="1" x14ac:dyDescent="0.25">
      <c r="A67" s="380">
        <v>63</v>
      </c>
      <c r="B67" s="380" t="s">
        <v>384</v>
      </c>
      <c r="C67" s="381" t="s">
        <v>69</v>
      </c>
      <c r="D67" s="382">
        <v>18318965.5</v>
      </c>
      <c r="E67" s="382">
        <f>'[1]COE DISB 2019'!D75</f>
        <v>18318965.5</v>
      </c>
      <c r="F67" s="383">
        <f t="shared" si="0"/>
        <v>0</v>
      </c>
      <c r="H67" s="382">
        <v>8000000</v>
      </c>
      <c r="I67" s="382">
        <f>'[1]COE DISB 2019'!E75</f>
        <v>8000000</v>
      </c>
      <c r="J67" s="383">
        <f t="shared" si="1"/>
        <v>0</v>
      </c>
      <c r="L67" s="382">
        <v>500000</v>
      </c>
      <c r="M67" s="382">
        <f>'[1]COE DISB 2019'!F75</f>
        <v>500000</v>
      </c>
      <c r="N67" s="383">
        <f t="shared" si="2"/>
        <v>0</v>
      </c>
      <c r="P67" s="353">
        <v>16000000</v>
      </c>
      <c r="Q67" s="382">
        <f>'[1]COE DISB 2019'!G75</f>
        <v>16000000</v>
      </c>
      <c r="R67" s="383">
        <f t="shared" si="3"/>
        <v>0</v>
      </c>
      <c r="T67" s="385">
        <v>1426000</v>
      </c>
      <c r="U67" s="382">
        <f>'[1]COE DISB 2019'!H75</f>
        <v>1426000</v>
      </c>
      <c r="V67" s="383">
        <f t="shared" si="4"/>
        <v>0</v>
      </c>
      <c r="X67" s="353">
        <v>0</v>
      </c>
      <c r="Y67" s="382">
        <f>'[1]COE DISB 2019'!I75</f>
        <v>0</v>
      </c>
      <c r="Z67" s="383">
        <f t="shared" si="5"/>
        <v>0</v>
      </c>
      <c r="AB67" s="385">
        <v>20000000</v>
      </c>
      <c r="AC67" s="382">
        <f>'[1]COE DISB 2019'!J75</f>
        <v>20000000</v>
      </c>
      <c r="AD67" s="383">
        <f t="shared" si="6"/>
        <v>0</v>
      </c>
      <c r="AF67" s="353">
        <v>0</v>
      </c>
      <c r="AG67" s="382">
        <f>'[1]COE DISB 2019'!K75</f>
        <v>0</v>
      </c>
      <c r="AH67" s="383">
        <f t="shared" si="7"/>
        <v>0</v>
      </c>
      <c r="AJ67" s="385">
        <v>10000000</v>
      </c>
      <c r="AK67" s="382">
        <f>'[1]COE DISB 2019'!L75</f>
        <v>10000000</v>
      </c>
      <c r="AL67" s="383">
        <f t="shared" si="8"/>
        <v>0</v>
      </c>
      <c r="AN67" s="382">
        <v>10000000</v>
      </c>
      <c r="AO67" s="382">
        <f>'[1]COE DISB 2019'!M75</f>
        <v>10000000</v>
      </c>
      <c r="AP67" s="383">
        <f t="shared" si="9"/>
        <v>0</v>
      </c>
      <c r="AR67" s="382">
        <v>15000000</v>
      </c>
      <c r="AS67" s="382">
        <f>'[1]COE DISB 2019'!N75</f>
        <v>15000000</v>
      </c>
      <c r="AT67" s="383">
        <f t="shared" si="10"/>
        <v>0</v>
      </c>
      <c r="AV67" s="382">
        <v>4250000</v>
      </c>
      <c r="AW67" s="388">
        <f>'[1]COE DISB 2019'!O75</f>
        <v>4250000</v>
      </c>
      <c r="AX67" s="382">
        <f t="shared" si="11"/>
        <v>0</v>
      </c>
      <c r="AZ67" s="382">
        <v>0</v>
      </c>
      <c r="BA67" s="382">
        <f>'[1]COE DISB 2019'!P75</f>
        <v>0</v>
      </c>
      <c r="BB67" s="382">
        <f t="shared" si="12"/>
        <v>0</v>
      </c>
      <c r="BD67" s="382">
        <v>0</v>
      </c>
      <c r="BE67" s="382">
        <f>'[1]COE DISB 2019'!Q75</f>
        <v>0</v>
      </c>
      <c r="BF67" s="382">
        <f t="shared" si="13"/>
        <v>0</v>
      </c>
      <c r="BH67" s="382">
        <v>0</v>
      </c>
      <c r="BI67" s="382">
        <f>'[1]COE DISB 2019'!R75</f>
        <v>0</v>
      </c>
      <c r="BJ67" s="382">
        <f t="shared" si="14"/>
        <v>0</v>
      </c>
      <c r="BL67" s="382">
        <v>0</v>
      </c>
      <c r="BM67" s="382">
        <f>'[1]COE DISB 2019'!S75</f>
        <v>0</v>
      </c>
      <c r="BN67" s="382">
        <f t="shared" si="15"/>
        <v>0</v>
      </c>
      <c r="BP67" s="382">
        <v>0</v>
      </c>
      <c r="BQ67" s="382">
        <f>'[1]COE DISB 2019'!T75</f>
        <v>0</v>
      </c>
      <c r="BR67" s="382">
        <f t="shared" si="16"/>
        <v>0</v>
      </c>
      <c r="BT67" s="382">
        <v>0</v>
      </c>
      <c r="BU67" s="382">
        <f>'[1]COE DISB 2019'!U75</f>
        <v>0</v>
      </c>
      <c r="BV67" s="382">
        <f t="shared" si="17"/>
        <v>0</v>
      </c>
      <c r="BX67" s="382">
        <v>112670000</v>
      </c>
      <c r="BY67" s="382">
        <f>'[1]COE DISB 2019'!V75</f>
        <v>112670000</v>
      </c>
      <c r="BZ67" s="382">
        <f t="shared" si="18"/>
        <v>0</v>
      </c>
      <c r="CB67" s="382">
        <f>'[1]COE commited funds to date'!W70</f>
        <v>0</v>
      </c>
      <c r="CC67" s="382">
        <f>'[1]COE DISB 2019'!W75</f>
        <v>0</v>
      </c>
      <c r="CD67" s="382">
        <f t="shared" si="19"/>
        <v>0</v>
      </c>
      <c r="CF67" s="382">
        <v>125000000</v>
      </c>
      <c r="CG67" s="382">
        <f>'[1]COE DISB 2019'!X75</f>
        <v>125000000</v>
      </c>
      <c r="CH67" s="382">
        <f t="shared" si="20"/>
        <v>0</v>
      </c>
      <c r="CJ67" s="382">
        <v>10000000</v>
      </c>
      <c r="CK67" s="382">
        <f>'[1]COE DISB 2019'!Y75</f>
        <v>10000000</v>
      </c>
      <c r="CL67" s="382">
        <f t="shared" si="21"/>
        <v>0</v>
      </c>
      <c r="CN67" s="382">
        <v>0</v>
      </c>
      <c r="CO67" s="382">
        <f>'[1]COE DISB 2019'!Z75</f>
        <v>0</v>
      </c>
      <c r="CP67" s="382">
        <f t="shared" si="22"/>
        <v>0</v>
      </c>
      <c r="CR67" s="382">
        <v>210000000</v>
      </c>
      <c r="CS67" s="382">
        <f>'[1]COE DISB 2019'!AA75</f>
        <v>210000000</v>
      </c>
      <c r="CT67" s="382">
        <f t="shared" si="23"/>
        <v>0</v>
      </c>
      <c r="CV67" s="382">
        <v>10000000</v>
      </c>
      <c r="CW67" s="382">
        <f>'[1]COE DISB 2019'!AB75</f>
        <v>10000000</v>
      </c>
      <c r="CX67" s="382">
        <f t="shared" si="24"/>
        <v>0</v>
      </c>
      <c r="CZ67" s="382">
        <f>'[1]COE commited funds to date'!AC70</f>
        <v>0</v>
      </c>
      <c r="DA67" s="382">
        <f>'[1]COE DISB 2019'!AC75</f>
        <v>0</v>
      </c>
      <c r="DB67" s="382">
        <f t="shared" si="25"/>
        <v>0</v>
      </c>
      <c r="DC67" s="386"/>
      <c r="DD67" s="382">
        <v>215000000</v>
      </c>
      <c r="DE67" s="382">
        <f>'[1]COE DISB 2019'!AD75</f>
        <v>215000000</v>
      </c>
      <c r="DF67" s="382">
        <f>DD67-DE67</f>
        <v>0</v>
      </c>
      <c r="DG67" s="386"/>
      <c r="DH67" s="382">
        <v>10000000</v>
      </c>
      <c r="DI67" s="382">
        <f>'[1]COE DISB 2019'!AE75</f>
        <v>10000000</v>
      </c>
      <c r="DJ67" s="382">
        <f>DH67-DI67</f>
        <v>0</v>
      </c>
      <c r="DK67" s="386"/>
      <c r="DL67" s="382">
        <f>'[1]COE commited funds to date'!AD70</f>
        <v>0</v>
      </c>
      <c r="DM67" s="382">
        <f>'[1]COE DISB 2019'!AF75</f>
        <v>0</v>
      </c>
      <c r="DN67" s="382">
        <f t="shared" si="28"/>
        <v>0</v>
      </c>
      <c r="DO67" s="386"/>
      <c r="DP67" s="382">
        <v>325000000</v>
      </c>
      <c r="DQ67" s="382">
        <f>'[1]COE DISB 2019'!AG75</f>
        <v>276250000</v>
      </c>
      <c r="DR67" s="382">
        <f t="shared" si="29"/>
        <v>48750000</v>
      </c>
      <c r="DS67" s="386"/>
      <c r="DT67" s="353">
        <v>10000000</v>
      </c>
      <c r="DU67" s="382">
        <f>'[1]COE DISB 2019'!AH75</f>
        <v>10000000</v>
      </c>
      <c r="DV67" s="382">
        <f t="shared" si="30"/>
        <v>0</v>
      </c>
      <c r="DW67" s="386"/>
      <c r="DX67" s="382">
        <f>'[1]COE commited funds to date'!AI70</f>
        <v>50000000</v>
      </c>
      <c r="DY67" s="382">
        <f>'[1]COE DISB 2019'!AI75</f>
        <v>50000000</v>
      </c>
      <c r="DZ67" s="382">
        <f t="shared" si="31"/>
        <v>0</v>
      </c>
      <c r="EA67" s="386"/>
      <c r="EB67" s="382">
        <f>'[1]COE commited funds to date'!AJ70</f>
        <v>72000000</v>
      </c>
      <c r="EC67" s="382">
        <f>'[1]COE DISB 2019'!AJ75</f>
        <v>61200000</v>
      </c>
      <c r="ED67" s="382">
        <f t="shared" si="32"/>
        <v>10800000</v>
      </c>
      <c r="EE67" s="386"/>
      <c r="EF67" s="382">
        <f>'[1]COE commited funds to date'!AK70</f>
        <v>8000000</v>
      </c>
      <c r="EG67" s="382">
        <f>'[1]COE DISB 2019'!AK75</f>
        <v>8000000</v>
      </c>
      <c r="EH67" s="382">
        <f t="shared" si="33"/>
        <v>0</v>
      </c>
      <c r="EI67" s="386"/>
      <c r="EJ67" s="382">
        <f>'[1]COE commited funds to date'!AL70</f>
        <v>2000000</v>
      </c>
      <c r="EK67" s="382">
        <f>'[1]COE DISB 2019'!AL75</f>
        <v>0</v>
      </c>
      <c r="EL67" s="382">
        <f t="shared" si="34"/>
        <v>2000000</v>
      </c>
      <c r="EM67" s="386"/>
      <c r="EN67" s="382">
        <f>'[1]COE commited funds to date'!AM70</f>
        <v>7000000</v>
      </c>
      <c r="EO67" s="382">
        <f>'[1]COE DISB 2019'!AM75</f>
        <v>7000000</v>
      </c>
      <c r="EP67" s="382">
        <f t="shared" si="35"/>
        <v>0</v>
      </c>
      <c r="EQ67" s="386"/>
      <c r="ER67" s="382">
        <f>'[1]COE commited funds to date'!AN70</f>
        <v>50000000</v>
      </c>
      <c r="ES67" s="382">
        <f>'[1]COE DISB 2019'!AN75</f>
        <v>50000000</v>
      </c>
      <c r="ET67" s="382">
        <f t="shared" si="36"/>
        <v>0</v>
      </c>
      <c r="EV67" s="383">
        <f>'[1]COE commited funds to date'!AO70</f>
        <v>371067000</v>
      </c>
      <c r="EW67" s="383">
        <f>'[1]COE DISB 2019'!AO75</f>
        <v>315406950</v>
      </c>
      <c r="EX67" s="383">
        <f t="shared" si="38"/>
        <v>55660050</v>
      </c>
      <c r="EY67" s="380"/>
      <c r="EZ67" s="383">
        <f>'[1]COE commited funds to date'!AQ70</f>
        <v>12000000</v>
      </c>
      <c r="FA67" s="383">
        <f>'[1]COE DISB 2019'!AP75</f>
        <v>12000000</v>
      </c>
      <c r="FB67" s="383">
        <f t="shared" si="39"/>
        <v>0</v>
      </c>
      <c r="FC67" s="380"/>
      <c r="FD67" s="383">
        <f>'[1]COE commited funds to date'!AR70</f>
        <v>10000000</v>
      </c>
      <c r="FE67" s="383">
        <f>'[1]COE DISB 2019'!AQ75</f>
        <v>0</v>
      </c>
      <c r="FF67" s="383">
        <f t="shared" si="40"/>
        <v>10000000</v>
      </c>
      <c r="FG67" s="380"/>
      <c r="FH67" s="383">
        <f>'[1]COE commited funds to date'!AP70</f>
        <v>8000000</v>
      </c>
      <c r="FI67" s="383">
        <f>'[1]COE DISB 2019'!AR75</f>
        <v>8000000</v>
      </c>
      <c r="FJ67" s="383">
        <f t="shared" si="41"/>
        <v>0</v>
      </c>
      <c r="FK67" s="383">
        <f>'[1]COE commited funds to date'!AS70</f>
        <v>0</v>
      </c>
      <c r="FL67" s="383">
        <f>'[1]COE DISB 2019'!AS75</f>
        <v>0</v>
      </c>
      <c r="FM67" s="383">
        <f t="shared" si="42"/>
        <v>0</v>
      </c>
      <c r="FN67" s="380"/>
      <c r="FO67" s="383">
        <f>'[1]COE commited funds to date'!AT70</f>
        <v>200000000</v>
      </c>
      <c r="FP67" s="383">
        <f>'[1]COE DISB 2019'!AT75</f>
        <v>0</v>
      </c>
      <c r="FQ67" s="383">
        <f t="shared" si="43"/>
        <v>200000000</v>
      </c>
      <c r="FR67" s="380"/>
      <c r="FS67" s="383">
        <f>'[1]COE commited funds to date'!AU70</f>
        <v>75000000</v>
      </c>
      <c r="FT67" s="383">
        <f>'[1]COE DISB 2019'!AU75</f>
        <v>51750000</v>
      </c>
      <c r="FU67" s="383">
        <f t="shared" si="44"/>
        <v>23250000</v>
      </c>
      <c r="FV67" s="380"/>
      <c r="FW67" s="383">
        <f>'[1]COE commited funds to date'!AV70</f>
        <v>8700000</v>
      </c>
      <c r="FX67" s="383">
        <f>'[1]COE DISB 2019'!AV75</f>
        <v>0</v>
      </c>
      <c r="FY67" s="383">
        <f t="shared" si="45"/>
        <v>8700000</v>
      </c>
      <c r="FZ67" s="380"/>
      <c r="GA67" s="383">
        <f>'[1]COE commited funds to date'!AW70</f>
        <v>5000000</v>
      </c>
      <c r="GB67" s="383">
        <f>'[1]COE DISB 2019'!AW75</f>
        <v>0</v>
      </c>
      <c r="GC67" s="383">
        <f t="shared" si="46"/>
        <v>5000000</v>
      </c>
      <c r="GD67" s="380"/>
      <c r="GE67" s="383">
        <f>'[1]COE commited funds to date'!AX70</f>
        <v>20000000</v>
      </c>
      <c r="GF67" s="383">
        <f>'[1]COE DISB 2019'!AX75</f>
        <v>13525000</v>
      </c>
      <c r="GG67" s="383">
        <f t="shared" si="47"/>
        <v>6475000</v>
      </c>
      <c r="GH67" s="380"/>
      <c r="GI67" s="383">
        <f>'[1]COE commited funds to date'!AY70</f>
        <v>230000000</v>
      </c>
      <c r="GJ67" s="383">
        <f>'[1]COE DISB 2019'!AY75</f>
        <v>0</v>
      </c>
      <c r="GK67" s="383">
        <f t="shared" si="48"/>
        <v>230000000</v>
      </c>
      <c r="GL67" s="380"/>
      <c r="GM67" s="383">
        <f>'[1]COE commited funds to date'!AZ70</f>
        <v>116776600</v>
      </c>
      <c r="GN67" s="383">
        <f>'[1]COE DISB 2019'!AZ75</f>
        <v>0</v>
      </c>
      <c r="GO67" s="383">
        <f t="shared" si="49"/>
        <v>116776600</v>
      </c>
      <c r="GP67" s="380"/>
      <c r="GQ67" s="383">
        <f>'[1]COE commited funds to date'!BA70</f>
        <v>12000000</v>
      </c>
      <c r="GR67" s="383">
        <f>'[1]COE DISB 2019'!BA75</f>
        <v>0</v>
      </c>
      <c r="GS67" s="383">
        <f t="shared" si="50"/>
        <v>12000000</v>
      </c>
      <c r="GT67" s="380"/>
      <c r="GU67" s="383">
        <f>'[1]COE commited funds to date'!BB70</f>
        <v>5000000</v>
      </c>
      <c r="GV67" s="383">
        <f>'[1]COE DISB 2019'!BB75</f>
        <v>0</v>
      </c>
      <c r="GW67" s="383">
        <f t="shared" si="51"/>
        <v>5000000</v>
      </c>
      <c r="GX67" s="380"/>
      <c r="GY67" s="383">
        <f>'[1]COE commited funds to date'!BC70</f>
        <v>10308300</v>
      </c>
      <c r="GZ67" s="383">
        <f>'[1]COE DISB 2019'!BC75</f>
        <v>0</v>
      </c>
      <c r="HA67" s="383">
        <f t="shared" si="52"/>
        <v>10308300</v>
      </c>
      <c r="HB67" s="380"/>
      <c r="HC67" s="383">
        <f t="shared" si="53"/>
        <v>2404016865.5</v>
      </c>
      <c r="HD67" s="383">
        <f t="shared" si="53"/>
        <v>1659296915.5</v>
      </c>
      <c r="HE67" s="382">
        <f t="shared" si="54"/>
        <v>744719950</v>
      </c>
      <c r="HG67" s="383">
        <f t="shared" si="55"/>
        <v>1958055965.5</v>
      </c>
      <c r="HH67" s="383">
        <f t="shared" si="55"/>
        <v>1412845915.5</v>
      </c>
      <c r="HI67" s="383">
        <f t="shared" si="56"/>
        <v>545210050</v>
      </c>
      <c r="HK67" s="383">
        <f t="shared" si="57"/>
        <v>100000000</v>
      </c>
      <c r="HL67" s="383">
        <f t="shared" si="57"/>
        <v>100000000</v>
      </c>
      <c r="HM67" s="383">
        <f t="shared" si="58"/>
        <v>0</v>
      </c>
      <c r="HO67" s="383">
        <f t="shared" si="71"/>
        <v>1926000</v>
      </c>
      <c r="HP67" s="383">
        <f t="shared" si="71"/>
        <v>1926000</v>
      </c>
      <c r="HQ67" s="383">
        <f t="shared" si="59"/>
        <v>0</v>
      </c>
      <c r="HS67" s="383">
        <f t="shared" si="60"/>
        <v>89308300</v>
      </c>
      <c r="HT67" s="383">
        <f t="shared" si="60"/>
        <v>72525000</v>
      </c>
      <c r="HU67" s="383">
        <f t="shared" si="61"/>
        <v>16783300</v>
      </c>
      <c r="HW67" s="383">
        <f t="shared" si="62"/>
        <v>36700000</v>
      </c>
      <c r="HX67" s="383">
        <f t="shared" si="62"/>
        <v>16000000</v>
      </c>
      <c r="HY67" s="383">
        <f t="shared" si="63"/>
        <v>20700000</v>
      </c>
      <c r="IA67" s="387">
        <f t="shared" si="64"/>
        <v>20000000</v>
      </c>
      <c r="IB67" s="387">
        <f t="shared" si="64"/>
        <v>0</v>
      </c>
      <c r="IC67" s="387">
        <f t="shared" si="65"/>
        <v>20000000</v>
      </c>
      <c r="IE67" s="383">
        <f t="shared" si="66"/>
        <v>191776600</v>
      </c>
      <c r="IF67" s="383">
        <f t="shared" si="66"/>
        <v>51750000</v>
      </c>
      <c r="IG67" s="383">
        <f t="shared" si="67"/>
        <v>140026600</v>
      </c>
      <c r="II67" s="383">
        <f t="shared" si="68"/>
        <v>2000000</v>
      </c>
      <c r="IJ67" s="383">
        <f t="shared" si="68"/>
        <v>0</v>
      </c>
      <c r="IK67" s="383">
        <f t="shared" si="69"/>
        <v>2000000</v>
      </c>
    </row>
    <row r="68" spans="1:245" ht="19.5" customHeight="1" x14ac:dyDescent="0.25">
      <c r="A68" s="380">
        <v>64</v>
      </c>
      <c r="B68" s="380" t="s">
        <v>385</v>
      </c>
      <c r="C68" s="42" t="s">
        <v>65</v>
      </c>
      <c r="D68" s="382">
        <v>0</v>
      </c>
      <c r="E68" s="382">
        <f>'[1]COE DISB 2019'!D76</f>
        <v>0</v>
      </c>
      <c r="F68" s="383">
        <f>D68-E68</f>
        <v>0</v>
      </c>
      <c r="H68" s="382">
        <v>0</v>
      </c>
      <c r="I68" s="382">
        <f>'[1]COE DISB 2019'!E76</f>
        <v>0</v>
      </c>
      <c r="J68" s="383">
        <f>H68-I68</f>
        <v>0</v>
      </c>
      <c r="L68" s="382">
        <v>0</v>
      </c>
      <c r="M68" s="382">
        <f>'[1]COE DISB 2019'!F76</f>
        <v>0</v>
      </c>
      <c r="N68" s="383">
        <f>L68-M68</f>
        <v>0</v>
      </c>
      <c r="P68" s="403">
        <v>0</v>
      </c>
      <c r="Q68" s="382">
        <f>'[1]COE DISB 2019'!G76</f>
        <v>0</v>
      </c>
      <c r="R68" s="383">
        <f>P68-Q68</f>
        <v>0</v>
      </c>
      <c r="T68" s="403">
        <v>0</v>
      </c>
      <c r="U68" s="382">
        <f>'[1]COE DISB 2019'!H76</f>
        <v>0</v>
      </c>
      <c r="V68" s="383">
        <f>T68-U68</f>
        <v>0</v>
      </c>
      <c r="X68" s="403">
        <v>0</v>
      </c>
      <c r="Y68" s="382">
        <f>'[1]COE DISB 2019'!I76</f>
        <v>0</v>
      </c>
      <c r="Z68" s="383">
        <f>X68-Y68</f>
        <v>0</v>
      </c>
      <c r="AB68" s="403">
        <v>0</v>
      </c>
      <c r="AC68" s="382">
        <f>'[1]COE DISB 2019'!J76</f>
        <v>0</v>
      </c>
      <c r="AD68" s="383">
        <f>AB68-AC68</f>
        <v>0</v>
      </c>
      <c r="AF68" s="403">
        <v>0</v>
      </c>
      <c r="AG68" s="382">
        <f>'[1]COE DISB 2019'!K76</f>
        <v>0</v>
      </c>
      <c r="AH68" s="383">
        <f>AF68-AG68</f>
        <v>0</v>
      </c>
      <c r="AJ68" s="403">
        <v>0</v>
      </c>
      <c r="AK68" s="382">
        <f>'[1]COE DISB 2019'!L76</f>
        <v>0</v>
      </c>
      <c r="AL68" s="383">
        <f>AJ68-AK68</f>
        <v>0</v>
      </c>
      <c r="AN68" s="382">
        <v>0</v>
      </c>
      <c r="AO68" s="382">
        <f>'[1]COE DISB 2019'!M76</f>
        <v>0</v>
      </c>
      <c r="AP68" s="383">
        <f>AN68-AO68</f>
        <v>0</v>
      </c>
      <c r="AR68" s="382">
        <v>0</v>
      </c>
      <c r="AS68" s="382">
        <f>'[1]COE DISB 2019'!N76</f>
        <v>0</v>
      </c>
      <c r="AT68" s="383">
        <f>AR68-AS68</f>
        <v>0</v>
      </c>
      <c r="AV68" s="382">
        <v>0</v>
      </c>
      <c r="AW68" s="385">
        <f>'[1]COE DISB 2019'!O76</f>
        <v>0</v>
      </c>
      <c r="AX68" s="382">
        <f>AV68-AW68</f>
        <v>0</v>
      </c>
      <c r="AZ68" s="382">
        <v>0</v>
      </c>
      <c r="BA68" s="382">
        <f>'[1]COE DISB 2019'!P76</f>
        <v>0</v>
      </c>
      <c r="BB68" s="382">
        <f>AZ68-BA68</f>
        <v>0</v>
      </c>
      <c r="BD68" s="382">
        <v>0</v>
      </c>
      <c r="BE68" s="382">
        <f>'[1]COE DISB 2019'!Q76</f>
        <v>0</v>
      </c>
      <c r="BF68" s="382">
        <f>BD68-BE68</f>
        <v>0</v>
      </c>
      <c r="BH68" s="382">
        <v>0</v>
      </c>
      <c r="BI68" s="382">
        <f>'[1]COE DISB 2019'!R76</f>
        <v>0</v>
      </c>
      <c r="BJ68" s="382">
        <f>BH68-BI68</f>
        <v>0</v>
      </c>
      <c r="BL68" s="382">
        <v>0</v>
      </c>
      <c r="BM68" s="382">
        <f>'[1]COE DISB 2019'!S76</f>
        <v>0</v>
      </c>
      <c r="BN68" s="382">
        <f>BL68-BM68</f>
        <v>0</v>
      </c>
      <c r="BP68" s="382">
        <v>0</v>
      </c>
      <c r="BQ68" s="382">
        <f>'[1]COE DISB 2019'!T76</f>
        <v>0</v>
      </c>
      <c r="BR68" s="382">
        <f>BP68-BQ68</f>
        <v>0</v>
      </c>
      <c r="BT68" s="382">
        <v>0</v>
      </c>
      <c r="BU68" s="382">
        <f>'[1]COE DISB 2019'!U76</f>
        <v>0</v>
      </c>
      <c r="BV68" s="382">
        <f>BT68-BU68</f>
        <v>0</v>
      </c>
      <c r="BX68" s="382">
        <v>0</v>
      </c>
      <c r="BY68" s="382">
        <f>'[1]COE DISB 2019'!V76</f>
        <v>0</v>
      </c>
      <c r="BZ68" s="382">
        <f>BX68-BY68</f>
        <v>0</v>
      </c>
      <c r="CB68" s="382">
        <f>'[1]COE commited funds to date'!W71</f>
        <v>0</v>
      </c>
      <c r="CC68" s="382">
        <f>'[1]COE DISB 2019'!W76</f>
        <v>0</v>
      </c>
      <c r="CD68" s="382">
        <f>CB68-CC68</f>
        <v>0</v>
      </c>
      <c r="CF68" s="382">
        <f>'[1]COE commited funds to date'!X71</f>
        <v>125000000</v>
      </c>
      <c r="CG68" s="382">
        <f>'[1]COE DISB 2019'!X76</f>
        <v>125000000</v>
      </c>
      <c r="CH68" s="382">
        <f>CF68-CG68</f>
        <v>0</v>
      </c>
      <c r="CJ68" s="382">
        <v>10000000</v>
      </c>
      <c r="CK68" s="382">
        <f>'[1]COE DISB 2019'!Y76</f>
        <v>8922600</v>
      </c>
      <c r="CL68" s="382">
        <f>CJ68-CK68</f>
        <v>1077400</v>
      </c>
      <c r="CN68" s="382">
        <v>0</v>
      </c>
      <c r="CO68" s="382">
        <f>'[1]COE DISB 2019'!Z76</f>
        <v>0</v>
      </c>
      <c r="CP68" s="382">
        <f>CN68-CO68</f>
        <v>0</v>
      </c>
      <c r="CR68" s="382">
        <v>210000000</v>
      </c>
      <c r="CS68" s="382">
        <f>'[1]COE DISB 2019'!AA76</f>
        <v>210000000</v>
      </c>
      <c r="CT68" s="382">
        <f>CR68-CS68</f>
        <v>0</v>
      </c>
      <c r="CV68" s="382">
        <v>10000000</v>
      </c>
      <c r="CW68" s="382">
        <f>'[1]COE DISB 2019'!AB76</f>
        <v>0</v>
      </c>
      <c r="CX68" s="382">
        <f>CV68-CW68</f>
        <v>10000000</v>
      </c>
      <c r="CZ68" s="382">
        <v>0</v>
      </c>
      <c r="DA68" s="382">
        <f>'[1]COE DISB 2019'!AC76</f>
        <v>0</v>
      </c>
      <c r="DB68" s="382">
        <f>CZ68-DA68</f>
        <v>0</v>
      </c>
      <c r="DC68" s="386"/>
      <c r="DD68" s="397">
        <v>0</v>
      </c>
      <c r="DE68" s="397">
        <f>'[1]COE DISB 2019'!AD76</f>
        <v>0</v>
      </c>
      <c r="DF68" s="397">
        <v>0</v>
      </c>
      <c r="DG68" s="386"/>
      <c r="DH68" s="397">
        <v>0</v>
      </c>
      <c r="DI68" s="397">
        <f>'[1]COE DISB 2019'!AE76</f>
        <v>0</v>
      </c>
      <c r="DJ68" s="397">
        <v>0</v>
      </c>
      <c r="DK68" s="386"/>
      <c r="DL68" s="382">
        <f>'[1]COE commited funds to date'!AD71</f>
        <v>0</v>
      </c>
      <c r="DM68" s="382">
        <f>'[1]COE DISB 2019'!AF76</f>
        <v>0</v>
      </c>
      <c r="DN68" s="382">
        <f>DL68-DM68</f>
        <v>0</v>
      </c>
      <c r="DO68" s="386"/>
      <c r="DP68" s="382">
        <v>325000000</v>
      </c>
      <c r="DQ68" s="382">
        <f>'[1]COE DISB 2019'!AG76</f>
        <v>325000000</v>
      </c>
      <c r="DR68" s="382">
        <f>DP68-DQ68</f>
        <v>0</v>
      </c>
      <c r="DS68" s="386"/>
      <c r="DT68" s="353">
        <v>10000000</v>
      </c>
      <c r="DU68" s="382">
        <f>'[1]COE DISB 2019'!AH76</f>
        <v>0</v>
      </c>
      <c r="DV68" s="382">
        <f>DT68-DU68</f>
        <v>10000000</v>
      </c>
      <c r="DW68" s="386"/>
      <c r="DX68" s="382">
        <f>'[1]COE commited funds to date'!AI71</f>
        <v>100000000</v>
      </c>
      <c r="DY68" s="382">
        <f>'[1]COE DISB 2019'!AI76</f>
        <v>100000000</v>
      </c>
      <c r="DZ68" s="382">
        <f>DX68-DY68</f>
        <v>0</v>
      </c>
      <c r="EA68" s="386"/>
      <c r="EB68" s="382">
        <f>'[1]COE commited funds to date'!AJ71</f>
        <v>0</v>
      </c>
      <c r="EC68" s="382">
        <f>'[1]COE DISB 2019'!AJ76</f>
        <v>0</v>
      </c>
      <c r="ED68" s="382">
        <f>EB68-EC68</f>
        <v>0</v>
      </c>
      <c r="EE68" s="386"/>
      <c r="EF68" s="382">
        <f>'[1]COE commited funds to date'!AK71</f>
        <v>0</v>
      </c>
      <c r="EG68" s="382">
        <f>'[1]COE DISB 2019'!AK76</f>
        <v>0</v>
      </c>
      <c r="EH68" s="382">
        <f>EF68-EG68</f>
        <v>0</v>
      </c>
      <c r="EI68" s="386"/>
      <c r="EJ68" s="382">
        <f>'[1]COE commited funds to date'!AL71</f>
        <v>0</v>
      </c>
      <c r="EK68" s="382">
        <f>'[1]COE DISB 2019'!AL76</f>
        <v>0</v>
      </c>
      <c r="EL68" s="382">
        <f>EJ68-EK68</f>
        <v>0</v>
      </c>
      <c r="EM68" s="386"/>
      <c r="EN68" s="382">
        <f>'[1]COE commited funds to date'!AM71</f>
        <v>0</v>
      </c>
      <c r="EO68" s="382">
        <f>'[1]COE DISB 2019'!AM76</f>
        <v>0</v>
      </c>
      <c r="EP68" s="382">
        <f>EN68-EO68</f>
        <v>0</v>
      </c>
      <c r="EQ68" s="386"/>
      <c r="ER68" s="382">
        <f>'[1]COE commited funds to date'!AN71</f>
        <v>1200000000</v>
      </c>
      <c r="ES68" s="382">
        <f>'[1]COE DISB 2019'!AN76</f>
        <v>1200000000</v>
      </c>
      <c r="ET68" s="382">
        <f>ER68-ES68</f>
        <v>0</v>
      </c>
      <c r="EV68" s="383">
        <f>'[1]COE commited funds to date'!AO71</f>
        <v>371067000</v>
      </c>
      <c r="EW68" s="383">
        <f>'[1]COE DISB 2019'!AO76</f>
        <v>211508190</v>
      </c>
      <c r="EX68" s="383">
        <f t="shared" si="38"/>
        <v>159558810</v>
      </c>
      <c r="EY68" s="380"/>
      <c r="EZ68" s="383">
        <f>'[1]COE commited funds to date'!AQ71</f>
        <v>12000000</v>
      </c>
      <c r="FA68" s="383">
        <f>'[1]COE DISB 2019'!AP76</f>
        <v>0</v>
      </c>
      <c r="FB68" s="383">
        <f t="shared" si="39"/>
        <v>12000000</v>
      </c>
      <c r="FC68" s="380"/>
      <c r="FD68" s="383">
        <f>'[1]COE commited funds to date'!AR71</f>
        <v>10000000</v>
      </c>
      <c r="FE68" s="383">
        <f>'[1]COE DISB 2019'!AQ76</f>
        <v>0</v>
      </c>
      <c r="FF68" s="383">
        <f t="shared" si="40"/>
        <v>10000000</v>
      </c>
      <c r="FG68" s="380"/>
      <c r="FH68" s="383">
        <f>'[1]COE commited funds to date'!AP71</f>
        <v>8000000</v>
      </c>
      <c r="FI68" s="383">
        <f>'[1]COE DISB 2019'!AR76</f>
        <v>0</v>
      </c>
      <c r="FJ68" s="383">
        <f t="shared" si="41"/>
        <v>8000000</v>
      </c>
      <c r="FK68" s="383">
        <f>'[1]COE commited funds to date'!AS71</f>
        <v>0</v>
      </c>
      <c r="FL68" s="383">
        <f>'[1]COE DISB 2019'!AS76</f>
        <v>0</v>
      </c>
      <c r="FM68" s="383">
        <f t="shared" si="42"/>
        <v>0</v>
      </c>
      <c r="FN68" s="380"/>
      <c r="FO68" s="383">
        <f>'[1]COE commited funds to date'!AT71</f>
        <v>0</v>
      </c>
      <c r="FP68" s="383">
        <f>'[1]COE DISB 2019'!AT76</f>
        <v>0</v>
      </c>
      <c r="FQ68" s="383">
        <f t="shared" si="43"/>
        <v>0</v>
      </c>
      <c r="FR68" s="380"/>
      <c r="FS68" s="383">
        <f>'[1]COE commited funds to date'!AU71</f>
        <v>75000000</v>
      </c>
      <c r="FT68" s="383">
        <f>'[1]COE DISB 2019'!AU76</f>
        <v>75000000</v>
      </c>
      <c r="FU68" s="383">
        <f t="shared" si="44"/>
        <v>0</v>
      </c>
      <c r="FV68" s="380"/>
      <c r="FW68" s="383">
        <f>'[1]COE commited funds to date'!AV71</f>
        <v>0</v>
      </c>
      <c r="FX68" s="383">
        <f>'[1]COE DISB 2019'!AV76</f>
        <v>0</v>
      </c>
      <c r="FY68" s="383">
        <f t="shared" si="45"/>
        <v>0</v>
      </c>
      <c r="FZ68" s="380"/>
      <c r="GA68" s="383">
        <f>'[1]COE commited funds to date'!AW71</f>
        <v>0</v>
      </c>
      <c r="GB68" s="383">
        <f>'[1]COE DISB 2019'!AW76</f>
        <v>0</v>
      </c>
      <c r="GC68" s="383">
        <f t="shared" si="46"/>
        <v>0</v>
      </c>
      <c r="GD68" s="380"/>
      <c r="GE68" s="383">
        <f>'[1]COE commited funds to date'!AX71</f>
        <v>0</v>
      </c>
      <c r="GF68" s="383">
        <f>'[1]COE DISB 2019'!AX76</f>
        <v>0</v>
      </c>
      <c r="GG68" s="383">
        <f t="shared" si="47"/>
        <v>0</v>
      </c>
      <c r="GH68" s="380"/>
      <c r="GI68" s="383">
        <f>'[1]COE commited funds to date'!AY71</f>
        <v>230000000</v>
      </c>
      <c r="GJ68" s="383">
        <f>'[1]COE DISB 2019'!AY76</f>
        <v>0</v>
      </c>
      <c r="GK68" s="383">
        <f t="shared" si="48"/>
        <v>230000000</v>
      </c>
      <c r="GL68" s="380"/>
      <c r="GM68" s="383">
        <f>'[1]COE commited funds to date'!AZ71</f>
        <v>116776600</v>
      </c>
      <c r="GN68" s="383">
        <f>'[1]COE DISB 2019'!AZ76</f>
        <v>0</v>
      </c>
      <c r="GO68" s="383">
        <f t="shared" si="49"/>
        <v>116776600</v>
      </c>
      <c r="GP68" s="380"/>
      <c r="GQ68" s="383">
        <f>'[1]COE commited funds to date'!BA71</f>
        <v>12000000</v>
      </c>
      <c r="GR68" s="383">
        <f>'[1]COE DISB 2019'!BA76</f>
        <v>0</v>
      </c>
      <c r="GS68" s="383">
        <f t="shared" si="50"/>
        <v>12000000</v>
      </c>
      <c r="GT68" s="380"/>
      <c r="GU68" s="383">
        <f>'[1]COE commited funds to date'!BB71</f>
        <v>5000000</v>
      </c>
      <c r="GV68" s="383">
        <f>'[1]COE DISB 2019'!BB76</f>
        <v>0</v>
      </c>
      <c r="GW68" s="383">
        <f t="shared" si="51"/>
        <v>5000000</v>
      </c>
      <c r="GX68" s="380"/>
      <c r="GY68" s="383">
        <f>'[1]COE commited funds to date'!BC71</f>
        <v>10308300</v>
      </c>
      <c r="GZ68" s="383">
        <f>'[1]COE DISB 2019'!BC76</f>
        <v>0</v>
      </c>
      <c r="HA68" s="383">
        <f t="shared" si="52"/>
        <v>10308300</v>
      </c>
      <c r="HB68" s="380"/>
      <c r="HC68" s="383">
        <f t="shared" si="53"/>
        <v>2840151900</v>
      </c>
      <c r="HD68" s="383">
        <f t="shared" si="53"/>
        <v>2255430790</v>
      </c>
      <c r="HE68" s="382">
        <f t="shared" si="54"/>
        <v>584721110</v>
      </c>
      <c r="HG68" s="383">
        <f t="shared" si="55"/>
        <v>1261067000</v>
      </c>
      <c r="HH68" s="383">
        <f t="shared" si="55"/>
        <v>871508190</v>
      </c>
      <c r="HI68" s="383">
        <f t="shared" si="56"/>
        <v>389558810</v>
      </c>
      <c r="HK68" s="383">
        <f t="shared" si="57"/>
        <v>1300000000</v>
      </c>
      <c r="HL68" s="383">
        <f t="shared" si="57"/>
        <v>1300000000</v>
      </c>
      <c r="HM68" s="383">
        <f t="shared" si="58"/>
        <v>0</v>
      </c>
      <c r="HO68" s="383">
        <f t="shared" si="71"/>
        <v>0</v>
      </c>
      <c r="HP68" s="383">
        <f t="shared" si="71"/>
        <v>0</v>
      </c>
      <c r="HQ68" s="383">
        <f t="shared" si="59"/>
        <v>0</v>
      </c>
      <c r="HS68" s="383">
        <f t="shared" si="60"/>
        <v>52308300</v>
      </c>
      <c r="HT68" s="383">
        <f t="shared" si="60"/>
        <v>8922600</v>
      </c>
      <c r="HU68" s="383">
        <f t="shared" si="61"/>
        <v>43385700</v>
      </c>
      <c r="HW68" s="383">
        <f t="shared" si="62"/>
        <v>20000000</v>
      </c>
      <c r="HX68" s="383">
        <f t="shared" si="62"/>
        <v>0</v>
      </c>
      <c r="HY68" s="383">
        <f t="shared" si="63"/>
        <v>20000000</v>
      </c>
      <c r="IA68" s="387">
        <f t="shared" si="64"/>
        <v>15000000</v>
      </c>
      <c r="IB68" s="387">
        <f t="shared" si="64"/>
        <v>0</v>
      </c>
      <c r="IC68" s="387">
        <f t="shared" si="65"/>
        <v>15000000</v>
      </c>
      <c r="IE68" s="383">
        <f t="shared" si="66"/>
        <v>191776600</v>
      </c>
      <c r="IF68" s="383">
        <f t="shared" si="66"/>
        <v>75000000</v>
      </c>
      <c r="IG68" s="383">
        <f t="shared" si="67"/>
        <v>116776600</v>
      </c>
      <c r="II68" s="383">
        <f t="shared" si="68"/>
        <v>0</v>
      </c>
      <c r="IJ68" s="383">
        <f t="shared" si="68"/>
        <v>0</v>
      </c>
      <c r="IK68" s="383">
        <f t="shared" si="69"/>
        <v>0</v>
      </c>
    </row>
    <row r="69" spans="1:245" ht="19.5" customHeight="1" x14ac:dyDescent="0.25">
      <c r="A69" s="380">
        <v>65</v>
      </c>
      <c r="B69" s="380" t="s">
        <v>386</v>
      </c>
      <c r="C69" s="42" t="s">
        <v>65</v>
      </c>
      <c r="D69" s="382">
        <v>0</v>
      </c>
      <c r="E69" s="382">
        <f>'[1]COE DISB 2019'!D77</f>
        <v>0</v>
      </c>
      <c r="F69" s="383">
        <f>D69-E69</f>
        <v>0</v>
      </c>
      <c r="H69" s="382">
        <v>0</v>
      </c>
      <c r="I69" s="382">
        <f>'[1]COE DISB 2019'!E77</f>
        <v>0</v>
      </c>
      <c r="J69" s="383">
        <f>H69-I69</f>
        <v>0</v>
      </c>
      <c r="L69" s="382">
        <v>0</v>
      </c>
      <c r="M69" s="382">
        <f>'[1]COE DISB 2019'!F77</f>
        <v>0</v>
      </c>
      <c r="N69" s="383">
        <f>L69-M69</f>
        <v>0</v>
      </c>
      <c r="P69" s="403">
        <v>0</v>
      </c>
      <c r="Q69" s="382">
        <f>'[1]COE DISB 2019'!G77</f>
        <v>0</v>
      </c>
      <c r="R69" s="383">
        <f>P69-Q69</f>
        <v>0</v>
      </c>
      <c r="T69" s="403">
        <v>0</v>
      </c>
      <c r="U69" s="382">
        <f>'[1]COE DISB 2019'!H77</f>
        <v>0</v>
      </c>
      <c r="V69" s="383">
        <f>T69-U69</f>
        <v>0</v>
      </c>
      <c r="X69" s="403">
        <v>0</v>
      </c>
      <c r="Y69" s="382">
        <f>'[1]COE DISB 2019'!I77</f>
        <v>0</v>
      </c>
      <c r="Z69" s="383">
        <f>X69-Y69</f>
        <v>0</v>
      </c>
      <c r="AB69" s="403">
        <v>0</v>
      </c>
      <c r="AC69" s="382">
        <f>'[1]COE DISB 2019'!J77</f>
        <v>0</v>
      </c>
      <c r="AD69" s="383">
        <f>AB69-AC69</f>
        <v>0</v>
      </c>
      <c r="AF69" s="403">
        <v>0</v>
      </c>
      <c r="AG69" s="382">
        <f>'[1]COE DISB 2019'!K77</f>
        <v>0</v>
      </c>
      <c r="AH69" s="383">
        <f>AF69-AG69</f>
        <v>0</v>
      </c>
      <c r="AJ69" s="403">
        <v>0</v>
      </c>
      <c r="AK69" s="382">
        <f>'[1]COE DISB 2019'!L77</f>
        <v>0</v>
      </c>
      <c r="AL69" s="383">
        <f>AJ69-AK69</f>
        <v>0</v>
      </c>
      <c r="AN69" s="382">
        <v>0</v>
      </c>
      <c r="AO69" s="382">
        <f>'[1]COE DISB 2019'!M77</f>
        <v>0</v>
      </c>
      <c r="AP69" s="383">
        <f>AN69-AO69</f>
        <v>0</v>
      </c>
      <c r="AR69" s="382">
        <v>0</v>
      </c>
      <c r="AS69" s="382">
        <f>'[1]COE DISB 2019'!N77</f>
        <v>0</v>
      </c>
      <c r="AT69" s="383">
        <f>AR69-AS69</f>
        <v>0</v>
      </c>
      <c r="AV69" s="382">
        <v>0</v>
      </c>
      <c r="AW69" s="403">
        <f>'[1]COE DISB 2019'!O77</f>
        <v>0</v>
      </c>
      <c r="AX69" s="382">
        <f>AV69-AW69</f>
        <v>0</v>
      </c>
      <c r="AZ69" s="382">
        <v>0</v>
      </c>
      <c r="BA69" s="382">
        <f>'[1]COE DISB 2019'!P77</f>
        <v>0</v>
      </c>
      <c r="BB69" s="382">
        <f>AZ69-BA69</f>
        <v>0</v>
      </c>
      <c r="BD69" s="382">
        <v>0</v>
      </c>
      <c r="BE69" s="382">
        <f>'[1]COE DISB 2019'!Q77</f>
        <v>0</v>
      </c>
      <c r="BF69" s="382">
        <f>BD69-BE69</f>
        <v>0</v>
      </c>
      <c r="BH69" s="382">
        <v>0</v>
      </c>
      <c r="BI69" s="382">
        <f>'[1]COE DISB 2019'!R77</f>
        <v>0</v>
      </c>
      <c r="BJ69" s="382">
        <f>BH69-BI69</f>
        <v>0</v>
      </c>
      <c r="BL69" s="382">
        <v>0</v>
      </c>
      <c r="BM69" s="382">
        <f>'[1]COE DISB 2019'!S77</f>
        <v>0</v>
      </c>
      <c r="BN69" s="382">
        <f>BL69-BM69</f>
        <v>0</v>
      </c>
      <c r="BP69" s="382">
        <v>0</v>
      </c>
      <c r="BQ69" s="382">
        <f>'[1]COE DISB 2019'!T77</f>
        <v>0</v>
      </c>
      <c r="BR69" s="382">
        <f>BP69-BQ69</f>
        <v>0</v>
      </c>
      <c r="BT69" s="382">
        <v>0</v>
      </c>
      <c r="BU69" s="382">
        <f>'[1]COE DISB 2019'!U77</f>
        <v>0</v>
      </c>
      <c r="BV69" s="382">
        <f>BT69-BU69</f>
        <v>0</v>
      </c>
      <c r="BX69" s="382">
        <v>0</v>
      </c>
      <c r="BY69" s="382">
        <f>'[1]COE DISB 2019'!V77</f>
        <v>0</v>
      </c>
      <c r="BZ69" s="382">
        <f>BX69-BY69</f>
        <v>0</v>
      </c>
      <c r="CB69" s="382">
        <f>'[1]COE commited funds to date'!W72</f>
        <v>0</v>
      </c>
      <c r="CC69" s="382">
        <f>'[1]COE DISB 2019'!W77</f>
        <v>0</v>
      </c>
      <c r="CD69" s="382">
        <f>CB69-CC69</f>
        <v>0</v>
      </c>
      <c r="CF69" s="382">
        <f>'[1]COE commited funds to date'!X72</f>
        <v>0</v>
      </c>
      <c r="CG69" s="382">
        <f>'[1]COE DISB 2019'!X77</f>
        <v>0</v>
      </c>
      <c r="CH69" s="382">
        <f>CF69-CG69</f>
        <v>0</v>
      </c>
      <c r="CJ69" s="382">
        <v>0</v>
      </c>
      <c r="CK69" s="382">
        <f>'[1]COE DISB 2019'!Y77</f>
        <v>0</v>
      </c>
      <c r="CL69" s="382">
        <f>CJ69-CK69</f>
        <v>0</v>
      </c>
      <c r="CN69" s="382">
        <v>0</v>
      </c>
      <c r="CO69" s="382">
        <f>'[1]COE DISB 2019'!Z77</f>
        <v>0</v>
      </c>
      <c r="CP69" s="382">
        <f>CN69-CO69</f>
        <v>0</v>
      </c>
      <c r="CR69" s="382">
        <v>210000000</v>
      </c>
      <c r="CS69" s="382">
        <f>'[1]COE DISB 2019'!AA77</f>
        <v>178500000</v>
      </c>
      <c r="CT69" s="382">
        <f>CR69-CS69</f>
        <v>31500000</v>
      </c>
      <c r="CV69" s="382">
        <v>10000000</v>
      </c>
      <c r="CW69" s="382">
        <f>'[1]COE DISB 2019'!AB77</f>
        <v>5719080</v>
      </c>
      <c r="CX69" s="382">
        <f>CV69-CW69</f>
        <v>4280920</v>
      </c>
      <c r="CZ69" s="382">
        <v>500000000</v>
      </c>
      <c r="DA69" s="382">
        <f>'[1]COE DISB 2019'!AC77</f>
        <v>425000000</v>
      </c>
      <c r="DB69" s="382">
        <f>CZ69-DA69</f>
        <v>75000000</v>
      </c>
      <c r="DC69" s="386"/>
      <c r="DD69" s="382">
        <v>215000000</v>
      </c>
      <c r="DE69" s="382">
        <f>'[1]COE DISB 2019'!AD77</f>
        <v>182750000</v>
      </c>
      <c r="DF69" s="382">
        <f>DD69-DE69</f>
        <v>32250000</v>
      </c>
      <c r="DG69" s="386"/>
      <c r="DH69" s="382">
        <v>10000000</v>
      </c>
      <c r="DI69" s="382">
        <f>'[1]COE DISB 2019'!AE77</f>
        <v>5529400</v>
      </c>
      <c r="DJ69" s="382">
        <f>DH69-DI69</f>
        <v>4470600</v>
      </c>
      <c r="DK69" s="386"/>
      <c r="DL69" s="382">
        <f>'[1]COE commited funds to date'!AD72</f>
        <v>0</v>
      </c>
      <c r="DM69" s="382">
        <f>'[1]COE DISB 2019'!AF77</f>
        <v>0</v>
      </c>
      <c r="DN69" s="382">
        <f>DL69-DM69</f>
        <v>0</v>
      </c>
      <c r="DO69" s="386"/>
      <c r="DP69" s="382">
        <v>325000000</v>
      </c>
      <c r="DQ69" s="382">
        <f>'[1]COE DISB 2019'!AG77</f>
        <v>276250000</v>
      </c>
      <c r="DR69" s="382">
        <f>DP69-DQ69</f>
        <v>48750000</v>
      </c>
      <c r="DS69" s="386"/>
      <c r="DT69" s="353">
        <v>10000000</v>
      </c>
      <c r="DU69" s="382">
        <f>'[1]COE DISB 2019'!AH77</f>
        <v>10000000</v>
      </c>
      <c r="DV69" s="382">
        <f>DT69-DU69</f>
        <v>0</v>
      </c>
      <c r="DW69" s="386"/>
      <c r="DX69" s="382">
        <f>'[1]COE commited funds to date'!AI72</f>
        <v>50000000</v>
      </c>
      <c r="DY69" s="382">
        <f>'[1]COE DISB 2019'!AI77</f>
        <v>50000000</v>
      </c>
      <c r="DZ69" s="382">
        <f>DX69-DY69</f>
        <v>0</v>
      </c>
      <c r="EA69" s="386"/>
      <c r="EB69" s="382">
        <f>'[1]COE commited funds to date'!AJ72</f>
        <v>72000000</v>
      </c>
      <c r="EC69" s="382">
        <f>'[1]COE DISB 2019'!AJ77</f>
        <v>0</v>
      </c>
      <c r="ED69" s="382">
        <f>EB69-EC69</f>
        <v>72000000</v>
      </c>
      <c r="EE69" s="386"/>
      <c r="EF69" s="382">
        <f>'[1]COE commited funds to date'!AK72</f>
        <v>8000000</v>
      </c>
      <c r="EG69" s="382">
        <f>'[1]COE DISB 2019'!AK77</f>
        <v>0</v>
      </c>
      <c r="EH69" s="382">
        <f>EF69-EG69</f>
        <v>8000000</v>
      </c>
      <c r="EI69" s="386"/>
      <c r="EJ69" s="382">
        <f>'[1]COE commited funds to date'!AL72</f>
        <v>2000000</v>
      </c>
      <c r="EK69" s="382">
        <f>'[1]COE DISB 2019'!AL77</f>
        <v>0</v>
      </c>
      <c r="EL69" s="382">
        <f>EJ69-EK69</f>
        <v>2000000</v>
      </c>
      <c r="EM69" s="386"/>
      <c r="EN69" s="382">
        <f>'[1]COE commited funds to date'!AM72</f>
        <v>7000000</v>
      </c>
      <c r="EO69" s="382">
        <f>'[1]COE DISB 2019'!AM77</f>
        <v>7000000</v>
      </c>
      <c r="EP69" s="382">
        <f>EN69-EO69</f>
        <v>0</v>
      </c>
      <c r="EQ69" s="386"/>
      <c r="ER69" s="382">
        <f>'[1]COE commited funds to date'!AN72</f>
        <v>50000000</v>
      </c>
      <c r="ES69" s="382">
        <f>'[1]COE DISB 2019'!AN77</f>
        <v>50000000</v>
      </c>
      <c r="ET69" s="382">
        <f>ER69-ES69</f>
        <v>0</v>
      </c>
      <c r="EV69" s="383">
        <f>'[1]COE commited funds to date'!AO72</f>
        <v>371067000</v>
      </c>
      <c r="EW69" s="383">
        <f>'[1]COE DISB 2019'!AO77</f>
        <v>0</v>
      </c>
      <c r="EX69" s="383">
        <f>EV69-EW69</f>
        <v>371067000</v>
      </c>
      <c r="EY69" s="380"/>
      <c r="EZ69" s="383">
        <f>'[1]COE commited funds to date'!AQ72</f>
        <v>12000000</v>
      </c>
      <c r="FA69" s="383">
        <f>'[1]COE DISB 2019'!AP77</f>
        <v>9051200</v>
      </c>
      <c r="FB69" s="383">
        <f>EZ69-FA69</f>
        <v>2948800</v>
      </c>
      <c r="FC69" s="380"/>
      <c r="FD69" s="383">
        <f>'[1]COE commited funds to date'!AR72</f>
        <v>10000000</v>
      </c>
      <c r="FE69" s="383">
        <f>'[1]COE DISB 2019'!AQ77</f>
        <v>0</v>
      </c>
      <c r="FF69" s="383">
        <f>FD69-FE69</f>
        <v>10000000</v>
      </c>
      <c r="FG69" s="380"/>
      <c r="FH69" s="383">
        <f>'[1]COE commited funds to date'!AP72</f>
        <v>8000000</v>
      </c>
      <c r="FI69" s="383">
        <f>'[1]COE DISB 2019'!AR77</f>
        <v>0</v>
      </c>
      <c r="FJ69" s="383">
        <f>FH69-FI69</f>
        <v>8000000</v>
      </c>
      <c r="FK69" s="383">
        <f>'[1]COE commited funds to date'!AS72</f>
        <v>150000000</v>
      </c>
      <c r="FL69" s="383">
        <f>'[1]COE DISB 2019'!AS77</f>
        <v>150000000</v>
      </c>
      <c r="FM69" s="383">
        <f t="shared" ref="FM69:FM71" si="72">FK69-FL69</f>
        <v>0</v>
      </c>
      <c r="FN69" s="380"/>
      <c r="FO69" s="383">
        <f>'[1]COE commited funds to date'!AT72</f>
        <v>200000000</v>
      </c>
      <c r="FP69" s="383">
        <f>'[1]COE DISB 2019'!AT77</f>
        <v>0</v>
      </c>
      <c r="FQ69" s="383">
        <f t="shared" ref="FQ69:FQ72" si="73">FO69-FP69</f>
        <v>200000000</v>
      </c>
      <c r="FR69" s="380"/>
      <c r="FS69" s="383">
        <f>'[1]COE commited funds to date'!AU72</f>
        <v>75000000</v>
      </c>
      <c r="FT69" s="383">
        <f>'[1]COE DISB 2019'!AU77</f>
        <v>50250000</v>
      </c>
      <c r="FU69" s="383">
        <f t="shared" ref="FU69:FU72" si="74">FS69-FT69</f>
        <v>24750000</v>
      </c>
      <c r="FV69" s="380"/>
      <c r="FW69" s="383">
        <f>'[1]COE commited funds to date'!AV72</f>
        <v>8700000</v>
      </c>
      <c r="FX69" s="383">
        <f>'[1]COE DISB 2019'!AV77</f>
        <v>0</v>
      </c>
      <c r="FY69" s="383">
        <f t="shared" ref="FY69:FY72" si="75">FW69-FX69</f>
        <v>8700000</v>
      </c>
      <c r="FZ69" s="380"/>
      <c r="GA69" s="383">
        <f>'[1]COE commited funds to date'!AW72</f>
        <v>5000000</v>
      </c>
      <c r="GB69" s="383">
        <f>'[1]COE DISB 2019'!AW77</f>
        <v>0</v>
      </c>
      <c r="GC69" s="383">
        <f t="shared" ref="GC69:GC71" si="76">GA69-GB69</f>
        <v>5000000</v>
      </c>
      <c r="GD69" s="380"/>
      <c r="GE69" s="383">
        <f>'[1]COE commited funds to date'!AX72</f>
        <v>20000000</v>
      </c>
      <c r="GF69" s="383">
        <f>'[1]COE DISB 2019'!AX77</f>
        <v>0</v>
      </c>
      <c r="GG69" s="383">
        <f t="shared" ref="GG69:GG72" si="77">GE69-GF69</f>
        <v>20000000</v>
      </c>
      <c r="GH69" s="380"/>
      <c r="GI69" s="383">
        <f>'[1]COE commited funds to date'!AY72</f>
        <v>230000000</v>
      </c>
      <c r="GJ69" s="383">
        <f>'[1]COE DISB 2019'!AY77</f>
        <v>0</v>
      </c>
      <c r="GK69" s="383">
        <f t="shared" ref="GK69:GK71" si="78">GI69-GJ69</f>
        <v>230000000</v>
      </c>
      <c r="GL69" s="380"/>
      <c r="GM69" s="383">
        <f>'[1]COE commited funds to date'!AZ72</f>
        <v>116776600</v>
      </c>
      <c r="GN69" s="383">
        <f>'[1]COE DISB 2019'!AZ77</f>
        <v>0</v>
      </c>
      <c r="GO69" s="383">
        <f t="shared" ref="GO69:GO72" si="79">GM69-GN69</f>
        <v>116776600</v>
      </c>
      <c r="GP69" s="380"/>
      <c r="GQ69" s="383">
        <f>'[1]COE commited funds to date'!BA72</f>
        <v>12000000</v>
      </c>
      <c r="GR69" s="383">
        <f>'[1]COE DISB 2019'!BA77</f>
        <v>0</v>
      </c>
      <c r="GS69" s="383">
        <f t="shared" ref="GS69:GS72" si="80">GQ69-GR69</f>
        <v>12000000</v>
      </c>
      <c r="GT69" s="380"/>
      <c r="GU69" s="383">
        <f>'[1]COE commited funds to date'!BB72</f>
        <v>5000000</v>
      </c>
      <c r="GV69" s="383">
        <f>'[1]COE DISB 2019'!BB77</f>
        <v>0</v>
      </c>
      <c r="GW69" s="383">
        <f t="shared" ref="GW69:GW72" si="81">GU69-GV69</f>
        <v>5000000</v>
      </c>
      <c r="GX69" s="380"/>
      <c r="GY69" s="383">
        <f>'[1]COE commited funds to date'!BC72</f>
        <v>10308300</v>
      </c>
      <c r="GZ69" s="383">
        <f>'[1]COE DISB 2019'!BC77</f>
        <v>0</v>
      </c>
      <c r="HA69" s="383">
        <f t="shared" ref="HA69:HA72" si="82">GY69-GZ69</f>
        <v>10308300</v>
      </c>
      <c r="HB69" s="380"/>
      <c r="HC69" s="383">
        <f t="shared" ref="HC69:HD71" si="83">DH69+DD69+D69+H69+L69+P69+T69+X69+AB69+AF69+AJ69+AN69+AR69+AV69+AZ69+BD69+BH69+BL69+BP69+BT69+BX69+CB69+CF69+CJ69+CN69+CR69+CV69+CZ69+DL69+DP69+DT69+DX69+EB69+EF69+EJ69+EN69+ER69+EV69+EZ69+FD69+FH69+FK69+FO69+FS69+FW69+GA69+GE69+GI69+GM69+GQ69+GU69+GY69</f>
        <v>2702851900</v>
      </c>
      <c r="HD69" s="383">
        <f t="shared" si="83"/>
        <v>1400049680</v>
      </c>
      <c r="HE69" s="382">
        <f t="shared" ref="HE69:HE71" si="84">HC69-HD69</f>
        <v>1302802220</v>
      </c>
      <c r="HG69" s="383">
        <f t="shared" ref="HG69:HH71" si="85">D69+H69+P69+AB69+AJ69+AN69+AR69+AZ69+BD69+BL69+BP69+BX69+CF69+CR69+DD69+DP69+EB69+EV69+FO69+GI69</f>
        <v>1623067000</v>
      </c>
      <c r="HH69" s="383">
        <f t="shared" si="85"/>
        <v>637500000</v>
      </c>
      <c r="HI69" s="383">
        <f t="shared" ref="HI69:HI71" si="86">HG69-HH69</f>
        <v>985567000</v>
      </c>
      <c r="HK69" s="383">
        <f t="shared" ref="HK69:HL71" si="87">BH69+BT69+CB69+CN69+CZ69+DL69+DX69+ER69</f>
        <v>600000000</v>
      </c>
      <c r="HL69" s="383">
        <f t="shared" si="87"/>
        <v>525000000</v>
      </c>
      <c r="HM69" s="383">
        <f t="shared" ref="HM69:HM71" si="88">HK69-HL69</f>
        <v>75000000</v>
      </c>
      <c r="HO69" s="383">
        <f t="shared" ref="HO69:HP71" si="89">L69+T69+AF69</f>
        <v>0</v>
      </c>
      <c r="HP69" s="383">
        <f t="shared" si="89"/>
        <v>0</v>
      </c>
      <c r="HQ69" s="383">
        <f>HO69-HP69</f>
        <v>0</v>
      </c>
      <c r="HS69" s="383">
        <f t="shared" ref="HS69:HT71" si="90">CJ69+CV69+DH69+DT69+EN69+EZ69+GE69+GY69</f>
        <v>79308300</v>
      </c>
      <c r="HT69" s="383">
        <f t="shared" si="90"/>
        <v>37299680</v>
      </c>
      <c r="HU69" s="383">
        <f t="shared" ref="HU69:HU71" si="91">HS69-HT69</f>
        <v>42008620</v>
      </c>
      <c r="HW69" s="383">
        <f t="shared" ref="HW69:HX71" si="92">EF69+FH69+FW69+GQ69</f>
        <v>36700000</v>
      </c>
      <c r="HX69" s="383">
        <f t="shared" si="92"/>
        <v>0</v>
      </c>
      <c r="HY69" s="383">
        <f t="shared" ref="HY69:HY71" si="93">HW69-HX69</f>
        <v>36700000</v>
      </c>
      <c r="IA69" s="387">
        <f t="shared" ref="IA69:IB71" si="94">FD69+GA69+GU69</f>
        <v>20000000</v>
      </c>
      <c r="IB69" s="387">
        <f t="shared" si="94"/>
        <v>0</v>
      </c>
      <c r="IC69" s="387">
        <f t="shared" ref="IC69:IC71" si="95">IA69-IB69</f>
        <v>20000000</v>
      </c>
      <c r="IE69" s="383">
        <f t="shared" ref="IE69:IF71" si="96">FK69+FS69+GM69</f>
        <v>341776600</v>
      </c>
      <c r="IF69" s="383">
        <f t="shared" si="96"/>
        <v>200250000</v>
      </c>
      <c r="IG69" s="383">
        <f t="shared" ref="IG69:IG70" si="97">IE69-IF69</f>
        <v>141526600</v>
      </c>
      <c r="II69" s="383">
        <f t="shared" ref="II69:IJ71" si="98">EJ69</f>
        <v>2000000</v>
      </c>
      <c r="IJ69" s="383">
        <f t="shared" si="98"/>
        <v>0</v>
      </c>
      <c r="IK69" s="383">
        <f t="shared" ref="IK69:IK71" si="99">II69-IJ69</f>
        <v>2000000</v>
      </c>
    </row>
    <row r="70" spans="1:245" ht="19.5" customHeight="1" x14ac:dyDescent="0.25">
      <c r="A70" s="380">
        <v>66</v>
      </c>
      <c r="B70" s="380" t="s">
        <v>387</v>
      </c>
      <c r="C70" s="42"/>
      <c r="D70" s="382">
        <v>0</v>
      </c>
      <c r="E70" s="382">
        <f>'[1]COE DISB 2019'!D78</f>
        <v>0</v>
      </c>
      <c r="F70" s="382">
        <v>0</v>
      </c>
      <c r="H70" s="382">
        <v>0</v>
      </c>
      <c r="I70" s="382">
        <f>'[1]COE DISB 2019'!E78</f>
        <v>0</v>
      </c>
      <c r="J70" s="382">
        <v>0</v>
      </c>
      <c r="L70" s="382">
        <v>0</v>
      </c>
      <c r="M70" s="382">
        <f>'[1]COE DISB 2019'!F78</f>
        <v>0</v>
      </c>
      <c r="N70" s="382">
        <v>0</v>
      </c>
      <c r="P70" s="382">
        <v>0</v>
      </c>
      <c r="Q70" s="382">
        <f>'[1]COE DISB 2019'!G78</f>
        <v>0</v>
      </c>
      <c r="R70" s="382">
        <v>0</v>
      </c>
      <c r="T70" s="382">
        <v>0</v>
      </c>
      <c r="U70" s="382">
        <f>'[1]COE DISB 2019'!H78</f>
        <v>0</v>
      </c>
      <c r="V70" s="382">
        <v>0</v>
      </c>
      <c r="X70" s="382">
        <v>0</v>
      </c>
      <c r="Y70" s="382">
        <f>'[1]COE DISB 2019'!I78</f>
        <v>0</v>
      </c>
      <c r="Z70" s="382">
        <v>0</v>
      </c>
      <c r="AB70" s="382">
        <v>0</v>
      </c>
      <c r="AC70" s="382">
        <f>'[1]COE DISB 2019'!J78</f>
        <v>0</v>
      </c>
      <c r="AD70" s="382">
        <v>0</v>
      </c>
      <c r="AF70" s="382">
        <v>0</v>
      </c>
      <c r="AG70" s="382">
        <f>'[1]COE DISB 2019'!K78</f>
        <v>0</v>
      </c>
      <c r="AH70" s="382">
        <v>0</v>
      </c>
      <c r="AJ70" s="382">
        <v>0</v>
      </c>
      <c r="AK70" s="382">
        <f>'[1]COE DISB 2019'!L78</f>
        <v>0</v>
      </c>
      <c r="AL70" s="382">
        <v>0</v>
      </c>
      <c r="AN70" s="382">
        <v>0</v>
      </c>
      <c r="AO70" s="382">
        <f>'[1]COE DISB 2019'!M78</f>
        <v>0</v>
      </c>
      <c r="AP70" s="382">
        <v>0</v>
      </c>
      <c r="AR70" s="382">
        <v>0</v>
      </c>
      <c r="AS70" s="382">
        <f>'[1]COE DISB 2019'!N78</f>
        <v>0</v>
      </c>
      <c r="AT70" s="382">
        <v>0</v>
      </c>
      <c r="AV70" s="382">
        <v>0</v>
      </c>
      <c r="AW70" s="382">
        <f>'[1]COE DISB 2019'!O78</f>
        <v>0</v>
      </c>
      <c r="AX70" s="382">
        <v>0</v>
      </c>
      <c r="AZ70" s="382">
        <v>0</v>
      </c>
      <c r="BA70" s="382">
        <f>'[1]COE DISB 2019'!P78</f>
        <v>0</v>
      </c>
      <c r="BB70" s="382">
        <v>0</v>
      </c>
      <c r="BD70" s="382">
        <v>0</v>
      </c>
      <c r="BE70" s="382">
        <f>'[1]COE DISB 2019'!Q78</f>
        <v>0</v>
      </c>
      <c r="BF70" s="382">
        <v>0</v>
      </c>
      <c r="BH70" s="382">
        <v>0</v>
      </c>
      <c r="BI70" s="382">
        <f>'[1]COE DISB 2019'!R78</f>
        <v>0</v>
      </c>
      <c r="BJ70" s="382">
        <v>0</v>
      </c>
      <c r="BL70" s="382">
        <v>0</v>
      </c>
      <c r="BM70" s="382">
        <f>'[1]COE DISB 2019'!S78</f>
        <v>0</v>
      </c>
      <c r="BN70" s="382">
        <v>0</v>
      </c>
      <c r="BP70" s="382">
        <v>0</v>
      </c>
      <c r="BQ70" s="382">
        <f>'[1]COE DISB 2019'!T78</f>
        <v>0</v>
      </c>
      <c r="BR70" s="382">
        <v>0</v>
      </c>
      <c r="BT70" s="382">
        <v>0</v>
      </c>
      <c r="BU70" s="382">
        <f>'[1]COE DISB 2019'!U78</f>
        <v>0</v>
      </c>
      <c r="BV70" s="382">
        <v>0</v>
      </c>
      <c r="BX70" s="382">
        <v>0</v>
      </c>
      <c r="BY70" s="382">
        <f>'[1]COE DISB 2019'!V78</f>
        <v>0</v>
      </c>
      <c r="BZ70" s="382">
        <v>0</v>
      </c>
      <c r="CB70" s="382"/>
      <c r="CC70" s="382">
        <f>'[1]COE DISB 2019'!W78</f>
        <v>0</v>
      </c>
      <c r="CD70" s="382"/>
      <c r="CF70" s="382">
        <v>0</v>
      </c>
      <c r="CG70" s="382">
        <f>'[1]COE DISB 2019'!X78</f>
        <v>0</v>
      </c>
      <c r="CH70" s="382">
        <v>0</v>
      </c>
      <c r="CJ70" s="382">
        <v>0</v>
      </c>
      <c r="CK70" s="382">
        <f>'[1]COE DISB 2019'!Y78</f>
        <v>0</v>
      </c>
      <c r="CL70" s="382">
        <v>0</v>
      </c>
      <c r="CN70" s="382">
        <v>0</v>
      </c>
      <c r="CO70" s="382">
        <f>'[1]COE DISB 2019'!Z78</f>
        <v>0</v>
      </c>
      <c r="CP70" s="382">
        <v>0</v>
      </c>
      <c r="CR70" s="382">
        <v>0</v>
      </c>
      <c r="CS70" s="382">
        <f>'[1]COE DISB 2019'!AA78</f>
        <v>0</v>
      </c>
      <c r="CT70" s="382">
        <v>0</v>
      </c>
      <c r="CV70" s="382">
        <v>0</v>
      </c>
      <c r="CW70" s="382">
        <f>'[1]COE DISB 2019'!AB78</f>
        <v>0</v>
      </c>
      <c r="CX70" s="382">
        <v>0</v>
      </c>
      <c r="CZ70" s="382">
        <v>0</v>
      </c>
      <c r="DA70" s="382">
        <f>'[1]COE DISB 2019'!AC78</f>
        <v>0</v>
      </c>
      <c r="DB70" s="382">
        <v>0</v>
      </c>
      <c r="DC70" s="386"/>
      <c r="DD70" s="382">
        <v>0</v>
      </c>
      <c r="DE70" s="382">
        <f>'[1]COE DISB 2019'!AD78</f>
        <v>0</v>
      </c>
      <c r="DF70" s="382">
        <v>0</v>
      </c>
      <c r="DG70" s="386"/>
      <c r="DH70" s="382">
        <v>0</v>
      </c>
      <c r="DI70" s="382">
        <f>'[1]COE DISB 2019'!AE78</f>
        <v>0</v>
      </c>
      <c r="DJ70" s="382">
        <v>0</v>
      </c>
      <c r="DK70" s="386"/>
      <c r="DL70" s="382">
        <f>'[1]COE commited funds to date'!AD73</f>
        <v>0</v>
      </c>
      <c r="DM70" s="382">
        <f>'[1]COE DISB 2019'!AF78</f>
        <v>0</v>
      </c>
      <c r="DN70" s="382">
        <f>DL70-DM70</f>
        <v>0</v>
      </c>
      <c r="DO70" s="386"/>
      <c r="DP70" s="382">
        <v>0</v>
      </c>
      <c r="DQ70" s="382">
        <f>'[1]COE DISB 2019'!AG78</f>
        <v>0</v>
      </c>
      <c r="DR70" s="382">
        <v>0</v>
      </c>
      <c r="DS70" s="386"/>
      <c r="DT70" s="382">
        <v>0</v>
      </c>
      <c r="DU70" s="382">
        <f>'[1]COE DISB 2019'!AH78</f>
        <v>0</v>
      </c>
      <c r="DV70" s="382">
        <v>0</v>
      </c>
      <c r="DW70" s="386"/>
      <c r="DX70" s="382">
        <f>'[1]COE commited funds to date'!AI73</f>
        <v>100000000</v>
      </c>
      <c r="DY70" s="382">
        <f>'[1]COE DISB 2019'!AI78</f>
        <v>85000000</v>
      </c>
      <c r="DZ70" s="382">
        <f>DX70-DY70</f>
        <v>15000000</v>
      </c>
      <c r="EA70" s="386"/>
      <c r="EB70" s="382">
        <f>'[1]COE commited funds to date'!AJ73</f>
        <v>72000000</v>
      </c>
      <c r="EC70" s="382">
        <f>'[1]COE DISB 2019'!AJ78</f>
        <v>61200000</v>
      </c>
      <c r="ED70" s="382">
        <f>EB70-EC70</f>
        <v>10800000</v>
      </c>
      <c r="EE70" s="386"/>
      <c r="EF70" s="382">
        <f>'[1]COE commited funds to date'!AK73</f>
        <v>8000000</v>
      </c>
      <c r="EG70" s="382">
        <f>'[1]COE DISB 2019'!AK78</f>
        <v>6800000</v>
      </c>
      <c r="EH70" s="382">
        <f>EF70-EG70</f>
        <v>1200000</v>
      </c>
      <c r="EI70" s="386"/>
      <c r="EJ70" s="382">
        <f>'[1]COE commited funds to date'!AL73</f>
        <v>2000000</v>
      </c>
      <c r="EK70" s="382">
        <f>'[1]COE DISB 2019'!AL78</f>
        <v>0</v>
      </c>
      <c r="EL70" s="382">
        <f>EJ70-EK70</f>
        <v>2000000</v>
      </c>
      <c r="EM70" s="386"/>
      <c r="EN70" s="382">
        <f>'[1]COE commited funds to date'!AM73</f>
        <v>7000000</v>
      </c>
      <c r="EO70" s="382">
        <f>'[1]COE DISB 2019'!AM78</f>
        <v>7000000</v>
      </c>
      <c r="EP70" s="382">
        <f>EN70-EO70</f>
        <v>0</v>
      </c>
      <c r="EQ70" s="386"/>
      <c r="ER70" s="382">
        <f>'[1]COE commited funds to date'!AN73</f>
        <v>0</v>
      </c>
      <c r="ES70" s="382">
        <f>'[1]COE DISB 2019'!AN78</f>
        <v>15000000</v>
      </c>
      <c r="ET70" s="382">
        <f>ER70-ES70</f>
        <v>-15000000</v>
      </c>
      <c r="EV70" s="383">
        <f>'[1]COE commited funds to date'!AO73</f>
        <v>0</v>
      </c>
      <c r="EW70" s="383">
        <f>'[1]COE DISB 2019'!AO78</f>
        <v>0</v>
      </c>
      <c r="EX70" s="383">
        <f>EV70-EW70</f>
        <v>0</v>
      </c>
      <c r="EY70" s="380"/>
      <c r="EZ70" s="383">
        <f>'[1]COE commited funds to date'!AQ73</f>
        <v>0</v>
      </c>
      <c r="FA70" s="383">
        <f>'[1]COE DISB 2019'!AP78</f>
        <v>0</v>
      </c>
      <c r="FB70" s="383">
        <f>EZ70-FA70</f>
        <v>0</v>
      </c>
      <c r="FC70" s="380"/>
      <c r="FD70" s="383">
        <f>'[1]COE commited funds to date'!AR73</f>
        <v>0</v>
      </c>
      <c r="FE70" s="383">
        <f>'[1]COE DISB 2019'!AQ78</f>
        <v>0</v>
      </c>
      <c r="FF70" s="383">
        <f>FD70-FE70</f>
        <v>0</v>
      </c>
      <c r="FG70" s="380"/>
      <c r="FH70" s="383">
        <f>'[1]COE commited funds to date'!AP73</f>
        <v>0</v>
      </c>
      <c r="FI70" s="383">
        <f>'[1]COE DISB 2019'!AR78</f>
        <v>0</v>
      </c>
      <c r="FJ70" s="383">
        <f>FH70-FI70</f>
        <v>0</v>
      </c>
      <c r="FK70" s="383">
        <f>'[1]COE commited funds to date'!AS73</f>
        <v>0</v>
      </c>
      <c r="FL70" s="383">
        <f>'[1]COE DISB 2019'!AS78</f>
        <v>0</v>
      </c>
      <c r="FM70" s="383">
        <f t="shared" si="72"/>
        <v>0</v>
      </c>
      <c r="FN70" s="380"/>
      <c r="FO70" s="383">
        <f>'[1]COE commited funds to date'!AT73</f>
        <v>200000000</v>
      </c>
      <c r="FP70" s="383">
        <f>'[1]COE DISB 2019'!AT78</f>
        <v>0</v>
      </c>
      <c r="FQ70" s="383">
        <f t="shared" si="73"/>
        <v>200000000</v>
      </c>
      <c r="FR70" s="380"/>
      <c r="FS70" s="383">
        <f>'[1]COE commited funds to date'!AU73</f>
        <v>75000000</v>
      </c>
      <c r="FT70" s="383">
        <f>'[1]COE DISB 2019'!AU78</f>
        <v>56250000</v>
      </c>
      <c r="FU70" s="383">
        <f t="shared" si="74"/>
        <v>18750000</v>
      </c>
      <c r="FV70" s="380"/>
      <c r="FW70" s="383">
        <f>'[1]COE commited funds to date'!AV73</f>
        <v>8700000</v>
      </c>
      <c r="FX70" s="383">
        <f>'[1]COE DISB 2019'!AV78</f>
        <v>0</v>
      </c>
      <c r="FY70" s="383">
        <f t="shared" si="75"/>
        <v>8700000</v>
      </c>
      <c r="FZ70" s="380"/>
      <c r="GA70" s="383">
        <f>'[1]COE commited funds to date'!AW73</f>
        <v>5000000</v>
      </c>
      <c r="GB70" s="383">
        <f>'[1]COE DISB 2019'!AW78</f>
        <v>0</v>
      </c>
      <c r="GC70" s="383">
        <f t="shared" si="76"/>
        <v>5000000</v>
      </c>
      <c r="GD70" s="380"/>
      <c r="GE70" s="383">
        <f>'[1]COE commited funds to date'!AX73</f>
        <v>20000000</v>
      </c>
      <c r="GF70" s="383">
        <f>'[1]COE DISB 2019'!AX78</f>
        <v>4791600</v>
      </c>
      <c r="GG70" s="383">
        <f t="shared" si="77"/>
        <v>15208400</v>
      </c>
      <c r="GH70" s="380"/>
      <c r="GI70" s="383">
        <f>'[1]COE commited funds to date'!AY73</f>
        <v>0</v>
      </c>
      <c r="GJ70" s="383">
        <f>'[1]COE DISB 2019'!AY78</f>
        <v>0</v>
      </c>
      <c r="GK70" s="383">
        <f t="shared" si="78"/>
        <v>0</v>
      </c>
      <c r="GL70" s="380"/>
      <c r="GM70" s="383">
        <f>'[1]COE commited funds to date'!AZ73</f>
        <v>116776600</v>
      </c>
      <c r="GN70" s="383">
        <f>'[1]COE DISB 2019'!AZ78</f>
        <v>0</v>
      </c>
      <c r="GO70" s="383">
        <f t="shared" si="79"/>
        <v>116776600</v>
      </c>
      <c r="GP70" s="380"/>
      <c r="GQ70" s="383">
        <f>'[1]COE commited funds to date'!BA73</f>
        <v>0</v>
      </c>
      <c r="GR70" s="383">
        <f>'[1]COE DISB 2019'!BA78</f>
        <v>0</v>
      </c>
      <c r="GS70" s="383">
        <f t="shared" si="80"/>
        <v>0</v>
      </c>
      <c r="GT70" s="380"/>
      <c r="GU70" s="383">
        <f>'[1]COE commited funds to date'!BB73</f>
        <v>0</v>
      </c>
      <c r="GV70" s="383">
        <f>'[1]COE DISB 2019'!BB78</f>
        <v>0</v>
      </c>
      <c r="GW70" s="383">
        <f t="shared" si="81"/>
        <v>0</v>
      </c>
      <c r="GX70" s="380"/>
      <c r="GY70" s="383">
        <f>'[1]COE commited funds to date'!BC73</f>
        <v>0</v>
      </c>
      <c r="GZ70" s="383">
        <f>'[1]COE DISB 2019'!BC78</f>
        <v>0</v>
      </c>
      <c r="HA70" s="383">
        <f t="shared" si="82"/>
        <v>0</v>
      </c>
      <c r="HB70" s="380"/>
      <c r="HC70" s="383">
        <f t="shared" si="83"/>
        <v>614476600</v>
      </c>
      <c r="HD70" s="383">
        <f t="shared" si="83"/>
        <v>236041600</v>
      </c>
      <c r="HE70" s="382">
        <f t="shared" si="84"/>
        <v>378435000</v>
      </c>
      <c r="HG70" s="383">
        <f t="shared" si="85"/>
        <v>272000000</v>
      </c>
      <c r="HH70" s="383">
        <f t="shared" si="85"/>
        <v>61200000</v>
      </c>
      <c r="HI70" s="383">
        <f t="shared" si="86"/>
        <v>210800000</v>
      </c>
      <c r="HK70" s="383">
        <f t="shared" si="87"/>
        <v>100000000</v>
      </c>
      <c r="HL70" s="383">
        <f t="shared" si="87"/>
        <v>100000000</v>
      </c>
      <c r="HM70" s="383">
        <f t="shared" si="88"/>
        <v>0</v>
      </c>
      <c r="HO70" s="383">
        <f t="shared" si="89"/>
        <v>0</v>
      </c>
      <c r="HP70" s="383">
        <f t="shared" si="89"/>
        <v>0</v>
      </c>
      <c r="HQ70" s="383">
        <f>HO70-HP70</f>
        <v>0</v>
      </c>
      <c r="HS70" s="383">
        <f t="shared" si="90"/>
        <v>27000000</v>
      </c>
      <c r="HT70" s="383">
        <f t="shared" si="90"/>
        <v>11791600</v>
      </c>
      <c r="HU70" s="383">
        <f t="shared" si="91"/>
        <v>15208400</v>
      </c>
      <c r="HW70" s="383">
        <f t="shared" si="92"/>
        <v>16700000</v>
      </c>
      <c r="HX70" s="383">
        <f t="shared" si="92"/>
        <v>6800000</v>
      </c>
      <c r="HY70" s="383">
        <f t="shared" si="93"/>
        <v>9900000</v>
      </c>
      <c r="IA70" s="387">
        <f t="shared" si="94"/>
        <v>5000000</v>
      </c>
      <c r="IB70" s="387">
        <f t="shared" si="94"/>
        <v>0</v>
      </c>
      <c r="IC70" s="387">
        <f t="shared" si="95"/>
        <v>5000000</v>
      </c>
      <c r="IE70" s="383">
        <f t="shared" si="96"/>
        <v>191776600</v>
      </c>
      <c r="IF70" s="383">
        <f t="shared" si="96"/>
        <v>56250000</v>
      </c>
      <c r="IG70" s="383">
        <f t="shared" si="97"/>
        <v>135526600</v>
      </c>
      <c r="II70" s="383">
        <f t="shared" si="98"/>
        <v>2000000</v>
      </c>
      <c r="IJ70" s="383">
        <f t="shared" si="98"/>
        <v>0</v>
      </c>
      <c r="IK70" s="383">
        <f t="shared" si="99"/>
        <v>2000000</v>
      </c>
    </row>
    <row r="71" spans="1:245" ht="19.5" customHeight="1" x14ac:dyDescent="0.25">
      <c r="A71" s="380" t="s">
        <v>388</v>
      </c>
      <c r="B71" s="380" t="s">
        <v>389</v>
      </c>
      <c r="C71" s="42"/>
      <c r="D71" s="382">
        <v>0</v>
      </c>
      <c r="E71" s="382">
        <f>'[1]COE DISB 2019'!D79</f>
        <v>0</v>
      </c>
      <c r="F71" s="383">
        <f>D71-E71</f>
        <v>0</v>
      </c>
      <c r="H71" s="382">
        <v>0</v>
      </c>
      <c r="I71" s="382">
        <f>'[1]COE DISB 2019'!E79</f>
        <v>0</v>
      </c>
      <c r="J71" s="383">
        <f>H71-I71</f>
        <v>0</v>
      </c>
      <c r="L71" s="382">
        <v>0</v>
      </c>
      <c r="M71" s="382">
        <f>'[1]COE DISB 2019'!F79</f>
        <v>0</v>
      </c>
      <c r="N71" s="383">
        <f>L71-M71</f>
        <v>0</v>
      </c>
      <c r="P71" s="353">
        <v>0</v>
      </c>
      <c r="Q71" s="382">
        <f>'[1]COE DISB 2019'!G79</f>
        <v>0</v>
      </c>
      <c r="R71" s="383">
        <f>P71-Q71</f>
        <v>0</v>
      </c>
      <c r="T71" s="353">
        <v>0</v>
      </c>
      <c r="U71" s="382">
        <f>'[1]COE DISB 2019'!H79</f>
        <v>0</v>
      </c>
      <c r="V71" s="383">
        <f>T71-U71</f>
        <v>0</v>
      </c>
      <c r="X71" s="353">
        <v>0</v>
      </c>
      <c r="Y71" s="382">
        <f>'[1]COE DISB 2019'!I79</f>
        <v>0</v>
      </c>
      <c r="Z71" s="383">
        <f>X71-Y71</f>
        <v>0</v>
      </c>
      <c r="AB71" s="353">
        <v>0</v>
      </c>
      <c r="AC71" s="382">
        <f>'[1]COE DISB 2019'!J79</f>
        <v>0</v>
      </c>
      <c r="AD71" s="383">
        <f>AB71-AC71</f>
        <v>0</v>
      </c>
      <c r="AF71" s="353">
        <v>0</v>
      </c>
      <c r="AG71" s="382">
        <f>'[1]COE DISB 2019'!K79</f>
        <v>0</v>
      </c>
      <c r="AH71" s="383">
        <f>AF71-AG71</f>
        <v>0</v>
      </c>
      <c r="AJ71" s="385">
        <v>52500000</v>
      </c>
      <c r="AK71" s="382">
        <f>'[1]COE DISB 2019'!L79</f>
        <v>52500000</v>
      </c>
      <c r="AL71" s="383">
        <f>AJ71-AK71</f>
        <v>0</v>
      </c>
      <c r="AN71" s="382">
        <v>0</v>
      </c>
      <c r="AO71" s="382">
        <f>'[1]COE DISB 2019'!M79</f>
        <v>0</v>
      </c>
      <c r="AP71" s="383">
        <f>AN71-AO71</f>
        <v>0</v>
      </c>
      <c r="AR71" s="382">
        <v>90000000</v>
      </c>
      <c r="AS71" s="382">
        <f>'[1]COE DISB 2019'!N79</f>
        <v>90000000</v>
      </c>
      <c r="AT71" s="383">
        <f>AR71-AS71</f>
        <v>0</v>
      </c>
      <c r="AV71" s="382">
        <v>0</v>
      </c>
      <c r="AW71" s="385">
        <f>'[1]COE DISB 2019'!O79</f>
        <v>0</v>
      </c>
      <c r="AX71" s="382">
        <f>AV71-AW71</f>
        <v>0</v>
      </c>
      <c r="AZ71" s="382">
        <v>0</v>
      </c>
      <c r="BA71" s="382">
        <f>'[1]COE DISB 2019'!P79</f>
        <v>0</v>
      </c>
      <c r="BB71" s="382">
        <f>AZ71-BA71</f>
        <v>0</v>
      </c>
      <c r="BD71" s="382">
        <v>90000000</v>
      </c>
      <c r="BE71" s="382">
        <f>'[1]COE DISB 2019'!Q79</f>
        <v>90000000</v>
      </c>
      <c r="BF71" s="382">
        <f>BD71-BE71</f>
        <v>0</v>
      </c>
      <c r="BH71" s="382">
        <v>1487500</v>
      </c>
      <c r="BI71" s="382">
        <f>'[1]COE DISB 2019'!R79</f>
        <v>1487500</v>
      </c>
      <c r="BJ71" s="382">
        <f>BH71-BI71</f>
        <v>0</v>
      </c>
      <c r="BL71" s="382">
        <v>0</v>
      </c>
      <c r="BM71" s="382">
        <f>'[1]COE DISB 2019'!S79</f>
        <v>0</v>
      </c>
      <c r="BN71" s="382">
        <f>BL71-BM71</f>
        <v>0</v>
      </c>
      <c r="BP71" s="382">
        <v>0</v>
      </c>
      <c r="BQ71" s="382">
        <f>'[1]COE DISB 2019'!T79</f>
        <v>0</v>
      </c>
      <c r="BR71" s="382">
        <f>BP71-BQ71</f>
        <v>0</v>
      </c>
      <c r="BT71" s="382">
        <v>0</v>
      </c>
      <c r="BU71" s="382">
        <f>'[1]COE DISB 2019'!U79</f>
        <v>0</v>
      </c>
      <c r="BV71" s="382">
        <f>BT71-BU71</f>
        <v>0</v>
      </c>
      <c r="BX71" s="382">
        <v>0</v>
      </c>
      <c r="BY71" s="382">
        <f>'[1]COE DISB 2019'!V79</f>
        <v>0</v>
      </c>
      <c r="BZ71" s="382">
        <f>BX71-BY71</f>
        <v>0</v>
      </c>
      <c r="CB71" s="382">
        <f>'[1]COE commited funds to date'!W74</f>
        <v>0</v>
      </c>
      <c r="CC71" s="382">
        <f>'[1]COE DISB 2019'!W79</f>
        <v>0</v>
      </c>
      <c r="CD71" s="382">
        <f>CB71-CC71</f>
        <v>0</v>
      </c>
      <c r="CF71" s="382">
        <f>'[1]COE commited funds to date'!X74</f>
        <v>0</v>
      </c>
      <c r="CG71" s="382">
        <f>'[1]COE DISB 2019'!X79</f>
        <v>0</v>
      </c>
      <c r="CH71" s="382">
        <f>CF71-CG71</f>
        <v>0</v>
      </c>
      <c r="CJ71" s="382">
        <v>0</v>
      </c>
      <c r="CK71" s="382">
        <f>'[1]COE DISB 2019'!Y79</f>
        <v>0</v>
      </c>
      <c r="CL71" s="382">
        <f>CJ71-CK71</f>
        <v>0</v>
      </c>
      <c r="CN71" s="382">
        <v>0</v>
      </c>
      <c r="CO71" s="382">
        <f>'[1]COE DISB 2019'!Z79</f>
        <v>0</v>
      </c>
      <c r="CP71" s="382">
        <f>CN71-CO71</f>
        <v>0</v>
      </c>
      <c r="CR71" s="382">
        <v>0</v>
      </c>
      <c r="CS71" s="382">
        <f>'[1]COE DISB 2019'!AA79</f>
        <v>0</v>
      </c>
      <c r="CT71" s="382">
        <f>CR71-CS71</f>
        <v>0</v>
      </c>
      <c r="CV71" s="382">
        <v>0</v>
      </c>
      <c r="CW71" s="382">
        <f>'[1]COE DISB 2019'!AB79</f>
        <v>0</v>
      </c>
      <c r="CX71" s="382">
        <f>CV71-CW71</f>
        <v>0</v>
      </c>
      <c r="CZ71" s="382">
        <f>'[1]COE commited funds to date'!AC74</f>
        <v>0</v>
      </c>
      <c r="DA71" s="382">
        <f>'[1]COE DISB 2019'!AC79</f>
        <v>0</v>
      </c>
      <c r="DB71" s="382">
        <f>CZ71-DA71</f>
        <v>0</v>
      </c>
      <c r="DC71" s="386"/>
      <c r="DD71" s="397">
        <v>0</v>
      </c>
      <c r="DE71" s="397">
        <f>'[1]COE DISB 2019'!AD79</f>
        <v>0</v>
      </c>
      <c r="DF71" s="397">
        <v>0</v>
      </c>
      <c r="DG71" s="386"/>
      <c r="DH71" s="397">
        <v>0</v>
      </c>
      <c r="DI71" s="397">
        <f>'[1]COE DISB 2019'!AE79</f>
        <v>0</v>
      </c>
      <c r="DJ71" s="397">
        <v>0</v>
      </c>
      <c r="DK71" s="386"/>
      <c r="DL71" s="382">
        <f>'[1]COE commited funds to date'!AD74</f>
        <v>0</v>
      </c>
      <c r="DM71" s="382">
        <f>'[1]COE DISB 2019'!AF79</f>
        <v>0</v>
      </c>
      <c r="DN71" s="382">
        <f>DL71-DM71</f>
        <v>0</v>
      </c>
      <c r="DO71" s="386"/>
      <c r="DP71" s="382">
        <v>0</v>
      </c>
      <c r="DQ71" s="382">
        <f>'[1]COE DISB 2019'!AG79</f>
        <v>0</v>
      </c>
      <c r="DR71" s="382">
        <f>DP71-DQ71</f>
        <v>0</v>
      </c>
      <c r="DS71" s="386"/>
      <c r="DT71" s="353">
        <v>0</v>
      </c>
      <c r="DU71" s="382">
        <f>'[1]COE DISB 2019'!AH79</f>
        <v>0</v>
      </c>
      <c r="DV71" s="382">
        <f>DT71-DU71</f>
        <v>0</v>
      </c>
      <c r="DW71" s="386"/>
      <c r="DX71" s="382">
        <f>'[1]COE commited funds to date'!AI74</f>
        <v>0</v>
      </c>
      <c r="DY71" s="382">
        <f>'[1]COE DISB 2019'!AI79</f>
        <v>0</v>
      </c>
      <c r="DZ71" s="382">
        <f>DX71-DY71</f>
        <v>0</v>
      </c>
      <c r="EA71" s="386"/>
      <c r="EB71" s="382">
        <f>'[1]COE commited funds to date'!AJ74</f>
        <v>0</v>
      </c>
      <c r="EC71" s="382">
        <f>'[1]COE DISB 2019'!AJ79</f>
        <v>0</v>
      </c>
      <c r="ED71" s="382">
        <f>EB71-EC71</f>
        <v>0</v>
      </c>
      <c r="EE71" s="386"/>
      <c r="EF71" s="382">
        <f>'[1]COE commited funds to date'!AK74</f>
        <v>0</v>
      </c>
      <c r="EG71" s="382">
        <f>'[1]COE DISB 2019'!AK79</f>
        <v>0</v>
      </c>
      <c r="EH71" s="382">
        <f>EF71-EG71</f>
        <v>0</v>
      </c>
      <c r="EI71" s="386"/>
      <c r="EJ71" s="382">
        <f>'[1]COE commited funds to date'!AL74</f>
        <v>0</v>
      </c>
      <c r="EK71" s="382">
        <f>'[1]COE DISB 2019'!AL79</f>
        <v>0</v>
      </c>
      <c r="EL71" s="382">
        <f>EJ71-EK71</f>
        <v>0</v>
      </c>
      <c r="EM71" s="386"/>
      <c r="EN71" s="382">
        <f>'[1]COE commited funds to date'!AM74</f>
        <v>0</v>
      </c>
      <c r="EO71" s="382">
        <f>'[1]COE DISB 2019'!AM79</f>
        <v>0</v>
      </c>
      <c r="EP71" s="382">
        <f>EN71-EO71</f>
        <v>0</v>
      </c>
      <c r="EQ71" s="386"/>
      <c r="ER71" s="382">
        <f>'[1]COE commited funds to date'!AN74</f>
        <v>0</v>
      </c>
      <c r="ES71" s="382">
        <f>'[1]COE DISB 2019'!AN79</f>
        <v>0</v>
      </c>
      <c r="ET71" s="382">
        <f>ER71-ES71</f>
        <v>0</v>
      </c>
      <c r="EV71" s="383">
        <f>'[1]COE commited funds to date'!AO74</f>
        <v>0</v>
      </c>
      <c r="EW71" s="383">
        <f>'[1]COE DISB 2019'!AO79</f>
        <v>0</v>
      </c>
      <c r="EX71" s="383">
        <f>EV71-EW71</f>
        <v>0</v>
      </c>
      <c r="EY71" s="380"/>
      <c r="EZ71" s="383">
        <f>'[1]COE commited funds to date'!AQ74</f>
        <v>0</v>
      </c>
      <c r="FA71" s="383">
        <f>'[1]COE DISB 2019'!AP79</f>
        <v>0</v>
      </c>
      <c r="FB71" s="383">
        <f>EZ71-FA71</f>
        <v>0</v>
      </c>
      <c r="FC71" s="380"/>
      <c r="FD71" s="383">
        <f>'[1]COE commited funds to date'!AR74</f>
        <v>0</v>
      </c>
      <c r="FE71" s="383">
        <f>'[1]COE DISB 2019'!AQ79</f>
        <v>0</v>
      </c>
      <c r="FF71" s="383">
        <f>FD71-FE71</f>
        <v>0</v>
      </c>
      <c r="FG71" s="380"/>
      <c r="FH71" s="383">
        <f>'[1]COE commited funds to date'!AP74</f>
        <v>0</v>
      </c>
      <c r="FI71" s="383">
        <f>'[1]COE DISB 2019'!AR79</f>
        <v>0</v>
      </c>
      <c r="FJ71" s="383">
        <f>FH71-FI71</f>
        <v>0</v>
      </c>
      <c r="FK71" s="383">
        <f>'[1]COE commited funds to date'!AS74</f>
        <v>0</v>
      </c>
      <c r="FL71" s="383">
        <f>'[1]COE DISB 2019'!AS79</f>
        <v>0</v>
      </c>
      <c r="FM71" s="383">
        <f t="shared" si="72"/>
        <v>0</v>
      </c>
      <c r="FN71" s="380"/>
      <c r="FO71" s="383">
        <f>'[1]COE commited funds to date'!AT74</f>
        <v>0</v>
      </c>
      <c r="FP71" s="383">
        <f>'[1]COE DISB 2019'!AT79</f>
        <v>0</v>
      </c>
      <c r="FQ71" s="383">
        <f t="shared" si="73"/>
        <v>0</v>
      </c>
      <c r="FR71" s="380"/>
      <c r="FS71" s="383">
        <f>'[1]COE commited funds to date'!AU74</f>
        <v>0</v>
      </c>
      <c r="FT71" s="383">
        <f>'[1]COE DISB 2019'!AU79</f>
        <v>0</v>
      </c>
      <c r="FU71" s="383">
        <f t="shared" si="74"/>
        <v>0</v>
      </c>
      <c r="FV71" s="380"/>
      <c r="FW71" s="383">
        <f>'[1]COE commited funds to date'!AV74</f>
        <v>0</v>
      </c>
      <c r="FX71" s="383">
        <f>'[1]COE DISB 2019'!AV79</f>
        <v>0</v>
      </c>
      <c r="FY71" s="383">
        <f t="shared" si="75"/>
        <v>0</v>
      </c>
      <c r="FZ71" s="380"/>
      <c r="GA71" s="383">
        <f>'[1]COE commited funds to date'!AW74</f>
        <v>0</v>
      </c>
      <c r="GB71" s="383">
        <f>'[1]COE DISB 2019'!AW79</f>
        <v>0</v>
      </c>
      <c r="GC71" s="383">
        <f t="shared" si="76"/>
        <v>0</v>
      </c>
      <c r="GD71" s="380"/>
      <c r="GE71" s="383">
        <f>'[1]COE commited funds to date'!AX74</f>
        <v>0</v>
      </c>
      <c r="GF71" s="383">
        <f>'[1]COE DISB 2019'!AX79</f>
        <v>0</v>
      </c>
      <c r="GG71" s="383">
        <f t="shared" si="77"/>
        <v>0</v>
      </c>
      <c r="GH71" s="380"/>
      <c r="GI71" s="383">
        <f>'[1]COE commited funds to date'!AY74</f>
        <v>0</v>
      </c>
      <c r="GJ71" s="383">
        <f>'[1]COE DISB 2019'!AY79</f>
        <v>0</v>
      </c>
      <c r="GK71" s="383">
        <f t="shared" si="78"/>
        <v>0</v>
      </c>
      <c r="GL71" s="380"/>
      <c r="GM71" s="383">
        <f>'[1]COE commited funds to date'!AZ74</f>
        <v>0</v>
      </c>
      <c r="GN71" s="383">
        <f>'[1]COE DISB 2019'!AZ79</f>
        <v>0</v>
      </c>
      <c r="GO71" s="383">
        <f t="shared" si="79"/>
        <v>0</v>
      </c>
      <c r="GP71" s="380"/>
      <c r="GQ71" s="383">
        <f>'[1]COE commited funds to date'!BA74</f>
        <v>0</v>
      </c>
      <c r="GR71" s="383">
        <f>'[1]COE DISB 2019'!BA79</f>
        <v>0</v>
      </c>
      <c r="GS71" s="383">
        <f t="shared" si="80"/>
        <v>0</v>
      </c>
      <c r="GT71" s="380"/>
      <c r="GU71" s="383">
        <f>'[1]COE commited funds to date'!BB74</f>
        <v>0</v>
      </c>
      <c r="GV71" s="383">
        <f>'[1]COE DISB 2019'!BB79</f>
        <v>0</v>
      </c>
      <c r="GW71" s="383">
        <f t="shared" si="81"/>
        <v>0</v>
      </c>
      <c r="GX71" s="380"/>
      <c r="GY71" s="383">
        <f>'[1]COE commited funds to date'!BC74</f>
        <v>0</v>
      </c>
      <c r="GZ71" s="383">
        <f>'[1]COE DISB 2019'!BC79</f>
        <v>0</v>
      </c>
      <c r="HA71" s="383">
        <f t="shared" si="82"/>
        <v>0</v>
      </c>
      <c r="HB71" s="380"/>
      <c r="HC71" s="383">
        <f t="shared" si="83"/>
        <v>233987500</v>
      </c>
      <c r="HD71" s="383">
        <f t="shared" si="83"/>
        <v>233987500</v>
      </c>
      <c r="HE71" s="382">
        <f t="shared" si="84"/>
        <v>0</v>
      </c>
      <c r="HG71" s="383">
        <f t="shared" si="85"/>
        <v>232500000</v>
      </c>
      <c r="HH71" s="383">
        <f t="shared" si="85"/>
        <v>232500000</v>
      </c>
      <c r="HI71" s="383">
        <f t="shared" si="86"/>
        <v>0</v>
      </c>
      <c r="HK71" s="383">
        <f t="shared" si="87"/>
        <v>1487500</v>
      </c>
      <c r="HL71" s="383">
        <f t="shared" si="87"/>
        <v>1487500</v>
      </c>
      <c r="HM71" s="383">
        <f t="shared" si="88"/>
        <v>0</v>
      </c>
      <c r="HO71" s="383">
        <f t="shared" si="89"/>
        <v>0</v>
      </c>
      <c r="HP71" s="383">
        <f t="shared" si="89"/>
        <v>0</v>
      </c>
      <c r="HQ71" s="383">
        <f>HO71-HP71</f>
        <v>0</v>
      </c>
      <c r="HS71" s="383">
        <f t="shared" si="90"/>
        <v>0</v>
      </c>
      <c r="HT71" s="383">
        <f t="shared" si="90"/>
        <v>0</v>
      </c>
      <c r="HU71" s="383">
        <f t="shared" si="91"/>
        <v>0</v>
      </c>
      <c r="HW71" s="383">
        <f t="shared" si="92"/>
        <v>0</v>
      </c>
      <c r="HX71" s="383">
        <f t="shared" si="92"/>
        <v>0</v>
      </c>
      <c r="HY71" s="383">
        <f t="shared" si="93"/>
        <v>0</v>
      </c>
      <c r="IA71" s="387">
        <f t="shared" si="94"/>
        <v>0</v>
      </c>
      <c r="IB71" s="387">
        <f t="shared" si="94"/>
        <v>0</v>
      </c>
      <c r="IC71" s="387">
        <f t="shared" si="95"/>
        <v>0</v>
      </c>
      <c r="IE71" s="383">
        <f t="shared" si="96"/>
        <v>0</v>
      </c>
      <c r="IF71" s="383">
        <f t="shared" si="96"/>
        <v>0</v>
      </c>
      <c r="IG71" s="383">
        <f>IE71-IF71</f>
        <v>0</v>
      </c>
      <c r="II71" s="383">
        <f t="shared" si="98"/>
        <v>0</v>
      </c>
      <c r="IJ71" s="383">
        <f t="shared" si="98"/>
        <v>0</v>
      </c>
      <c r="IK71" s="383">
        <f t="shared" si="99"/>
        <v>0</v>
      </c>
    </row>
    <row r="72" spans="1:245" ht="19.5" customHeight="1" x14ac:dyDescent="0.25">
      <c r="A72" s="380"/>
      <c r="B72" s="380"/>
      <c r="C72" s="404"/>
      <c r="D72" s="382">
        <f t="shared" ref="D72:BO72" si="100">SUM(D4:D71)</f>
        <v>1099137512.3</v>
      </c>
      <c r="E72" s="382">
        <f t="shared" si="100"/>
        <v>1100973389.6799998</v>
      </c>
      <c r="F72" s="382">
        <f t="shared" si="100"/>
        <v>-1835877.379999999</v>
      </c>
      <c r="G72" s="382">
        <f t="shared" si="100"/>
        <v>0</v>
      </c>
      <c r="H72" s="382">
        <f t="shared" si="100"/>
        <v>490000000</v>
      </c>
      <c r="I72" s="382">
        <f t="shared" si="100"/>
        <v>490000000</v>
      </c>
      <c r="J72" s="382">
        <f t="shared" si="100"/>
        <v>0</v>
      </c>
      <c r="K72" s="382">
        <f t="shared" si="100"/>
        <v>0</v>
      </c>
      <c r="L72" s="382">
        <f t="shared" si="100"/>
        <v>30000000</v>
      </c>
      <c r="M72" s="382">
        <f t="shared" si="100"/>
        <v>30000000</v>
      </c>
      <c r="N72" s="382">
        <f t="shared" si="100"/>
        <v>0</v>
      </c>
      <c r="O72" s="382">
        <f t="shared" si="100"/>
        <v>0</v>
      </c>
      <c r="P72" s="382">
        <f t="shared" si="100"/>
        <v>958322000</v>
      </c>
      <c r="Q72" s="382">
        <f t="shared" si="100"/>
        <v>958322000</v>
      </c>
      <c r="R72" s="382">
        <f t="shared" si="100"/>
        <v>0</v>
      </c>
      <c r="S72" s="382">
        <f t="shared" si="100"/>
        <v>0</v>
      </c>
      <c r="T72" s="382">
        <f t="shared" si="100"/>
        <v>46449633.120000005</v>
      </c>
      <c r="U72" s="382">
        <f t="shared" si="100"/>
        <v>46449633.120000005</v>
      </c>
      <c r="V72" s="382">
        <f t="shared" si="100"/>
        <v>0</v>
      </c>
      <c r="W72" s="382">
        <f t="shared" si="100"/>
        <v>0</v>
      </c>
      <c r="X72" s="382">
        <f t="shared" si="100"/>
        <v>40000000</v>
      </c>
      <c r="Y72" s="382">
        <f t="shared" si="100"/>
        <v>40000000</v>
      </c>
      <c r="Z72" s="382">
        <f t="shared" si="100"/>
        <v>0</v>
      </c>
      <c r="AA72" s="382">
        <f t="shared" si="100"/>
        <v>0</v>
      </c>
      <c r="AB72" s="382">
        <f t="shared" si="100"/>
        <v>1220000000</v>
      </c>
      <c r="AC72" s="382">
        <f t="shared" si="100"/>
        <v>1220000000</v>
      </c>
      <c r="AD72" s="382">
        <f t="shared" si="100"/>
        <v>0</v>
      </c>
      <c r="AE72" s="382">
        <f t="shared" si="100"/>
        <v>0</v>
      </c>
      <c r="AF72" s="382">
        <f t="shared" si="100"/>
        <v>4000000</v>
      </c>
      <c r="AG72" s="382">
        <f t="shared" si="100"/>
        <v>4000000</v>
      </c>
      <c r="AH72" s="382">
        <f t="shared" si="100"/>
        <v>0</v>
      </c>
      <c r="AI72" s="382">
        <f t="shared" si="100"/>
        <v>0</v>
      </c>
      <c r="AJ72" s="382">
        <f t="shared" si="100"/>
        <v>661000000</v>
      </c>
      <c r="AK72" s="382">
        <f t="shared" si="100"/>
        <v>661000000</v>
      </c>
      <c r="AL72" s="382">
        <f t="shared" si="100"/>
        <v>0</v>
      </c>
      <c r="AM72" s="382">
        <f t="shared" si="100"/>
        <v>0</v>
      </c>
      <c r="AN72" s="382">
        <f t="shared" si="100"/>
        <v>610000000</v>
      </c>
      <c r="AO72" s="382">
        <f t="shared" si="100"/>
        <v>610000000</v>
      </c>
      <c r="AP72" s="382">
        <f t="shared" si="100"/>
        <v>0</v>
      </c>
      <c r="AQ72" s="382">
        <f t="shared" si="100"/>
        <v>0</v>
      </c>
      <c r="AR72" s="382">
        <f t="shared" si="100"/>
        <v>1000738610</v>
      </c>
      <c r="AS72" s="382">
        <f t="shared" si="100"/>
        <v>1000738610</v>
      </c>
      <c r="AT72" s="382">
        <f t="shared" si="100"/>
        <v>0</v>
      </c>
      <c r="AU72" s="382">
        <f t="shared" si="100"/>
        <v>0</v>
      </c>
      <c r="AV72" s="382">
        <f t="shared" si="100"/>
        <v>204750000</v>
      </c>
      <c r="AW72" s="382">
        <f t="shared" si="100"/>
        <v>204750000</v>
      </c>
      <c r="AX72" s="382">
        <f t="shared" si="100"/>
        <v>0</v>
      </c>
      <c r="AY72" s="382">
        <f t="shared" si="100"/>
        <v>0</v>
      </c>
      <c r="AZ72" s="382">
        <f t="shared" si="100"/>
        <v>1098000000</v>
      </c>
      <c r="BA72" s="382">
        <f t="shared" si="100"/>
        <v>1098000000</v>
      </c>
      <c r="BB72" s="382">
        <f t="shared" si="100"/>
        <v>0</v>
      </c>
      <c r="BC72" s="382">
        <f t="shared" si="100"/>
        <v>0</v>
      </c>
      <c r="BD72" s="382">
        <f t="shared" si="100"/>
        <v>1510290000</v>
      </c>
      <c r="BE72" s="382">
        <f t="shared" si="100"/>
        <v>1510290000</v>
      </c>
      <c r="BF72" s="382">
        <f t="shared" si="100"/>
        <v>0</v>
      </c>
      <c r="BG72" s="382">
        <f t="shared" si="100"/>
        <v>0</v>
      </c>
      <c r="BH72" s="382">
        <f t="shared" si="100"/>
        <v>11487500</v>
      </c>
      <c r="BI72" s="382">
        <f t="shared" si="100"/>
        <v>11487500</v>
      </c>
      <c r="BJ72" s="382">
        <f t="shared" si="100"/>
        <v>0</v>
      </c>
      <c r="BK72" s="382">
        <f t="shared" si="100"/>
        <v>0</v>
      </c>
      <c r="BL72" s="382">
        <f t="shared" si="100"/>
        <v>2642780000</v>
      </c>
      <c r="BM72" s="382">
        <f t="shared" si="100"/>
        <v>2642780400</v>
      </c>
      <c r="BN72" s="382">
        <f t="shared" si="100"/>
        <v>-400</v>
      </c>
      <c r="BO72" s="382">
        <f t="shared" si="100"/>
        <v>0</v>
      </c>
      <c r="BP72" s="382">
        <f t="shared" ref="BP72:DB72" si="101">SUM(BP4:BP71)</f>
        <v>2276616985.5799999</v>
      </c>
      <c r="BQ72" s="382">
        <f t="shared" si="101"/>
        <v>2276616985.5799999</v>
      </c>
      <c r="BR72" s="382">
        <f t="shared" si="101"/>
        <v>0</v>
      </c>
      <c r="BS72" s="382">
        <f t="shared" si="101"/>
        <v>0</v>
      </c>
      <c r="BT72" s="382">
        <f t="shared" si="101"/>
        <v>403867770.73000002</v>
      </c>
      <c r="BU72" s="382">
        <f t="shared" si="101"/>
        <v>403867770.73000002</v>
      </c>
      <c r="BV72" s="382">
        <f t="shared" si="101"/>
        <v>0</v>
      </c>
      <c r="BW72" s="382">
        <f t="shared" si="101"/>
        <v>0</v>
      </c>
      <c r="BX72" s="382">
        <f t="shared" si="101"/>
        <v>6101419014.4200001</v>
      </c>
      <c r="BY72" s="382">
        <f t="shared" si="101"/>
        <v>6101419014.4200001</v>
      </c>
      <c r="BZ72" s="382">
        <f t="shared" si="101"/>
        <v>0</v>
      </c>
      <c r="CA72" s="382">
        <f t="shared" si="101"/>
        <v>0</v>
      </c>
      <c r="CB72" s="382">
        <f t="shared" si="101"/>
        <v>5391342000</v>
      </c>
      <c r="CC72" s="382">
        <f t="shared" si="101"/>
        <v>5391342000</v>
      </c>
      <c r="CD72" s="382">
        <f t="shared" si="101"/>
        <v>0</v>
      </c>
      <c r="CE72" s="382">
        <f t="shared" si="101"/>
        <v>0</v>
      </c>
      <c r="CF72" s="382">
        <f t="shared" si="101"/>
        <v>6750000000</v>
      </c>
      <c r="CG72" s="382">
        <f t="shared" si="101"/>
        <v>6675002549.9899998</v>
      </c>
      <c r="CH72" s="382">
        <f t="shared" si="101"/>
        <v>74997450.010000005</v>
      </c>
      <c r="CI72" s="382">
        <f t="shared" si="101"/>
        <v>0</v>
      </c>
      <c r="CJ72" s="382">
        <f t="shared" si="101"/>
        <v>540000000</v>
      </c>
      <c r="CK72" s="382">
        <f t="shared" si="101"/>
        <v>514797132.5</v>
      </c>
      <c r="CL72" s="382">
        <f t="shared" si="101"/>
        <v>25202867.5</v>
      </c>
      <c r="CM72" s="382">
        <f t="shared" si="101"/>
        <v>0</v>
      </c>
      <c r="CN72" s="382">
        <f t="shared" si="101"/>
        <v>8845000000</v>
      </c>
      <c r="CO72" s="382">
        <f t="shared" si="101"/>
        <v>8845000000</v>
      </c>
      <c r="CP72" s="382">
        <f t="shared" si="101"/>
        <v>0</v>
      </c>
      <c r="CQ72" s="382">
        <f t="shared" si="101"/>
        <v>0</v>
      </c>
      <c r="CR72" s="382">
        <f t="shared" si="101"/>
        <v>11550000000</v>
      </c>
      <c r="CS72" s="382">
        <f t="shared" si="101"/>
        <v>11272800000</v>
      </c>
      <c r="CT72" s="382">
        <f t="shared" si="101"/>
        <v>277200000</v>
      </c>
      <c r="CU72" s="382">
        <f t="shared" si="101"/>
        <v>0</v>
      </c>
      <c r="CV72" s="382">
        <f t="shared" si="101"/>
        <v>550000000</v>
      </c>
      <c r="CW72" s="382">
        <f t="shared" si="101"/>
        <v>532126286.10000002</v>
      </c>
      <c r="CX72" s="382">
        <f t="shared" si="101"/>
        <v>17873713.899999999</v>
      </c>
      <c r="CY72" s="382">
        <f t="shared" si="101"/>
        <v>0</v>
      </c>
      <c r="CZ72" s="382">
        <f t="shared" si="101"/>
        <v>9314000000</v>
      </c>
      <c r="DA72" s="382">
        <f t="shared" si="101"/>
        <v>8912200000</v>
      </c>
      <c r="DB72" s="382">
        <f t="shared" si="101"/>
        <v>401800000</v>
      </c>
      <c r="DC72" s="386"/>
      <c r="DD72" s="382">
        <f>SUM(DD4:DD71)</f>
        <v>11825000000</v>
      </c>
      <c r="DE72" s="382">
        <f>SUM(DE4:DE71)</f>
        <v>11065050000</v>
      </c>
      <c r="DF72" s="382">
        <f>SUM(DF4:DF71)</f>
        <v>759950000</v>
      </c>
      <c r="DG72" s="386"/>
      <c r="DH72" s="382">
        <f>SUM(DH4:DH71)</f>
        <v>550000000</v>
      </c>
      <c r="DI72" s="382">
        <f>SUM(DI4:DI71)</f>
        <v>538290320</v>
      </c>
      <c r="DJ72" s="382">
        <f>SUM(DJ4:DJ71)</f>
        <v>11709680</v>
      </c>
      <c r="DK72" s="386"/>
      <c r="DL72" s="382">
        <f>SUM(DL4:DL71)</f>
        <v>4603800000</v>
      </c>
      <c r="DM72" s="382">
        <f>SUM(DM4:DM71)</f>
        <v>4446600000</v>
      </c>
      <c r="DN72" s="382">
        <f>SUM(DN4:DN71)</f>
        <v>157200000</v>
      </c>
      <c r="DO72" s="386"/>
      <c r="DP72" s="382">
        <f>SUM(DP4:DP71)</f>
        <v>17875000000</v>
      </c>
      <c r="DQ72" s="382">
        <f>SUM(DQ4:DQ71)</f>
        <v>15549250000</v>
      </c>
      <c r="DR72" s="382">
        <f>SUM(DR4:DR71)</f>
        <v>2325750000</v>
      </c>
      <c r="DS72" s="386"/>
      <c r="DT72" s="382">
        <f>SUM(DT4:DT71)</f>
        <v>550000000</v>
      </c>
      <c r="DU72" s="382">
        <f>SUM(DU4:DU71)</f>
        <v>507997387.75</v>
      </c>
      <c r="DV72" s="382">
        <f>SUM(DV4:DV71)</f>
        <v>42002612.25</v>
      </c>
      <c r="DW72" s="386"/>
      <c r="DX72" s="382">
        <f>SUM(DX4:DX71)</f>
        <v>10185600000</v>
      </c>
      <c r="DY72" s="382">
        <f>SUM(DY4:DY71)</f>
        <v>9963210000</v>
      </c>
      <c r="DZ72" s="382">
        <f>SUM(DZ4:DZ71)</f>
        <v>222390000</v>
      </c>
      <c r="EA72" s="405"/>
      <c r="EB72" s="382">
        <v>3960000000</v>
      </c>
      <c r="EC72" s="382">
        <v>0</v>
      </c>
      <c r="ED72" s="382">
        <f>EB72-EC72</f>
        <v>3960000000</v>
      </c>
      <c r="EE72" s="406"/>
      <c r="EF72" s="382">
        <f>SUM(EF4:EF71)</f>
        <v>440000000</v>
      </c>
      <c r="EG72" s="382">
        <f>SUM(EG4:EG71)</f>
        <v>231520000</v>
      </c>
      <c r="EH72" s="382">
        <f>SUM(EH4:EH71)</f>
        <v>208480000</v>
      </c>
      <c r="EI72" s="382"/>
      <c r="EJ72" s="382">
        <f>SUM(EJ4:EJ71)</f>
        <v>110000000</v>
      </c>
      <c r="EK72" s="382">
        <f>SUM(EK4:EK71)</f>
        <v>21600000</v>
      </c>
      <c r="EL72" s="382">
        <f>SUM(EL4:EL71)</f>
        <v>88400000</v>
      </c>
      <c r="EM72" s="382"/>
      <c r="EN72" s="382">
        <f>SUM(EN4:EN71)</f>
        <v>385000000</v>
      </c>
      <c r="EO72" s="382">
        <f>SUM(EO4:EO71)</f>
        <v>369377940</v>
      </c>
      <c r="EP72" s="382">
        <f>SUM(EP4:EP71)</f>
        <v>15622060</v>
      </c>
      <c r="EQ72" s="382"/>
      <c r="ER72" s="382">
        <f t="shared" ref="ER72:EW72" si="102">SUM(ER4:ER71)</f>
        <v>66379200000</v>
      </c>
      <c r="ES72" s="382">
        <f t="shared" si="102"/>
        <v>62959600000</v>
      </c>
      <c r="ET72" s="382">
        <f t="shared" si="102"/>
        <v>3419600000</v>
      </c>
      <c r="EU72" s="382">
        <f t="shared" si="102"/>
        <v>0</v>
      </c>
      <c r="EV72" s="382">
        <f t="shared" si="102"/>
        <v>20408685000</v>
      </c>
      <c r="EW72" s="382">
        <f t="shared" si="102"/>
        <v>11773955915</v>
      </c>
      <c r="EX72" s="383">
        <f>EV72-EW72</f>
        <v>8634729085</v>
      </c>
      <c r="EY72" s="382"/>
      <c r="EZ72" s="382">
        <f>SUM(EZ4:EZ71)</f>
        <v>660000000</v>
      </c>
      <c r="FA72" s="382">
        <f>SUM(FA4:FA71)</f>
        <v>578932274.68000007</v>
      </c>
      <c r="FB72" s="382">
        <f>SUM(FB4:FB71)</f>
        <v>81067725.319999993</v>
      </c>
      <c r="FC72" s="382"/>
      <c r="FD72" s="382">
        <f>SUM(FD4:FD71)</f>
        <v>550000000</v>
      </c>
      <c r="FE72" s="382">
        <f>SUM(FE4:FE71)</f>
        <v>0</v>
      </c>
      <c r="FF72" s="382">
        <f>SUM(FF4:FF71)</f>
        <v>550000000</v>
      </c>
      <c r="FG72" s="382"/>
      <c r="FH72" s="382">
        <f t="shared" ref="FH72:FM72" si="103">SUM(FH4:FH71)</f>
        <v>440000000</v>
      </c>
      <c r="FI72" s="382">
        <f t="shared" si="103"/>
        <v>199120000</v>
      </c>
      <c r="FJ72" s="382">
        <f t="shared" si="103"/>
        <v>240880000</v>
      </c>
      <c r="FK72" s="382">
        <f t="shared" si="103"/>
        <v>2850000000</v>
      </c>
      <c r="FL72" s="382">
        <f t="shared" si="103"/>
        <v>2364000000</v>
      </c>
      <c r="FM72" s="382">
        <f t="shared" si="103"/>
        <v>486000000</v>
      </c>
      <c r="FN72" s="382"/>
      <c r="FO72" s="382">
        <f>SUM(FO4:FO71)</f>
        <v>11000000000</v>
      </c>
      <c r="FP72" s="382">
        <f>SUM(FP4:FP71)</f>
        <v>116000000</v>
      </c>
      <c r="FQ72" s="383">
        <f t="shared" si="73"/>
        <v>10884000000</v>
      </c>
      <c r="FR72" s="382"/>
      <c r="FS72" s="382">
        <f>SUM(FS4:FS71)</f>
        <v>5100000000</v>
      </c>
      <c r="FT72" s="382">
        <f>SUM(FT4:FT71)</f>
        <v>3204750000</v>
      </c>
      <c r="FU72" s="383">
        <f t="shared" si="74"/>
        <v>1895250000</v>
      </c>
      <c r="FV72" s="382"/>
      <c r="FW72" s="382">
        <f>SUM(FW4:FW71)</f>
        <v>478500000</v>
      </c>
      <c r="FX72" s="382">
        <f>SUM(FX4:FX71)</f>
        <v>0</v>
      </c>
      <c r="FY72" s="383">
        <f t="shared" si="75"/>
        <v>478500000</v>
      </c>
      <c r="FZ72" s="382"/>
      <c r="GA72" s="382">
        <f>SUM(GA4:GA71)</f>
        <v>275000000</v>
      </c>
      <c r="GB72" s="382">
        <f>SUM(GB4:GB71)</f>
        <v>0</v>
      </c>
      <c r="GC72" s="383">
        <f>GA72-GB72</f>
        <v>275000000</v>
      </c>
      <c r="GD72" s="382"/>
      <c r="GE72" s="382">
        <f>SUM(GE4:GE71)</f>
        <v>1100000000</v>
      </c>
      <c r="GF72" s="382">
        <f>SUM(GF4:GF71)</f>
        <v>569660478</v>
      </c>
      <c r="GG72" s="383">
        <f t="shared" si="77"/>
        <v>530339522</v>
      </c>
      <c r="GH72" s="382"/>
      <c r="GI72" s="382">
        <f>SUM(GI4:GI71)</f>
        <v>12650000000</v>
      </c>
      <c r="GJ72" s="382">
        <f>SUM(GJ4:GJ71)</f>
        <v>133400000</v>
      </c>
      <c r="GK72" s="383">
        <f>GI72-GJ72</f>
        <v>12516600000</v>
      </c>
      <c r="GL72" s="382"/>
      <c r="GM72" s="382">
        <f>SUM(GM4:GM71)</f>
        <v>7707255600</v>
      </c>
      <c r="GN72" s="382">
        <f>SUM(GN4:GN71)</f>
        <v>0</v>
      </c>
      <c r="GO72" s="383">
        <f t="shared" si="79"/>
        <v>7707255600</v>
      </c>
      <c r="GP72" s="382"/>
      <c r="GQ72" s="382">
        <f>SUM(GQ4:GQ71)</f>
        <v>660000000</v>
      </c>
      <c r="GR72" s="382">
        <f>SUM(GR4:GR71)</f>
        <v>0</v>
      </c>
      <c r="GS72" s="383">
        <f t="shared" si="80"/>
        <v>660000000</v>
      </c>
      <c r="GT72" s="382"/>
      <c r="GU72" s="382">
        <f>SUM(GU4:GU71)</f>
        <v>275000000</v>
      </c>
      <c r="GV72" s="382">
        <f>SUM(GV4:GV71)</f>
        <v>0</v>
      </c>
      <c r="GW72" s="383">
        <f t="shared" si="81"/>
        <v>275000000</v>
      </c>
      <c r="GX72" s="382"/>
      <c r="GY72" s="382">
        <f>SUM(GY4:GY71)</f>
        <v>566956500</v>
      </c>
      <c r="GZ72" s="382">
        <f>SUM(GZ4:GZ71)</f>
        <v>28589955.920000002</v>
      </c>
      <c r="HA72" s="383">
        <f t="shared" si="82"/>
        <v>538366544.08000004</v>
      </c>
      <c r="HB72" s="382"/>
      <c r="HC72" s="383">
        <f>SUM(HC4:HC71)</f>
        <v>244934198126.14996</v>
      </c>
      <c r="HD72" s="383">
        <f>SUM(HD4:HD71)</f>
        <v>189965427543.47</v>
      </c>
      <c r="HE72" s="382">
        <f>HC72-HD72</f>
        <v>54968770582.679962</v>
      </c>
      <c r="HG72" s="383">
        <f>SUM(HG4:HG71)</f>
        <v>115686989122.3</v>
      </c>
      <c r="HH72" s="383">
        <f>SUM(HH4:HH71)</f>
        <v>79046158864.669998</v>
      </c>
      <c r="HI72" s="383">
        <f>HG72-HH72</f>
        <v>36640830257.630005</v>
      </c>
      <c r="HK72" s="383">
        <f>SUM(HK4:HK71)</f>
        <v>105134297270.73001</v>
      </c>
      <c r="HL72" s="383">
        <f>SUM(HL4:HL71)</f>
        <v>100933307270.73001</v>
      </c>
      <c r="HM72" s="383">
        <f>HK72-HL72</f>
        <v>4200990000</v>
      </c>
      <c r="HO72" s="383">
        <f>SUM(HO4:HO71)</f>
        <v>80449633.120000005</v>
      </c>
      <c r="HP72" s="383">
        <f>SUM(HP4:HP71)</f>
        <v>80449633.120000005</v>
      </c>
      <c r="HQ72" s="383">
        <f>HO72-HP72</f>
        <v>0</v>
      </c>
      <c r="HS72" s="383">
        <f>SUM(HS4:HS71)</f>
        <v>4901956500</v>
      </c>
      <c r="HT72" s="383">
        <f>SUM(HT4:HT71)</f>
        <v>3639771774.9499998</v>
      </c>
      <c r="HU72" s="383">
        <f>HS72-HT72</f>
        <v>1262184725.0500002</v>
      </c>
      <c r="HW72" s="383">
        <f>SUM(HW4:HW71)</f>
        <v>2018500000</v>
      </c>
      <c r="HX72" s="383">
        <f>SUM(HX4:HX71)</f>
        <v>430640000</v>
      </c>
      <c r="HY72" s="383">
        <f>HW72-HX72</f>
        <v>1587860000</v>
      </c>
      <c r="IA72" s="387">
        <f>SUM(IA4:IA71)</f>
        <v>1100000000</v>
      </c>
      <c r="IB72" s="387">
        <f>SUM(IB4:IB71)</f>
        <v>0</v>
      </c>
      <c r="IC72" s="387">
        <f>IA72-IB72</f>
        <v>1100000000</v>
      </c>
      <c r="IE72" s="383">
        <f>SUM(IE4:IE71)</f>
        <v>15657255600</v>
      </c>
      <c r="IF72" s="383">
        <f>SUM(IF4:IF71)</f>
        <v>5568750000</v>
      </c>
      <c r="IG72" s="383">
        <f>IE72-IF72</f>
        <v>10088505600</v>
      </c>
      <c r="II72" s="383">
        <f>SUM(II4:II71)</f>
        <v>110000000</v>
      </c>
      <c r="IJ72" s="383">
        <f>SUM(IJ4:IJ71)</f>
        <v>21600000</v>
      </c>
      <c r="IK72" s="383">
        <f>II72-IJ72</f>
        <v>88400000</v>
      </c>
    </row>
    <row r="73" spans="1:245" ht="19.5" customHeight="1" x14ac:dyDescent="0.25">
      <c r="DD73" s="386"/>
      <c r="DE73" s="386"/>
      <c r="DS73" s="386"/>
      <c r="EU73" s="408"/>
      <c r="EV73" s="386"/>
    </row>
    <row r="74" spans="1:245" ht="19.5" customHeight="1" x14ac:dyDescent="0.25">
      <c r="DD74" s="386"/>
      <c r="DE74" s="386"/>
      <c r="DS74" s="386"/>
      <c r="ER74" s="408"/>
      <c r="EU74" s="408"/>
      <c r="EV74" s="386"/>
    </row>
    <row r="75" spans="1:245" ht="19.5" customHeight="1" x14ac:dyDescent="0.25">
      <c r="DD75" s="386"/>
      <c r="DE75" s="386"/>
      <c r="DS75" s="386"/>
      <c r="ER75" s="408"/>
      <c r="EU75" s="408"/>
      <c r="EV75" s="386"/>
    </row>
  </sheetData>
  <mergeCells count="40">
    <mergeCell ref="HW2:HY2"/>
    <mergeCell ref="IA2:IC2"/>
    <mergeCell ref="IE2:IG2"/>
    <mergeCell ref="II2:IK2"/>
    <mergeCell ref="GU2:GW2"/>
    <mergeCell ref="GY2:HA2"/>
    <mergeCell ref="HG2:HI2"/>
    <mergeCell ref="HK2:HM2"/>
    <mergeCell ref="HO2:HQ2"/>
    <mergeCell ref="HS2:HU2"/>
    <mergeCell ref="FW2:FY2"/>
    <mergeCell ref="GA2:GC2"/>
    <mergeCell ref="GE2:GG2"/>
    <mergeCell ref="GI2:GK2"/>
    <mergeCell ref="GM2:GO2"/>
    <mergeCell ref="GQ2:GS2"/>
    <mergeCell ref="EZ2:FB2"/>
    <mergeCell ref="FD2:FF2"/>
    <mergeCell ref="FH2:FJ2"/>
    <mergeCell ref="FK2:FM2"/>
    <mergeCell ref="FO2:FQ2"/>
    <mergeCell ref="FS2:FU2"/>
    <mergeCell ref="EB2:ED2"/>
    <mergeCell ref="EF2:EH2"/>
    <mergeCell ref="EJ2:EL2"/>
    <mergeCell ref="EN2:EP2"/>
    <mergeCell ref="ER2:ET2"/>
    <mergeCell ref="EV2:EX2"/>
    <mergeCell ref="L2:N2"/>
    <mergeCell ref="T2:V2"/>
    <mergeCell ref="AF2:AH2"/>
    <mergeCell ref="AJ2:AL2"/>
    <mergeCell ref="CJ2:CL2"/>
    <mergeCell ref="DX2:DZ2"/>
    <mergeCell ref="L1:N1"/>
    <mergeCell ref="T1:V1"/>
    <mergeCell ref="AF1:AH1"/>
    <mergeCell ref="CJ1:CL1"/>
    <mergeCell ref="DD1:DF1"/>
    <mergeCell ref="DP1:DR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04"/>
  <sheetViews>
    <sheetView topLeftCell="A7" workbookViewId="0">
      <selection activeCell="F33" sqref="F33"/>
    </sheetView>
  </sheetViews>
  <sheetFormatPr defaultColWidth="8.85546875" defaultRowHeight="15.75" x14ac:dyDescent="0.25"/>
  <cols>
    <col min="1" max="1" width="6.7109375" style="452" customWidth="1"/>
    <col min="2" max="2" width="51.140625" style="649" customWidth="1"/>
    <col min="3" max="3" width="20.85546875" style="452" customWidth="1"/>
    <col min="4" max="4" width="2.7109375" style="452" customWidth="1"/>
    <col min="5" max="5" width="24.85546875" style="452" customWidth="1"/>
    <col min="6" max="6" width="21" style="452" customWidth="1"/>
    <col min="7" max="16384" width="8.85546875" style="452"/>
  </cols>
  <sheetData>
    <row r="1" spans="1:6" x14ac:dyDescent="0.25">
      <c r="A1" s="537" t="s">
        <v>723</v>
      </c>
      <c r="B1" s="537"/>
      <c r="C1" s="537"/>
      <c r="D1" s="537"/>
      <c r="E1" s="537"/>
      <c r="F1" s="522"/>
    </row>
    <row r="2" spans="1:6" x14ac:dyDescent="0.25">
      <c r="A2" s="282"/>
      <c r="B2" s="282"/>
      <c r="C2" s="282"/>
      <c r="D2" s="282"/>
      <c r="E2" s="282"/>
      <c r="F2" s="522"/>
    </row>
    <row r="3" spans="1:6" x14ac:dyDescent="0.25">
      <c r="A3" s="282"/>
      <c r="B3" s="282"/>
      <c r="C3" s="282"/>
      <c r="D3" s="282"/>
      <c r="E3" s="282"/>
      <c r="F3" s="522"/>
    </row>
    <row r="4" spans="1:6" x14ac:dyDescent="0.25">
      <c r="A4" s="522"/>
      <c r="B4" s="655" t="s">
        <v>703</v>
      </c>
      <c r="C4" s="282" t="s">
        <v>2</v>
      </c>
      <c r="D4" s="282"/>
      <c r="E4" s="670" t="s">
        <v>722</v>
      </c>
      <c r="F4" s="522" t="s">
        <v>270</v>
      </c>
    </row>
    <row r="5" spans="1:6" x14ac:dyDescent="0.25">
      <c r="B5" s="651"/>
      <c r="C5" s="656" t="s">
        <v>471</v>
      </c>
      <c r="D5" s="656"/>
      <c r="E5" s="672"/>
      <c r="F5" s="522"/>
    </row>
    <row r="6" spans="1:6" x14ac:dyDescent="0.25">
      <c r="A6" s="522">
        <v>1</v>
      </c>
      <c r="B6" s="650" t="s">
        <v>336</v>
      </c>
      <c r="C6" s="543">
        <v>1100000000</v>
      </c>
      <c r="D6" s="543"/>
      <c r="E6" s="664">
        <v>1100000000</v>
      </c>
      <c r="F6" s="544">
        <f>C6-E6</f>
        <v>0</v>
      </c>
    </row>
    <row r="7" spans="1:6" x14ac:dyDescent="0.25">
      <c r="A7" s="522">
        <v>2</v>
      </c>
      <c r="B7" s="650" t="s">
        <v>325</v>
      </c>
      <c r="C7" s="543">
        <v>1100000000</v>
      </c>
      <c r="D7" s="543"/>
      <c r="E7" s="664">
        <v>1100000000.002857</v>
      </c>
      <c r="F7" s="544">
        <f t="shared" ref="F7:F32" si="0">C7-E7</f>
        <v>-2.8569698333740234E-3</v>
      </c>
    </row>
    <row r="8" spans="1:6" x14ac:dyDescent="0.25">
      <c r="A8" s="522">
        <v>3</v>
      </c>
      <c r="B8" s="650" t="s">
        <v>332</v>
      </c>
      <c r="C8" s="543">
        <v>1100000000</v>
      </c>
      <c r="D8" s="543"/>
      <c r="E8" s="664">
        <v>943723443.2700001</v>
      </c>
      <c r="F8" s="544">
        <f t="shared" si="0"/>
        <v>156276556.7299999</v>
      </c>
    </row>
    <row r="9" spans="1:6" x14ac:dyDescent="0.25">
      <c r="A9" s="522">
        <v>4</v>
      </c>
      <c r="B9" s="650" t="s">
        <v>704</v>
      </c>
      <c r="C9" s="543">
        <v>1000000000</v>
      </c>
      <c r="D9" s="543"/>
      <c r="E9" s="664">
        <v>1000000000</v>
      </c>
      <c r="F9" s="544">
        <f t="shared" si="0"/>
        <v>0</v>
      </c>
    </row>
    <row r="10" spans="1:6" x14ac:dyDescent="0.25">
      <c r="A10" s="522">
        <v>5</v>
      </c>
      <c r="B10" s="650" t="s">
        <v>705</v>
      </c>
      <c r="C10" s="543">
        <v>1000000000</v>
      </c>
      <c r="D10" s="543"/>
      <c r="E10" s="664">
        <v>999999999.99000001</v>
      </c>
      <c r="F10" s="544">
        <f t="shared" si="0"/>
        <v>9.9999904632568359E-3</v>
      </c>
    </row>
    <row r="11" spans="1:6" x14ac:dyDescent="0.25">
      <c r="A11" s="522">
        <v>6</v>
      </c>
      <c r="B11" s="650" t="s">
        <v>706</v>
      </c>
      <c r="C11" s="543">
        <v>1000000000</v>
      </c>
      <c r="D11" s="543"/>
      <c r="E11" s="664">
        <v>1000000000.35</v>
      </c>
      <c r="F11" s="544">
        <f t="shared" si="0"/>
        <v>-0.35000002384185791</v>
      </c>
    </row>
    <row r="12" spans="1:6" x14ac:dyDescent="0.25">
      <c r="A12" s="522">
        <v>7</v>
      </c>
      <c r="B12" s="650" t="s">
        <v>707</v>
      </c>
      <c r="C12" s="543">
        <v>1000000000</v>
      </c>
      <c r="D12" s="543"/>
      <c r="E12" s="664">
        <v>1240019999.8599999</v>
      </c>
      <c r="F12" s="544">
        <f t="shared" si="0"/>
        <v>-240019999.8599999</v>
      </c>
    </row>
    <row r="13" spans="1:6" x14ac:dyDescent="0.25">
      <c r="A13" s="522">
        <v>8</v>
      </c>
      <c r="B13" s="515" t="s">
        <v>708</v>
      </c>
      <c r="C13" s="543">
        <v>1000000000</v>
      </c>
      <c r="D13" s="664"/>
      <c r="E13" s="664">
        <v>1000000000</v>
      </c>
      <c r="F13" s="544">
        <f t="shared" si="0"/>
        <v>0</v>
      </c>
    </row>
    <row r="14" spans="1:6" x14ac:dyDescent="0.25">
      <c r="A14" s="522">
        <v>9</v>
      </c>
      <c r="B14" s="650" t="s">
        <v>709</v>
      </c>
      <c r="C14" s="544">
        <v>1000000000</v>
      </c>
      <c r="D14" s="548"/>
      <c r="E14" s="673">
        <v>0</v>
      </c>
      <c r="F14" s="544">
        <f t="shared" si="0"/>
        <v>1000000000</v>
      </c>
    </row>
    <row r="15" spans="1:6" x14ac:dyDescent="0.25">
      <c r="A15" s="522">
        <v>10</v>
      </c>
      <c r="B15" s="650" t="s">
        <v>710</v>
      </c>
      <c r="C15" s="544">
        <v>1000000000</v>
      </c>
      <c r="D15" s="548"/>
      <c r="E15" s="673">
        <v>936126376.35000002</v>
      </c>
      <c r="F15" s="544">
        <f t="shared" si="0"/>
        <v>63873623.649999976</v>
      </c>
    </row>
    <row r="16" spans="1:6" x14ac:dyDescent="0.25">
      <c r="A16" s="662">
        <v>11</v>
      </c>
      <c r="B16" s="651" t="s">
        <v>711</v>
      </c>
      <c r="C16" s="658">
        <v>1000000000</v>
      </c>
      <c r="D16" s="548"/>
      <c r="E16" s="673">
        <v>1000000000</v>
      </c>
      <c r="F16" s="544">
        <f t="shared" si="0"/>
        <v>0</v>
      </c>
    </row>
    <row r="17" spans="1:6" x14ac:dyDescent="0.25">
      <c r="A17" s="522">
        <v>12</v>
      </c>
      <c r="B17" s="650" t="s">
        <v>712</v>
      </c>
      <c r="C17" s="544">
        <v>1000000000</v>
      </c>
      <c r="D17" s="544"/>
      <c r="E17" s="673">
        <v>850000000</v>
      </c>
      <c r="F17" s="544">
        <f t="shared" si="0"/>
        <v>150000000</v>
      </c>
    </row>
    <row r="18" spans="1:6" x14ac:dyDescent="0.25">
      <c r="A18" s="522">
        <v>13</v>
      </c>
      <c r="B18" s="650" t="s">
        <v>713</v>
      </c>
      <c r="C18" s="544">
        <v>1000000000</v>
      </c>
      <c r="D18" s="544"/>
      <c r="E18" s="673">
        <v>1000000000</v>
      </c>
      <c r="F18" s="544">
        <f t="shared" si="0"/>
        <v>0</v>
      </c>
    </row>
    <row r="19" spans="1:6" x14ac:dyDescent="0.25">
      <c r="A19" s="522">
        <v>14</v>
      </c>
      <c r="B19" s="650" t="s">
        <v>366</v>
      </c>
      <c r="C19" s="544">
        <v>1000000000</v>
      </c>
      <c r="D19" s="544"/>
      <c r="E19" s="673">
        <v>850000000</v>
      </c>
      <c r="F19" s="544">
        <f t="shared" si="0"/>
        <v>150000000</v>
      </c>
    </row>
    <row r="20" spans="1:6" x14ac:dyDescent="0.25">
      <c r="A20" s="522">
        <v>15</v>
      </c>
      <c r="B20" s="650" t="s">
        <v>714</v>
      </c>
      <c r="C20" s="544">
        <v>1000000000</v>
      </c>
      <c r="D20" s="544"/>
      <c r="E20" s="673">
        <v>1000000000</v>
      </c>
      <c r="F20" s="544">
        <f t="shared" si="0"/>
        <v>0</v>
      </c>
    </row>
    <row r="21" spans="1:6" x14ac:dyDescent="0.25">
      <c r="A21" s="522">
        <v>16</v>
      </c>
      <c r="B21" s="650" t="s">
        <v>715</v>
      </c>
      <c r="C21" s="544">
        <v>1000000000</v>
      </c>
      <c r="D21" s="544"/>
      <c r="E21" s="673">
        <v>850000000</v>
      </c>
      <c r="F21" s="544">
        <f t="shared" si="0"/>
        <v>150000000</v>
      </c>
    </row>
    <row r="22" spans="1:6" x14ac:dyDescent="0.25">
      <c r="A22" s="522">
        <v>17</v>
      </c>
      <c r="B22" s="652" t="s">
        <v>716</v>
      </c>
      <c r="C22" s="544">
        <v>1000000000</v>
      </c>
      <c r="D22" s="544"/>
      <c r="E22" s="673">
        <v>610000000</v>
      </c>
      <c r="F22" s="544">
        <f t="shared" si="0"/>
        <v>390000000</v>
      </c>
    </row>
    <row r="23" spans="1:6" x14ac:dyDescent="0.25">
      <c r="A23" s="522">
        <v>18</v>
      </c>
      <c r="B23" s="652" t="s">
        <v>327</v>
      </c>
      <c r="C23" s="544">
        <v>1000000000</v>
      </c>
      <c r="D23" s="544"/>
      <c r="E23" s="673">
        <v>570000000</v>
      </c>
      <c r="F23" s="544">
        <f t="shared" si="0"/>
        <v>430000000</v>
      </c>
    </row>
    <row r="24" spans="1:6" x14ac:dyDescent="0.25">
      <c r="A24" s="522">
        <v>19</v>
      </c>
      <c r="B24" s="652" t="s">
        <v>339</v>
      </c>
      <c r="C24" s="544">
        <v>1000000000</v>
      </c>
      <c r="D24" s="544"/>
      <c r="E24" s="673">
        <v>570000000</v>
      </c>
      <c r="F24" s="544">
        <f t="shared" si="0"/>
        <v>430000000</v>
      </c>
    </row>
    <row r="25" spans="1:6" x14ac:dyDescent="0.25">
      <c r="A25" s="522">
        <v>20</v>
      </c>
      <c r="B25" s="652" t="s">
        <v>717</v>
      </c>
      <c r="C25" s="544">
        <v>1000000000</v>
      </c>
      <c r="D25" s="544"/>
      <c r="E25" s="673">
        <v>530000000</v>
      </c>
      <c r="F25" s="544">
        <f t="shared" si="0"/>
        <v>470000000</v>
      </c>
    </row>
    <row r="26" spans="1:6" x14ac:dyDescent="0.25">
      <c r="A26" s="522">
        <v>21</v>
      </c>
      <c r="B26" s="652" t="s">
        <v>718</v>
      </c>
      <c r="C26" s="544">
        <v>1000000000</v>
      </c>
      <c r="D26" s="544"/>
      <c r="E26" s="673">
        <v>1000000000</v>
      </c>
      <c r="F26" s="544">
        <f t="shared" si="0"/>
        <v>0</v>
      </c>
    </row>
    <row r="27" spans="1:6" x14ac:dyDescent="0.25">
      <c r="A27" s="522">
        <v>22</v>
      </c>
      <c r="B27" s="652" t="s">
        <v>323</v>
      </c>
      <c r="C27" s="544">
        <v>1000000000</v>
      </c>
      <c r="D27" s="544"/>
      <c r="E27" s="673">
        <v>620000000</v>
      </c>
      <c r="F27" s="544">
        <f t="shared" si="0"/>
        <v>380000000</v>
      </c>
    </row>
    <row r="28" spans="1:6" ht="31.5" x14ac:dyDescent="0.25">
      <c r="A28" s="522">
        <v>23</v>
      </c>
      <c r="B28" s="665" t="s">
        <v>719</v>
      </c>
      <c r="C28" s="544">
        <v>1000000000</v>
      </c>
      <c r="D28" s="544"/>
      <c r="E28" s="673">
        <v>0</v>
      </c>
      <c r="F28" s="544">
        <f t="shared" si="0"/>
        <v>1000000000</v>
      </c>
    </row>
    <row r="29" spans="1:6" x14ac:dyDescent="0.25">
      <c r="A29" s="522">
        <v>24</v>
      </c>
      <c r="B29" s="652" t="s">
        <v>720</v>
      </c>
      <c r="C29" s="544">
        <v>1000000000</v>
      </c>
      <c r="D29" s="544"/>
      <c r="E29" s="673">
        <v>550000000</v>
      </c>
      <c r="F29" s="544">
        <f t="shared" si="0"/>
        <v>450000000</v>
      </c>
    </row>
    <row r="30" spans="1:6" ht="31.5" x14ac:dyDescent="0.25">
      <c r="A30" s="522">
        <v>25</v>
      </c>
      <c r="B30" s="379" t="s">
        <v>721</v>
      </c>
      <c r="C30" s="544">
        <v>1000000000</v>
      </c>
      <c r="D30" s="544"/>
      <c r="E30" s="673">
        <v>530000000</v>
      </c>
      <c r="F30" s="544">
        <f t="shared" si="0"/>
        <v>470000000</v>
      </c>
    </row>
    <row r="31" spans="1:6" x14ac:dyDescent="0.25">
      <c r="A31" s="522"/>
      <c r="B31" s="379"/>
      <c r="C31" s="544"/>
      <c r="D31" s="544"/>
      <c r="E31" s="673"/>
      <c r="F31" s="544"/>
    </row>
    <row r="32" spans="1:6" x14ac:dyDescent="0.25">
      <c r="A32" s="522"/>
      <c r="B32" s="522" t="s">
        <v>532</v>
      </c>
      <c r="C32" s="544">
        <f>SUM(C6:C30)</f>
        <v>25300000000</v>
      </c>
      <c r="D32" s="544"/>
      <c r="E32" s="673">
        <f>SUM(E6:E31)</f>
        <v>19849869819.822857</v>
      </c>
      <c r="F32" s="544">
        <f>C32-E32</f>
        <v>5450130180.1771431</v>
      </c>
    </row>
    <row r="33" spans="1:6" x14ac:dyDescent="0.25">
      <c r="A33" s="666"/>
      <c r="B33" s="522"/>
      <c r="C33" s="544"/>
      <c r="D33" s="544"/>
      <c r="E33" s="673"/>
      <c r="F33" s="522"/>
    </row>
    <row r="34" spans="1:6" x14ac:dyDescent="0.25">
      <c r="A34" s="648"/>
      <c r="B34" s="653"/>
      <c r="C34" s="548"/>
      <c r="D34" s="548"/>
      <c r="E34" s="548"/>
    </row>
    <row r="35" spans="1:6" s="215" customFormat="1" x14ac:dyDescent="0.25">
      <c r="A35" s="667"/>
    </row>
    <row r="36" spans="1:6" s="215" customFormat="1" x14ac:dyDescent="0.25">
      <c r="A36" s="667"/>
    </row>
    <row r="37" spans="1:6" s="215" customFormat="1" x14ac:dyDescent="0.25">
      <c r="A37" s="667"/>
    </row>
    <row r="38" spans="1:6" s="215" customFormat="1" x14ac:dyDescent="0.25">
      <c r="A38" s="667"/>
    </row>
    <row r="39" spans="1:6" s="215" customFormat="1" x14ac:dyDescent="0.25">
      <c r="A39" s="667"/>
    </row>
    <row r="40" spans="1:6" s="215" customFormat="1" x14ac:dyDescent="0.25">
      <c r="A40" s="667"/>
    </row>
    <row r="41" spans="1:6" s="215" customFormat="1" x14ac:dyDescent="0.25">
      <c r="A41" s="667"/>
    </row>
    <row r="42" spans="1:6" s="215" customFormat="1" x14ac:dyDescent="0.25">
      <c r="A42" s="667"/>
    </row>
    <row r="43" spans="1:6" s="215" customFormat="1" x14ac:dyDescent="0.25">
      <c r="A43" s="667"/>
    </row>
    <row r="44" spans="1:6" s="215" customFormat="1" x14ac:dyDescent="0.25">
      <c r="A44" s="667"/>
    </row>
    <row r="45" spans="1:6" s="215" customFormat="1" x14ac:dyDescent="0.25">
      <c r="A45" s="667"/>
    </row>
    <row r="46" spans="1:6" s="215" customFormat="1" x14ac:dyDescent="0.25">
      <c r="A46" s="667"/>
    </row>
    <row r="47" spans="1:6" s="215" customFormat="1" x14ac:dyDescent="0.25">
      <c r="A47" s="667"/>
    </row>
    <row r="48" spans="1:6" s="215" customFormat="1" x14ac:dyDescent="0.25">
      <c r="A48" s="667"/>
    </row>
    <row r="49" spans="1:1" s="215" customFormat="1" x14ac:dyDescent="0.25">
      <c r="A49" s="667"/>
    </row>
    <row r="50" spans="1:1" s="215" customFormat="1" x14ac:dyDescent="0.25">
      <c r="A50" s="667"/>
    </row>
    <row r="51" spans="1:1" s="215" customFormat="1" x14ac:dyDescent="0.25">
      <c r="A51" s="668"/>
    </row>
    <row r="52" spans="1:1" s="215" customFormat="1" x14ac:dyDescent="0.25">
      <c r="A52" s="668"/>
    </row>
    <row r="53" spans="1:1" s="215" customFormat="1" x14ac:dyDescent="0.25">
      <c r="A53" s="668"/>
    </row>
    <row r="54" spans="1:1" s="215" customFormat="1" x14ac:dyDescent="0.25">
      <c r="A54" s="668"/>
    </row>
    <row r="55" spans="1:1" s="215" customFormat="1" x14ac:dyDescent="0.25">
      <c r="A55" s="668"/>
    </row>
    <row r="56" spans="1:1" s="215" customFormat="1" x14ac:dyDescent="0.25">
      <c r="A56" s="668"/>
    </row>
    <row r="57" spans="1:1" s="215" customFormat="1" x14ac:dyDescent="0.25">
      <c r="A57" s="668"/>
    </row>
    <row r="58" spans="1:1" s="215" customFormat="1" x14ac:dyDescent="0.25">
      <c r="A58" s="668"/>
    </row>
    <row r="59" spans="1:1" s="215" customFormat="1" x14ac:dyDescent="0.25">
      <c r="A59" s="668"/>
    </row>
    <row r="60" spans="1:1" s="215" customFormat="1" x14ac:dyDescent="0.25">
      <c r="A60" s="668"/>
    </row>
    <row r="61" spans="1:1" s="215" customFormat="1" x14ac:dyDescent="0.25">
      <c r="A61" s="668"/>
    </row>
    <row r="62" spans="1:1" s="215" customFormat="1" x14ac:dyDescent="0.25">
      <c r="A62" s="668"/>
    </row>
    <row r="63" spans="1:1" s="215" customFormat="1" x14ac:dyDescent="0.25">
      <c r="A63" s="668"/>
    </row>
    <row r="64" spans="1:1" s="215" customFormat="1" x14ac:dyDescent="0.25">
      <c r="A64" s="668"/>
    </row>
    <row r="65" spans="1:1" s="215" customFormat="1" x14ac:dyDescent="0.25">
      <c r="A65" s="668"/>
    </row>
    <row r="66" spans="1:1" s="215" customFormat="1" x14ac:dyDescent="0.25">
      <c r="A66" s="668"/>
    </row>
    <row r="67" spans="1:1" s="215" customFormat="1" x14ac:dyDescent="0.25">
      <c r="A67" s="668"/>
    </row>
    <row r="68" spans="1:1" s="215" customFormat="1" x14ac:dyDescent="0.25">
      <c r="A68" s="668"/>
    </row>
    <row r="69" spans="1:1" s="215" customFormat="1" x14ac:dyDescent="0.25">
      <c r="A69" s="668"/>
    </row>
    <row r="70" spans="1:1" s="215" customFormat="1" x14ac:dyDescent="0.25">
      <c r="A70" s="668"/>
    </row>
    <row r="71" spans="1:1" s="215" customFormat="1" x14ac:dyDescent="0.25">
      <c r="A71" s="668"/>
    </row>
    <row r="72" spans="1:1" s="215" customFormat="1" x14ac:dyDescent="0.25">
      <c r="A72" s="668"/>
    </row>
    <row r="73" spans="1:1" s="215" customFormat="1" x14ac:dyDescent="0.25">
      <c r="A73" s="668"/>
    </row>
    <row r="74" spans="1:1" s="215" customFormat="1" x14ac:dyDescent="0.25">
      <c r="A74" s="668"/>
    </row>
    <row r="75" spans="1:1" s="215" customFormat="1" x14ac:dyDescent="0.25">
      <c r="A75" s="668"/>
    </row>
    <row r="76" spans="1:1" s="215" customFormat="1" x14ac:dyDescent="0.25">
      <c r="A76" s="668"/>
    </row>
    <row r="77" spans="1:1" s="215" customFormat="1" x14ac:dyDescent="0.25">
      <c r="A77" s="668"/>
    </row>
    <row r="78" spans="1:1" s="215" customFormat="1" x14ac:dyDescent="0.25">
      <c r="A78" s="668"/>
    </row>
    <row r="79" spans="1:1" s="215" customFormat="1" x14ac:dyDescent="0.25">
      <c r="A79" s="668"/>
    </row>
    <row r="80" spans="1:1" s="215" customFormat="1" x14ac:dyDescent="0.25">
      <c r="A80" s="668"/>
    </row>
    <row r="81" spans="1:1" s="215" customFormat="1" x14ac:dyDescent="0.25">
      <c r="A81" s="668"/>
    </row>
    <row r="82" spans="1:1" s="215" customFormat="1" x14ac:dyDescent="0.25">
      <c r="A82" s="668"/>
    </row>
    <row r="83" spans="1:1" s="215" customFormat="1" x14ac:dyDescent="0.25">
      <c r="A83" s="668"/>
    </row>
    <row r="84" spans="1:1" s="215" customFormat="1" x14ac:dyDescent="0.25">
      <c r="A84" s="668"/>
    </row>
    <row r="85" spans="1:1" s="215" customFormat="1" x14ac:dyDescent="0.25">
      <c r="A85" s="668"/>
    </row>
    <row r="86" spans="1:1" s="215" customFormat="1" x14ac:dyDescent="0.25">
      <c r="A86" s="668"/>
    </row>
    <row r="87" spans="1:1" s="215" customFormat="1" x14ac:dyDescent="0.25">
      <c r="A87" s="668"/>
    </row>
    <row r="88" spans="1:1" s="215" customFormat="1" x14ac:dyDescent="0.25">
      <c r="A88" s="668"/>
    </row>
    <row r="89" spans="1:1" s="215" customFormat="1" x14ac:dyDescent="0.25">
      <c r="A89" s="668"/>
    </row>
    <row r="90" spans="1:1" s="215" customFormat="1" x14ac:dyDescent="0.25">
      <c r="A90" s="668"/>
    </row>
    <row r="91" spans="1:1" s="215" customFormat="1" x14ac:dyDescent="0.25">
      <c r="A91" s="668"/>
    </row>
    <row r="92" spans="1:1" s="215" customFormat="1" x14ac:dyDescent="0.25">
      <c r="A92" s="668"/>
    </row>
    <row r="93" spans="1:1" s="215" customFormat="1" x14ac:dyDescent="0.25">
      <c r="A93" s="668"/>
    </row>
    <row r="94" spans="1:1" s="215" customFormat="1" x14ac:dyDescent="0.25">
      <c r="A94" s="668"/>
    </row>
    <row r="95" spans="1:1" s="215" customFormat="1" x14ac:dyDescent="0.25">
      <c r="A95" s="668"/>
    </row>
    <row r="96" spans="1:1" s="215" customFormat="1" x14ac:dyDescent="0.25">
      <c r="A96" s="668"/>
    </row>
    <row r="97" spans="1:1" s="215" customFormat="1" x14ac:dyDescent="0.25">
      <c r="A97" s="668"/>
    </row>
    <row r="98" spans="1:1" s="215" customFormat="1" x14ac:dyDescent="0.25">
      <c r="A98" s="668"/>
    </row>
    <row r="99" spans="1:1" s="215" customFormat="1" x14ac:dyDescent="0.25">
      <c r="A99" s="668"/>
    </row>
    <row r="100" spans="1:1" s="215" customFormat="1" x14ac:dyDescent="0.25">
      <c r="A100" s="668"/>
    </row>
    <row r="101" spans="1:1" s="215" customFormat="1" x14ac:dyDescent="0.25">
      <c r="A101" s="668"/>
    </row>
    <row r="102" spans="1:1" s="215" customFormat="1" x14ac:dyDescent="0.25">
      <c r="A102" s="668"/>
    </row>
    <row r="103" spans="1:1" s="215" customFormat="1" x14ac:dyDescent="0.25">
      <c r="A103" s="668"/>
    </row>
    <row r="104" spans="1:1" s="215" customFormat="1" x14ac:dyDescent="0.25">
      <c r="A104" s="668"/>
    </row>
    <row r="105" spans="1:1" s="215" customFormat="1" x14ac:dyDescent="0.25">
      <c r="A105" s="668"/>
    </row>
    <row r="106" spans="1:1" s="215" customFormat="1" x14ac:dyDescent="0.25">
      <c r="A106" s="668"/>
    </row>
    <row r="107" spans="1:1" s="215" customFormat="1" x14ac:dyDescent="0.25">
      <c r="A107" s="668"/>
    </row>
    <row r="108" spans="1:1" s="215" customFormat="1" x14ac:dyDescent="0.25">
      <c r="A108" s="668"/>
    </row>
    <row r="109" spans="1:1" s="215" customFormat="1" x14ac:dyDescent="0.25">
      <c r="A109" s="668"/>
    </row>
    <row r="110" spans="1:1" s="215" customFormat="1" x14ac:dyDescent="0.25">
      <c r="A110" s="668"/>
    </row>
    <row r="111" spans="1:1" s="215" customFormat="1" x14ac:dyDescent="0.25">
      <c r="A111" s="668"/>
    </row>
    <row r="112" spans="1:1" s="215" customFormat="1" x14ac:dyDescent="0.25">
      <c r="A112" s="668"/>
    </row>
    <row r="113" spans="1:1" s="215" customFormat="1" x14ac:dyDescent="0.25">
      <c r="A113" s="668"/>
    </row>
    <row r="114" spans="1:1" s="215" customFormat="1" x14ac:dyDescent="0.25">
      <c r="A114" s="668"/>
    </row>
    <row r="115" spans="1:1" s="215" customFormat="1" x14ac:dyDescent="0.25">
      <c r="A115" s="668"/>
    </row>
    <row r="116" spans="1:1" s="215" customFormat="1" x14ac:dyDescent="0.25">
      <c r="A116" s="668"/>
    </row>
    <row r="117" spans="1:1" s="215" customFormat="1" x14ac:dyDescent="0.25">
      <c r="A117" s="668"/>
    </row>
    <row r="118" spans="1:1" s="215" customFormat="1" x14ac:dyDescent="0.25">
      <c r="A118" s="668"/>
    </row>
    <row r="119" spans="1:1" s="215" customFormat="1" x14ac:dyDescent="0.25">
      <c r="A119" s="668"/>
    </row>
    <row r="120" spans="1:1" s="215" customFormat="1" x14ac:dyDescent="0.25">
      <c r="A120" s="668"/>
    </row>
    <row r="121" spans="1:1" s="215" customFormat="1" x14ac:dyDescent="0.25">
      <c r="A121" s="668"/>
    </row>
    <row r="122" spans="1:1" s="215" customFormat="1" x14ac:dyDescent="0.25">
      <c r="A122" s="668"/>
    </row>
    <row r="123" spans="1:1" s="215" customFormat="1" x14ac:dyDescent="0.25">
      <c r="A123" s="668"/>
    </row>
    <row r="124" spans="1:1" s="215" customFormat="1" x14ac:dyDescent="0.25">
      <c r="A124" s="668"/>
    </row>
    <row r="125" spans="1:1" s="215" customFormat="1" x14ac:dyDescent="0.25">
      <c r="A125" s="668"/>
    </row>
    <row r="126" spans="1:1" s="215" customFormat="1" x14ac:dyDescent="0.25">
      <c r="A126" s="668"/>
    </row>
    <row r="127" spans="1:1" s="215" customFormat="1" x14ac:dyDescent="0.25">
      <c r="A127" s="668"/>
    </row>
    <row r="128" spans="1:1" s="215" customFormat="1" x14ac:dyDescent="0.25">
      <c r="A128" s="668"/>
    </row>
    <row r="129" spans="1:1" s="215" customFormat="1" x14ac:dyDescent="0.25">
      <c r="A129" s="668"/>
    </row>
    <row r="130" spans="1:1" s="215" customFormat="1" x14ac:dyDescent="0.25">
      <c r="A130" s="668"/>
    </row>
    <row r="131" spans="1:1" s="215" customFormat="1" x14ac:dyDescent="0.25">
      <c r="A131" s="668"/>
    </row>
    <row r="132" spans="1:1" s="215" customFormat="1" x14ac:dyDescent="0.25">
      <c r="A132" s="668"/>
    </row>
    <row r="133" spans="1:1" s="215" customFormat="1" x14ac:dyDescent="0.25">
      <c r="A133" s="668"/>
    </row>
    <row r="134" spans="1:1" s="215" customFormat="1" x14ac:dyDescent="0.25">
      <c r="A134" s="668"/>
    </row>
    <row r="135" spans="1:1" s="215" customFormat="1" x14ac:dyDescent="0.25">
      <c r="A135" s="668"/>
    </row>
    <row r="136" spans="1:1" s="215" customFormat="1" x14ac:dyDescent="0.25">
      <c r="A136" s="668"/>
    </row>
    <row r="137" spans="1:1" s="215" customFormat="1" x14ac:dyDescent="0.25">
      <c r="A137" s="668"/>
    </row>
    <row r="138" spans="1:1" s="215" customFormat="1" x14ac:dyDescent="0.25">
      <c r="A138" s="668"/>
    </row>
    <row r="139" spans="1:1" s="215" customFormat="1" x14ac:dyDescent="0.25">
      <c r="A139" s="668"/>
    </row>
    <row r="140" spans="1:1" s="215" customFormat="1" x14ac:dyDescent="0.25">
      <c r="A140" s="668"/>
    </row>
    <row r="141" spans="1:1" s="215" customFormat="1" x14ac:dyDescent="0.25">
      <c r="A141" s="668"/>
    </row>
    <row r="142" spans="1:1" s="215" customFormat="1" x14ac:dyDescent="0.25">
      <c r="A142" s="668"/>
    </row>
    <row r="143" spans="1:1" s="215" customFormat="1" x14ac:dyDescent="0.25">
      <c r="A143" s="668"/>
    </row>
    <row r="144" spans="1:1" s="215" customFormat="1" x14ac:dyDescent="0.25">
      <c r="A144" s="668"/>
    </row>
    <row r="145" spans="1:1" s="215" customFormat="1" x14ac:dyDescent="0.25">
      <c r="A145" s="668"/>
    </row>
    <row r="146" spans="1:1" s="215" customFormat="1" x14ac:dyDescent="0.25">
      <c r="A146" s="668"/>
    </row>
    <row r="147" spans="1:1" s="215" customFormat="1" x14ac:dyDescent="0.25">
      <c r="A147" s="668"/>
    </row>
    <row r="148" spans="1:1" s="215" customFormat="1" x14ac:dyDescent="0.25">
      <c r="A148" s="668"/>
    </row>
    <row r="149" spans="1:1" s="215" customFormat="1" x14ac:dyDescent="0.25">
      <c r="A149" s="668"/>
    </row>
    <row r="150" spans="1:1" s="215" customFormat="1" x14ac:dyDescent="0.25">
      <c r="A150" s="668"/>
    </row>
    <row r="151" spans="1:1" s="215" customFormat="1" x14ac:dyDescent="0.25">
      <c r="A151" s="668"/>
    </row>
    <row r="152" spans="1:1" s="215" customFormat="1" x14ac:dyDescent="0.25">
      <c r="A152" s="668"/>
    </row>
    <row r="153" spans="1:1" s="215" customFormat="1" x14ac:dyDescent="0.25">
      <c r="A153" s="668"/>
    </row>
    <row r="154" spans="1:1" s="215" customFormat="1" x14ac:dyDescent="0.25">
      <c r="A154" s="668"/>
    </row>
    <row r="155" spans="1:1" s="215" customFormat="1" x14ac:dyDescent="0.25">
      <c r="A155" s="668"/>
    </row>
    <row r="156" spans="1:1" s="215" customFormat="1" x14ac:dyDescent="0.25">
      <c r="A156" s="668"/>
    </row>
    <row r="157" spans="1:1" s="215" customFormat="1" x14ac:dyDescent="0.25">
      <c r="A157" s="668"/>
    </row>
    <row r="158" spans="1:1" s="215" customFormat="1" x14ac:dyDescent="0.25">
      <c r="A158" s="668"/>
    </row>
    <row r="159" spans="1:1" s="215" customFormat="1" x14ac:dyDescent="0.25">
      <c r="A159" s="668"/>
    </row>
    <row r="160" spans="1:1" s="215" customFormat="1" x14ac:dyDescent="0.25">
      <c r="A160" s="668"/>
    </row>
    <row r="161" spans="1:1" s="215" customFormat="1" x14ac:dyDescent="0.25">
      <c r="A161" s="668"/>
    </row>
    <row r="162" spans="1:1" s="215" customFormat="1" x14ac:dyDescent="0.25">
      <c r="A162" s="668"/>
    </row>
    <row r="163" spans="1:1" s="215" customFormat="1" x14ac:dyDescent="0.25">
      <c r="A163" s="668"/>
    </row>
    <row r="164" spans="1:1" s="215" customFormat="1" x14ac:dyDescent="0.25">
      <c r="A164" s="668"/>
    </row>
    <row r="165" spans="1:1" s="215" customFormat="1" x14ac:dyDescent="0.25">
      <c r="A165" s="668"/>
    </row>
    <row r="166" spans="1:1" s="215" customFormat="1" x14ac:dyDescent="0.25">
      <c r="A166" s="668"/>
    </row>
    <row r="167" spans="1:1" s="215" customFormat="1" x14ac:dyDescent="0.25">
      <c r="A167" s="668"/>
    </row>
    <row r="168" spans="1:1" s="215" customFormat="1" x14ac:dyDescent="0.25">
      <c r="A168" s="668"/>
    </row>
    <row r="169" spans="1:1" s="215" customFormat="1" x14ac:dyDescent="0.25">
      <c r="A169" s="668"/>
    </row>
    <row r="170" spans="1:1" s="215" customFormat="1" x14ac:dyDescent="0.25">
      <c r="A170" s="668"/>
    </row>
    <row r="171" spans="1:1" s="215" customFormat="1" x14ac:dyDescent="0.25">
      <c r="A171" s="668"/>
    </row>
    <row r="172" spans="1:1" s="215" customFormat="1" x14ac:dyDescent="0.25">
      <c r="A172" s="668"/>
    </row>
    <row r="173" spans="1:1" s="215" customFormat="1" x14ac:dyDescent="0.25">
      <c r="A173" s="668"/>
    </row>
    <row r="174" spans="1:1" s="215" customFormat="1" x14ac:dyDescent="0.25">
      <c r="A174" s="668"/>
    </row>
    <row r="175" spans="1:1" s="215" customFormat="1" x14ac:dyDescent="0.25">
      <c r="A175" s="668"/>
    </row>
    <row r="176" spans="1:1" s="215" customFormat="1" x14ac:dyDescent="0.25">
      <c r="A176" s="668"/>
    </row>
    <row r="177" spans="1:1" s="215" customFormat="1" x14ac:dyDescent="0.25">
      <c r="A177" s="668"/>
    </row>
    <row r="178" spans="1:1" s="215" customFormat="1" x14ac:dyDescent="0.25">
      <c r="A178" s="668"/>
    </row>
    <row r="179" spans="1:1" s="215" customFormat="1" x14ac:dyDescent="0.25">
      <c r="A179" s="668"/>
    </row>
    <row r="180" spans="1:1" s="215" customFormat="1" x14ac:dyDescent="0.25">
      <c r="A180" s="668"/>
    </row>
    <row r="181" spans="1:1" s="215" customFormat="1" x14ac:dyDescent="0.25">
      <c r="A181" s="668"/>
    </row>
    <row r="182" spans="1:1" s="215" customFormat="1" x14ac:dyDescent="0.25">
      <c r="A182" s="668"/>
    </row>
    <row r="183" spans="1:1" s="215" customFormat="1" x14ac:dyDescent="0.25">
      <c r="A183" s="668"/>
    </row>
    <row r="184" spans="1:1" s="215" customFormat="1" x14ac:dyDescent="0.25">
      <c r="A184" s="668"/>
    </row>
    <row r="185" spans="1:1" s="215" customFormat="1" x14ac:dyDescent="0.25">
      <c r="A185" s="668"/>
    </row>
    <row r="186" spans="1:1" s="215" customFormat="1" x14ac:dyDescent="0.25">
      <c r="A186" s="668"/>
    </row>
    <row r="187" spans="1:1" s="215" customFormat="1" x14ac:dyDescent="0.25">
      <c r="A187" s="668"/>
    </row>
    <row r="188" spans="1:1" s="215" customFormat="1" x14ac:dyDescent="0.25">
      <c r="A188" s="668"/>
    </row>
    <row r="189" spans="1:1" s="215" customFormat="1" x14ac:dyDescent="0.25">
      <c r="A189" s="668"/>
    </row>
    <row r="190" spans="1:1" s="215" customFormat="1" x14ac:dyDescent="0.25">
      <c r="A190" s="668"/>
    </row>
    <row r="191" spans="1:1" s="215" customFormat="1" x14ac:dyDescent="0.25">
      <c r="A191" s="668"/>
    </row>
    <row r="192" spans="1:1" s="215" customFormat="1" x14ac:dyDescent="0.25">
      <c r="A192" s="668"/>
    </row>
    <row r="193" spans="1:1" s="215" customFormat="1" x14ac:dyDescent="0.25">
      <c r="A193" s="668"/>
    </row>
    <row r="194" spans="1:1" s="215" customFormat="1" x14ac:dyDescent="0.25">
      <c r="A194" s="668"/>
    </row>
    <row r="195" spans="1:1" s="215" customFormat="1" x14ac:dyDescent="0.25">
      <c r="A195" s="668"/>
    </row>
    <row r="196" spans="1:1" s="215" customFormat="1" x14ac:dyDescent="0.25">
      <c r="A196" s="668"/>
    </row>
    <row r="197" spans="1:1" s="215" customFormat="1" x14ac:dyDescent="0.25">
      <c r="A197" s="668"/>
    </row>
    <row r="198" spans="1:1" s="215" customFormat="1" x14ac:dyDescent="0.25">
      <c r="A198" s="668"/>
    </row>
    <row r="199" spans="1:1" s="215" customFormat="1" x14ac:dyDescent="0.25">
      <c r="A199" s="668"/>
    </row>
    <row r="200" spans="1:1" s="215" customFormat="1" x14ac:dyDescent="0.25">
      <c r="A200" s="668"/>
    </row>
    <row r="201" spans="1:1" s="215" customFormat="1" x14ac:dyDescent="0.25">
      <c r="A201" s="668"/>
    </row>
    <row r="202" spans="1:1" s="215" customFormat="1" x14ac:dyDescent="0.25">
      <c r="A202" s="668"/>
    </row>
    <row r="203" spans="1:1" s="215" customFormat="1" x14ac:dyDescent="0.25">
      <c r="A203" s="668"/>
    </row>
    <row r="204" spans="1:1" s="215" customFormat="1" x14ac:dyDescent="0.25">
      <c r="A204" s="668"/>
    </row>
    <row r="205" spans="1:1" s="215" customFormat="1" x14ac:dyDescent="0.25">
      <c r="A205" s="668"/>
    </row>
    <row r="206" spans="1:1" s="215" customFormat="1" x14ac:dyDescent="0.25">
      <c r="A206" s="668"/>
    </row>
    <row r="207" spans="1:1" s="215" customFormat="1" x14ac:dyDescent="0.25">
      <c r="A207" s="668"/>
    </row>
    <row r="208" spans="1:1" s="215" customFormat="1" x14ac:dyDescent="0.25">
      <c r="A208" s="668"/>
    </row>
    <row r="209" spans="1:1" s="215" customFormat="1" x14ac:dyDescent="0.25">
      <c r="A209" s="668"/>
    </row>
    <row r="210" spans="1:1" s="215" customFormat="1" x14ac:dyDescent="0.25">
      <c r="A210" s="668"/>
    </row>
    <row r="211" spans="1:1" s="215" customFormat="1" x14ac:dyDescent="0.25">
      <c r="A211" s="668"/>
    </row>
    <row r="212" spans="1:1" s="215" customFormat="1" x14ac:dyDescent="0.25">
      <c r="A212" s="668"/>
    </row>
    <row r="213" spans="1:1" s="215" customFormat="1" x14ac:dyDescent="0.25">
      <c r="A213" s="668"/>
    </row>
    <row r="214" spans="1:1" s="215" customFormat="1" x14ac:dyDescent="0.25">
      <c r="A214" s="668"/>
    </row>
    <row r="215" spans="1:1" s="215" customFormat="1" x14ac:dyDescent="0.25">
      <c r="A215" s="668"/>
    </row>
    <row r="216" spans="1:1" s="215" customFormat="1" x14ac:dyDescent="0.25">
      <c r="A216" s="668"/>
    </row>
    <row r="217" spans="1:1" s="215" customFormat="1" x14ac:dyDescent="0.25">
      <c r="A217" s="668"/>
    </row>
    <row r="218" spans="1:1" s="215" customFormat="1" x14ac:dyDescent="0.25">
      <c r="A218" s="668"/>
    </row>
    <row r="219" spans="1:1" s="215" customFormat="1" x14ac:dyDescent="0.25">
      <c r="A219" s="668"/>
    </row>
    <row r="220" spans="1:1" s="215" customFormat="1" x14ac:dyDescent="0.25">
      <c r="A220" s="668"/>
    </row>
    <row r="221" spans="1:1" s="215" customFormat="1" x14ac:dyDescent="0.25">
      <c r="A221" s="668"/>
    </row>
    <row r="222" spans="1:1" s="215" customFormat="1" x14ac:dyDescent="0.25">
      <c r="A222" s="668"/>
    </row>
    <row r="223" spans="1:1" s="215" customFormat="1" x14ac:dyDescent="0.25">
      <c r="A223" s="668"/>
    </row>
    <row r="224" spans="1:1" s="215" customFormat="1" x14ac:dyDescent="0.25">
      <c r="A224" s="668"/>
    </row>
    <row r="225" spans="1:1" s="215" customFormat="1" x14ac:dyDescent="0.25">
      <c r="A225" s="668"/>
    </row>
    <row r="226" spans="1:1" s="215" customFormat="1" x14ac:dyDescent="0.25">
      <c r="A226" s="668"/>
    </row>
    <row r="227" spans="1:1" s="215" customFormat="1" x14ac:dyDescent="0.25">
      <c r="A227" s="668"/>
    </row>
    <row r="228" spans="1:1" s="215" customFormat="1" x14ac:dyDescent="0.25">
      <c r="A228" s="668"/>
    </row>
    <row r="229" spans="1:1" s="215" customFormat="1" x14ac:dyDescent="0.25">
      <c r="A229" s="668"/>
    </row>
    <row r="230" spans="1:1" s="215" customFormat="1" x14ac:dyDescent="0.25">
      <c r="A230" s="668"/>
    </row>
    <row r="231" spans="1:1" s="215" customFormat="1" x14ac:dyDescent="0.25">
      <c r="A231" s="668"/>
    </row>
    <row r="232" spans="1:1" s="215" customFormat="1" x14ac:dyDescent="0.25">
      <c r="A232" s="668"/>
    </row>
    <row r="233" spans="1:1" s="215" customFormat="1" x14ac:dyDescent="0.25">
      <c r="A233" s="668"/>
    </row>
    <row r="234" spans="1:1" s="215" customFormat="1" x14ac:dyDescent="0.25">
      <c r="A234" s="668"/>
    </row>
    <row r="235" spans="1:1" s="215" customFormat="1" x14ac:dyDescent="0.25">
      <c r="A235" s="668"/>
    </row>
    <row r="236" spans="1:1" s="215" customFormat="1" x14ac:dyDescent="0.25">
      <c r="A236" s="668"/>
    </row>
    <row r="237" spans="1:1" s="215" customFormat="1" x14ac:dyDescent="0.25">
      <c r="A237" s="668"/>
    </row>
    <row r="238" spans="1:1" s="215" customFormat="1" x14ac:dyDescent="0.25">
      <c r="A238" s="668"/>
    </row>
    <row r="239" spans="1:1" s="215" customFormat="1" x14ac:dyDescent="0.25">
      <c r="A239" s="668"/>
    </row>
    <row r="240" spans="1:1" s="215" customFormat="1" x14ac:dyDescent="0.25">
      <c r="A240" s="668"/>
    </row>
    <row r="241" spans="1:1" s="215" customFormat="1" x14ac:dyDescent="0.25">
      <c r="A241" s="668"/>
    </row>
    <row r="242" spans="1:1" s="215" customFormat="1" x14ac:dyDescent="0.25">
      <c r="A242" s="668"/>
    </row>
    <row r="243" spans="1:1" s="215" customFormat="1" x14ac:dyDescent="0.25">
      <c r="A243" s="668"/>
    </row>
    <row r="244" spans="1:1" s="215" customFormat="1" x14ac:dyDescent="0.25">
      <c r="A244" s="668"/>
    </row>
    <row r="245" spans="1:1" s="215" customFormat="1" x14ac:dyDescent="0.25">
      <c r="A245" s="668"/>
    </row>
    <row r="246" spans="1:1" s="215" customFormat="1" x14ac:dyDescent="0.25">
      <c r="A246" s="668"/>
    </row>
    <row r="247" spans="1:1" s="215" customFormat="1" x14ac:dyDescent="0.25">
      <c r="A247" s="668"/>
    </row>
    <row r="248" spans="1:1" s="215" customFormat="1" x14ac:dyDescent="0.25">
      <c r="A248" s="668"/>
    </row>
    <row r="249" spans="1:1" s="215" customFormat="1" x14ac:dyDescent="0.25">
      <c r="A249" s="668"/>
    </row>
    <row r="250" spans="1:1" s="215" customFormat="1" x14ac:dyDescent="0.25">
      <c r="A250" s="668"/>
    </row>
    <row r="251" spans="1:1" s="215" customFormat="1" x14ac:dyDescent="0.25">
      <c r="A251" s="668"/>
    </row>
    <row r="252" spans="1:1" s="215" customFormat="1" x14ac:dyDescent="0.25">
      <c r="A252" s="668"/>
    </row>
    <row r="253" spans="1:1" s="215" customFormat="1" x14ac:dyDescent="0.25">
      <c r="A253" s="668"/>
    </row>
    <row r="254" spans="1:1" s="215" customFormat="1" x14ac:dyDescent="0.25">
      <c r="A254" s="668"/>
    </row>
    <row r="255" spans="1:1" s="215" customFormat="1" x14ac:dyDescent="0.25">
      <c r="A255" s="668"/>
    </row>
    <row r="256" spans="1:1" s="215" customFormat="1" x14ac:dyDescent="0.25">
      <c r="A256" s="668"/>
    </row>
    <row r="257" spans="1:1" s="215" customFormat="1" x14ac:dyDescent="0.25">
      <c r="A257" s="668"/>
    </row>
    <row r="258" spans="1:1" s="215" customFormat="1" x14ac:dyDescent="0.25">
      <c r="A258" s="668"/>
    </row>
    <row r="259" spans="1:1" s="215" customFormat="1" x14ac:dyDescent="0.25">
      <c r="A259" s="668"/>
    </row>
    <row r="260" spans="1:1" s="215" customFormat="1" x14ac:dyDescent="0.25">
      <c r="A260" s="668"/>
    </row>
    <row r="261" spans="1:1" s="215" customFormat="1" x14ac:dyDescent="0.25">
      <c r="A261" s="668"/>
    </row>
    <row r="262" spans="1:1" s="215" customFormat="1" x14ac:dyDescent="0.25">
      <c r="A262" s="668"/>
    </row>
    <row r="263" spans="1:1" s="215" customFormat="1" x14ac:dyDescent="0.25">
      <c r="A263" s="668"/>
    </row>
    <row r="264" spans="1:1" s="215" customFormat="1" x14ac:dyDescent="0.25">
      <c r="A264" s="668"/>
    </row>
    <row r="265" spans="1:1" s="215" customFormat="1" x14ac:dyDescent="0.25">
      <c r="A265" s="668"/>
    </row>
    <row r="266" spans="1:1" s="215" customFormat="1" x14ac:dyDescent="0.25">
      <c r="A266" s="668"/>
    </row>
    <row r="267" spans="1:1" s="215" customFormat="1" x14ac:dyDescent="0.25">
      <c r="A267" s="668"/>
    </row>
    <row r="268" spans="1:1" s="215" customFormat="1" x14ac:dyDescent="0.25">
      <c r="A268" s="668"/>
    </row>
    <row r="269" spans="1:1" s="215" customFormat="1" x14ac:dyDescent="0.25">
      <c r="A269" s="668"/>
    </row>
    <row r="270" spans="1:1" s="215" customFormat="1" x14ac:dyDescent="0.25">
      <c r="A270" s="668"/>
    </row>
    <row r="271" spans="1:1" s="215" customFormat="1" x14ac:dyDescent="0.25">
      <c r="A271" s="668"/>
    </row>
    <row r="272" spans="1:1" s="215" customFormat="1" x14ac:dyDescent="0.25">
      <c r="A272" s="668"/>
    </row>
    <row r="273" spans="1:1" s="215" customFormat="1" x14ac:dyDescent="0.25">
      <c r="A273" s="668"/>
    </row>
    <row r="274" spans="1:1" s="215" customFormat="1" x14ac:dyDescent="0.25">
      <c r="A274" s="668"/>
    </row>
    <row r="275" spans="1:1" s="215" customFormat="1" x14ac:dyDescent="0.25">
      <c r="A275" s="668"/>
    </row>
    <row r="276" spans="1:1" s="215" customFormat="1" x14ac:dyDescent="0.25">
      <c r="A276" s="668"/>
    </row>
    <row r="277" spans="1:1" s="215" customFormat="1" x14ac:dyDescent="0.25">
      <c r="A277" s="668"/>
    </row>
    <row r="278" spans="1:1" s="215" customFormat="1" x14ac:dyDescent="0.25">
      <c r="A278" s="668"/>
    </row>
    <row r="279" spans="1:1" s="215" customFormat="1" x14ac:dyDescent="0.25">
      <c r="A279" s="668"/>
    </row>
    <row r="280" spans="1:1" s="215" customFormat="1" x14ac:dyDescent="0.25">
      <c r="A280" s="668"/>
    </row>
    <row r="281" spans="1:1" s="215" customFormat="1" x14ac:dyDescent="0.25">
      <c r="A281" s="668"/>
    </row>
    <row r="282" spans="1:1" s="215" customFormat="1" x14ac:dyDescent="0.25">
      <c r="A282" s="668"/>
    </row>
    <row r="283" spans="1:1" s="215" customFormat="1" x14ac:dyDescent="0.25">
      <c r="A283" s="668"/>
    </row>
    <row r="284" spans="1:1" s="215" customFormat="1" x14ac:dyDescent="0.25">
      <c r="A284" s="668"/>
    </row>
    <row r="285" spans="1:1" s="215" customFormat="1" x14ac:dyDescent="0.25">
      <c r="A285" s="668"/>
    </row>
    <row r="286" spans="1:1" s="215" customFormat="1" x14ac:dyDescent="0.25">
      <c r="A286" s="668"/>
    </row>
    <row r="287" spans="1:1" s="215" customFormat="1" x14ac:dyDescent="0.25">
      <c r="A287" s="668"/>
    </row>
    <row r="288" spans="1:1" s="215" customFormat="1" x14ac:dyDescent="0.25">
      <c r="A288" s="668"/>
    </row>
    <row r="289" spans="1:1" s="215" customFormat="1" x14ac:dyDescent="0.25">
      <c r="A289" s="668"/>
    </row>
    <row r="290" spans="1:1" s="215" customFormat="1" x14ac:dyDescent="0.25">
      <c r="A290" s="668"/>
    </row>
    <row r="291" spans="1:1" s="215" customFormat="1" x14ac:dyDescent="0.25">
      <c r="A291" s="668"/>
    </row>
    <row r="292" spans="1:1" s="215" customFormat="1" x14ac:dyDescent="0.25">
      <c r="A292" s="668"/>
    </row>
    <row r="293" spans="1:1" s="215" customFormat="1" x14ac:dyDescent="0.25">
      <c r="A293" s="668"/>
    </row>
    <row r="294" spans="1:1" s="215" customFormat="1" x14ac:dyDescent="0.25">
      <c r="A294" s="668"/>
    </row>
    <row r="295" spans="1:1" s="215" customFormat="1" x14ac:dyDescent="0.25">
      <c r="A295" s="668"/>
    </row>
    <row r="296" spans="1:1" s="215" customFormat="1" x14ac:dyDescent="0.25">
      <c r="A296" s="668"/>
    </row>
    <row r="297" spans="1:1" s="215" customFormat="1" x14ac:dyDescent="0.25">
      <c r="A297" s="668"/>
    </row>
    <row r="298" spans="1:1" s="215" customFormat="1" x14ac:dyDescent="0.25">
      <c r="A298" s="668"/>
    </row>
    <row r="299" spans="1:1" s="215" customFormat="1" x14ac:dyDescent="0.25">
      <c r="A299" s="668"/>
    </row>
    <row r="300" spans="1:1" s="215" customFormat="1" x14ac:dyDescent="0.25">
      <c r="A300" s="668"/>
    </row>
    <row r="301" spans="1:1" s="215" customFormat="1" x14ac:dyDescent="0.25">
      <c r="A301" s="668"/>
    </row>
    <row r="302" spans="1:1" s="215" customFormat="1" x14ac:dyDescent="0.25">
      <c r="A302" s="668"/>
    </row>
    <row r="303" spans="1:1" s="215" customFormat="1" x14ac:dyDescent="0.25">
      <c r="A303" s="668"/>
    </row>
    <row r="304" spans="1:1" s="215" customFormat="1" x14ac:dyDescent="0.25">
      <c r="A304" s="668"/>
    </row>
    <row r="305" spans="1:1" s="215" customFormat="1" x14ac:dyDescent="0.25">
      <c r="A305" s="668"/>
    </row>
    <row r="306" spans="1:1" s="215" customFormat="1" x14ac:dyDescent="0.25">
      <c r="A306" s="668"/>
    </row>
    <row r="307" spans="1:1" s="215" customFormat="1" x14ac:dyDescent="0.25">
      <c r="A307" s="668"/>
    </row>
    <row r="308" spans="1:1" s="215" customFormat="1" x14ac:dyDescent="0.25">
      <c r="A308" s="668"/>
    </row>
    <row r="309" spans="1:1" s="215" customFormat="1" x14ac:dyDescent="0.25">
      <c r="A309" s="668"/>
    </row>
    <row r="310" spans="1:1" s="215" customFormat="1" x14ac:dyDescent="0.25">
      <c r="A310" s="668"/>
    </row>
    <row r="311" spans="1:1" s="215" customFormat="1" x14ac:dyDescent="0.25">
      <c r="A311" s="668"/>
    </row>
    <row r="312" spans="1:1" s="215" customFormat="1" x14ac:dyDescent="0.25">
      <c r="A312" s="668"/>
    </row>
    <row r="313" spans="1:1" s="215" customFormat="1" x14ac:dyDescent="0.25">
      <c r="A313" s="668"/>
    </row>
    <row r="314" spans="1:1" s="215" customFormat="1" x14ac:dyDescent="0.25">
      <c r="A314" s="668"/>
    </row>
    <row r="315" spans="1:1" s="215" customFormat="1" x14ac:dyDescent="0.25">
      <c r="A315" s="668"/>
    </row>
    <row r="316" spans="1:1" s="215" customFormat="1" x14ac:dyDescent="0.25">
      <c r="A316" s="668"/>
    </row>
    <row r="317" spans="1:1" s="215" customFormat="1" x14ac:dyDescent="0.25">
      <c r="A317" s="668"/>
    </row>
    <row r="318" spans="1:1" s="215" customFormat="1" x14ac:dyDescent="0.25">
      <c r="A318" s="668"/>
    </row>
    <row r="319" spans="1:1" s="215" customFormat="1" x14ac:dyDescent="0.25">
      <c r="A319" s="668"/>
    </row>
    <row r="320" spans="1:1" s="215" customFormat="1" x14ac:dyDescent="0.25">
      <c r="A320" s="668"/>
    </row>
    <row r="321" spans="1:1" s="215" customFormat="1" x14ac:dyDescent="0.25">
      <c r="A321" s="668"/>
    </row>
    <row r="322" spans="1:1" s="215" customFormat="1" x14ac:dyDescent="0.25">
      <c r="A322" s="668"/>
    </row>
    <row r="323" spans="1:1" s="215" customFormat="1" x14ac:dyDescent="0.25">
      <c r="A323" s="668"/>
    </row>
    <row r="324" spans="1:1" s="215" customFormat="1" x14ac:dyDescent="0.25">
      <c r="A324" s="668"/>
    </row>
    <row r="325" spans="1:1" s="215" customFormat="1" x14ac:dyDescent="0.25">
      <c r="A325" s="668"/>
    </row>
    <row r="326" spans="1:1" s="215" customFormat="1" x14ac:dyDescent="0.25">
      <c r="A326" s="668"/>
    </row>
    <row r="327" spans="1:1" s="215" customFormat="1" x14ac:dyDescent="0.25">
      <c r="A327" s="668"/>
    </row>
    <row r="328" spans="1:1" s="215" customFormat="1" x14ac:dyDescent="0.25">
      <c r="A328" s="668"/>
    </row>
    <row r="329" spans="1:1" s="215" customFormat="1" x14ac:dyDescent="0.25">
      <c r="A329" s="668"/>
    </row>
    <row r="330" spans="1:1" s="215" customFormat="1" x14ac:dyDescent="0.25">
      <c r="A330" s="668"/>
    </row>
    <row r="331" spans="1:1" s="215" customFormat="1" x14ac:dyDescent="0.25">
      <c r="A331" s="668"/>
    </row>
    <row r="332" spans="1:1" s="215" customFormat="1" x14ac:dyDescent="0.25">
      <c r="A332" s="668"/>
    </row>
    <row r="333" spans="1:1" s="215" customFormat="1" x14ac:dyDescent="0.25">
      <c r="A333" s="668"/>
    </row>
    <row r="334" spans="1:1" s="215" customFormat="1" x14ac:dyDescent="0.25">
      <c r="A334" s="668"/>
    </row>
    <row r="335" spans="1:1" s="215" customFormat="1" x14ac:dyDescent="0.25">
      <c r="A335" s="668"/>
    </row>
    <row r="336" spans="1:1" s="215" customFormat="1" x14ac:dyDescent="0.25">
      <c r="A336" s="668"/>
    </row>
    <row r="337" spans="1:1" s="215" customFormat="1" x14ac:dyDescent="0.25">
      <c r="A337" s="668"/>
    </row>
    <row r="338" spans="1:1" s="215" customFormat="1" x14ac:dyDescent="0.25">
      <c r="A338" s="668"/>
    </row>
    <row r="339" spans="1:1" s="215" customFormat="1" x14ac:dyDescent="0.25">
      <c r="A339" s="668"/>
    </row>
    <row r="340" spans="1:1" s="215" customFormat="1" x14ac:dyDescent="0.25">
      <c r="A340" s="668"/>
    </row>
    <row r="341" spans="1:1" s="215" customFormat="1" x14ac:dyDescent="0.25">
      <c r="A341" s="668"/>
    </row>
    <row r="342" spans="1:1" s="215" customFormat="1" x14ac:dyDescent="0.25">
      <c r="A342" s="668"/>
    </row>
    <row r="343" spans="1:1" s="215" customFormat="1" x14ac:dyDescent="0.25">
      <c r="A343" s="668"/>
    </row>
    <row r="344" spans="1:1" s="215" customFormat="1" x14ac:dyDescent="0.25">
      <c r="A344" s="668"/>
    </row>
    <row r="345" spans="1:1" s="215" customFormat="1" x14ac:dyDescent="0.25">
      <c r="A345" s="668"/>
    </row>
    <row r="346" spans="1:1" s="215" customFormat="1" x14ac:dyDescent="0.25">
      <c r="A346" s="668"/>
    </row>
    <row r="347" spans="1:1" s="215" customFormat="1" x14ac:dyDescent="0.25">
      <c r="A347" s="668"/>
    </row>
    <row r="348" spans="1:1" s="215" customFormat="1" x14ac:dyDescent="0.25">
      <c r="A348" s="668"/>
    </row>
    <row r="349" spans="1:1" s="215" customFormat="1" x14ac:dyDescent="0.25">
      <c r="A349" s="668"/>
    </row>
    <row r="350" spans="1:1" s="215" customFormat="1" x14ac:dyDescent="0.25">
      <c r="A350" s="668"/>
    </row>
    <row r="351" spans="1:1" s="215" customFormat="1" x14ac:dyDescent="0.25">
      <c r="A351" s="668"/>
    </row>
    <row r="352" spans="1:1" s="215" customFormat="1" x14ac:dyDescent="0.25">
      <c r="A352" s="668"/>
    </row>
    <row r="353" spans="1:1" s="215" customFormat="1" x14ac:dyDescent="0.25">
      <c r="A353" s="668"/>
    </row>
    <row r="354" spans="1:1" s="215" customFormat="1" x14ac:dyDescent="0.25">
      <c r="A354" s="668"/>
    </row>
    <row r="355" spans="1:1" s="215" customFormat="1" x14ac:dyDescent="0.25">
      <c r="A355" s="668"/>
    </row>
    <row r="356" spans="1:1" s="215" customFormat="1" x14ac:dyDescent="0.25">
      <c r="A356" s="668"/>
    </row>
    <row r="357" spans="1:1" s="215" customFormat="1" x14ac:dyDescent="0.25">
      <c r="A357" s="668"/>
    </row>
    <row r="358" spans="1:1" s="215" customFormat="1" x14ac:dyDescent="0.25">
      <c r="A358" s="668"/>
    </row>
    <row r="359" spans="1:1" s="215" customFormat="1" x14ac:dyDescent="0.25">
      <c r="A359" s="668"/>
    </row>
    <row r="360" spans="1:1" s="215" customFormat="1" x14ac:dyDescent="0.25">
      <c r="A360" s="668"/>
    </row>
    <row r="361" spans="1:1" s="215" customFormat="1" x14ac:dyDescent="0.25">
      <c r="A361" s="668"/>
    </row>
    <row r="362" spans="1:1" s="215" customFormat="1" x14ac:dyDescent="0.25">
      <c r="A362" s="668"/>
    </row>
    <row r="363" spans="1:1" s="215" customFormat="1" x14ac:dyDescent="0.25">
      <c r="A363" s="668"/>
    </row>
    <row r="364" spans="1:1" s="215" customFormat="1" x14ac:dyDescent="0.25">
      <c r="A364" s="668"/>
    </row>
    <row r="365" spans="1:1" s="215" customFormat="1" x14ac:dyDescent="0.25">
      <c r="A365" s="668"/>
    </row>
    <row r="366" spans="1:1" s="215" customFormat="1" x14ac:dyDescent="0.25">
      <c r="A366" s="668"/>
    </row>
    <row r="367" spans="1:1" s="215" customFormat="1" x14ac:dyDescent="0.25">
      <c r="A367" s="668"/>
    </row>
    <row r="368" spans="1:1" s="215" customFormat="1" x14ac:dyDescent="0.25">
      <c r="A368" s="668"/>
    </row>
    <row r="369" spans="1:1" s="215" customFormat="1" x14ac:dyDescent="0.25">
      <c r="A369" s="668"/>
    </row>
    <row r="370" spans="1:1" s="215" customFormat="1" x14ac:dyDescent="0.25">
      <c r="A370" s="668"/>
    </row>
    <row r="371" spans="1:1" s="215" customFormat="1" x14ac:dyDescent="0.25">
      <c r="A371" s="668"/>
    </row>
    <row r="372" spans="1:1" s="215" customFormat="1" x14ac:dyDescent="0.25">
      <c r="A372" s="668"/>
    </row>
    <row r="373" spans="1:1" s="215" customFormat="1" x14ac:dyDescent="0.25">
      <c r="A373" s="668"/>
    </row>
    <row r="374" spans="1:1" s="215" customFormat="1" x14ac:dyDescent="0.25">
      <c r="A374" s="668"/>
    </row>
    <row r="375" spans="1:1" s="215" customFormat="1" x14ac:dyDescent="0.25">
      <c r="A375" s="668"/>
    </row>
    <row r="376" spans="1:1" s="215" customFormat="1" x14ac:dyDescent="0.25">
      <c r="A376" s="668"/>
    </row>
    <row r="377" spans="1:1" s="215" customFormat="1" x14ac:dyDescent="0.25">
      <c r="A377" s="668"/>
    </row>
    <row r="378" spans="1:1" s="215" customFormat="1" x14ac:dyDescent="0.25">
      <c r="A378" s="668"/>
    </row>
    <row r="379" spans="1:1" s="215" customFormat="1" x14ac:dyDescent="0.25">
      <c r="A379" s="668"/>
    </row>
    <row r="380" spans="1:1" s="215" customFormat="1" x14ac:dyDescent="0.25">
      <c r="A380" s="668"/>
    </row>
    <row r="381" spans="1:1" s="215" customFormat="1" x14ac:dyDescent="0.25">
      <c r="A381" s="668"/>
    </row>
    <row r="382" spans="1:1" s="215" customFormat="1" x14ac:dyDescent="0.25">
      <c r="A382" s="668"/>
    </row>
    <row r="383" spans="1:1" s="215" customFormat="1" x14ac:dyDescent="0.25">
      <c r="A383" s="668"/>
    </row>
    <row r="384" spans="1:1" s="215" customFormat="1" x14ac:dyDescent="0.25">
      <c r="A384" s="668"/>
    </row>
    <row r="385" spans="1:5" s="215" customFormat="1" x14ac:dyDescent="0.25">
      <c r="A385" s="668"/>
    </row>
    <row r="386" spans="1:5" s="215" customFormat="1" x14ac:dyDescent="0.25">
      <c r="A386" s="668"/>
    </row>
    <row r="387" spans="1:5" s="215" customFormat="1" x14ac:dyDescent="0.25">
      <c r="A387" s="668"/>
    </row>
    <row r="388" spans="1:5" s="215" customFormat="1" x14ac:dyDescent="0.25">
      <c r="A388" s="668"/>
    </row>
    <row r="389" spans="1:5" s="215" customFormat="1" x14ac:dyDescent="0.25">
      <c r="A389" s="668"/>
    </row>
    <row r="390" spans="1:5" s="215" customFormat="1" x14ac:dyDescent="0.25">
      <c r="A390" s="668"/>
    </row>
    <row r="391" spans="1:5" s="215" customFormat="1" x14ac:dyDescent="0.25">
      <c r="A391" s="668"/>
    </row>
    <row r="392" spans="1:5" s="215" customFormat="1" x14ac:dyDescent="0.25">
      <c r="A392" s="668"/>
    </row>
    <row r="393" spans="1:5" s="215" customFormat="1" x14ac:dyDescent="0.25">
      <c r="A393" s="668"/>
    </row>
    <row r="394" spans="1:5" s="215" customFormat="1" x14ac:dyDescent="0.25">
      <c r="A394" s="668"/>
    </row>
    <row r="395" spans="1:5" s="215" customFormat="1" x14ac:dyDescent="0.25">
      <c r="A395" s="668"/>
    </row>
    <row r="396" spans="1:5" s="215" customFormat="1" x14ac:dyDescent="0.25">
      <c r="A396" s="667"/>
    </row>
    <row r="397" spans="1:5" s="215" customFormat="1" x14ac:dyDescent="0.25">
      <c r="A397" s="667"/>
    </row>
    <row r="398" spans="1:5" s="215" customFormat="1" x14ac:dyDescent="0.25">
      <c r="A398" s="669"/>
      <c r="B398" s="464"/>
      <c r="C398" s="464"/>
      <c r="D398" s="464"/>
      <c r="E398" s="464"/>
    </row>
    <row r="399" spans="1:5" s="215" customFormat="1" x14ac:dyDescent="0.25">
      <c r="A399" s="669"/>
      <c r="B399" s="464"/>
      <c r="C399" s="464"/>
      <c r="D399" s="464"/>
      <c r="E399" s="464"/>
    </row>
    <row r="400" spans="1:5" s="215" customFormat="1" x14ac:dyDescent="0.25">
      <c r="A400" s="669"/>
      <c r="B400" s="464"/>
      <c r="C400" s="464"/>
      <c r="D400" s="464"/>
      <c r="E400" s="464"/>
    </row>
    <row r="401" spans="1:5" s="215" customFormat="1" x14ac:dyDescent="0.25">
      <c r="A401" s="669"/>
      <c r="B401" s="464"/>
      <c r="C401" s="464"/>
      <c r="D401" s="464"/>
      <c r="E401" s="464"/>
    </row>
    <row r="402" spans="1:5" s="215" customFormat="1" x14ac:dyDescent="0.25">
      <c r="A402" s="669"/>
      <c r="B402" s="464"/>
      <c r="C402" s="464"/>
      <c r="D402" s="464"/>
      <c r="E402" s="464"/>
    </row>
    <row r="403" spans="1:5" s="215" customFormat="1" x14ac:dyDescent="0.25">
      <c r="A403" s="669"/>
      <c r="B403" s="464"/>
      <c r="C403" s="464"/>
      <c r="D403" s="464"/>
      <c r="E403" s="464"/>
    </row>
    <row r="404" spans="1:5" x14ac:dyDescent="0.25">
      <c r="B404" s="452"/>
    </row>
  </sheetData>
  <mergeCells count="1">
    <mergeCell ref="A1:E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K147"/>
  <sheetViews>
    <sheetView workbookViewId="0">
      <selection activeCell="E10" sqref="E10"/>
    </sheetView>
  </sheetViews>
  <sheetFormatPr defaultColWidth="9.140625" defaultRowHeight="15.75" x14ac:dyDescent="0.25"/>
  <cols>
    <col min="1" max="1" width="5.5703125" style="384" customWidth="1"/>
    <col min="2" max="2" width="61" style="384" customWidth="1"/>
    <col min="3" max="3" width="11.5703125" style="407" customWidth="1"/>
    <col min="4" max="4" width="20.42578125" style="384" customWidth="1"/>
    <col min="5" max="5" width="19.42578125" style="384" customWidth="1"/>
    <col min="6" max="6" width="17.28515625" style="384" customWidth="1"/>
    <col min="7" max="7" width="2.140625" style="384" customWidth="1"/>
    <col min="8" max="8" width="18.28515625" style="384" customWidth="1"/>
    <col min="9" max="9" width="18.5703125" style="384" customWidth="1"/>
    <col min="10" max="10" width="15.42578125" style="384" customWidth="1"/>
    <col min="11" max="11" width="2" style="384" customWidth="1"/>
    <col min="12" max="12" width="21.5703125" style="384" customWidth="1"/>
    <col min="13" max="13" width="15.5703125" style="384" customWidth="1"/>
    <col min="14" max="14" width="14.140625" style="384" customWidth="1"/>
    <col min="15" max="15" width="0.85546875" style="384" customWidth="1"/>
    <col min="16" max="16" width="17.42578125" style="384" customWidth="1"/>
    <col min="17" max="17" width="19.42578125" style="384" customWidth="1"/>
    <col min="18" max="18" width="15" style="384" customWidth="1"/>
    <col min="19" max="19" width="2.28515625" style="384" customWidth="1"/>
    <col min="20" max="20" width="17.85546875" style="384" customWidth="1"/>
    <col min="21" max="21" width="16.85546875" style="384" customWidth="1"/>
    <col min="22" max="22" width="15.42578125" style="384" customWidth="1"/>
    <col min="23" max="23" width="1.42578125" style="384" customWidth="1"/>
    <col min="24" max="24" width="16.5703125" style="384" customWidth="1"/>
    <col min="25" max="25" width="18.5703125" style="384" customWidth="1"/>
    <col min="26" max="26" width="15" style="384" customWidth="1"/>
    <col min="27" max="27" width="1.5703125" style="384" customWidth="1"/>
    <col min="28" max="28" width="18.7109375" style="384" customWidth="1"/>
    <col min="29" max="29" width="20.28515625" style="384" customWidth="1"/>
    <col min="30" max="30" width="16.42578125" style="384" customWidth="1"/>
    <col min="31" max="31" width="1.7109375" style="384" customWidth="1"/>
    <col min="32" max="32" width="18" style="384" customWidth="1"/>
    <col min="33" max="33" width="16.42578125" style="384" customWidth="1"/>
    <col min="34" max="34" width="16.7109375" style="384" customWidth="1"/>
    <col min="35" max="35" width="3.85546875" style="384" customWidth="1"/>
    <col min="36" max="36" width="19.85546875" style="384" customWidth="1"/>
    <col min="37" max="37" width="18.7109375" style="384" customWidth="1"/>
    <col min="38" max="38" width="17.7109375" style="384" customWidth="1"/>
    <col min="39" max="39" width="1.5703125" style="384" customWidth="1"/>
    <col min="40" max="40" width="18.140625" style="384" customWidth="1"/>
    <col min="41" max="41" width="19.85546875" style="384" customWidth="1"/>
    <col min="42" max="42" width="17.140625" style="384" customWidth="1"/>
    <col min="43" max="43" width="1" style="384" customWidth="1"/>
    <col min="44" max="44" width="20.42578125" style="384" customWidth="1"/>
    <col min="45" max="45" width="21" style="384" customWidth="1"/>
    <col min="46" max="46" width="17.85546875" style="384" customWidth="1"/>
    <col min="47" max="47" width="0.85546875" style="384" customWidth="1"/>
    <col min="48" max="48" width="18.7109375" style="384" customWidth="1"/>
    <col min="49" max="49" width="19.140625" style="384" customWidth="1"/>
    <col min="50" max="50" width="16.5703125" style="384" customWidth="1"/>
    <col min="51" max="51" width="2.140625" style="384" customWidth="1"/>
    <col min="52" max="52" width="20.7109375" style="384" customWidth="1"/>
    <col min="53" max="53" width="19.140625" style="384" customWidth="1"/>
    <col min="54" max="54" width="19" style="384" customWidth="1"/>
    <col min="55" max="55" width="1.7109375" style="384" customWidth="1"/>
    <col min="56" max="57" width="21.85546875" style="384" customWidth="1"/>
    <col min="58" max="58" width="18.42578125" style="384" customWidth="1"/>
    <col min="59" max="59" width="2" style="384" customWidth="1"/>
    <col min="60" max="60" width="18.42578125" style="384" customWidth="1"/>
    <col min="61" max="61" width="19" style="384" customWidth="1"/>
    <col min="62" max="62" width="20.85546875" style="384" customWidth="1"/>
    <col min="63" max="63" width="1.5703125" style="384" customWidth="1"/>
    <col min="64" max="64" width="19.7109375" style="384" customWidth="1"/>
    <col min="65" max="65" width="19.42578125" style="384" customWidth="1"/>
    <col min="66" max="66" width="19.28515625" style="384" customWidth="1"/>
    <col min="67" max="67" width="1.85546875" style="384" customWidth="1"/>
    <col min="68" max="68" width="22.140625" style="384" customWidth="1"/>
    <col min="69" max="69" width="18.7109375" style="384" customWidth="1"/>
    <col min="70" max="70" width="18.28515625" style="384" customWidth="1"/>
    <col min="71" max="71" width="2.140625" style="384" customWidth="1"/>
    <col min="72" max="72" width="20.5703125" style="384" customWidth="1"/>
    <col min="73" max="73" width="19.42578125" style="384" customWidth="1"/>
    <col min="74" max="74" width="19.5703125" style="384" customWidth="1"/>
    <col min="75" max="75" width="1.140625" style="384" customWidth="1"/>
    <col min="76" max="76" width="20.7109375" style="384" customWidth="1"/>
    <col min="77" max="77" width="21.7109375" style="384" customWidth="1"/>
    <col min="78" max="78" width="18.85546875" style="384" customWidth="1"/>
    <col min="79" max="79" width="1.28515625" style="384" customWidth="1"/>
    <col min="80" max="80" width="21.140625" style="384" customWidth="1"/>
    <col min="81" max="81" width="19.42578125" style="384" customWidth="1"/>
    <col min="82" max="82" width="20.42578125" style="384" customWidth="1"/>
    <col min="83" max="83" width="1.7109375" style="384" customWidth="1"/>
    <col min="84" max="84" width="18.7109375" style="384" customWidth="1"/>
    <col min="85" max="85" width="19" style="384" customWidth="1"/>
    <col min="86" max="86" width="19.42578125" style="384" customWidth="1"/>
    <col min="87" max="87" width="4.42578125" style="384" customWidth="1"/>
    <col min="88" max="88" width="18.7109375" style="384" customWidth="1"/>
    <col min="89" max="89" width="20.140625" style="384" customWidth="1"/>
    <col min="90" max="90" width="18.42578125" style="384" customWidth="1"/>
    <col min="91" max="91" width="1.140625" style="384" customWidth="1"/>
    <col min="92" max="93" width="20.42578125" style="384" customWidth="1"/>
    <col min="94" max="94" width="21.140625" style="384" customWidth="1"/>
    <col min="95" max="95" width="3.5703125" style="384" customWidth="1"/>
    <col min="96" max="97" width="20" style="384" customWidth="1"/>
    <col min="98" max="98" width="20.85546875" style="384" customWidth="1"/>
    <col min="99" max="99" width="2.42578125" style="384" customWidth="1"/>
    <col min="100" max="100" width="18.5703125" style="384" customWidth="1"/>
    <col min="101" max="101" width="21.28515625" style="384" customWidth="1"/>
    <col min="102" max="102" width="17.28515625" style="384" customWidth="1"/>
    <col min="103" max="103" width="1.42578125" style="384" customWidth="1"/>
    <col min="104" max="104" width="21.28515625" style="384" customWidth="1"/>
    <col min="105" max="105" width="20.140625" style="384" customWidth="1"/>
    <col min="106" max="106" width="17.85546875" style="384" customWidth="1"/>
    <col min="107" max="107" width="5" style="384" customWidth="1"/>
    <col min="108" max="108" width="21" style="384" customWidth="1"/>
    <col min="109" max="109" width="21.5703125" style="384" customWidth="1"/>
    <col min="110" max="110" width="22.7109375" style="384" customWidth="1"/>
    <col min="111" max="111" width="3.28515625" style="384" customWidth="1"/>
    <col min="112" max="113" width="17.85546875" style="384" customWidth="1"/>
    <col min="114" max="114" width="18.140625" style="384" customWidth="1"/>
    <col min="115" max="115" width="3.28515625" style="384" customWidth="1"/>
    <col min="116" max="116" width="19.85546875" style="384" customWidth="1"/>
    <col min="117" max="117" width="20.7109375" style="384" customWidth="1"/>
    <col min="118" max="118" width="21.7109375" style="384" customWidth="1"/>
    <col min="119" max="119" width="5" style="384" customWidth="1"/>
    <col min="120" max="121" width="20.5703125" style="384" customWidth="1"/>
    <col min="122" max="122" width="20.7109375" style="384" customWidth="1"/>
    <col min="123" max="123" width="3.28515625" style="384" customWidth="1"/>
    <col min="124" max="125" width="17.85546875" style="384" customWidth="1"/>
    <col min="126" max="126" width="18.140625" style="384" customWidth="1"/>
    <col min="127" max="127" width="3.28515625" style="384" customWidth="1"/>
    <col min="128" max="128" width="22" style="384" customWidth="1"/>
    <col min="129" max="129" width="21.7109375" style="384" customWidth="1"/>
    <col min="130" max="130" width="24.5703125" style="384" customWidth="1"/>
    <col min="131" max="131" width="3.42578125" style="384" customWidth="1"/>
    <col min="132" max="134" width="24.5703125" style="384" customWidth="1"/>
    <col min="135" max="135" width="2.5703125" style="384" customWidth="1"/>
    <col min="136" max="138" width="24.5703125" style="384" customWidth="1"/>
    <col min="139" max="139" width="3.140625" style="384" customWidth="1"/>
    <col min="140" max="142" width="24.5703125" style="384" customWidth="1"/>
    <col min="143" max="143" width="3.42578125" style="384" customWidth="1"/>
    <col min="144" max="146" width="24.5703125" style="384" customWidth="1"/>
    <col min="147" max="147" width="3" style="384" customWidth="1"/>
    <col min="148" max="150" width="24.5703125" style="384" customWidth="1"/>
    <col min="151" max="151" width="1.28515625" style="384" customWidth="1"/>
    <col min="152" max="152" width="24.140625" style="384" customWidth="1"/>
    <col min="153" max="153" width="23.140625" style="384" customWidth="1"/>
    <col min="154" max="154" width="21.5703125" style="384" customWidth="1"/>
    <col min="155" max="155" width="9.140625" style="384"/>
    <col min="156" max="157" width="18.5703125" style="384" customWidth="1"/>
    <col min="158" max="158" width="18" style="384" customWidth="1"/>
    <col min="159" max="159" width="6.28515625" style="384" customWidth="1"/>
    <col min="160" max="160" width="18.140625" style="384" customWidth="1"/>
    <col min="161" max="161" width="19" style="384" customWidth="1"/>
    <col min="162" max="162" width="17.5703125" style="384" customWidth="1"/>
    <col min="163" max="163" width="6" style="384" customWidth="1"/>
    <col min="164" max="164" width="20.42578125" style="384" customWidth="1"/>
    <col min="165" max="165" width="18" style="384" customWidth="1"/>
    <col min="166" max="169" width="20.5703125" style="384" customWidth="1"/>
    <col min="170" max="170" width="6.5703125" style="384" customWidth="1"/>
    <col min="171" max="171" width="29.28515625" style="384" customWidth="1"/>
    <col min="172" max="172" width="22.28515625" style="384" customWidth="1"/>
    <col min="173" max="173" width="21.85546875" style="384" customWidth="1"/>
    <col min="174" max="174" width="9.140625" style="384"/>
    <col min="175" max="175" width="19.5703125" style="384" customWidth="1"/>
    <col min="176" max="176" width="20.5703125" style="384" customWidth="1"/>
    <col min="177" max="177" width="19.7109375" style="384" customWidth="1"/>
    <col min="178" max="178" width="9.140625" style="384"/>
    <col min="179" max="179" width="20.42578125" style="384" customWidth="1"/>
    <col min="180" max="180" width="20.5703125" style="384" customWidth="1"/>
    <col min="181" max="181" width="19.7109375" style="384" customWidth="1"/>
    <col min="182" max="182" width="9.140625" style="384"/>
    <col min="183" max="183" width="20.42578125" style="384" customWidth="1"/>
    <col min="184" max="184" width="20.5703125" style="384" customWidth="1"/>
    <col min="185" max="185" width="19.7109375" style="384" customWidth="1"/>
    <col min="186" max="186" width="9.140625" style="384"/>
    <col min="187" max="187" width="20.42578125" style="384" customWidth="1"/>
    <col min="188" max="188" width="20.5703125" style="384" customWidth="1"/>
    <col min="189" max="189" width="19.7109375" style="384" customWidth="1"/>
    <col min="190" max="190" width="9.140625" style="384"/>
    <col min="191" max="191" width="21.140625" style="384" customWidth="1"/>
    <col min="192" max="192" width="20.140625" style="384" customWidth="1"/>
    <col min="193" max="193" width="21.42578125" style="384" customWidth="1"/>
    <col min="194" max="194" width="9.140625" style="384"/>
    <col min="195" max="195" width="20.140625" style="384" customWidth="1"/>
    <col min="196" max="196" width="17.28515625" style="384" customWidth="1"/>
    <col min="197" max="197" width="19" style="384" customWidth="1"/>
    <col min="198" max="198" width="9.140625" style="384"/>
    <col min="199" max="199" width="17.42578125" style="384" customWidth="1"/>
    <col min="200" max="200" width="18.42578125" style="384" customWidth="1"/>
    <col min="201" max="201" width="18.140625" style="384" customWidth="1"/>
    <col min="202" max="202" width="9.140625" style="384"/>
    <col min="203" max="203" width="18.7109375" style="384" customWidth="1"/>
    <col min="204" max="204" width="18" style="384" customWidth="1"/>
    <col min="205" max="205" width="19.42578125" style="384" customWidth="1"/>
    <col min="206" max="206" width="9.140625" style="384"/>
    <col min="207" max="207" width="17" style="384" customWidth="1"/>
    <col min="208" max="208" width="14.42578125" style="384" customWidth="1"/>
    <col min="209" max="209" width="17.28515625" style="384" customWidth="1"/>
    <col min="210" max="210" width="9.140625" style="384"/>
    <col min="211" max="211" width="20.42578125" style="384" customWidth="1"/>
    <col min="212" max="212" width="20.5703125" style="384" customWidth="1"/>
    <col min="213" max="213" width="19.7109375" style="384" customWidth="1"/>
    <col min="214" max="214" width="9.140625" style="384"/>
    <col min="215" max="215" width="21" style="384" bestFit="1" customWidth="1"/>
    <col min="216" max="216" width="19.5703125" style="384" customWidth="1"/>
    <col min="217" max="217" width="19.85546875" style="384" bestFit="1" customWidth="1"/>
    <col min="218" max="218" width="9.140625" style="384"/>
    <col min="219" max="219" width="21" style="384" bestFit="1" customWidth="1"/>
    <col min="220" max="220" width="19.85546875" style="384" bestFit="1" customWidth="1"/>
    <col min="221" max="221" width="18.7109375" style="384" bestFit="1" customWidth="1"/>
    <col min="222" max="222" width="9.140625" style="384"/>
    <col min="223" max="224" width="15.7109375" style="384" bestFit="1" customWidth="1"/>
    <col min="225" max="226" width="9.140625" style="384"/>
    <col min="227" max="228" width="18.7109375" style="384" bestFit="1" customWidth="1"/>
    <col min="229" max="229" width="18.28515625" style="384" customWidth="1"/>
    <col min="230" max="230" width="9.140625" style="384"/>
    <col min="231" max="231" width="18.5703125" style="384" customWidth="1"/>
    <col min="232" max="232" width="16.7109375" style="384" customWidth="1"/>
    <col min="233" max="233" width="18.7109375" style="384" customWidth="1"/>
    <col min="234" max="234" width="9.140625" style="384"/>
    <col min="235" max="235" width="20.28515625" style="384" customWidth="1"/>
    <col min="236" max="236" width="17.140625" style="384" customWidth="1"/>
    <col min="237" max="237" width="18.28515625" style="384" customWidth="1"/>
    <col min="238" max="238" width="9.140625" style="384"/>
    <col min="239" max="239" width="19.42578125" style="384" customWidth="1"/>
    <col min="240" max="240" width="19.5703125" style="384" customWidth="1"/>
    <col min="241" max="241" width="20.28515625" style="384" customWidth="1"/>
    <col min="242" max="242" width="9.140625" style="384"/>
    <col min="243" max="243" width="16.5703125" style="384" customWidth="1"/>
    <col min="244" max="244" width="15.7109375" style="384" customWidth="1"/>
    <col min="245" max="245" width="16" style="384" customWidth="1"/>
    <col min="246" max="16384" width="9.140625" style="384"/>
  </cols>
  <sheetData>
    <row r="1" spans="1:245" s="358" customFormat="1" ht="34.5" customHeight="1" x14ac:dyDescent="0.25">
      <c r="A1" s="421"/>
      <c r="B1" s="422" t="s">
        <v>2</v>
      </c>
      <c r="C1" s="423"/>
      <c r="D1" s="424" t="s">
        <v>300</v>
      </c>
      <c r="E1" s="424"/>
      <c r="F1" s="424"/>
      <c r="G1" s="424"/>
      <c r="H1" s="424"/>
      <c r="I1" s="424"/>
      <c r="J1" s="424"/>
      <c r="K1" s="424"/>
      <c r="L1" s="351" t="s">
        <v>3</v>
      </c>
      <c r="M1" s="352"/>
      <c r="N1" s="352"/>
      <c r="O1" s="424"/>
      <c r="P1" s="424"/>
      <c r="Q1" s="424"/>
      <c r="R1" s="424"/>
      <c r="S1" s="424"/>
      <c r="T1" s="351" t="s">
        <v>3</v>
      </c>
      <c r="U1" s="352"/>
      <c r="V1" s="352"/>
      <c r="W1" s="424"/>
      <c r="X1" s="353" t="s">
        <v>301</v>
      </c>
      <c r="Y1" s="424"/>
      <c r="Z1" s="424"/>
      <c r="AA1" s="424"/>
      <c r="AB1" s="424"/>
      <c r="AC1" s="424"/>
      <c r="AD1" s="424"/>
      <c r="AE1" s="424"/>
      <c r="AF1" s="351" t="s">
        <v>3</v>
      </c>
      <c r="AG1" s="352"/>
      <c r="AH1" s="352"/>
      <c r="AI1" s="424"/>
      <c r="AJ1" s="424"/>
      <c r="AK1" s="424"/>
      <c r="AL1" s="424"/>
      <c r="AM1" s="424"/>
      <c r="AN1" s="424"/>
      <c r="AO1" s="424"/>
      <c r="AP1" s="424"/>
      <c r="AQ1" s="424"/>
      <c r="AR1" s="424"/>
      <c r="AS1" s="424"/>
      <c r="AT1" s="424"/>
      <c r="AU1" s="424"/>
      <c r="AV1" s="354" t="s">
        <v>171</v>
      </c>
      <c r="AW1" s="424"/>
      <c r="AX1" s="424"/>
      <c r="AY1" s="424"/>
      <c r="AZ1" s="424"/>
      <c r="BA1" s="424"/>
      <c r="BB1" s="424"/>
      <c r="BC1" s="424"/>
      <c r="BD1" s="424"/>
      <c r="BE1" s="424"/>
      <c r="BF1" s="424"/>
      <c r="BG1" s="424"/>
      <c r="BH1" s="355">
        <v>2007</v>
      </c>
      <c r="BI1" s="424"/>
      <c r="BJ1" s="424"/>
      <c r="BK1" s="424"/>
      <c r="BL1" s="424"/>
      <c r="BM1" s="424"/>
      <c r="BN1" s="424"/>
      <c r="BO1" s="424"/>
      <c r="BP1" s="424"/>
      <c r="BQ1" s="424"/>
      <c r="BR1" s="424"/>
      <c r="BS1" s="424"/>
      <c r="BT1" s="354" t="s">
        <v>302</v>
      </c>
      <c r="BU1" s="424"/>
      <c r="BV1" s="424"/>
      <c r="BW1" s="424"/>
      <c r="BX1" s="424"/>
      <c r="BY1" s="424"/>
      <c r="BZ1" s="424"/>
      <c r="CA1" s="424"/>
      <c r="CB1" s="354" t="s">
        <v>302</v>
      </c>
      <c r="CC1" s="424"/>
      <c r="CD1" s="424"/>
      <c r="CE1" s="424"/>
      <c r="CF1" s="424"/>
      <c r="CG1" s="424"/>
      <c r="CH1" s="424"/>
      <c r="CI1" s="424"/>
      <c r="CJ1" s="356" t="s">
        <v>3</v>
      </c>
      <c r="CK1" s="357"/>
      <c r="CL1" s="357"/>
      <c r="CO1" s="422"/>
      <c r="CP1" s="422"/>
      <c r="CQ1" s="422"/>
      <c r="CV1" s="355" t="s">
        <v>3</v>
      </c>
      <c r="CZ1" s="354" t="s">
        <v>303</v>
      </c>
      <c r="DB1" s="359"/>
      <c r="DD1" s="360" t="s">
        <v>9</v>
      </c>
      <c r="DE1" s="360"/>
      <c r="DF1" s="360"/>
      <c r="DL1" s="358" t="s">
        <v>304</v>
      </c>
      <c r="DP1" s="360" t="s">
        <v>9</v>
      </c>
      <c r="DQ1" s="360"/>
      <c r="DR1" s="360"/>
      <c r="DX1" s="358" t="s">
        <v>304</v>
      </c>
      <c r="ET1" s="359"/>
      <c r="EW1" s="358" t="s">
        <v>43</v>
      </c>
      <c r="EX1" s="358" t="s">
        <v>43</v>
      </c>
    </row>
    <row r="2" spans="1:245" s="364" customFormat="1" ht="45" customHeight="1" x14ac:dyDescent="0.25">
      <c r="A2" s="425"/>
      <c r="B2" s="425" t="s">
        <v>52</v>
      </c>
      <c r="C2" s="425"/>
      <c r="D2" s="425">
        <v>1999</v>
      </c>
      <c r="E2" s="425"/>
      <c r="F2" s="425"/>
      <c r="G2" s="425"/>
      <c r="H2" s="425">
        <v>2000</v>
      </c>
      <c r="I2" s="425"/>
      <c r="J2" s="425"/>
      <c r="K2" s="425"/>
      <c r="L2" s="356">
        <v>2000</v>
      </c>
      <c r="M2" s="357"/>
      <c r="N2" s="357"/>
      <c r="O2" s="425"/>
      <c r="P2" s="355">
        <v>2001</v>
      </c>
      <c r="Q2" s="425"/>
      <c r="R2" s="425"/>
      <c r="S2" s="425"/>
      <c r="T2" s="356">
        <v>2001</v>
      </c>
      <c r="U2" s="357"/>
      <c r="V2" s="357"/>
      <c r="W2" s="425"/>
      <c r="X2" s="355">
        <v>2001</v>
      </c>
      <c r="Y2" s="425"/>
      <c r="Z2" s="425"/>
      <c r="AA2" s="425"/>
      <c r="AB2" s="355">
        <v>2002</v>
      </c>
      <c r="AC2" s="425"/>
      <c r="AD2" s="425"/>
      <c r="AE2" s="425"/>
      <c r="AF2" s="356">
        <v>2002</v>
      </c>
      <c r="AG2" s="357"/>
      <c r="AH2" s="357"/>
      <c r="AI2" s="425"/>
      <c r="AJ2" s="426">
        <v>2003</v>
      </c>
      <c r="AK2" s="426"/>
      <c r="AL2" s="426"/>
      <c r="AM2" s="425"/>
      <c r="AN2" s="355">
        <v>2004</v>
      </c>
      <c r="AO2" s="425"/>
      <c r="AP2" s="425"/>
      <c r="AQ2" s="425"/>
      <c r="AR2" s="355">
        <v>2005</v>
      </c>
      <c r="AS2" s="425"/>
      <c r="AT2" s="425"/>
      <c r="AU2" s="425"/>
      <c r="AV2" s="355">
        <v>2005</v>
      </c>
      <c r="AW2" s="425"/>
      <c r="AX2" s="425"/>
      <c r="AY2" s="425"/>
      <c r="AZ2" s="355">
        <v>2006</v>
      </c>
      <c r="BA2" s="425"/>
      <c r="BB2" s="425"/>
      <c r="BC2" s="425"/>
      <c r="BD2" s="355">
        <v>2007</v>
      </c>
      <c r="BE2" s="425"/>
      <c r="BF2" s="425"/>
      <c r="BG2" s="425"/>
      <c r="BH2" s="354" t="s">
        <v>7</v>
      </c>
      <c r="BI2" s="427"/>
      <c r="BJ2" s="427"/>
      <c r="BK2" s="427"/>
      <c r="BL2" s="355">
        <v>2008</v>
      </c>
      <c r="BM2" s="427"/>
      <c r="BN2" s="427"/>
      <c r="BO2" s="427"/>
      <c r="BP2" s="355">
        <v>2009</v>
      </c>
      <c r="BQ2" s="427"/>
      <c r="BR2" s="427"/>
      <c r="BS2" s="427"/>
      <c r="BT2" s="355">
        <v>2009</v>
      </c>
      <c r="BU2" s="427"/>
      <c r="BV2" s="427"/>
      <c r="BW2" s="427"/>
      <c r="BX2" s="363">
        <v>2010</v>
      </c>
      <c r="BY2" s="427"/>
      <c r="BZ2" s="427"/>
      <c r="CA2" s="427"/>
      <c r="CB2" s="355">
        <v>2010</v>
      </c>
      <c r="CF2" s="363">
        <v>2011</v>
      </c>
      <c r="CJ2" s="356">
        <v>2011</v>
      </c>
      <c r="CK2" s="357"/>
      <c r="CL2" s="357"/>
      <c r="CN2" s="363">
        <v>2011</v>
      </c>
      <c r="CO2" s="365" t="s">
        <v>305</v>
      </c>
      <c r="CP2" s="366"/>
      <c r="CQ2" s="425"/>
      <c r="CR2" s="355">
        <v>2012</v>
      </c>
      <c r="CV2" s="355">
        <v>2012</v>
      </c>
      <c r="CZ2" s="355">
        <v>2012</v>
      </c>
      <c r="DE2" s="364">
        <v>2013</v>
      </c>
      <c r="DI2" s="364" t="s">
        <v>306</v>
      </c>
      <c r="DL2" s="364">
        <v>2013</v>
      </c>
      <c r="DQ2" s="364">
        <v>2014</v>
      </c>
      <c r="DU2" s="364" t="s">
        <v>307</v>
      </c>
      <c r="DX2" s="367">
        <v>2014</v>
      </c>
      <c r="DY2" s="367"/>
      <c r="DZ2" s="367"/>
      <c r="EB2" s="368" t="s">
        <v>180</v>
      </c>
      <c r="EC2" s="368"/>
      <c r="ED2" s="368"/>
      <c r="EF2" s="368" t="s">
        <v>12</v>
      </c>
      <c r="EG2" s="368"/>
      <c r="EH2" s="368"/>
      <c r="EJ2" s="368" t="s">
        <v>13</v>
      </c>
      <c r="EK2" s="368"/>
      <c r="EL2" s="368"/>
      <c r="EN2" s="368" t="s">
        <v>308</v>
      </c>
      <c r="EO2" s="368"/>
      <c r="EP2" s="368"/>
      <c r="ER2" s="367" t="s">
        <v>309</v>
      </c>
      <c r="ES2" s="367"/>
      <c r="ET2" s="367"/>
      <c r="EV2" s="369" t="s">
        <v>310</v>
      </c>
      <c r="EW2" s="369"/>
      <c r="EX2" s="369"/>
      <c r="EY2" s="370"/>
      <c r="EZ2" s="369" t="s">
        <v>311</v>
      </c>
      <c r="FA2" s="369"/>
      <c r="FB2" s="369"/>
      <c r="FC2" s="370"/>
      <c r="FD2" s="371" t="s">
        <v>18</v>
      </c>
      <c r="FE2" s="372"/>
      <c r="FF2" s="373"/>
      <c r="FG2" s="370"/>
      <c r="FH2" s="371" t="s">
        <v>17</v>
      </c>
      <c r="FI2" s="372"/>
      <c r="FJ2" s="373"/>
      <c r="FK2" s="371" t="s">
        <v>185</v>
      </c>
      <c r="FL2" s="372"/>
      <c r="FM2" s="373"/>
      <c r="FN2" s="370"/>
      <c r="FO2" s="371" t="s">
        <v>22</v>
      </c>
      <c r="FP2" s="372"/>
      <c r="FQ2" s="373"/>
      <c r="FR2" s="370"/>
      <c r="FS2" s="371" t="s">
        <v>23</v>
      </c>
      <c r="FT2" s="372"/>
      <c r="FU2" s="373"/>
      <c r="FV2" s="370"/>
      <c r="FW2" s="371" t="s">
        <v>24</v>
      </c>
      <c r="FX2" s="372"/>
      <c r="FY2" s="373"/>
      <c r="FZ2" s="370"/>
      <c r="GA2" s="371" t="s">
        <v>26</v>
      </c>
      <c r="GB2" s="372"/>
      <c r="GC2" s="373"/>
      <c r="GD2" s="370"/>
      <c r="GE2" s="371" t="s">
        <v>312</v>
      </c>
      <c r="GF2" s="372"/>
      <c r="GG2" s="373"/>
      <c r="GH2" s="370"/>
      <c r="GI2" s="371" t="s">
        <v>313</v>
      </c>
      <c r="GJ2" s="372"/>
      <c r="GK2" s="373"/>
      <c r="GL2" s="370"/>
      <c r="GM2" s="371" t="s">
        <v>29</v>
      </c>
      <c r="GN2" s="372"/>
      <c r="GO2" s="373"/>
      <c r="GP2" s="370"/>
      <c r="GQ2" s="371" t="s">
        <v>189</v>
      </c>
      <c r="GR2" s="372"/>
      <c r="GS2" s="373"/>
      <c r="GT2" s="370"/>
      <c r="GU2" s="371" t="s">
        <v>32</v>
      </c>
      <c r="GV2" s="372"/>
      <c r="GW2" s="373"/>
      <c r="GX2" s="370"/>
      <c r="GY2" s="371" t="s">
        <v>314</v>
      </c>
      <c r="GZ2" s="372"/>
      <c r="HA2" s="373"/>
      <c r="HB2" s="370"/>
      <c r="HC2" s="374" t="s">
        <v>150</v>
      </c>
      <c r="HD2" s="370" t="s">
        <v>192</v>
      </c>
      <c r="HE2" s="370" t="s">
        <v>59</v>
      </c>
      <c r="HG2" s="369" t="s">
        <v>193</v>
      </c>
      <c r="HH2" s="369"/>
      <c r="HI2" s="369"/>
      <c r="HK2" s="369" t="s">
        <v>315</v>
      </c>
      <c r="HL2" s="369"/>
      <c r="HM2" s="369"/>
      <c r="HO2" s="369" t="s">
        <v>316</v>
      </c>
      <c r="HP2" s="369"/>
      <c r="HQ2" s="369"/>
      <c r="HS2" s="369" t="s">
        <v>317</v>
      </c>
      <c r="HT2" s="369"/>
      <c r="HU2" s="369"/>
      <c r="HW2" s="369" t="s">
        <v>196</v>
      </c>
      <c r="HX2" s="369"/>
      <c r="HY2" s="369"/>
      <c r="IA2" s="371" t="s">
        <v>318</v>
      </c>
      <c r="IB2" s="372"/>
      <c r="IC2" s="373"/>
      <c r="IE2" s="371" t="s">
        <v>319</v>
      </c>
      <c r="IF2" s="372"/>
      <c r="IG2" s="373"/>
      <c r="II2" s="371" t="s">
        <v>198</v>
      </c>
      <c r="IJ2" s="372"/>
      <c r="IK2" s="373"/>
    </row>
    <row r="3" spans="1:245" s="358" customFormat="1" ht="47.25" x14ac:dyDescent="0.25">
      <c r="A3" s="428"/>
      <c r="B3" s="429"/>
      <c r="C3" s="430"/>
      <c r="D3" s="376" t="s">
        <v>54</v>
      </c>
      <c r="E3" s="376" t="s">
        <v>55</v>
      </c>
      <c r="F3" s="376" t="s">
        <v>56</v>
      </c>
      <c r="G3" s="429"/>
      <c r="H3" s="376" t="s">
        <v>54</v>
      </c>
      <c r="I3" s="376" t="s">
        <v>55</v>
      </c>
      <c r="J3" s="376" t="s">
        <v>56</v>
      </c>
      <c r="K3" s="429"/>
      <c r="L3" s="376" t="s">
        <v>54</v>
      </c>
      <c r="M3" s="376" t="s">
        <v>55</v>
      </c>
      <c r="N3" s="376" t="s">
        <v>56</v>
      </c>
      <c r="O3" s="429"/>
      <c r="P3" s="376" t="s">
        <v>54</v>
      </c>
      <c r="Q3" s="376" t="s">
        <v>55</v>
      </c>
      <c r="R3" s="376" t="s">
        <v>56</v>
      </c>
      <c r="S3" s="429"/>
      <c r="T3" s="376" t="s">
        <v>54</v>
      </c>
      <c r="U3" s="376" t="s">
        <v>55</v>
      </c>
      <c r="V3" s="376" t="s">
        <v>56</v>
      </c>
      <c r="W3" s="429"/>
      <c r="X3" s="376" t="s">
        <v>54</v>
      </c>
      <c r="Y3" s="376" t="s">
        <v>55</v>
      </c>
      <c r="Z3" s="376" t="s">
        <v>56</v>
      </c>
      <c r="AA3" s="429"/>
      <c r="AB3" s="376" t="s">
        <v>54</v>
      </c>
      <c r="AC3" s="376" t="s">
        <v>55</v>
      </c>
      <c r="AD3" s="376" t="s">
        <v>56</v>
      </c>
      <c r="AE3" s="429"/>
      <c r="AF3" s="376" t="s">
        <v>54</v>
      </c>
      <c r="AG3" s="376" t="s">
        <v>55</v>
      </c>
      <c r="AH3" s="376" t="s">
        <v>56</v>
      </c>
      <c r="AI3" s="429"/>
      <c r="AJ3" s="376" t="s">
        <v>54</v>
      </c>
      <c r="AK3" s="376" t="s">
        <v>55</v>
      </c>
      <c r="AL3" s="376" t="s">
        <v>56</v>
      </c>
      <c r="AM3" s="429"/>
      <c r="AN3" s="376" t="s">
        <v>54</v>
      </c>
      <c r="AO3" s="376" t="s">
        <v>55</v>
      </c>
      <c r="AP3" s="376" t="s">
        <v>56</v>
      </c>
      <c r="AQ3" s="429"/>
      <c r="AR3" s="376" t="s">
        <v>54</v>
      </c>
      <c r="AS3" s="376" t="s">
        <v>55</v>
      </c>
      <c r="AT3" s="376" t="s">
        <v>56</v>
      </c>
      <c r="AU3" s="429"/>
      <c r="AV3" s="376" t="s">
        <v>54</v>
      </c>
      <c r="AW3" s="376" t="s">
        <v>55</v>
      </c>
      <c r="AX3" s="376" t="s">
        <v>56</v>
      </c>
      <c r="AY3" s="429"/>
      <c r="AZ3" s="376" t="s">
        <v>54</v>
      </c>
      <c r="BA3" s="376" t="s">
        <v>55</v>
      </c>
      <c r="BB3" s="376" t="s">
        <v>56</v>
      </c>
      <c r="BC3" s="429"/>
      <c r="BD3" s="376" t="s">
        <v>54</v>
      </c>
      <c r="BE3" s="376" t="s">
        <v>55</v>
      </c>
      <c r="BF3" s="376" t="s">
        <v>56</v>
      </c>
      <c r="BG3" s="429"/>
      <c r="BH3" s="376" t="s">
        <v>54</v>
      </c>
      <c r="BI3" s="376" t="s">
        <v>55</v>
      </c>
      <c r="BJ3" s="376" t="s">
        <v>56</v>
      </c>
      <c r="BK3" s="422"/>
      <c r="BL3" s="376" t="s">
        <v>54</v>
      </c>
      <c r="BM3" s="376" t="s">
        <v>55</v>
      </c>
      <c r="BN3" s="376" t="s">
        <v>56</v>
      </c>
      <c r="BO3" s="422"/>
      <c r="BP3" s="376" t="s">
        <v>54</v>
      </c>
      <c r="BQ3" s="376" t="s">
        <v>55</v>
      </c>
      <c r="BR3" s="376" t="s">
        <v>56</v>
      </c>
      <c r="BS3" s="422"/>
      <c r="BT3" s="376" t="s">
        <v>54</v>
      </c>
      <c r="BU3" s="376" t="s">
        <v>55</v>
      </c>
      <c r="BV3" s="376" t="s">
        <v>56</v>
      </c>
      <c r="BW3" s="422"/>
      <c r="BX3" s="376" t="s">
        <v>54</v>
      </c>
      <c r="BY3" s="376" t="s">
        <v>55</v>
      </c>
      <c r="BZ3" s="376" t="s">
        <v>56</v>
      </c>
      <c r="CA3" s="422"/>
      <c r="CB3" s="376" t="s">
        <v>54</v>
      </c>
      <c r="CC3" s="376" t="s">
        <v>55</v>
      </c>
      <c r="CD3" s="376" t="s">
        <v>56</v>
      </c>
      <c r="CF3" s="376" t="s">
        <v>54</v>
      </c>
      <c r="CG3" s="376" t="s">
        <v>55</v>
      </c>
      <c r="CH3" s="376" t="s">
        <v>56</v>
      </c>
      <c r="CJ3" s="376" t="s">
        <v>54</v>
      </c>
      <c r="CK3" s="376" t="s">
        <v>55</v>
      </c>
      <c r="CL3" s="376" t="s">
        <v>56</v>
      </c>
      <c r="CM3" s="429"/>
      <c r="CN3" s="376" t="s">
        <v>54</v>
      </c>
      <c r="CO3" s="376" t="s">
        <v>55</v>
      </c>
      <c r="CP3" s="376" t="s">
        <v>56</v>
      </c>
      <c r="CQ3" s="429"/>
      <c r="CR3" s="376" t="s">
        <v>54</v>
      </c>
      <c r="CS3" s="376" t="s">
        <v>55</v>
      </c>
      <c r="CT3" s="376" t="s">
        <v>56</v>
      </c>
      <c r="CV3" s="376" t="s">
        <v>54</v>
      </c>
      <c r="CW3" s="376" t="s">
        <v>55</v>
      </c>
      <c r="CX3" s="376" t="s">
        <v>56</v>
      </c>
      <c r="CZ3" s="376" t="s">
        <v>54</v>
      </c>
      <c r="DA3" s="376" t="s">
        <v>55</v>
      </c>
      <c r="DB3" s="376" t="s">
        <v>56</v>
      </c>
      <c r="DC3" s="376"/>
      <c r="DD3" s="376" t="s">
        <v>54</v>
      </c>
      <c r="DE3" s="376" t="s">
        <v>55</v>
      </c>
      <c r="DF3" s="376" t="s">
        <v>56</v>
      </c>
      <c r="DG3" s="376"/>
      <c r="DH3" s="376" t="s">
        <v>54</v>
      </c>
      <c r="DI3" s="376" t="s">
        <v>55</v>
      </c>
      <c r="DJ3" s="376" t="s">
        <v>56</v>
      </c>
      <c r="DK3" s="376"/>
      <c r="DL3" s="376" t="s">
        <v>54</v>
      </c>
      <c r="DM3" s="376" t="s">
        <v>55</v>
      </c>
      <c r="DN3" s="376" t="s">
        <v>56</v>
      </c>
      <c r="DO3" s="376"/>
      <c r="DP3" s="376" t="s">
        <v>54</v>
      </c>
      <c r="DQ3" s="376" t="s">
        <v>55</v>
      </c>
      <c r="DR3" s="376" t="s">
        <v>56</v>
      </c>
      <c r="DS3" s="376"/>
      <c r="DT3" s="376" t="s">
        <v>54</v>
      </c>
      <c r="DU3" s="376" t="s">
        <v>55</v>
      </c>
      <c r="DV3" s="376" t="s">
        <v>56</v>
      </c>
      <c r="DW3" s="376"/>
      <c r="DX3" s="376" t="s">
        <v>54</v>
      </c>
      <c r="DY3" s="376" t="s">
        <v>55</v>
      </c>
      <c r="DZ3" s="376" t="s">
        <v>56</v>
      </c>
      <c r="EA3" s="376"/>
      <c r="EB3" s="376" t="s">
        <v>54</v>
      </c>
      <c r="EC3" s="376" t="s">
        <v>55</v>
      </c>
      <c r="ED3" s="376" t="s">
        <v>56</v>
      </c>
      <c r="EE3" s="376"/>
      <c r="EF3" s="376" t="s">
        <v>54</v>
      </c>
      <c r="EG3" s="376" t="s">
        <v>55</v>
      </c>
      <c r="EH3" s="376" t="s">
        <v>56</v>
      </c>
      <c r="EI3" s="376"/>
      <c r="EJ3" s="376" t="s">
        <v>54</v>
      </c>
      <c r="EK3" s="376" t="s">
        <v>55</v>
      </c>
      <c r="EL3" s="376" t="s">
        <v>56</v>
      </c>
      <c r="EM3" s="376"/>
      <c r="EN3" s="376" t="s">
        <v>54</v>
      </c>
      <c r="EO3" s="376" t="s">
        <v>55</v>
      </c>
      <c r="EP3" s="376" t="s">
        <v>56</v>
      </c>
      <c r="EQ3" s="376"/>
      <c r="ER3" s="376" t="s">
        <v>54</v>
      </c>
      <c r="ES3" s="376" t="s">
        <v>55</v>
      </c>
      <c r="ET3" s="376" t="s">
        <v>56</v>
      </c>
      <c r="EV3" s="378" t="s">
        <v>54</v>
      </c>
      <c r="EW3" s="378" t="s">
        <v>55</v>
      </c>
      <c r="EX3" s="378" t="s">
        <v>56</v>
      </c>
      <c r="EY3" s="379"/>
      <c r="EZ3" s="378" t="s">
        <v>54</v>
      </c>
      <c r="FA3" s="378" t="s">
        <v>55</v>
      </c>
      <c r="FB3" s="378" t="s">
        <v>56</v>
      </c>
      <c r="FC3" s="379"/>
      <c r="FD3" s="378" t="s">
        <v>54</v>
      </c>
      <c r="FE3" s="378" t="s">
        <v>55</v>
      </c>
      <c r="FF3" s="378" t="s">
        <v>56</v>
      </c>
      <c r="FG3" s="379"/>
      <c r="FH3" s="378" t="s">
        <v>54</v>
      </c>
      <c r="FI3" s="378" t="s">
        <v>55</v>
      </c>
      <c r="FJ3" s="378" t="s">
        <v>56</v>
      </c>
      <c r="FK3" s="378" t="s">
        <v>54</v>
      </c>
      <c r="FL3" s="378" t="s">
        <v>55</v>
      </c>
      <c r="FM3" s="378" t="s">
        <v>56</v>
      </c>
      <c r="FN3" s="379"/>
      <c r="FO3" s="378" t="s">
        <v>54</v>
      </c>
      <c r="FP3" s="378" t="s">
        <v>55</v>
      </c>
      <c r="FQ3" s="378" t="s">
        <v>56</v>
      </c>
      <c r="FR3" s="379"/>
      <c r="FS3" s="378" t="s">
        <v>54</v>
      </c>
      <c r="FT3" s="378" t="s">
        <v>55</v>
      </c>
      <c r="FU3" s="378" t="s">
        <v>56</v>
      </c>
      <c r="FV3" s="379"/>
      <c r="FW3" s="378" t="s">
        <v>54</v>
      </c>
      <c r="FX3" s="378" t="s">
        <v>55</v>
      </c>
      <c r="FY3" s="378" t="s">
        <v>56</v>
      </c>
      <c r="FZ3" s="379"/>
      <c r="GA3" s="378" t="s">
        <v>54</v>
      </c>
      <c r="GB3" s="378" t="s">
        <v>55</v>
      </c>
      <c r="GC3" s="378" t="s">
        <v>56</v>
      </c>
      <c r="GD3" s="379"/>
      <c r="GE3" s="378" t="s">
        <v>54</v>
      </c>
      <c r="GF3" s="378" t="s">
        <v>55</v>
      </c>
      <c r="GG3" s="378" t="s">
        <v>56</v>
      </c>
      <c r="GH3" s="379"/>
      <c r="GI3" s="378" t="s">
        <v>54</v>
      </c>
      <c r="GJ3" s="378" t="s">
        <v>55</v>
      </c>
      <c r="GK3" s="378" t="s">
        <v>56</v>
      </c>
      <c r="GL3" s="379"/>
      <c r="GM3" s="378" t="s">
        <v>54</v>
      </c>
      <c r="GN3" s="378" t="s">
        <v>55</v>
      </c>
      <c r="GO3" s="378" t="s">
        <v>56</v>
      </c>
      <c r="GP3" s="379"/>
      <c r="GQ3" s="378" t="s">
        <v>54</v>
      </c>
      <c r="GR3" s="378" t="s">
        <v>55</v>
      </c>
      <c r="GS3" s="378" t="s">
        <v>56</v>
      </c>
      <c r="GT3" s="379"/>
      <c r="GU3" s="378" t="s">
        <v>54</v>
      </c>
      <c r="GV3" s="378" t="s">
        <v>55</v>
      </c>
      <c r="GW3" s="378" t="s">
        <v>56</v>
      </c>
      <c r="GX3" s="379"/>
      <c r="GY3" s="378" t="s">
        <v>54</v>
      </c>
      <c r="GZ3" s="378" t="s">
        <v>55</v>
      </c>
      <c r="HA3" s="378" t="s">
        <v>56</v>
      </c>
      <c r="HB3" s="379"/>
      <c r="HC3" s="378" t="s">
        <v>54</v>
      </c>
      <c r="HD3" s="378" t="s">
        <v>55</v>
      </c>
      <c r="HE3" s="378" t="s">
        <v>56</v>
      </c>
      <c r="HG3" s="378" t="s">
        <v>54</v>
      </c>
      <c r="HH3" s="378" t="s">
        <v>55</v>
      </c>
      <c r="HI3" s="378" t="s">
        <v>56</v>
      </c>
      <c r="HK3" s="378" t="s">
        <v>54</v>
      </c>
      <c r="HL3" s="378" t="s">
        <v>55</v>
      </c>
      <c r="HM3" s="378" t="s">
        <v>56</v>
      </c>
      <c r="HO3" s="378" t="s">
        <v>54</v>
      </c>
      <c r="HP3" s="378" t="s">
        <v>55</v>
      </c>
      <c r="HQ3" s="378" t="s">
        <v>56</v>
      </c>
      <c r="HS3" s="378" t="s">
        <v>54</v>
      </c>
      <c r="HT3" s="378" t="s">
        <v>55</v>
      </c>
      <c r="HU3" s="378" t="s">
        <v>56</v>
      </c>
      <c r="HW3" s="378" t="s">
        <v>54</v>
      </c>
      <c r="HX3" s="378" t="s">
        <v>55</v>
      </c>
      <c r="HY3" s="378" t="s">
        <v>56</v>
      </c>
      <c r="IA3" s="378" t="s">
        <v>54</v>
      </c>
      <c r="IB3" s="378" t="s">
        <v>55</v>
      </c>
      <c r="IC3" s="378" t="s">
        <v>56</v>
      </c>
      <c r="IE3" s="378" t="s">
        <v>54</v>
      </c>
      <c r="IF3" s="378" t="s">
        <v>55</v>
      </c>
      <c r="IG3" s="378" t="s">
        <v>56</v>
      </c>
      <c r="II3" s="378" t="s">
        <v>54</v>
      </c>
      <c r="IJ3" s="378" t="s">
        <v>55</v>
      </c>
      <c r="IK3" s="378" t="s">
        <v>56</v>
      </c>
    </row>
    <row r="4" spans="1:245" x14ac:dyDescent="0.25">
      <c r="A4" s="380">
        <v>1</v>
      </c>
      <c r="B4" s="380" t="s">
        <v>320</v>
      </c>
      <c r="C4" s="431" t="s">
        <v>74</v>
      </c>
      <c r="D4" s="392">
        <v>18318965.5</v>
      </c>
      <c r="E4" s="392">
        <f>'[1]COE DISB 2019'!D12</f>
        <v>18318965.5</v>
      </c>
      <c r="F4" s="383">
        <f t="shared" ref="F4:F67" si="0">D4-E4</f>
        <v>0</v>
      </c>
      <c r="H4" s="392">
        <v>8000000</v>
      </c>
      <c r="I4" s="392">
        <f>'[1]COE DISB 2019'!E12</f>
        <v>8000000</v>
      </c>
      <c r="J4" s="383">
        <f t="shared" ref="J4:J67" si="1">H4-I4</f>
        <v>0</v>
      </c>
      <c r="L4" s="392">
        <v>500000</v>
      </c>
      <c r="M4" s="392">
        <f>'[1]COE DISB 2019'!F12</f>
        <v>500000</v>
      </c>
      <c r="N4" s="383">
        <f t="shared" ref="N4:N67" si="2">L4-M4</f>
        <v>0</v>
      </c>
      <c r="P4" s="353">
        <v>16000000</v>
      </c>
      <c r="Q4" s="392">
        <f>'[1]COE DISB 2019'!G12</f>
        <v>16000000</v>
      </c>
      <c r="R4" s="383">
        <f t="shared" ref="R4:R67" si="3">P4-Q4</f>
        <v>0</v>
      </c>
      <c r="T4" s="385">
        <v>1866000</v>
      </c>
      <c r="U4" s="392">
        <f>'[1]COE DISB 2019'!H12</f>
        <v>1866000</v>
      </c>
      <c r="V4" s="383">
        <f t="shared" ref="V4:V67" si="4">T4-U4</f>
        <v>0</v>
      </c>
      <c r="X4" s="353">
        <v>0</v>
      </c>
      <c r="Y4" s="392">
        <f>'[1]COE DISB 2019'!I12</f>
        <v>0</v>
      </c>
      <c r="Z4" s="383">
        <f t="shared" ref="Z4:Z67" si="5">X4-Y4</f>
        <v>0</v>
      </c>
      <c r="AB4" s="385">
        <v>20000000</v>
      </c>
      <c r="AC4" s="392">
        <f>'[1]COE DISB 2019'!J12</f>
        <v>20000000</v>
      </c>
      <c r="AD4" s="383">
        <f t="shared" ref="AD4:AD67" si="6">AB4-AC4</f>
        <v>0</v>
      </c>
      <c r="AF4" s="353">
        <v>0</v>
      </c>
      <c r="AG4" s="392">
        <f>'[1]COE DISB 2019'!K12</f>
        <v>0</v>
      </c>
      <c r="AH4" s="383">
        <f t="shared" ref="AH4:AH67" si="7">AF4-AG4</f>
        <v>0</v>
      </c>
      <c r="AJ4" s="385">
        <v>10000000</v>
      </c>
      <c r="AK4" s="392">
        <f>'[1]COE DISB 2019'!L12</f>
        <v>10000000</v>
      </c>
      <c r="AL4" s="383">
        <f t="shared" ref="AL4:AL67" si="8">AJ4-AK4</f>
        <v>0</v>
      </c>
      <c r="AN4" s="392">
        <v>10000000</v>
      </c>
      <c r="AO4" s="392">
        <f>'[1]COE DISB 2019'!M12</f>
        <v>10000000</v>
      </c>
      <c r="AP4" s="383">
        <f t="shared" ref="AP4:AP67" si="9">AN4-AO4</f>
        <v>0</v>
      </c>
      <c r="AR4" s="392">
        <v>11250000</v>
      </c>
      <c r="AS4" s="392">
        <f>'[1]COE DISB 2019'!N12</f>
        <v>11250000</v>
      </c>
      <c r="AT4" s="383">
        <f t="shared" ref="AT4:AT67" si="10">AR4-AS4</f>
        <v>0</v>
      </c>
      <c r="AV4" s="392">
        <v>0</v>
      </c>
      <c r="AW4" s="432">
        <f>'[1]COE DISB 2019'!O12</f>
        <v>0</v>
      </c>
      <c r="AX4" s="392">
        <f t="shared" ref="AX4:AX67" si="11">AV4-AW4</f>
        <v>0</v>
      </c>
      <c r="AZ4" s="392">
        <v>18000000</v>
      </c>
      <c r="BA4" s="392">
        <f>'[1]COE DISB 2019'!P12</f>
        <v>18000000</v>
      </c>
      <c r="BB4" s="392">
        <f t="shared" ref="BB4:BB67" si="12">AZ4-BA4</f>
        <v>0</v>
      </c>
      <c r="BD4" s="392">
        <v>23400000</v>
      </c>
      <c r="BE4" s="392">
        <f>'[1]COE DISB 2019'!Q12</f>
        <v>23400000</v>
      </c>
      <c r="BF4" s="392">
        <f t="shared" ref="BF4:BF67" si="13">BD4-BE4</f>
        <v>0</v>
      </c>
      <c r="BH4" s="392">
        <v>0</v>
      </c>
      <c r="BI4" s="392">
        <f>'[1]COE DISB 2019'!R12</f>
        <v>0</v>
      </c>
      <c r="BJ4" s="392">
        <f t="shared" ref="BJ4:BJ67" si="14">BH4-BI4</f>
        <v>0</v>
      </c>
      <c r="BL4" s="392">
        <v>43000000</v>
      </c>
      <c r="BM4" s="392">
        <f>'[1]COE DISB 2019'!S12</f>
        <v>43000000</v>
      </c>
      <c r="BN4" s="392">
        <f t="shared" ref="BN4:BN67" si="15">BL4-BM4</f>
        <v>0</v>
      </c>
      <c r="BP4" s="392">
        <v>37160000</v>
      </c>
      <c r="BQ4" s="392">
        <f>'[1]COE DISB 2019'!T12</f>
        <v>37160000</v>
      </c>
      <c r="BR4" s="392">
        <f t="shared" ref="BR4:BR67" si="16">BP4-BQ4</f>
        <v>0</v>
      </c>
      <c r="BT4" s="392">
        <v>0</v>
      </c>
      <c r="BU4" s="392">
        <f>'[1]COE DISB 2019'!U12</f>
        <v>0</v>
      </c>
      <c r="BV4" s="392">
        <f t="shared" ref="BV4:BV67" si="17">BT4-BU4</f>
        <v>0</v>
      </c>
      <c r="BX4" s="392">
        <v>112670000</v>
      </c>
      <c r="BY4" s="392">
        <f>'[1]COE DISB 2019'!V12</f>
        <v>112670000</v>
      </c>
      <c r="BZ4" s="392">
        <f t="shared" ref="BZ4:BZ67" si="18">BX4-BY4</f>
        <v>0</v>
      </c>
      <c r="CB4" s="392">
        <f>'[1]COE commited funds to date'!W7</f>
        <v>0</v>
      </c>
      <c r="CC4" s="392">
        <f>'[1]COE DISB 2019'!W12</f>
        <v>0</v>
      </c>
      <c r="CD4" s="392">
        <f t="shared" ref="CD4:CD67" si="19">CB4-CC4</f>
        <v>0</v>
      </c>
      <c r="CF4" s="392">
        <f>'[1]COE commited funds to date'!X7</f>
        <v>125000000</v>
      </c>
      <c r="CG4" s="392">
        <f>'[1]COE DISB 2019'!X12</f>
        <v>125000000</v>
      </c>
      <c r="CH4" s="392">
        <f t="shared" ref="CH4:CH67" si="20">CF4-CG4</f>
        <v>0</v>
      </c>
      <c r="CJ4" s="392">
        <v>10000000</v>
      </c>
      <c r="CK4" s="392">
        <f>'[1]COE DISB 2019'!Y12</f>
        <v>10000000</v>
      </c>
      <c r="CL4" s="392">
        <f t="shared" ref="CL4:CL67" si="21">CJ4-CK4</f>
        <v>0</v>
      </c>
      <c r="CN4" s="392">
        <v>0</v>
      </c>
      <c r="CO4" s="392">
        <f>'[1]COE DISB 2019'!Z12</f>
        <v>0</v>
      </c>
      <c r="CP4" s="392">
        <f t="shared" ref="CP4:CP67" si="22">CN4-CO4</f>
        <v>0</v>
      </c>
      <c r="CR4" s="392">
        <v>210000000</v>
      </c>
      <c r="CS4" s="392">
        <f>'[1]COE DISB 2019'!AA12</f>
        <v>210000000</v>
      </c>
      <c r="CT4" s="392">
        <f t="shared" ref="CT4:CT67" si="23">CR4-CS4</f>
        <v>0</v>
      </c>
      <c r="CV4" s="392">
        <v>10000000</v>
      </c>
      <c r="CW4" s="392">
        <f>'[1]COE DISB 2019'!AB12</f>
        <v>10000000</v>
      </c>
      <c r="CX4" s="392">
        <f t="shared" ref="CX4:CX67" si="24">CV4-CW4</f>
        <v>0</v>
      </c>
      <c r="CZ4" s="392">
        <f>'[1]COE commited funds to date'!AC7</f>
        <v>0</v>
      </c>
      <c r="DA4" s="392">
        <f>'[1]COE DISB 2019'!AC12</f>
        <v>0</v>
      </c>
      <c r="DB4" s="392">
        <f t="shared" ref="DB4:DB67" si="25">CZ4-DA4</f>
        <v>0</v>
      </c>
      <c r="DC4" s="394"/>
      <c r="DD4" s="392">
        <v>215000000</v>
      </c>
      <c r="DE4" s="392">
        <f>'[1]COE DISB 2019'!AD12</f>
        <v>215000000</v>
      </c>
      <c r="DF4" s="392">
        <f t="shared" ref="DF4:DF56" si="26">DD4-DE4</f>
        <v>0</v>
      </c>
      <c r="DG4" s="394"/>
      <c r="DH4" s="392">
        <v>10000000</v>
      </c>
      <c r="DI4" s="392">
        <f>'[1]COE DISB 2019'!AE12</f>
        <v>10000000</v>
      </c>
      <c r="DJ4" s="392">
        <f t="shared" ref="DJ4:DJ28" si="27">DH4-DI4</f>
        <v>0</v>
      </c>
      <c r="DK4" s="394"/>
      <c r="DL4" s="392">
        <f>'[1]COE commited funds to date'!AD7</f>
        <v>0</v>
      </c>
      <c r="DM4" s="392">
        <f>'[1]COE DISB 2019'!AF12</f>
        <v>0</v>
      </c>
      <c r="DN4" s="392">
        <f t="shared" ref="DN4:DN67" si="28">DL4-DM4</f>
        <v>0</v>
      </c>
      <c r="DO4" s="394"/>
      <c r="DP4" s="392">
        <v>325000000</v>
      </c>
      <c r="DQ4" s="392">
        <f>'[1]COE DISB 2019'!AG12</f>
        <v>198250000</v>
      </c>
      <c r="DR4" s="392">
        <f t="shared" ref="DR4:DR67" si="29">DP4-DQ4</f>
        <v>126750000</v>
      </c>
      <c r="DS4" s="394"/>
      <c r="DT4" s="397">
        <v>10000000</v>
      </c>
      <c r="DU4" s="392">
        <f>'[1]COE DISB 2019'!AH12</f>
        <v>10000000</v>
      </c>
      <c r="DV4" s="392">
        <f t="shared" ref="DV4:DV67" si="30">DT4-DU4</f>
        <v>0</v>
      </c>
      <c r="DW4" s="394"/>
      <c r="DX4" s="392">
        <f>'[1]COE commited funds to date'!AI7</f>
        <v>450000000</v>
      </c>
      <c r="DY4" s="392">
        <f>'[1]COE DISB 2019'!AI12</f>
        <v>421500000</v>
      </c>
      <c r="DZ4" s="392">
        <f t="shared" ref="DZ4:DZ67" si="31">DX4-DY4</f>
        <v>28500000</v>
      </c>
      <c r="EA4" s="394"/>
      <c r="EB4" s="392">
        <f>'[1]COE commited funds to date'!AJ7</f>
        <v>72000000</v>
      </c>
      <c r="EC4" s="392">
        <f>'[1]COE DISB 2019'!AJ12</f>
        <v>43920000</v>
      </c>
      <c r="ED4" s="392">
        <f t="shared" ref="ED4:ED67" si="32">EB4-EC4</f>
        <v>28080000</v>
      </c>
      <c r="EE4" s="394"/>
      <c r="EF4" s="392">
        <f>'[1]COE commited funds to date'!AK7</f>
        <v>8000000</v>
      </c>
      <c r="EG4" s="392">
        <f>'[1]COE DISB 2019'!AK12</f>
        <v>4000000</v>
      </c>
      <c r="EH4" s="392">
        <f t="shared" ref="EH4:EH67" si="33">EF4-EG4</f>
        <v>4000000</v>
      </c>
      <c r="EI4" s="394"/>
      <c r="EJ4" s="392">
        <f>'[1]COE commited funds to date'!AL7</f>
        <v>2000000</v>
      </c>
      <c r="EK4" s="392">
        <f>'[1]COE DISB 2019'!AL12</f>
        <v>0</v>
      </c>
      <c r="EL4" s="392">
        <f t="shared" ref="EL4:EL67" si="34">EJ4-EK4</f>
        <v>2000000</v>
      </c>
      <c r="EM4" s="394"/>
      <c r="EN4" s="392">
        <f>'[1]COE commited funds to date'!AM7</f>
        <v>7000000</v>
      </c>
      <c r="EO4" s="392">
        <f>'[1]COE DISB 2019'!AM12</f>
        <v>7000000</v>
      </c>
      <c r="EP4" s="392">
        <f t="shared" ref="EP4:EP67" si="35">EN4-EO4</f>
        <v>0</v>
      </c>
      <c r="EQ4" s="394"/>
      <c r="ER4" s="392">
        <f>'[1]COE commited funds to date'!AN7</f>
        <v>2000000000</v>
      </c>
      <c r="ES4" s="392">
        <f>'[1]COE DISB 2019'!AN12</f>
        <v>1880000000</v>
      </c>
      <c r="ET4" s="392">
        <f t="shared" ref="ET4:ET67" si="36">ER4-ES4</f>
        <v>120000000</v>
      </c>
      <c r="EV4" s="383">
        <f>'[1]COE commited funds to date'!AO7</f>
        <v>371067000</v>
      </c>
      <c r="EW4" s="383">
        <f>'[1]COE DISB 2019'!AO12</f>
        <v>226350870</v>
      </c>
      <c r="EX4" s="383">
        <f>EV4-EW4</f>
        <v>144716130</v>
      </c>
      <c r="EY4" s="380"/>
      <c r="EZ4" s="383">
        <f>'[1]COE commited funds to date'!AQ7</f>
        <v>12000000</v>
      </c>
      <c r="FA4" s="383">
        <f>'[1]COE DISB 2019'!AP12</f>
        <v>12000000</v>
      </c>
      <c r="FB4" s="383">
        <f>EZ4-FA4</f>
        <v>0</v>
      </c>
      <c r="FC4" s="380"/>
      <c r="FD4" s="383">
        <f>'[1]COE commited funds to date'!AR7</f>
        <v>10000000</v>
      </c>
      <c r="FE4" s="383">
        <f>'[1]COE DISB 2019'!AQ12</f>
        <v>0</v>
      </c>
      <c r="FF4" s="383">
        <f>FD4-FE4</f>
        <v>10000000</v>
      </c>
      <c r="FG4" s="380"/>
      <c r="FH4" s="383">
        <f>'[1]COE commited funds to date'!AP7</f>
        <v>8000000</v>
      </c>
      <c r="FI4" s="383">
        <f>'[1]COE DISB 2019'!AR12</f>
        <v>4000000</v>
      </c>
      <c r="FJ4" s="383">
        <f>FH4-FI4</f>
        <v>4000000</v>
      </c>
      <c r="FK4" s="383">
        <f>'[1]COE commited funds to date'!AS7</f>
        <v>0</v>
      </c>
      <c r="FL4" s="383">
        <f>'[1]COE DISB 2019'!AS12</f>
        <v>0</v>
      </c>
      <c r="FM4" s="383">
        <f>FK4-FL4</f>
        <v>0</v>
      </c>
      <c r="FN4" s="380"/>
      <c r="FO4" s="383">
        <f>'[1]COE commited funds to date'!AT7</f>
        <v>200000000</v>
      </c>
      <c r="FP4" s="383">
        <f>'[1]COE DISB 2019'!AT12</f>
        <v>0</v>
      </c>
      <c r="FQ4" s="383">
        <f>FO4-FP4</f>
        <v>200000000</v>
      </c>
      <c r="FR4" s="380"/>
      <c r="FS4" s="383">
        <f>'[1]COE commited funds to date'!AU7</f>
        <v>75000000</v>
      </c>
      <c r="FT4" s="383">
        <f>'[1]COE DISB 2019'!AU12</f>
        <v>51750000</v>
      </c>
      <c r="FU4" s="383">
        <f>FS4-FT4</f>
        <v>23250000</v>
      </c>
      <c r="FV4" s="380"/>
      <c r="FW4" s="383">
        <f>'[1]COE commited funds to date'!AV7</f>
        <v>8700000</v>
      </c>
      <c r="FX4" s="383">
        <f>'[1]COE DISB 2019'!AV12</f>
        <v>0</v>
      </c>
      <c r="FY4" s="383">
        <f>FW4-FX4</f>
        <v>8700000</v>
      </c>
      <c r="FZ4" s="380"/>
      <c r="GA4" s="383">
        <f>'[1]COE commited funds to date'!AW7</f>
        <v>5000000</v>
      </c>
      <c r="GB4" s="383">
        <f>'[1]COE DISB 2019'!AW12</f>
        <v>0</v>
      </c>
      <c r="GC4" s="383">
        <f>GA4-GB4</f>
        <v>5000000</v>
      </c>
      <c r="GD4" s="380"/>
      <c r="GE4" s="383">
        <f>'[1]COE commited funds to date'!AX7</f>
        <v>20000000</v>
      </c>
      <c r="GF4" s="383">
        <f>'[1]COE DISB 2019'!AX12</f>
        <v>716400</v>
      </c>
      <c r="GG4" s="383">
        <f>GE4-GF4</f>
        <v>19283600</v>
      </c>
      <c r="GH4" s="380"/>
      <c r="GI4" s="383">
        <f>'[1]COE commited funds to date'!AY7</f>
        <v>230000000</v>
      </c>
      <c r="GJ4" s="383">
        <f>'[1]COE DISB 2019'!AY12</f>
        <v>0</v>
      </c>
      <c r="GK4" s="383">
        <f>GI4-GJ4</f>
        <v>230000000</v>
      </c>
      <c r="GL4" s="380"/>
      <c r="GM4" s="383">
        <f>'[1]COE commited funds to date'!AZ7</f>
        <v>116776600</v>
      </c>
      <c r="GN4" s="383">
        <f>'[1]COE DISB 2019'!AZ12</f>
        <v>0</v>
      </c>
      <c r="GO4" s="383">
        <f>GM4-GN4</f>
        <v>116776600</v>
      </c>
      <c r="GP4" s="380"/>
      <c r="GQ4" s="383">
        <f>'[1]COE commited funds to date'!BA7</f>
        <v>12000000</v>
      </c>
      <c r="GR4" s="383">
        <f>'[1]COE DISB 2019'!BA12</f>
        <v>0</v>
      </c>
      <c r="GS4" s="383">
        <f>GQ4-GR4</f>
        <v>12000000</v>
      </c>
      <c r="GT4" s="380"/>
      <c r="GU4" s="383">
        <f>'[1]COE commited funds to date'!BB7</f>
        <v>5000000</v>
      </c>
      <c r="GV4" s="383">
        <f>'[1]COE DISB 2019'!BB12</f>
        <v>0</v>
      </c>
      <c r="GW4" s="383">
        <f>GU4-GV4</f>
        <v>5000000</v>
      </c>
      <c r="GX4" s="380"/>
      <c r="GY4" s="383">
        <f>'[1]COE commited funds to date'!BC7</f>
        <v>10308300</v>
      </c>
      <c r="GZ4" s="383">
        <f>'[1]COE DISB 2019'!BC12</f>
        <v>0</v>
      </c>
      <c r="HA4" s="383">
        <f>GY4-GZ4</f>
        <v>10308300</v>
      </c>
      <c r="HB4" s="380"/>
      <c r="HC4" s="383">
        <f>DH4+DD4+D4+H4+L4+P4+T4+X4+AB4+AF4+AJ4+AN4+AR4+AV4+AZ4+BD4+BH4+BL4+BP4+BT4+BX4+CB4+CF4+CJ4+CN4+CR4+CV4+CZ4+DL4+DP4+DT4+DX4+EB4+EF4+EJ4+EN4+ER4+EV4+EZ4+FD4+FH4+FK4+FO4+FS4+FW4+GA4+GE4+GI4+GM4+GQ4+GU4+GY4</f>
        <v>4868016865.5</v>
      </c>
      <c r="HD4" s="383">
        <f>DI4+DE4+E4+I4+M4+Q4+U4+Y4+AC4+AG4+AK4+AO4+AS4+AW4+BA4+BE4+BI4+BM4+BQ4+BU4+BY4+CC4+CG4+CK4+CO4+CS4+CW4+DA4+DM4+DQ4+DU4+DY4+EC4+EG4+EK4+EO4+ES4+EW4+FA4+FE4+FI4+FL4+FP4+FT4+FX4+GB4+GF4+GJ4+GN4+GR4+GV4+GZ4</f>
        <v>3769652235.5</v>
      </c>
      <c r="HE4" s="392">
        <f>HC4-HD4</f>
        <v>1098364630</v>
      </c>
      <c r="HG4" s="383">
        <f>D4+H4+P4+AB4+AJ4+AN4+AR4+AZ4+BD4+BL4+BP4+BX4+CF4+CR4+DD4+DP4+EB4+EV4+FO4+GI4</f>
        <v>2075865965.5</v>
      </c>
      <c r="HH4" s="383">
        <f>E4+I4+Q4+AC4+AK4+AO4+AS4+BA4+BE4+BM4+BQ4+BY4+CG4+CS4+DE4+DQ4+EC4+EW4+FP4+GJ4</f>
        <v>1346319835.5</v>
      </c>
      <c r="HI4" s="383">
        <f>HG4-HH4</f>
        <v>729546130</v>
      </c>
      <c r="HK4" s="383">
        <f>BH4+BT4+CB4+CN4+CZ4+DL4+DX4+ER4</f>
        <v>2450000000</v>
      </c>
      <c r="HL4" s="383">
        <f>BI4+BU4+CC4+CO4+DA4+DM4+DY4+ES4</f>
        <v>2301500000</v>
      </c>
      <c r="HM4" s="383">
        <f>HK4-HL4</f>
        <v>148500000</v>
      </c>
      <c r="HO4" s="383">
        <f t="shared" ref="HO4:HP35" si="37">L4+T4+AF4</f>
        <v>2366000</v>
      </c>
      <c r="HP4" s="383">
        <f t="shared" si="37"/>
        <v>2366000</v>
      </c>
      <c r="HQ4" s="383">
        <f>HO4-HP4</f>
        <v>0</v>
      </c>
      <c r="HS4" s="383">
        <f>CJ4+CV4+DH4+DT4+EN4+EZ4+GE4+GY4</f>
        <v>89308300</v>
      </c>
      <c r="HT4" s="383">
        <f>CK4+CW4+DI4+DU4+EO4+FA4+GF4+GZ4</f>
        <v>59716400</v>
      </c>
      <c r="HU4" s="383">
        <f>HS4-HT4</f>
        <v>29591900</v>
      </c>
      <c r="HW4" s="383">
        <f>EF4+FH4+FW4+GQ4</f>
        <v>36700000</v>
      </c>
      <c r="HX4" s="383">
        <f>EG4+FI4+FX4+GR4</f>
        <v>8000000</v>
      </c>
      <c r="HY4" s="383">
        <f>HW4-HX4</f>
        <v>28700000</v>
      </c>
      <c r="IA4" s="387">
        <f>FD4+GA4+GU4</f>
        <v>20000000</v>
      </c>
      <c r="IB4" s="387">
        <f>FE4+GB4+GV4</f>
        <v>0</v>
      </c>
      <c r="IC4" s="387">
        <f>IA4-IB4</f>
        <v>20000000</v>
      </c>
      <c r="IE4" s="383">
        <f>FK4+FS4+GM4</f>
        <v>191776600</v>
      </c>
      <c r="IF4" s="383">
        <f>FL4+FT4+GN4</f>
        <v>51750000</v>
      </c>
      <c r="IG4" s="383">
        <f>IE4-IF4</f>
        <v>140026600</v>
      </c>
      <c r="II4" s="383">
        <f>EJ4</f>
        <v>2000000</v>
      </c>
      <c r="IJ4" s="383">
        <f>EK4</f>
        <v>0</v>
      </c>
      <c r="IK4" s="383">
        <f>II4-IJ4</f>
        <v>2000000</v>
      </c>
    </row>
    <row r="5" spans="1:245" x14ac:dyDescent="0.25">
      <c r="A5" s="380">
        <v>2</v>
      </c>
      <c r="B5" s="380" t="s">
        <v>321</v>
      </c>
      <c r="C5" s="431" t="s">
        <v>76</v>
      </c>
      <c r="D5" s="392">
        <v>18318743.800000001</v>
      </c>
      <c r="E5" s="392">
        <f>'[1]COE DISB 2019'!D13</f>
        <v>18318743.800000001</v>
      </c>
      <c r="F5" s="383">
        <f t="shared" si="0"/>
        <v>0</v>
      </c>
      <c r="H5" s="392">
        <v>8000000</v>
      </c>
      <c r="I5" s="392">
        <f>'[1]COE DISB 2019'!E13</f>
        <v>8000000</v>
      </c>
      <c r="J5" s="383">
        <f t="shared" si="1"/>
        <v>0</v>
      </c>
      <c r="L5" s="392">
        <v>500000</v>
      </c>
      <c r="M5" s="392">
        <f>'[1]COE DISB 2019'!F13</f>
        <v>500000</v>
      </c>
      <c r="N5" s="383">
        <f t="shared" si="2"/>
        <v>0</v>
      </c>
      <c r="P5" s="353">
        <v>16000000</v>
      </c>
      <c r="Q5" s="392">
        <f>'[1]COE DISB 2019'!G13</f>
        <v>16000000</v>
      </c>
      <c r="R5" s="383">
        <f t="shared" si="3"/>
        <v>0</v>
      </c>
      <c r="T5" s="385">
        <v>1866000</v>
      </c>
      <c r="U5" s="392">
        <f>'[1]COE DISB 2019'!H13</f>
        <v>1866000</v>
      </c>
      <c r="V5" s="383">
        <f t="shared" si="4"/>
        <v>0</v>
      </c>
      <c r="X5" s="385">
        <v>4000000</v>
      </c>
      <c r="Y5" s="392">
        <f>'[1]COE DISB 2019'!I13</f>
        <v>4000000</v>
      </c>
      <c r="Z5" s="383">
        <f t="shared" si="5"/>
        <v>0</v>
      </c>
      <c r="AB5" s="385">
        <v>20000000</v>
      </c>
      <c r="AC5" s="392">
        <f>'[1]COE DISB 2019'!J13</f>
        <v>20000000</v>
      </c>
      <c r="AD5" s="383">
        <f t="shared" si="6"/>
        <v>0</v>
      </c>
      <c r="AF5" s="353">
        <v>0</v>
      </c>
      <c r="AG5" s="392">
        <f>'[1]COE DISB 2019'!K13</f>
        <v>0</v>
      </c>
      <c r="AH5" s="383">
        <f t="shared" si="7"/>
        <v>0</v>
      </c>
      <c r="AJ5" s="385">
        <v>10000000</v>
      </c>
      <c r="AK5" s="392">
        <f>'[1]COE DISB 2019'!L13</f>
        <v>10000000</v>
      </c>
      <c r="AL5" s="383">
        <f t="shared" si="8"/>
        <v>0</v>
      </c>
      <c r="AN5" s="392">
        <v>10000000</v>
      </c>
      <c r="AO5" s="392">
        <f>'[1]COE DISB 2019'!M13</f>
        <v>10000000</v>
      </c>
      <c r="AP5" s="383">
        <f t="shared" si="9"/>
        <v>0</v>
      </c>
      <c r="AR5" s="392">
        <v>15000000</v>
      </c>
      <c r="AS5" s="392">
        <f>'[1]COE DISB 2019'!N13</f>
        <v>15000000</v>
      </c>
      <c r="AT5" s="383">
        <f t="shared" si="10"/>
        <v>0</v>
      </c>
      <c r="AV5" s="392">
        <v>10000000</v>
      </c>
      <c r="AW5" s="432">
        <f>'[1]COE DISB 2019'!O13</f>
        <v>10000000</v>
      </c>
      <c r="AX5" s="392">
        <f t="shared" si="11"/>
        <v>0</v>
      </c>
      <c r="AZ5" s="392">
        <v>18000000</v>
      </c>
      <c r="BA5" s="392">
        <f>'[1]COE DISB 2019'!P13</f>
        <v>18000000</v>
      </c>
      <c r="BB5" s="392">
        <f t="shared" si="12"/>
        <v>0</v>
      </c>
      <c r="BD5" s="392">
        <v>23400000</v>
      </c>
      <c r="BE5" s="392">
        <f>'[1]COE DISB 2019'!Q13</f>
        <v>23400000</v>
      </c>
      <c r="BF5" s="392">
        <f t="shared" si="13"/>
        <v>0</v>
      </c>
      <c r="BH5" s="392">
        <v>0</v>
      </c>
      <c r="BI5" s="392">
        <f>'[1]COE DISB 2019'!R13</f>
        <v>0</v>
      </c>
      <c r="BJ5" s="392">
        <f t="shared" si="14"/>
        <v>0</v>
      </c>
      <c r="BL5" s="392">
        <v>43000000</v>
      </c>
      <c r="BM5" s="392">
        <f>'[1]COE DISB 2019'!S13</f>
        <v>43000400</v>
      </c>
      <c r="BN5" s="392">
        <f t="shared" si="15"/>
        <v>-400</v>
      </c>
      <c r="BP5" s="392">
        <v>35747400</v>
      </c>
      <c r="BQ5" s="392">
        <f>'[1]COE DISB 2019'!T13</f>
        <v>35747400</v>
      </c>
      <c r="BR5" s="392">
        <f t="shared" si="16"/>
        <v>0</v>
      </c>
      <c r="BT5" s="392">
        <v>0</v>
      </c>
      <c r="BU5" s="392">
        <f>'[1]COE DISB 2019'!U13</f>
        <v>0</v>
      </c>
      <c r="BV5" s="392">
        <f t="shared" si="17"/>
        <v>0</v>
      </c>
      <c r="BX5" s="392">
        <v>112670000</v>
      </c>
      <c r="BY5" s="392">
        <f>'[1]COE DISB 2019'!V13</f>
        <v>112670000</v>
      </c>
      <c r="BZ5" s="392">
        <f t="shared" si="18"/>
        <v>0</v>
      </c>
      <c r="CB5" s="392">
        <f>'[1]COE commited funds to date'!W8</f>
        <v>0</v>
      </c>
      <c r="CC5" s="392">
        <f>'[1]COE DISB 2019'!W13</f>
        <v>0</v>
      </c>
      <c r="CD5" s="392">
        <f t="shared" si="19"/>
        <v>0</v>
      </c>
      <c r="CF5" s="392">
        <f>'[1]COE commited funds to date'!X8</f>
        <v>125000000</v>
      </c>
      <c r="CG5" s="392">
        <f>'[1]COE DISB 2019'!X13</f>
        <v>125000000</v>
      </c>
      <c r="CH5" s="392">
        <f t="shared" si="20"/>
        <v>0</v>
      </c>
      <c r="CJ5" s="392">
        <v>10000000</v>
      </c>
      <c r="CK5" s="392">
        <f>'[1]COE DISB 2019'!Y13</f>
        <v>10000000</v>
      </c>
      <c r="CL5" s="392">
        <f t="shared" si="21"/>
        <v>0</v>
      </c>
      <c r="CN5" s="392">
        <v>200000000</v>
      </c>
      <c r="CO5" s="392">
        <f>'[1]COE DISB 2019'!Z13</f>
        <v>200000000</v>
      </c>
      <c r="CP5" s="392">
        <f t="shared" si="22"/>
        <v>0</v>
      </c>
      <c r="CR5" s="392">
        <v>210000000</v>
      </c>
      <c r="CS5" s="392">
        <f>'[1]COE DISB 2019'!AA13</f>
        <v>178500000</v>
      </c>
      <c r="CT5" s="392">
        <f t="shared" si="23"/>
        <v>31500000</v>
      </c>
      <c r="CV5" s="392">
        <v>10000000</v>
      </c>
      <c r="CW5" s="392">
        <f>'[1]COE DISB 2019'!AB13</f>
        <v>10000000</v>
      </c>
      <c r="CX5" s="392">
        <f t="shared" si="24"/>
        <v>0</v>
      </c>
      <c r="CZ5" s="392">
        <f>'[1]COE commited funds to date'!AC8</f>
        <v>292000000</v>
      </c>
      <c r="DA5" s="392">
        <f>'[1]COE DISB 2019'!AC13</f>
        <v>262000000</v>
      </c>
      <c r="DB5" s="392">
        <f t="shared" si="25"/>
        <v>30000000</v>
      </c>
      <c r="DC5" s="394"/>
      <c r="DD5" s="392">
        <v>215000000</v>
      </c>
      <c r="DE5" s="392">
        <f>'[1]COE DISB 2019'!AD13</f>
        <v>182750000</v>
      </c>
      <c r="DF5" s="392">
        <f t="shared" si="26"/>
        <v>32250000</v>
      </c>
      <c r="DG5" s="394"/>
      <c r="DH5" s="392">
        <v>10000000</v>
      </c>
      <c r="DI5" s="392">
        <f>'[1]COE DISB 2019'!AE13</f>
        <v>10000000</v>
      </c>
      <c r="DJ5" s="392">
        <f t="shared" si="27"/>
        <v>0</v>
      </c>
      <c r="DK5" s="394"/>
      <c r="DL5" s="392">
        <f>'[1]COE commited funds to date'!AD8</f>
        <v>0</v>
      </c>
      <c r="DM5" s="392">
        <f>'[1]COE DISB 2019'!AF13</f>
        <v>0</v>
      </c>
      <c r="DN5" s="392">
        <f t="shared" si="28"/>
        <v>0</v>
      </c>
      <c r="DO5" s="394"/>
      <c r="DP5" s="392">
        <v>325000000</v>
      </c>
      <c r="DQ5" s="392">
        <f>'[1]COE DISB 2019'!AG13</f>
        <v>276250000</v>
      </c>
      <c r="DR5" s="392">
        <f t="shared" si="29"/>
        <v>48750000</v>
      </c>
      <c r="DS5" s="394"/>
      <c r="DT5" s="397">
        <v>10000000</v>
      </c>
      <c r="DU5" s="392">
        <f>'[1]COE DISB 2019'!AH13</f>
        <v>10000000</v>
      </c>
      <c r="DV5" s="392">
        <f t="shared" si="30"/>
        <v>0</v>
      </c>
      <c r="DW5" s="394"/>
      <c r="DX5" s="392">
        <f>'[1]COE commited funds to date'!AI8</f>
        <v>0</v>
      </c>
      <c r="DY5" s="392">
        <f>'[1]COE DISB 2019'!AI13</f>
        <v>0</v>
      </c>
      <c r="DZ5" s="392">
        <f t="shared" si="31"/>
        <v>0</v>
      </c>
      <c r="EA5" s="394"/>
      <c r="EB5" s="392">
        <f>'[1]COE commited funds to date'!AJ8</f>
        <v>72000000</v>
      </c>
      <c r="EC5" s="392">
        <f>'[1]COE DISB 2019'!AJ13</f>
        <v>61200000</v>
      </c>
      <c r="ED5" s="392">
        <f t="shared" si="32"/>
        <v>10800000</v>
      </c>
      <c r="EE5" s="394"/>
      <c r="EF5" s="392">
        <f>'[1]COE commited funds to date'!AK8</f>
        <v>8000000</v>
      </c>
      <c r="EG5" s="392">
        <f>'[1]COE DISB 2019'!AK13</f>
        <v>0</v>
      </c>
      <c r="EH5" s="392">
        <f t="shared" si="33"/>
        <v>8000000</v>
      </c>
      <c r="EI5" s="394"/>
      <c r="EJ5" s="392">
        <f>'[1]COE commited funds to date'!AL8</f>
        <v>2000000</v>
      </c>
      <c r="EK5" s="392">
        <f>'[1]COE DISB 2019'!AL13</f>
        <v>0</v>
      </c>
      <c r="EL5" s="392">
        <f t="shared" si="34"/>
        <v>2000000</v>
      </c>
      <c r="EM5" s="394"/>
      <c r="EN5" s="392">
        <f>'[1]COE commited funds to date'!AM8</f>
        <v>7000000</v>
      </c>
      <c r="EO5" s="392">
        <f>'[1]COE DISB 2019'!AM13</f>
        <v>7000000</v>
      </c>
      <c r="EP5" s="392">
        <f t="shared" si="35"/>
        <v>0</v>
      </c>
      <c r="EQ5" s="394"/>
      <c r="ER5" s="392">
        <f>'[1]COE commited funds to date'!AN8</f>
        <v>0</v>
      </c>
      <c r="ES5" s="392">
        <f>'[1]COE DISB 2019'!AN13</f>
        <v>0</v>
      </c>
      <c r="ET5" s="392">
        <f t="shared" si="36"/>
        <v>0</v>
      </c>
      <c r="EV5" s="383">
        <f>'[1]COE commited funds to date'!AO8</f>
        <v>371067000</v>
      </c>
      <c r="EW5" s="383">
        <f>'[1]COE DISB 2019'!AO13</f>
        <v>0</v>
      </c>
      <c r="EX5" s="383">
        <f t="shared" ref="EX5:EX68" si="38">EV5-EW5</f>
        <v>371067000</v>
      </c>
      <c r="EY5" s="380"/>
      <c r="EZ5" s="383">
        <f>'[1]COE commited funds to date'!AQ8</f>
        <v>12000000</v>
      </c>
      <c r="FA5" s="383">
        <f>'[1]COE DISB 2019'!AP13</f>
        <v>12000000</v>
      </c>
      <c r="FB5" s="383">
        <f t="shared" ref="FB5:FB68" si="39">EZ5-FA5</f>
        <v>0</v>
      </c>
      <c r="FC5" s="380"/>
      <c r="FD5" s="383">
        <f>'[1]COE commited funds to date'!AR8</f>
        <v>10000000</v>
      </c>
      <c r="FE5" s="383">
        <f>'[1]COE DISB 2019'!AQ13</f>
        <v>0</v>
      </c>
      <c r="FF5" s="383">
        <f t="shared" ref="FF5:FF68" si="40">FD5-FE5</f>
        <v>10000000</v>
      </c>
      <c r="FG5" s="380"/>
      <c r="FH5" s="383">
        <f>'[1]COE commited funds to date'!AP8</f>
        <v>8000000</v>
      </c>
      <c r="FI5" s="383">
        <f>'[1]COE DISB 2019'!AR13</f>
        <v>0</v>
      </c>
      <c r="FJ5" s="383">
        <f t="shared" ref="FJ5:FJ68" si="41">FH5-FI5</f>
        <v>8000000</v>
      </c>
      <c r="FK5" s="383">
        <f>'[1]COE commited funds to date'!AS8</f>
        <v>150000000</v>
      </c>
      <c r="FL5" s="383">
        <f>'[1]COE DISB 2019'!AS13</f>
        <v>127500000</v>
      </c>
      <c r="FM5" s="383">
        <f t="shared" ref="FM5:FM68" si="42">FK5-FL5</f>
        <v>22500000</v>
      </c>
      <c r="FN5" s="380"/>
      <c r="FO5" s="383">
        <f>'[1]COE commited funds to date'!AT8</f>
        <v>200000000</v>
      </c>
      <c r="FP5" s="383">
        <f>'[1]COE DISB 2019'!AT13</f>
        <v>0</v>
      </c>
      <c r="FQ5" s="383">
        <f t="shared" ref="FQ5:FQ68" si="43">FO5-FP5</f>
        <v>200000000</v>
      </c>
      <c r="FR5" s="380"/>
      <c r="FS5" s="383">
        <f>'[1]COE commited funds to date'!AU8</f>
        <v>75000000</v>
      </c>
      <c r="FT5" s="383">
        <f>'[1]COE DISB 2019'!AU13</f>
        <v>51000000</v>
      </c>
      <c r="FU5" s="383">
        <f t="shared" ref="FU5:FU68" si="44">FS5-FT5</f>
        <v>24000000</v>
      </c>
      <c r="FV5" s="380"/>
      <c r="FW5" s="383">
        <f>'[1]COE commited funds to date'!AV8</f>
        <v>8700000</v>
      </c>
      <c r="FX5" s="383">
        <f>'[1]COE DISB 2019'!AV13</f>
        <v>0</v>
      </c>
      <c r="FY5" s="383">
        <f t="shared" ref="FY5:FY68" si="45">FW5-FX5</f>
        <v>8700000</v>
      </c>
      <c r="FZ5" s="380"/>
      <c r="GA5" s="383">
        <f>'[1]COE commited funds to date'!AW8</f>
        <v>5000000</v>
      </c>
      <c r="GB5" s="383">
        <f>'[1]COE DISB 2019'!AW13</f>
        <v>0</v>
      </c>
      <c r="GC5" s="383">
        <f t="shared" ref="GC5:GC68" si="46">GA5-GB5</f>
        <v>5000000</v>
      </c>
      <c r="GD5" s="380"/>
      <c r="GE5" s="383">
        <f>'[1]COE commited funds to date'!AX8</f>
        <v>20000000</v>
      </c>
      <c r="GF5" s="383">
        <f>'[1]COE DISB 2019'!AX13</f>
        <v>17660200</v>
      </c>
      <c r="GG5" s="383">
        <f t="shared" ref="GG5:GG68" si="47">GE5-GF5</f>
        <v>2339800</v>
      </c>
      <c r="GH5" s="380"/>
      <c r="GI5" s="383">
        <f>'[1]COE commited funds to date'!AY8</f>
        <v>230000000</v>
      </c>
      <c r="GJ5" s="383">
        <f>'[1]COE DISB 2019'!AY13</f>
        <v>0</v>
      </c>
      <c r="GK5" s="383">
        <f t="shared" ref="GK5:GK68" si="48">GI5-GJ5</f>
        <v>230000000</v>
      </c>
      <c r="GL5" s="380"/>
      <c r="GM5" s="383">
        <f>'[1]COE commited funds to date'!AZ8</f>
        <v>116776600</v>
      </c>
      <c r="GN5" s="383">
        <f>'[1]COE DISB 2019'!AZ13</f>
        <v>0</v>
      </c>
      <c r="GO5" s="383">
        <f t="shared" ref="GO5:GO68" si="49">GM5-GN5</f>
        <v>116776600</v>
      </c>
      <c r="GP5" s="380"/>
      <c r="GQ5" s="383">
        <f>'[1]COE commited funds to date'!BA8</f>
        <v>12000000</v>
      </c>
      <c r="GR5" s="383">
        <f>'[1]COE DISB 2019'!BA13</f>
        <v>0</v>
      </c>
      <c r="GS5" s="383">
        <f t="shared" ref="GS5:GS68" si="50">GQ5-GR5</f>
        <v>12000000</v>
      </c>
      <c r="GT5" s="380"/>
      <c r="GU5" s="383">
        <f>'[1]COE commited funds to date'!BB8</f>
        <v>5000000</v>
      </c>
      <c r="GV5" s="383">
        <f>'[1]COE DISB 2019'!BB13</f>
        <v>0</v>
      </c>
      <c r="GW5" s="383">
        <f t="shared" ref="GW5:GW68" si="51">GU5-GV5</f>
        <v>5000000</v>
      </c>
      <c r="GX5" s="380"/>
      <c r="GY5" s="383">
        <f>'[1]COE commited funds to date'!BC8</f>
        <v>10308300</v>
      </c>
      <c r="GZ5" s="383">
        <f>'[1]COE DISB 2019'!BC13</f>
        <v>0</v>
      </c>
      <c r="HA5" s="383">
        <f t="shared" ref="HA5:HA68" si="52">GY5-GZ5</f>
        <v>10308300</v>
      </c>
      <c r="HB5" s="380"/>
      <c r="HC5" s="383">
        <f t="shared" ref="HC5:HD68" si="53">DH5+DD5+D5+H5+L5+P5+T5+X5+AB5+AF5+AJ5+AN5+AR5+AV5+AZ5+BD5+BH5+BL5+BP5+BT5+BX5+CB5+CF5+CJ5+CN5+CR5+CV5+CZ5+DL5+DP5+DT5+DX5+EB5+EF5+EJ5+EN5+ER5+EV5+EZ5+FD5+FH5+FK5+FO5+FS5+FW5+GA5+GE5+GI5+GM5+GQ5+GU5+GY5</f>
        <v>3076354043.8000002</v>
      </c>
      <c r="HD5" s="383">
        <f t="shared" si="53"/>
        <v>1887362743.8</v>
      </c>
      <c r="HE5" s="392">
        <f t="shared" ref="HE5:HE68" si="54">HC5-HD5</f>
        <v>1188991300.0000002</v>
      </c>
      <c r="HG5" s="383">
        <f t="shared" ref="HG5:HH68" si="55">D5+H5+P5+AB5+AJ5+AN5+AR5+AZ5+BD5+BL5+BP5+BX5+CF5+CR5+DD5+DP5+EB5+EV5+FO5+GI5</f>
        <v>2078203143.8</v>
      </c>
      <c r="HH5" s="383">
        <f t="shared" si="55"/>
        <v>1153836543.8</v>
      </c>
      <c r="HI5" s="383">
        <f t="shared" ref="HI5:HI68" si="56">HG5-HH5</f>
        <v>924366600</v>
      </c>
      <c r="HK5" s="383">
        <f t="shared" ref="HK5:HL68" si="57">BH5+BT5+CB5+CN5+CZ5+DL5+DX5+ER5</f>
        <v>492000000</v>
      </c>
      <c r="HL5" s="383">
        <f t="shared" si="57"/>
        <v>462000000</v>
      </c>
      <c r="HM5" s="383">
        <f t="shared" ref="HM5:HM68" si="58">HK5-HL5</f>
        <v>30000000</v>
      </c>
      <c r="HO5" s="383">
        <f t="shared" si="37"/>
        <v>2366000</v>
      </c>
      <c r="HP5" s="383">
        <f t="shared" si="37"/>
        <v>2366000</v>
      </c>
      <c r="HQ5" s="383">
        <f t="shared" ref="HQ5:HQ68" si="59">HO5-HP5</f>
        <v>0</v>
      </c>
      <c r="HS5" s="383">
        <f t="shared" ref="HS5:HT68" si="60">CJ5+CV5+DH5+DT5+EN5+EZ5+GE5+GY5</f>
        <v>89308300</v>
      </c>
      <c r="HT5" s="383">
        <f t="shared" si="60"/>
        <v>76660200</v>
      </c>
      <c r="HU5" s="383">
        <f t="shared" ref="HU5:HU68" si="61">HS5-HT5</f>
        <v>12648100</v>
      </c>
      <c r="HW5" s="383">
        <f t="shared" ref="HW5:HX68" si="62">EF5+FH5+FW5+GQ5</f>
        <v>36700000</v>
      </c>
      <c r="HX5" s="383">
        <f t="shared" si="62"/>
        <v>0</v>
      </c>
      <c r="HY5" s="383">
        <f t="shared" ref="HY5:HY68" si="63">HW5-HX5</f>
        <v>36700000</v>
      </c>
      <c r="IA5" s="387">
        <f t="shared" ref="IA5:IB68" si="64">FD5+GA5+GU5</f>
        <v>20000000</v>
      </c>
      <c r="IB5" s="387">
        <f t="shared" si="64"/>
        <v>0</v>
      </c>
      <c r="IC5" s="387">
        <f t="shared" ref="IC5:IC68" si="65">IA5-IB5</f>
        <v>20000000</v>
      </c>
      <c r="IE5" s="383">
        <f t="shared" ref="IE5:IF68" si="66">FK5+FS5+GM5</f>
        <v>341776600</v>
      </c>
      <c r="IF5" s="383">
        <f t="shared" si="66"/>
        <v>178500000</v>
      </c>
      <c r="IG5" s="383">
        <f t="shared" ref="IG5:IG68" si="67">IE5-IF5</f>
        <v>163276600</v>
      </c>
      <c r="II5" s="383">
        <f t="shared" ref="II5:IJ68" si="68">EJ5</f>
        <v>2000000</v>
      </c>
      <c r="IJ5" s="383">
        <f t="shared" si="68"/>
        <v>0</v>
      </c>
      <c r="IK5" s="383">
        <f t="shared" ref="IK5:IK68" si="69">II5-IJ5</f>
        <v>2000000</v>
      </c>
    </row>
    <row r="6" spans="1:245" x14ac:dyDescent="0.25">
      <c r="A6" s="380">
        <v>3</v>
      </c>
      <c r="B6" s="380" t="s">
        <v>322</v>
      </c>
      <c r="C6" s="431" t="s">
        <v>65</v>
      </c>
      <c r="D6" s="392">
        <v>18318965.5</v>
      </c>
      <c r="E6" s="392">
        <f>'[1]COE DISB 2019'!D14</f>
        <v>18318965.5</v>
      </c>
      <c r="F6" s="383">
        <f t="shared" si="0"/>
        <v>0</v>
      </c>
      <c r="H6" s="392">
        <v>8000000</v>
      </c>
      <c r="I6" s="392">
        <f>'[1]COE DISB 2019'!E14</f>
        <v>8000000</v>
      </c>
      <c r="J6" s="383">
        <f t="shared" si="1"/>
        <v>0</v>
      </c>
      <c r="L6" s="392">
        <v>500000</v>
      </c>
      <c r="M6" s="392">
        <f>'[1]COE DISB 2019'!F14</f>
        <v>500000</v>
      </c>
      <c r="N6" s="383">
        <f t="shared" si="2"/>
        <v>0</v>
      </c>
      <c r="P6" s="353">
        <v>16000000</v>
      </c>
      <c r="Q6" s="392">
        <f>'[1]COE DISB 2019'!G14</f>
        <v>16000000</v>
      </c>
      <c r="R6" s="383">
        <f t="shared" si="3"/>
        <v>0</v>
      </c>
      <c r="T6" s="353">
        <v>0</v>
      </c>
      <c r="U6" s="392">
        <f>'[1]COE DISB 2019'!H14</f>
        <v>0</v>
      </c>
      <c r="V6" s="383">
        <f t="shared" si="4"/>
        <v>0</v>
      </c>
      <c r="X6" s="385">
        <f>4000000-4000000</f>
        <v>0</v>
      </c>
      <c r="Y6" s="392">
        <f>'[1]COE DISB 2019'!I14</f>
        <v>0</v>
      </c>
      <c r="Z6" s="383">
        <f t="shared" si="5"/>
        <v>0</v>
      </c>
      <c r="AB6" s="385">
        <v>20000000</v>
      </c>
      <c r="AC6" s="392">
        <f>'[1]COE DISB 2019'!J14</f>
        <v>20000000</v>
      </c>
      <c r="AD6" s="383">
        <f t="shared" si="6"/>
        <v>0</v>
      </c>
      <c r="AF6" s="353">
        <v>0</v>
      </c>
      <c r="AG6" s="392">
        <f>'[1]COE DISB 2019'!K14</f>
        <v>0</v>
      </c>
      <c r="AH6" s="383">
        <f t="shared" si="7"/>
        <v>0</v>
      </c>
      <c r="AJ6" s="385">
        <v>10000000</v>
      </c>
      <c r="AK6" s="392">
        <f>'[1]COE DISB 2019'!L14</f>
        <v>10000000</v>
      </c>
      <c r="AL6" s="383">
        <f t="shared" si="8"/>
        <v>0</v>
      </c>
      <c r="AN6" s="392">
        <v>10000000</v>
      </c>
      <c r="AO6" s="392">
        <f>'[1]COE DISB 2019'!M14</f>
        <v>10000000</v>
      </c>
      <c r="AP6" s="383">
        <f t="shared" si="9"/>
        <v>0</v>
      </c>
      <c r="AR6" s="392">
        <v>15000000</v>
      </c>
      <c r="AS6" s="392">
        <f>'[1]COE DISB 2019'!N14</f>
        <v>15000000</v>
      </c>
      <c r="AT6" s="383">
        <f t="shared" si="10"/>
        <v>0</v>
      </c>
      <c r="AV6" s="392">
        <v>0</v>
      </c>
      <c r="AW6" s="432">
        <f>'[1]COE DISB 2019'!O14</f>
        <v>0</v>
      </c>
      <c r="AX6" s="392">
        <f t="shared" si="11"/>
        <v>0</v>
      </c>
      <c r="AZ6" s="392">
        <v>18000000</v>
      </c>
      <c r="BA6" s="392">
        <f>'[1]COE DISB 2019'!P14</f>
        <v>18000000</v>
      </c>
      <c r="BB6" s="392">
        <f t="shared" si="12"/>
        <v>0</v>
      </c>
      <c r="BD6" s="392">
        <v>23400000</v>
      </c>
      <c r="BE6" s="392">
        <f>'[1]COE DISB 2019'!Q14</f>
        <v>23400000</v>
      </c>
      <c r="BF6" s="392">
        <f t="shared" si="13"/>
        <v>0</v>
      </c>
      <c r="BH6" s="392">
        <v>0</v>
      </c>
      <c r="BI6" s="392">
        <f>'[1]COE DISB 2019'!R14</f>
        <v>0</v>
      </c>
      <c r="BJ6" s="392">
        <f t="shared" si="14"/>
        <v>0</v>
      </c>
      <c r="BL6" s="392">
        <v>43000000</v>
      </c>
      <c r="BM6" s="392">
        <f>'[1]COE DISB 2019'!S14</f>
        <v>43000000</v>
      </c>
      <c r="BN6" s="392">
        <f t="shared" si="15"/>
        <v>0</v>
      </c>
      <c r="BP6" s="392">
        <v>37160000</v>
      </c>
      <c r="BQ6" s="392">
        <f>'[1]COE DISB 2019'!T14</f>
        <v>37160000</v>
      </c>
      <c r="BR6" s="392">
        <f t="shared" si="16"/>
        <v>0</v>
      </c>
      <c r="BT6" s="392">
        <v>0</v>
      </c>
      <c r="BU6" s="392">
        <f>'[1]COE DISB 2019'!U14</f>
        <v>0</v>
      </c>
      <c r="BV6" s="392">
        <f t="shared" si="17"/>
        <v>0</v>
      </c>
      <c r="BX6" s="392">
        <v>112670000</v>
      </c>
      <c r="BY6" s="392">
        <f>'[1]COE DISB 2019'!V14</f>
        <v>112670000</v>
      </c>
      <c r="BZ6" s="392">
        <f t="shared" si="18"/>
        <v>0</v>
      </c>
      <c r="CB6" s="392">
        <f>'[1]COE commited funds to date'!W9</f>
        <v>0</v>
      </c>
      <c r="CC6" s="392">
        <f>'[1]COE DISB 2019'!W14</f>
        <v>0</v>
      </c>
      <c r="CD6" s="392">
        <f t="shared" si="19"/>
        <v>0</v>
      </c>
      <c r="CF6" s="392">
        <f>'[1]COE commited funds to date'!X9</f>
        <v>125000000</v>
      </c>
      <c r="CG6" s="392">
        <f>'[1]COE DISB 2019'!X14</f>
        <v>125000000</v>
      </c>
      <c r="CH6" s="392">
        <f t="shared" si="20"/>
        <v>0</v>
      </c>
      <c r="CJ6" s="392">
        <v>10000000</v>
      </c>
      <c r="CK6" s="392">
        <f>'[1]COE DISB 2019'!Y14</f>
        <v>9971000</v>
      </c>
      <c r="CL6" s="392">
        <f t="shared" si="21"/>
        <v>29000</v>
      </c>
      <c r="CN6" s="392">
        <v>120000000</v>
      </c>
      <c r="CO6" s="392">
        <f>'[1]COE DISB 2019'!Z14</f>
        <v>120000000</v>
      </c>
      <c r="CP6" s="392">
        <f t="shared" si="22"/>
        <v>0</v>
      </c>
      <c r="CR6" s="392">
        <v>210000000</v>
      </c>
      <c r="CS6" s="392">
        <f>'[1]COE DISB 2019'!AA14</f>
        <v>210000000</v>
      </c>
      <c r="CT6" s="392">
        <f t="shared" si="23"/>
        <v>0</v>
      </c>
      <c r="CV6" s="392">
        <v>10000000</v>
      </c>
      <c r="CW6" s="392">
        <f>'[1]COE DISB 2019'!AB14</f>
        <v>9971000</v>
      </c>
      <c r="CX6" s="392">
        <f t="shared" si="24"/>
        <v>29000</v>
      </c>
      <c r="CZ6" s="392">
        <f>'[1]COE commited funds to date'!AC9</f>
        <v>317000000</v>
      </c>
      <c r="DA6" s="392">
        <f>'[1]COE DISB 2019'!AC14</f>
        <v>206520000</v>
      </c>
      <c r="DB6" s="392">
        <f t="shared" si="25"/>
        <v>110480000</v>
      </c>
      <c r="DC6" s="394"/>
      <c r="DD6" s="392">
        <v>215000000</v>
      </c>
      <c r="DE6" s="392">
        <f>'[1]COE DISB 2019'!AD14</f>
        <v>126850000</v>
      </c>
      <c r="DF6" s="392">
        <f t="shared" si="26"/>
        <v>88150000</v>
      </c>
      <c r="DG6" s="394"/>
      <c r="DH6" s="392">
        <v>10000000</v>
      </c>
      <c r="DI6" s="392">
        <f>'[1]COE DISB 2019'!AE14</f>
        <v>10000000</v>
      </c>
      <c r="DJ6" s="392">
        <f t="shared" si="27"/>
        <v>0</v>
      </c>
      <c r="DK6" s="394"/>
      <c r="DL6" s="392">
        <f>'[1]COE commited funds to date'!AD9</f>
        <v>100000000</v>
      </c>
      <c r="DM6" s="392">
        <f>'[1]COE DISB 2019'!AF14</f>
        <v>100000000</v>
      </c>
      <c r="DN6" s="392">
        <f t="shared" si="28"/>
        <v>0</v>
      </c>
      <c r="DO6" s="394"/>
      <c r="DP6" s="392">
        <v>325000000</v>
      </c>
      <c r="DQ6" s="392">
        <f>'[1]COE DISB 2019'!AG14</f>
        <v>191750000</v>
      </c>
      <c r="DR6" s="392">
        <f t="shared" si="29"/>
        <v>133250000</v>
      </c>
      <c r="DS6" s="394"/>
      <c r="DT6" s="397">
        <v>10000000</v>
      </c>
      <c r="DU6" s="392">
        <f>'[1]COE DISB 2019'!AH14</f>
        <v>10000000</v>
      </c>
      <c r="DV6" s="392">
        <f t="shared" si="30"/>
        <v>0</v>
      </c>
      <c r="DW6" s="394"/>
      <c r="DX6" s="392">
        <f>'[1]COE commited funds to date'!AI9</f>
        <v>50000000</v>
      </c>
      <c r="DY6" s="392">
        <f>'[1]COE DISB 2019'!AI14</f>
        <v>50000000</v>
      </c>
      <c r="DZ6" s="392">
        <f t="shared" si="31"/>
        <v>0</v>
      </c>
      <c r="EA6" s="394"/>
      <c r="EB6" s="392">
        <f>'[1]COE commited funds to date'!AJ9</f>
        <v>72000000</v>
      </c>
      <c r="EC6" s="392">
        <f>'[1]COE DISB 2019'!AJ14</f>
        <v>0</v>
      </c>
      <c r="ED6" s="392">
        <f t="shared" si="32"/>
        <v>72000000</v>
      </c>
      <c r="EE6" s="394"/>
      <c r="EF6" s="392">
        <f>'[1]COE commited funds to date'!AK9</f>
        <v>8000000</v>
      </c>
      <c r="EG6" s="392">
        <f>'[1]COE DISB 2019'!AK14</f>
        <v>8000000</v>
      </c>
      <c r="EH6" s="392">
        <f t="shared" si="33"/>
        <v>0</v>
      </c>
      <c r="EI6" s="394"/>
      <c r="EJ6" s="392">
        <f>'[1]COE commited funds to date'!AL9</f>
        <v>2000000</v>
      </c>
      <c r="EK6" s="392">
        <f>'[1]COE DISB 2019'!AL14</f>
        <v>0</v>
      </c>
      <c r="EL6" s="392">
        <f t="shared" si="34"/>
        <v>2000000</v>
      </c>
      <c r="EM6" s="394"/>
      <c r="EN6" s="392">
        <f>'[1]COE commited funds to date'!AM9</f>
        <v>7000000</v>
      </c>
      <c r="EO6" s="392">
        <f>'[1]COE DISB 2019'!AM14</f>
        <v>7000000</v>
      </c>
      <c r="EP6" s="392">
        <f t="shared" si="35"/>
        <v>0</v>
      </c>
      <c r="EQ6" s="394"/>
      <c r="ER6" s="392">
        <f>'[1]COE commited funds to date'!AN9</f>
        <v>0</v>
      </c>
      <c r="ES6" s="392">
        <f>'[1]COE DISB 2019'!AN14</f>
        <v>0</v>
      </c>
      <c r="ET6" s="392">
        <f t="shared" si="36"/>
        <v>0</v>
      </c>
      <c r="EV6" s="383">
        <f>'[1]COE commited funds to date'!AO9</f>
        <v>371067000</v>
      </c>
      <c r="EW6" s="383">
        <f>'[1]COE DISB 2019'!AO14</f>
        <v>0</v>
      </c>
      <c r="EX6" s="383">
        <f t="shared" si="38"/>
        <v>371067000</v>
      </c>
      <c r="EY6" s="380"/>
      <c r="EZ6" s="383">
        <f>'[1]COE commited funds to date'!AQ9</f>
        <v>12000000</v>
      </c>
      <c r="FA6" s="383">
        <f>'[1]COE DISB 2019'!AP14</f>
        <v>12000000</v>
      </c>
      <c r="FB6" s="383">
        <f t="shared" si="39"/>
        <v>0</v>
      </c>
      <c r="FC6" s="380"/>
      <c r="FD6" s="383">
        <f>'[1]COE commited funds to date'!AR9</f>
        <v>10000000</v>
      </c>
      <c r="FE6" s="383">
        <f>'[1]COE DISB 2019'!AQ14</f>
        <v>0</v>
      </c>
      <c r="FF6" s="383">
        <f t="shared" si="40"/>
        <v>10000000</v>
      </c>
      <c r="FG6" s="380"/>
      <c r="FH6" s="383">
        <f>'[1]COE commited funds to date'!AP9</f>
        <v>8000000</v>
      </c>
      <c r="FI6" s="383">
        <f>'[1]COE DISB 2019'!AR14</f>
        <v>8000000</v>
      </c>
      <c r="FJ6" s="383">
        <f t="shared" si="41"/>
        <v>0</v>
      </c>
      <c r="FK6" s="383">
        <f>'[1]COE commited funds to date'!AS9</f>
        <v>150000000</v>
      </c>
      <c r="FL6" s="383">
        <f>'[1]COE DISB 2019'!AS14</f>
        <v>127500000</v>
      </c>
      <c r="FM6" s="383">
        <f t="shared" si="42"/>
        <v>22500000</v>
      </c>
      <c r="FN6" s="380"/>
      <c r="FO6" s="383">
        <f>'[1]COE commited funds to date'!AT9</f>
        <v>200000000</v>
      </c>
      <c r="FP6" s="383">
        <f>'[1]COE DISB 2019'!AT14</f>
        <v>0</v>
      </c>
      <c r="FQ6" s="383">
        <f t="shared" si="43"/>
        <v>200000000</v>
      </c>
      <c r="FR6" s="380"/>
      <c r="FS6" s="383">
        <f>'[1]COE commited funds to date'!AU9</f>
        <v>75000000</v>
      </c>
      <c r="FT6" s="383">
        <f>'[1]COE DISB 2019'!AU14</f>
        <v>0</v>
      </c>
      <c r="FU6" s="383">
        <f t="shared" si="44"/>
        <v>75000000</v>
      </c>
      <c r="FV6" s="380"/>
      <c r="FW6" s="383">
        <f>'[1]COE commited funds to date'!AV9</f>
        <v>8700000</v>
      </c>
      <c r="FX6" s="383">
        <f>'[1]COE DISB 2019'!AV14</f>
        <v>0</v>
      </c>
      <c r="FY6" s="383">
        <f t="shared" si="45"/>
        <v>8700000</v>
      </c>
      <c r="FZ6" s="380"/>
      <c r="GA6" s="383">
        <f>'[1]COE commited funds to date'!AW9</f>
        <v>5000000</v>
      </c>
      <c r="GB6" s="383">
        <f>'[1]COE DISB 2019'!AW14</f>
        <v>0</v>
      </c>
      <c r="GC6" s="383">
        <f t="shared" si="46"/>
        <v>5000000</v>
      </c>
      <c r="GD6" s="380"/>
      <c r="GE6" s="383">
        <f>'[1]COE commited funds to date'!AX9</f>
        <v>20000000</v>
      </c>
      <c r="GF6" s="383">
        <f>'[1]COE DISB 2019'!AX14</f>
        <v>19839600</v>
      </c>
      <c r="GG6" s="383">
        <f t="shared" si="47"/>
        <v>160400</v>
      </c>
      <c r="GH6" s="380"/>
      <c r="GI6" s="383">
        <f>'[1]COE commited funds to date'!AY9</f>
        <v>230000000</v>
      </c>
      <c r="GJ6" s="383">
        <f>'[1]COE DISB 2019'!AY14</f>
        <v>0</v>
      </c>
      <c r="GK6" s="383">
        <f t="shared" si="48"/>
        <v>230000000</v>
      </c>
      <c r="GL6" s="380"/>
      <c r="GM6" s="383">
        <f>'[1]COE commited funds to date'!AZ9</f>
        <v>116776600</v>
      </c>
      <c r="GN6" s="383">
        <f>'[1]COE DISB 2019'!AZ14</f>
        <v>0</v>
      </c>
      <c r="GO6" s="383">
        <f t="shared" si="49"/>
        <v>116776600</v>
      </c>
      <c r="GP6" s="380"/>
      <c r="GQ6" s="383">
        <f>'[1]COE commited funds to date'!BA9</f>
        <v>12000000</v>
      </c>
      <c r="GR6" s="383">
        <f>'[1]COE DISB 2019'!BA14</f>
        <v>0</v>
      </c>
      <c r="GS6" s="383">
        <f t="shared" si="50"/>
        <v>12000000</v>
      </c>
      <c r="GT6" s="380"/>
      <c r="GU6" s="383">
        <f>'[1]COE commited funds to date'!BB9</f>
        <v>5000000</v>
      </c>
      <c r="GV6" s="383">
        <f>'[1]COE DISB 2019'!BB14</f>
        <v>0</v>
      </c>
      <c r="GW6" s="383">
        <f t="shared" si="51"/>
        <v>5000000</v>
      </c>
      <c r="GX6" s="380"/>
      <c r="GY6" s="383">
        <f>'[1]COE commited funds to date'!BC9</f>
        <v>10308300</v>
      </c>
      <c r="GZ6" s="383">
        <f>'[1]COE DISB 2019'!BC14</f>
        <v>0</v>
      </c>
      <c r="HA6" s="383">
        <f t="shared" si="52"/>
        <v>10308300</v>
      </c>
      <c r="HB6" s="380"/>
      <c r="HC6" s="383">
        <f t="shared" si="53"/>
        <v>3156900865.5</v>
      </c>
      <c r="HD6" s="383">
        <f t="shared" si="53"/>
        <v>1684450565.5</v>
      </c>
      <c r="HE6" s="392">
        <f t="shared" si="54"/>
        <v>1472450300</v>
      </c>
      <c r="HG6" s="383">
        <f t="shared" si="55"/>
        <v>2079615965.5</v>
      </c>
      <c r="HH6" s="383">
        <f t="shared" si="55"/>
        <v>985148965.5</v>
      </c>
      <c r="HI6" s="383">
        <f t="shared" si="56"/>
        <v>1094467000</v>
      </c>
      <c r="HK6" s="383">
        <f t="shared" si="57"/>
        <v>587000000</v>
      </c>
      <c r="HL6" s="383">
        <f t="shared" si="57"/>
        <v>476520000</v>
      </c>
      <c r="HM6" s="383">
        <f t="shared" si="58"/>
        <v>110480000</v>
      </c>
      <c r="HO6" s="383">
        <f t="shared" si="37"/>
        <v>500000</v>
      </c>
      <c r="HP6" s="383">
        <f t="shared" si="37"/>
        <v>500000</v>
      </c>
      <c r="HQ6" s="383">
        <f t="shared" si="59"/>
        <v>0</v>
      </c>
      <c r="HS6" s="383">
        <f t="shared" si="60"/>
        <v>89308300</v>
      </c>
      <c r="HT6" s="383">
        <f t="shared" si="60"/>
        <v>78781600</v>
      </c>
      <c r="HU6" s="383">
        <f t="shared" si="61"/>
        <v>10526700</v>
      </c>
      <c r="HW6" s="383">
        <f t="shared" si="62"/>
        <v>36700000</v>
      </c>
      <c r="HX6" s="383">
        <f t="shared" si="62"/>
        <v>16000000</v>
      </c>
      <c r="HY6" s="383">
        <f t="shared" si="63"/>
        <v>20700000</v>
      </c>
      <c r="IA6" s="387">
        <f t="shared" si="64"/>
        <v>20000000</v>
      </c>
      <c r="IB6" s="387">
        <f t="shared" si="64"/>
        <v>0</v>
      </c>
      <c r="IC6" s="387">
        <f t="shared" si="65"/>
        <v>20000000</v>
      </c>
      <c r="IE6" s="383">
        <f t="shared" si="66"/>
        <v>341776600</v>
      </c>
      <c r="IF6" s="383">
        <f t="shared" si="66"/>
        <v>127500000</v>
      </c>
      <c r="IG6" s="383">
        <f t="shared" si="67"/>
        <v>214276600</v>
      </c>
      <c r="II6" s="383">
        <f t="shared" si="68"/>
        <v>2000000</v>
      </c>
      <c r="IJ6" s="383">
        <f t="shared" si="68"/>
        <v>0</v>
      </c>
      <c r="IK6" s="383">
        <f t="shared" si="69"/>
        <v>2000000</v>
      </c>
    </row>
    <row r="7" spans="1:245" x14ac:dyDescent="0.25">
      <c r="A7" s="380">
        <v>4</v>
      </c>
      <c r="B7" s="380" t="s">
        <v>323</v>
      </c>
      <c r="C7" s="433" t="s">
        <v>65</v>
      </c>
      <c r="D7" s="392">
        <v>18318965.5</v>
      </c>
      <c r="E7" s="392">
        <f>'[1]COE DISB 2019'!D15</f>
        <v>18321965.489999998</v>
      </c>
      <c r="F7" s="383">
        <f t="shared" si="0"/>
        <v>-2999.9899999983609</v>
      </c>
      <c r="H7" s="392">
        <v>8000000</v>
      </c>
      <c r="I7" s="392">
        <f>'[1]COE DISB 2019'!E15</f>
        <v>8000000</v>
      </c>
      <c r="J7" s="383">
        <f t="shared" si="1"/>
        <v>0</v>
      </c>
      <c r="L7" s="392">
        <v>500000</v>
      </c>
      <c r="M7" s="392">
        <f>'[1]COE DISB 2019'!F15</f>
        <v>500000</v>
      </c>
      <c r="N7" s="383">
        <f t="shared" si="2"/>
        <v>0</v>
      </c>
      <c r="P7" s="353">
        <v>16000000</v>
      </c>
      <c r="Q7" s="392">
        <f>'[1]COE DISB 2019'!G15</f>
        <v>16000000</v>
      </c>
      <c r="R7" s="383">
        <f t="shared" si="3"/>
        <v>0</v>
      </c>
      <c r="T7" s="385">
        <v>477000</v>
      </c>
      <c r="U7" s="392">
        <f>'[1]COE DISB 2019'!H15</f>
        <v>477000</v>
      </c>
      <c r="V7" s="383">
        <f t="shared" si="4"/>
        <v>0</v>
      </c>
      <c r="X7" s="385">
        <v>4000000</v>
      </c>
      <c r="Y7" s="392">
        <f>'[1]COE DISB 2019'!I15</f>
        <v>4000000</v>
      </c>
      <c r="Z7" s="383">
        <f t="shared" si="5"/>
        <v>0</v>
      </c>
      <c r="AB7" s="385">
        <v>20000000</v>
      </c>
      <c r="AC7" s="392">
        <f>'[1]COE DISB 2019'!J15</f>
        <v>20000000</v>
      </c>
      <c r="AD7" s="383">
        <f t="shared" si="6"/>
        <v>0</v>
      </c>
      <c r="AF7" s="353">
        <v>0</v>
      </c>
      <c r="AG7" s="392">
        <f>'[1]COE DISB 2019'!K15</f>
        <v>0</v>
      </c>
      <c r="AH7" s="383">
        <f t="shared" si="7"/>
        <v>0</v>
      </c>
      <c r="AJ7" s="385">
        <v>10000000</v>
      </c>
      <c r="AK7" s="392">
        <f>'[1]COE DISB 2019'!L15</f>
        <v>10000000</v>
      </c>
      <c r="AL7" s="383">
        <f t="shared" si="8"/>
        <v>0</v>
      </c>
      <c r="AN7" s="392">
        <v>10000000</v>
      </c>
      <c r="AO7" s="392">
        <f>'[1]COE DISB 2019'!M15</f>
        <v>10000000</v>
      </c>
      <c r="AP7" s="383">
        <f t="shared" si="9"/>
        <v>0</v>
      </c>
      <c r="AR7" s="392">
        <v>15000000</v>
      </c>
      <c r="AS7" s="392">
        <f>'[1]COE DISB 2019'!N15</f>
        <v>15000000</v>
      </c>
      <c r="AT7" s="383">
        <f t="shared" si="10"/>
        <v>0</v>
      </c>
      <c r="AV7" s="392">
        <v>10000000</v>
      </c>
      <c r="AW7" s="393">
        <f>'[1]COE DISB 2019'!O15</f>
        <v>10000000</v>
      </c>
      <c r="AX7" s="392">
        <f t="shared" si="11"/>
        <v>0</v>
      </c>
      <c r="AZ7" s="392">
        <v>18000000</v>
      </c>
      <c r="BA7" s="392">
        <f>'[1]COE DISB 2019'!P15</f>
        <v>18000000</v>
      </c>
      <c r="BB7" s="392">
        <f t="shared" si="12"/>
        <v>0</v>
      </c>
      <c r="BD7" s="392">
        <v>23400000</v>
      </c>
      <c r="BE7" s="392">
        <f>'[1]COE DISB 2019'!Q15</f>
        <v>23400000</v>
      </c>
      <c r="BF7" s="392">
        <f t="shared" si="13"/>
        <v>0</v>
      </c>
      <c r="BH7" s="392">
        <v>0</v>
      </c>
      <c r="BI7" s="392">
        <f>'[1]COE DISB 2019'!R15</f>
        <v>0</v>
      </c>
      <c r="BJ7" s="392">
        <f t="shared" si="14"/>
        <v>0</v>
      </c>
      <c r="BL7" s="392">
        <v>43000000</v>
      </c>
      <c r="BM7" s="392">
        <f>'[1]COE DISB 2019'!S15</f>
        <v>43000000</v>
      </c>
      <c r="BN7" s="392">
        <f t="shared" si="15"/>
        <v>0</v>
      </c>
      <c r="BP7" s="392">
        <v>37160000</v>
      </c>
      <c r="BQ7" s="392">
        <f>'[1]COE DISB 2019'!T15</f>
        <v>37160000</v>
      </c>
      <c r="BR7" s="392">
        <f t="shared" si="16"/>
        <v>0</v>
      </c>
      <c r="BT7" s="392">
        <v>0</v>
      </c>
      <c r="BU7" s="392">
        <f>'[1]COE DISB 2019'!U15</f>
        <v>0</v>
      </c>
      <c r="BV7" s="392">
        <f t="shared" si="17"/>
        <v>0</v>
      </c>
      <c r="BX7" s="392">
        <v>112670000</v>
      </c>
      <c r="BY7" s="392">
        <f>'[1]COE DISB 2019'!V15</f>
        <v>112670000</v>
      </c>
      <c r="BZ7" s="392">
        <f t="shared" si="18"/>
        <v>0</v>
      </c>
      <c r="CB7" s="392">
        <f>'[1]COE commited funds to date'!W10</f>
        <v>0</v>
      </c>
      <c r="CC7" s="392">
        <f>'[1]COE DISB 2019'!W15</f>
        <v>0</v>
      </c>
      <c r="CD7" s="392">
        <f t="shared" si="19"/>
        <v>0</v>
      </c>
      <c r="CF7" s="392">
        <f>'[1]COE commited funds to date'!X10</f>
        <v>125000000</v>
      </c>
      <c r="CG7" s="392">
        <f>'[1]COE DISB 2019'!X15</f>
        <v>125000000</v>
      </c>
      <c r="CH7" s="392">
        <f t="shared" si="20"/>
        <v>0</v>
      </c>
      <c r="CJ7" s="392">
        <v>10000000</v>
      </c>
      <c r="CK7" s="392">
        <f>'[1]COE DISB 2019'!Y15</f>
        <v>9999200</v>
      </c>
      <c r="CL7" s="392">
        <f t="shared" si="21"/>
        <v>800</v>
      </c>
      <c r="CN7" s="392">
        <v>0</v>
      </c>
      <c r="CO7" s="392">
        <f>'[1]COE DISB 2019'!Z15</f>
        <v>0</v>
      </c>
      <c r="CP7" s="392">
        <f t="shared" si="22"/>
        <v>0</v>
      </c>
      <c r="CR7" s="392">
        <v>210000000</v>
      </c>
      <c r="CS7" s="392">
        <f>'[1]COE DISB 2019'!AA15</f>
        <v>210000000</v>
      </c>
      <c r="CT7" s="392">
        <f t="shared" si="23"/>
        <v>0</v>
      </c>
      <c r="CV7" s="392">
        <v>10000000</v>
      </c>
      <c r="CW7" s="392">
        <f>'[1]COE DISB 2019'!AB15</f>
        <v>10000000</v>
      </c>
      <c r="CX7" s="392">
        <f t="shared" si="24"/>
        <v>0</v>
      </c>
      <c r="CZ7" s="392">
        <f>'[1]COE commited funds to date'!AC10</f>
        <v>80000000</v>
      </c>
      <c r="DA7" s="392">
        <f>'[1]COE DISB 2019'!AC15</f>
        <v>80000000</v>
      </c>
      <c r="DB7" s="392">
        <f t="shared" si="25"/>
        <v>0</v>
      </c>
      <c r="DC7" s="394"/>
      <c r="DD7" s="392">
        <v>215000000</v>
      </c>
      <c r="DE7" s="392">
        <f>'[1]COE DISB 2019'!AD15</f>
        <v>215000000</v>
      </c>
      <c r="DF7" s="392">
        <f t="shared" si="26"/>
        <v>0</v>
      </c>
      <c r="DG7" s="394"/>
      <c r="DH7" s="392">
        <v>10000000</v>
      </c>
      <c r="DI7" s="392">
        <f>'[1]COE DISB 2019'!AE15</f>
        <v>9981600</v>
      </c>
      <c r="DJ7" s="392">
        <f t="shared" si="27"/>
        <v>18400</v>
      </c>
      <c r="DK7" s="394"/>
      <c r="DL7" s="392">
        <f>'[1]COE commited funds to date'!AD10</f>
        <v>30000000</v>
      </c>
      <c r="DM7" s="392">
        <f>'[1]COE DISB 2019'!AF15</f>
        <v>30000000</v>
      </c>
      <c r="DN7" s="392">
        <f t="shared" si="28"/>
        <v>0</v>
      </c>
      <c r="DO7" s="394"/>
      <c r="DP7" s="392">
        <v>325000000</v>
      </c>
      <c r="DQ7" s="392">
        <f>'[1]COE DISB 2019'!AG15</f>
        <v>325000000</v>
      </c>
      <c r="DR7" s="392">
        <f t="shared" si="29"/>
        <v>0</v>
      </c>
      <c r="DS7" s="394"/>
      <c r="DT7" s="397">
        <v>10000000</v>
      </c>
      <c r="DU7" s="392">
        <f>'[1]COE DISB 2019'!AH15</f>
        <v>10000000</v>
      </c>
      <c r="DV7" s="392">
        <f t="shared" si="30"/>
        <v>0</v>
      </c>
      <c r="DW7" s="394"/>
      <c r="DX7" s="392">
        <f>'[1]COE commited funds to date'!AI10</f>
        <v>50000000</v>
      </c>
      <c r="DY7" s="392">
        <f>'[1]COE DISB 2019'!AI15</f>
        <v>50000000</v>
      </c>
      <c r="DZ7" s="392">
        <f t="shared" si="31"/>
        <v>0</v>
      </c>
      <c r="EA7" s="394"/>
      <c r="EB7" s="392">
        <f>'[1]COE commited funds to date'!AJ10</f>
        <v>72000000</v>
      </c>
      <c r="EC7" s="392">
        <f>'[1]COE DISB 2019'!AJ15</f>
        <v>61200000</v>
      </c>
      <c r="ED7" s="392">
        <f t="shared" si="32"/>
        <v>10800000</v>
      </c>
      <c r="EE7" s="394"/>
      <c r="EF7" s="392">
        <f>'[1]COE commited funds to date'!AK10</f>
        <v>8000000</v>
      </c>
      <c r="EG7" s="392">
        <f>'[1]COE DISB 2019'!AK15</f>
        <v>4000000</v>
      </c>
      <c r="EH7" s="392">
        <f t="shared" si="33"/>
        <v>4000000</v>
      </c>
      <c r="EI7" s="394"/>
      <c r="EJ7" s="392">
        <f>'[1]COE commited funds to date'!AL10</f>
        <v>2000000</v>
      </c>
      <c r="EK7" s="392">
        <f>'[1]COE DISB 2019'!AL15</f>
        <v>0</v>
      </c>
      <c r="EL7" s="392">
        <f t="shared" si="34"/>
        <v>2000000</v>
      </c>
      <c r="EM7" s="394"/>
      <c r="EN7" s="392">
        <f>'[1]COE commited funds to date'!AM10</f>
        <v>7000000</v>
      </c>
      <c r="EO7" s="392">
        <f>'[1]COE DISB 2019'!AM15</f>
        <v>7000000</v>
      </c>
      <c r="EP7" s="392">
        <f t="shared" si="35"/>
        <v>0</v>
      </c>
      <c r="EQ7" s="394"/>
      <c r="ER7" s="392">
        <f>'[1]COE commited funds to date'!AN10</f>
        <v>100000000</v>
      </c>
      <c r="ES7" s="392">
        <f>'[1]COE DISB 2019'!AN15</f>
        <v>100000000</v>
      </c>
      <c r="ET7" s="392">
        <f t="shared" si="36"/>
        <v>0</v>
      </c>
      <c r="EV7" s="383">
        <f>'[1]COE commited funds to date'!AO10</f>
        <v>371067000</v>
      </c>
      <c r="EW7" s="383">
        <f>'[1]COE DISB 2019'!AO15</f>
        <v>315406950</v>
      </c>
      <c r="EX7" s="383">
        <f t="shared" si="38"/>
        <v>55660050</v>
      </c>
      <c r="EY7" s="380"/>
      <c r="EZ7" s="383">
        <f>'[1]COE commited funds to date'!AQ10</f>
        <v>12000000</v>
      </c>
      <c r="FA7" s="383">
        <f>'[1]COE DISB 2019'!AP15</f>
        <v>12000000</v>
      </c>
      <c r="FB7" s="383">
        <f t="shared" si="39"/>
        <v>0</v>
      </c>
      <c r="FC7" s="380"/>
      <c r="FD7" s="383">
        <f>'[1]COE commited funds to date'!AR10</f>
        <v>10000000</v>
      </c>
      <c r="FE7" s="383">
        <f>'[1]COE DISB 2019'!AQ15</f>
        <v>0</v>
      </c>
      <c r="FF7" s="383">
        <f t="shared" si="40"/>
        <v>10000000</v>
      </c>
      <c r="FG7" s="380"/>
      <c r="FH7" s="383">
        <f>'[1]COE commited funds to date'!AP10</f>
        <v>8000000</v>
      </c>
      <c r="FI7" s="383">
        <f>'[1]COE DISB 2019'!AR15</f>
        <v>4000000</v>
      </c>
      <c r="FJ7" s="383">
        <f t="shared" si="41"/>
        <v>4000000</v>
      </c>
      <c r="FK7" s="383">
        <f>'[1]COE commited funds to date'!AS10</f>
        <v>150000000</v>
      </c>
      <c r="FL7" s="383">
        <f>'[1]COE DISB 2019'!AS15</f>
        <v>150000000</v>
      </c>
      <c r="FM7" s="383">
        <f t="shared" si="42"/>
        <v>0</v>
      </c>
      <c r="FN7" s="380"/>
      <c r="FO7" s="383">
        <f>'[1]COE commited funds to date'!AT10</f>
        <v>200000000</v>
      </c>
      <c r="FP7" s="383">
        <f>'[1]COE DISB 2019'!AT15</f>
        <v>0</v>
      </c>
      <c r="FQ7" s="383">
        <f t="shared" si="43"/>
        <v>200000000</v>
      </c>
      <c r="FR7" s="380"/>
      <c r="FS7" s="383">
        <f>'[1]COE commited funds to date'!AU10</f>
        <v>75000000</v>
      </c>
      <c r="FT7" s="383">
        <f>'[1]COE DISB 2019'!AU15</f>
        <v>51000000</v>
      </c>
      <c r="FU7" s="383">
        <f t="shared" si="44"/>
        <v>24000000</v>
      </c>
      <c r="FV7" s="380"/>
      <c r="FW7" s="383">
        <f>'[1]COE commited funds to date'!AV10</f>
        <v>8700000</v>
      </c>
      <c r="FX7" s="383">
        <f>'[1]COE DISB 2019'!AV15</f>
        <v>0</v>
      </c>
      <c r="FY7" s="383">
        <f t="shared" si="45"/>
        <v>8700000</v>
      </c>
      <c r="FZ7" s="380"/>
      <c r="GA7" s="383">
        <f>'[1]COE commited funds to date'!AW10</f>
        <v>5000000</v>
      </c>
      <c r="GB7" s="383">
        <f>'[1]COE DISB 2019'!AW15</f>
        <v>0</v>
      </c>
      <c r="GC7" s="383">
        <f t="shared" si="46"/>
        <v>5000000</v>
      </c>
      <c r="GD7" s="380"/>
      <c r="GE7" s="383">
        <f>'[1]COE commited funds to date'!AX10</f>
        <v>20000000</v>
      </c>
      <c r="GF7" s="383">
        <f>'[1]COE DISB 2019'!AX15</f>
        <v>16869000</v>
      </c>
      <c r="GG7" s="383">
        <f t="shared" si="47"/>
        <v>3131000</v>
      </c>
      <c r="GH7" s="380"/>
      <c r="GI7" s="383">
        <f>'[1]COE commited funds to date'!AY10</f>
        <v>230000000</v>
      </c>
      <c r="GJ7" s="383">
        <f>'[1]COE DISB 2019'!AY15</f>
        <v>0</v>
      </c>
      <c r="GK7" s="383">
        <f t="shared" si="48"/>
        <v>230000000</v>
      </c>
      <c r="GL7" s="380"/>
      <c r="GM7" s="383">
        <f>'[1]COE commited funds to date'!AZ10</f>
        <v>116776600</v>
      </c>
      <c r="GN7" s="383">
        <f>'[1]COE DISB 2019'!AZ15</f>
        <v>0</v>
      </c>
      <c r="GO7" s="383">
        <f t="shared" si="49"/>
        <v>116776600</v>
      </c>
      <c r="GP7" s="380"/>
      <c r="GQ7" s="383">
        <f>'[1]COE commited funds to date'!BA10</f>
        <v>12000000</v>
      </c>
      <c r="GR7" s="383">
        <f>'[1]COE DISB 2019'!BA15</f>
        <v>0</v>
      </c>
      <c r="GS7" s="383">
        <f t="shared" si="50"/>
        <v>12000000</v>
      </c>
      <c r="GT7" s="380"/>
      <c r="GU7" s="383">
        <f>'[1]COE commited funds to date'!BB10</f>
        <v>5000000</v>
      </c>
      <c r="GV7" s="383">
        <f>'[1]COE DISB 2019'!BB15</f>
        <v>0</v>
      </c>
      <c r="GW7" s="383">
        <f t="shared" si="51"/>
        <v>5000000</v>
      </c>
      <c r="GX7" s="380"/>
      <c r="GY7" s="383">
        <f>'[1]COE commited funds to date'!BC10</f>
        <v>10308300</v>
      </c>
      <c r="GZ7" s="383">
        <f>'[1]COE DISB 2019'!BC15</f>
        <v>0</v>
      </c>
      <c r="HA7" s="383">
        <f t="shared" si="52"/>
        <v>10308300</v>
      </c>
      <c r="HB7" s="380"/>
      <c r="HC7" s="383">
        <f t="shared" si="53"/>
        <v>2844377865.5</v>
      </c>
      <c r="HD7" s="383">
        <f t="shared" si="53"/>
        <v>2142985715.49</v>
      </c>
      <c r="HE7" s="392">
        <f t="shared" si="54"/>
        <v>701392150.00999999</v>
      </c>
      <c r="HG7" s="383">
        <f t="shared" si="55"/>
        <v>2079615965.5</v>
      </c>
      <c r="HH7" s="383">
        <f t="shared" si="55"/>
        <v>1583158915.49</v>
      </c>
      <c r="HI7" s="383">
        <f t="shared" si="56"/>
        <v>496457050.00999999</v>
      </c>
      <c r="HK7" s="383">
        <f t="shared" si="57"/>
        <v>260000000</v>
      </c>
      <c r="HL7" s="383">
        <f t="shared" si="57"/>
        <v>260000000</v>
      </c>
      <c r="HM7" s="383">
        <f t="shared" si="58"/>
        <v>0</v>
      </c>
      <c r="HO7" s="383">
        <f t="shared" si="37"/>
        <v>977000</v>
      </c>
      <c r="HP7" s="383">
        <f t="shared" si="37"/>
        <v>977000</v>
      </c>
      <c r="HQ7" s="383">
        <f t="shared" si="59"/>
        <v>0</v>
      </c>
      <c r="HS7" s="383">
        <f t="shared" si="60"/>
        <v>89308300</v>
      </c>
      <c r="HT7" s="383">
        <f t="shared" si="60"/>
        <v>75849800</v>
      </c>
      <c r="HU7" s="383">
        <f t="shared" si="61"/>
        <v>13458500</v>
      </c>
      <c r="HW7" s="383">
        <f t="shared" si="62"/>
        <v>36700000</v>
      </c>
      <c r="HX7" s="383">
        <f t="shared" si="62"/>
        <v>8000000</v>
      </c>
      <c r="HY7" s="383">
        <f t="shared" si="63"/>
        <v>28700000</v>
      </c>
      <c r="IA7" s="387">
        <f t="shared" si="64"/>
        <v>20000000</v>
      </c>
      <c r="IB7" s="387">
        <f t="shared" si="64"/>
        <v>0</v>
      </c>
      <c r="IC7" s="387">
        <f t="shared" si="65"/>
        <v>20000000</v>
      </c>
      <c r="IE7" s="383">
        <f t="shared" si="66"/>
        <v>341776600</v>
      </c>
      <c r="IF7" s="383">
        <f t="shared" si="66"/>
        <v>201000000</v>
      </c>
      <c r="IG7" s="383">
        <f t="shared" si="67"/>
        <v>140776600</v>
      </c>
      <c r="II7" s="383">
        <f t="shared" si="68"/>
        <v>2000000</v>
      </c>
      <c r="IJ7" s="383">
        <f t="shared" si="68"/>
        <v>0</v>
      </c>
      <c r="IK7" s="383">
        <f t="shared" si="69"/>
        <v>2000000</v>
      </c>
    </row>
    <row r="8" spans="1:245" x14ac:dyDescent="0.25">
      <c r="A8" s="380">
        <v>5</v>
      </c>
      <c r="B8" s="380" t="s">
        <v>324</v>
      </c>
      <c r="C8" s="431" t="s">
        <v>76</v>
      </c>
      <c r="D8" s="392">
        <v>18318965.5</v>
      </c>
      <c r="E8" s="392">
        <f>'[1]COE DISB 2019'!D16</f>
        <v>18318965.5</v>
      </c>
      <c r="F8" s="383">
        <f t="shared" si="0"/>
        <v>0</v>
      </c>
      <c r="H8" s="392">
        <v>8000000</v>
      </c>
      <c r="I8" s="392">
        <f>'[1]COE DISB 2019'!E16</f>
        <v>8000000</v>
      </c>
      <c r="J8" s="383">
        <f t="shared" si="1"/>
        <v>0</v>
      </c>
      <c r="L8" s="392">
        <v>500000</v>
      </c>
      <c r="M8" s="392">
        <f>'[1]COE DISB 2019'!F16</f>
        <v>500000</v>
      </c>
      <c r="N8" s="383">
        <f t="shared" si="2"/>
        <v>0</v>
      </c>
      <c r="P8" s="353">
        <v>16000000</v>
      </c>
      <c r="Q8" s="392">
        <f>'[1]COE DISB 2019'!G16</f>
        <v>16000000</v>
      </c>
      <c r="R8" s="383">
        <f t="shared" si="3"/>
        <v>0</v>
      </c>
      <c r="T8" s="385">
        <v>819000</v>
      </c>
      <c r="U8" s="392">
        <f>'[1]COE DISB 2019'!H16</f>
        <v>819000</v>
      </c>
      <c r="V8" s="383">
        <f t="shared" si="4"/>
        <v>0</v>
      </c>
      <c r="X8" s="353">
        <v>0</v>
      </c>
      <c r="Y8" s="392">
        <f>'[1]COE DISB 2019'!I16</f>
        <v>0</v>
      </c>
      <c r="Z8" s="383">
        <f t="shared" si="5"/>
        <v>0</v>
      </c>
      <c r="AB8" s="385">
        <v>20000000</v>
      </c>
      <c r="AC8" s="392">
        <f>'[1]COE DISB 2019'!J16</f>
        <v>20000000</v>
      </c>
      <c r="AD8" s="383">
        <f t="shared" si="6"/>
        <v>0</v>
      </c>
      <c r="AF8" s="353">
        <v>0</v>
      </c>
      <c r="AG8" s="392">
        <f>'[1]COE DISB 2019'!K16</f>
        <v>0</v>
      </c>
      <c r="AH8" s="383">
        <f t="shared" si="7"/>
        <v>0</v>
      </c>
      <c r="AJ8" s="385">
        <v>10000000</v>
      </c>
      <c r="AK8" s="392">
        <f>'[1]COE DISB 2019'!L16</f>
        <v>10000000</v>
      </c>
      <c r="AL8" s="383">
        <f t="shared" si="8"/>
        <v>0</v>
      </c>
      <c r="AN8" s="392">
        <v>10000000</v>
      </c>
      <c r="AO8" s="392">
        <f>'[1]COE DISB 2019'!M16</f>
        <v>10000000</v>
      </c>
      <c r="AP8" s="383">
        <f t="shared" si="9"/>
        <v>0</v>
      </c>
      <c r="AR8" s="392">
        <v>15000000</v>
      </c>
      <c r="AS8" s="392">
        <f>'[1]COE DISB 2019'!N16</f>
        <v>15000000</v>
      </c>
      <c r="AT8" s="383">
        <f t="shared" si="10"/>
        <v>0</v>
      </c>
      <c r="AV8" s="392">
        <v>0</v>
      </c>
      <c r="AW8" s="432">
        <f>'[1]COE DISB 2019'!O16</f>
        <v>0</v>
      </c>
      <c r="AX8" s="392">
        <f t="shared" si="11"/>
        <v>0</v>
      </c>
      <c r="AZ8" s="392">
        <v>18000000</v>
      </c>
      <c r="BA8" s="392">
        <f>'[1]COE DISB 2019'!P16</f>
        <v>18000000</v>
      </c>
      <c r="BB8" s="392">
        <f t="shared" si="12"/>
        <v>0</v>
      </c>
      <c r="BD8" s="392">
        <v>23400000</v>
      </c>
      <c r="BE8" s="392">
        <f>'[1]COE DISB 2019'!Q16</f>
        <v>23400000</v>
      </c>
      <c r="BF8" s="392">
        <f t="shared" si="13"/>
        <v>0</v>
      </c>
      <c r="BH8" s="392">
        <v>0</v>
      </c>
      <c r="BI8" s="392">
        <f>'[1]COE DISB 2019'!R16</f>
        <v>0</v>
      </c>
      <c r="BJ8" s="392">
        <f t="shared" si="14"/>
        <v>0</v>
      </c>
      <c r="BL8" s="392">
        <v>43000000</v>
      </c>
      <c r="BM8" s="392">
        <f>'[1]COE DISB 2019'!S16</f>
        <v>43000000</v>
      </c>
      <c r="BN8" s="392">
        <f t="shared" si="15"/>
        <v>0</v>
      </c>
      <c r="BP8" s="392">
        <v>37160000</v>
      </c>
      <c r="BQ8" s="392">
        <f>'[1]COE DISB 2019'!T16</f>
        <v>37160000</v>
      </c>
      <c r="BR8" s="392">
        <f t="shared" si="16"/>
        <v>0</v>
      </c>
      <c r="BT8" s="392">
        <v>0</v>
      </c>
      <c r="BU8" s="392">
        <f>'[1]COE DISB 2019'!U16</f>
        <v>0</v>
      </c>
      <c r="BV8" s="392">
        <f t="shared" si="17"/>
        <v>0</v>
      </c>
      <c r="BX8" s="392">
        <v>112670000</v>
      </c>
      <c r="BY8" s="392">
        <f>'[1]COE DISB 2019'!V16</f>
        <v>112670000</v>
      </c>
      <c r="BZ8" s="392">
        <f t="shared" si="18"/>
        <v>0</v>
      </c>
      <c r="CB8" s="392">
        <f>'[1]COE commited funds to date'!W11</f>
        <v>140000000</v>
      </c>
      <c r="CC8" s="392">
        <f>'[1]COE DISB 2019'!W16</f>
        <v>140000000</v>
      </c>
      <c r="CD8" s="392">
        <f t="shared" si="19"/>
        <v>0</v>
      </c>
      <c r="CF8" s="392">
        <f>'[1]COE commited funds to date'!X11</f>
        <v>125000000</v>
      </c>
      <c r="CG8" s="392">
        <f>'[1]COE DISB 2019'!X16</f>
        <v>106250000</v>
      </c>
      <c r="CH8" s="392">
        <f t="shared" si="20"/>
        <v>18750000</v>
      </c>
      <c r="CJ8" s="392">
        <v>10000000</v>
      </c>
      <c r="CK8" s="392">
        <f>'[1]COE DISB 2019'!Y16</f>
        <v>10000000</v>
      </c>
      <c r="CL8" s="392">
        <f t="shared" si="21"/>
        <v>0</v>
      </c>
      <c r="CN8" s="392">
        <v>0</v>
      </c>
      <c r="CO8" s="392">
        <f>'[1]COE DISB 2019'!Z16</f>
        <v>0</v>
      </c>
      <c r="CP8" s="392">
        <f t="shared" si="22"/>
        <v>0</v>
      </c>
      <c r="CR8" s="392">
        <v>210000000</v>
      </c>
      <c r="CS8" s="392">
        <f>'[1]COE DISB 2019'!AA16</f>
        <v>178500000</v>
      </c>
      <c r="CT8" s="392">
        <f t="shared" si="23"/>
        <v>31500000</v>
      </c>
      <c r="CV8" s="392">
        <v>10000000</v>
      </c>
      <c r="CW8" s="392">
        <f>'[1]COE DISB 2019'!AB16</f>
        <v>10000000</v>
      </c>
      <c r="CX8" s="392">
        <f t="shared" si="24"/>
        <v>0</v>
      </c>
      <c r="CZ8" s="392">
        <f>'[1]COE commited funds to date'!AC11</f>
        <v>300000000</v>
      </c>
      <c r="DA8" s="392">
        <f>'[1]COE DISB 2019'!AC16</f>
        <v>255000000</v>
      </c>
      <c r="DB8" s="392">
        <f t="shared" si="25"/>
        <v>45000000</v>
      </c>
      <c r="DC8" s="394"/>
      <c r="DD8" s="392">
        <v>215000000</v>
      </c>
      <c r="DE8" s="392">
        <f>'[1]COE DISB 2019'!AD16</f>
        <v>182750000</v>
      </c>
      <c r="DF8" s="392">
        <f t="shared" si="26"/>
        <v>32250000</v>
      </c>
      <c r="DG8" s="394"/>
      <c r="DH8" s="392">
        <v>10000000</v>
      </c>
      <c r="DI8" s="392">
        <f>'[1]COE DISB 2019'!AE16</f>
        <v>10000000</v>
      </c>
      <c r="DJ8" s="392">
        <f t="shared" si="27"/>
        <v>0</v>
      </c>
      <c r="DK8" s="394"/>
      <c r="DL8" s="392">
        <f>'[1]COE commited funds to date'!AD11</f>
        <v>0</v>
      </c>
      <c r="DM8" s="392">
        <f>'[1]COE DISB 2019'!AF16</f>
        <v>0</v>
      </c>
      <c r="DN8" s="392">
        <f t="shared" si="28"/>
        <v>0</v>
      </c>
      <c r="DO8" s="394"/>
      <c r="DP8" s="392">
        <v>325000000</v>
      </c>
      <c r="DQ8" s="392">
        <f>'[1]COE DISB 2019'!AG16</f>
        <v>0</v>
      </c>
      <c r="DR8" s="392">
        <f t="shared" si="29"/>
        <v>325000000</v>
      </c>
      <c r="DS8" s="394"/>
      <c r="DT8" s="397">
        <v>10000000</v>
      </c>
      <c r="DU8" s="392">
        <f>'[1]COE DISB 2019'!AH16</f>
        <v>10000000</v>
      </c>
      <c r="DV8" s="392">
        <f t="shared" si="30"/>
        <v>0</v>
      </c>
      <c r="DW8" s="394"/>
      <c r="DX8" s="392">
        <f>'[1]COE commited funds to date'!AI11</f>
        <v>250000000</v>
      </c>
      <c r="DY8" s="392">
        <f>'[1]COE DISB 2019'!AI16</f>
        <v>250000000</v>
      </c>
      <c r="DZ8" s="392">
        <f t="shared" si="31"/>
        <v>0</v>
      </c>
      <c r="EA8" s="394"/>
      <c r="EB8" s="392">
        <f>'[1]COE commited funds to date'!AJ11</f>
        <v>72000000</v>
      </c>
      <c r="EC8" s="392">
        <f>'[1]COE DISB 2019'!AJ16</f>
        <v>0</v>
      </c>
      <c r="ED8" s="392">
        <f t="shared" si="32"/>
        <v>72000000</v>
      </c>
      <c r="EE8" s="394"/>
      <c r="EF8" s="392">
        <f>'[1]COE commited funds to date'!AK11</f>
        <v>8000000</v>
      </c>
      <c r="EG8" s="392">
        <f>'[1]COE DISB 2019'!AK16</f>
        <v>0</v>
      </c>
      <c r="EH8" s="392">
        <f t="shared" si="33"/>
        <v>8000000</v>
      </c>
      <c r="EI8" s="394"/>
      <c r="EJ8" s="392">
        <f>'[1]COE commited funds to date'!AL11</f>
        <v>2000000</v>
      </c>
      <c r="EK8" s="392">
        <f>'[1]COE DISB 2019'!AL16</f>
        <v>0</v>
      </c>
      <c r="EL8" s="392">
        <f t="shared" si="34"/>
        <v>2000000</v>
      </c>
      <c r="EM8" s="394"/>
      <c r="EN8" s="392">
        <f>'[1]COE commited funds to date'!AM11</f>
        <v>7000000</v>
      </c>
      <c r="EO8" s="392">
        <f>'[1]COE DISB 2019'!AM16</f>
        <v>7000000</v>
      </c>
      <c r="EP8" s="392">
        <f t="shared" si="35"/>
        <v>0</v>
      </c>
      <c r="EQ8" s="394"/>
      <c r="ER8" s="392">
        <f>'[1]COE commited funds to date'!AN11</f>
        <v>350000000</v>
      </c>
      <c r="ES8" s="392">
        <f>'[1]COE DISB 2019'!AN16</f>
        <v>318500000</v>
      </c>
      <c r="ET8" s="392">
        <f t="shared" si="36"/>
        <v>31500000</v>
      </c>
      <c r="EV8" s="383">
        <f>'[1]COE commited funds to date'!AO11</f>
        <v>371067000</v>
      </c>
      <c r="EW8" s="383">
        <f>'[1]COE DISB 2019'!AO16</f>
        <v>0</v>
      </c>
      <c r="EX8" s="383">
        <f t="shared" si="38"/>
        <v>371067000</v>
      </c>
      <c r="EY8" s="380"/>
      <c r="EZ8" s="383">
        <f>'[1]COE commited funds to date'!AQ11</f>
        <v>12000000</v>
      </c>
      <c r="FA8" s="383">
        <f>'[1]COE DISB 2019'!AP16</f>
        <v>12000000</v>
      </c>
      <c r="FB8" s="383">
        <f t="shared" si="39"/>
        <v>0</v>
      </c>
      <c r="FC8" s="380"/>
      <c r="FD8" s="383">
        <f>'[1]COE commited funds to date'!AR11</f>
        <v>10000000</v>
      </c>
      <c r="FE8" s="383">
        <f>'[1]COE DISB 2019'!AQ16</f>
        <v>0</v>
      </c>
      <c r="FF8" s="383">
        <f t="shared" si="40"/>
        <v>10000000</v>
      </c>
      <c r="FG8" s="380"/>
      <c r="FH8" s="383">
        <f>'[1]COE commited funds to date'!AP11</f>
        <v>8000000</v>
      </c>
      <c r="FI8" s="383">
        <f>'[1]COE DISB 2019'!AR16</f>
        <v>0</v>
      </c>
      <c r="FJ8" s="383">
        <f t="shared" si="41"/>
        <v>8000000</v>
      </c>
      <c r="FK8" s="383">
        <f>'[1]COE commited funds to date'!AS11</f>
        <v>150000000</v>
      </c>
      <c r="FL8" s="383">
        <f>'[1]COE DISB 2019'!AS16</f>
        <v>127500000</v>
      </c>
      <c r="FM8" s="383">
        <f t="shared" si="42"/>
        <v>22500000</v>
      </c>
      <c r="FN8" s="380"/>
      <c r="FO8" s="383">
        <f>'[1]COE commited funds to date'!AT11</f>
        <v>200000000</v>
      </c>
      <c r="FP8" s="383">
        <f>'[1]COE DISB 2019'!AT16</f>
        <v>0</v>
      </c>
      <c r="FQ8" s="383">
        <f t="shared" si="43"/>
        <v>200000000</v>
      </c>
      <c r="FR8" s="380"/>
      <c r="FS8" s="383">
        <f>'[1]COE commited funds to date'!AU11</f>
        <v>75000000</v>
      </c>
      <c r="FT8" s="383">
        <f>'[1]COE DISB 2019'!AU16</f>
        <v>51000000</v>
      </c>
      <c r="FU8" s="383">
        <f t="shared" si="44"/>
        <v>24000000</v>
      </c>
      <c r="FV8" s="380"/>
      <c r="FW8" s="383">
        <f>'[1]COE commited funds to date'!AV11</f>
        <v>8700000</v>
      </c>
      <c r="FX8" s="383">
        <f>'[1]COE DISB 2019'!AV16</f>
        <v>0</v>
      </c>
      <c r="FY8" s="383">
        <f t="shared" si="45"/>
        <v>8700000</v>
      </c>
      <c r="FZ8" s="380"/>
      <c r="GA8" s="383">
        <f>'[1]COE commited funds to date'!AW11</f>
        <v>5000000</v>
      </c>
      <c r="GB8" s="383">
        <f>'[1]COE DISB 2019'!AW16</f>
        <v>0</v>
      </c>
      <c r="GC8" s="383">
        <f t="shared" si="46"/>
        <v>5000000</v>
      </c>
      <c r="GD8" s="380"/>
      <c r="GE8" s="383">
        <f>'[1]COE commited funds to date'!AX11</f>
        <v>20000000</v>
      </c>
      <c r="GF8" s="383">
        <f>'[1]COE DISB 2019'!AX16</f>
        <v>19585000</v>
      </c>
      <c r="GG8" s="383">
        <f t="shared" si="47"/>
        <v>415000</v>
      </c>
      <c r="GH8" s="380"/>
      <c r="GI8" s="383">
        <f>'[1]COE commited funds to date'!AY11</f>
        <v>230000000</v>
      </c>
      <c r="GJ8" s="383">
        <f>'[1]COE DISB 2019'!AY16</f>
        <v>0</v>
      </c>
      <c r="GK8" s="383">
        <f t="shared" si="48"/>
        <v>230000000</v>
      </c>
      <c r="GL8" s="380"/>
      <c r="GM8" s="383">
        <f>'[1]COE commited funds to date'!AZ11</f>
        <v>116776600</v>
      </c>
      <c r="GN8" s="383">
        <f>'[1]COE DISB 2019'!AZ16</f>
        <v>0</v>
      </c>
      <c r="GO8" s="383">
        <f t="shared" si="49"/>
        <v>116776600</v>
      </c>
      <c r="GP8" s="380"/>
      <c r="GQ8" s="383">
        <f>'[1]COE commited funds to date'!BA11</f>
        <v>12000000</v>
      </c>
      <c r="GR8" s="383">
        <f>'[1]COE DISB 2019'!BA16</f>
        <v>0</v>
      </c>
      <c r="GS8" s="383">
        <f t="shared" si="50"/>
        <v>12000000</v>
      </c>
      <c r="GT8" s="380"/>
      <c r="GU8" s="383">
        <f>'[1]COE commited funds to date'!BB11</f>
        <v>5000000</v>
      </c>
      <c r="GV8" s="383">
        <f>'[1]COE DISB 2019'!BB16</f>
        <v>0</v>
      </c>
      <c r="GW8" s="383">
        <f t="shared" si="51"/>
        <v>5000000</v>
      </c>
      <c r="GX8" s="380"/>
      <c r="GY8" s="383">
        <f>'[1]COE commited funds to date'!BC11</f>
        <v>10308300</v>
      </c>
      <c r="GZ8" s="383">
        <f>'[1]COE DISB 2019'!BC16</f>
        <v>0</v>
      </c>
      <c r="HA8" s="383">
        <f t="shared" si="52"/>
        <v>10308300</v>
      </c>
      <c r="HB8" s="380"/>
      <c r="HC8" s="383">
        <f t="shared" si="53"/>
        <v>3610719865.5</v>
      </c>
      <c r="HD8" s="383">
        <f t="shared" si="53"/>
        <v>2020952965.5</v>
      </c>
      <c r="HE8" s="392">
        <f t="shared" si="54"/>
        <v>1589766900</v>
      </c>
      <c r="HG8" s="383">
        <f t="shared" si="55"/>
        <v>2079615965.5</v>
      </c>
      <c r="HH8" s="383">
        <f t="shared" si="55"/>
        <v>799048965.5</v>
      </c>
      <c r="HI8" s="383">
        <f t="shared" si="56"/>
        <v>1280567000</v>
      </c>
      <c r="HK8" s="383">
        <f t="shared" si="57"/>
        <v>1040000000</v>
      </c>
      <c r="HL8" s="383">
        <f t="shared" si="57"/>
        <v>963500000</v>
      </c>
      <c r="HM8" s="383">
        <f t="shared" si="58"/>
        <v>76500000</v>
      </c>
      <c r="HO8" s="383">
        <f t="shared" si="37"/>
        <v>1319000</v>
      </c>
      <c r="HP8" s="383">
        <f t="shared" si="37"/>
        <v>1319000</v>
      </c>
      <c r="HQ8" s="383">
        <f t="shared" si="59"/>
        <v>0</v>
      </c>
      <c r="HS8" s="383">
        <f t="shared" si="60"/>
        <v>89308300</v>
      </c>
      <c r="HT8" s="383">
        <f t="shared" si="60"/>
        <v>78585000</v>
      </c>
      <c r="HU8" s="383">
        <f t="shared" si="61"/>
        <v>10723300</v>
      </c>
      <c r="HW8" s="383">
        <f t="shared" si="62"/>
        <v>36700000</v>
      </c>
      <c r="HX8" s="383">
        <f t="shared" si="62"/>
        <v>0</v>
      </c>
      <c r="HY8" s="383">
        <f t="shared" si="63"/>
        <v>36700000</v>
      </c>
      <c r="IA8" s="387">
        <f t="shared" si="64"/>
        <v>20000000</v>
      </c>
      <c r="IB8" s="387">
        <f t="shared" si="64"/>
        <v>0</v>
      </c>
      <c r="IC8" s="387">
        <f t="shared" si="65"/>
        <v>20000000</v>
      </c>
      <c r="IE8" s="383">
        <f t="shared" si="66"/>
        <v>341776600</v>
      </c>
      <c r="IF8" s="383">
        <f t="shared" si="66"/>
        <v>178500000</v>
      </c>
      <c r="IG8" s="383">
        <f t="shared" si="67"/>
        <v>163276600</v>
      </c>
      <c r="II8" s="383">
        <f t="shared" si="68"/>
        <v>2000000</v>
      </c>
      <c r="IJ8" s="383">
        <f t="shared" si="68"/>
        <v>0</v>
      </c>
      <c r="IK8" s="383">
        <f t="shared" si="69"/>
        <v>2000000</v>
      </c>
    </row>
    <row r="9" spans="1:245" x14ac:dyDescent="0.25">
      <c r="A9" s="380">
        <v>6</v>
      </c>
      <c r="B9" s="380" t="s">
        <v>325</v>
      </c>
      <c r="C9" s="431" t="s">
        <v>74</v>
      </c>
      <c r="D9" s="392">
        <v>18318965.5</v>
      </c>
      <c r="E9" s="392">
        <f>'[1]COE DISB 2019'!D17</f>
        <v>18318965.600000001</v>
      </c>
      <c r="F9" s="383">
        <f t="shared" si="0"/>
        <v>-0.10000000149011612</v>
      </c>
      <c r="H9" s="392">
        <v>8000000</v>
      </c>
      <c r="I9" s="392">
        <f>'[1]COE DISB 2019'!E17</f>
        <v>8000000</v>
      </c>
      <c r="J9" s="383">
        <f t="shared" si="1"/>
        <v>0</v>
      </c>
      <c r="L9" s="392">
        <v>500000</v>
      </c>
      <c r="M9" s="392">
        <f>'[1]COE DISB 2019'!F17</f>
        <v>500000</v>
      </c>
      <c r="N9" s="383">
        <f t="shared" si="2"/>
        <v>0</v>
      </c>
      <c r="P9" s="353">
        <v>16000000</v>
      </c>
      <c r="Q9" s="392">
        <f>'[1]COE DISB 2019'!G17</f>
        <v>16000000</v>
      </c>
      <c r="R9" s="383">
        <f t="shared" si="3"/>
        <v>0</v>
      </c>
      <c r="T9" s="385">
        <v>370000</v>
      </c>
      <c r="U9" s="392">
        <f>'[1]COE DISB 2019'!H17</f>
        <v>370000</v>
      </c>
      <c r="V9" s="383">
        <f t="shared" si="4"/>
        <v>0</v>
      </c>
      <c r="X9" s="385">
        <v>4000000</v>
      </c>
      <c r="Y9" s="392">
        <f>'[1]COE DISB 2019'!I17</f>
        <v>4000000</v>
      </c>
      <c r="Z9" s="383">
        <f t="shared" si="5"/>
        <v>0</v>
      </c>
      <c r="AB9" s="385">
        <v>20000000</v>
      </c>
      <c r="AC9" s="392">
        <f>'[1]COE DISB 2019'!J17</f>
        <v>20000000</v>
      </c>
      <c r="AD9" s="383">
        <f t="shared" si="6"/>
        <v>0</v>
      </c>
      <c r="AF9" s="353">
        <v>0</v>
      </c>
      <c r="AG9" s="392">
        <f>'[1]COE DISB 2019'!K17</f>
        <v>0</v>
      </c>
      <c r="AH9" s="383">
        <f t="shared" si="7"/>
        <v>0</v>
      </c>
      <c r="AJ9" s="385">
        <v>10000000</v>
      </c>
      <c r="AK9" s="392">
        <f>'[1]COE DISB 2019'!L17</f>
        <v>10000000</v>
      </c>
      <c r="AL9" s="383">
        <f t="shared" si="8"/>
        <v>0</v>
      </c>
      <c r="AN9" s="392">
        <v>10000000</v>
      </c>
      <c r="AO9" s="392">
        <f>'[1]COE DISB 2019'!M17</f>
        <v>10000000</v>
      </c>
      <c r="AP9" s="383">
        <f t="shared" si="9"/>
        <v>0</v>
      </c>
      <c r="AR9" s="392">
        <v>15000000</v>
      </c>
      <c r="AS9" s="392">
        <f>'[1]COE DISB 2019'!N17</f>
        <v>15000000</v>
      </c>
      <c r="AT9" s="383">
        <f t="shared" si="10"/>
        <v>0</v>
      </c>
      <c r="AV9" s="392">
        <v>10000000</v>
      </c>
      <c r="AW9" s="393">
        <f>'[1]COE DISB 2019'!O17</f>
        <v>10000000</v>
      </c>
      <c r="AX9" s="392">
        <f t="shared" si="11"/>
        <v>0</v>
      </c>
      <c r="AZ9" s="392">
        <v>18000000</v>
      </c>
      <c r="BA9" s="392">
        <f>'[1]COE DISB 2019'!P17</f>
        <v>18000000</v>
      </c>
      <c r="BB9" s="392">
        <f t="shared" si="12"/>
        <v>0</v>
      </c>
      <c r="BD9" s="392">
        <v>23400000</v>
      </c>
      <c r="BE9" s="392">
        <f>'[1]COE DISB 2019'!Q17</f>
        <v>23400000</v>
      </c>
      <c r="BF9" s="392">
        <f t="shared" si="13"/>
        <v>0</v>
      </c>
      <c r="BH9" s="392">
        <v>0</v>
      </c>
      <c r="BI9" s="392">
        <f>'[1]COE DISB 2019'!R17</f>
        <v>0</v>
      </c>
      <c r="BJ9" s="392">
        <f t="shared" si="14"/>
        <v>0</v>
      </c>
      <c r="BL9" s="392">
        <v>43000000</v>
      </c>
      <c r="BM9" s="392">
        <f>'[1]COE DISB 2019'!S17</f>
        <v>43000000</v>
      </c>
      <c r="BN9" s="392">
        <f t="shared" si="15"/>
        <v>0</v>
      </c>
      <c r="BP9" s="392">
        <v>37160000</v>
      </c>
      <c r="BQ9" s="392">
        <f>'[1]COE DISB 2019'!T17</f>
        <v>37160000</v>
      </c>
      <c r="BR9" s="392">
        <f t="shared" si="16"/>
        <v>0</v>
      </c>
      <c r="BT9" s="392">
        <v>0</v>
      </c>
      <c r="BU9" s="392">
        <f>'[1]COE DISB 2019'!U17</f>
        <v>0</v>
      </c>
      <c r="BV9" s="392">
        <f t="shared" si="17"/>
        <v>0</v>
      </c>
      <c r="BX9" s="392">
        <v>112670000</v>
      </c>
      <c r="BY9" s="392">
        <f>'[1]COE DISB 2019'!V17</f>
        <v>112670000</v>
      </c>
      <c r="BZ9" s="392">
        <f t="shared" si="18"/>
        <v>0</v>
      </c>
      <c r="CB9" s="392">
        <f>'[1]COE commited funds to date'!W12</f>
        <v>0</v>
      </c>
      <c r="CC9" s="392">
        <f>'[1]COE DISB 2019'!W17</f>
        <v>0</v>
      </c>
      <c r="CD9" s="392">
        <f t="shared" si="19"/>
        <v>0</v>
      </c>
      <c r="CF9" s="392">
        <f>'[1]COE commited funds to date'!X12</f>
        <v>125000000</v>
      </c>
      <c r="CG9" s="392">
        <f>'[1]COE DISB 2019'!X17</f>
        <v>125002549.98999999</v>
      </c>
      <c r="CH9" s="392">
        <f t="shared" si="20"/>
        <v>-2549.9899999946356</v>
      </c>
      <c r="CJ9" s="392">
        <v>10000000</v>
      </c>
      <c r="CK9" s="392">
        <f>'[1]COE DISB 2019'!Y17</f>
        <v>10000000</v>
      </c>
      <c r="CL9" s="392">
        <f t="shared" si="21"/>
        <v>0</v>
      </c>
      <c r="CN9" s="392">
        <v>0</v>
      </c>
      <c r="CO9" s="392">
        <f>'[1]COE DISB 2019'!Z17</f>
        <v>0</v>
      </c>
      <c r="CP9" s="392">
        <f t="shared" si="22"/>
        <v>0</v>
      </c>
      <c r="CR9" s="392">
        <v>210000000</v>
      </c>
      <c r="CS9" s="392">
        <f>'[1]COE DISB 2019'!AA17</f>
        <v>210000000</v>
      </c>
      <c r="CT9" s="392">
        <f t="shared" si="23"/>
        <v>0</v>
      </c>
      <c r="CV9" s="392">
        <v>10000000</v>
      </c>
      <c r="CW9" s="392">
        <f>'[1]COE DISB 2019'!AB17</f>
        <v>10000000</v>
      </c>
      <c r="CX9" s="392">
        <f t="shared" si="24"/>
        <v>0</v>
      </c>
      <c r="CZ9" s="392">
        <f>'[1]COE commited funds to date'!AC12</f>
        <v>150000000</v>
      </c>
      <c r="DA9" s="392">
        <f>'[1]COE DISB 2019'!AC17</f>
        <v>150000000</v>
      </c>
      <c r="DB9" s="392">
        <f t="shared" si="25"/>
        <v>0</v>
      </c>
      <c r="DC9" s="394"/>
      <c r="DD9" s="392">
        <v>215000000</v>
      </c>
      <c r="DE9" s="392">
        <f>'[1]COE DISB 2019'!AD17</f>
        <v>215000000</v>
      </c>
      <c r="DF9" s="392">
        <f t="shared" si="26"/>
        <v>0</v>
      </c>
      <c r="DG9" s="394"/>
      <c r="DH9" s="392">
        <v>10000000</v>
      </c>
      <c r="DI9" s="392">
        <f>'[1]COE DISB 2019'!AE17</f>
        <v>10000000</v>
      </c>
      <c r="DJ9" s="392">
        <f t="shared" si="27"/>
        <v>0</v>
      </c>
      <c r="DK9" s="394"/>
      <c r="DL9" s="392">
        <f>'[1]COE commited funds to date'!AD12</f>
        <v>70000000</v>
      </c>
      <c r="DM9" s="392">
        <f>'[1]COE DISB 2019'!AF17</f>
        <v>70000000</v>
      </c>
      <c r="DN9" s="392">
        <f t="shared" si="28"/>
        <v>0</v>
      </c>
      <c r="DO9" s="394"/>
      <c r="DP9" s="392">
        <v>325000000</v>
      </c>
      <c r="DQ9" s="392">
        <f>'[1]COE DISB 2019'!AG17</f>
        <v>276250000</v>
      </c>
      <c r="DR9" s="392">
        <f t="shared" si="29"/>
        <v>48750000</v>
      </c>
      <c r="DS9" s="394"/>
      <c r="DT9" s="397">
        <v>10000000</v>
      </c>
      <c r="DU9" s="392">
        <f>'[1]COE DISB 2019'!AH17</f>
        <v>10000000</v>
      </c>
      <c r="DV9" s="392">
        <f t="shared" si="30"/>
        <v>0</v>
      </c>
      <c r="DW9" s="394"/>
      <c r="DX9" s="392">
        <f>'[1]COE commited funds to date'!AI12</f>
        <v>450000000</v>
      </c>
      <c r="DY9" s="392">
        <f>'[1]COE DISB 2019'!AI17</f>
        <v>450000000</v>
      </c>
      <c r="DZ9" s="392">
        <f t="shared" si="31"/>
        <v>0</v>
      </c>
      <c r="EA9" s="394"/>
      <c r="EB9" s="392">
        <f>'[1]COE commited funds to date'!AJ12</f>
        <v>72000000</v>
      </c>
      <c r="EC9" s="392">
        <f>'[1]COE DISB 2019'!AJ17</f>
        <v>61200000</v>
      </c>
      <c r="ED9" s="392">
        <f t="shared" si="32"/>
        <v>10800000</v>
      </c>
      <c r="EE9" s="394"/>
      <c r="EF9" s="392">
        <f>'[1]COE commited funds to date'!AK12</f>
        <v>8000000</v>
      </c>
      <c r="EG9" s="392">
        <f>'[1]COE DISB 2019'!AK17</f>
        <v>6800000</v>
      </c>
      <c r="EH9" s="392">
        <f t="shared" si="33"/>
        <v>1200000</v>
      </c>
      <c r="EI9" s="394"/>
      <c r="EJ9" s="392">
        <f>'[1]COE commited funds to date'!AL12</f>
        <v>2000000</v>
      </c>
      <c r="EK9" s="392">
        <f>'[1]COE DISB 2019'!AL17</f>
        <v>0</v>
      </c>
      <c r="EL9" s="392">
        <f t="shared" si="34"/>
        <v>2000000</v>
      </c>
      <c r="EM9" s="394"/>
      <c r="EN9" s="392">
        <f>'[1]COE commited funds to date'!AM12</f>
        <v>7000000</v>
      </c>
      <c r="EO9" s="392">
        <f>'[1]COE DISB 2019'!AM17</f>
        <v>7000000</v>
      </c>
      <c r="EP9" s="392">
        <f t="shared" si="35"/>
        <v>0</v>
      </c>
      <c r="EQ9" s="394"/>
      <c r="ER9" s="392">
        <f>'[1]COE commited funds to date'!AN12</f>
        <v>675000000</v>
      </c>
      <c r="ES9" s="392">
        <f>'[1]COE DISB 2019'!AN17</f>
        <v>667500000</v>
      </c>
      <c r="ET9" s="392">
        <f t="shared" si="36"/>
        <v>7500000</v>
      </c>
      <c r="EV9" s="383">
        <f>'[1]COE commited funds to date'!AO12</f>
        <v>371067000</v>
      </c>
      <c r="EW9" s="383">
        <f>'[1]COE DISB 2019'!AO17</f>
        <v>0</v>
      </c>
      <c r="EX9" s="383">
        <f t="shared" si="38"/>
        <v>371067000</v>
      </c>
      <c r="EY9" s="380"/>
      <c r="EZ9" s="383">
        <f>'[1]COE commited funds to date'!AQ12</f>
        <v>12000000</v>
      </c>
      <c r="FA9" s="383">
        <f>'[1]COE DISB 2019'!AP17</f>
        <v>17430</v>
      </c>
      <c r="FB9" s="383">
        <f t="shared" si="39"/>
        <v>11982570</v>
      </c>
      <c r="FC9" s="380"/>
      <c r="FD9" s="383">
        <f>'[1]COE commited funds to date'!AR12</f>
        <v>10000000</v>
      </c>
      <c r="FE9" s="383">
        <f>'[1]COE DISB 2019'!AQ17</f>
        <v>0</v>
      </c>
      <c r="FF9" s="383">
        <f t="shared" si="40"/>
        <v>10000000</v>
      </c>
      <c r="FG9" s="380"/>
      <c r="FH9" s="383">
        <f>'[1]COE commited funds to date'!AP12</f>
        <v>8000000</v>
      </c>
      <c r="FI9" s="383">
        <f>'[1]COE DISB 2019'!AR17</f>
        <v>0</v>
      </c>
      <c r="FJ9" s="383">
        <f t="shared" si="41"/>
        <v>8000000</v>
      </c>
      <c r="FK9" s="383">
        <f>'[1]COE commited funds to date'!AS12</f>
        <v>150000000</v>
      </c>
      <c r="FL9" s="383">
        <f>'[1]COE DISB 2019'!AS17</f>
        <v>127500000</v>
      </c>
      <c r="FM9" s="383">
        <f t="shared" si="42"/>
        <v>22500000</v>
      </c>
      <c r="FN9" s="380"/>
      <c r="FO9" s="383">
        <f>'[1]COE commited funds to date'!AT12</f>
        <v>200000000</v>
      </c>
      <c r="FP9" s="383">
        <f>'[1]COE DISB 2019'!AT17</f>
        <v>0</v>
      </c>
      <c r="FQ9" s="383">
        <f t="shared" si="43"/>
        <v>200000000</v>
      </c>
      <c r="FR9" s="380"/>
      <c r="FS9" s="383">
        <f>'[1]COE commited funds to date'!AU12</f>
        <v>75000000</v>
      </c>
      <c r="FT9" s="383">
        <f>'[1]COE DISB 2019'!AU17</f>
        <v>50250000</v>
      </c>
      <c r="FU9" s="383">
        <f t="shared" si="44"/>
        <v>24750000</v>
      </c>
      <c r="FV9" s="380"/>
      <c r="FW9" s="383">
        <f>'[1]COE commited funds to date'!AV12</f>
        <v>8700000</v>
      </c>
      <c r="FX9" s="383">
        <f>'[1]COE DISB 2019'!AV17</f>
        <v>0</v>
      </c>
      <c r="FY9" s="383">
        <f t="shared" si="45"/>
        <v>8700000</v>
      </c>
      <c r="FZ9" s="380"/>
      <c r="GA9" s="383">
        <f>'[1]COE commited funds to date'!AW12</f>
        <v>5000000</v>
      </c>
      <c r="GB9" s="383">
        <f>'[1]COE DISB 2019'!AW17</f>
        <v>0</v>
      </c>
      <c r="GC9" s="383">
        <f t="shared" si="46"/>
        <v>5000000</v>
      </c>
      <c r="GD9" s="380"/>
      <c r="GE9" s="383">
        <f>'[1]COE commited funds to date'!AX12</f>
        <v>20000000</v>
      </c>
      <c r="GF9" s="383">
        <f>'[1]COE DISB 2019'!AX17</f>
        <v>0</v>
      </c>
      <c r="GG9" s="383">
        <f t="shared" si="47"/>
        <v>20000000</v>
      </c>
      <c r="GH9" s="380"/>
      <c r="GI9" s="383">
        <f>'[1]COE commited funds to date'!AY12</f>
        <v>230000000</v>
      </c>
      <c r="GJ9" s="383">
        <f>'[1]COE DISB 2019'!AY17</f>
        <v>0</v>
      </c>
      <c r="GK9" s="383">
        <f t="shared" si="48"/>
        <v>230000000</v>
      </c>
      <c r="GL9" s="380"/>
      <c r="GM9" s="383">
        <f>'[1]COE commited funds to date'!AZ12</f>
        <v>116776600</v>
      </c>
      <c r="GN9" s="383">
        <f>'[1]COE DISB 2019'!AZ17</f>
        <v>0</v>
      </c>
      <c r="GO9" s="383">
        <f t="shared" si="49"/>
        <v>116776600</v>
      </c>
      <c r="GP9" s="380"/>
      <c r="GQ9" s="383">
        <f>'[1]COE commited funds to date'!BA12</f>
        <v>12000000</v>
      </c>
      <c r="GR9" s="383">
        <f>'[1]COE DISB 2019'!BA17</f>
        <v>0</v>
      </c>
      <c r="GS9" s="383">
        <f t="shared" si="50"/>
        <v>12000000</v>
      </c>
      <c r="GT9" s="380"/>
      <c r="GU9" s="383">
        <f>'[1]COE commited funds to date'!BB12</f>
        <v>5000000</v>
      </c>
      <c r="GV9" s="383">
        <f>'[1]COE DISB 2019'!BB17</f>
        <v>0</v>
      </c>
      <c r="GW9" s="383">
        <f t="shared" si="51"/>
        <v>5000000</v>
      </c>
      <c r="GX9" s="380"/>
      <c r="GY9" s="383">
        <f>'[1]COE commited funds to date'!BC12</f>
        <v>10308300</v>
      </c>
      <c r="GZ9" s="383">
        <f>'[1]COE DISB 2019'!BC17</f>
        <v>0</v>
      </c>
      <c r="HA9" s="383">
        <f t="shared" si="52"/>
        <v>10308300</v>
      </c>
      <c r="HB9" s="380"/>
      <c r="HC9" s="383">
        <f t="shared" si="53"/>
        <v>3929270865.5</v>
      </c>
      <c r="HD9" s="383">
        <f t="shared" si="53"/>
        <v>2802938945.5900002</v>
      </c>
      <c r="HE9" s="392">
        <f t="shared" si="54"/>
        <v>1126331919.9099998</v>
      </c>
      <c r="HG9" s="383">
        <f t="shared" si="55"/>
        <v>2079615965.5</v>
      </c>
      <c r="HH9" s="383">
        <f t="shared" si="55"/>
        <v>1219001515.5900002</v>
      </c>
      <c r="HI9" s="383">
        <f t="shared" si="56"/>
        <v>860614449.90999985</v>
      </c>
      <c r="HK9" s="383">
        <f t="shared" si="57"/>
        <v>1345000000</v>
      </c>
      <c r="HL9" s="383">
        <f t="shared" si="57"/>
        <v>1337500000</v>
      </c>
      <c r="HM9" s="383">
        <f t="shared" si="58"/>
        <v>7500000</v>
      </c>
      <c r="HO9" s="383">
        <f t="shared" si="37"/>
        <v>870000</v>
      </c>
      <c r="HP9" s="383">
        <f t="shared" si="37"/>
        <v>870000</v>
      </c>
      <c r="HQ9" s="383">
        <f t="shared" si="59"/>
        <v>0</v>
      </c>
      <c r="HS9" s="383">
        <f t="shared" si="60"/>
        <v>89308300</v>
      </c>
      <c r="HT9" s="383">
        <f t="shared" si="60"/>
        <v>47017430</v>
      </c>
      <c r="HU9" s="383">
        <f t="shared" si="61"/>
        <v>42290870</v>
      </c>
      <c r="HW9" s="383">
        <f t="shared" si="62"/>
        <v>36700000</v>
      </c>
      <c r="HX9" s="383">
        <f t="shared" si="62"/>
        <v>6800000</v>
      </c>
      <c r="HY9" s="383">
        <f t="shared" si="63"/>
        <v>29900000</v>
      </c>
      <c r="IA9" s="387">
        <f t="shared" si="64"/>
        <v>20000000</v>
      </c>
      <c r="IB9" s="387">
        <f t="shared" si="64"/>
        <v>0</v>
      </c>
      <c r="IC9" s="387">
        <f t="shared" si="65"/>
        <v>20000000</v>
      </c>
      <c r="IE9" s="383">
        <f t="shared" si="66"/>
        <v>341776600</v>
      </c>
      <c r="IF9" s="383">
        <f t="shared" si="66"/>
        <v>177750000</v>
      </c>
      <c r="IG9" s="383">
        <f t="shared" si="67"/>
        <v>164026600</v>
      </c>
      <c r="II9" s="383">
        <f t="shared" si="68"/>
        <v>2000000</v>
      </c>
      <c r="IJ9" s="383">
        <f t="shared" si="68"/>
        <v>0</v>
      </c>
      <c r="IK9" s="383">
        <f t="shared" si="69"/>
        <v>2000000</v>
      </c>
    </row>
    <row r="10" spans="1:245" x14ac:dyDescent="0.25">
      <c r="A10" s="380">
        <v>7</v>
      </c>
      <c r="B10" s="380" t="s">
        <v>326</v>
      </c>
      <c r="C10" s="433" t="s">
        <v>63</v>
      </c>
      <c r="D10" s="392">
        <v>18318965.5</v>
      </c>
      <c r="E10" s="392">
        <f>'[1]COE DISB 2019'!D18</f>
        <v>18318965.5</v>
      </c>
      <c r="F10" s="383">
        <f t="shared" si="0"/>
        <v>0</v>
      </c>
      <c r="H10" s="392">
        <v>8000000</v>
      </c>
      <c r="I10" s="392">
        <f>'[1]COE DISB 2019'!E18</f>
        <v>8000000</v>
      </c>
      <c r="J10" s="383">
        <f t="shared" si="1"/>
        <v>0</v>
      </c>
      <c r="L10" s="392">
        <v>500000</v>
      </c>
      <c r="M10" s="392">
        <f>'[1]COE DISB 2019'!F18</f>
        <v>500000</v>
      </c>
      <c r="N10" s="383">
        <f t="shared" si="2"/>
        <v>0</v>
      </c>
      <c r="P10" s="353">
        <v>16000000</v>
      </c>
      <c r="Q10" s="392">
        <f>'[1]COE DISB 2019'!G18</f>
        <v>16000000</v>
      </c>
      <c r="R10" s="383">
        <f t="shared" si="3"/>
        <v>0</v>
      </c>
      <c r="T10" s="385">
        <v>1765000</v>
      </c>
      <c r="U10" s="392">
        <f>'[1]COE DISB 2019'!H18</f>
        <v>1765000</v>
      </c>
      <c r="V10" s="383">
        <f t="shared" si="4"/>
        <v>0</v>
      </c>
      <c r="X10" s="353">
        <v>0</v>
      </c>
      <c r="Y10" s="392">
        <f>'[1]COE DISB 2019'!I18</f>
        <v>0</v>
      </c>
      <c r="Z10" s="383">
        <f t="shared" si="5"/>
        <v>0</v>
      </c>
      <c r="AB10" s="385">
        <v>20000000</v>
      </c>
      <c r="AC10" s="392">
        <f>'[1]COE DISB 2019'!J18</f>
        <v>20000000</v>
      </c>
      <c r="AD10" s="383">
        <f t="shared" si="6"/>
        <v>0</v>
      </c>
      <c r="AF10" s="353">
        <v>0</v>
      </c>
      <c r="AG10" s="392">
        <f>'[1]COE DISB 2019'!K18</f>
        <v>0</v>
      </c>
      <c r="AH10" s="383">
        <f t="shared" si="7"/>
        <v>0</v>
      </c>
      <c r="AJ10" s="385">
        <v>10000000</v>
      </c>
      <c r="AK10" s="392">
        <f>'[1]COE DISB 2019'!L18</f>
        <v>10000000</v>
      </c>
      <c r="AL10" s="383">
        <f t="shared" si="8"/>
        <v>0</v>
      </c>
      <c r="AN10" s="392">
        <v>10000000</v>
      </c>
      <c r="AO10" s="392">
        <f>'[1]COE DISB 2019'!M18</f>
        <v>10000000</v>
      </c>
      <c r="AP10" s="383">
        <f t="shared" si="9"/>
        <v>0</v>
      </c>
      <c r="AR10" s="392">
        <v>15000000</v>
      </c>
      <c r="AS10" s="392">
        <f>'[1]COE DISB 2019'!N18</f>
        <v>15000000</v>
      </c>
      <c r="AT10" s="383">
        <f t="shared" si="10"/>
        <v>0</v>
      </c>
      <c r="AV10" s="392">
        <v>0</v>
      </c>
      <c r="AW10" s="432">
        <f>'[1]COE DISB 2019'!O18</f>
        <v>0</v>
      </c>
      <c r="AX10" s="392">
        <f t="shared" si="11"/>
        <v>0</v>
      </c>
      <c r="AZ10" s="392">
        <v>18000000</v>
      </c>
      <c r="BA10" s="392">
        <f>'[1]COE DISB 2019'!P18</f>
        <v>18000000</v>
      </c>
      <c r="BB10" s="392">
        <f t="shared" si="12"/>
        <v>0</v>
      </c>
      <c r="BD10" s="392">
        <v>23400000</v>
      </c>
      <c r="BE10" s="392">
        <f>'[1]COE DISB 2019'!Q18</f>
        <v>23400000</v>
      </c>
      <c r="BF10" s="392">
        <f t="shared" si="13"/>
        <v>0</v>
      </c>
      <c r="BH10" s="392">
        <v>0</v>
      </c>
      <c r="BI10" s="392">
        <f>'[1]COE DISB 2019'!R18</f>
        <v>0</v>
      </c>
      <c r="BJ10" s="392">
        <f t="shared" si="14"/>
        <v>0</v>
      </c>
      <c r="BL10" s="392">
        <v>43000000</v>
      </c>
      <c r="BM10" s="392">
        <f>'[1]COE DISB 2019'!S18</f>
        <v>43000000</v>
      </c>
      <c r="BN10" s="392">
        <f t="shared" si="15"/>
        <v>0</v>
      </c>
      <c r="BP10" s="392">
        <v>37160000</v>
      </c>
      <c r="BQ10" s="392">
        <f>'[1]COE DISB 2019'!T18</f>
        <v>37160000</v>
      </c>
      <c r="BR10" s="392">
        <f t="shared" si="16"/>
        <v>0</v>
      </c>
      <c r="BT10" s="392">
        <v>75059969.189999998</v>
      </c>
      <c r="BU10" s="392">
        <f>'[1]COE DISB 2019'!U18</f>
        <v>75059969.189999998</v>
      </c>
      <c r="BV10" s="392">
        <f t="shared" si="17"/>
        <v>0</v>
      </c>
      <c r="BX10" s="392">
        <v>112670000</v>
      </c>
      <c r="BY10" s="392">
        <f>'[1]COE DISB 2019'!V18</f>
        <v>112670000</v>
      </c>
      <c r="BZ10" s="392">
        <f t="shared" si="18"/>
        <v>0</v>
      </c>
      <c r="CB10" s="392">
        <v>21250000</v>
      </c>
      <c r="CC10" s="392">
        <f>'[1]COE DISB 2019'!W18</f>
        <v>21250000</v>
      </c>
      <c r="CD10" s="392">
        <f t="shared" si="19"/>
        <v>0</v>
      </c>
      <c r="CF10" s="392">
        <f>'[1]COE commited funds to date'!X13</f>
        <v>125000000</v>
      </c>
      <c r="CG10" s="392">
        <f>'[1]COE DISB 2019'!X18</f>
        <v>125000000</v>
      </c>
      <c r="CH10" s="392">
        <f t="shared" si="20"/>
        <v>0</v>
      </c>
      <c r="CJ10" s="392">
        <v>10000000</v>
      </c>
      <c r="CK10" s="392">
        <f>'[1]COE DISB 2019'!Y18</f>
        <v>10000000</v>
      </c>
      <c r="CL10" s="392">
        <f t="shared" si="21"/>
        <v>0</v>
      </c>
      <c r="CN10" s="392">
        <v>660000000</v>
      </c>
      <c r="CO10" s="392">
        <f>'[1]COE DISB 2019'!Z18</f>
        <v>660000000</v>
      </c>
      <c r="CP10" s="392">
        <f t="shared" si="22"/>
        <v>0</v>
      </c>
      <c r="CR10" s="392">
        <v>210000000</v>
      </c>
      <c r="CS10" s="392">
        <f>'[1]COE DISB 2019'!AA18</f>
        <v>210000000</v>
      </c>
      <c r="CT10" s="392">
        <f t="shared" si="23"/>
        <v>0</v>
      </c>
      <c r="CV10" s="392">
        <v>10000000</v>
      </c>
      <c r="CW10" s="392">
        <f>'[1]COE DISB 2019'!AB18</f>
        <v>10000000</v>
      </c>
      <c r="CX10" s="392">
        <f t="shared" si="24"/>
        <v>0</v>
      </c>
      <c r="CZ10" s="392">
        <f>'[1]COE commited funds to date'!AC13</f>
        <v>50000000</v>
      </c>
      <c r="DA10" s="392">
        <f>'[1]COE DISB 2019'!AC18</f>
        <v>50000000</v>
      </c>
      <c r="DB10" s="392">
        <f t="shared" si="25"/>
        <v>0</v>
      </c>
      <c r="DC10" s="394"/>
      <c r="DD10" s="392">
        <v>215000000</v>
      </c>
      <c r="DE10" s="392">
        <f>'[1]COE DISB 2019'!AD18</f>
        <v>120400000</v>
      </c>
      <c r="DF10" s="392">
        <f t="shared" si="26"/>
        <v>94600000</v>
      </c>
      <c r="DG10" s="394"/>
      <c r="DH10" s="392">
        <v>10000000</v>
      </c>
      <c r="DI10" s="392">
        <f>'[1]COE DISB 2019'!AE18</f>
        <v>10000000</v>
      </c>
      <c r="DJ10" s="392">
        <f t="shared" si="27"/>
        <v>0</v>
      </c>
      <c r="DK10" s="394"/>
      <c r="DL10" s="392">
        <f>'[1]COE commited funds to date'!AD13</f>
        <v>75000000</v>
      </c>
      <c r="DM10" s="392">
        <f>'[1]COE DISB 2019'!AF18</f>
        <v>75000000</v>
      </c>
      <c r="DN10" s="392">
        <f t="shared" si="28"/>
        <v>0</v>
      </c>
      <c r="DO10" s="394"/>
      <c r="DP10" s="392">
        <v>325000000</v>
      </c>
      <c r="DQ10" s="392">
        <f>'[1]COE DISB 2019'!AG18</f>
        <v>182000000</v>
      </c>
      <c r="DR10" s="392">
        <f t="shared" si="29"/>
        <v>143000000</v>
      </c>
      <c r="DS10" s="394"/>
      <c r="DT10" s="397">
        <v>10000000</v>
      </c>
      <c r="DU10" s="392">
        <f>'[1]COE DISB 2019'!AH18</f>
        <v>10000000</v>
      </c>
      <c r="DV10" s="392">
        <f t="shared" si="30"/>
        <v>0</v>
      </c>
      <c r="DW10" s="394"/>
      <c r="DX10" s="392">
        <f>'[1]COE commited funds to date'!AI13</f>
        <v>70000000</v>
      </c>
      <c r="DY10" s="392">
        <f>'[1]COE DISB 2019'!AI18</f>
        <v>70000000</v>
      </c>
      <c r="DZ10" s="392">
        <f t="shared" si="31"/>
        <v>0</v>
      </c>
      <c r="EA10" s="394"/>
      <c r="EB10" s="392">
        <f>'[1]COE commited funds to date'!AJ13</f>
        <v>72000000</v>
      </c>
      <c r="EC10" s="392">
        <f>'[1]COE DISB 2019'!AJ18</f>
        <v>0</v>
      </c>
      <c r="ED10" s="392">
        <f t="shared" si="32"/>
        <v>72000000</v>
      </c>
      <c r="EE10" s="394"/>
      <c r="EF10" s="392">
        <f>'[1]COE commited funds to date'!AK13</f>
        <v>8000000</v>
      </c>
      <c r="EG10" s="392">
        <f>'[1]COE DISB 2019'!AK18</f>
        <v>0</v>
      </c>
      <c r="EH10" s="392">
        <f t="shared" si="33"/>
        <v>8000000</v>
      </c>
      <c r="EI10" s="394"/>
      <c r="EJ10" s="392">
        <f>'[1]COE commited funds to date'!AL13</f>
        <v>2000000</v>
      </c>
      <c r="EK10" s="392">
        <f>'[1]COE DISB 2019'!AL18</f>
        <v>0</v>
      </c>
      <c r="EL10" s="392">
        <f t="shared" si="34"/>
        <v>2000000</v>
      </c>
      <c r="EM10" s="394"/>
      <c r="EN10" s="392">
        <f>'[1]COE commited funds to date'!AM13</f>
        <v>7000000</v>
      </c>
      <c r="EO10" s="392">
        <f>'[1]COE DISB 2019'!AM18</f>
        <v>6912200</v>
      </c>
      <c r="EP10" s="392">
        <f t="shared" si="35"/>
        <v>87800</v>
      </c>
      <c r="EQ10" s="394"/>
      <c r="ER10" s="392">
        <f>'[1]COE commited funds to date'!AN13</f>
        <v>1650000000</v>
      </c>
      <c r="ES10" s="392">
        <f>'[1]COE DISB 2019'!AN18</f>
        <v>1635000000</v>
      </c>
      <c r="ET10" s="392">
        <f t="shared" si="36"/>
        <v>15000000</v>
      </c>
      <c r="EV10" s="383">
        <f>'[1]COE commited funds to date'!AO13</f>
        <v>371067000</v>
      </c>
      <c r="EW10" s="383">
        <f>'[1]COE DISB 2019'!AO18</f>
        <v>0</v>
      </c>
      <c r="EX10" s="383">
        <f t="shared" si="38"/>
        <v>371067000</v>
      </c>
      <c r="EY10" s="380"/>
      <c r="EZ10" s="383">
        <f>'[1]COE commited funds to date'!AQ13</f>
        <v>12000000</v>
      </c>
      <c r="FA10" s="383">
        <f>'[1]COE DISB 2019'!AP18</f>
        <v>12000000</v>
      </c>
      <c r="FB10" s="383">
        <f t="shared" si="39"/>
        <v>0</v>
      </c>
      <c r="FC10" s="380"/>
      <c r="FD10" s="383">
        <f>'[1]COE commited funds to date'!AR13</f>
        <v>10000000</v>
      </c>
      <c r="FE10" s="383">
        <f>'[1]COE DISB 2019'!AQ18</f>
        <v>0</v>
      </c>
      <c r="FF10" s="383">
        <f t="shared" si="40"/>
        <v>10000000</v>
      </c>
      <c r="FG10" s="380"/>
      <c r="FH10" s="383">
        <f>'[1]COE commited funds to date'!AP13</f>
        <v>8000000</v>
      </c>
      <c r="FI10" s="383">
        <f>'[1]COE DISB 2019'!AR18</f>
        <v>0</v>
      </c>
      <c r="FJ10" s="383">
        <f t="shared" si="41"/>
        <v>8000000</v>
      </c>
      <c r="FK10" s="383">
        <f>'[1]COE commited funds to date'!AS13</f>
        <v>0</v>
      </c>
      <c r="FL10" s="383">
        <f>'[1]COE DISB 2019'!AS18</f>
        <v>0</v>
      </c>
      <c r="FM10" s="383">
        <f t="shared" si="42"/>
        <v>0</v>
      </c>
      <c r="FN10" s="380"/>
      <c r="FO10" s="383">
        <f>'[1]COE commited funds to date'!AT13</f>
        <v>200000000</v>
      </c>
      <c r="FP10" s="383">
        <f>'[1]COE DISB 2019'!AT18</f>
        <v>0</v>
      </c>
      <c r="FQ10" s="383">
        <f t="shared" si="43"/>
        <v>200000000</v>
      </c>
      <c r="FR10" s="380"/>
      <c r="FS10" s="383">
        <f>'[1]COE commited funds to date'!AU13</f>
        <v>75000000</v>
      </c>
      <c r="FT10" s="383">
        <f>'[1]COE DISB 2019'!AU18</f>
        <v>0</v>
      </c>
      <c r="FU10" s="383">
        <f t="shared" si="44"/>
        <v>75000000</v>
      </c>
      <c r="FV10" s="380"/>
      <c r="FW10" s="383">
        <f>'[1]COE commited funds to date'!AV13</f>
        <v>8700000</v>
      </c>
      <c r="FX10" s="383">
        <f>'[1]COE DISB 2019'!AV18</f>
        <v>0</v>
      </c>
      <c r="FY10" s="383">
        <f t="shared" si="45"/>
        <v>8700000</v>
      </c>
      <c r="FZ10" s="380"/>
      <c r="GA10" s="383">
        <f>'[1]COE commited funds to date'!AW13</f>
        <v>5000000</v>
      </c>
      <c r="GB10" s="383">
        <f>'[1]COE DISB 2019'!AW18</f>
        <v>0</v>
      </c>
      <c r="GC10" s="383">
        <f t="shared" si="46"/>
        <v>5000000</v>
      </c>
      <c r="GD10" s="380"/>
      <c r="GE10" s="383">
        <f>'[1]COE commited funds to date'!AX13</f>
        <v>20000000</v>
      </c>
      <c r="GF10" s="383">
        <f>'[1]COE DISB 2019'!AX18</f>
        <v>4502000</v>
      </c>
      <c r="GG10" s="383">
        <f t="shared" si="47"/>
        <v>15498000</v>
      </c>
      <c r="GH10" s="380"/>
      <c r="GI10" s="383">
        <f>'[1]COE commited funds to date'!AY13</f>
        <v>230000000</v>
      </c>
      <c r="GJ10" s="383">
        <f>'[1]COE DISB 2019'!AY18</f>
        <v>0</v>
      </c>
      <c r="GK10" s="383">
        <f t="shared" si="48"/>
        <v>230000000</v>
      </c>
      <c r="GL10" s="380"/>
      <c r="GM10" s="383">
        <f>'[1]COE commited funds to date'!AZ13</f>
        <v>116776600</v>
      </c>
      <c r="GN10" s="383">
        <f>'[1]COE DISB 2019'!AZ18</f>
        <v>0</v>
      </c>
      <c r="GO10" s="383">
        <f t="shared" si="49"/>
        <v>116776600</v>
      </c>
      <c r="GP10" s="380"/>
      <c r="GQ10" s="383">
        <f>'[1]COE commited funds to date'!BA13</f>
        <v>12000000</v>
      </c>
      <c r="GR10" s="383">
        <f>'[1]COE DISB 2019'!BA18</f>
        <v>0</v>
      </c>
      <c r="GS10" s="383">
        <f t="shared" si="50"/>
        <v>12000000</v>
      </c>
      <c r="GT10" s="380"/>
      <c r="GU10" s="383">
        <f>'[1]COE commited funds to date'!BB13</f>
        <v>5000000</v>
      </c>
      <c r="GV10" s="383">
        <f>'[1]COE DISB 2019'!BB18</f>
        <v>0</v>
      </c>
      <c r="GW10" s="383">
        <f t="shared" si="51"/>
        <v>5000000</v>
      </c>
      <c r="GX10" s="380"/>
      <c r="GY10" s="383">
        <f>'[1]COE commited funds to date'!BC13</f>
        <v>10308300</v>
      </c>
      <c r="GZ10" s="383">
        <f>'[1]COE DISB 2019'!BC18</f>
        <v>0</v>
      </c>
      <c r="HA10" s="383">
        <f t="shared" si="52"/>
        <v>10308300</v>
      </c>
      <c r="HB10" s="380"/>
      <c r="HC10" s="383">
        <f t="shared" si="53"/>
        <v>5022975834.6900005</v>
      </c>
      <c r="HD10" s="383">
        <f t="shared" si="53"/>
        <v>3620938134.6900001</v>
      </c>
      <c r="HE10" s="392">
        <f t="shared" si="54"/>
        <v>1402037700.0000005</v>
      </c>
      <c r="HG10" s="383">
        <f t="shared" si="55"/>
        <v>2079615965.5</v>
      </c>
      <c r="HH10" s="383">
        <f t="shared" si="55"/>
        <v>968948965.5</v>
      </c>
      <c r="HI10" s="383">
        <f t="shared" si="56"/>
        <v>1110667000</v>
      </c>
      <c r="HK10" s="383">
        <f t="shared" si="57"/>
        <v>2601309969.1900001</v>
      </c>
      <c r="HL10" s="383">
        <f t="shared" si="57"/>
        <v>2586309969.1900001</v>
      </c>
      <c r="HM10" s="383">
        <f t="shared" si="58"/>
        <v>15000000</v>
      </c>
      <c r="HO10" s="383">
        <f t="shared" si="37"/>
        <v>2265000</v>
      </c>
      <c r="HP10" s="383">
        <f t="shared" si="37"/>
        <v>2265000</v>
      </c>
      <c r="HQ10" s="383">
        <f t="shared" si="59"/>
        <v>0</v>
      </c>
      <c r="HS10" s="383">
        <f t="shared" si="60"/>
        <v>89308300</v>
      </c>
      <c r="HT10" s="383">
        <f t="shared" si="60"/>
        <v>63414200</v>
      </c>
      <c r="HU10" s="383">
        <f t="shared" si="61"/>
        <v>25894100</v>
      </c>
      <c r="HW10" s="383">
        <f t="shared" si="62"/>
        <v>36700000</v>
      </c>
      <c r="HX10" s="383">
        <f t="shared" si="62"/>
        <v>0</v>
      </c>
      <c r="HY10" s="383">
        <f t="shared" si="63"/>
        <v>36700000</v>
      </c>
      <c r="IA10" s="387">
        <f t="shared" si="64"/>
        <v>20000000</v>
      </c>
      <c r="IB10" s="387">
        <f t="shared" si="64"/>
        <v>0</v>
      </c>
      <c r="IC10" s="387">
        <f t="shared" si="65"/>
        <v>20000000</v>
      </c>
      <c r="IE10" s="383">
        <f t="shared" si="66"/>
        <v>191776600</v>
      </c>
      <c r="IF10" s="383">
        <f t="shared" si="66"/>
        <v>0</v>
      </c>
      <c r="IG10" s="383">
        <f t="shared" si="67"/>
        <v>191776600</v>
      </c>
      <c r="II10" s="383">
        <f t="shared" si="68"/>
        <v>2000000</v>
      </c>
      <c r="IJ10" s="383">
        <f t="shared" si="68"/>
        <v>0</v>
      </c>
      <c r="IK10" s="383">
        <f t="shared" si="69"/>
        <v>2000000</v>
      </c>
    </row>
    <row r="11" spans="1:245" x14ac:dyDescent="0.25">
      <c r="A11" s="380">
        <v>8</v>
      </c>
      <c r="B11" s="380" t="s">
        <v>327</v>
      </c>
      <c r="C11" s="433" t="s">
        <v>63</v>
      </c>
      <c r="D11" s="392">
        <v>18318965.5</v>
      </c>
      <c r="E11" s="392">
        <f>'[1]COE DISB 2019'!D19</f>
        <v>18318965.5</v>
      </c>
      <c r="F11" s="383">
        <f t="shared" si="0"/>
        <v>0</v>
      </c>
      <c r="H11" s="392">
        <v>8000000</v>
      </c>
      <c r="I11" s="392">
        <f>'[1]COE DISB 2019'!E19</f>
        <v>8000000</v>
      </c>
      <c r="J11" s="383">
        <f t="shared" si="1"/>
        <v>0</v>
      </c>
      <c r="L11" s="392">
        <v>500000</v>
      </c>
      <c r="M11" s="392">
        <f>'[1]COE DISB 2019'!F19</f>
        <v>500000</v>
      </c>
      <c r="N11" s="383">
        <f t="shared" si="2"/>
        <v>0</v>
      </c>
      <c r="P11" s="353">
        <v>16000000</v>
      </c>
      <c r="Q11" s="392">
        <f>'[1]COE DISB 2019'!G19</f>
        <v>16000000</v>
      </c>
      <c r="R11" s="383">
        <f t="shared" si="3"/>
        <v>0</v>
      </c>
      <c r="T11" s="385">
        <v>255000</v>
      </c>
      <c r="U11" s="392">
        <f>'[1]COE DISB 2019'!H19</f>
        <v>255000</v>
      </c>
      <c r="V11" s="383">
        <f t="shared" si="4"/>
        <v>0</v>
      </c>
      <c r="X11" s="385">
        <v>4000000</v>
      </c>
      <c r="Y11" s="392">
        <f>'[1]COE DISB 2019'!I19</f>
        <v>4000000</v>
      </c>
      <c r="Z11" s="383">
        <f t="shared" si="5"/>
        <v>0</v>
      </c>
      <c r="AB11" s="385">
        <v>20000000</v>
      </c>
      <c r="AC11" s="392">
        <f>'[1]COE DISB 2019'!J19</f>
        <v>20000000</v>
      </c>
      <c r="AD11" s="383">
        <f t="shared" si="6"/>
        <v>0</v>
      </c>
      <c r="AF11" s="353">
        <v>0</v>
      </c>
      <c r="AG11" s="392">
        <f>'[1]COE DISB 2019'!K19</f>
        <v>0</v>
      </c>
      <c r="AH11" s="383">
        <f t="shared" si="7"/>
        <v>0</v>
      </c>
      <c r="AJ11" s="385">
        <v>10000000</v>
      </c>
      <c r="AK11" s="392">
        <f>'[1]COE DISB 2019'!L19</f>
        <v>10000000</v>
      </c>
      <c r="AL11" s="383">
        <f t="shared" si="8"/>
        <v>0</v>
      </c>
      <c r="AN11" s="392">
        <v>10000000</v>
      </c>
      <c r="AO11" s="392">
        <f>'[1]COE DISB 2019'!M19</f>
        <v>10000000</v>
      </c>
      <c r="AP11" s="383">
        <f t="shared" si="9"/>
        <v>0</v>
      </c>
      <c r="AR11" s="392">
        <v>15000000</v>
      </c>
      <c r="AS11" s="392">
        <f>'[1]COE DISB 2019'!N19</f>
        <v>15000000</v>
      </c>
      <c r="AT11" s="383">
        <f t="shared" si="10"/>
        <v>0</v>
      </c>
      <c r="AV11" s="392">
        <v>10000000</v>
      </c>
      <c r="AW11" s="432">
        <f>'[1]COE DISB 2019'!O19</f>
        <v>10000000</v>
      </c>
      <c r="AX11" s="392">
        <f t="shared" si="11"/>
        <v>0</v>
      </c>
      <c r="AZ11" s="392">
        <v>18000000</v>
      </c>
      <c r="BA11" s="392">
        <f>'[1]COE DISB 2019'!P19</f>
        <v>18000000</v>
      </c>
      <c r="BB11" s="392">
        <f t="shared" si="12"/>
        <v>0</v>
      </c>
      <c r="BD11" s="392">
        <v>23400000</v>
      </c>
      <c r="BE11" s="392">
        <f>'[1]COE DISB 2019'!Q19</f>
        <v>23400000</v>
      </c>
      <c r="BF11" s="392">
        <f t="shared" si="13"/>
        <v>0</v>
      </c>
      <c r="BH11" s="392">
        <v>0</v>
      </c>
      <c r="BI11" s="392">
        <f>'[1]COE DISB 2019'!R19</f>
        <v>0</v>
      </c>
      <c r="BJ11" s="392">
        <f t="shared" si="14"/>
        <v>0</v>
      </c>
      <c r="BL11" s="392">
        <v>43000000</v>
      </c>
      <c r="BM11" s="392">
        <f>'[1]COE DISB 2019'!S19</f>
        <v>43000000</v>
      </c>
      <c r="BN11" s="392">
        <f t="shared" si="15"/>
        <v>0</v>
      </c>
      <c r="BP11" s="392">
        <v>37160000</v>
      </c>
      <c r="BQ11" s="392">
        <f>'[1]COE DISB 2019'!T19</f>
        <v>37160000</v>
      </c>
      <c r="BR11" s="392">
        <f t="shared" si="16"/>
        <v>0</v>
      </c>
      <c r="BT11" s="392">
        <v>0</v>
      </c>
      <c r="BU11" s="392">
        <f>'[1]COE DISB 2019'!U19</f>
        <v>0</v>
      </c>
      <c r="BV11" s="392">
        <f t="shared" si="17"/>
        <v>0</v>
      </c>
      <c r="BX11" s="392">
        <v>112670000</v>
      </c>
      <c r="BY11" s="392">
        <f>'[1]COE DISB 2019'!V19</f>
        <v>112670000</v>
      </c>
      <c r="BZ11" s="392">
        <f t="shared" si="18"/>
        <v>0</v>
      </c>
      <c r="CB11" s="392">
        <f>'[1]COE commited funds to date'!W14</f>
        <v>110592000</v>
      </c>
      <c r="CC11" s="392">
        <f>'[1]COE DISB 2019'!W19</f>
        <v>110592000</v>
      </c>
      <c r="CD11" s="392">
        <f t="shared" si="19"/>
        <v>0</v>
      </c>
      <c r="CF11" s="392">
        <f>'[1]COE commited funds to date'!X14</f>
        <v>125000000</v>
      </c>
      <c r="CG11" s="392">
        <f>'[1]COE DISB 2019'!X19</f>
        <v>125000000</v>
      </c>
      <c r="CH11" s="392">
        <f t="shared" si="20"/>
        <v>0</v>
      </c>
      <c r="CJ11" s="392">
        <v>10000000</v>
      </c>
      <c r="CK11" s="392">
        <f>'[1]COE DISB 2019'!Y19</f>
        <v>10000000</v>
      </c>
      <c r="CL11" s="392">
        <f t="shared" si="21"/>
        <v>0</v>
      </c>
      <c r="CN11" s="392">
        <v>660000000</v>
      </c>
      <c r="CO11" s="392">
        <f>'[1]COE DISB 2019'!Z19</f>
        <v>660000000</v>
      </c>
      <c r="CP11" s="392">
        <f t="shared" si="22"/>
        <v>0</v>
      </c>
      <c r="CR11" s="392">
        <v>210000000</v>
      </c>
      <c r="CS11" s="392">
        <f>'[1]COE DISB 2019'!AA19</f>
        <v>210000000</v>
      </c>
      <c r="CT11" s="392">
        <f t="shared" si="23"/>
        <v>0</v>
      </c>
      <c r="CV11" s="392">
        <v>10000000</v>
      </c>
      <c r="CW11" s="392">
        <f>'[1]COE DISB 2019'!AB19</f>
        <v>10000000</v>
      </c>
      <c r="CX11" s="392">
        <f t="shared" si="24"/>
        <v>0</v>
      </c>
      <c r="CZ11" s="392">
        <f>'[1]COE commited funds to date'!AC14</f>
        <v>300000000</v>
      </c>
      <c r="DA11" s="392">
        <f>'[1]COE DISB 2019'!AC19</f>
        <v>300000000</v>
      </c>
      <c r="DB11" s="392">
        <f t="shared" si="25"/>
        <v>0</v>
      </c>
      <c r="DC11" s="394"/>
      <c r="DD11" s="392">
        <v>215000000</v>
      </c>
      <c r="DE11" s="392">
        <f>'[1]COE DISB 2019'!AD19</f>
        <v>215000000</v>
      </c>
      <c r="DF11" s="392">
        <f t="shared" si="26"/>
        <v>0</v>
      </c>
      <c r="DG11" s="394"/>
      <c r="DH11" s="392">
        <v>10000000</v>
      </c>
      <c r="DI11" s="392">
        <f>'[1]COE DISB 2019'!AE19</f>
        <v>10000000</v>
      </c>
      <c r="DJ11" s="392">
        <f t="shared" si="27"/>
        <v>0</v>
      </c>
      <c r="DK11" s="394"/>
      <c r="DL11" s="392">
        <f>'[1]COE commited funds to date'!AD14</f>
        <v>0</v>
      </c>
      <c r="DM11" s="392">
        <f>'[1]COE DISB 2019'!AF19</f>
        <v>0</v>
      </c>
      <c r="DN11" s="392">
        <f t="shared" si="28"/>
        <v>0</v>
      </c>
      <c r="DO11" s="394"/>
      <c r="DP11" s="392">
        <v>325000000</v>
      </c>
      <c r="DQ11" s="392">
        <f>'[1]COE DISB 2019'!AG19</f>
        <v>325000000</v>
      </c>
      <c r="DR11" s="392">
        <f t="shared" si="29"/>
        <v>0</v>
      </c>
      <c r="DS11" s="394"/>
      <c r="DT11" s="397">
        <v>10000000</v>
      </c>
      <c r="DU11" s="392">
        <f>'[1]COE DISB 2019'!AH19</f>
        <v>10000000</v>
      </c>
      <c r="DV11" s="392">
        <f t="shared" si="30"/>
        <v>0</v>
      </c>
      <c r="DW11" s="394"/>
      <c r="DX11" s="392">
        <f>'[1]COE commited funds to date'!AI14</f>
        <v>100000000</v>
      </c>
      <c r="DY11" s="392">
        <f>'[1]COE DISB 2019'!AI19</f>
        <v>100000000</v>
      </c>
      <c r="DZ11" s="392">
        <f t="shared" si="31"/>
        <v>0</v>
      </c>
      <c r="EA11" s="394"/>
      <c r="EB11" s="392">
        <f>'[1]COE commited funds to date'!AJ14</f>
        <v>72000000</v>
      </c>
      <c r="EC11" s="392">
        <f>'[1]COE DISB 2019'!AJ19</f>
        <v>41760000</v>
      </c>
      <c r="ED11" s="392">
        <f t="shared" si="32"/>
        <v>30240000</v>
      </c>
      <c r="EE11" s="394"/>
      <c r="EF11" s="392">
        <f>'[1]COE commited funds to date'!AK14</f>
        <v>8000000</v>
      </c>
      <c r="EG11" s="392">
        <f>'[1]COE DISB 2019'!AK19</f>
        <v>4560000</v>
      </c>
      <c r="EH11" s="392">
        <f t="shared" si="33"/>
        <v>3440000</v>
      </c>
      <c r="EI11" s="394"/>
      <c r="EJ11" s="392">
        <f>'[1]COE commited funds to date'!AL14</f>
        <v>2000000</v>
      </c>
      <c r="EK11" s="392">
        <f>'[1]COE DISB 2019'!AL19</f>
        <v>1700000</v>
      </c>
      <c r="EL11" s="392">
        <f t="shared" si="34"/>
        <v>300000</v>
      </c>
      <c r="EM11" s="394"/>
      <c r="EN11" s="392">
        <f>'[1]COE commited funds to date'!AM14</f>
        <v>7000000</v>
      </c>
      <c r="EO11" s="392">
        <f>'[1]COE DISB 2019'!AM19</f>
        <v>7000000</v>
      </c>
      <c r="EP11" s="392">
        <f t="shared" si="35"/>
        <v>0</v>
      </c>
      <c r="EQ11" s="394"/>
      <c r="ER11" s="392">
        <f>'[1]COE commited funds to date'!AN14</f>
        <v>1150000000</v>
      </c>
      <c r="ES11" s="392">
        <f>'[1]COE DISB 2019'!AN19</f>
        <v>1150000000</v>
      </c>
      <c r="ET11" s="392">
        <f t="shared" si="36"/>
        <v>0</v>
      </c>
      <c r="EV11" s="383">
        <f>'[1]COE commited funds to date'!AO14</f>
        <v>371067000</v>
      </c>
      <c r="EW11" s="383">
        <f>'[1]COE DISB 2019'!AO19</f>
        <v>215218860</v>
      </c>
      <c r="EX11" s="383">
        <f t="shared" si="38"/>
        <v>155848140</v>
      </c>
      <c r="EY11" s="380"/>
      <c r="EZ11" s="383">
        <f>'[1]COE commited funds to date'!AQ14</f>
        <v>12000000</v>
      </c>
      <c r="FA11" s="383">
        <f>'[1]COE DISB 2019'!AP19</f>
        <v>12000000</v>
      </c>
      <c r="FB11" s="383">
        <f t="shared" si="39"/>
        <v>0</v>
      </c>
      <c r="FC11" s="380"/>
      <c r="FD11" s="383">
        <f>'[1]COE commited funds to date'!AR14</f>
        <v>10000000</v>
      </c>
      <c r="FE11" s="383">
        <f>'[1]COE DISB 2019'!AQ19</f>
        <v>0</v>
      </c>
      <c r="FF11" s="383">
        <f t="shared" si="40"/>
        <v>10000000</v>
      </c>
      <c r="FG11" s="380"/>
      <c r="FH11" s="383">
        <f>'[1]COE commited funds to date'!AP14</f>
        <v>8000000</v>
      </c>
      <c r="FI11" s="383">
        <f>'[1]COE DISB 2019'!AR19</f>
        <v>4560000</v>
      </c>
      <c r="FJ11" s="383">
        <f t="shared" si="41"/>
        <v>3440000</v>
      </c>
      <c r="FK11" s="383">
        <f>'[1]COE commited funds to date'!AS14</f>
        <v>0</v>
      </c>
      <c r="FL11" s="383">
        <f>'[1]COE DISB 2019'!AS19</f>
        <v>0</v>
      </c>
      <c r="FM11" s="383">
        <f t="shared" si="42"/>
        <v>0</v>
      </c>
      <c r="FN11" s="380"/>
      <c r="FO11" s="383">
        <f>'[1]COE commited funds to date'!AT14</f>
        <v>200000000</v>
      </c>
      <c r="FP11" s="383">
        <f>'[1]COE DISB 2019'!AT19</f>
        <v>0</v>
      </c>
      <c r="FQ11" s="383">
        <f t="shared" si="43"/>
        <v>200000000</v>
      </c>
      <c r="FR11" s="380"/>
      <c r="FS11" s="383">
        <f>'[1]COE commited funds to date'!AU14</f>
        <v>75000000</v>
      </c>
      <c r="FT11" s="383">
        <f>'[1]COE DISB 2019'!AU19</f>
        <v>51000000</v>
      </c>
      <c r="FU11" s="383">
        <f t="shared" si="44"/>
        <v>24000000</v>
      </c>
      <c r="FV11" s="380"/>
      <c r="FW11" s="383">
        <f>'[1]COE commited funds to date'!AV14</f>
        <v>8700000</v>
      </c>
      <c r="FX11" s="383">
        <f>'[1]COE DISB 2019'!AV19</f>
        <v>0</v>
      </c>
      <c r="FY11" s="383">
        <f t="shared" si="45"/>
        <v>8700000</v>
      </c>
      <c r="FZ11" s="380"/>
      <c r="GA11" s="383">
        <f>'[1]COE commited funds to date'!AW14</f>
        <v>5000000</v>
      </c>
      <c r="GB11" s="383">
        <f>'[1]COE DISB 2019'!AW19</f>
        <v>0</v>
      </c>
      <c r="GC11" s="383">
        <f t="shared" si="46"/>
        <v>5000000</v>
      </c>
      <c r="GD11" s="380"/>
      <c r="GE11" s="383">
        <f>'[1]COE commited funds to date'!AX14</f>
        <v>20000000</v>
      </c>
      <c r="GF11" s="383">
        <f>'[1]COE DISB 2019'!AX19</f>
        <v>8413985.5</v>
      </c>
      <c r="GG11" s="383">
        <f t="shared" si="47"/>
        <v>11586014.5</v>
      </c>
      <c r="GH11" s="380"/>
      <c r="GI11" s="383">
        <f>'[1]COE commited funds to date'!AY14</f>
        <v>230000000</v>
      </c>
      <c r="GJ11" s="383">
        <f>'[1]COE DISB 2019'!AY19</f>
        <v>0</v>
      </c>
      <c r="GK11" s="383">
        <f t="shared" si="48"/>
        <v>230000000</v>
      </c>
      <c r="GL11" s="380"/>
      <c r="GM11" s="383">
        <f>'[1]COE commited funds to date'!AZ14</f>
        <v>116776600</v>
      </c>
      <c r="GN11" s="383">
        <f>'[1]COE DISB 2019'!AZ19</f>
        <v>0</v>
      </c>
      <c r="GO11" s="383">
        <f t="shared" si="49"/>
        <v>116776600</v>
      </c>
      <c r="GP11" s="380"/>
      <c r="GQ11" s="383">
        <f>'[1]COE commited funds to date'!BA14</f>
        <v>12000000</v>
      </c>
      <c r="GR11" s="383">
        <f>'[1]COE DISB 2019'!BA19</f>
        <v>0</v>
      </c>
      <c r="GS11" s="383">
        <f t="shared" si="50"/>
        <v>12000000</v>
      </c>
      <c r="GT11" s="380"/>
      <c r="GU11" s="383">
        <f>'[1]COE commited funds to date'!BB14</f>
        <v>5000000</v>
      </c>
      <c r="GV11" s="383">
        <f>'[1]COE DISB 2019'!BB19</f>
        <v>0</v>
      </c>
      <c r="GW11" s="383">
        <f t="shared" si="51"/>
        <v>5000000</v>
      </c>
      <c r="GX11" s="380"/>
      <c r="GY11" s="383">
        <f>'[1]COE commited funds to date'!BC14</f>
        <v>10308300</v>
      </c>
      <c r="GZ11" s="383">
        <f>'[1]COE DISB 2019'!BC19</f>
        <v>0</v>
      </c>
      <c r="HA11" s="383">
        <f t="shared" si="52"/>
        <v>10308300</v>
      </c>
      <c r="HB11" s="380"/>
      <c r="HC11" s="383">
        <f t="shared" si="53"/>
        <v>4754747865.5</v>
      </c>
      <c r="HD11" s="383">
        <f t="shared" si="53"/>
        <v>3928108811</v>
      </c>
      <c r="HE11" s="392">
        <f t="shared" si="54"/>
        <v>826639054.5</v>
      </c>
      <c r="HG11" s="383">
        <f t="shared" si="55"/>
        <v>2079615965.5</v>
      </c>
      <c r="HH11" s="383">
        <f t="shared" si="55"/>
        <v>1463527825.5</v>
      </c>
      <c r="HI11" s="383">
        <f t="shared" si="56"/>
        <v>616088140</v>
      </c>
      <c r="HK11" s="383">
        <f t="shared" si="57"/>
        <v>2320592000</v>
      </c>
      <c r="HL11" s="383">
        <f t="shared" si="57"/>
        <v>2320592000</v>
      </c>
      <c r="HM11" s="383">
        <f t="shared" si="58"/>
        <v>0</v>
      </c>
      <c r="HO11" s="383">
        <f t="shared" si="37"/>
        <v>755000</v>
      </c>
      <c r="HP11" s="383">
        <f t="shared" si="37"/>
        <v>755000</v>
      </c>
      <c r="HQ11" s="383">
        <f t="shared" si="59"/>
        <v>0</v>
      </c>
      <c r="HS11" s="383">
        <f t="shared" si="60"/>
        <v>89308300</v>
      </c>
      <c r="HT11" s="383">
        <f t="shared" si="60"/>
        <v>67413985.5</v>
      </c>
      <c r="HU11" s="383">
        <f t="shared" si="61"/>
        <v>21894314.5</v>
      </c>
      <c r="HW11" s="383">
        <f t="shared" si="62"/>
        <v>36700000</v>
      </c>
      <c r="HX11" s="383">
        <f t="shared" si="62"/>
        <v>9120000</v>
      </c>
      <c r="HY11" s="383">
        <f t="shared" si="63"/>
        <v>27580000</v>
      </c>
      <c r="IA11" s="387">
        <f t="shared" si="64"/>
        <v>20000000</v>
      </c>
      <c r="IB11" s="387">
        <f t="shared" si="64"/>
        <v>0</v>
      </c>
      <c r="IC11" s="387">
        <f t="shared" si="65"/>
        <v>20000000</v>
      </c>
      <c r="IE11" s="383">
        <f t="shared" si="66"/>
        <v>191776600</v>
      </c>
      <c r="IF11" s="383">
        <f t="shared" si="66"/>
        <v>51000000</v>
      </c>
      <c r="IG11" s="383">
        <f t="shared" si="67"/>
        <v>140776600</v>
      </c>
      <c r="II11" s="383">
        <f t="shared" si="68"/>
        <v>2000000</v>
      </c>
      <c r="IJ11" s="383">
        <f t="shared" si="68"/>
        <v>1700000</v>
      </c>
      <c r="IK11" s="383">
        <f t="shared" si="69"/>
        <v>300000</v>
      </c>
    </row>
    <row r="12" spans="1:245" x14ac:dyDescent="0.25">
      <c r="A12" s="380">
        <v>9</v>
      </c>
      <c r="B12" s="380" t="s">
        <v>328</v>
      </c>
      <c r="C12" s="431" t="s">
        <v>63</v>
      </c>
      <c r="D12" s="392">
        <v>18318965.5</v>
      </c>
      <c r="E12" s="392">
        <f>'[1]COE DISB 2019'!D20</f>
        <v>18318965.5</v>
      </c>
      <c r="F12" s="383">
        <f t="shared" si="0"/>
        <v>0</v>
      </c>
      <c r="H12" s="392">
        <v>8000000</v>
      </c>
      <c r="I12" s="392">
        <f>'[1]COE DISB 2019'!E20</f>
        <v>8000000</v>
      </c>
      <c r="J12" s="383">
        <f t="shared" si="1"/>
        <v>0</v>
      </c>
      <c r="L12" s="392">
        <v>500000</v>
      </c>
      <c r="M12" s="392">
        <f>'[1]COE DISB 2019'!F20</f>
        <v>500000</v>
      </c>
      <c r="N12" s="383">
        <f t="shared" si="2"/>
        <v>0</v>
      </c>
      <c r="P12" s="353">
        <v>16000000</v>
      </c>
      <c r="Q12" s="392">
        <f>'[1]COE DISB 2019'!G20</f>
        <v>16000000</v>
      </c>
      <c r="R12" s="383">
        <f t="shared" si="3"/>
        <v>0</v>
      </c>
      <c r="T12" s="385">
        <v>1489000</v>
      </c>
      <c r="U12" s="392">
        <f>'[1]COE DISB 2019'!H20</f>
        <v>1489000</v>
      </c>
      <c r="V12" s="383">
        <f t="shared" si="4"/>
        <v>0</v>
      </c>
      <c r="X12" s="385"/>
      <c r="Y12" s="392">
        <f>'[1]COE DISB 2019'!I20</f>
        <v>0</v>
      </c>
      <c r="Z12" s="383">
        <f t="shared" si="5"/>
        <v>0</v>
      </c>
      <c r="AB12" s="385">
        <v>20000000</v>
      </c>
      <c r="AC12" s="392">
        <f>'[1]COE DISB 2019'!J20</f>
        <v>20000000</v>
      </c>
      <c r="AD12" s="383">
        <f t="shared" si="6"/>
        <v>0</v>
      </c>
      <c r="AF12" s="353">
        <v>0</v>
      </c>
      <c r="AG12" s="392">
        <f>'[1]COE DISB 2019'!K20</f>
        <v>0</v>
      </c>
      <c r="AH12" s="383">
        <f t="shared" si="7"/>
        <v>0</v>
      </c>
      <c r="AJ12" s="385">
        <v>10000000</v>
      </c>
      <c r="AK12" s="392">
        <f>'[1]COE DISB 2019'!L20</f>
        <v>10000000</v>
      </c>
      <c r="AL12" s="383">
        <f t="shared" si="8"/>
        <v>0</v>
      </c>
      <c r="AN12" s="392">
        <v>10000000</v>
      </c>
      <c r="AO12" s="392">
        <f>'[1]COE DISB 2019'!M20</f>
        <v>10000000</v>
      </c>
      <c r="AP12" s="383">
        <f t="shared" si="9"/>
        <v>0</v>
      </c>
      <c r="AR12" s="392">
        <v>15000000</v>
      </c>
      <c r="AS12" s="392">
        <f>'[1]COE DISB 2019'!N20</f>
        <v>15000000</v>
      </c>
      <c r="AT12" s="383">
        <f t="shared" si="10"/>
        <v>0</v>
      </c>
      <c r="AV12" s="392">
        <v>0</v>
      </c>
      <c r="AW12" s="432">
        <f>'[1]COE DISB 2019'!O20</f>
        <v>0</v>
      </c>
      <c r="AX12" s="392">
        <f t="shared" si="11"/>
        <v>0</v>
      </c>
      <c r="AZ12" s="392">
        <v>18000000</v>
      </c>
      <c r="BA12" s="392">
        <f>'[1]COE DISB 2019'!P20</f>
        <v>18000000</v>
      </c>
      <c r="BB12" s="392">
        <f t="shared" si="12"/>
        <v>0</v>
      </c>
      <c r="BD12" s="392">
        <v>14274000</v>
      </c>
      <c r="BE12" s="392">
        <f>'[1]COE DISB 2019'!Q20</f>
        <v>14274000</v>
      </c>
      <c r="BF12" s="392">
        <f t="shared" si="13"/>
        <v>0</v>
      </c>
      <c r="BH12" s="392">
        <v>0</v>
      </c>
      <c r="BI12" s="392">
        <f>'[1]COE DISB 2019'!R20</f>
        <v>0</v>
      </c>
      <c r="BJ12" s="392">
        <f t="shared" si="14"/>
        <v>0</v>
      </c>
      <c r="BL12" s="392">
        <v>43000000</v>
      </c>
      <c r="BM12" s="392">
        <f>'[1]COE DISB 2019'!S20</f>
        <v>43000000</v>
      </c>
      <c r="BN12" s="392">
        <f t="shared" si="15"/>
        <v>0</v>
      </c>
      <c r="BP12" s="392">
        <v>37160000</v>
      </c>
      <c r="BQ12" s="392">
        <f>'[1]COE DISB 2019'!T20</f>
        <v>37160000</v>
      </c>
      <c r="BR12" s="392">
        <f t="shared" si="16"/>
        <v>0</v>
      </c>
      <c r="BT12" s="392">
        <v>0</v>
      </c>
      <c r="BU12" s="392">
        <f>'[1]COE DISB 2019'!U20</f>
        <v>0</v>
      </c>
      <c r="BV12" s="392">
        <f t="shared" si="17"/>
        <v>0</v>
      </c>
      <c r="BX12" s="392">
        <v>112670000</v>
      </c>
      <c r="BY12" s="392">
        <f>'[1]COE DISB 2019'!V20</f>
        <v>112670000</v>
      </c>
      <c r="BZ12" s="392">
        <f t="shared" si="18"/>
        <v>0</v>
      </c>
      <c r="CB12" s="392">
        <v>25000000</v>
      </c>
      <c r="CC12" s="392">
        <f>'[1]COE DISB 2019'!W20</f>
        <v>25000000</v>
      </c>
      <c r="CD12" s="392">
        <f t="shared" si="19"/>
        <v>0</v>
      </c>
      <c r="CF12" s="392">
        <f>'[1]COE commited funds to date'!X15</f>
        <v>125000000</v>
      </c>
      <c r="CG12" s="392">
        <f>'[1]COE DISB 2019'!X20</f>
        <v>125000000</v>
      </c>
      <c r="CH12" s="392">
        <f t="shared" si="20"/>
        <v>0</v>
      </c>
      <c r="CJ12" s="392">
        <v>10000000</v>
      </c>
      <c r="CK12" s="392">
        <f>'[1]COE DISB 2019'!Y20</f>
        <v>10000000</v>
      </c>
      <c r="CL12" s="392">
        <f t="shared" si="21"/>
        <v>0</v>
      </c>
      <c r="CN12" s="392">
        <v>0</v>
      </c>
      <c r="CO12" s="392">
        <f>'[1]COE DISB 2019'!Z20</f>
        <v>0</v>
      </c>
      <c r="CP12" s="392">
        <f t="shared" si="22"/>
        <v>0</v>
      </c>
      <c r="CR12" s="392">
        <v>210000000</v>
      </c>
      <c r="CS12" s="392">
        <f>'[1]COE DISB 2019'!AA20</f>
        <v>178500000</v>
      </c>
      <c r="CT12" s="392">
        <f t="shared" si="23"/>
        <v>31500000</v>
      </c>
      <c r="CV12" s="392">
        <v>10000000</v>
      </c>
      <c r="CW12" s="392">
        <f>'[1]COE DISB 2019'!AB20</f>
        <v>10000000</v>
      </c>
      <c r="CX12" s="392">
        <f t="shared" si="24"/>
        <v>0</v>
      </c>
      <c r="CZ12" s="392">
        <f>'[1]COE commited funds to date'!AC15</f>
        <v>0</v>
      </c>
      <c r="DA12" s="392">
        <f>'[1]COE DISB 2019'!AC20</f>
        <v>0</v>
      </c>
      <c r="DB12" s="392">
        <f t="shared" si="25"/>
        <v>0</v>
      </c>
      <c r="DC12" s="394"/>
      <c r="DD12" s="392">
        <v>215000000</v>
      </c>
      <c r="DE12" s="392">
        <f>'[1]COE DISB 2019'!AD20</f>
        <v>182750000</v>
      </c>
      <c r="DF12" s="392">
        <f t="shared" si="26"/>
        <v>32250000</v>
      </c>
      <c r="DG12" s="394"/>
      <c r="DH12" s="392">
        <v>10000000</v>
      </c>
      <c r="DI12" s="392">
        <f>'[1]COE DISB 2019'!AE20</f>
        <v>10000000</v>
      </c>
      <c r="DJ12" s="392">
        <f t="shared" si="27"/>
        <v>0</v>
      </c>
      <c r="DK12" s="394"/>
      <c r="DL12" s="392">
        <f>'[1]COE commited funds to date'!AD15</f>
        <v>0</v>
      </c>
      <c r="DM12" s="392">
        <f>'[1]COE DISB 2019'!AF20</f>
        <v>0</v>
      </c>
      <c r="DN12" s="392">
        <f t="shared" si="28"/>
        <v>0</v>
      </c>
      <c r="DO12" s="394"/>
      <c r="DP12" s="392">
        <v>325000000</v>
      </c>
      <c r="DQ12" s="392">
        <f>'[1]COE DISB 2019'!AG20</f>
        <v>276250000</v>
      </c>
      <c r="DR12" s="392">
        <f t="shared" si="29"/>
        <v>48750000</v>
      </c>
      <c r="DS12" s="394"/>
      <c r="DT12" s="397">
        <v>10000000</v>
      </c>
      <c r="DU12" s="392">
        <f>'[1]COE DISB 2019'!AH20</f>
        <v>10000000</v>
      </c>
      <c r="DV12" s="392">
        <f t="shared" si="30"/>
        <v>0</v>
      </c>
      <c r="DW12" s="394"/>
      <c r="DX12" s="392">
        <f>'[1]COE commited funds to date'!AI15</f>
        <v>100000000</v>
      </c>
      <c r="DY12" s="392">
        <f>'[1]COE DISB 2019'!AI20</f>
        <v>100000000</v>
      </c>
      <c r="DZ12" s="392">
        <f t="shared" si="31"/>
        <v>0</v>
      </c>
      <c r="EA12" s="394"/>
      <c r="EB12" s="392">
        <f>'[1]COE commited funds to date'!AJ15</f>
        <v>72000000</v>
      </c>
      <c r="EC12" s="392">
        <f>'[1]COE DISB 2019'!AJ20</f>
        <v>0</v>
      </c>
      <c r="ED12" s="392">
        <f t="shared" si="32"/>
        <v>72000000</v>
      </c>
      <c r="EE12" s="394"/>
      <c r="EF12" s="392">
        <f>'[1]COE commited funds to date'!AK15</f>
        <v>8000000</v>
      </c>
      <c r="EG12" s="392">
        <f>'[1]COE DISB 2019'!AK20</f>
        <v>0</v>
      </c>
      <c r="EH12" s="392">
        <f t="shared" si="33"/>
        <v>8000000</v>
      </c>
      <c r="EI12" s="394"/>
      <c r="EJ12" s="392">
        <f>'[1]COE commited funds to date'!AL15</f>
        <v>2000000</v>
      </c>
      <c r="EK12" s="392">
        <f>'[1]COE DISB 2019'!AL20</f>
        <v>0</v>
      </c>
      <c r="EL12" s="392">
        <f t="shared" si="34"/>
        <v>2000000</v>
      </c>
      <c r="EM12" s="394"/>
      <c r="EN12" s="392">
        <f>'[1]COE commited funds to date'!AM15</f>
        <v>7000000</v>
      </c>
      <c r="EO12" s="392">
        <f>'[1]COE DISB 2019'!AM20</f>
        <v>6983800</v>
      </c>
      <c r="EP12" s="392">
        <f t="shared" si="35"/>
        <v>16200</v>
      </c>
      <c r="EQ12" s="394"/>
      <c r="ER12" s="392">
        <f>'[1]COE commited funds to date'!AN15</f>
        <v>500000000</v>
      </c>
      <c r="ES12" s="392">
        <f>'[1]COE DISB 2019'!AN20</f>
        <v>500000000</v>
      </c>
      <c r="ET12" s="392">
        <f t="shared" si="36"/>
        <v>0</v>
      </c>
      <c r="EV12" s="383">
        <f>'[1]COE commited funds to date'!AO15</f>
        <v>371067000</v>
      </c>
      <c r="EW12" s="383">
        <f>'[1]COE DISB 2019'!AO20</f>
        <v>0</v>
      </c>
      <c r="EX12" s="383">
        <f t="shared" si="38"/>
        <v>371067000</v>
      </c>
      <c r="EY12" s="380"/>
      <c r="EZ12" s="383">
        <f>'[1]COE commited funds to date'!AQ15</f>
        <v>12000000</v>
      </c>
      <c r="FA12" s="383">
        <f>'[1]COE DISB 2019'!AP20</f>
        <v>11918800</v>
      </c>
      <c r="FB12" s="383">
        <f t="shared" si="39"/>
        <v>81200</v>
      </c>
      <c r="FC12" s="380"/>
      <c r="FD12" s="383">
        <f>'[1]COE commited funds to date'!AR15</f>
        <v>10000000</v>
      </c>
      <c r="FE12" s="383">
        <f>'[1]COE DISB 2019'!AQ20</f>
        <v>0</v>
      </c>
      <c r="FF12" s="383">
        <f t="shared" si="40"/>
        <v>10000000</v>
      </c>
      <c r="FG12" s="380"/>
      <c r="FH12" s="383">
        <f>'[1]COE commited funds to date'!AP15</f>
        <v>8000000</v>
      </c>
      <c r="FI12" s="383">
        <f>'[1]COE DISB 2019'!AR20</f>
        <v>0</v>
      </c>
      <c r="FJ12" s="383">
        <f t="shared" si="41"/>
        <v>8000000</v>
      </c>
      <c r="FK12" s="383">
        <f>'[1]COE commited funds to date'!AS15</f>
        <v>0</v>
      </c>
      <c r="FL12" s="383">
        <f>'[1]COE DISB 2019'!AS20</f>
        <v>0</v>
      </c>
      <c r="FM12" s="383">
        <f t="shared" si="42"/>
        <v>0</v>
      </c>
      <c r="FN12" s="380"/>
      <c r="FO12" s="383">
        <f>'[1]COE commited funds to date'!AT15</f>
        <v>200000000</v>
      </c>
      <c r="FP12" s="383">
        <f>'[1]COE DISB 2019'!AT20</f>
        <v>0</v>
      </c>
      <c r="FQ12" s="383">
        <f t="shared" si="43"/>
        <v>200000000</v>
      </c>
      <c r="FR12" s="380"/>
      <c r="FS12" s="383">
        <f>'[1]COE commited funds to date'!AU15</f>
        <v>75000000</v>
      </c>
      <c r="FT12" s="383">
        <f>'[1]COE DISB 2019'!AU20</f>
        <v>0</v>
      </c>
      <c r="FU12" s="383">
        <f t="shared" si="44"/>
        <v>75000000</v>
      </c>
      <c r="FV12" s="380"/>
      <c r="FW12" s="383">
        <f>'[1]COE commited funds to date'!AV15</f>
        <v>8700000</v>
      </c>
      <c r="FX12" s="383">
        <f>'[1]COE DISB 2019'!AV20</f>
        <v>0</v>
      </c>
      <c r="FY12" s="383">
        <f t="shared" si="45"/>
        <v>8700000</v>
      </c>
      <c r="FZ12" s="380"/>
      <c r="GA12" s="383">
        <f>'[1]COE commited funds to date'!AW15</f>
        <v>5000000</v>
      </c>
      <c r="GB12" s="383">
        <f>'[1]COE DISB 2019'!AW20</f>
        <v>0</v>
      </c>
      <c r="GC12" s="383">
        <f t="shared" si="46"/>
        <v>5000000</v>
      </c>
      <c r="GD12" s="380"/>
      <c r="GE12" s="383">
        <f>'[1]COE commited funds to date'!AX15</f>
        <v>20000000</v>
      </c>
      <c r="GF12" s="383">
        <f>'[1]COE DISB 2019'!AX20</f>
        <v>0</v>
      </c>
      <c r="GG12" s="383">
        <f t="shared" si="47"/>
        <v>20000000</v>
      </c>
      <c r="GH12" s="380"/>
      <c r="GI12" s="383">
        <f>'[1]COE commited funds to date'!AY15</f>
        <v>230000000</v>
      </c>
      <c r="GJ12" s="383">
        <f>'[1]COE DISB 2019'!AY20</f>
        <v>0</v>
      </c>
      <c r="GK12" s="383">
        <f t="shared" si="48"/>
        <v>230000000</v>
      </c>
      <c r="GL12" s="380"/>
      <c r="GM12" s="383">
        <f>'[1]COE commited funds to date'!AZ15</f>
        <v>116776600</v>
      </c>
      <c r="GN12" s="383">
        <f>'[1]COE DISB 2019'!AZ20</f>
        <v>0</v>
      </c>
      <c r="GO12" s="383">
        <f t="shared" si="49"/>
        <v>116776600</v>
      </c>
      <c r="GP12" s="380"/>
      <c r="GQ12" s="383">
        <f>'[1]COE commited funds to date'!BA15</f>
        <v>12000000</v>
      </c>
      <c r="GR12" s="383">
        <f>'[1]COE DISB 2019'!BA20</f>
        <v>0</v>
      </c>
      <c r="GS12" s="383">
        <f t="shared" si="50"/>
        <v>12000000</v>
      </c>
      <c r="GT12" s="380"/>
      <c r="GU12" s="383">
        <f>'[1]COE commited funds to date'!BB15</f>
        <v>5000000</v>
      </c>
      <c r="GV12" s="383">
        <f>'[1]COE DISB 2019'!BB20</f>
        <v>0</v>
      </c>
      <c r="GW12" s="383">
        <f t="shared" si="51"/>
        <v>5000000</v>
      </c>
      <c r="GX12" s="380"/>
      <c r="GY12" s="383">
        <f>'[1]COE commited funds to date'!BC15</f>
        <v>10308300</v>
      </c>
      <c r="GZ12" s="383">
        <f>'[1]COE DISB 2019'!BC20</f>
        <v>0</v>
      </c>
      <c r="HA12" s="383">
        <f t="shared" si="52"/>
        <v>10308300</v>
      </c>
      <c r="HB12" s="380"/>
      <c r="HC12" s="383">
        <f t="shared" si="53"/>
        <v>3037263865.5</v>
      </c>
      <c r="HD12" s="383">
        <f t="shared" si="53"/>
        <v>1770814565.5</v>
      </c>
      <c r="HE12" s="392">
        <f t="shared" si="54"/>
        <v>1266449300</v>
      </c>
      <c r="HG12" s="383">
        <f t="shared" si="55"/>
        <v>2070489965.5</v>
      </c>
      <c r="HH12" s="383">
        <f t="shared" si="55"/>
        <v>1084922965.5</v>
      </c>
      <c r="HI12" s="383">
        <f t="shared" si="56"/>
        <v>985567000</v>
      </c>
      <c r="HK12" s="383">
        <f t="shared" si="57"/>
        <v>625000000</v>
      </c>
      <c r="HL12" s="383">
        <f t="shared" si="57"/>
        <v>625000000</v>
      </c>
      <c r="HM12" s="383">
        <f t="shared" si="58"/>
        <v>0</v>
      </c>
      <c r="HO12" s="383">
        <f t="shared" si="37"/>
        <v>1989000</v>
      </c>
      <c r="HP12" s="383">
        <f t="shared" si="37"/>
        <v>1989000</v>
      </c>
      <c r="HQ12" s="383">
        <f t="shared" si="59"/>
        <v>0</v>
      </c>
      <c r="HS12" s="383">
        <f t="shared" si="60"/>
        <v>89308300</v>
      </c>
      <c r="HT12" s="383">
        <f t="shared" si="60"/>
        <v>58902600</v>
      </c>
      <c r="HU12" s="383">
        <f t="shared" si="61"/>
        <v>30405700</v>
      </c>
      <c r="HW12" s="383">
        <f t="shared" si="62"/>
        <v>36700000</v>
      </c>
      <c r="HX12" s="383">
        <f t="shared" si="62"/>
        <v>0</v>
      </c>
      <c r="HY12" s="383">
        <f t="shared" si="63"/>
        <v>36700000</v>
      </c>
      <c r="IA12" s="387">
        <f t="shared" si="64"/>
        <v>20000000</v>
      </c>
      <c r="IB12" s="387">
        <f t="shared" si="64"/>
        <v>0</v>
      </c>
      <c r="IC12" s="387">
        <f t="shared" si="65"/>
        <v>20000000</v>
      </c>
      <c r="IE12" s="383">
        <f t="shared" si="66"/>
        <v>191776600</v>
      </c>
      <c r="IF12" s="383">
        <f t="shared" si="66"/>
        <v>0</v>
      </c>
      <c r="IG12" s="383">
        <f t="shared" si="67"/>
        <v>191776600</v>
      </c>
      <c r="II12" s="383">
        <f t="shared" si="68"/>
        <v>2000000</v>
      </c>
      <c r="IJ12" s="383">
        <f t="shared" si="68"/>
        <v>0</v>
      </c>
      <c r="IK12" s="383">
        <f t="shared" si="69"/>
        <v>2000000</v>
      </c>
    </row>
    <row r="13" spans="1:245" x14ac:dyDescent="0.25">
      <c r="A13" s="380">
        <v>10</v>
      </c>
      <c r="B13" s="380" t="s">
        <v>329</v>
      </c>
      <c r="C13" s="431" t="s">
        <v>63</v>
      </c>
      <c r="D13" s="392">
        <v>18318965.5</v>
      </c>
      <c r="E13" s="392">
        <f>'[1]COE DISB 2019'!D21</f>
        <v>18318965.399999999</v>
      </c>
      <c r="F13" s="383">
        <f t="shared" si="0"/>
        <v>0.10000000149011612</v>
      </c>
      <c r="H13" s="392">
        <v>8000000</v>
      </c>
      <c r="I13" s="392">
        <f>'[1]COE DISB 2019'!E21</f>
        <v>8000000</v>
      </c>
      <c r="J13" s="383">
        <f t="shared" si="1"/>
        <v>0</v>
      </c>
      <c r="L13" s="392">
        <v>500000</v>
      </c>
      <c r="M13" s="392">
        <f>'[1]COE DISB 2019'!F21</f>
        <v>500000</v>
      </c>
      <c r="N13" s="383">
        <f t="shared" si="2"/>
        <v>0</v>
      </c>
      <c r="P13" s="353">
        <v>16000000</v>
      </c>
      <c r="Q13" s="392">
        <f>'[1]COE DISB 2019'!G21</f>
        <v>16000000</v>
      </c>
      <c r="R13" s="383">
        <f t="shared" si="3"/>
        <v>0</v>
      </c>
      <c r="T13" s="385">
        <v>528000</v>
      </c>
      <c r="U13" s="392">
        <f>'[1]COE DISB 2019'!H21</f>
        <v>528000</v>
      </c>
      <c r="V13" s="383">
        <f t="shared" si="4"/>
        <v>0</v>
      </c>
      <c r="X13" s="353">
        <v>0</v>
      </c>
      <c r="Y13" s="392">
        <f>'[1]COE DISB 2019'!I21</f>
        <v>0</v>
      </c>
      <c r="Z13" s="383">
        <f t="shared" si="5"/>
        <v>0</v>
      </c>
      <c r="AB13" s="385">
        <v>20000000</v>
      </c>
      <c r="AC13" s="392">
        <f>'[1]COE DISB 2019'!J21</f>
        <v>20000000</v>
      </c>
      <c r="AD13" s="383">
        <f t="shared" si="6"/>
        <v>0</v>
      </c>
      <c r="AF13" s="353">
        <v>0</v>
      </c>
      <c r="AG13" s="392">
        <f>'[1]COE DISB 2019'!K21</f>
        <v>0</v>
      </c>
      <c r="AH13" s="383">
        <f t="shared" si="7"/>
        <v>0</v>
      </c>
      <c r="AJ13" s="385">
        <v>10000000</v>
      </c>
      <c r="AK13" s="392">
        <f>'[1]COE DISB 2019'!L21</f>
        <v>10000000</v>
      </c>
      <c r="AL13" s="383">
        <f t="shared" si="8"/>
        <v>0</v>
      </c>
      <c r="AN13" s="392">
        <v>10000000</v>
      </c>
      <c r="AO13" s="392">
        <f>'[1]COE DISB 2019'!M21</f>
        <v>10000000</v>
      </c>
      <c r="AP13" s="383">
        <f t="shared" si="9"/>
        <v>0</v>
      </c>
      <c r="AR13" s="392">
        <v>15000000</v>
      </c>
      <c r="AS13" s="392">
        <f>'[1]COE DISB 2019'!N21</f>
        <v>15000000</v>
      </c>
      <c r="AT13" s="383">
        <f t="shared" si="10"/>
        <v>0</v>
      </c>
      <c r="AV13" s="392">
        <v>0</v>
      </c>
      <c r="AW13" s="432">
        <f>'[1]COE DISB 2019'!O21</f>
        <v>0</v>
      </c>
      <c r="AX13" s="392">
        <f t="shared" si="11"/>
        <v>0</v>
      </c>
      <c r="AZ13" s="392">
        <v>18000000</v>
      </c>
      <c r="BA13" s="392">
        <f>'[1]COE DISB 2019'!P21</f>
        <v>18000000</v>
      </c>
      <c r="BB13" s="392">
        <f t="shared" si="12"/>
        <v>0</v>
      </c>
      <c r="BD13" s="392">
        <v>23400000</v>
      </c>
      <c r="BE13" s="392">
        <f>'[1]COE DISB 2019'!Q21</f>
        <v>23400000</v>
      </c>
      <c r="BF13" s="392">
        <f t="shared" si="13"/>
        <v>0</v>
      </c>
      <c r="BH13" s="392">
        <v>0</v>
      </c>
      <c r="BI13" s="392">
        <f>'[1]COE DISB 2019'!R21</f>
        <v>0</v>
      </c>
      <c r="BJ13" s="392">
        <f t="shared" si="14"/>
        <v>0</v>
      </c>
      <c r="BL13" s="392">
        <v>43000000</v>
      </c>
      <c r="BM13" s="392">
        <f>'[1]COE DISB 2019'!S21</f>
        <v>43000000</v>
      </c>
      <c r="BN13" s="392">
        <f t="shared" si="15"/>
        <v>0</v>
      </c>
      <c r="BP13" s="392">
        <v>37160000</v>
      </c>
      <c r="BQ13" s="392">
        <f>'[1]COE DISB 2019'!T21</f>
        <v>37160000</v>
      </c>
      <c r="BR13" s="392">
        <f t="shared" si="16"/>
        <v>0</v>
      </c>
      <c r="BT13" s="392">
        <v>0</v>
      </c>
      <c r="BU13" s="392">
        <f>'[1]COE DISB 2019'!U21</f>
        <v>0</v>
      </c>
      <c r="BV13" s="392">
        <f t="shared" si="17"/>
        <v>0</v>
      </c>
      <c r="BX13" s="392">
        <v>112643000</v>
      </c>
      <c r="BY13" s="392">
        <f>'[1]COE DISB 2019'!V21</f>
        <v>112643000</v>
      </c>
      <c r="BZ13" s="392">
        <f t="shared" si="18"/>
        <v>0</v>
      </c>
      <c r="CB13" s="392">
        <f>'[1]COE commited funds to date'!W16</f>
        <v>200000000</v>
      </c>
      <c r="CC13" s="392">
        <f>'[1]COE DISB 2019'!W21</f>
        <v>200000000</v>
      </c>
      <c r="CD13" s="392">
        <f t="shared" si="19"/>
        <v>0</v>
      </c>
      <c r="CF13" s="392">
        <f>'[1]COE commited funds to date'!X16</f>
        <v>125000000</v>
      </c>
      <c r="CG13" s="392">
        <f>'[1]COE DISB 2019'!X21</f>
        <v>125000000</v>
      </c>
      <c r="CH13" s="392">
        <f t="shared" si="20"/>
        <v>0</v>
      </c>
      <c r="CJ13" s="392">
        <v>10000000</v>
      </c>
      <c r="CK13" s="392">
        <f>'[1]COE DISB 2019'!Y21</f>
        <v>10000000</v>
      </c>
      <c r="CL13" s="392">
        <f t="shared" si="21"/>
        <v>0</v>
      </c>
      <c r="CN13" s="392">
        <v>160000000</v>
      </c>
      <c r="CO13" s="392">
        <f>'[1]COE DISB 2019'!Z21</f>
        <v>160000000</v>
      </c>
      <c r="CP13" s="392">
        <f t="shared" si="22"/>
        <v>0</v>
      </c>
      <c r="CR13" s="392">
        <v>210000000</v>
      </c>
      <c r="CS13" s="392">
        <f>'[1]COE DISB 2019'!AA21</f>
        <v>210000000</v>
      </c>
      <c r="CT13" s="392">
        <f t="shared" si="23"/>
        <v>0</v>
      </c>
      <c r="CV13" s="392">
        <v>10000000</v>
      </c>
      <c r="CW13" s="392">
        <f>'[1]COE DISB 2019'!AB21</f>
        <v>10000000</v>
      </c>
      <c r="CX13" s="392">
        <f t="shared" si="24"/>
        <v>0</v>
      </c>
      <c r="CZ13" s="392">
        <f>'[1]COE commited funds to date'!AC16</f>
        <v>50000000</v>
      </c>
      <c r="DA13" s="392">
        <f>'[1]COE DISB 2019'!AC21</f>
        <v>50000000</v>
      </c>
      <c r="DB13" s="392">
        <f t="shared" si="25"/>
        <v>0</v>
      </c>
      <c r="DC13" s="394"/>
      <c r="DD13" s="392">
        <v>215000000</v>
      </c>
      <c r="DE13" s="392">
        <f>'[1]COE DISB 2019'!AD21</f>
        <v>215000000</v>
      </c>
      <c r="DF13" s="392">
        <f t="shared" si="26"/>
        <v>0</v>
      </c>
      <c r="DG13" s="394"/>
      <c r="DH13" s="392">
        <v>10000000</v>
      </c>
      <c r="DI13" s="392">
        <f>'[1]COE DISB 2019'!AE21</f>
        <v>10000000</v>
      </c>
      <c r="DJ13" s="392">
        <f t="shared" si="27"/>
        <v>0</v>
      </c>
      <c r="DK13" s="394"/>
      <c r="DL13" s="392">
        <f>'[1]COE commited funds to date'!AD16</f>
        <v>0</v>
      </c>
      <c r="DM13" s="392">
        <f>'[1]COE DISB 2019'!AF21</f>
        <v>0</v>
      </c>
      <c r="DN13" s="392">
        <f t="shared" si="28"/>
        <v>0</v>
      </c>
      <c r="DO13" s="394"/>
      <c r="DP13" s="392">
        <v>325000000</v>
      </c>
      <c r="DQ13" s="392">
        <f>'[1]COE DISB 2019'!AG21</f>
        <v>325000000</v>
      </c>
      <c r="DR13" s="392">
        <f t="shared" si="29"/>
        <v>0</v>
      </c>
      <c r="DS13" s="394"/>
      <c r="DT13" s="397">
        <v>10000000</v>
      </c>
      <c r="DU13" s="392">
        <f>'[1]COE DISB 2019'!AH21</f>
        <v>10000000</v>
      </c>
      <c r="DV13" s="392">
        <f t="shared" si="30"/>
        <v>0</v>
      </c>
      <c r="DW13" s="394"/>
      <c r="DX13" s="392">
        <f>'[1]COE commited funds to date'!AI16</f>
        <v>150000000</v>
      </c>
      <c r="DY13" s="392">
        <f>'[1]COE DISB 2019'!AI21</f>
        <v>150000000</v>
      </c>
      <c r="DZ13" s="392">
        <f t="shared" si="31"/>
        <v>0</v>
      </c>
      <c r="EA13" s="394"/>
      <c r="EB13" s="392">
        <f>'[1]COE commited funds to date'!AJ16</f>
        <v>72000000</v>
      </c>
      <c r="EC13" s="392">
        <f>'[1]COE DISB 2019'!AJ21</f>
        <v>76880000</v>
      </c>
      <c r="ED13" s="392">
        <f t="shared" si="32"/>
        <v>-4880000</v>
      </c>
      <c r="EE13" s="394"/>
      <c r="EF13" s="392">
        <f>'[1]COE commited funds to date'!AK16</f>
        <v>8000000</v>
      </c>
      <c r="EG13" s="392">
        <f>'[1]COE DISB 2019'!AK21</f>
        <v>3120000</v>
      </c>
      <c r="EH13" s="392">
        <f t="shared" si="33"/>
        <v>4880000</v>
      </c>
      <c r="EI13" s="394"/>
      <c r="EJ13" s="392">
        <f>'[1]COE commited funds to date'!AL16</f>
        <v>2000000</v>
      </c>
      <c r="EK13" s="392">
        <f>'[1]COE DISB 2019'!AL21</f>
        <v>0</v>
      </c>
      <c r="EL13" s="392">
        <f t="shared" si="34"/>
        <v>2000000</v>
      </c>
      <c r="EM13" s="394"/>
      <c r="EN13" s="392">
        <f>'[1]COE commited funds to date'!AM16</f>
        <v>7000000</v>
      </c>
      <c r="EO13" s="392">
        <f>'[1]COE DISB 2019'!AM21</f>
        <v>7000000</v>
      </c>
      <c r="EP13" s="392">
        <f t="shared" si="35"/>
        <v>0</v>
      </c>
      <c r="EQ13" s="394"/>
      <c r="ER13" s="392">
        <f>'[1]COE commited funds to date'!AN16</f>
        <v>250000000</v>
      </c>
      <c r="ES13" s="392">
        <f>'[1]COE DISB 2019'!AN21</f>
        <v>250000000</v>
      </c>
      <c r="ET13" s="392">
        <f t="shared" si="36"/>
        <v>0</v>
      </c>
      <c r="EV13" s="383">
        <f>'[1]COE commited funds to date'!AO16</f>
        <v>371067000</v>
      </c>
      <c r="EW13" s="383">
        <f>'[1]COE DISB 2019'!AO21</f>
        <v>0</v>
      </c>
      <c r="EX13" s="383">
        <f t="shared" si="38"/>
        <v>371067000</v>
      </c>
      <c r="EY13" s="380"/>
      <c r="EZ13" s="383">
        <f>'[1]COE commited funds to date'!AQ16</f>
        <v>12000000</v>
      </c>
      <c r="FA13" s="383">
        <f>'[1]COE DISB 2019'!AP21</f>
        <v>12000000</v>
      </c>
      <c r="FB13" s="383">
        <f t="shared" si="39"/>
        <v>0</v>
      </c>
      <c r="FC13" s="380"/>
      <c r="FD13" s="383">
        <f>'[1]COE commited funds to date'!AR16</f>
        <v>10000000</v>
      </c>
      <c r="FE13" s="383">
        <f>'[1]COE DISB 2019'!AQ21</f>
        <v>0</v>
      </c>
      <c r="FF13" s="383">
        <f t="shared" si="40"/>
        <v>10000000</v>
      </c>
      <c r="FG13" s="380"/>
      <c r="FH13" s="383">
        <f>'[1]COE commited funds to date'!AP16</f>
        <v>8000000</v>
      </c>
      <c r="FI13" s="383">
        <f>'[1]COE DISB 2019'!AR21</f>
        <v>0</v>
      </c>
      <c r="FJ13" s="383">
        <f t="shared" si="41"/>
        <v>8000000</v>
      </c>
      <c r="FK13" s="383">
        <f>'[1]COE commited funds to date'!AS16</f>
        <v>150000000</v>
      </c>
      <c r="FL13" s="383">
        <f>'[1]COE DISB 2019'!AS21</f>
        <v>150000000</v>
      </c>
      <c r="FM13" s="383">
        <f t="shared" si="42"/>
        <v>0</v>
      </c>
      <c r="FN13" s="380"/>
      <c r="FO13" s="383">
        <f>'[1]COE commited funds to date'!AT16</f>
        <v>200000000</v>
      </c>
      <c r="FP13" s="383">
        <f>'[1]COE DISB 2019'!AT21</f>
        <v>0</v>
      </c>
      <c r="FQ13" s="383">
        <f t="shared" si="43"/>
        <v>200000000</v>
      </c>
      <c r="FR13" s="380"/>
      <c r="FS13" s="383">
        <f>'[1]COE commited funds to date'!AU16</f>
        <v>75000000</v>
      </c>
      <c r="FT13" s="383">
        <f>'[1]COE DISB 2019'!AU21</f>
        <v>63750000</v>
      </c>
      <c r="FU13" s="383">
        <f t="shared" si="44"/>
        <v>11250000</v>
      </c>
      <c r="FV13" s="380"/>
      <c r="FW13" s="383">
        <f>'[1]COE commited funds to date'!AV16</f>
        <v>8700000</v>
      </c>
      <c r="FX13" s="383">
        <f>'[1]COE DISB 2019'!AV21</f>
        <v>0</v>
      </c>
      <c r="FY13" s="383">
        <f t="shared" si="45"/>
        <v>8700000</v>
      </c>
      <c r="FZ13" s="380"/>
      <c r="GA13" s="383">
        <f>'[1]COE commited funds to date'!AW16</f>
        <v>5000000</v>
      </c>
      <c r="GB13" s="383">
        <f>'[1]COE DISB 2019'!AW21</f>
        <v>0</v>
      </c>
      <c r="GC13" s="383">
        <f t="shared" si="46"/>
        <v>5000000</v>
      </c>
      <c r="GD13" s="380"/>
      <c r="GE13" s="383">
        <f>'[1]COE commited funds to date'!AX16</f>
        <v>20000000</v>
      </c>
      <c r="GF13" s="383">
        <f>'[1]COE DISB 2019'!AX21</f>
        <v>13571800</v>
      </c>
      <c r="GG13" s="383">
        <f t="shared" si="47"/>
        <v>6428200</v>
      </c>
      <c r="GH13" s="380"/>
      <c r="GI13" s="383">
        <f>'[1]COE commited funds to date'!AY16</f>
        <v>230000000</v>
      </c>
      <c r="GJ13" s="383">
        <f>'[1]COE DISB 2019'!AY21</f>
        <v>0</v>
      </c>
      <c r="GK13" s="383">
        <f t="shared" si="48"/>
        <v>230000000</v>
      </c>
      <c r="GL13" s="380"/>
      <c r="GM13" s="383">
        <f>'[1]COE commited funds to date'!AZ16</f>
        <v>116776600</v>
      </c>
      <c r="GN13" s="383">
        <f>'[1]COE DISB 2019'!AZ21</f>
        <v>0</v>
      </c>
      <c r="GO13" s="383">
        <f t="shared" si="49"/>
        <v>116776600</v>
      </c>
      <c r="GP13" s="380"/>
      <c r="GQ13" s="383">
        <f>'[1]COE commited funds to date'!BA16</f>
        <v>12000000</v>
      </c>
      <c r="GR13" s="383">
        <f>'[1]COE DISB 2019'!BA21</f>
        <v>0</v>
      </c>
      <c r="GS13" s="383">
        <f t="shared" si="50"/>
        <v>12000000</v>
      </c>
      <c r="GT13" s="380"/>
      <c r="GU13" s="383">
        <f>'[1]COE commited funds to date'!BB16</f>
        <v>5000000</v>
      </c>
      <c r="GV13" s="383">
        <f>'[1]COE DISB 2019'!BB21</f>
        <v>0</v>
      </c>
      <c r="GW13" s="383">
        <f t="shared" si="51"/>
        <v>5000000</v>
      </c>
      <c r="GX13" s="380"/>
      <c r="GY13" s="383">
        <f>'[1]COE commited funds to date'!BC16</f>
        <v>10308300</v>
      </c>
      <c r="GZ13" s="383">
        <f>'[1]COE DISB 2019'!BC21</f>
        <v>0</v>
      </c>
      <c r="HA13" s="383">
        <f t="shared" si="52"/>
        <v>10308300</v>
      </c>
      <c r="HB13" s="380"/>
      <c r="HC13" s="383">
        <f t="shared" si="53"/>
        <v>3380401865.5</v>
      </c>
      <c r="HD13" s="383">
        <f t="shared" si="53"/>
        <v>2383871765.4000001</v>
      </c>
      <c r="HE13" s="392">
        <f t="shared" si="54"/>
        <v>996530100.0999999</v>
      </c>
      <c r="HG13" s="383">
        <f t="shared" si="55"/>
        <v>2079588965.5</v>
      </c>
      <c r="HH13" s="383">
        <f t="shared" si="55"/>
        <v>1283401965.4000001</v>
      </c>
      <c r="HI13" s="383">
        <f t="shared" si="56"/>
        <v>796187000.0999999</v>
      </c>
      <c r="HK13" s="383">
        <f t="shared" si="57"/>
        <v>810000000</v>
      </c>
      <c r="HL13" s="383">
        <f t="shared" si="57"/>
        <v>810000000</v>
      </c>
      <c r="HM13" s="383">
        <f t="shared" si="58"/>
        <v>0</v>
      </c>
      <c r="HO13" s="383">
        <f t="shared" si="37"/>
        <v>1028000</v>
      </c>
      <c r="HP13" s="383">
        <f t="shared" si="37"/>
        <v>1028000</v>
      </c>
      <c r="HQ13" s="383">
        <f t="shared" si="59"/>
        <v>0</v>
      </c>
      <c r="HS13" s="383">
        <f t="shared" si="60"/>
        <v>89308300</v>
      </c>
      <c r="HT13" s="383">
        <f t="shared" si="60"/>
        <v>72571800</v>
      </c>
      <c r="HU13" s="383">
        <f t="shared" si="61"/>
        <v>16736500</v>
      </c>
      <c r="HW13" s="383">
        <f t="shared" si="62"/>
        <v>36700000</v>
      </c>
      <c r="HX13" s="383">
        <f t="shared" si="62"/>
        <v>3120000</v>
      </c>
      <c r="HY13" s="383">
        <f t="shared" si="63"/>
        <v>33580000</v>
      </c>
      <c r="IA13" s="387">
        <f t="shared" si="64"/>
        <v>20000000</v>
      </c>
      <c r="IB13" s="387">
        <f t="shared" si="64"/>
        <v>0</v>
      </c>
      <c r="IC13" s="387">
        <f t="shared" si="65"/>
        <v>20000000</v>
      </c>
      <c r="IE13" s="383">
        <f t="shared" si="66"/>
        <v>341776600</v>
      </c>
      <c r="IF13" s="383">
        <f t="shared" si="66"/>
        <v>213750000</v>
      </c>
      <c r="IG13" s="383">
        <f t="shared" si="67"/>
        <v>128026600</v>
      </c>
      <c r="II13" s="383">
        <f t="shared" si="68"/>
        <v>2000000</v>
      </c>
      <c r="IJ13" s="383">
        <f t="shared" si="68"/>
        <v>0</v>
      </c>
      <c r="IK13" s="383">
        <f t="shared" si="69"/>
        <v>2000000</v>
      </c>
    </row>
    <row r="14" spans="1:245" x14ac:dyDescent="0.25">
      <c r="A14" s="380">
        <v>11</v>
      </c>
      <c r="B14" s="380" t="s">
        <v>330</v>
      </c>
      <c r="C14" s="431" t="s">
        <v>61</v>
      </c>
      <c r="D14" s="392">
        <v>18318965.5</v>
      </c>
      <c r="E14" s="392">
        <f>'[1]COE DISB 2019'!D22</f>
        <v>18318965.399999999</v>
      </c>
      <c r="F14" s="383">
        <f t="shared" si="0"/>
        <v>0.10000000149011612</v>
      </c>
      <c r="H14" s="392">
        <v>8000000</v>
      </c>
      <c r="I14" s="392">
        <f>'[1]COE DISB 2019'!E22</f>
        <v>8000000</v>
      </c>
      <c r="J14" s="383">
        <f t="shared" si="1"/>
        <v>0</v>
      </c>
      <c r="L14" s="392">
        <v>500000</v>
      </c>
      <c r="M14" s="392">
        <f>'[1]COE DISB 2019'!F22</f>
        <v>500000</v>
      </c>
      <c r="N14" s="383">
        <f t="shared" si="2"/>
        <v>0</v>
      </c>
      <c r="P14" s="353">
        <v>16000000</v>
      </c>
      <c r="Q14" s="392">
        <f>'[1]COE DISB 2019'!G22</f>
        <v>16000000</v>
      </c>
      <c r="R14" s="383">
        <f t="shared" si="3"/>
        <v>0</v>
      </c>
      <c r="T14" s="353">
        <v>0</v>
      </c>
      <c r="U14" s="392">
        <f>'[1]COE DISB 2019'!H22</f>
        <v>0</v>
      </c>
      <c r="V14" s="383">
        <f t="shared" si="4"/>
        <v>0</v>
      </c>
      <c r="X14" s="353">
        <v>0</v>
      </c>
      <c r="Y14" s="392">
        <f>'[1]COE DISB 2019'!I22</f>
        <v>0</v>
      </c>
      <c r="Z14" s="383">
        <f t="shared" si="5"/>
        <v>0</v>
      </c>
      <c r="AB14" s="385">
        <v>20000000</v>
      </c>
      <c r="AC14" s="392">
        <f>'[1]COE DISB 2019'!J22</f>
        <v>20000000</v>
      </c>
      <c r="AD14" s="383">
        <f t="shared" si="6"/>
        <v>0</v>
      </c>
      <c r="AF14" s="353">
        <v>0</v>
      </c>
      <c r="AG14" s="392">
        <f>'[1]COE DISB 2019'!K22</f>
        <v>0</v>
      </c>
      <c r="AH14" s="383">
        <f t="shared" si="7"/>
        <v>0</v>
      </c>
      <c r="AJ14" s="385">
        <v>10000000</v>
      </c>
      <c r="AK14" s="392">
        <f>'[1]COE DISB 2019'!L22</f>
        <v>10000000</v>
      </c>
      <c r="AL14" s="383">
        <f t="shared" si="8"/>
        <v>0</v>
      </c>
      <c r="AN14" s="392">
        <v>10000000</v>
      </c>
      <c r="AO14" s="392">
        <f>'[1]COE DISB 2019'!M22</f>
        <v>10000000</v>
      </c>
      <c r="AP14" s="383">
        <f t="shared" si="9"/>
        <v>0</v>
      </c>
      <c r="AR14" s="392">
        <v>15000000</v>
      </c>
      <c r="AS14" s="392">
        <f>'[1]COE DISB 2019'!N22</f>
        <v>15000000</v>
      </c>
      <c r="AT14" s="383">
        <f t="shared" si="10"/>
        <v>0</v>
      </c>
      <c r="AV14" s="392">
        <v>0</v>
      </c>
      <c r="AW14" s="432">
        <f>'[1]COE DISB 2019'!O22</f>
        <v>0</v>
      </c>
      <c r="AX14" s="392">
        <f t="shared" si="11"/>
        <v>0</v>
      </c>
      <c r="AZ14" s="392">
        <v>18000000</v>
      </c>
      <c r="BA14" s="392">
        <f>'[1]COE DISB 2019'!P22</f>
        <v>18000000</v>
      </c>
      <c r="BB14" s="392">
        <f t="shared" si="12"/>
        <v>0</v>
      </c>
      <c r="BD14" s="392">
        <v>25776000</v>
      </c>
      <c r="BE14" s="392">
        <f>'[1]COE DISB 2019'!Q22</f>
        <v>25776000</v>
      </c>
      <c r="BF14" s="392">
        <f t="shared" si="13"/>
        <v>0</v>
      </c>
      <c r="BH14" s="392">
        <v>0</v>
      </c>
      <c r="BI14" s="392">
        <f>'[1]COE DISB 2019'!R22</f>
        <v>0</v>
      </c>
      <c r="BJ14" s="392">
        <f t="shared" si="14"/>
        <v>0</v>
      </c>
      <c r="BL14" s="392">
        <v>43000000</v>
      </c>
      <c r="BM14" s="392">
        <f>'[1]COE DISB 2019'!S22</f>
        <v>43000000</v>
      </c>
      <c r="BN14" s="392">
        <f t="shared" si="15"/>
        <v>0</v>
      </c>
      <c r="BP14" s="392">
        <v>37160000</v>
      </c>
      <c r="BQ14" s="392">
        <f>'[1]COE DISB 2019'!T22</f>
        <v>37160000</v>
      </c>
      <c r="BR14" s="392">
        <f t="shared" si="16"/>
        <v>0</v>
      </c>
      <c r="BT14" s="392">
        <v>0</v>
      </c>
      <c r="BU14" s="392">
        <f>'[1]COE DISB 2019'!U22</f>
        <v>0</v>
      </c>
      <c r="BV14" s="392">
        <f t="shared" si="17"/>
        <v>0</v>
      </c>
      <c r="BX14" s="392">
        <v>112670000</v>
      </c>
      <c r="BY14" s="392">
        <f>'[1]COE DISB 2019'!V22</f>
        <v>112670000</v>
      </c>
      <c r="BZ14" s="392">
        <f t="shared" si="18"/>
        <v>0</v>
      </c>
      <c r="CB14" s="392">
        <v>178500000</v>
      </c>
      <c r="CC14" s="392">
        <f>'[1]COE DISB 2019'!W22</f>
        <v>178500000</v>
      </c>
      <c r="CD14" s="392">
        <f t="shared" si="19"/>
        <v>0</v>
      </c>
      <c r="CF14" s="392">
        <f>'[1]COE commited funds to date'!X17</f>
        <v>125000000</v>
      </c>
      <c r="CG14" s="392">
        <f>'[1]COE DISB 2019'!X22</f>
        <v>125000000</v>
      </c>
      <c r="CH14" s="392">
        <f t="shared" si="20"/>
        <v>0</v>
      </c>
      <c r="CJ14" s="392">
        <v>10000000</v>
      </c>
      <c r="CK14" s="392">
        <f>'[1]COE DISB 2019'!Y22</f>
        <v>10000000</v>
      </c>
      <c r="CL14" s="392">
        <f t="shared" si="21"/>
        <v>0</v>
      </c>
      <c r="CN14" s="392">
        <v>0</v>
      </c>
      <c r="CO14" s="392">
        <f>'[1]COE DISB 2019'!Z22</f>
        <v>0</v>
      </c>
      <c r="CP14" s="392">
        <f t="shared" si="22"/>
        <v>0</v>
      </c>
      <c r="CR14" s="392">
        <v>210000000</v>
      </c>
      <c r="CS14" s="392">
        <f>'[1]COE DISB 2019'!AA22</f>
        <v>210000000</v>
      </c>
      <c r="CT14" s="392">
        <f t="shared" si="23"/>
        <v>0</v>
      </c>
      <c r="CV14" s="392">
        <v>10000000</v>
      </c>
      <c r="CW14" s="392">
        <f>'[1]COE DISB 2019'!AB22</f>
        <v>10000000</v>
      </c>
      <c r="CX14" s="392">
        <f t="shared" si="24"/>
        <v>0</v>
      </c>
      <c r="CZ14" s="392">
        <f>'[1]COE commited funds to date'!AC17</f>
        <v>42000000</v>
      </c>
      <c r="DA14" s="392">
        <f>'[1]COE DISB 2019'!AC22</f>
        <v>42000000</v>
      </c>
      <c r="DB14" s="392">
        <f t="shared" si="25"/>
        <v>0</v>
      </c>
      <c r="DC14" s="394"/>
      <c r="DD14" s="392">
        <v>215000000</v>
      </c>
      <c r="DE14" s="392">
        <f>'[1]COE DISB 2019'!AD22</f>
        <v>215000000</v>
      </c>
      <c r="DF14" s="392">
        <f t="shared" si="26"/>
        <v>0</v>
      </c>
      <c r="DG14" s="394"/>
      <c r="DH14" s="392">
        <v>10000000</v>
      </c>
      <c r="DI14" s="392">
        <f>'[1]COE DISB 2019'!AE22</f>
        <v>10000000</v>
      </c>
      <c r="DJ14" s="392">
        <f t="shared" si="27"/>
        <v>0</v>
      </c>
      <c r="DK14" s="394"/>
      <c r="DL14" s="392">
        <f>'[1]COE commited funds to date'!AD17</f>
        <v>40000000</v>
      </c>
      <c r="DM14" s="392">
        <f>'[1]COE DISB 2019'!AF22</f>
        <v>34000000</v>
      </c>
      <c r="DN14" s="392">
        <f t="shared" si="28"/>
        <v>6000000</v>
      </c>
      <c r="DO14" s="394"/>
      <c r="DP14" s="392">
        <v>325000000</v>
      </c>
      <c r="DQ14" s="392">
        <f>'[1]COE DISB 2019'!AG22</f>
        <v>188500000</v>
      </c>
      <c r="DR14" s="392">
        <f t="shared" si="29"/>
        <v>136500000</v>
      </c>
      <c r="DS14" s="394"/>
      <c r="DT14" s="397">
        <v>10000000</v>
      </c>
      <c r="DU14" s="392">
        <f>'[1]COE DISB 2019'!AH22</f>
        <v>10000000</v>
      </c>
      <c r="DV14" s="392">
        <f t="shared" si="30"/>
        <v>0</v>
      </c>
      <c r="DW14" s="394"/>
      <c r="DX14" s="392">
        <f>'[1]COE commited funds to date'!AI17</f>
        <v>60000000</v>
      </c>
      <c r="DY14" s="392">
        <f>'[1]COE DISB 2019'!AI22</f>
        <v>58500000</v>
      </c>
      <c r="DZ14" s="392">
        <f t="shared" si="31"/>
        <v>1500000</v>
      </c>
      <c r="EA14" s="394"/>
      <c r="EB14" s="392">
        <f>'[1]COE commited funds to date'!AJ17</f>
        <v>72000000</v>
      </c>
      <c r="EC14" s="392">
        <f>'[1]COE DISB 2019'!AJ22</f>
        <v>41760000</v>
      </c>
      <c r="ED14" s="392">
        <f t="shared" si="32"/>
        <v>30240000</v>
      </c>
      <c r="EE14" s="394"/>
      <c r="EF14" s="392">
        <f>'[1]COE commited funds to date'!AK17</f>
        <v>8000000</v>
      </c>
      <c r="EG14" s="392">
        <f>'[1]COE DISB 2019'!AK22</f>
        <v>4400000</v>
      </c>
      <c r="EH14" s="392">
        <f t="shared" si="33"/>
        <v>3600000</v>
      </c>
      <c r="EI14" s="394"/>
      <c r="EJ14" s="392">
        <f>'[1]COE commited funds to date'!AL17</f>
        <v>2000000</v>
      </c>
      <c r="EK14" s="392">
        <f>'[1]COE DISB 2019'!AL22</f>
        <v>0</v>
      </c>
      <c r="EL14" s="392">
        <f t="shared" si="34"/>
        <v>2000000</v>
      </c>
      <c r="EM14" s="394"/>
      <c r="EN14" s="392">
        <f>'[1]COE commited funds to date'!AM17</f>
        <v>7000000</v>
      </c>
      <c r="EO14" s="392">
        <f>'[1]COE DISB 2019'!AM22</f>
        <v>7000000</v>
      </c>
      <c r="EP14" s="392">
        <f t="shared" si="35"/>
        <v>0</v>
      </c>
      <c r="EQ14" s="394"/>
      <c r="ER14" s="392">
        <f>'[1]COE commited funds to date'!AN17</f>
        <v>310000000</v>
      </c>
      <c r="ES14" s="392">
        <f>'[1]COE DISB 2019'!AN22</f>
        <v>310000000</v>
      </c>
      <c r="ET14" s="392">
        <f t="shared" si="36"/>
        <v>0</v>
      </c>
      <c r="EV14" s="383">
        <f>'[1]COE commited funds to date'!AO17</f>
        <v>371067000</v>
      </c>
      <c r="EW14" s="383">
        <f>'[1]COE DISB 2019'!AO22</f>
        <v>215218860</v>
      </c>
      <c r="EX14" s="383">
        <f t="shared" si="38"/>
        <v>155848140</v>
      </c>
      <c r="EY14" s="380"/>
      <c r="EZ14" s="383">
        <f>'[1]COE commited funds to date'!AQ17</f>
        <v>12000000</v>
      </c>
      <c r="FA14" s="383">
        <f>'[1]COE DISB 2019'!AP22</f>
        <v>12000000</v>
      </c>
      <c r="FB14" s="383">
        <f t="shared" si="39"/>
        <v>0</v>
      </c>
      <c r="FC14" s="380"/>
      <c r="FD14" s="383">
        <f>'[1]COE commited funds to date'!AR17</f>
        <v>10000000</v>
      </c>
      <c r="FE14" s="383">
        <f>'[1]COE DISB 2019'!AQ22</f>
        <v>0</v>
      </c>
      <c r="FF14" s="383">
        <f t="shared" si="40"/>
        <v>10000000</v>
      </c>
      <c r="FG14" s="380"/>
      <c r="FH14" s="383">
        <f>'[1]COE commited funds to date'!AP17</f>
        <v>8000000</v>
      </c>
      <c r="FI14" s="383">
        <f>'[1]COE DISB 2019'!AR22</f>
        <v>4400000</v>
      </c>
      <c r="FJ14" s="383">
        <f t="shared" si="41"/>
        <v>3600000</v>
      </c>
      <c r="FK14" s="383">
        <f>'[1]COE commited funds to date'!AS17</f>
        <v>0</v>
      </c>
      <c r="FL14" s="383">
        <f>'[1]COE DISB 2019'!AS22</f>
        <v>0</v>
      </c>
      <c r="FM14" s="383">
        <f t="shared" si="42"/>
        <v>0</v>
      </c>
      <c r="FN14" s="380"/>
      <c r="FO14" s="383">
        <f>'[1]COE commited funds to date'!AT17</f>
        <v>200000000</v>
      </c>
      <c r="FP14" s="383">
        <f>'[1]COE DISB 2019'!AT22</f>
        <v>0</v>
      </c>
      <c r="FQ14" s="383">
        <f t="shared" si="43"/>
        <v>200000000</v>
      </c>
      <c r="FR14" s="380"/>
      <c r="FS14" s="383">
        <f>'[1]COE commited funds to date'!AU17</f>
        <v>75000000</v>
      </c>
      <c r="FT14" s="383">
        <f>'[1]COE DISB 2019'!AU22</f>
        <v>63750000</v>
      </c>
      <c r="FU14" s="383">
        <f t="shared" si="44"/>
        <v>11250000</v>
      </c>
      <c r="FV14" s="380"/>
      <c r="FW14" s="383">
        <f>'[1]COE commited funds to date'!AV17</f>
        <v>8700000</v>
      </c>
      <c r="FX14" s="383">
        <f>'[1]COE DISB 2019'!AV22</f>
        <v>0</v>
      </c>
      <c r="FY14" s="383">
        <f t="shared" si="45"/>
        <v>8700000</v>
      </c>
      <c r="FZ14" s="380"/>
      <c r="GA14" s="383">
        <f>'[1]COE commited funds to date'!AW17</f>
        <v>5000000</v>
      </c>
      <c r="GB14" s="383">
        <f>'[1]COE DISB 2019'!AW22</f>
        <v>0</v>
      </c>
      <c r="GC14" s="383">
        <f t="shared" si="46"/>
        <v>5000000</v>
      </c>
      <c r="GD14" s="380"/>
      <c r="GE14" s="383">
        <f>'[1]COE commited funds to date'!AX17</f>
        <v>20000000</v>
      </c>
      <c r="GF14" s="383">
        <f>'[1]COE DISB 2019'!AX22</f>
        <v>15040860</v>
      </c>
      <c r="GG14" s="383">
        <f t="shared" si="47"/>
        <v>4959140</v>
      </c>
      <c r="GH14" s="380"/>
      <c r="GI14" s="383">
        <f>'[1]COE commited funds to date'!AY17</f>
        <v>230000000</v>
      </c>
      <c r="GJ14" s="383">
        <f>'[1]COE DISB 2019'!AY22</f>
        <v>0</v>
      </c>
      <c r="GK14" s="383">
        <f t="shared" si="48"/>
        <v>230000000</v>
      </c>
      <c r="GL14" s="380"/>
      <c r="GM14" s="383">
        <f>'[1]COE commited funds to date'!AZ17</f>
        <v>116776600</v>
      </c>
      <c r="GN14" s="383">
        <f>'[1]COE DISB 2019'!AZ22</f>
        <v>0</v>
      </c>
      <c r="GO14" s="383">
        <f t="shared" si="49"/>
        <v>116776600</v>
      </c>
      <c r="GP14" s="380"/>
      <c r="GQ14" s="383">
        <f>'[1]COE commited funds to date'!BA17</f>
        <v>12000000</v>
      </c>
      <c r="GR14" s="383">
        <f>'[1]COE DISB 2019'!BA22</f>
        <v>0</v>
      </c>
      <c r="GS14" s="383">
        <f t="shared" si="50"/>
        <v>12000000</v>
      </c>
      <c r="GT14" s="380"/>
      <c r="GU14" s="383">
        <f>'[1]COE commited funds to date'!BB17</f>
        <v>5000000</v>
      </c>
      <c r="GV14" s="383">
        <f>'[1]COE DISB 2019'!BB22</f>
        <v>0</v>
      </c>
      <c r="GW14" s="383">
        <f t="shared" si="51"/>
        <v>5000000</v>
      </c>
      <c r="GX14" s="380"/>
      <c r="GY14" s="383">
        <f>'[1]COE commited funds to date'!BC17</f>
        <v>10308300</v>
      </c>
      <c r="GZ14" s="383">
        <f>'[1]COE DISB 2019'!BC22</f>
        <v>0</v>
      </c>
      <c r="HA14" s="383">
        <f t="shared" si="52"/>
        <v>10308300</v>
      </c>
      <c r="HB14" s="380"/>
      <c r="HC14" s="383">
        <f t="shared" si="53"/>
        <v>3052776865.5</v>
      </c>
      <c r="HD14" s="383">
        <f t="shared" si="53"/>
        <v>2099494685.4000001</v>
      </c>
      <c r="HE14" s="392">
        <f t="shared" si="54"/>
        <v>953282180.0999999</v>
      </c>
      <c r="HG14" s="383">
        <f t="shared" si="55"/>
        <v>2081991965.5</v>
      </c>
      <c r="HH14" s="383">
        <f t="shared" si="55"/>
        <v>1329403825.4000001</v>
      </c>
      <c r="HI14" s="383">
        <f t="shared" si="56"/>
        <v>752588140.0999999</v>
      </c>
      <c r="HK14" s="383">
        <f t="shared" si="57"/>
        <v>630500000</v>
      </c>
      <c r="HL14" s="383">
        <f t="shared" si="57"/>
        <v>623000000</v>
      </c>
      <c r="HM14" s="383">
        <f t="shared" si="58"/>
        <v>7500000</v>
      </c>
      <c r="HO14" s="383">
        <f t="shared" si="37"/>
        <v>500000</v>
      </c>
      <c r="HP14" s="383">
        <f t="shared" si="37"/>
        <v>500000</v>
      </c>
      <c r="HQ14" s="383">
        <f t="shared" si="59"/>
        <v>0</v>
      </c>
      <c r="HS14" s="383">
        <f t="shared" si="60"/>
        <v>89308300</v>
      </c>
      <c r="HT14" s="383">
        <f t="shared" si="60"/>
        <v>74040860</v>
      </c>
      <c r="HU14" s="383">
        <f t="shared" si="61"/>
        <v>15267440</v>
      </c>
      <c r="HW14" s="383">
        <f t="shared" si="62"/>
        <v>36700000</v>
      </c>
      <c r="HX14" s="383">
        <f t="shared" si="62"/>
        <v>8800000</v>
      </c>
      <c r="HY14" s="383">
        <f t="shared" si="63"/>
        <v>27900000</v>
      </c>
      <c r="IA14" s="387">
        <f t="shared" si="64"/>
        <v>20000000</v>
      </c>
      <c r="IB14" s="387">
        <f t="shared" si="64"/>
        <v>0</v>
      </c>
      <c r="IC14" s="387">
        <f t="shared" si="65"/>
        <v>20000000</v>
      </c>
      <c r="IE14" s="383">
        <f t="shared" si="66"/>
        <v>191776600</v>
      </c>
      <c r="IF14" s="383">
        <f t="shared" si="66"/>
        <v>63750000</v>
      </c>
      <c r="IG14" s="383">
        <f t="shared" si="67"/>
        <v>128026600</v>
      </c>
      <c r="II14" s="383">
        <f t="shared" si="68"/>
        <v>2000000</v>
      </c>
      <c r="IJ14" s="383">
        <f t="shared" si="68"/>
        <v>0</v>
      </c>
      <c r="IK14" s="383">
        <f t="shared" si="69"/>
        <v>2000000</v>
      </c>
    </row>
    <row r="15" spans="1:245" x14ac:dyDescent="0.25">
      <c r="A15" s="380">
        <v>12</v>
      </c>
      <c r="B15" s="380" t="s">
        <v>331</v>
      </c>
      <c r="C15" s="431" t="s">
        <v>69</v>
      </c>
      <c r="D15" s="392">
        <v>18318965.5</v>
      </c>
      <c r="E15" s="392">
        <f>'[1]COE DISB 2019'!D23</f>
        <v>18318965.5</v>
      </c>
      <c r="F15" s="383">
        <f t="shared" si="0"/>
        <v>0</v>
      </c>
      <c r="H15" s="392">
        <v>8000000</v>
      </c>
      <c r="I15" s="392">
        <f>'[1]COE DISB 2019'!E23</f>
        <v>8000000</v>
      </c>
      <c r="J15" s="383">
        <f t="shared" si="1"/>
        <v>0</v>
      </c>
      <c r="L15" s="392">
        <v>500000</v>
      </c>
      <c r="M15" s="392">
        <f>'[1]COE DISB 2019'!F23</f>
        <v>500000</v>
      </c>
      <c r="N15" s="383">
        <f t="shared" si="2"/>
        <v>0</v>
      </c>
      <c r="P15" s="353">
        <v>16000000</v>
      </c>
      <c r="Q15" s="392">
        <f>'[1]COE DISB 2019'!G23</f>
        <v>16000000</v>
      </c>
      <c r="R15" s="383">
        <f t="shared" si="3"/>
        <v>0</v>
      </c>
      <c r="T15" s="353">
        <v>0</v>
      </c>
      <c r="U15" s="392">
        <f>'[1]COE DISB 2019'!H23</f>
        <v>0</v>
      </c>
      <c r="V15" s="383">
        <f t="shared" si="4"/>
        <v>0</v>
      </c>
      <c r="X15" s="385">
        <v>4000000</v>
      </c>
      <c r="Y15" s="392">
        <f>'[1]COE DISB 2019'!I23</f>
        <v>4000000</v>
      </c>
      <c r="Z15" s="383">
        <f t="shared" si="5"/>
        <v>0</v>
      </c>
      <c r="AB15" s="385">
        <v>20000000</v>
      </c>
      <c r="AC15" s="392">
        <f>'[1]COE DISB 2019'!J23</f>
        <v>20000000</v>
      </c>
      <c r="AD15" s="383">
        <f t="shared" si="6"/>
        <v>0</v>
      </c>
      <c r="AF15" s="353">
        <v>0</v>
      </c>
      <c r="AG15" s="392">
        <f>'[1]COE DISB 2019'!K23</f>
        <v>0</v>
      </c>
      <c r="AH15" s="383">
        <f t="shared" si="7"/>
        <v>0</v>
      </c>
      <c r="AJ15" s="385">
        <v>10000000</v>
      </c>
      <c r="AK15" s="392">
        <f>'[1]COE DISB 2019'!L23</f>
        <v>10000000</v>
      </c>
      <c r="AL15" s="383">
        <f t="shared" si="8"/>
        <v>0</v>
      </c>
      <c r="AN15" s="392">
        <v>10000000</v>
      </c>
      <c r="AO15" s="392">
        <f>'[1]COE DISB 2019'!M23</f>
        <v>10000000</v>
      </c>
      <c r="AP15" s="383">
        <f t="shared" si="9"/>
        <v>0</v>
      </c>
      <c r="AR15" s="392">
        <v>15000000</v>
      </c>
      <c r="AS15" s="392">
        <f>'[1]COE DISB 2019'!N23</f>
        <v>15000000</v>
      </c>
      <c r="AT15" s="383">
        <f t="shared" si="10"/>
        <v>0</v>
      </c>
      <c r="AV15" s="392">
        <v>10000000</v>
      </c>
      <c r="AW15" s="434">
        <f>'[1]COE DISB 2019'!O23</f>
        <v>10000000</v>
      </c>
      <c r="AX15" s="392">
        <f t="shared" si="11"/>
        <v>0</v>
      </c>
      <c r="AZ15" s="392">
        <v>18000000</v>
      </c>
      <c r="BA15" s="392">
        <f>'[1]COE DISB 2019'!P23</f>
        <v>18000000</v>
      </c>
      <c r="BB15" s="392">
        <f t="shared" si="12"/>
        <v>0</v>
      </c>
      <c r="BD15" s="392">
        <v>23400000</v>
      </c>
      <c r="BE15" s="392">
        <f>'[1]COE DISB 2019'!Q23</f>
        <v>23400000</v>
      </c>
      <c r="BF15" s="392">
        <f t="shared" si="13"/>
        <v>0</v>
      </c>
      <c r="BH15" s="392">
        <v>0</v>
      </c>
      <c r="BI15" s="392">
        <f>'[1]COE DISB 2019'!R23</f>
        <v>0</v>
      </c>
      <c r="BJ15" s="392">
        <f t="shared" si="14"/>
        <v>0</v>
      </c>
      <c r="BL15" s="392">
        <v>43000000</v>
      </c>
      <c r="BM15" s="392">
        <f>'[1]COE DISB 2019'!S23</f>
        <v>43000000</v>
      </c>
      <c r="BN15" s="392">
        <f t="shared" si="15"/>
        <v>0</v>
      </c>
      <c r="BP15" s="392">
        <v>37160000</v>
      </c>
      <c r="BQ15" s="392">
        <f>'[1]COE DISB 2019'!T23</f>
        <v>37160000</v>
      </c>
      <c r="BR15" s="392">
        <f t="shared" si="16"/>
        <v>0</v>
      </c>
      <c r="BT15" s="392">
        <v>0</v>
      </c>
      <c r="BU15" s="392">
        <f>'[1]COE DISB 2019'!U23</f>
        <v>0</v>
      </c>
      <c r="BV15" s="392">
        <f t="shared" si="17"/>
        <v>0</v>
      </c>
      <c r="BX15" s="392">
        <v>112670000</v>
      </c>
      <c r="BY15" s="392">
        <f>'[1]COE DISB 2019'!V23</f>
        <v>112670000</v>
      </c>
      <c r="BZ15" s="392">
        <f t="shared" si="18"/>
        <v>0</v>
      </c>
      <c r="CB15" s="392">
        <f>'[1]COE commited funds to date'!W18</f>
        <v>50000000</v>
      </c>
      <c r="CC15" s="392">
        <f>'[1]COE DISB 2019'!W23</f>
        <v>50000000</v>
      </c>
      <c r="CD15" s="392">
        <f t="shared" si="19"/>
        <v>0</v>
      </c>
      <c r="CF15" s="392">
        <f>'[1]COE commited funds to date'!X18</f>
        <v>125000000</v>
      </c>
      <c r="CG15" s="392">
        <f>'[1]COE DISB 2019'!X23</f>
        <v>125000000</v>
      </c>
      <c r="CH15" s="392">
        <f t="shared" si="20"/>
        <v>0</v>
      </c>
      <c r="CJ15" s="392">
        <v>10000000</v>
      </c>
      <c r="CK15" s="392">
        <f>'[1]COE DISB 2019'!Y23</f>
        <v>10000000</v>
      </c>
      <c r="CL15" s="392">
        <f t="shared" si="21"/>
        <v>0</v>
      </c>
      <c r="CN15" s="392">
        <v>0</v>
      </c>
      <c r="CO15" s="392">
        <f>'[1]COE DISB 2019'!Z23</f>
        <v>0</v>
      </c>
      <c r="CP15" s="392">
        <f t="shared" si="22"/>
        <v>0</v>
      </c>
      <c r="CR15" s="392">
        <v>210000000</v>
      </c>
      <c r="CS15" s="392">
        <f>'[1]COE DISB 2019'!AA23</f>
        <v>210000000</v>
      </c>
      <c r="CT15" s="392">
        <f t="shared" si="23"/>
        <v>0</v>
      </c>
      <c r="CV15" s="392">
        <v>10000000</v>
      </c>
      <c r="CW15" s="392">
        <f>'[1]COE DISB 2019'!AB23</f>
        <v>10000000</v>
      </c>
      <c r="CX15" s="392">
        <f t="shared" si="24"/>
        <v>0</v>
      </c>
      <c r="CZ15" s="392">
        <f>'[1]COE commited funds to date'!AC18</f>
        <v>100000000</v>
      </c>
      <c r="DA15" s="392">
        <f>'[1]COE DISB 2019'!AC23</f>
        <v>100000000</v>
      </c>
      <c r="DB15" s="392">
        <f t="shared" si="25"/>
        <v>0</v>
      </c>
      <c r="DC15" s="394"/>
      <c r="DD15" s="392">
        <v>215000000</v>
      </c>
      <c r="DE15" s="392">
        <f>'[1]COE DISB 2019'!AD23</f>
        <v>215000000</v>
      </c>
      <c r="DF15" s="392">
        <f t="shared" si="26"/>
        <v>0</v>
      </c>
      <c r="DG15" s="394"/>
      <c r="DH15" s="392">
        <v>10000000</v>
      </c>
      <c r="DI15" s="392">
        <f>'[1]COE DISB 2019'!AE23</f>
        <v>10000000</v>
      </c>
      <c r="DJ15" s="392">
        <f t="shared" si="27"/>
        <v>0</v>
      </c>
      <c r="DK15" s="394"/>
      <c r="DL15" s="392">
        <f>'[1]COE commited funds to date'!AD18</f>
        <v>0</v>
      </c>
      <c r="DM15" s="392">
        <f>'[1]COE DISB 2019'!AF23</f>
        <v>0</v>
      </c>
      <c r="DN15" s="392">
        <f t="shared" si="28"/>
        <v>0</v>
      </c>
      <c r="DO15" s="394"/>
      <c r="DP15" s="392">
        <v>325000000</v>
      </c>
      <c r="DQ15" s="392">
        <f>'[1]COE DISB 2019'!AG23</f>
        <v>325000000</v>
      </c>
      <c r="DR15" s="392">
        <f t="shared" si="29"/>
        <v>0</v>
      </c>
      <c r="DS15" s="394"/>
      <c r="DT15" s="397">
        <v>10000000</v>
      </c>
      <c r="DU15" s="392">
        <f>'[1]COE DISB 2019'!AH23</f>
        <v>10000000</v>
      </c>
      <c r="DV15" s="392">
        <f t="shared" si="30"/>
        <v>0</v>
      </c>
      <c r="DW15" s="394"/>
      <c r="DX15" s="392">
        <f>'[1]COE commited funds to date'!AI18</f>
        <v>150000000</v>
      </c>
      <c r="DY15" s="392">
        <f>'[1]COE DISB 2019'!AI23</f>
        <v>150000000</v>
      </c>
      <c r="DZ15" s="392">
        <f t="shared" si="31"/>
        <v>0</v>
      </c>
      <c r="EA15" s="394"/>
      <c r="EB15" s="392">
        <f>'[1]COE commited funds to date'!AJ18</f>
        <v>72000000</v>
      </c>
      <c r="EC15" s="392">
        <f>'[1]COE DISB 2019'!AJ23</f>
        <v>72000000</v>
      </c>
      <c r="ED15" s="392">
        <f t="shared" si="32"/>
        <v>0</v>
      </c>
      <c r="EE15" s="394"/>
      <c r="EF15" s="392">
        <f>'[1]COE commited funds to date'!AK18</f>
        <v>8000000</v>
      </c>
      <c r="EG15" s="392">
        <f>'[1]COE DISB 2019'!AK23</f>
        <v>8000000</v>
      </c>
      <c r="EH15" s="392">
        <f t="shared" si="33"/>
        <v>0</v>
      </c>
      <c r="EI15" s="394"/>
      <c r="EJ15" s="392">
        <f>'[1]COE commited funds to date'!AL18</f>
        <v>2000000</v>
      </c>
      <c r="EK15" s="392">
        <f>'[1]COE DISB 2019'!AL23</f>
        <v>1700000</v>
      </c>
      <c r="EL15" s="392">
        <f t="shared" si="34"/>
        <v>300000</v>
      </c>
      <c r="EM15" s="394"/>
      <c r="EN15" s="392">
        <f>'[1]COE commited funds to date'!AM18</f>
        <v>7000000</v>
      </c>
      <c r="EO15" s="392">
        <f>'[1]COE DISB 2019'!AM23</f>
        <v>7000000</v>
      </c>
      <c r="EP15" s="392">
        <f t="shared" si="35"/>
        <v>0</v>
      </c>
      <c r="EQ15" s="394"/>
      <c r="ER15" s="392">
        <f>'[1]COE commited funds to date'!AN18</f>
        <v>750000000</v>
      </c>
      <c r="ES15" s="392">
        <f>'[1]COE DISB 2019'!AN23</f>
        <v>750000000</v>
      </c>
      <c r="ET15" s="392">
        <f t="shared" si="36"/>
        <v>0</v>
      </c>
      <c r="EV15" s="383">
        <f>'[1]COE commited funds to date'!AO18</f>
        <v>371067000</v>
      </c>
      <c r="EW15" s="383">
        <f>'[1]COE DISB 2019'!AO23</f>
        <v>0</v>
      </c>
      <c r="EX15" s="383">
        <f t="shared" si="38"/>
        <v>371067000</v>
      </c>
      <c r="EY15" s="380"/>
      <c r="EZ15" s="383">
        <f>'[1]COE commited funds to date'!AQ18</f>
        <v>12000000</v>
      </c>
      <c r="FA15" s="383">
        <f>'[1]COE DISB 2019'!AP23</f>
        <v>12000000</v>
      </c>
      <c r="FB15" s="383">
        <f t="shared" si="39"/>
        <v>0</v>
      </c>
      <c r="FC15" s="380"/>
      <c r="FD15" s="383">
        <f>'[1]COE commited funds to date'!AR18</f>
        <v>10000000</v>
      </c>
      <c r="FE15" s="383">
        <f>'[1]COE DISB 2019'!AQ23</f>
        <v>0</v>
      </c>
      <c r="FF15" s="383">
        <f t="shared" si="40"/>
        <v>10000000</v>
      </c>
      <c r="FG15" s="380"/>
      <c r="FH15" s="383">
        <f>'[1]COE commited funds to date'!AP18</f>
        <v>8000000</v>
      </c>
      <c r="FI15" s="383">
        <f>'[1]COE DISB 2019'!AR23</f>
        <v>0</v>
      </c>
      <c r="FJ15" s="383">
        <f t="shared" si="41"/>
        <v>8000000</v>
      </c>
      <c r="FK15" s="383">
        <f>'[1]COE commited funds to date'!AS18</f>
        <v>150000000</v>
      </c>
      <c r="FL15" s="383">
        <f>'[1]COE DISB 2019'!AS23</f>
        <v>87000000</v>
      </c>
      <c r="FM15" s="383">
        <f t="shared" si="42"/>
        <v>63000000</v>
      </c>
      <c r="FN15" s="380"/>
      <c r="FO15" s="383">
        <f>'[1]COE commited funds to date'!AT18</f>
        <v>200000000</v>
      </c>
      <c r="FP15" s="383">
        <f>'[1]COE DISB 2019'!AT23</f>
        <v>0</v>
      </c>
      <c r="FQ15" s="383">
        <f t="shared" si="43"/>
        <v>200000000</v>
      </c>
      <c r="FR15" s="380"/>
      <c r="FS15" s="383">
        <f>'[1]COE commited funds to date'!AU18</f>
        <v>75000000</v>
      </c>
      <c r="FT15" s="383">
        <f>'[1]COE DISB 2019'!AU23</f>
        <v>0</v>
      </c>
      <c r="FU15" s="383">
        <f t="shared" si="44"/>
        <v>75000000</v>
      </c>
      <c r="FV15" s="380"/>
      <c r="FW15" s="383">
        <f>'[1]COE commited funds to date'!AV18</f>
        <v>8700000</v>
      </c>
      <c r="FX15" s="383">
        <f>'[1]COE DISB 2019'!AV23</f>
        <v>0</v>
      </c>
      <c r="FY15" s="383">
        <f t="shared" si="45"/>
        <v>8700000</v>
      </c>
      <c r="FZ15" s="380"/>
      <c r="GA15" s="383">
        <f>'[1]COE commited funds to date'!AW18</f>
        <v>5000000</v>
      </c>
      <c r="GB15" s="383">
        <f>'[1]COE DISB 2019'!AW23</f>
        <v>0</v>
      </c>
      <c r="GC15" s="383">
        <f t="shared" si="46"/>
        <v>5000000</v>
      </c>
      <c r="GD15" s="380"/>
      <c r="GE15" s="383">
        <f>'[1]COE commited funds to date'!AX18</f>
        <v>20000000</v>
      </c>
      <c r="GF15" s="383">
        <f>'[1]COE DISB 2019'!AX23</f>
        <v>10090200</v>
      </c>
      <c r="GG15" s="383">
        <f t="shared" si="47"/>
        <v>9909800</v>
      </c>
      <c r="GH15" s="380"/>
      <c r="GI15" s="383">
        <f>'[1]COE commited funds to date'!AY18</f>
        <v>230000000</v>
      </c>
      <c r="GJ15" s="383">
        <f>'[1]COE DISB 2019'!AY23</f>
        <v>0</v>
      </c>
      <c r="GK15" s="383">
        <f t="shared" si="48"/>
        <v>230000000</v>
      </c>
      <c r="GL15" s="380"/>
      <c r="GM15" s="383">
        <f>'[1]COE commited funds to date'!AZ18</f>
        <v>116776600</v>
      </c>
      <c r="GN15" s="383">
        <f>'[1]COE DISB 2019'!AZ23</f>
        <v>0</v>
      </c>
      <c r="GO15" s="383">
        <f t="shared" si="49"/>
        <v>116776600</v>
      </c>
      <c r="GP15" s="380"/>
      <c r="GQ15" s="383">
        <f>'[1]COE commited funds to date'!BA18</f>
        <v>12000000</v>
      </c>
      <c r="GR15" s="383">
        <f>'[1]COE DISB 2019'!BA23</f>
        <v>0</v>
      </c>
      <c r="GS15" s="383">
        <f t="shared" si="50"/>
        <v>12000000</v>
      </c>
      <c r="GT15" s="380"/>
      <c r="GU15" s="383">
        <f>'[1]COE commited funds to date'!BB18</f>
        <v>5000000</v>
      </c>
      <c r="GV15" s="383">
        <f>'[1]COE DISB 2019'!BB23</f>
        <v>0</v>
      </c>
      <c r="GW15" s="383">
        <f t="shared" si="51"/>
        <v>5000000</v>
      </c>
      <c r="GX15" s="380"/>
      <c r="GY15" s="383">
        <f>'[1]COE commited funds to date'!BC18</f>
        <v>10308300</v>
      </c>
      <c r="GZ15" s="383">
        <f>'[1]COE DISB 2019'!BC23</f>
        <v>0</v>
      </c>
      <c r="HA15" s="383">
        <f t="shared" si="52"/>
        <v>10308300</v>
      </c>
      <c r="HB15" s="380"/>
      <c r="HC15" s="383">
        <f t="shared" si="53"/>
        <v>3633900865.5</v>
      </c>
      <c r="HD15" s="383">
        <f t="shared" si="53"/>
        <v>2508839165.5</v>
      </c>
      <c r="HE15" s="392">
        <f t="shared" si="54"/>
        <v>1125061700</v>
      </c>
      <c r="HG15" s="383">
        <f t="shared" si="55"/>
        <v>2079615965.5</v>
      </c>
      <c r="HH15" s="383">
        <f t="shared" si="55"/>
        <v>1278548965.5</v>
      </c>
      <c r="HI15" s="383">
        <f t="shared" si="56"/>
        <v>801067000</v>
      </c>
      <c r="HK15" s="383">
        <f t="shared" si="57"/>
        <v>1050000000</v>
      </c>
      <c r="HL15" s="383">
        <f t="shared" si="57"/>
        <v>1050000000</v>
      </c>
      <c r="HM15" s="383">
        <f t="shared" si="58"/>
        <v>0</v>
      </c>
      <c r="HO15" s="383">
        <f t="shared" si="37"/>
        <v>500000</v>
      </c>
      <c r="HP15" s="383">
        <f t="shared" si="37"/>
        <v>500000</v>
      </c>
      <c r="HQ15" s="383">
        <f t="shared" si="59"/>
        <v>0</v>
      </c>
      <c r="HS15" s="383">
        <f t="shared" si="60"/>
        <v>89308300</v>
      </c>
      <c r="HT15" s="383">
        <f t="shared" si="60"/>
        <v>69090200</v>
      </c>
      <c r="HU15" s="383">
        <f t="shared" si="61"/>
        <v>20218100</v>
      </c>
      <c r="HW15" s="383">
        <f t="shared" si="62"/>
        <v>36700000</v>
      </c>
      <c r="HX15" s="383">
        <f t="shared" si="62"/>
        <v>8000000</v>
      </c>
      <c r="HY15" s="383">
        <f t="shared" si="63"/>
        <v>28700000</v>
      </c>
      <c r="IA15" s="387">
        <f t="shared" si="64"/>
        <v>20000000</v>
      </c>
      <c r="IB15" s="387">
        <f t="shared" si="64"/>
        <v>0</v>
      </c>
      <c r="IC15" s="387">
        <f t="shared" si="65"/>
        <v>20000000</v>
      </c>
      <c r="IE15" s="383">
        <f t="shared" si="66"/>
        <v>341776600</v>
      </c>
      <c r="IF15" s="383">
        <f t="shared" si="66"/>
        <v>87000000</v>
      </c>
      <c r="IG15" s="383">
        <f t="shared" si="67"/>
        <v>254776600</v>
      </c>
      <c r="II15" s="383">
        <f t="shared" si="68"/>
        <v>2000000</v>
      </c>
      <c r="IJ15" s="383">
        <f t="shared" si="68"/>
        <v>1700000</v>
      </c>
      <c r="IK15" s="383">
        <f t="shared" si="69"/>
        <v>300000</v>
      </c>
    </row>
    <row r="16" spans="1:245" x14ac:dyDescent="0.25">
      <c r="A16" s="380">
        <v>13</v>
      </c>
      <c r="B16" s="380" t="s">
        <v>332</v>
      </c>
      <c r="C16" s="431" t="s">
        <v>61</v>
      </c>
      <c r="D16" s="392">
        <v>18318965.5</v>
      </c>
      <c r="E16" s="392">
        <f>'[1]COE DISB 2019'!D24</f>
        <v>18318965.5</v>
      </c>
      <c r="F16" s="383">
        <f t="shared" si="0"/>
        <v>0</v>
      </c>
      <c r="H16" s="392">
        <v>8000000</v>
      </c>
      <c r="I16" s="392">
        <f>'[1]COE DISB 2019'!E24</f>
        <v>8000000</v>
      </c>
      <c r="J16" s="383">
        <f t="shared" si="1"/>
        <v>0</v>
      </c>
      <c r="L16" s="392">
        <v>500000</v>
      </c>
      <c r="M16" s="392">
        <f>'[1]COE DISB 2019'!F24</f>
        <v>500000</v>
      </c>
      <c r="N16" s="383">
        <f t="shared" si="2"/>
        <v>0</v>
      </c>
      <c r="P16" s="353">
        <v>16000000</v>
      </c>
      <c r="Q16" s="392">
        <f>'[1]COE DISB 2019'!G24</f>
        <v>16000000</v>
      </c>
      <c r="R16" s="383">
        <f t="shared" si="3"/>
        <v>0</v>
      </c>
      <c r="T16" s="385">
        <v>488000</v>
      </c>
      <c r="U16" s="392">
        <f>'[1]COE DISB 2019'!H24</f>
        <v>488000</v>
      </c>
      <c r="V16" s="383">
        <f t="shared" si="4"/>
        <v>0</v>
      </c>
      <c r="X16" s="353">
        <v>0</v>
      </c>
      <c r="Y16" s="392">
        <f>'[1]COE DISB 2019'!I24</f>
        <v>0</v>
      </c>
      <c r="Z16" s="383">
        <f t="shared" si="5"/>
        <v>0</v>
      </c>
      <c r="AB16" s="385">
        <v>20000000</v>
      </c>
      <c r="AC16" s="392">
        <f>'[1]COE DISB 2019'!J24</f>
        <v>20000000</v>
      </c>
      <c r="AD16" s="383">
        <f t="shared" si="6"/>
        <v>0</v>
      </c>
      <c r="AF16" s="353">
        <v>0</v>
      </c>
      <c r="AG16" s="392">
        <f>'[1]COE DISB 2019'!K24</f>
        <v>0</v>
      </c>
      <c r="AH16" s="383">
        <f t="shared" si="7"/>
        <v>0</v>
      </c>
      <c r="AJ16" s="385">
        <v>10000000</v>
      </c>
      <c r="AK16" s="392">
        <f>'[1]COE DISB 2019'!L24</f>
        <v>10000000</v>
      </c>
      <c r="AL16" s="383">
        <f t="shared" si="8"/>
        <v>0</v>
      </c>
      <c r="AN16" s="392">
        <v>10000000</v>
      </c>
      <c r="AO16" s="392">
        <f>'[1]COE DISB 2019'!M24</f>
        <v>10000000</v>
      </c>
      <c r="AP16" s="383">
        <f t="shared" si="9"/>
        <v>0</v>
      </c>
      <c r="AR16" s="392">
        <v>15000000</v>
      </c>
      <c r="AS16" s="392">
        <f>'[1]COE DISB 2019'!N24</f>
        <v>15000000</v>
      </c>
      <c r="AT16" s="383">
        <f t="shared" si="10"/>
        <v>0</v>
      </c>
      <c r="AV16" s="392">
        <v>8500000</v>
      </c>
      <c r="AW16" s="432">
        <f>'[1]COE DISB 2019'!O24</f>
        <v>8500000</v>
      </c>
      <c r="AX16" s="392">
        <f t="shared" si="11"/>
        <v>0</v>
      </c>
      <c r="AZ16" s="392">
        <v>18000000</v>
      </c>
      <c r="BA16" s="392">
        <f>'[1]COE DISB 2019'!P24</f>
        <v>18000000</v>
      </c>
      <c r="BB16" s="392">
        <f t="shared" si="12"/>
        <v>0</v>
      </c>
      <c r="BD16" s="392">
        <v>23400000</v>
      </c>
      <c r="BE16" s="392">
        <f>'[1]COE DISB 2019'!Q24</f>
        <v>23400000</v>
      </c>
      <c r="BF16" s="392">
        <f t="shared" si="13"/>
        <v>0</v>
      </c>
      <c r="BH16" s="392">
        <v>0</v>
      </c>
      <c r="BI16" s="392">
        <f>'[1]COE DISB 2019'!R24</f>
        <v>0</v>
      </c>
      <c r="BJ16" s="392">
        <f t="shared" si="14"/>
        <v>0</v>
      </c>
      <c r="BL16" s="392">
        <v>26230000</v>
      </c>
      <c r="BM16" s="392">
        <f>'[1]COE DISB 2019'!S24</f>
        <v>26230000</v>
      </c>
      <c r="BN16" s="392">
        <f t="shared" si="15"/>
        <v>0</v>
      </c>
      <c r="BP16" s="392">
        <v>22667600</v>
      </c>
      <c r="BQ16" s="392">
        <f>'[1]COE DISB 2019'!T24</f>
        <v>22667600</v>
      </c>
      <c r="BR16" s="392">
        <f t="shared" si="16"/>
        <v>0</v>
      </c>
      <c r="BT16" s="392">
        <v>0</v>
      </c>
      <c r="BU16" s="392">
        <f>'[1]COE DISB 2019'!U24</f>
        <v>0</v>
      </c>
      <c r="BV16" s="392">
        <f t="shared" si="17"/>
        <v>0</v>
      </c>
      <c r="BX16" s="392">
        <v>68728700</v>
      </c>
      <c r="BY16" s="392">
        <f>'[1]COE DISB 2019'!V24</f>
        <v>68728700</v>
      </c>
      <c r="BZ16" s="392">
        <f t="shared" si="18"/>
        <v>0</v>
      </c>
      <c r="CB16" s="392">
        <f>'[1]COE commited funds to date'!W19</f>
        <v>0</v>
      </c>
      <c r="CC16" s="392">
        <f>'[1]COE DISB 2019'!W24</f>
        <v>0</v>
      </c>
      <c r="CD16" s="392">
        <f t="shared" si="19"/>
        <v>0</v>
      </c>
      <c r="CF16" s="392">
        <f>'[1]COE commited funds to date'!X19</f>
        <v>125000000</v>
      </c>
      <c r="CG16" s="392">
        <f>'[1]COE DISB 2019'!X24</f>
        <v>106250000</v>
      </c>
      <c r="CH16" s="392">
        <f t="shared" si="20"/>
        <v>18750000</v>
      </c>
      <c r="CJ16" s="392">
        <v>10000000</v>
      </c>
      <c r="CK16" s="392">
        <f>'[1]COE DISB 2019'!Y24</f>
        <v>10000000</v>
      </c>
      <c r="CL16" s="392">
        <f t="shared" si="21"/>
        <v>0</v>
      </c>
      <c r="CN16" s="392">
        <v>0</v>
      </c>
      <c r="CO16" s="392">
        <f>'[1]COE DISB 2019'!Z24</f>
        <v>0</v>
      </c>
      <c r="CP16" s="392">
        <f t="shared" si="22"/>
        <v>0</v>
      </c>
      <c r="CR16" s="392">
        <v>210000000</v>
      </c>
      <c r="CS16" s="392">
        <f>'[1]COE DISB 2019'!AA24</f>
        <v>121800000</v>
      </c>
      <c r="CT16" s="392">
        <f t="shared" si="23"/>
        <v>88200000</v>
      </c>
      <c r="CV16" s="392">
        <v>10000000</v>
      </c>
      <c r="CW16" s="392">
        <f>'[1]COE DISB 2019'!AB24</f>
        <v>10000000</v>
      </c>
      <c r="CX16" s="392">
        <f t="shared" si="24"/>
        <v>0</v>
      </c>
      <c r="CZ16" s="392">
        <f>'[1]COE commited funds to date'!AC19</f>
        <v>0</v>
      </c>
      <c r="DA16" s="392">
        <f>'[1]COE DISB 2019'!AC24</f>
        <v>0</v>
      </c>
      <c r="DB16" s="392">
        <f t="shared" si="25"/>
        <v>0</v>
      </c>
      <c r="DC16" s="394"/>
      <c r="DD16" s="392">
        <v>215000000</v>
      </c>
      <c r="DE16" s="392">
        <f>'[1]COE DISB 2019'!AD24</f>
        <v>124700000</v>
      </c>
      <c r="DF16" s="392">
        <f t="shared" si="26"/>
        <v>90300000</v>
      </c>
      <c r="DG16" s="394"/>
      <c r="DH16" s="392">
        <v>10000000</v>
      </c>
      <c r="DI16" s="392">
        <f>'[1]COE DISB 2019'!AE24</f>
        <v>10000000</v>
      </c>
      <c r="DJ16" s="392">
        <f t="shared" si="27"/>
        <v>0</v>
      </c>
      <c r="DK16" s="394"/>
      <c r="DL16" s="392">
        <f>'[1]COE commited funds to date'!AD19</f>
        <v>0</v>
      </c>
      <c r="DM16" s="392">
        <f>'[1]COE DISB 2019'!AF24</f>
        <v>0</v>
      </c>
      <c r="DN16" s="392">
        <f t="shared" si="28"/>
        <v>0</v>
      </c>
      <c r="DO16" s="394"/>
      <c r="DP16" s="392">
        <v>325000000</v>
      </c>
      <c r="DQ16" s="392">
        <f>'[1]COE DISB 2019'!AG24</f>
        <v>188500000</v>
      </c>
      <c r="DR16" s="392">
        <f t="shared" si="29"/>
        <v>136500000</v>
      </c>
      <c r="DS16" s="394"/>
      <c r="DT16" s="397">
        <v>10000000</v>
      </c>
      <c r="DU16" s="392">
        <f>'[1]COE DISB 2019'!AH24</f>
        <v>10000000</v>
      </c>
      <c r="DV16" s="392">
        <f t="shared" si="30"/>
        <v>0</v>
      </c>
      <c r="DW16" s="394"/>
      <c r="DX16" s="392">
        <f>'[1]COE commited funds to date'!AI19</f>
        <v>250000000</v>
      </c>
      <c r="DY16" s="392">
        <f>'[1]COE DISB 2019'!AI24</f>
        <v>212500000</v>
      </c>
      <c r="DZ16" s="392">
        <f t="shared" si="31"/>
        <v>37500000</v>
      </c>
      <c r="EA16" s="394"/>
      <c r="EB16" s="392">
        <f>'[1]COE commited funds to date'!AJ19</f>
        <v>72000000</v>
      </c>
      <c r="EC16" s="392">
        <f>'[1]COE DISB 2019'!AJ24</f>
        <v>41760000</v>
      </c>
      <c r="ED16" s="392">
        <f t="shared" si="32"/>
        <v>30240000</v>
      </c>
      <c r="EE16" s="394"/>
      <c r="EF16" s="392">
        <f>'[1]COE commited funds to date'!AK19</f>
        <v>8000000</v>
      </c>
      <c r="EG16" s="392">
        <f>'[1]COE DISB 2019'!AK24</f>
        <v>4080000</v>
      </c>
      <c r="EH16" s="392">
        <f t="shared" si="33"/>
        <v>3920000</v>
      </c>
      <c r="EI16" s="394"/>
      <c r="EJ16" s="392">
        <f>'[1]COE commited funds to date'!AL19</f>
        <v>2000000</v>
      </c>
      <c r="EK16" s="392">
        <f>'[1]COE DISB 2019'!AL24</f>
        <v>0</v>
      </c>
      <c r="EL16" s="392">
        <f t="shared" si="34"/>
        <v>2000000</v>
      </c>
      <c r="EM16" s="394"/>
      <c r="EN16" s="392">
        <f>'[1]COE commited funds to date'!AM19</f>
        <v>7000000</v>
      </c>
      <c r="EO16" s="392">
        <f>'[1]COE DISB 2019'!AM24</f>
        <v>3169400</v>
      </c>
      <c r="EP16" s="392">
        <f t="shared" si="35"/>
        <v>3830600</v>
      </c>
      <c r="EQ16" s="394"/>
      <c r="ER16" s="392">
        <f>'[1]COE commited funds to date'!AN19</f>
        <v>500000000</v>
      </c>
      <c r="ES16" s="392">
        <f>'[1]COE DISB 2019'!AN24</f>
        <v>492500000</v>
      </c>
      <c r="ET16" s="392">
        <f t="shared" si="36"/>
        <v>7500000</v>
      </c>
      <c r="EV16" s="383">
        <f>'[1]COE commited funds to date'!AO19</f>
        <v>371067000</v>
      </c>
      <c r="EW16" s="383">
        <f>'[1]COE DISB 2019'!AO24</f>
        <v>0</v>
      </c>
      <c r="EX16" s="383">
        <f t="shared" si="38"/>
        <v>371067000</v>
      </c>
      <c r="EY16" s="380"/>
      <c r="EZ16" s="383">
        <f>'[1]COE commited funds to date'!AQ19</f>
        <v>12000000</v>
      </c>
      <c r="FA16" s="383">
        <f>'[1]COE DISB 2019'!AP24</f>
        <v>12000000</v>
      </c>
      <c r="FB16" s="383">
        <f t="shared" si="39"/>
        <v>0</v>
      </c>
      <c r="FC16" s="380"/>
      <c r="FD16" s="383">
        <f>'[1]COE commited funds to date'!AR19</f>
        <v>10000000</v>
      </c>
      <c r="FE16" s="383">
        <f>'[1]COE DISB 2019'!AQ24</f>
        <v>0</v>
      </c>
      <c r="FF16" s="383">
        <f t="shared" si="40"/>
        <v>10000000</v>
      </c>
      <c r="FG16" s="380"/>
      <c r="FH16" s="383">
        <f>'[1]COE commited funds to date'!AP19</f>
        <v>8000000</v>
      </c>
      <c r="FI16" s="383">
        <f>'[1]COE DISB 2019'!AR24</f>
        <v>4080000</v>
      </c>
      <c r="FJ16" s="383">
        <f t="shared" si="41"/>
        <v>3920000</v>
      </c>
      <c r="FK16" s="383">
        <f>'[1]COE commited funds to date'!AS19</f>
        <v>0</v>
      </c>
      <c r="FL16" s="383">
        <f>'[1]COE DISB 2019'!AS24</f>
        <v>0</v>
      </c>
      <c r="FM16" s="383">
        <f t="shared" si="42"/>
        <v>0</v>
      </c>
      <c r="FN16" s="380"/>
      <c r="FO16" s="383">
        <f>'[1]COE commited funds to date'!AT19</f>
        <v>200000000</v>
      </c>
      <c r="FP16" s="383">
        <f>'[1]COE DISB 2019'!AT24</f>
        <v>0</v>
      </c>
      <c r="FQ16" s="383">
        <f t="shared" si="43"/>
        <v>200000000</v>
      </c>
      <c r="FR16" s="380"/>
      <c r="FS16" s="390">
        <f>'[1]COE commited funds to date'!AU19</f>
        <v>150000000</v>
      </c>
      <c r="FT16" s="383">
        <f>'[1]COE DISB 2019'!AU24</f>
        <v>138750000</v>
      </c>
      <c r="FU16" s="383">
        <f t="shared" si="44"/>
        <v>11250000</v>
      </c>
      <c r="FV16" s="380"/>
      <c r="FW16" s="383">
        <f>'[1]COE commited funds to date'!AV19</f>
        <v>8700000</v>
      </c>
      <c r="FX16" s="383">
        <f>'[1]COE DISB 2019'!AV24</f>
        <v>0</v>
      </c>
      <c r="FY16" s="383">
        <f t="shared" si="45"/>
        <v>8700000</v>
      </c>
      <c r="FZ16" s="380"/>
      <c r="GA16" s="383">
        <f>'[1]COE commited funds to date'!AW19</f>
        <v>5000000</v>
      </c>
      <c r="GB16" s="383">
        <f>'[1]COE DISB 2019'!AW24</f>
        <v>0</v>
      </c>
      <c r="GC16" s="383">
        <f t="shared" si="46"/>
        <v>5000000</v>
      </c>
      <c r="GD16" s="380"/>
      <c r="GE16" s="383">
        <f>'[1]COE commited funds to date'!AX19</f>
        <v>20000000</v>
      </c>
      <c r="GF16" s="383">
        <f>'[1]COE DISB 2019'!AX24</f>
        <v>3199000</v>
      </c>
      <c r="GG16" s="383">
        <f t="shared" si="47"/>
        <v>16801000</v>
      </c>
      <c r="GH16" s="380"/>
      <c r="GI16" s="383">
        <f>'[1]COE commited funds to date'!AY19</f>
        <v>230000000</v>
      </c>
      <c r="GJ16" s="383">
        <f>'[1]COE DISB 2019'!AY24</f>
        <v>0</v>
      </c>
      <c r="GK16" s="383">
        <f t="shared" si="48"/>
        <v>230000000</v>
      </c>
      <c r="GL16" s="380"/>
      <c r="GM16" s="383">
        <f>'[1]COE commited funds to date'!AZ19</f>
        <v>116776600</v>
      </c>
      <c r="GN16" s="383">
        <f>'[1]COE DISB 2019'!AZ24</f>
        <v>0</v>
      </c>
      <c r="GO16" s="383">
        <f t="shared" si="49"/>
        <v>116776600</v>
      </c>
      <c r="GP16" s="380"/>
      <c r="GQ16" s="383">
        <f>'[1]COE commited funds to date'!BA19</f>
        <v>12000000</v>
      </c>
      <c r="GR16" s="383">
        <f>'[1]COE DISB 2019'!BA24</f>
        <v>0</v>
      </c>
      <c r="GS16" s="383">
        <f t="shared" si="50"/>
        <v>12000000</v>
      </c>
      <c r="GT16" s="380"/>
      <c r="GU16" s="383">
        <f>'[1]COE commited funds to date'!BB19</f>
        <v>5000000</v>
      </c>
      <c r="GV16" s="383">
        <f>'[1]COE DISB 2019'!BB24</f>
        <v>0</v>
      </c>
      <c r="GW16" s="383">
        <f t="shared" si="51"/>
        <v>5000000</v>
      </c>
      <c r="GX16" s="380"/>
      <c r="GY16" s="383">
        <f>'[1]COE commited funds to date'!BC19</f>
        <v>10308300</v>
      </c>
      <c r="GZ16" s="383">
        <f>'[1]COE DISB 2019'!BC24</f>
        <v>0</v>
      </c>
      <c r="HA16" s="383">
        <f t="shared" si="52"/>
        <v>10308300</v>
      </c>
      <c r="HB16" s="380"/>
      <c r="HC16" s="383">
        <f t="shared" si="53"/>
        <v>3178685165.5</v>
      </c>
      <c r="HD16" s="383">
        <f t="shared" si="53"/>
        <v>1759121665.5</v>
      </c>
      <c r="HE16" s="392">
        <f t="shared" si="54"/>
        <v>1419563500</v>
      </c>
      <c r="HG16" s="383">
        <f t="shared" si="55"/>
        <v>2004412265.5</v>
      </c>
      <c r="HH16" s="383">
        <f t="shared" si="55"/>
        <v>839355265.5</v>
      </c>
      <c r="HI16" s="383">
        <f t="shared" si="56"/>
        <v>1165057000</v>
      </c>
      <c r="HK16" s="383">
        <f t="shared" si="57"/>
        <v>750000000</v>
      </c>
      <c r="HL16" s="383">
        <f t="shared" si="57"/>
        <v>705000000</v>
      </c>
      <c r="HM16" s="383">
        <f t="shared" si="58"/>
        <v>45000000</v>
      </c>
      <c r="HO16" s="383">
        <f t="shared" si="37"/>
        <v>988000</v>
      </c>
      <c r="HP16" s="383">
        <f t="shared" si="37"/>
        <v>988000</v>
      </c>
      <c r="HQ16" s="383">
        <f t="shared" si="59"/>
        <v>0</v>
      </c>
      <c r="HS16" s="383">
        <f t="shared" si="60"/>
        <v>89308300</v>
      </c>
      <c r="HT16" s="383">
        <f t="shared" si="60"/>
        <v>58368400</v>
      </c>
      <c r="HU16" s="383">
        <f t="shared" si="61"/>
        <v>30939900</v>
      </c>
      <c r="HW16" s="383">
        <f t="shared" si="62"/>
        <v>36700000</v>
      </c>
      <c r="HX16" s="383">
        <f t="shared" si="62"/>
        <v>8160000</v>
      </c>
      <c r="HY16" s="383">
        <f t="shared" si="63"/>
        <v>28540000</v>
      </c>
      <c r="IA16" s="387">
        <f t="shared" si="64"/>
        <v>20000000</v>
      </c>
      <c r="IB16" s="387">
        <f t="shared" si="64"/>
        <v>0</v>
      </c>
      <c r="IC16" s="387">
        <f t="shared" si="65"/>
        <v>20000000</v>
      </c>
      <c r="IE16" s="383">
        <f t="shared" si="66"/>
        <v>266776600</v>
      </c>
      <c r="IF16" s="383">
        <f t="shared" si="66"/>
        <v>138750000</v>
      </c>
      <c r="IG16" s="383">
        <f t="shared" si="67"/>
        <v>128026600</v>
      </c>
      <c r="II16" s="383">
        <f t="shared" si="68"/>
        <v>2000000</v>
      </c>
      <c r="IJ16" s="383">
        <f t="shared" si="68"/>
        <v>0</v>
      </c>
      <c r="IK16" s="383">
        <f t="shared" si="69"/>
        <v>2000000</v>
      </c>
    </row>
    <row r="17" spans="1:245" x14ac:dyDescent="0.25">
      <c r="A17" s="380">
        <v>14</v>
      </c>
      <c r="B17" s="380" t="s">
        <v>333</v>
      </c>
      <c r="C17" s="431" t="s">
        <v>69</v>
      </c>
      <c r="D17" s="392">
        <v>18318965.5</v>
      </c>
      <c r="E17" s="392">
        <f>'[1]COE DISB 2019'!D25</f>
        <v>18318965.5</v>
      </c>
      <c r="F17" s="383">
        <f t="shared" si="0"/>
        <v>0</v>
      </c>
      <c r="H17" s="392">
        <v>8000000</v>
      </c>
      <c r="I17" s="392">
        <f>'[1]COE DISB 2019'!E25</f>
        <v>8000000</v>
      </c>
      <c r="J17" s="383">
        <f t="shared" si="1"/>
        <v>0</v>
      </c>
      <c r="L17" s="392">
        <v>500000</v>
      </c>
      <c r="M17" s="392">
        <f>'[1]COE DISB 2019'!F25</f>
        <v>500000</v>
      </c>
      <c r="N17" s="383">
        <f t="shared" si="2"/>
        <v>0</v>
      </c>
      <c r="P17" s="353">
        <v>16000000</v>
      </c>
      <c r="Q17" s="392">
        <f>'[1]COE DISB 2019'!G25</f>
        <v>16000000</v>
      </c>
      <c r="R17" s="383">
        <f t="shared" si="3"/>
        <v>0</v>
      </c>
      <c r="T17" s="385">
        <v>1830000</v>
      </c>
      <c r="U17" s="392">
        <f>'[1]COE DISB 2019'!H25</f>
        <v>1830000</v>
      </c>
      <c r="V17" s="383">
        <f t="shared" si="4"/>
        <v>0</v>
      </c>
      <c r="X17" s="353">
        <v>0</v>
      </c>
      <c r="Y17" s="392">
        <f>'[1]COE DISB 2019'!I25</f>
        <v>0</v>
      </c>
      <c r="Z17" s="383">
        <f t="shared" si="5"/>
        <v>0</v>
      </c>
      <c r="AB17" s="385">
        <v>20000000</v>
      </c>
      <c r="AC17" s="392">
        <f>'[1]COE DISB 2019'!J25</f>
        <v>20000000</v>
      </c>
      <c r="AD17" s="383">
        <f t="shared" si="6"/>
        <v>0</v>
      </c>
      <c r="AF17" s="353">
        <v>0</v>
      </c>
      <c r="AG17" s="392">
        <f>'[1]COE DISB 2019'!K25</f>
        <v>0</v>
      </c>
      <c r="AH17" s="383">
        <f t="shared" si="7"/>
        <v>0</v>
      </c>
      <c r="AJ17" s="385">
        <v>10000000</v>
      </c>
      <c r="AK17" s="392">
        <f>'[1]COE DISB 2019'!L25</f>
        <v>10000000</v>
      </c>
      <c r="AL17" s="383">
        <f t="shared" si="8"/>
        <v>0</v>
      </c>
      <c r="AN17" s="392">
        <v>10000000</v>
      </c>
      <c r="AO17" s="392">
        <f>'[1]COE DISB 2019'!M25</f>
        <v>10000000</v>
      </c>
      <c r="AP17" s="383">
        <f t="shared" si="9"/>
        <v>0</v>
      </c>
      <c r="AR17" s="392">
        <v>15000000</v>
      </c>
      <c r="AS17" s="392">
        <f>'[1]COE DISB 2019'!N25</f>
        <v>15000000</v>
      </c>
      <c r="AT17" s="383">
        <f t="shared" si="10"/>
        <v>0</v>
      </c>
      <c r="AV17" s="392">
        <v>0</v>
      </c>
      <c r="AW17" s="432">
        <f>'[1]COE DISB 2019'!O25</f>
        <v>0</v>
      </c>
      <c r="AX17" s="392">
        <f t="shared" si="11"/>
        <v>0</v>
      </c>
      <c r="AZ17" s="392">
        <v>18000000</v>
      </c>
      <c r="BA17" s="392">
        <f>'[1]COE DISB 2019'!P25</f>
        <v>18000000</v>
      </c>
      <c r="BB17" s="392">
        <f t="shared" si="12"/>
        <v>0</v>
      </c>
      <c r="BD17" s="392">
        <v>23400000</v>
      </c>
      <c r="BE17" s="392">
        <f>'[1]COE DISB 2019'!Q25</f>
        <v>23400000</v>
      </c>
      <c r="BF17" s="392">
        <f t="shared" si="13"/>
        <v>0</v>
      </c>
      <c r="BH17" s="392">
        <v>0</v>
      </c>
      <c r="BI17" s="392">
        <f>'[1]COE DISB 2019'!R25</f>
        <v>0</v>
      </c>
      <c r="BJ17" s="392">
        <f t="shared" si="14"/>
        <v>0</v>
      </c>
      <c r="BL17" s="392">
        <v>43000000</v>
      </c>
      <c r="BM17" s="392">
        <f>'[1]COE DISB 2019'!S25</f>
        <v>43000000</v>
      </c>
      <c r="BN17" s="392">
        <f t="shared" si="15"/>
        <v>0</v>
      </c>
      <c r="BP17" s="392">
        <v>37160000</v>
      </c>
      <c r="BQ17" s="392">
        <f>'[1]COE DISB 2019'!T25</f>
        <v>37160000</v>
      </c>
      <c r="BR17" s="392">
        <f t="shared" si="16"/>
        <v>0</v>
      </c>
      <c r="BT17" s="392">
        <v>0</v>
      </c>
      <c r="BU17" s="392">
        <f>'[1]COE DISB 2019'!U25</f>
        <v>0</v>
      </c>
      <c r="BV17" s="392">
        <f t="shared" si="17"/>
        <v>0</v>
      </c>
      <c r="BX17" s="392">
        <v>112670000</v>
      </c>
      <c r="BY17" s="392">
        <f>'[1]COE DISB 2019'!V25</f>
        <v>112670000</v>
      </c>
      <c r="BZ17" s="392">
        <f t="shared" si="18"/>
        <v>0</v>
      </c>
      <c r="CB17" s="392">
        <v>150000000</v>
      </c>
      <c r="CC17" s="392">
        <f>'[1]COE DISB 2019'!W25</f>
        <v>150000000</v>
      </c>
      <c r="CD17" s="392">
        <f t="shared" si="19"/>
        <v>0</v>
      </c>
      <c r="CF17" s="392">
        <f>'[1]COE commited funds to date'!X20</f>
        <v>125000000</v>
      </c>
      <c r="CG17" s="392">
        <f>'[1]COE DISB 2019'!X25</f>
        <v>125000000</v>
      </c>
      <c r="CH17" s="392">
        <f t="shared" si="20"/>
        <v>0</v>
      </c>
      <c r="CJ17" s="392">
        <v>10000000</v>
      </c>
      <c r="CK17" s="392">
        <f>'[1]COE DISB 2019'!Y25</f>
        <v>10000000</v>
      </c>
      <c r="CL17" s="392">
        <f t="shared" si="21"/>
        <v>0</v>
      </c>
      <c r="CN17" s="392">
        <v>0</v>
      </c>
      <c r="CO17" s="392">
        <f>'[1]COE DISB 2019'!Z25</f>
        <v>0</v>
      </c>
      <c r="CP17" s="392">
        <f t="shared" si="22"/>
        <v>0</v>
      </c>
      <c r="CR17" s="392">
        <v>210000000</v>
      </c>
      <c r="CS17" s="392">
        <f>'[1]COE DISB 2019'!AA25</f>
        <v>210000000</v>
      </c>
      <c r="CT17" s="392">
        <f t="shared" si="23"/>
        <v>0</v>
      </c>
      <c r="CV17" s="392">
        <v>10000000</v>
      </c>
      <c r="CW17" s="392">
        <f>'[1]COE DISB 2019'!AB25</f>
        <v>10000000</v>
      </c>
      <c r="CX17" s="392">
        <f t="shared" si="24"/>
        <v>0</v>
      </c>
      <c r="CZ17" s="392">
        <f>'[1]COE commited funds to date'!AC20</f>
        <v>0</v>
      </c>
      <c r="DA17" s="392">
        <f>'[1]COE DISB 2019'!AC25</f>
        <v>0</v>
      </c>
      <c r="DB17" s="392">
        <f t="shared" si="25"/>
        <v>0</v>
      </c>
      <c r="DC17" s="394"/>
      <c r="DD17" s="392">
        <v>215000000</v>
      </c>
      <c r="DE17" s="392">
        <f>'[1]COE DISB 2019'!AD25</f>
        <v>182750000</v>
      </c>
      <c r="DF17" s="392">
        <f t="shared" si="26"/>
        <v>32250000</v>
      </c>
      <c r="DG17" s="394"/>
      <c r="DH17" s="392">
        <v>10000000</v>
      </c>
      <c r="DI17" s="392">
        <f>'[1]COE DISB 2019'!AE25</f>
        <v>10000000</v>
      </c>
      <c r="DJ17" s="392">
        <f t="shared" si="27"/>
        <v>0</v>
      </c>
      <c r="DK17" s="394"/>
      <c r="DL17" s="392">
        <f>'[1]COE commited funds to date'!AD20</f>
        <v>0</v>
      </c>
      <c r="DM17" s="392">
        <f>'[1]COE DISB 2019'!AF25</f>
        <v>0</v>
      </c>
      <c r="DN17" s="392">
        <f t="shared" si="28"/>
        <v>0</v>
      </c>
      <c r="DO17" s="394"/>
      <c r="DP17" s="392">
        <v>325000000</v>
      </c>
      <c r="DQ17" s="392">
        <f>'[1]COE DISB 2019'!AG25</f>
        <v>276250000</v>
      </c>
      <c r="DR17" s="392">
        <f t="shared" si="29"/>
        <v>48750000</v>
      </c>
      <c r="DS17" s="394"/>
      <c r="DT17" s="397">
        <v>10000000</v>
      </c>
      <c r="DU17" s="392">
        <f>'[1]COE DISB 2019'!AH25</f>
        <v>10000000</v>
      </c>
      <c r="DV17" s="392">
        <f t="shared" si="30"/>
        <v>0</v>
      </c>
      <c r="DW17" s="394"/>
      <c r="DX17" s="392">
        <f>'[1]COE commited funds to date'!AI20</f>
        <v>200000000</v>
      </c>
      <c r="DY17" s="392">
        <f>'[1]COE DISB 2019'!AI25</f>
        <v>200000000</v>
      </c>
      <c r="DZ17" s="392">
        <f t="shared" si="31"/>
        <v>0</v>
      </c>
      <c r="EA17" s="394"/>
      <c r="EB17" s="392">
        <f>'[1]COE commited funds to date'!AJ20</f>
        <v>72000000</v>
      </c>
      <c r="EC17" s="392">
        <f>'[1]COE DISB 2019'!AJ25</f>
        <v>61200000</v>
      </c>
      <c r="ED17" s="392">
        <f t="shared" si="32"/>
        <v>10800000</v>
      </c>
      <c r="EE17" s="394"/>
      <c r="EF17" s="392">
        <f>'[1]COE commited funds to date'!AK20</f>
        <v>8000000</v>
      </c>
      <c r="EG17" s="392">
        <f>'[1]COE DISB 2019'!AK25</f>
        <v>8000000</v>
      </c>
      <c r="EH17" s="392">
        <f t="shared" si="33"/>
        <v>0</v>
      </c>
      <c r="EI17" s="394"/>
      <c r="EJ17" s="392">
        <f>'[1]COE commited funds to date'!AL20</f>
        <v>2000000</v>
      </c>
      <c r="EK17" s="392">
        <f>'[1]COE DISB 2019'!AL25</f>
        <v>1700000</v>
      </c>
      <c r="EL17" s="392">
        <f t="shared" si="34"/>
        <v>300000</v>
      </c>
      <c r="EM17" s="394"/>
      <c r="EN17" s="392">
        <f>'[1]COE commited funds to date'!AM20</f>
        <v>7000000</v>
      </c>
      <c r="EO17" s="392">
        <f>'[1]COE DISB 2019'!AM25</f>
        <v>7000000</v>
      </c>
      <c r="EP17" s="392">
        <f t="shared" si="35"/>
        <v>0</v>
      </c>
      <c r="EQ17" s="394"/>
      <c r="ER17" s="392">
        <f>'[1]COE commited funds to date'!AN20</f>
        <v>750000000</v>
      </c>
      <c r="ES17" s="392">
        <f>'[1]COE DISB 2019'!AN25</f>
        <v>750000000</v>
      </c>
      <c r="ET17" s="392">
        <f t="shared" si="36"/>
        <v>0</v>
      </c>
      <c r="EV17" s="383">
        <f>'[1]COE commited funds to date'!AO20</f>
        <v>371067000</v>
      </c>
      <c r="EW17" s="383">
        <f>'[1]COE DISB 2019'!AO25</f>
        <v>315406950</v>
      </c>
      <c r="EX17" s="383">
        <f t="shared" si="38"/>
        <v>55660050</v>
      </c>
      <c r="EY17" s="380"/>
      <c r="EZ17" s="383">
        <f>'[1]COE commited funds to date'!AQ20</f>
        <v>12000000</v>
      </c>
      <c r="FA17" s="383">
        <f>'[1]COE DISB 2019'!AP25</f>
        <v>12000000</v>
      </c>
      <c r="FB17" s="383">
        <f t="shared" si="39"/>
        <v>0</v>
      </c>
      <c r="FC17" s="380"/>
      <c r="FD17" s="383">
        <f>'[1]COE commited funds to date'!AR20</f>
        <v>10000000</v>
      </c>
      <c r="FE17" s="383">
        <f>'[1]COE DISB 2019'!AQ25</f>
        <v>0</v>
      </c>
      <c r="FF17" s="383">
        <f t="shared" si="40"/>
        <v>10000000</v>
      </c>
      <c r="FG17" s="380"/>
      <c r="FH17" s="383">
        <f>'[1]COE commited funds to date'!AP20</f>
        <v>8000000</v>
      </c>
      <c r="FI17" s="383">
        <f>'[1]COE DISB 2019'!AR25</f>
        <v>8000000</v>
      </c>
      <c r="FJ17" s="383">
        <f t="shared" si="41"/>
        <v>0</v>
      </c>
      <c r="FK17" s="383">
        <f>'[1]COE commited funds to date'!AS20</f>
        <v>0</v>
      </c>
      <c r="FL17" s="383">
        <f>'[1]COE DISB 2019'!AS25</f>
        <v>0</v>
      </c>
      <c r="FM17" s="383">
        <f t="shared" si="42"/>
        <v>0</v>
      </c>
      <c r="FN17" s="380"/>
      <c r="FO17" s="383">
        <f>'[1]COE commited funds to date'!AT20</f>
        <v>200000000</v>
      </c>
      <c r="FP17" s="383">
        <f>'[1]COE DISB 2019'!AT25</f>
        <v>0</v>
      </c>
      <c r="FQ17" s="383">
        <f t="shared" si="43"/>
        <v>200000000</v>
      </c>
      <c r="FR17" s="380"/>
      <c r="FS17" s="383">
        <f>'[1]COE commited funds to date'!AU20</f>
        <v>75000000</v>
      </c>
      <c r="FT17" s="383">
        <f>'[1]COE DISB 2019'!AU25</f>
        <v>0</v>
      </c>
      <c r="FU17" s="383">
        <f t="shared" si="44"/>
        <v>75000000</v>
      </c>
      <c r="FV17" s="380"/>
      <c r="FW17" s="383">
        <f>'[1]COE commited funds to date'!AV20</f>
        <v>8700000</v>
      </c>
      <c r="FX17" s="383">
        <f>'[1]COE DISB 2019'!AV25</f>
        <v>0</v>
      </c>
      <c r="FY17" s="383">
        <f t="shared" si="45"/>
        <v>8700000</v>
      </c>
      <c r="FZ17" s="380"/>
      <c r="GA17" s="383">
        <f>'[1]COE commited funds to date'!AW20</f>
        <v>5000000</v>
      </c>
      <c r="GB17" s="383">
        <f>'[1]COE DISB 2019'!AW25</f>
        <v>0</v>
      </c>
      <c r="GC17" s="383">
        <f t="shared" si="46"/>
        <v>5000000</v>
      </c>
      <c r="GD17" s="380"/>
      <c r="GE17" s="383">
        <f>'[1]COE commited funds to date'!AX20</f>
        <v>20000000</v>
      </c>
      <c r="GF17" s="383">
        <f>'[1]COE DISB 2019'!AX25</f>
        <v>14891000</v>
      </c>
      <c r="GG17" s="383">
        <f t="shared" si="47"/>
        <v>5109000</v>
      </c>
      <c r="GH17" s="380"/>
      <c r="GI17" s="383">
        <f>'[1]COE commited funds to date'!AY20</f>
        <v>230000000</v>
      </c>
      <c r="GJ17" s="383">
        <f>'[1]COE DISB 2019'!AY25</f>
        <v>0</v>
      </c>
      <c r="GK17" s="383">
        <f t="shared" si="48"/>
        <v>230000000</v>
      </c>
      <c r="GL17" s="380"/>
      <c r="GM17" s="383">
        <f>'[1]COE commited funds to date'!AZ20</f>
        <v>116776600</v>
      </c>
      <c r="GN17" s="383">
        <f>'[1]COE DISB 2019'!AZ25</f>
        <v>0</v>
      </c>
      <c r="GO17" s="383">
        <f t="shared" si="49"/>
        <v>116776600</v>
      </c>
      <c r="GP17" s="380"/>
      <c r="GQ17" s="383">
        <f>'[1]COE commited funds to date'!BA20</f>
        <v>12000000</v>
      </c>
      <c r="GR17" s="383">
        <f>'[1]COE DISB 2019'!BA25</f>
        <v>0</v>
      </c>
      <c r="GS17" s="383">
        <f t="shared" si="50"/>
        <v>12000000</v>
      </c>
      <c r="GT17" s="380"/>
      <c r="GU17" s="383">
        <f>'[1]COE commited funds to date'!BB20</f>
        <v>5000000</v>
      </c>
      <c r="GV17" s="383">
        <f>'[1]COE DISB 2019'!BB25</f>
        <v>0</v>
      </c>
      <c r="GW17" s="383">
        <f t="shared" si="51"/>
        <v>5000000</v>
      </c>
      <c r="GX17" s="380"/>
      <c r="GY17" s="383">
        <f>'[1]COE commited funds to date'!BC20</f>
        <v>10308300</v>
      </c>
      <c r="GZ17" s="383">
        <f>'[1]COE DISB 2019'!BC25</f>
        <v>0</v>
      </c>
      <c r="HA17" s="383">
        <f t="shared" si="52"/>
        <v>10308300</v>
      </c>
      <c r="HB17" s="380"/>
      <c r="HC17" s="383">
        <f t="shared" si="53"/>
        <v>3521730865.5</v>
      </c>
      <c r="HD17" s="383">
        <f t="shared" si="53"/>
        <v>2696076915.5</v>
      </c>
      <c r="HE17" s="392">
        <f t="shared" si="54"/>
        <v>825653950</v>
      </c>
      <c r="HG17" s="383">
        <f t="shared" si="55"/>
        <v>2079615965.5</v>
      </c>
      <c r="HH17" s="383">
        <f t="shared" si="55"/>
        <v>1502155915.5</v>
      </c>
      <c r="HI17" s="383">
        <f t="shared" si="56"/>
        <v>577460050</v>
      </c>
      <c r="HK17" s="383">
        <f t="shared" si="57"/>
        <v>1100000000</v>
      </c>
      <c r="HL17" s="383">
        <f t="shared" si="57"/>
        <v>1100000000</v>
      </c>
      <c r="HM17" s="383">
        <f t="shared" si="58"/>
        <v>0</v>
      </c>
      <c r="HO17" s="383">
        <f t="shared" si="37"/>
        <v>2330000</v>
      </c>
      <c r="HP17" s="383">
        <f t="shared" si="37"/>
        <v>2330000</v>
      </c>
      <c r="HQ17" s="383">
        <f t="shared" si="59"/>
        <v>0</v>
      </c>
      <c r="HS17" s="383">
        <f t="shared" si="60"/>
        <v>89308300</v>
      </c>
      <c r="HT17" s="383">
        <f t="shared" si="60"/>
        <v>73891000</v>
      </c>
      <c r="HU17" s="383">
        <f t="shared" si="61"/>
        <v>15417300</v>
      </c>
      <c r="HW17" s="383">
        <f t="shared" si="62"/>
        <v>36700000</v>
      </c>
      <c r="HX17" s="383">
        <f t="shared" si="62"/>
        <v>16000000</v>
      </c>
      <c r="HY17" s="383">
        <f t="shared" si="63"/>
        <v>20700000</v>
      </c>
      <c r="IA17" s="387">
        <f t="shared" si="64"/>
        <v>20000000</v>
      </c>
      <c r="IB17" s="387">
        <f t="shared" si="64"/>
        <v>0</v>
      </c>
      <c r="IC17" s="387">
        <f t="shared" si="65"/>
        <v>20000000</v>
      </c>
      <c r="IE17" s="383">
        <f t="shared" si="66"/>
        <v>191776600</v>
      </c>
      <c r="IF17" s="383">
        <f t="shared" si="66"/>
        <v>0</v>
      </c>
      <c r="IG17" s="383">
        <f t="shared" si="67"/>
        <v>191776600</v>
      </c>
      <c r="II17" s="383">
        <f t="shared" si="68"/>
        <v>2000000</v>
      </c>
      <c r="IJ17" s="383">
        <f t="shared" si="68"/>
        <v>1700000</v>
      </c>
      <c r="IK17" s="383">
        <f t="shared" si="69"/>
        <v>300000</v>
      </c>
    </row>
    <row r="18" spans="1:245" x14ac:dyDescent="0.25">
      <c r="A18" s="380">
        <v>15</v>
      </c>
      <c r="B18" s="380" t="s">
        <v>334</v>
      </c>
      <c r="C18" s="431" t="s">
        <v>69</v>
      </c>
      <c r="D18" s="392">
        <v>18318965.5</v>
      </c>
      <c r="E18" s="392">
        <f>'[1]COE DISB 2019'!D26</f>
        <v>18318965.5</v>
      </c>
      <c r="F18" s="383">
        <f t="shared" si="0"/>
        <v>0</v>
      </c>
      <c r="H18" s="392">
        <v>18000000</v>
      </c>
      <c r="I18" s="392">
        <f>'[1]COE DISB 2019'!E26</f>
        <v>18000000</v>
      </c>
      <c r="J18" s="383">
        <f t="shared" si="1"/>
        <v>0</v>
      </c>
      <c r="L18" s="392">
        <v>500000</v>
      </c>
      <c r="M18" s="392">
        <f>'[1]COE DISB 2019'!F26</f>
        <v>500000</v>
      </c>
      <c r="N18" s="383">
        <f t="shared" si="2"/>
        <v>0</v>
      </c>
      <c r="P18" s="353">
        <v>16000000</v>
      </c>
      <c r="Q18" s="392">
        <f>'[1]COE DISB 2019'!G26</f>
        <v>16000000</v>
      </c>
      <c r="R18" s="383">
        <f t="shared" si="3"/>
        <v>0</v>
      </c>
      <c r="T18" s="385">
        <v>2336000</v>
      </c>
      <c r="U18" s="392">
        <f>'[1]COE DISB 2019'!H26</f>
        <v>2336000</v>
      </c>
      <c r="V18" s="383">
        <f t="shared" si="4"/>
        <v>0</v>
      </c>
      <c r="X18" s="353">
        <v>0</v>
      </c>
      <c r="Y18" s="392">
        <f>'[1]COE DISB 2019'!I26</f>
        <v>0</v>
      </c>
      <c r="Z18" s="383">
        <f t="shared" si="5"/>
        <v>0</v>
      </c>
      <c r="AB18" s="385">
        <v>20000000</v>
      </c>
      <c r="AC18" s="392">
        <f>'[1]COE DISB 2019'!J26</f>
        <v>20000000</v>
      </c>
      <c r="AD18" s="383">
        <f t="shared" si="6"/>
        <v>0</v>
      </c>
      <c r="AF18" s="353">
        <v>0</v>
      </c>
      <c r="AG18" s="392">
        <f>'[1]COE DISB 2019'!K26</f>
        <v>0</v>
      </c>
      <c r="AH18" s="383">
        <f t="shared" si="7"/>
        <v>0</v>
      </c>
      <c r="AJ18" s="385">
        <v>10000000</v>
      </c>
      <c r="AK18" s="392">
        <f>'[1]COE DISB 2019'!L26</f>
        <v>10000000</v>
      </c>
      <c r="AL18" s="383">
        <f t="shared" si="8"/>
        <v>0</v>
      </c>
      <c r="AN18" s="392">
        <v>10000000</v>
      </c>
      <c r="AO18" s="392">
        <f>'[1]COE DISB 2019'!M26</f>
        <v>10000000</v>
      </c>
      <c r="AP18" s="383">
        <f t="shared" si="9"/>
        <v>0</v>
      </c>
      <c r="AR18" s="392">
        <v>15000000</v>
      </c>
      <c r="AS18" s="392">
        <f>'[1]COE DISB 2019'!N26</f>
        <v>15000000</v>
      </c>
      <c r="AT18" s="383">
        <f t="shared" si="10"/>
        <v>0</v>
      </c>
      <c r="AV18" s="392">
        <v>0</v>
      </c>
      <c r="AW18" s="432">
        <f>'[1]COE DISB 2019'!O26</f>
        <v>0</v>
      </c>
      <c r="AX18" s="392">
        <f t="shared" si="11"/>
        <v>0</v>
      </c>
      <c r="AZ18" s="392">
        <v>18000000</v>
      </c>
      <c r="BA18" s="392">
        <f>'[1]COE DISB 2019'!P26</f>
        <v>18000000</v>
      </c>
      <c r="BB18" s="392">
        <f t="shared" si="12"/>
        <v>0</v>
      </c>
      <c r="BD18" s="392">
        <v>23400000</v>
      </c>
      <c r="BE18" s="392">
        <f>'[1]COE DISB 2019'!Q26</f>
        <v>23400000</v>
      </c>
      <c r="BF18" s="392">
        <f t="shared" si="13"/>
        <v>0</v>
      </c>
      <c r="BH18" s="392">
        <v>0</v>
      </c>
      <c r="BI18" s="392">
        <f>'[1]COE DISB 2019'!R26</f>
        <v>0</v>
      </c>
      <c r="BJ18" s="392">
        <f t="shared" si="14"/>
        <v>0</v>
      </c>
      <c r="BL18" s="392">
        <v>43000000</v>
      </c>
      <c r="BM18" s="392">
        <f>'[1]COE DISB 2019'!S26</f>
        <v>43000000</v>
      </c>
      <c r="BN18" s="392">
        <f t="shared" si="15"/>
        <v>0</v>
      </c>
      <c r="BP18" s="392">
        <v>37160000</v>
      </c>
      <c r="BQ18" s="392">
        <f>'[1]COE DISB 2019'!T26</f>
        <v>37160000</v>
      </c>
      <c r="BR18" s="392">
        <f t="shared" si="16"/>
        <v>0</v>
      </c>
      <c r="BT18" s="392">
        <v>0</v>
      </c>
      <c r="BU18" s="392">
        <f>'[1]COE DISB 2019'!U26</f>
        <v>0</v>
      </c>
      <c r="BV18" s="392">
        <f t="shared" si="17"/>
        <v>0</v>
      </c>
      <c r="BX18" s="392">
        <v>112670000</v>
      </c>
      <c r="BY18" s="392">
        <f>'[1]COE DISB 2019'!V26</f>
        <v>112670000</v>
      </c>
      <c r="BZ18" s="392">
        <f t="shared" si="18"/>
        <v>0</v>
      </c>
      <c r="CB18" s="392">
        <f>'[1]COE commited funds to date'!W21</f>
        <v>0</v>
      </c>
      <c r="CC18" s="392">
        <f>'[1]COE DISB 2019'!W26</f>
        <v>0</v>
      </c>
      <c r="CD18" s="392">
        <f t="shared" si="19"/>
        <v>0</v>
      </c>
      <c r="CF18" s="392">
        <f>'[1]COE commited funds to date'!X21</f>
        <v>125000000</v>
      </c>
      <c r="CG18" s="392">
        <f>'[1]COE DISB 2019'!X26</f>
        <v>125000000</v>
      </c>
      <c r="CH18" s="392">
        <f t="shared" si="20"/>
        <v>0</v>
      </c>
      <c r="CJ18" s="392">
        <v>10000000</v>
      </c>
      <c r="CK18" s="392">
        <f>'[1]COE DISB 2019'!Y26</f>
        <v>9976600</v>
      </c>
      <c r="CL18" s="392">
        <f t="shared" si="21"/>
        <v>23400</v>
      </c>
      <c r="CN18" s="392">
        <v>150000000</v>
      </c>
      <c r="CO18" s="392">
        <f>'[1]COE DISB 2019'!Z26</f>
        <v>150000000</v>
      </c>
      <c r="CP18" s="392">
        <f t="shared" si="22"/>
        <v>0</v>
      </c>
      <c r="CR18" s="392">
        <v>210000000</v>
      </c>
      <c r="CS18" s="392">
        <f>'[1]COE DISB 2019'!AA26</f>
        <v>210000000</v>
      </c>
      <c r="CT18" s="392">
        <f t="shared" si="23"/>
        <v>0</v>
      </c>
      <c r="CV18" s="392">
        <v>10000000</v>
      </c>
      <c r="CW18" s="392">
        <f>'[1]COE DISB 2019'!AB26</f>
        <v>10000000</v>
      </c>
      <c r="CX18" s="392">
        <f t="shared" si="24"/>
        <v>0</v>
      </c>
      <c r="CZ18" s="392">
        <f>'[1]COE commited funds to date'!AC21</f>
        <v>0</v>
      </c>
      <c r="DA18" s="392">
        <f>'[1]COE DISB 2019'!AC26</f>
        <v>0</v>
      </c>
      <c r="DB18" s="392">
        <f t="shared" si="25"/>
        <v>0</v>
      </c>
      <c r="DC18" s="394"/>
      <c r="DD18" s="392">
        <v>215000000</v>
      </c>
      <c r="DE18" s="392">
        <f>'[1]COE DISB 2019'!AD26</f>
        <v>215000000</v>
      </c>
      <c r="DF18" s="392">
        <f t="shared" si="26"/>
        <v>0</v>
      </c>
      <c r="DG18" s="394"/>
      <c r="DH18" s="392">
        <v>10000000</v>
      </c>
      <c r="DI18" s="392">
        <f>'[1]COE DISB 2019'!AE26</f>
        <v>10000000</v>
      </c>
      <c r="DJ18" s="392">
        <f t="shared" si="27"/>
        <v>0</v>
      </c>
      <c r="DK18" s="394"/>
      <c r="DL18" s="392">
        <f>'[1]COE commited funds to date'!AD21</f>
        <v>0</v>
      </c>
      <c r="DM18" s="392">
        <f>'[1]COE DISB 2019'!AF26</f>
        <v>0</v>
      </c>
      <c r="DN18" s="392">
        <f t="shared" si="28"/>
        <v>0</v>
      </c>
      <c r="DO18" s="394"/>
      <c r="DP18" s="392">
        <v>325000000</v>
      </c>
      <c r="DQ18" s="392">
        <f>'[1]COE DISB 2019'!AG26</f>
        <v>195000000</v>
      </c>
      <c r="DR18" s="392">
        <f t="shared" si="29"/>
        <v>130000000</v>
      </c>
      <c r="DS18" s="394"/>
      <c r="DT18" s="397">
        <v>10000000</v>
      </c>
      <c r="DU18" s="392">
        <f>'[1]COE DISB 2019'!AH26</f>
        <v>10000000</v>
      </c>
      <c r="DV18" s="392">
        <f t="shared" si="30"/>
        <v>0</v>
      </c>
      <c r="DW18" s="394"/>
      <c r="DX18" s="392">
        <f>'[1]COE commited funds to date'!AI21</f>
        <v>200000000</v>
      </c>
      <c r="DY18" s="392">
        <f>'[1]COE DISB 2019'!AI26</f>
        <v>200000000</v>
      </c>
      <c r="DZ18" s="392">
        <f t="shared" si="31"/>
        <v>0</v>
      </c>
      <c r="EA18" s="394"/>
      <c r="EB18" s="392">
        <f>'[1]COE commited funds to date'!AJ21</f>
        <v>72000000</v>
      </c>
      <c r="EC18" s="392">
        <f>'[1]COE DISB 2019'!AJ26</f>
        <v>43200000</v>
      </c>
      <c r="ED18" s="392">
        <f t="shared" si="32"/>
        <v>28800000</v>
      </c>
      <c r="EE18" s="394"/>
      <c r="EF18" s="392">
        <f>'[1]COE commited funds to date'!AK21</f>
        <v>8000000</v>
      </c>
      <c r="EG18" s="392">
        <f>'[1]COE DISB 2019'!AK26</f>
        <v>6800000</v>
      </c>
      <c r="EH18" s="392">
        <f t="shared" si="33"/>
        <v>1200000</v>
      </c>
      <c r="EI18" s="394"/>
      <c r="EJ18" s="392">
        <f>'[1]COE commited funds to date'!AL21</f>
        <v>2000000</v>
      </c>
      <c r="EK18" s="392">
        <f>'[1]COE DISB 2019'!AL26</f>
        <v>1700000</v>
      </c>
      <c r="EL18" s="392">
        <f t="shared" si="34"/>
        <v>300000</v>
      </c>
      <c r="EM18" s="394"/>
      <c r="EN18" s="392">
        <f>'[1]COE commited funds to date'!AM21</f>
        <v>7000000</v>
      </c>
      <c r="EO18" s="392">
        <f>'[1]COE DISB 2019'!AM26</f>
        <v>7000000</v>
      </c>
      <c r="EP18" s="392">
        <f t="shared" si="35"/>
        <v>0</v>
      </c>
      <c r="EQ18" s="394"/>
      <c r="ER18" s="392">
        <f>'[1]COE commited funds to date'!AN21</f>
        <v>0</v>
      </c>
      <c r="ES18" s="392">
        <f>'[1]COE DISB 2019'!AN26</f>
        <v>0</v>
      </c>
      <c r="ET18" s="392">
        <f t="shared" si="36"/>
        <v>0</v>
      </c>
      <c r="EV18" s="383">
        <f>'[1]COE commited funds to date'!AO21</f>
        <v>371067000</v>
      </c>
      <c r="EW18" s="383">
        <f>'[1]COE DISB 2019'!AO26</f>
        <v>222640200</v>
      </c>
      <c r="EX18" s="383">
        <f t="shared" si="38"/>
        <v>148426800</v>
      </c>
      <c r="EY18" s="380"/>
      <c r="EZ18" s="383">
        <f>'[1]COE commited funds to date'!AQ21</f>
        <v>12000000</v>
      </c>
      <c r="FA18" s="383">
        <f>'[1]COE DISB 2019'!AP26</f>
        <v>12000000</v>
      </c>
      <c r="FB18" s="383">
        <f t="shared" si="39"/>
        <v>0</v>
      </c>
      <c r="FC18" s="380"/>
      <c r="FD18" s="383">
        <f>'[1]COE commited funds to date'!AR21</f>
        <v>10000000</v>
      </c>
      <c r="FE18" s="383">
        <f>'[1]COE DISB 2019'!AQ26</f>
        <v>0</v>
      </c>
      <c r="FF18" s="383">
        <f t="shared" si="40"/>
        <v>10000000</v>
      </c>
      <c r="FG18" s="380"/>
      <c r="FH18" s="383">
        <f>'[1]COE commited funds to date'!AP21</f>
        <v>8000000</v>
      </c>
      <c r="FI18" s="383">
        <f>'[1]COE DISB 2019'!AR26</f>
        <v>6800000</v>
      </c>
      <c r="FJ18" s="383">
        <f t="shared" si="41"/>
        <v>1200000</v>
      </c>
      <c r="FK18" s="383">
        <f>'[1]COE commited funds to date'!AS21</f>
        <v>150000000</v>
      </c>
      <c r="FL18" s="383">
        <f>'[1]COE DISB 2019'!AS26</f>
        <v>150000000</v>
      </c>
      <c r="FM18" s="383">
        <f t="shared" si="42"/>
        <v>0</v>
      </c>
      <c r="FN18" s="380"/>
      <c r="FO18" s="383">
        <f>'[1]COE commited funds to date'!AT21</f>
        <v>200000000</v>
      </c>
      <c r="FP18" s="383">
        <f>'[1]COE DISB 2019'!AT26</f>
        <v>0</v>
      </c>
      <c r="FQ18" s="383">
        <f t="shared" si="43"/>
        <v>200000000</v>
      </c>
      <c r="FR18" s="380"/>
      <c r="FS18" s="383">
        <f>'[1]COE commited funds to date'!AU21</f>
        <v>75000000</v>
      </c>
      <c r="FT18" s="383">
        <f>'[1]COE DISB 2019'!AU26</f>
        <v>63750000</v>
      </c>
      <c r="FU18" s="383">
        <f t="shared" si="44"/>
        <v>11250000</v>
      </c>
      <c r="FV18" s="380"/>
      <c r="FW18" s="383">
        <f>'[1]COE commited funds to date'!AV21</f>
        <v>8700000</v>
      </c>
      <c r="FX18" s="383">
        <f>'[1]COE DISB 2019'!AV26</f>
        <v>0</v>
      </c>
      <c r="FY18" s="383">
        <f t="shared" si="45"/>
        <v>8700000</v>
      </c>
      <c r="FZ18" s="380"/>
      <c r="GA18" s="383">
        <f>'[1]COE commited funds to date'!AW21</f>
        <v>5000000</v>
      </c>
      <c r="GB18" s="383">
        <f>'[1]COE DISB 2019'!AW26</f>
        <v>0</v>
      </c>
      <c r="GC18" s="383">
        <f t="shared" si="46"/>
        <v>5000000</v>
      </c>
      <c r="GD18" s="380"/>
      <c r="GE18" s="383">
        <f>'[1]COE commited funds to date'!AX21</f>
        <v>20000000</v>
      </c>
      <c r="GF18" s="383">
        <f>'[1]COE DISB 2019'!AX26</f>
        <v>20000000</v>
      </c>
      <c r="GG18" s="383">
        <f t="shared" si="47"/>
        <v>0</v>
      </c>
      <c r="GH18" s="380"/>
      <c r="GI18" s="383">
        <f>'[1]COE commited funds to date'!AY21</f>
        <v>230000000</v>
      </c>
      <c r="GJ18" s="383">
        <f>'[1]COE DISB 2019'!AY26</f>
        <v>0</v>
      </c>
      <c r="GK18" s="383">
        <f t="shared" si="48"/>
        <v>230000000</v>
      </c>
      <c r="GL18" s="380"/>
      <c r="GM18" s="383">
        <f>'[1]COE commited funds to date'!AZ21</f>
        <v>116776600</v>
      </c>
      <c r="GN18" s="383">
        <f>'[1]COE DISB 2019'!AZ26</f>
        <v>0</v>
      </c>
      <c r="GO18" s="383">
        <f t="shared" si="49"/>
        <v>116776600</v>
      </c>
      <c r="GP18" s="380"/>
      <c r="GQ18" s="383">
        <f>'[1]COE commited funds to date'!BA21</f>
        <v>12000000</v>
      </c>
      <c r="GR18" s="383">
        <f>'[1]COE DISB 2019'!BA26</f>
        <v>0</v>
      </c>
      <c r="GS18" s="383">
        <f t="shared" si="50"/>
        <v>12000000</v>
      </c>
      <c r="GT18" s="380"/>
      <c r="GU18" s="383">
        <f>'[1]COE commited funds to date'!BB21</f>
        <v>5000000</v>
      </c>
      <c r="GV18" s="383">
        <f>'[1]COE DISB 2019'!BB26</f>
        <v>0</v>
      </c>
      <c r="GW18" s="383">
        <f t="shared" si="51"/>
        <v>5000000</v>
      </c>
      <c r="GX18" s="380"/>
      <c r="GY18" s="383">
        <f>'[1]COE commited funds to date'!BC21</f>
        <v>10308300</v>
      </c>
      <c r="GZ18" s="383">
        <f>'[1]COE DISB 2019'!BC26</f>
        <v>6509800</v>
      </c>
      <c r="HA18" s="383">
        <f t="shared" si="52"/>
        <v>3798500</v>
      </c>
      <c r="HB18" s="380"/>
      <c r="HC18" s="383">
        <f t="shared" si="53"/>
        <v>2932236865.5</v>
      </c>
      <c r="HD18" s="383">
        <f t="shared" si="53"/>
        <v>2019761565.5</v>
      </c>
      <c r="HE18" s="392">
        <f t="shared" si="54"/>
        <v>912475300</v>
      </c>
      <c r="HG18" s="383">
        <f t="shared" si="55"/>
        <v>2089615965.5</v>
      </c>
      <c r="HH18" s="383">
        <f t="shared" si="55"/>
        <v>1352389165.5</v>
      </c>
      <c r="HI18" s="383">
        <f t="shared" si="56"/>
        <v>737226800</v>
      </c>
      <c r="HK18" s="383">
        <f t="shared" si="57"/>
        <v>350000000</v>
      </c>
      <c r="HL18" s="383">
        <f t="shared" si="57"/>
        <v>350000000</v>
      </c>
      <c r="HM18" s="383">
        <f t="shared" si="58"/>
        <v>0</v>
      </c>
      <c r="HO18" s="383">
        <f t="shared" si="37"/>
        <v>2836000</v>
      </c>
      <c r="HP18" s="383">
        <f t="shared" si="37"/>
        <v>2836000</v>
      </c>
      <c r="HQ18" s="383">
        <f t="shared" si="59"/>
        <v>0</v>
      </c>
      <c r="HS18" s="383">
        <f t="shared" si="60"/>
        <v>89308300</v>
      </c>
      <c r="HT18" s="383">
        <f t="shared" si="60"/>
        <v>85486400</v>
      </c>
      <c r="HU18" s="383">
        <f t="shared" si="61"/>
        <v>3821900</v>
      </c>
      <c r="HW18" s="383">
        <f t="shared" si="62"/>
        <v>36700000</v>
      </c>
      <c r="HX18" s="383">
        <f t="shared" si="62"/>
        <v>13600000</v>
      </c>
      <c r="HY18" s="383">
        <f t="shared" si="63"/>
        <v>23100000</v>
      </c>
      <c r="IA18" s="387">
        <f t="shared" si="64"/>
        <v>20000000</v>
      </c>
      <c r="IB18" s="387">
        <f t="shared" si="64"/>
        <v>0</v>
      </c>
      <c r="IC18" s="387">
        <f t="shared" si="65"/>
        <v>20000000</v>
      </c>
      <c r="IE18" s="383">
        <f t="shared" si="66"/>
        <v>341776600</v>
      </c>
      <c r="IF18" s="383">
        <f t="shared" si="66"/>
        <v>213750000</v>
      </c>
      <c r="IG18" s="383">
        <f t="shared" si="67"/>
        <v>128026600</v>
      </c>
      <c r="II18" s="383">
        <f t="shared" si="68"/>
        <v>2000000</v>
      </c>
      <c r="IJ18" s="383">
        <f t="shared" si="68"/>
        <v>1700000</v>
      </c>
      <c r="IK18" s="383">
        <f t="shared" si="69"/>
        <v>300000</v>
      </c>
    </row>
    <row r="19" spans="1:245" x14ac:dyDescent="0.25">
      <c r="A19" s="380">
        <v>16</v>
      </c>
      <c r="B19" s="380" t="s">
        <v>335</v>
      </c>
      <c r="C19" s="431" t="s">
        <v>61</v>
      </c>
      <c r="D19" s="392">
        <v>18318965.5</v>
      </c>
      <c r="E19" s="392">
        <f>'[1]COE DISB 2019'!D27</f>
        <v>18318965.5</v>
      </c>
      <c r="F19" s="383">
        <f t="shared" si="0"/>
        <v>0</v>
      </c>
      <c r="H19" s="392">
        <v>8000000</v>
      </c>
      <c r="I19" s="392">
        <f>'[1]COE DISB 2019'!E27</f>
        <v>8000000</v>
      </c>
      <c r="J19" s="383">
        <f t="shared" si="1"/>
        <v>0</v>
      </c>
      <c r="L19" s="392">
        <v>500000</v>
      </c>
      <c r="M19" s="392">
        <f>'[1]COE DISB 2019'!F27</f>
        <v>500000</v>
      </c>
      <c r="N19" s="383">
        <f t="shared" si="2"/>
        <v>0</v>
      </c>
      <c r="P19" s="353">
        <v>16000000</v>
      </c>
      <c r="Q19" s="392">
        <f>'[1]COE DISB 2019'!G27</f>
        <v>16000000</v>
      </c>
      <c r="R19" s="383">
        <f t="shared" si="3"/>
        <v>0</v>
      </c>
      <c r="T19" s="385">
        <v>844000</v>
      </c>
      <c r="U19" s="392">
        <f>'[1]COE DISB 2019'!H27</f>
        <v>844000</v>
      </c>
      <c r="V19" s="383">
        <f t="shared" si="4"/>
        <v>0</v>
      </c>
      <c r="X19" s="353">
        <v>0</v>
      </c>
      <c r="Y19" s="392">
        <f>'[1]COE DISB 2019'!I27</f>
        <v>0</v>
      </c>
      <c r="Z19" s="383">
        <f t="shared" si="5"/>
        <v>0</v>
      </c>
      <c r="AB19" s="385">
        <v>20000000</v>
      </c>
      <c r="AC19" s="392">
        <f>'[1]COE DISB 2019'!J27</f>
        <v>20000000</v>
      </c>
      <c r="AD19" s="383">
        <f t="shared" si="6"/>
        <v>0</v>
      </c>
      <c r="AF19" s="353">
        <v>0</v>
      </c>
      <c r="AG19" s="392">
        <f>'[1]COE DISB 2019'!K27</f>
        <v>0</v>
      </c>
      <c r="AH19" s="383">
        <f t="shared" si="7"/>
        <v>0</v>
      </c>
      <c r="AJ19" s="385">
        <v>10000000</v>
      </c>
      <c r="AK19" s="392">
        <f>'[1]COE DISB 2019'!L27</f>
        <v>10000000</v>
      </c>
      <c r="AL19" s="383">
        <f t="shared" si="8"/>
        <v>0</v>
      </c>
      <c r="AN19" s="392">
        <v>10000000</v>
      </c>
      <c r="AO19" s="392">
        <f>'[1]COE DISB 2019'!M27</f>
        <v>10000000</v>
      </c>
      <c r="AP19" s="383">
        <f t="shared" si="9"/>
        <v>0</v>
      </c>
      <c r="AR19" s="392">
        <v>15000000</v>
      </c>
      <c r="AS19" s="392">
        <f>'[1]COE DISB 2019'!N27</f>
        <v>15000000</v>
      </c>
      <c r="AT19" s="383">
        <f t="shared" si="10"/>
        <v>0</v>
      </c>
      <c r="AV19" s="392">
        <v>10000000</v>
      </c>
      <c r="AW19" s="393">
        <f>'[1]COE DISB 2019'!O27</f>
        <v>10000000</v>
      </c>
      <c r="AX19" s="392">
        <f t="shared" si="11"/>
        <v>0</v>
      </c>
      <c r="AZ19" s="392">
        <v>18000000</v>
      </c>
      <c r="BA19" s="392">
        <f>'[1]COE DISB 2019'!P27</f>
        <v>18000000</v>
      </c>
      <c r="BB19" s="392">
        <f t="shared" si="12"/>
        <v>0</v>
      </c>
      <c r="BD19" s="392">
        <v>23400000</v>
      </c>
      <c r="BE19" s="392">
        <f>'[1]COE DISB 2019'!Q27</f>
        <v>23400000</v>
      </c>
      <c r="BF19" s="392">
        <f t="shared" si="13"/>
        <v>0</v>
      </c>
      <c r="BH19" s="392">
        <v>0</v>
      </c>
      <c r="BI19" s="392">
        <f>'[1]COE DISB 2019'!R27</f>
        <v>0</v>
      </c>
      <c r="BJ19" s="392">
        <f t="shared" si="14"/>
        <v>0</v>
      </c>
      <c r="BL19" s="392">
        <v>43000000</v>
      </c>
      <c r="BM19" s="392">
        <f>'[1]COE DISB 2019'!S27</f>
        <v>43000000</v>
      </c>
      <c r="BN19" s="392">
        <f t="shared" si="15"/>
        <v>0</v>
      </c>
      <c r="BP19" s="392">
        <v>37160000</v>
      </c>
      <c r="BQ19" s="392">
        <f>'[1]COE DISB 2019'!T27</f>
        <v>37160000</v>
      </c>
      <c r="BR19" s="392">
        <f t="shared" si="16"/>
        <v>0</v>
      </c>
      <c r="BT19" s="392">
        <v>0</v>
      </c>
      <c r="BU19" s="392">
        <f>'[1]COE DISB 2019'!U27</f>
        <v>0</v>
      </c>
      <c r="BV19" s="392">
        <f t="shared" si="17"/>
        <v>0</v>
      </c>
      <c r="BX19" s="392">
        <v>112670000</v>
      </c>
      <c r="BY19" s="392">
        <f>'[1]COE DISB 2019'!V27</f>
        <v>112670000</v>
      </c>
      <c r="BZ19" s="392">
        <f t="shared" si="18"/>
        <v>0</v>
      </c>
      <c r="CB19" s="392">
        <f>'[1]COE commited funds to date'!W22</f>
        <v>0</v>
      </c>
      <c r="CC19" s="392">
        <f>'[1]COE DISB 2019'!W27</f>
        <v>0</v>
      </c>
      <c r="CD19" s="392">
        <f t="shared" si="19"/>
        <v>0</v>
      </c>
      <c r="CF19" s="392">
        <f>'[1]COE commited funds to date'!X22</f>
        <v>125000000</v>
      </c>
      <c r="CG19" s="392">
        <f>'[1]COE DISB 2019'!X27</f>
        <v>125000000</v>
      </c>
      <c r="CH19" s="392">
        <f t="shared" si="20"/>
        <v>0</v>
      </c>
      <c r="CJ19" s="392">
        <v>10000000</v>
      </c>
      <c r="CK19" s="392">
        <f>'[1]COE DISB 2019'!Y27</f>
        <v>10000000</v>
      </c>
      <c r="CL19" s="392">
        <f t="shared" si="21"/>
        <v>0</v>
      </c>
      <c r="CN19" s="392">
        <v>120000000</v>
      </c>
      <c r="CO19" s="392">
        <f>'[1]COE DISB 2019'!Z27</f>
        <v>120000000</v>
      </c>
      <c r="CP19" s="392">
        <f t="shared" si="22"/>
        <v>0</v>
      </c>
      <c r="CR19" s="392">
        <v>210000000</v>
      </c>
      <c r="CS19" s="392">
        <f>'[1]COE DISB 2019'!AA27</f>
        <v>210000000</v>
      </c>
      <c r="CT19" s="392">
        <f t="shared" si="23"/>
        <v>0</v>
      </c>
      <c r="CV19" s="392">
        <v>10000000</v>
      </c>
      <c r="CW19" s="392">
        <f>'[1]COE DISB 2019'!AB27</f>
        <v>10000000</v>
      </c>
      <c r="CX19" s="392">
        <f t="shared" si="24"/>
        <v>0</v>
      </c>
      <c r="CZ19" s="392">
        <f>'[1]COE commited funds to date'!AC22</f>
        <v>0</v>
      </c>
      <c r="DA19" s="392">
        <f>'[1]COE DISB 2019'!AC27</f>
        <v>0</v>
      </c>
      <c r="DB19" s="392">
        <f t="shared" si="25"/>
        <v>0</v>
      </c>
      <c r="DC19" s="394"/>
      <c r="DD19" s="392">
        <v>215000000</v>
      </c>
      <c r="DE19" s="392">
        <f>'[1]COE DISB 2019'!AD27</f>
        <v>182750000</v>
      </c>
      <c r="DF19" s="392">
        <f t="shared" si="26"/>
        <v>32250000</v>
      </c>
      <c r="DG19" s="394"/>
      <c r="DH19" s="392">
        <v>10000000</v>
      </c>
      <c r="DI19" s="392">
        <f>'[1]COE DISB 2019'!AE27</f>
        <v>10000000</v>
      </c>
      <c r="DJ19" s="392">
        <f t="shared" si="27"/>
        <v>0</v>
      </c>
      <c r="DK19" s="394"/>
      <c r="DL19" s="392">
        <f>'[1]COE commited funds to date'!AD22</f>
        <v>0</v>
      </c>
      <c r="DM19" s="392">
        <f>'[1]COE DISB 2019'!AF27</f>
        <v>0</v>
      </c>
      <c r="DN19" s="392">
        <f t="shared" si="28"/>
        <v>0</v>
      </c>
      <c r="DO19" s="394"/>
      <c r="DP19" s="392">
        <v>325000000</v>
      </c>
      <c r="DQ19" s="392">
        <f>'[1]COE DISB 2019'!AG27</f>
        <v>276250000</v>
      </c>
      <c r="DR19" s="392">
        <f t="shared" si="29"/>
        <v>48750000</v>
      </c>
      <c r="DS19" s="394"/>
      <c r="DT19" s="397">
        <v>10000000</v>
      </c>
      <c r="DU19" s="392">
        <f>'[1]COE DISB 2019'!AH27</f>
        <v>10000000</v>
      </c>
      <c r="DV19" s="392">
        <f t="shared" si="30"/>
        <v>0</v>
      </c>
      <c r="DW19" s="394"/>
      <c r="DX19" s="392">
        <f>'[1]COE commited funds to date'!AI22</f>
        <v>150000000</v>
      </c>
      <c r="DY19" s="392">
        <f>'[1]COE DISB 2019'!AI27</f>
        <v>150000000</v>
      </c>
      <c r="DZ19" s="392">
        <f t="shared" si="31"/>
        <v>0</v>
      </c>
      <c r="EA19" s="394"/>
      <c r="EB19" s="392">
        <f>'[1]COE commited funds to date'!AJ22</f>
        <v>72000000</v>
      </c>
      <c r="EC19" s="392">
        <f>'[1]COE DISB 2019'!AJ27</f>
        <v>61200000</v>
      </c>
      <c r="ED19" s="392">
        <f t="shared" si="32"/>
        <v>10800000</v>
      </c>
      <c r="EE19" s="394"/>
      <c r="EF19" s="392">
        <f>'[1]COE commited funds to date'!AK22</f>
        <v>8000000</v>
      </c>
      <c r="EG19" s="392">
        <f>'[1]COE DISB 2019'!AK27</f>
        <v>4080000</v>
      </c>
      <c r="EH19" s="392">
        <f t="shared" si="33"/>
        <v>3920000</v>
      </c>
      <c r="EI19" s="394"/>
      <c r="EJ19" s="392">
        <f>'[1]COE commited funds to date'!AL22</f>
        <v>2000000</v>
      </c>
      <c r="EK19" s="392">
        <f>'[1]COE DISB 2019'!AL27</f>
        <v>0</v>
      </c>
      <c r="EL19" s="392">
        <f t="shared" si="34"/>
        <v>2000000</v>
      </c>
      <c r="EM19" s="394"/>
      <c r="EN19" s="392">
        <f>'[1]COE commited funds to date'!AM22</f>
        <v>7000000</v>
      </c>
      <c r="EO19" s="392">
        <f>'[1]COE DISB 2019'!AM27</f>
        <v>7000000</v>
      </c>
      <c r="EP19" s="392">
        <f t="shared" si="35"/>
        <v>0</v>
      </c>
      <c r="EQ19" s="394"/>
      <c r="ER19" s="392">
        <f>'[1]COE commited funds to date'!AN22</f>
        <v>3000000000</v>
      </c>
      <c r="ES19" s="392">
        <f>'[1]COE DISB 2019'!AN27</f>
        <v>2902500000</v>
      </c>
      <c r="ET19" s="392">
        <f t="shared" si="36"/>
        <v>97500000</v>
      </c>
      <c r="EV19" s="383">
        <f>'[1]COE commited funds to date'!AO22</f>
        <v>371067000</v>
      </c>
      <c r="EW19" s="383">
        <f>'[1]COE DISB 2019'!AO27</f>
        <v>315406950</v>
      </c>
      <c r="EX19" s="383">
        <f t="shared" si="38"/>
        <v>55660050</v>
      </c>
      <c r="EY19" s="380"/>
      <c r="EZ19" s="383">
        <f>'[1]COE commited funds to date'!AQ22</f>
        <v>12000000</v>
      </c>
      <c r="FA19" s="383">
        <f>'[1]COE DISB 2019'!AP27</f>
        <v>12000000</v>
      </c>
      <c r="FB19" s="383">
        <f t="shared" si="39"/>
        <v>0</v>
      </c>
      <c r="FC19" s="380"/>
      <c r="FD19" s="383">
        <f>'[1]COE commited funds to date'!AR22</f>
        <v>10000000</v>
      </c>
      <c r="FE19" s="383">
        <f>'[1]COE DISB 2019'!AQ27</f>
        <v>0</v>
      </c>
      <c r="FF19" s="383">
        <f t="shared" si="40"/>
        <v>10000000</v>
      </c>
      <c r="FG19" s="380"/>
      <c r="FH19" s="383">
        <f>'[1]COE commited funds to date'!AP22</f>
        <v>8000000</v>
      </c>
      <c r="FI19" s="383">
        <f>'[1]COE DISB 2019'!AR27</f>
        <v>4080000</v>
      </c>
      <c r="FJ19" s="383">
        <f t="shared" si="41"/>
        <v>3920000</v>
      </c>
      <c r="FK19" s="383">
        <f>'[1]COE commited funds to date'!AS22</f>
        <v>150000000</v>
      </c>
      <c r="FL19" s="383">
        <f>'[1]COE DISB 2019'!AS27</f>
        <v>79500000</v>
      </c>
      <c r="FM19" s="383">
        <f t="shared" si="42"/>
        <v>70500000</v>
      </c>
      <c r="FN19" s="380"/>
      <c r="FO19" s="383">
        <f>'[1]COE commited funds to date'!AT22</f>
        <v>200000000</v>
      </c>
      <c r="FP19" s="383">
        <f>'[1]COE DISB 2019'!AT27</f>
        <v>0</v>
      </c>
      <c r="FQ19" s="383">
        <f t="shared" si="43"/>
        <v>200000000</v>
      </c>
      <c r="FR19" s="380"/>
      <c r="FS19" s="383">
        <f>'[1]COE commited funds to date'!AU22</f>
        <v>75000000</v>
      </c>
      <c r="FT19" s="383">
        <f>'[1]COE DISB 2019'!AU27</f>
        <v>52500000</v>
      </c>
      <c r="FU19" s="383">
        <f t="shared" si="44"/>
        <v>22500000</v>
      </c>
      <c r="FV19" s="380"/>
      <c r="FW19" s="383">
        <f>'[1]COE commited funds to date'!AV22</f>
        <v>8700000</v>
      </c>
      <c r="FX19" s="383">
        <f>'[1]COE DISB 2019'!AV27</f>
        <v>0</v>
      </c>
      <c r="FY19" s="383">
        <f t="shared" si="45"/>
        <v>8700000</v>
      </c>
      <c r="FZ19" s="380"/>
      <c r="GA19" s="383">
        <f>'[1]COE commited funds to date'!AW22</f>
        <v>5000000</v>
      </c>
      <c r="GB19" s="383">
        <f>'[1]COE DISB 2019'!AW27</f>
        <v>0</v>
      </c>
      <c r="GC19" s="383">
        <f t="shared" si="46"/>
        <v>5000000</v>
      </c>
      <c r="GD19" s="380"/>
      <c r="GE19" s="383">
        <f>'[1]COE commited funds to date'!AX22</f>
        <v>20000000</v>
      </c>
      <c r="GF19" s="383">
        <f>'[1]COE DISB 2019'!AX27</f>
        <v>18814800</v>
      </c>
      <c r="GG19" s="383">
        <f t="shared" si="47"/>
        <v>1185200</v>
      </c>
      <c r="GH19" s="380"/>
      <c r="GI19" s="383">
        <f>'[1]COE commited funds to date'!AY22</f>
        <v>230000000</v>
      </c>
      <c r="GJ19" s="383">
        <f>'[1]COE DISB 2019'!AY27</f>
        <v>0</v>
      </c>
      <c r="GK19" s="383">
        <f t="shared" si="48"/>
        <v>230000000</v>
      </c>
      <c r="GL19" s="380"/>
      <c r="GM19" s="383">
        <f>'[1]COE commited funds to date'!AZ22</f>
        <v>116776600</v>
      </c>
      <c r="GN19" s="383">
        <f>'[1]COE DISB 2019'!AZ27</f>
        <v>0</v>
      </c>
      <c r="GO19" s="383">
        <f t="shared" si="49"/>
        <v>116776600</v>
      </c>
      <c r="GP19" s="380"/>
      <c r="GQ19" s="383">
        <f>'[1]COE commited funds to date'!BA22</f>
        <v>12000000</v>
      </c>
      <c r="GR19" s="383">
        <f>'[1]COE DISB 2019'!BA27</f>
        <v>0</v>
      </c>
      <c r="GS19" s="383">
        <f t="shared" si="50"/>
        <v>12000000</v>
      </c>
      <c r="GT19" s="380"/>
      <c r="GU19" s="383">
        <f>'[1]COE commited funds to date'!BB22</f>
        <v>5000000</v>
      </c>
      <c r="GV19" s="383">
        <f>'[1]COE DISB 2019'!BB27</f>
        <v>0</v>
      </c>
      <c r="GW19" s="383">
        <f t="shared" si="51"/>
        <v>5000000</v>
      </c>
      <c r="GX19" s="380"/>
      <c r="GY19" s="383">
        <f>'[1]COE commited funds to date'!BC22</f>
        <v>10308300</v>
      </c>
      <c r="GZ19" s="383">
        <f>'[1]COE DISB 2019'!BC27</f>
        <v>0</v>
      </c>
      <c r="HA19" s="383">
        <f t="shared" si="52"/>
        <v>10308300</v>
      </c>
      <c r="HB19" s="380"/>
      <c r="HC19" s="383">
        <f t="shared" si="53"/>
        <v>5850744865.5</v>
      </c>
      <c r="HD19" s="383">
        <f t="shared" si="53"/>
        <v>4903974715.5</v>
      </c>
      <c r="HE19" s="392">
        <f t="shared" si="54"/>
        <v>946770150</v>
      </c>
      <c r="HG19" s="383">
        <f t="shared" si="55"/>
        <v>2079615965.5</v>
      </c>
      <c r="HH19" s="383">
        <f t="shared" si="55"/>
        <v>1502155915.5</v>
      </c>
      <c r="HI19" s="383">
        <f t="shared" si="56"/>
        <v>577460050</v>
      </c>
      <c r="HK19" s="383">
        <f t="shared" si="57"/>
        <v>3270000000</v>
      </c>
      <c r="HL19" s="383">
        <f t="shared" si="57"/>
        <v>3172500000</v>
      </c>
      <c r="HM19" s="383">
        <f t="shared" si="58"/>
        <v>97500000</v>
      </c>
      <c r="HO19" s="383">
        <f t="shared" si="37"/>
        <v>1344000</v>
      </c>
      <c r="HP19" s="383">
        <f t="shared" si="37"/>
        <v>1344000</v>
      </c>
      <c r="HQ19" s="383">
        <f t="shared" si="59"/>
        <v>0</v>
      </c>
      <c r="HS19" s="383">
        <f t="shared" si="60"/>
        <v>89308300</v>
      </c>
      <c r="HT19" s="383">
        <f t="shared" si="60"/>
        <v>77814800</v>
      </c>
      <c r="HU19" s="383">
        <f t="shared" si="61"/>
        <v>11493500</v>
      </c>
      <c r="HW19" s="383">
        <f t="shared" si="62"/>
        <v>36700000</v>
      </c>
      <c r="HX19" s="383">
        <f t="shared" si="62"/>
        <v>8160000</v>
      </c>
      <c r="HY19" s="383">
        <f t="shared" si="63"/>
        <v>28540000</v>
      </c>
      <c r="IA19" s="387">
        <f t="shared" si="64"/>
        <v>20000000</v>
      </c>
      <c r="IB19" s="387">
        <f t="shared" si="64"/>
        <v>0</v>
      </c>
      <c r="IC19" s="387">
        <f t="shared" si="65"/>
        <v>20000000</v>
      </c>
      <c r="IE19" s="383">
        <f t="shared" si="66"/>
        <v>341776600</v>
      </c>
      <c r="IF19" s="383">
        <f t="shared" si="66"/>
        <v>132000000</v>
      </c>
      <c r="IG19" s="383">
        <f t="shared" si="67"/>
        <v>209776600</v>
      </c>
      <c r="II19" s="383">
        <f t="shared" si="68"/>
        <v>2000000</v>
      </c>
      <c r="IJ19" s="383">
        <f t="shared" si="68"/>
        <v>0</v>
      </c>
      <c r="IK19" s="383">
        <f t="shared" si="69"/>
        <v>2000000</v>
      </c>
    </row>
    <row r="20" spans="1:245" x14ac:dyDescent="0.25">
      <c r="A20" s="380">
        <v>17</v>
      </c>
      <c r="B20" s="380" t="s">
        <v>336</v>
      </c>
      <c r="C20" s="431" t="s">
        <v>65</v>
      </c>
      <c r="D20" s="392">
        <v>18318965.5</v>
      </c>
      <c r="E20" s="392">
        <f>'[1]COE DISB 2019'!D28</f>
        <v>18318965.57</v>
      </c>
      <c r="F20" s="383">
        <f t="shared" si="0"/>
        <v>-7.0000000298023224E-2</v>
      </c>
      <c r="H20" s="392">
        <v>8000000</v>
      </c>
      <c r="I20" s="392">
        <f>'[1]COE DISB 2019'!E28</f>
        <v>8000000</v>
      </c>
      <c r="J20" s="383">
        <f t="shared" si="1"/>
        <v>0</v>
      </c>
      <c r="L20" s="392">
        <v>500000</v>
      </c>
      <c r="M20" s="392">
        <f>'[1]COE DISB 2019'!F28</f>
        <v>500000</v>
      </c>
      <c r="N20" s="383">
        <f t="shared" si="2"/>
        <v>0</v>
      </c>
      <c r="P20" s="353">
        <v>16000000</v>
      </c>
      <c r="Q20" s="392">
        <f>'[1]COE DISB 2019'!G28</f>
        <v>16000000</v>
      </c>
      <c r="R20" s="383">
        <f t="shared" si="3"/>
        <v>0</v>
      </c>
      <c r="T20" s="385">
        <v>377000</v>
      </c>
      <c r="U20" s="392">
        <f>'[1]COE DISB 2019'!H28</f>
        <v>377000</v>
      </c>
      <c r="V20" s="383">
        <f t="shared" si="4"/>
        <v>0</v>
      </c>
      <c r="X20" s="385">
        <v>4000000</v>
      </c>
      <c r="Y20" s="392">
        <f>'[1]COE DISB 2019'!I28</f>
        <v>4000000</v>
      </c>
      <c r="Z20" s="383">
        <f t="shared" si="5"/>
        <v>0</v>
      </c>
      <c r="AB20" s="385">
        <v>20000000</v>
      </c>
      <c r="AC20" s="392">
        <f>'[1]COE DISB 2019'!J28</f>
        <v>20000000</v>
      </c>
      <c r="AD20" s="383">
        <f t="shared" si="6"/>
        <v>0</v>
      </c>
      <c r="AF20" s="353">
        <v>0</v>
      </c>
      <c r="AG20" s="392">
        <f>'[1]COE DISB 2019'!K28</f>
        <v>0</v>
      </c>
      <c r="AH20" s="383">
        <f t="shared" si="7"/>
        <v>0</v>
      </c>
      <c r="AJ20" s="385">
        <v>10000000</v>
      </c>
      <c r="AK20" s="392">
        <f>'[1]COE DISB 2019'!L28</f>
        <v>10000000</v>
      </c>
      <c r="AL20" s="383">
        <f t="shared" si="8"/>
        <v>0</v>
      </c>
      <c r="AN20" s="392">
        <v>10000000</v>
      </c>
      <c r="AO20" s="392">
        <f>'[1]COE DISB 2019'!M28</f>
        <v>10000000</v>
      </c>
      <c r="AP20" s="383">
        <f t="shared" si="9"/>
        <v>0</v>
      </c>
      <c r="AR20" s="392">
        <v>15000000</v>
      </c>
      <c r="AS20" s="392">
        <f>'[1]COE DISB 2019'!N28</f>
        <v>15000000</v>
      </c>
      <c r="AT20" s="383">
        <f t="shared" si="10"/>
        <v>0</v>
      </c>
      <c r="AV20" s="392">
        <v>10000000</v>
      </c>
      <c r="AW20" s="432">
        <f>'[1]COE DISB 2019'!O28</f>
        <v>10000000</v>
      </c>
      <c r="AX20" s="392">
        <f t="shared" si="11"/>
        <v>0</v>
      </c>
      <c r="AZ20" s="392">
        <v>18000000</v>
      </c>
      <c r="BA20" s="392">
        <f>'[1]COE DISB 2019'!P28</f>
        <v>18000000</v>
      </c>
      <c r="BB20" s="392">
        <f t="shared" si="12"/>
        <v>0</v>
      </c>
      <c r="BD20" s="392">
        <v>23400000</v>
      </c>
      <c r="BE20" s="392">
        <f>'[1]COE DISB 2019'!Q28</f>
        <v>23400000</v>
      </c>
      <c r="BF20" s="392">
        <f t="shared" si="13"/>
        <v>0</v>
      </c>
      <c r="BH20" s="392">
        <v>0</v>
      </c>
      <c r="BI20" s="392">
        <f>'[1]COE DISB 2019'!R28</f>
        <v>0</v>
      </c>
      <c r="BJ20" s="392">
        <f t="shared" si="14"/>
        <v>0</v>
      </c>
      <c r="BL20" s="392">
        <v>43000000</v>
      </c>
      <c r="BM20" s="392">
        <f>'[1]COE DISB 2019'!S28</f>
        <v>43000000</v>
      </c>
      <c r="BN20" s="392">
        <f t="shared" si="15"/>
        <v>0</v>
      </c>
      <c r="BP20" s="392">
        <v>37160000</v>
      </c>
      <c r="BQ20" s="392">
        <f>'[1]COE DISB 2019'!T28</f>
        <v>37160000</v>
      </c>
      <c r="BR20" s="392">
        <f t="shared" si="16"/>
        <v>0</v>
      </c>
      <c r="BT20" s="392">
        <v>0</v>
      </c>
      <c r="BU20" s="392">
        <f>'[1]COE DISB 2019'!U28</f>
        <v>0</v>
      </c>
      <c r="BV20" s="392">
        <f t="shared" si="17"/>
        <v>0</v>
      </c>
      <c r="BX20" s="392">
        <v>112670000</v>
      </c>
      <c r="BY20" s="392">
        <f>'[1]COE DISB 2019'!V28</f>
        <v>112670000</v>
      </c>
      <c r="BZ20" s="392">
        <f t="shared" si="18"/>
        <v>0</v>
      </c>
      <c r="CB20" s="392">
        <f>'[1]COE commited funds to date'!W23</f>
        <v>0</v>
      </c>
      <c r="CC20" s="392">
        <f>'[1]COE DISB 2019'!W28</f>
        <v>0</v>
      </c>
      <c r="CD20" s="392">
        <f t="shared" si="19"/>
        <v>0</v>
      </c>
      <c r="CF20" s="392">
        <f>'[1]COE commited funds to date'!X23</f>
        <v>125000000</v>
      </c>
      <c r="CG20" s="392">
        <f>'[1]COE DISB 2019'!X28</f>
        <v>125000000</v>
      </c>
      <c r="CH20" s="392">
        <f t="shared" si="20"/>
        <v>0</v>
      </c>
      <c r="CJ20" s="392">
        <v>10000000</v>
      </c>
      <c r="CK20" s="392">
        <f>'[1]COE DISB 2019'!Y28</f>
        <v>10000000</v>
      </c>
      <c r="CL20" s="392">
        <f t="shared" si="21"/>
        <v>0</v>
      </c>
      <c r="CN20" s="392">
        <v>0</v>
      </c>
      <c r="CO20" s="392">
        <f>'[1]COE DISB 2019'!Z28</f>
        <v>0</v>
      </c>
      <c r="CP20" s="392">
        <f t="shared" si="22"/>
        <v>0</v>
      </c>
      <c r="CR20" s="392">
        <v>210000000</v>
      </c>
      <c r="CS20" s="392">
        <f>'[1]COE DISB 2019'!AA28</f>
        <v>210000000</v>
      </c>
      <c r="CT20" s="392">
        <f t="shared" si="23"/>
        <v>0</v>
      </c>
      <c r="CV20" s="392">
        <v>10000000</v>
      </c>
      <c r="CW20" s="392">
        <f>'[1]COE DISB 2019'!AB28</f>
        <v>10000000</v>
      </c>
      <c r="CX20" s="392">
        <f t="shared" si="24"/>
        <v>0</v>
      </c>
      <c r="CZ20" s="392">
        <f>'[1]COE commited funds to date'!AC23</f>
        <v>0</v>
      </c>
      <c r="DA20" s="392">
        <f>'[1]COE DISB 2019'!AC28</f>
        <v>0</v>
      </c>
      <c r="DB20" s="392">
        <f t="shared" si="25"/>
        <v>0</v>
      </c>
      <c r="DC20" s="394"/>
      <c r="DD20" s="392">
        <v>215000000</v>
      </c>
      <c r="DE20" s="392">
        <f>'[1]COE DISB 2019'!AD28</f>
        <v>215000000</v>
      </c>
      <c r="DF20" s="392">
        <f t="shared" si="26"/>
        <v>0</v>
      </c>
      <c r="DG20" s="394"/>
      <c r="DH20" s="392">
        <v>10000000</v>
      </c>
      <c r="DI20" s="392">
        <f>'[1]COE DISB 2019'!AE28</f>
        <v>10000000</v>
      </c>
      <c r="DJ20" s="392">
        <f t="shared" si="27"/>
        <v>0</v>
      </c>
      <c r="DK20" s="394"/>
      <c r="DL20" s="392">
        <f>'[1]COE commited funds to date'!AD23</f>
        <v>100000000</v>
      </c>
      <c r="DM20" s="392">
        <f>'[1]COE DISB 2019'!AF28</f>
        <v>100000000</v>
      </c>
      <c r="DN20" s="392">
        <f t="shared" si="28"/>
        <v>0</v>
      </c>
      <c r="DO20" s="394"/>
      <c r="DP20" s="392">
        <v>325000000</v>
      </c>
      <c r="DQ20" s="392">
        <f>'[1]COE DISB 2019'!AG28</f>
        <v>325000000</v>
      </c>
      <c r="DR20" s="392">
        <f t="shared" si="29"/>
        <v>0</v>
      </c>
      <c r="DS20" s="394"/>
      <c r="DT20" s="397">
        <v>10000000</v>
      </c>
      <c r="DU20" s="392">
        <f>'[1]COE DISB 2019'!AH28</f>
        <v>10000000</v>
      </c>
      <c r="DV20" s="392">
        <f t="shared" si="30"/>
        <v>0</v>
      </c>
      <c r="DW20" s="394"/>
      <c r="DX20" s="392">
        <f>'[1]COE commited funds to date'!AI23</f>
        <v>200000000</v>
      </c>
      <c r="DY20" s="392">
        <f>'[1]COE DISB 2019'!AI28</f>
        <v>170000000</v>
      </c>
      <c r="DZ20" s="392">
        <f t="shared" si="31"/>
        <v>30000000</v>
      </c>
      <c r="EA20" s="394"/>
      <c r="EB20" s="392">
        <f>'[1]COE commited funds to date'!AJ23</f>
        <v>72000000</v>
      </c>
      <c r="EC20" s="392">
        <f>'[1]COE DISB 2019'!AJ28</f>
        <v>61200000</v>
      </c>
      <c r="ED20" s="392">
        <f t="shared" si="32"/>
        <v>10800000</v>
      </c>
      <c r="EE20" s="394"/>
      <c r="EF20" s="392">
        <f>'[1]COE commited funds to date'!AK23</f>
        <v>8000000</v>
      </c>
      <c r="EG20" s="392">
        <f>'[1]COE DISB 2019'!AK28</f>
        <v>4560000</v>
      </c>
      <c r="EH20" s="392">
        <f t="shared" si="33"/>
        <v>3440000</v>
      </c>
      <c r="EI20" s="394"/>
      <c r="EJ20" s="392">
        <f>'[1]COE commited funds to date'!AL23</f>
        <v>2000000</v>
      </c>
      <c r="EK20" s="392">
        <f>'[1]COE DISB 2019'!AL28</f>
        <v>0</v>
      </c>
      <c r="EL20" s="392">
        <f t="shared" si="34"/>
        <v>2000000</v>
      </c>
      <c r="EM20" s="394"/>
      <c r="EN20" s="392">
        <f>'[1]COE commited funds to date'!AM23</f>
        <v>7000000</v>
      </c>
      <c r="EO20" s="392">
        <f>'[1]COE DISB 2019'!AM28</f>
        <v>7000000</v>
      </c>
      <c r="EP20" s="392">
        <f t="shared" si="35"/>
        <v>0</v>
      </c>
      <c r="EQ20" s="394"/>
      <c r="ER20" s="392">
        <f>'[1]COE commited funds to date'!AN23</f>
        <v>0</v>
      </c>
      <c r="ES20" s="392">
        <f>'[1]COE DISB 2019'!AN28</f>
        <v>0</v>
      </c>
      <c r="ET20" s="392">
        <f t="shared" si="36"/>
        <v>0</v>
      </c>
      <c r="EV20" s="383">
        <f>'[1]COE commited funds to date'!AO23</f>
        <v>371067000</v>
      </c>
      <c r="EW20" s="383">
        <f>'[1]COE DISB 2019'!AO28</f>
        <v>315406950</v>
      </c>
      <c r="EX20" s="383">
        <f t="shared" si="38"/>
        <v>55660050</v>
      </c>
      <c r="EY20" s="380"/>
      <c r="EZ20" s="383">
        <f>'[1]COE commited funds to date'!AQ23</f>
        <v>12000000</v>
      </c>
      <c r="FA20" s="383">
        <f>'[1]COE DISB 2019'!AP28</f>
        <v>12000000</v>
      </c>
      <c r="FB20" s="383">
        <f t="shared" si="39"/>
        <v>0</v>
      </c>
      <c r="FC20" s="380"/>
      <c r="FD20" s="383">
        <f>'[1]COE commited funds to date'!AR23</f>
        <v>10000000</v>
      </c>
      <c r="FE20" s="383">
        <f>'[1]COE DISB 2019'!AQ28</f>
        <v>0</v>
      </c>
      <c r="FF20" s="383">
        <f t="shared" si="40"/>
        <v>10000000</v>
      </c>
      <c r="FG20" s="380"/>
      <c r="FH20" s="383">
        <f>'[1]COE commited funds to date'!AP23</f>
        <v>8000000</v>
      </c>
      <c r="FI20" s="383">
        <f>'[1]COE DISB 2019'!AR28</f>
        <v>4560000</v>
      </c>
      <c r="FJ20" s="383">
        <f t="shared" si="41"/>
        <v>3440000</v>
      </c>
      <c r="FK20" s="383">
        <f>'[1]COE commited funds to date'!AS23</f>
        <v>0</v>
      </c>
      <c r="FL20" s="383">
        <f>'[1]COE DISB 2019'!AS28</f>
        <v>0</v>
      </c>
      <c r="FM20" s="383">
        <f t="shared" si="42"/>
        <v>0</v>
      </c>
      <c r="FN20" s="380"/>
      <c r="FO20" s="383">
        <f>'[1]COE commited funds to date'!AT23</f>
        <v>200000000</v>
      </c>
      <c r="FP20" s="383">
        <f>'[1]COE DISB 2019'!AT28</f>
        <v>0</v>
      </c>
      <c r="FQ20" s="383">
        <f t="shared" si="43"/>
        <v>200000000</v>
      </c>
      <c r="FR20" s="380"/>
      <c r="FS20" s="383">
        <f>'[1]COE commited funds to date'!AU23</f>
        <v>75000000</v>
      </c>
      <c r="FT20" s="383">
        <f>'[1]COE DISB 2019'!AU28</f>
        <v>0</v>
      </c>
      <c r="FU20" s="383">
        <f t="shared" si="44"/>
        <v>75000000</v>
      </c>
      <c r="FV20" s="380"/>
      <c r="FW20" s="383">
        <f>'[1]COE commited funds to date'!AV23</f>
        <v>8700000</v>
      </c>
      <c r="FX20" s="383">
        <f>'[1]COE DISB 2019'!AV28</f>
        <v>0</v>
      </c>
      <c r="FY20" s="383">
        <f t="shared" si="45"/>
        <v>8700000</v>
      </c>
      <c r="FZ20" s="380"/>
      <c r="GA20" s="383">
        <f>'[1]COE commited funds to date'!AW23</f>
        <v>5000000</v>
      </c>
      <c r="GB20" s="383">
        <f>'[1]COE DISB 2019'!AW28</f>
        <v>0</v>
      </c>
      <c r="GC20" s="383">
        <f t="shared" si="46"/>
        <v>5000000</v>
      </c>
      <c r="GD20" s="380"/>
      <c r="GE20" s="383">
        <f>'[1]COE commited funds to date'!AX23</f>
        <v>20000000</v>
      </c>
      <c r="GF20" s="383">
        <f>'[1]COE DISB 2019'!AX28</f>
        <v>11640600</v>
      </c>
      <c r="GG20" s="383">
        <f t="shared" si="47"/>
        <v>8359400</v>
      </c>
      <c r="GH20" s="380"/>
      <c r="GI20" s="383">
        <f>'[1]COE commited funds to date'!AY23</f>
        <v>230000000</v>
      </c>
      <c r="GJ20" s="383">
        <f>'[1]COE DISB 2019'!AY28</f>
        <v>0</v>
      </c>
      <c r="GK20" s="383">
        <f t="shared" si="48"/>
        <v>230000000</v>
      </c>
      <c r="GL20" s="380"/>
      <c r="GM20" s="383">
        <f>'[1]COE commited funds to date'!AZ23</f>
        <v>116776600</v>
      </c>
      <c r="GN20" s="383">
        <f>'[1]COE DISB 2019'!AZ28</f>
        <v>0</v>
      </c>
      <c r="GO20" s="383">
        <f t="shared" si="49"/>
        <v>116776600</v>
      </c>
      <c r="GP20" s="380"/>
      <c r="GQ20" s="383">
        <f>'[1]COE commited funds to date'!BA23</f>
        <v>12000000</v>
      </c>
      <c r="GR20" s="383">
        <f>'[1]COE DISB 2019'!BA28</f>
        <v>0</v>
      </c>
      <c r="GS20" s="383">
        <f t="shared" si="50"/>
        <v>12000000</v>
      </c>
      <c r="GT20" s="380"/>
      <c r="GU20" s="383">
        <f>'[1]COE commited funds to date'!BB23</f>
        <v>5000000</v>
      </c>
      <c r="GV20" s="383">
        <f>'[1]COE DISB 2019'!BB28</f>
        <v>0</v>
      </c>
      <c r="GW20" s="383">
        <f t="shared" si="51"/>
        <v>5000000</v>
      </c>
      <c r="GX20" s="380"/>
      <c r="GY20" s="383">
        <f>'[1]COE commited funds to date'!BC23</f>
        <v>10308300</v>
      </c>
      <c r="GZ20" s="383">
        <f>'[1]COE DISB 2019'!BC28</f>
        <v>0</v>
      </c>
      <c r="HA20" s="383">
        <f t="shared" si="52"/>
        <v>10308300</v>
      </c>
      <c r="HB20" s="380"/>
      <c r="HC20" s="383">
        <f t="shared" si="53"/>
        <v>2734277865.5</v>
      </c>
      <c r="HD20" s="383">
        <f t="shared" si="53"/>
        <v>1947793515.5699999</v>
      </c>
      <c r="HE20" s="392">
        <f t="shared" si="54"/>
        <v>786484349.93000007</v>
      </c>
      <c r="HG20" s="383">
        <f t="shared" si="55"/>
        <v>2079615965.5</v>
      </c>
      <c r="HH20" s="383">
        <f t="shared" si="55"/>
        <v>1583155915.5699999</v>
      </c>
      <c r="HI20" s="383">
        <f t="shared" si="56"/>
        <v>496460049.93000007</v>
      </c>
      <c r="HK20" s="383">
        <f t="shared" si="57"/>
        <v>300000000</v>
      </c>
      <c r="HL20" s="383">
        <f t="shared" si="57"/>
        <v>270000000</v>
      </c>
      <c r="HM20" s="383">
        <f t="shared" si="58"/>
        <v>30000000</v>
      </c>
      <c r="HO20" s="383">
        <f t="shared" si="37"/>
        <v>877000</v>
      </c>
      <c r="HP20" s="383">
        <f t="shared" si="37"/>
        <v>877000</v>
      </c>
      <c r="HQ20" s="383">
        <f t="shared" si="59"/>
        <v>0</v>
      </c>
      <c r="HS20" s="383">
        <f t="shared" si="60"/>
        <v>89308300</v>
      </c>
      <c r="HT20" s="383">
        <f t="shared" si="60"/>
        <v>70640600</v>
      </c>
      <c r="HU20" s="383">
        <f t="shared" si="61"/>
        <v>18667700</v>
      </c>
      <c r="HW20" s="383">
        <f t="shared" si="62"/>
        <v>36700000</v>
      </c>
      <c r="HX20" s="383">
        <f t="shared" si="62"/>
        <v>9120000</v>
      </c>
      <c r="HY20" s="383">
        <f t="shared" si="63"/>
        <v>27580000</v>
      </c>
      <c r="IA20" s="387">
        <f t="shared" si="64"/>
        <v>20000000</v>
      </c>
      <c r="IB20" s="387">
        <f t="shared" si="64"/>
        <v>0</v>
      </c>
      <c r="IC20" s="387">
        <f t="shared" si="65"/>
        <v>20000000</v>
      </c>
      <c r="IE20" s="383">
        <f t="shared" si="66"/>
        <v>191776600</v>
      </c>
      <c r="IF20" s="383">
        <f t="shared" si="66"/>
        <v>0</v>
      </c>
      <c r="IG20" s="383">
        <f t="shared" si="67"/>
        <v>191776600</v>
      </c>
      <c r="II20" s="383">
        <f t="shared" si="68"/>
        <v>2000000</v>
      </c>
      <c r="IJ20" s="383">
        <f t="shared" si="68"/>
        <v>0</v>
      </c>
      <c r="IK20" s="383">
        <f t="shared" si="69"/>
        <v>2000000</v>
      </c>
    </row>
    <row r="21" spans="1:245" x14ac:dyDescent="0.25">
      <c r="A21" s="380">
        <v>18</v>
      </c>
      <c r="B21" s="380" t="s">
        <v>337</v>
      </c>
      <c r="C21" s="431" t="s">
        <v>74</v>
      </c>
      <c r="D21" s="392">
        <v>18318965.5</v>
      </c>
      <c r="E21" s="392">
        <f>'[1]COE DISB 2019'!D29</f>
        <v>18318965.5</v>
      </c>
      <c r="F21" s="383">
        <f t="shared" si="0"/>
        <v>0</v>
      </c>
      <c r="H21" s="392">
        <v>8000000</v>
      </c>
      <c r="I21" s="392">
        <f>'[1]COE DISB 2019'!E29</f>
        <v>8000000</v>
      </c>
      <c r="J21" s="383">
        <f t="shared" si="1"/>
        <v>0</v>
      </c>
      <c r="L21" s="392">
        <v>500000</v>
      </c>
      <c r="M21" s="392">
        <f>'[1]COE DISB 2019'!F29</f>
        <v>500000</v>
      </c>
      <c r="N21" s="383">
        <f t="shared" si="2"/>
        <v>0</v>
      </c>
      <c r="P21" s="353">
        <v>16000000</v>
      </c>
      <c r="Q21" s="392">
        <f>'[1]COE DISB 2019'!G29</f>
        <v>16000000</v>
      </c>
      <c r="R21" s="383">
        <f t="shared" si="3"/>
        <v>0</v>
      </c>
      <c r="T21" s="385">
        <v>212000</v>
      </c>
      <c r="U21" s="392">
        <f>'[1]COE DISB 2019'!H29</f>
        <v>212000</v>
      </c>
      <c r="V21" s="383">
        <f t="shared" si="4"/>
        <v>0</v>
      </c>
      <c r="X21" s="385">
        <v>4000000</v>
      </c>
      <c r="Y21" s="392">
        <f>'[1]COE DISB 2019'!I29</f>
        <v>4000000</v>
      </c>
      <c r="Z21" s="383">
        <f t="shared" si="5"/>
        <v>0</v>
      </c>
      <c r="AB21" s="385">
        <v>20000000</v>
      </c>
      <c r="AC21" s="392">
        <f>'[1]COE DISB 2019'!J29</f>
        <v>20000000</v>
      </c>
      <c r="AD21" s="383">
        <f t="shared" si="6"/>
        <v>0</v>
      </c>
      <c r="AF21" s="353">
        <v>0</v>
      </c>
      <c r="AG21" s="392">
        <f>'[1]COE DISB 2019'!K29</f>
        <v>0</v>
      </c>
      <c r="AH21" s="383">
        <f t="shared" si="7"/>
        <v>0</v>
      </c>
      <c r="AJ21" s="385">
        <v>10000000</v>
      </c>
      <c r="AK21" s="392">
        <f>'[1]COE DISB 2019'!L29</f>
        <v>10000000</v>
      </c>
      <c r="AL21" s="383">
        <f t="shared" si="8"/>
        <v>0</v>
      </c>
      <c r="AN21" s="392">
        <v>10000000</v>
      </c>
      <c r="AO21" s="392">
        <f>'[1]COE DISB 2019'!M29</f>
        <v>10000000</v>
      </c>
      <c r="AP21" s="383">
        <f t="shared" si="9"/>
        <v>0</v>
      </c>
      <c r="AR21" s="392">
        <v>15000000</v>
      </c>
      <c r="AS21" s="392">
        <f>'[1]COE DISB 2019'!N29</f>
        <v>15000000</v>
      </c>
      <c r="AT21" s="383">
        <f t="shared" si="10"/>
        <v>0</v>
      </c>
      <c r="AV21" s="392">
        <v>8500000</v>
      </c>
      <c r="AW21" s="393">
        <f>'[1]COE DISB 2019'!O29</f>
        <v>8500000</v>
      </c>
      <c r="AX21" s="392">
        <f t="shared" si="11"/>
        <v>0</v>
      </c>
      <c r="AZ21" s="392">
        <v>18000000</v>
      </c>
      <c r="BA21" s="392">
        <f>'[1]COE DISB 2019'!P29</f>
        <v>18000000</v>
      </c>
      <c r="BB21" s="392">
        <f t="shared" si="12"/>
        <v>0</v>
      </c>
      <c r="BD21" s="392">
        <v>23400000</v>
      </c>
      <c r="BE21" s="392">
        <f>'[1]COE DISB 2019'!Q29</f>
        <v>23400000</v>
      </c>
      <c r="BF21" s="392">
        <f t="shared" si="13"/>
        <v>0</v>
      </c>
      <c r="BH21" s="392">
        <v>0</v>
      </c>
      <c r="BI21" s="392">
        <f>'[1]COE DISB 2019'!R29</f>
        <v>0</v>
      </c>
      <c r="BJ21" s="392">
        <f t="shared" si="14"/>
        <v>0</v>
      </c>
      <c r="BL21" s="392">
        <v>43000000</v>
      </c>
      <c r="BM21" s="392">
        <f>'[1]COE DISB 2019'!S29</f>
        <v>43000000</v>
      </c>
      <c r="BN21" s="392">
        <f t="shared" si="15"/>
        <v>0</v>
      </c>
      <c r="BP21" s="392">
        <v>37160000</v>
      </c>
      <c r="BQ21" s="392">
        <f>'[1]COE DISB 2019'!T29</f>
        <v>37160000</v>
      </c>
      <c r="BR21" s="392">
        <f t="shared" si="16"/>
        <v>0</v>
      </c>
      <c r="BT21" s="392">
        <v>0</v>
      </c>
      <c r="BU21" s="392">
        <f>'[1]COE DISB 2019'!U29</f>
        <v>0</v>
      </c>
      <c r="BV21" s="392">
        <f t="shared" si="17"/>
        <v>0</v>
      </c>
      <c r="BX21" s="392">
        <v>112670000</v>
      </c>
      <c r="BY21" s="392">
        <f>'[1]COE DISB 2019'!V29</f>
        <v>112670000</v>
      </c>
      <c r="BZ21" s="392">
        <f t="shared" si="18"/>
        <v>0</v>
      </c>
      <c r="CB21" s="392">
        <f>'[1]COE commited funds to date'!W24</f>
        <v>42500000</v>
      </c>
      <c r="CC21" s="392">
        <f>'[1]COE DISB 2019'!W29</f>
        <v>42500000</v>
      </c>
      <c r="CD21" s="392">
        <f t="shared" si="19"/>
        <v>0</v>
      </c>
      <c r="CF21" s="392">
        <f>'[1]COE commited funds to date'!X24</f>
        <v>125000000</v>
      </c>
      <c r="CG21" s="392">
        <f>'[1]COE DISB 2019'!X29</f>
        <v>125000000</v>
      </c>
      <c r="CH21" s="392">
        <f t="shared" si="20"/>
        <v>0</v>
      </c>
      <c r="CJ21" s="392">
        <v>10000000</v>
      </c>
      <c r="CK21" s="392">
        <f>'[1]COE DISB 2019'!Y29</f>
        <v>10000000</v>
      </c>
      <c r="CL21" s="392">
        <f t="shared" si="21"/>
        <v>0</v>
      </c>
      <c r="CN21" s="392">
        <v>0</v>
      </c>
      <c r="CO21" s="392">
        <f>'[1]COE DISB 2019'!Z29</f>
        <v>0</v>
      </c>
      <c r="CP21" s="392">
        <f t="shared" si="22"/>
        <v>0</v>
      </c>
      <c r="CR21" s="392">
        <v>210000000</v>
      </c>
      <c r="CS21" s="392">
        <f>'[1]COE DISB 2019'!AA29</f>
        <v>210000000</v>
      </c>
      <c r="CT21" s="392">
        <f t="shared" si="23"/>
        <v>0</v>
      </c>
      <c r="CV21" s="392">
        <v>10000000</v>
      </c>
      <c r="CW21" s="392">
        <f>'[1]COE DISB 2019'!AB29</f>
        <v>10000000</v>
      </c>
      <c r="CX21" s="392">
        <f t="shared" si="24"/>
        <v>0</v>
      </c>
      <c r="CZ21" s="392">
        <f>'[1]COE commited funds to date'!AC24</f>
        <v>142000000</v>
      </c>
      <c r="DA21" s="392">
        <f>'[1]COE DISB 2019'!AC29</f>
        <v>142000000</v>
      </c>
      <c r="DB21" s="392">
        <f t="shared" si="25"/>
        <v>0</v>
      </c>
      <c r="DC21" s="394"/>
      <c r="DD21" s="392">
        <v>215000000</v>
      </c>
      <c r="DE21" s="392">
        <f>'[1]COE DISB 2019'!AD29</f>
        <v>215000000</v>
      </c>
      <c r="DF21" s="392">
        <f t="shared" si="26"/>
        <v>0</v>
      </c>
      <c r="DG21" s="394"/>
      <c r="DH21" s="392">
        <v>10000000</v>
      </c>
      <c r="DI21" s="392">
        <f>'[1]COE DISB 2019'!AE29</f>
        <v>8912600</v>
      </c>
      <c r="DJ21" s="392">
        <f t="shared" si="27"/>
        <v>1087400</v>
      </c>
      <c r="DK21" s="394"/>
      <c r="DL21" s="392">
        <f>'[1]COE commited funds to date'!AD24</f>
        <v>0</v>
      </c>
      <c r="DM21" s="392">
        <f>'[1]COE DISB 2019'!AF29</f>
        <v>0</v>
      </c>
      <c r="DN21" s="392">
        <f t="shared" si="28"/>
        <v>0</v>
      </c>
      <c r="DO21" s="394"/>
      <c r="DP21" s="392">
        <v>325000000</v>
      </c>
      <c r="DQ21" s="392">
        <f>'[1]COE DISB 2019'!AG29</f>
        <v>325000000</v>
      </c>
      <c r="DR21" s="392">
        <f t="shared" si="29"/>
        <v>0</v>
      </c>
      <c r="DS21" s="394"/>
      <c r="DT21" s="397">
        <v>10000000</v>
      </c>
      <c r="DU21" s="392">
        <f>'[1]COE DISB 2019'!AH29</f>
        <v>10000000</v>
      </c>
      <c r="DV21" s="392">
        <f t="shared" si="30"/>
        <v>0</v>
      </c>
      <c r="DW21" s="394"/>
      <c r="DX21" s="392">
        <f>'[1]COE commited funds to date'!AI24</f>
        <v>0</v>
      </c>
      <c r="DY21" s="392">
        <f>'[1]COE DISB 2019'!AI29</f>
        <v>0</v>
      </c>
      <c r="DZ21" s="392">
        <f t="shared" si="31"/>
        <v>0</v>
      </c>
      <c r="EA21" s="394"/>
      <c r="EB21" s="392">
        <f>'[1]COE commited funds to date'!AJ24</f>
        <v>72000000</v>
      </c>
      <c r="EC21" s="392">
        <f>'[1]COE DISB 2019'!AJ29</f>
        <v>61200000</v>
      </c>
      <c r="ED21" s="392">
        <f t="shared" si="32"/>
        <v>10800000</v>
      </c>
      <c r="EE21" s="394"/>
      <c r="EF21" s="392">
        <f>'[1]COE commited funds to date'!AK24</f>
        <v>8000000</v>
      </c>
      <c r="EG21" s="392">
        <f>'[1]COE DISB 2019'!AK29</f>
        <v>0</v>
      </c>
      <c r="EH21" s="392">
        <f t="shared" si="33"/>
        <v>8000000</v>
      </c>
      <c r="EI21" s="394"/>
      <c r="EJ21" s="392">
        <f>'[1]COE commited funds to date'!AL24</f>
        <v>2000000</v>
      </c>
      <c r="EK21" s="392">
        <f>'[1]COE DISB 2019'!AL29</f>
        <v>0</v>
      </c>
      <c r="EL21" s="392">
        <f t="shared" si="34"/>
        <v>2000000</v>
      </c>
      <c r="EM21" s="394"/>
      <c r="EN21" s="392">
        <f>'[1]COE commited funds to date'!AM24</f>
        <v>7000000</v>
      </c>
      <c r="EO21" s="392">
        <f>'[1]COE DISB 2019'!AM29</f>
        <v>7000000</v>
      </c>
      <c r="EP21" s="392">
        <f t="shared" si="35"/>
        <v>0</v>
      </c>
      <c r="EQ21" s="394"/>
      <c r="ER21" s="392">
        <f>'[1]COE commited funds to date'!AN24</f>
        <v>0</v>
      </c>
      <c r="ES21" s="392">
        <f>'[1]COE DISB 2019'!AN29</f>
        <v>0</v>
      </c>
      <c r="ET21" s="392">
        <f t="shared" si="36"/>
        <v>0</v>
      </c>
      <c r="EV21" s="383">
        <f>'[1]COE commited funds to date'!AO24</f>
        <v>371067000</v>
      </c>
      <c r="EW21" s="383">
        <f>'[1]COE DISB 2019'!AO29</f>
        <v>315406950</v>
      </c>
      <c r="EX21" s="383">
        <f t="shared" si="38"/>
        <v>55660050</v>
      </c>
      <c r="EY21" s="380"/>
      <c r="EZ21" s="383">
        <f>'[1]COE commited funds to date'!AQ24</f>
        <v>12000000</v>
      </c>
      <c r="FA21" s="383">
        <f>'[1]COE DISB 2019'!AP29</f>
        <v>12000000</v>
      </c>
      <c r="FB21" s="383">
        <f t="shared" si="39"/>
        <v>0</v>
      </c>
      <c r="FC21" s="380"/>
      <c r="FD21" s="383">
        <f>'[1]COE commited funds to date'!AR24</f>
        <v>10000000</v>
      </c>
      <c r="FE21" s="383">
        <f>'[1]COE DISB 2019'!AQ29</f>
        <v>0</v>
      </c>
      <c r="FF21" s="383">
        <f t="shared" si="40"/>
        <v>10000000</v>
      </c>
      <c r="FG21" s="380"/>
      <c r="FH21" s="383">
        <f>'[1]COE commited funds to date'!AP24</f>
        <v>8000000</v>
      </c>
      <c r="FI21" s="383">
        <f>'[1]COE DISB 2019'!AR29</f>
        <v>0</v>
      </c>
      <c r="FJ21" s="383">
        <f t="shared" si="41"/>
        <v>8000000</v>
      </c>
      <c r="FK21" s="383">
        <f>'[1]COE commited funds to date'!AS24</f>
        <v>150000000</v>
      </c>
      <c r="FL21" s="383">
        <f>'[1]COE DISB 2019'!AS29</f>
        <v>127500000</v>
      </c>
      <c r="FM21" s="383">
        <f t="shared" si="42"/>
        <v>22500000</v>
      </c>
      <c r="FN21" s="380"/>
      <c r="FO21" s="383">
        <f>'[1]COE commited funds to date'!AT24</f>
        <v>200000000</v>
      </c>
      <c r="FP21" s="383">
        <f>'[1]COE DISB 2019'!AT29</f>
        <v>0</v>
      </c>
      <c r="FQ21" s="383">
        <f t="shared" si="43"/>
        <v>200000000</v>
      </c>
      <c r="FR21" s="380"/>
      <c r="FS21" s="383">
        <f>'[1]COE commited funds to date'!AU24</f>
        <v>75000000</v>
      </c>
      <c r="FT21" s="383">
        <f>'[1]COE DISB 2019'!AU29</f>
        <v>51000000</v>
      </c>
      <c r="FU21" s="383">
        <f t="shared" si="44"/>
        <v>24000000</v>
      </c>
      <c r="FV21" s="380"/>
      <c r="FW21" s="383">
        <f>'[1]COE commited funds to date'!AV24</f>
        <v>8700000</v>
      </c>
      <c r="FX21" s="383">
        <f>'[1]COE DISB 2019'!AV29</f>
        <v>0</v>
      </c>
      <c r="FY21" s="383">
        <f t="shared" si="45"/>
        <v>8700000</v>
      </c>
      <c r="FZ21" s="380"/>
      <c r="GA21" s="383">
        <f>'[1]COE commited funds to date'!AW24</f>
        <v>5000000</v>
      </c>
      <c r="GB21" s="383">
        <f>'[1]COE DISB 2019'!AW29</f>
        <v>0</v>
      </c>
      <c r="GC21" s="383">
        <f t="shared" si="46"/>
        <v>5000000</v>
      </c>
      <c r="GD21" s="380"/>
      <c r="GE21" s="383">
        <f>'[1]COE commited funds to date'!AX24</f>
        <v>20000000</v>
      </c>
      <c r="GF21" s="383">
        <f>'[1]COE DISB 2019'!AX29</f>
        <v>9766600</v>
      </c>
      <c r="GG21" s="383">
        <f t="shared" si="47"/>
        <v>10233400</v>
      </c>
      <c r="GH21" s="380"/>
      <c r="GI21" s="383">
        <f>'[1]COE commited funds to date'!AY24</f>
        <v>230000000</v>
      </c>
      <c r="GJ21" s="383">
        <f>'[1]COE DISB 2019'!AY29</f>
        <v>0</v>
      </c>
      <c r="GK21" s="383">
        <f t="shared" si="48"/>
        <v>230000000</v>
      </c>
      <c r="GL21" s="380"/>
      <c r="GM21" s="383">
        <f>'[1]COE commited funds to date'!AZ24</f>
        <v>116776600</v>
      </c>
      <c r="GN21" s="383">
        <f>'[1]COE DISB 2019'!AZ29</f>
        <v>0</v>
      </c>
      <c r="GO21" s="383">
        <f t="shared" si="49"/>
        <v>116776600</v>
      </c>
      <c r="GP21" s="380"/>
      <c r="GQ21" s="383">
        <f>'[1]COE commited funds to date'!BA24</f>
        <v>12000000</v>
      </c>
      <c r="GR21" s="383">
        <f>'[1]COE DISB 2019'!BA29</f>
        <v>0</v>
      </c>
      <c r="GS21" s="383">
        <f t="shared" si="50"/>
        <v>12000000</v>
      </c>
      <c r="GT21" s="380"/>
      <c r="GU21" s="383">
        <f>'[1]COE commited funds to date'!BB24</f>
        <v>5000000</v>
      </c>
      <c r="GV21" s="383">
        <f>'[1]COE DISB 2019'!BB29</f>
        <v>0</v>
      </c>
      <c r="GW21" s="383">
        <f t="shared" si="51"/>
        <v>5000000</v>
      </c>
      <c r="GX21" s="380"/>
      <c r="GY21" s="383">
        <f>'[1]COE commited funds to date'!BC24</f>
        <v>10308300</v>
      </c>
      <c r="GZ21" s="383">
        <f>'[1]COE DISB 2019'!BC29</f>
        <v>0</v>
      </c>
      <c r="HA21" s="383">
        <f t="shared" si="52"/>
        <v>10308300</v>
      </c>
      <c r="HB21" s="380"/>
      <c r="HC21" s="383">
        <f t="shared" si="53"/>
        <v>2767112865.5</v>
      </c>
      <c r="HD21" s="383">
        <f t="shared" si="53"/>
        <v>2027047115.5</v>
      </c>
      <c r="HE21" s="392">
        <f t="shared" si="54"/>
        <v>740065750</v>
      </c>
      <c r="HG21" s="383">
        <f t="shared" si="55"/>
        <v>2079615965.5</v>
      </c>
      <c r="HH21" s="383">
        <f t="shared" si="55"/>
        <v>1583155915.5</v>
      </c>
      <c r="HI21" s="383">
        <f t="shared" si="56"/>
        <v>496460050</v>
      </c>
      <c r="HK21" s="383">
        <f t="shared" si="57"/>
        <v>184500000</v>
      </c>
      <c r="HL21" s="383">
        <f t="shared" si="57"/>
        <v>184500000</v>
      </c>
      <c r="HM21" s="383">
        <f t="shared" si="58"/>
        <v>0</v>
      </c>
      <c r="HO21" s="383">
        <f t="shared" si="37"/>
        <v>712000</v>
      </c>
      <c r="HP21" s="383">
        <f t="shared" si="37"/>
        <v>712000</v>
      </c>
      <c r="HQ21" s="383">
        <f t="shared" si="59"/>
        <v>0</v>
      </c>
      <c r="HS21" s="383">
        <f t="shared" si="60"/>
        <v>89308300</v>
      </c>
      <c r="HT21" s="383">
        <f t="shared" si="60"/>
        <v>67679200</v>
      </c>
      <c r="HU21" s="383">
        <f t="shared" si="61"/>
        <v>21629100</v>
      </c>
      <c r="HW21" s="383">
        <f t="shared" si="62"/>
        <v>36700000</v>
      </c>
      <c r="HX21" s="383">
        <f t="shared" si="62"/>
        <v>0</v>
      </c>
      <c r="HY21" s="383">
        <f t="shared" si="63"/>
        <v>36700000</v>
      </c>
      <c r="IA21" s="387">
        <f t="shared" si="64"/>
        <v>20000000</v>
      </c>
      <c r="IB21" s="387">
        <f t="shared" si="64"/>
        <v>0</v>
      </c>
      <c r="IC21" s="387">
        <f t="shared" si="65"/>
        <v>20000000</v>
      </c>
      <c r="IE21" s="383">
        <f t="shared" si="66"/>
        <v>341776600</v>
      </c>
      <c r="IF21" s="383">
        <f t="shared" si="66"/>
        <v>178500000</v>
      </c>
      <c r="IG21" s="383">
        <f t="shared" si="67"/>
        <v>163276600</v>
      </c>
      <c r="II21" s="383">
        <f t="shared" si="68"/>
        <v>2000000</v>
      </c>
      <c r="IJ21" s="383">
        <f t="shared" si="68"/>
        <v>0</v>
      </c>
      <c r="IK21" s="383">
        <f t="shared" si="69"/>
        <v>2000000</v>
      </c>
    </row>
    <row r="22" spans="1:245" x14ac:dyDescent="0.25">
      <c r="A22" s="380">
        <v>19</v>
      </c>
      <c r="B22" s="380" t="s">
        <v>338</v>
      </c>
      <c r="C22" s="431" t="s">
        <v>63</v>
      </c>
      <c r="D22" s="392">
        <v>18318965.5</v>
      </c>
      <c r="E22" s="392">
        <f>'[1]COE DISB 2019'!D30</f>
        <v>18318965.5</v>
      </c>
      <c r="F22" s="383">
        <f t="shared" si="0"/>
        <v>0</v>
      </c>
      <c r="H22" s="392">
        <v>8000000</v>
      </c>
      <c r="I22" s="392">
        <f>'[1]COE DISB 2019'!E30</f>
        <v>8000000</v>
      </c>
      <c r="J22" s="383">
        <f t="shared" si="1"/>
        <v>0</v>
      </c>
      <c r="L22" s="392">
        <v>500000</v>
      </c>
      <c r="M22" s="392">
        <f>'[1]COE DISB 2019'!F30</f>
        <v>500000</v>
      </c>
      <c r="N22" s="383">
        <f t="shared" si="2"/>
        <v>0</v>
      </c>
      <c r="P22" s="353">
        <v>16000000</v>
      </c>
      <c r="Q22" s="392">
        <f>'[1]COE DISB 2019'!G30</f>
        <v>16000000</v>
      </c>
      <c r="R22" s="383">
        <f t="shared" si="3"/>
        <v>0</v>
      </c>
      <c r="T22" s="385">
        <v>310000</v>
      </c>
      <c r="U22" s="392">
        <f>'[1]COE DISB 2019'!H30</f>
        <v>310000</v>
      </c>
      <c r="V22" s="383">
        <f t="shared" si="4"/>
        <v>0</v>
      </c>
      <c r="X22" s="385">
        <v>4000000</v>
      </c>
      <c r="Y22" s="392">
        <f>'[1]COE DISB 2019'!I30</f>
        <v>4000000</v>
      </c>
      <c r="Z22" s="383">
        <f t="shared" si="5"/>
        <v>0</v>
      </c>
      <c r="AB22" s="385">
        <v>20000000</v>
      </c>
      <c r="AC22" s="392">
        <f>'[1]COE DISB 2019'!J30</f>
        <v>20000000</v>
      </c>
      <c r="AD22" s="383">
        <f t="shared" si="6"/>
        <v>0</v>
      </c>
      <c r="AF22" s="353">
        <v>0</v>
      </c>
      <c r="AG22" s="392">
        <f>'[1]COE DISB 2019'!K30</f>
        <v>0</v>
      </c>
      <c r="AH22" s="383">
        <f t="shared" si="7"/>
        <v>0</v>
      </c>
      <c r="AJ22" s="385">
        <v>10000000</v>
      </c>
      <c r="AK22" s="392">
        <f>'[1]COE DISB 2019'!L30</f>
        <v>10000000</v>
      </c>
      <c r="AL22" s="383">
        <f t="shared" si="8"/>
        <v>0</v>
      </c>
      <c r="AN22" s="392">
        <v>10000000</v>
      </c>
      <c r="AO22" s="392">
        <f>'[1]COE DISB 2019'!M30</f>
        <v>10000000</v>
      </c>
      <c r="AP22" s="383">
        <f t="shared" si="9"/>
        <v>0</v>
      </c>
      <c r="AR22" s="392">
        <v>15000000</v>
      </c>
      <c r="AS22" s="392">
        <f>'[1]COE DISB 2019'!N30</f>
        <v>15000000</v>
      </c>
      <c r="AT22" s="383">
        <f t="shared" si="10"/>
        <v>0</v>
      </c>
      <c r="AV22" s="392">
        <v>10000000</v>
      </c>
      <c r="AW22" s="393">
        <f>'[1]COE DISB 2019'!O30</f>
        <v>10000000</v>
      </c>
      <c r="AX22" s="392">
        <f t="shared" si="11"/>
        <v>0</v>
      </c>
      <c r="AZ22" s="392">
        <v>18000000</v>
      </c>
      <c r="BA22" s="392">
        <f>'[1]COE DISB 2019'!P30</f>
        <v>18000000</v>
      </c>
      <c r="BB22" s="392">
        <f t="shared" si="12"/>
        <v>0</v>
      </c>
      <c r="BD22" s="392">
        <v>23400000</v>
      </c>
      <c r="BE22" s="392">
        <f>'[1]COE DISB 2019'!Q30</f>
        <v>23400000</v>
      </c>
      <c r="BF22" s="392">
        <f t="shared" si="13"/>
        <v>0</v>
      </c>
      <c r="BH22" s="392">
        <v>0</v>
      </c>
      <c r="BI22" s="392">
        <f>'[1]COE DISB 2019'!R30</f>
        <v>0</v>
      </c>
      <c r="BJ22" s="392">
        <f t="shared" si="14"/>
        <v>0</v>
      </c>
      <c r="BL22" s="392">
        <v>43000000</v>
      </c>
      <c r="BM22" s="392">
        <f>'[1]COE DISB 2019'!S30</f>
        <v>43000000</v>
      </c>
      <c r="BN22" s="392">
        <f t="shared" si="15"/>
        <v>0</v>
      </c>
      <c r="BP22" s="392">
        <v>37160000</v>
      </c>
      <c r="BQ22" s="392">
        <f>'[1]COE DISB 2019'!T30</f>
        <v>37160000</v>
      </c>
      <c r="BR22" s="392">
        <f t="shared" si="16"/>
        <v>0</v>
      </c>
      <c r="BT22" s="392">
        <v>0</v>
      </c>
      <c r="BU22" s="392">
        <f>'[1]COE DISB 2019'!U30</f>
        <v>0</v>
      </c>
      <c r="BV22" s="392">
        <f t="shared" si="17"/>
        <v>0</v>
      </c>
      <c r="BX22" s="392">
        <v>95769500</v>
      </c>
      <c r="BY22" s="392">
        <f>'[1]COE DISB 2019'!V30</f>
        <v>95769500</v>
      </c>
      <c r="BZ22" s="392">
        <f t="shared" si="18"/>
        <v>0</v>
      </c>
      <c r="CB22" s="392">
        <f>'[1]COE commited funds to date'!W25</f>
        <v>100000000</v>
      </c>
      <c r="CC22" s="392">
        <f>'[1]COE DISB 2019'!W30</f>
        <v>100000000</v>
      </c>
      <c r="CD22" s="392">
        <f t="shared" si="19"/>
        <v>0</v>
      </c>
      <c r="CF22" s="392">
        <f>'[1]COE commited funds to date'!X25</f>
        <v>125000000</v>
      </c>
      <c r="CG22" s="392">
        <f>'[1]COE DISB 2019'!X30</f>
        <v>125000000</v>
      </c>
      <c r="CH22" s="392">
        <f t="shared" si="20"/>
        <v>0</v>
      </c>
      <c r="CJ22" s="392">
        <v>10000000</v>
      </c>
      <c r="CK22" s="392">
        <f>'[1]COE DISB 2019'!Y30</f>
        <v>10000000</v>
      </c>
      <c r="CL22" s="392">
        <f t="shared" si="21"/>
        <v>0</v>
      </c>
      <c r="CN22" s="392">
        <v>160000000</v>
      </c>
      <c r="CO22" s="392">
        <f>'[1]COE DISB 2019'!Z30</f>
        <v>160000000</v>
      </c>
      <c r="CP22" s="392">
        <f t="shared" si="22"/>
        <v>0</v>
      </c>
      <c r="CR22" s="392">
        <v>210000000</v>
      </c>
      <c r="CS22" s="392">
        <f>'[1]COE DISB 2019'!AA30</f>
        <v>210000000</v>
      </c>
      <c r="CT22" s="392">
        <f t="shared" si="23"/>
        <v>0</v>
      </c>
      <c r="CV22" s="392">
        <v>10000000</v>
      </c>
      <c r="CW22" s="392">
        <f>'[1]COE DISB 2019'!AB30</f>
        <v>10000000</v>
      </c>
      <c r="CX22" s="392">
        <f t="shared" si="24"/>
        <v>0</v>
      </c>
      <c r="CZ22" s="392">
        <f>'[1]COE commited funds to date'!AC25</f>
        <v>600000000</v>
      </c>
      <c r="DA22" s="392">
        <f>'[1]COE DISB 2019'!AC30</f>
        <v>600000000</v>
      </c>
      <c r="DB22" s="392">
        <f t="shared" si="25"/>
        <v>0</v>
      </c>
      <c r="DC22" s="394"/>
      <c r="DD22" s="392">
        <v>215000000</v>
      </c>
      <c r="DE22" s="392">
        <f>'[1]COE DISB 2019'!AD30</f>
        <v>215000000</v>
      </c>
      <c r="DF22" s="392">
        <f t="shared" si="26"/>
        <v>0</v>
      </c>
      <c r="DG22" s="394"/>
      <c r="DH22" s="392">
        <v>10000000</v>
      </c>
      <c r="DI22" s="392">
        <f>'[1]COE DISB 2019'!AE30</f>
        <v>10000000</v>
      </c>
      <c r="DJ22" s="392">
        <f t="shared" si="27"/>
        <v>0</v>
      </c>
      <c r="DK22" s="394"/>
      <c r="DL22" s="392">
        <f>'[1]COE commited funds to date'!AD25</f>
        <v>100000000</v>
      </c>
      <c r="DM22" s="392">
        <f>'[1]COE DISB 2019'!AF30</f>
        <v>100000000</v>
      </c>
      <c r="DN22" s="392">
        <f t="shared" si="28"/>
        <v>0</v>
      </c>
      <c r="DO22" s="394"/>
      <c r="DP22" s="392">
        <v>325000000</v>
      </c>
      <c r="DQ22" s="392">
        <f>'[1]COE DISB 2019'!AG30</f>
        <v>182000000</v>
      </c>
      <c r="DR22" s="392">
        <f t="shared" si="29"/>
        <v>143000000</v>
      </c>
      <c r="DS22" s="394"/>
      <c r="DT22" s="397">
        <v>10000000</v>
      </c>
      <c r="DU22" s="392">
        <f>'[1]COE DISB 2019'!AH30</f>
        <v>10000000</v>
      </c>
      <c r="DV22" s="392">
        <f t="shared" si="30"/>
        <v>0</v>
      </c>
      <c r="DW22" s="394"/>
      <c r="DX22" s="392">
        <f>'[1]COE commited funds to date'!AI25</f>
        <v>230000000</v>
      </c>
      <c r="DY22" s="392">
        <f>'[1]COE DISB 2019'!AI30</f>
        <v>230000000</v>
      </c>
      <c r="DZ22" s="392">
        <f t="shared" si="31"/>
        <v>0</v>
      </c>
      <c r="EA22" s="394"/>
      <c r="EB22" s="392">
        <f>'[1]COE commited funds to date'!AJ25</f>
        <v>72000000</v>
      </c>
      <c r="EC22" s="392">
        <f>'[1]COE DISB 2019'!AJ30</f>
        <v>40320000</v>
      </c>
      <c r="ED22" s="392">
        <f t="shared" si="32"/>
        <v>31680000</v>
      </c>
      <c r="EE22" s="394"/>
      <c r="EF22" s="392">
        <f>'[1]COE commited funds to date'!AK25</f>
        <v>8000000</v>
      </c>
      <c r="EG22" s="392">
        <f>'[1]COE DISB 2019'!AK30</f>
        <v>0</v>
      </c>
      <c r="EH22" s="392">
        <f t="shared" si="33"/>
        <v>8000000</v>
      </c>
      <c r="EI22" s="394"/>
      <c r="EJ22" s="392">
        <f>'[1]COE commited funds to date'!AL25</f>
        <v>2000000</v>
      </c>
      <c r="EK22" s="392">
        <f>'[1]COE DISB 2019'!AL30</f>
        <v>0</v>
      </c>
      <c r="EL22" s="392">
        <f t="shared" si="34"/>
        <v>2000000</v>
      </c>
      <c r="EM22" s="394"/>
      <c r="EN22" s="392">
        <f>'[1]COE commited funds to date'!AM25</f>
        <v>7000000</v>
      </c>
      <c r="EO22" s="392">
        <f>'[1]COE DISB 2019'!AM30</f>
        <v>7000000</v>
      </c>
      <c r="EP22" s="392">
        <f t="shared" si="35"/>
        <v>0</v>
      </c>
      <c r="EQ22" s="394"/>
      <c r="ER22" s="392">
        <f>'[1]COE commited funds to date'!AN25</f>
        <v>1000000000</v>
      </c>
      <c r="ES22" s="392">
        <f>'[1]COE DISB 2019'!AN30</f>
        <v>998500000</v>
      </c>
      <c r="ET22" s="392">
        <f t="shared" si="36"/>
        <v>1500000</v>
      </c>
      <c r="EV22" s="383">
        <f>'[1]COE commited funds to date'!AO25</f>
        <v>371067000</v>
      </c>
      <c r="EW22" s="383">
        <f>'[1]COE DISB 2019'!AO30</f>
        <v>207797520</v>
      </c>
      <c r="EX22" s="383">
        <f t="shared" si="38"/>
        <v>163269480</v>
      </c>
      <c r="EY22" s="380"/>
      <c r="EZ22" s="383">
        <f>'[1]COE commited funds to date'!AQ25</f>
        <v>12000000</v>
      </c>
      <c r="FA22" s="383">
        <f>'[1]COE DISB 2019'!AP30</f>
        <v>12000000</v>
      </c>
      <c r="FB22" s="383">
        <f t="shared" si="39"/>
        <v>0</v>
      </c>
      <c r="FC22" s="380"/>
      <c r="FD22" s="383">
        <f>'[1]COE commited funds to date'!AR25</f>
        <v>10000000</v>
      </c>
      <c r="FE22" s="383">
        <f>'[1]COE DISB 2019'!AQ30</f>
        <v>0</v>
      </c>
      <c r="FF22" s="383">
        <f t="shared" si="40"/>
        <v>10000000</v>
      </c>
      <c r="FG22" s="380"/>
      <c r="FH22" s="383">
        <f>'[1]COE commited funds to date'!AP25</f>
        <v>8000000</v>
      </c>
      <c r="FI22" s="383">
        <f>'[1]COE DISB 2019'!AR30</f>
        <v>0</v>
      </c>
      <c r="FJ22" s="383">
        <f t="shared" si="41"/>
        <v>8000000</v>
      </c>
      <c r="FK22" s="383">
        <f>'[1]COE commited funds to date'!AS25</f>
        <v>0</v>
      </c>
      <c r="FL22" s="383">
        <f>'[1]COE DISB 2019'!AS30</f>
        <v>0</v>
      </c>
      <c r="FM22" s="383">
        <f t="shared" si="42"/>
        <v>0</v>
      </c>
      <c r="FN22" s="380"/>
      <c r="FO22" s="383">
        <f>'[1]COE commited funds to date'!AT25</f>
        <v>200000000</v>
      </c>
      <c r="FP22" s="383">
        <f>'[1]COE DISB 2019'!AT30</f>
        <v>0</v>
      </c>
      <c r="FQ22" s="383">
        <f t="shared" si="43"/>
        <v>200000000</v>
      </c>
      <c r="FR22" s="380"/>
      <c r="FS22" s="383">
        <f>'[1]COE commited funds to date'!AU25</f>
        <v>75000000</v>
      </c>
      <c r="FT22" s="383">
        <f>'[1]COE DISB 2019'!AU30</f>
        <v>51750000</v>
      </c>
      <c r="FU22" s="383">
        <f t="shared" si="44"/>
        <v>23250000</v>
      </c>
      <c r="FV22" s="380"/>
      <c r="FW22" s="383">
        <f>'[1]COE commited funds to date'!AV25</f>
        <v>8700000</v>
      </c>
      <c r="FX22" s="383">
        <f>'[1]COE DISB 2019'!AV30</f>
        <v>0</v>
      </c>
      <c r="FY22" s="383">
        <f t="shared" si="45"/>
        <v>8700000</v>
      </c>
      <c r="FZ22" s="380"/>
      <c r="GA22" s="383">
        <f>'[1]COE commited funds to date'!AW25</f>
        <v>5000000</v>
      </c>
      <c r="GB22" s="383">
        <f>'[1]COE DISB 2019'!AW30</f>
        <v>0</v>
      </c>
      <c r="GC22" s="383">
        <f t="shared" si="46"/>
        <v>5000000</v>
      </c>
      <c r="GD22" s="380"/>
      <c r="GE22" s="383">
        <f>'[1]COE commited funds to date'!AX25</f>
        <v>20000000</v>
      </c>
      <c r="GF22" s="383">
        <f>'[1]COE DISB 2019'!AX30</f>
        <v>11519400</v>
      </c>
      <c r="GG22" s="383">
        <f t="shared" si="47"/>
        <v>8480600</v>
      </c>
      <c r="GH22" s="380"/>
      <c r="GI22" s="383">
        <f>'[1]COE commited funds to date'!AY25</f>
        <v>230000000</v>
      </c>
      <c r="GJ22" s="383">
        <f>'[1]COE DISB 2019'!AY30</f>
        <v>0</v>
      </c>
      <c r="GK22" s="383">
        <f t="shared" si="48"/>
        <v>230000000</v>
      </c>
      <c r="GL22" s="380"/>
      <c r="GM22" s="383">
        <f>'[1]COE commited funds to date'!AZ25</f>
        <v>116776600</v>
      </c>
      <c r="GN22" s="383">
        <f>'[1]COE DISB 2019'!AZ30</f>
        <v>0</v>
      </c>
      <c r="GO22" s="383">
        <f t="shared" si="49"/>
        <v>116776600</v>
      </c>
      <c r="GP22" s="380"/>
      <c r="GQ22" s="383">
        <f>'[1]COE commited funds to date'!BA25</f>
        <v>12000000</v>
      </c>
      <c r="GR22" s="383">
        <f>'[1]COE DISB 2019'!BA30</f>
        <v>0</v>
      </c>
      <c r="GS22" s="383">
        <f t="shared" si="50"/>
        <v>12000000</v>
      </c>
      <c r="GT22" s="380"/>
      <c r="GU22" s="383">
        <f>'[1]COE commited funds to date'!BB25</f>
        <v>5000000</v>
      </c>
      <c r="GV22" s="383">
        <f>'[1]COE DISB 2019'!BB30</f>
        <v>0</v>
      </c>
      <c r="GW22" s="383">
        <f t="shared" si="51"/>
        <v>5000000</v>
      </c>
      <c r="GX22" s="380"/>
      <c r="GY22" s="383">
        <f>'[1]COE commited funds to date'!BC25</f>
        <v>10308300</v>
      </c>
      <c r="GZ22" s="383">
        <f>'[1]COE DISB 2019'!BC30</f>
        <v>0</v>
      </c>
      <c r="HA22" s="383">
        <f t="shared" si="52"/>
        <v>10308300</v>
      </c>
      <c r="HB22" s="380"/>
      <c r="HC22" s="383">
        <f t="shared" si="53"/>
        <v>4607310365.5</v>
      </c>
      <c r="HD22" s="383">
        <f t="shared" si="53"/>
        <v>3620345385.5</v>
      </c>
      <c r="HE22" s="392">
        <f t="shared" si="54"/>
        <v>986964980</v>
      </c>
      <c r="HG22" s="383">
        <f t="shared" si="55"/>
        <v>2062715465.5</v>
      </c>
      <c r="HH22" s="383">
        <f t="shared" si="55"/>
        <v>1294765985.5</v>
      </c>
      <c r="HI22" s="383">
        <f t="shared" si="56"/>
        <v>767949480</v>
      </c>
      <c r="HK22" s="383">
        <f t="shared" si="57"/>
        <v>2190000000</v>
      </c>
      <c r="HL22" s="383">
        <f t="shared" si="57"/>
        <v>2188500000</v>
      </c>
      <c r="HM22" s="383">
        <f t="shared" si="58"/>
        <v>1500000</v>
      </c>
      <c r="HO22" s="383">
        <f t="shared" si="37"/>
        <v>810000</v>
      </c>
      <c r="HP22" s="383">
        <f t="shared" si="37"/>
        <v>810000</v>
      </c>
      <c r="HQ22" s="383">
        <f t="shared" si="59"/>
        <v>0</v>
      </c>
      <c r="HS22" s="383">
        <f t="shared" si="60"/>
        <v>89308300</v>
      </c>
      <c r="HT22" s="383">
        <f t="shared" si="60"/>
        <v>70519400</v>
      </c>
      <c r="HU22" s="383">
        <f t="shared" si="61"/>
        <v>18788900</v>
      </c>
      <c r="HW22" s="383">
        <f t="shared" si="62"/>
        <v>36700000</v>
      </c>
      <c r="HX22" s="383">
        <f t="shared" si="62"/>
        <v>0</v>
      </c>
      <c r="HY22" s="383">
        <f t="shared" si="63"/>
        <v>36700000</v>
      </c>
      <c r="IA22" s="387">
        <f t="shared" si="64"/>
        <v>20000000</v>
      </c>
      <c r="IB22" s="387">
        <f t="shared" si="64"/>
        <v>0</v>
      </c>
      <c r="IC22" s="387">
        <f t="shared" si="65"/>
        <v>20000000</v>
      </c>
      <c r="IE22" s="383">
        <f t="shared" si="66"/>
        <v>191776600</v>
      </c>
      <c r="IF22" s="383">
        <f t="shared" si="66"/>
        <v>51750000</v>
      </c>
      <c r="IG22" s="383">
        <f t="shared" si="67"/>
        <v>140026600</v>
      </c>
      <c r="II22" s="383">
        <f t="shared" si="68"/>
        <v>2000000</v>
      </c>
      <c r="IJ22" s="383">
        <f t="shared" si="68"/>
        <v>0</v>
      </c>
      <c r="IK22" s="383">
        <f t="shared" si="69"/>
        <v>2000000</v>
      </c>
    </row>
    <row r="23" spans="1:245" x14ac:dyDescent="0.25">
      <c r="A23" s="380">
        <v>20</v>
      </c>
      <c r="B23" s="380" t="s">
        <v>339</v>
      </c>
      <c r="C23" s="431" t="s">
        <v>61</v>
      </c>
      <c r="D23" s="392">
        <v>18318965.5</v>
      </c>
      <c r="E23" s="392">
        <f>'[1]COE DISB 2019'!D31</f>
        <v>18318965.5</v>
      </c>
      <c r="F23" s="383">
        <f t="shared" si="0"/>
        <v>0</v>
      </c>
      <c r="H23" s="392">
        <v>8000000</v>
      </c>
      <c r="I23" s="392">
        <f>'[1]COE DISB 2019'!E31</f>
        <v>8000000</v>
      </c>
      <c r="J23" s="383">
        <f t="shared" si="1"/>
        <v>0</v>
      </c>
      <c r="L23" s="392">
        <v>500000</v>
      </c>
      <c r="M23" s="392">
        <f>'[1]COE DISB 2019'!F31</f>
        <v>500000</v>
      </c>
      <c r="N23" s="383">
        <f t="shared" si="2"/>
        <v>0</v>
      </c>
      <c r="P23" s="353">
        <v>16000000</v>
      </c>
      <c r="Q23" s="392">
        <f>'[1]COE DISB 2019'!G31</f>
        <v>16000000</v>
      </c>
      <c r="R23" s="383">
        <f t="shared" si="3"/>
        <v>0</v>
      </c>
      <c r="T23" s="353">
        <v>0</v>
      </c>
      <c r="U23" s="392">
        <f>'[1]COE DISB 2019'!H31</f>
        <v>0</v>
      </c>
      <c r="V23" s="383">
        <f t="shared" si="4"/>
        <v>0</v>
      </c>
      <c r="X23" s="353">
        <v>0</v>
      </c>
      <c r="Y23" s="392">
        <f>'[1]COE DISB 2019'!I31</f>
        <v>0</v>
      </c>
      <c r="Z23" s="383">
        <f t="shared" si="5"/>
        <v>0</v>
      </c>
      <c r="AB23" s="385">
        <v>20000000</v>
      </c>
      <c r="AC23" s="392">
        <f>'[1]COE DISB 2019'!J31</f>
        <v>20000000</v>
      </c>
      <c r="AD23" s="383">
        <f t="shared" si="6"/>
        <v>0</v>
      </c>
      <c r="AF23" s="353">
        <v>0</v>
      </c>
      <c r="AG23" s="392">
        <f>'[1]COE DISB 2019'!K31</f>
        <v>0</v>
      </c>
      <c r="AH23" s="383">
        <f t="shared" si="7"/>
        <v>0</v>
      </c>
      <c r="AJ23" s="385">
        <v>10000000</v>
      </c>
      <c r="AK23" s="392">
        <f>'[1]COE DISB 2019'!L31</f>
        <v>10000000</v>
      </c>
      <c r="AL23" s="383">
        <f t="shared" si="8"/>
        <v>0</v>
      </c>
      <c r="AN23" s="392">
        <v>10000000</v>
      </c>
      <c r="AO23" s="392">
        <f>'[1]COE DISB 2019'!M31</f>
        <v>10000000</v>
      </c>
      <c r="AP23" s="383">
        <f t="shared" si="9"/>
        <v>0</v>
      </c>
      <c r="AR23" s="392">
        <v>15000000</v>
      </c>
      <c r="AS23" s="392">
        <f>'[1]COE DISB 2019'!N31</f>
        <v>15000000</v>
      </c>
      <c r="AT23" s="383">
        <f t="shared" si="10"/>
        <v>0</v>
      </c>
      <c r="AV23" s="392">
        <v>0</v>
      </c>
      <c r="AW23" s="432">
        <f>'[1]COE DISB 2019'!O31</f>
        <v>0</v>
      </c>
      <c r="AX23" s="392">
        <f t="shared" si="11"/>
        <v>0</v>
      </c>
      <c r="AZ23" s="392">
        <v>18000000</v>
      </c>
      <c r="BA23" s="392">
        <f>'[1]COE DISB 2019'!P31</f>
        <v>18000000</v>
      </c>
      <c r="BB23" s="392">
        <f t="shared" si="12"/>
        <v>0</v>
      </c>
      <c r="BD23" s="392">
        <v>23400000</v>
      </c>
      <c r="BE23" s="392">
        <f>'[1]COE DISB 2019'!Q31</f>
        <v>23400000</v>
      </c>
      <c r="BF23" s="392">
        <f t="shared" si="13"/>
        <v>0</v>
      </c>
      <c r="BH23" s="392">
        <v>0</v>
      </c>
      <c r="BI23" s="392">
        <f>'[1]COE DISB 2019'!R31</f>
        <v>0</v>
      </c>
      <c r="BJ23" s="392">
        <f t="shared" si="14"/>
        <v>0</v>
      </c>
      <c r="BL23" s="392">
        <v>43000000</v>
      </c>
      <c r="BM23" s="392">
        <f>'[1]COE DISB 2019'!S31</f>
        <v>43000000</v>
      </c>
      <c r="BN23" s="392">
        <f t="shared" si="15"/>
        <v>0</v>
      </c>
      <c r="BP23" s="392">
        <v>31586000</v>
      </c>
      <c r="BQ23" s="392">
        <f>'[1]COE DISB 2019'!T31</f>
        <v>31586000</v>
      </c>
      <c r="BR23" s="392">
        <f t="shared" si="16"/>
        <v>0</v>
      </c>
      <c r="BT23" s="392">
        <v>50000000</v>
      </c>
      <c r="BU23" s="392">
        <f>'[1]COE DISB 2019'!U31</f>
        <v>50000000</v>
      </c>
      <c r="BV23" s="392">
        <f t="shared" si="17"/>
        <v>0</v>
      </c>
      <c r="BX23" s="392">
        <v>112670000</v>
      </c>
      <c r="BY23" s="392">
        <f>'[1]COE DISB 2019'!V31</f>
        <v>112670000</v>
      </c>
      <c r="BZ23" s="392">
        <f t="shared" si="18"/>
        <v>0</v>
      </c>
      <c r="CB23" s="392">
        <f>'[1]COE commited funds to date'!W26</f>
        <v>150000000</v>
      </c>
      <c r="CC23" s="392">
        <f>'[1]COE DISB 2019'!W31</f>
        <v>150000000</v>
      </c>
      <c r="CD23" s="392">
        <f t="shared" si="19"/>
        <v>0</v>
      </c>
      <c r="CF23" s="392">
        <f>'[1]COE commited funds to date'!X26</f>
        <v>125000000</v>
      </c>
      <c r="CG23" s="392">
        <f>'[1]COE DISB 2019'!X31</f>
        <v>125000000</v>
      </c>
      <c r="CH23" s="392">
        <f t="shared" si="20"/>
        <v>0</v>
      </c>
      <c r="CJ23" s="392">
        <v>10000000</v>
      </c>
      <c r="CK23" s="392">
        <f>'[1]COE DISB 2019'!Y31</f>
        <v>10000000</v>
      </c>
      <c r="CL23" s="392">
        <f t="shared" si="21"/>
        <v>0</v>
      </c>
      <c r="CN23" s="392">
        <v>160000000</v>
      </c>
      <c r="CO23" s="392">
        <f>'[1]COE DISB 2019'!Z31</f>
        <v>160000000</v>
      </c>
      <c r="CP23" s="392">
        <f t="shared" si="22"/>
        <v>0</v>
      </c>
      <c r="CR23" s="392">
        <v>210000000</v>
      </c>
      <c r="CS23" s="392">
        <f>'[1]COE DISB 2019'!AA31</f>
        <v>210000000</v>
      </c>
      <c r="CT23" s="392">
        <f t="shared" si="23"/>
        <v>0</v>
      </c>
      <c r="CV23" s="392">
        <v>10000000</v>
      </c>
      <c r="CW23" s="392">
        <f>'[1]COE DISB 2019'!AB31</f>
        <v>9772010</v>
      </c>
      <c r="CX23" s="392">
        <f t="shared" si="24"/>
        <v>227990</v>
      </c>
      <c r="CZ23" s="392">
        <f>'[1]COE commited funds to date'!AC26</f>
        <v>100000000</v>
      </c>
      <c r="DA23" s="392">
        <f>'[1]COE DISB 2019'!AC31</f>
        <v>100000000</v>
      </c>
      <c r="DB23" s="392">
        <f t="shared" si="25"/>
        <v>0</v>
      </c>
      <c r="DC23" s="394"/>
      <c r="DD23" s="392">
        <v>215000000</v>
      </c>
      <c r="DE23" s="392">
        <f>'[1]COE DISB 2019'!AD31</f>
        <v>215000000</v>
      </c>
      <c r="DF23" s="392">
        <f t="shared" si="26"/>
        <v>0</v>
      </c>
      <c r="DG23" s="394"/>
      <c r="DH23" s="392">
        <v>10000000</v>
      </c>
      <c r="DI23" s="392">
        <f>'[1]COE DISB 2019'!AE31</f>
        <v>10000000</v>
      </c>
      <c r="DJ23" s="392">
        <f t="shared" si="27"/>
        <v>0</v>
      </c>
      <c r="DK23" s="394"/>
      <c r="DL23" s="392">
        <f>'[1]COE commited funds to date'!AD26</f>
        <v>0</v>
      </c>
      <c r="DM23" s="392">
        <f>'[1]COE DISB 2019'!AF31</f>
        <v>0</v>
      </c>
      <c r="DN23" s="392">
        <f t="shared" si="28"/>
        <v>0</v>
      </c>
      <c r="DO23" s="394"/>
      <c r="DP23" s="392">
        <v>325000000</v>
      </c>
      <c r="DQ23" s="392">
        <f>'[1]COE DISB 2019'!AG31</f>
        <v>325000000</v>
      </c>
      <c r="DR23" s="392">
        <f t="shared" si="29"/>
        <v>0</v>
      </c>
      <c r="DS23" s="394"/>
      <c r="DT23" s="397">
        <v>10000000</v>
      </c>
      <c r="DU23" s="392">
        <f>'[1]COE DISB 2019'!AH31</f>
        <v>10000000</v>
      </c>
      <c r="DV23" s="392">
        <f t="shared" si="30"/>
        <v>0</v>
      </c>
      <c r="DW23" s="394"/>
      <c r="DX23" s="392">
        <f>'[1]COE commited funds to date'!AI26</f>
        <v>600000000</v>
      </c>
      <c r="DY23" s="392">
        <f>'[1]COE DISB 2019'!AI31</f>
        <v>600000000</v>
      </c>
      <c r="DZ23" s="392">
        <f t="shared" si="31"/>
        <v>0</v>
      </c>
      <c r="EA23" s="394"/>
      <c r="EB23" s="392">
        <f>'[1]COE commited funds to date'!AJ26</f>
        <v>72000000</v>
      </c>
      <c r="EC23" s="392">
        <f>'[1]COE DISB 2019'!AJ31</f>
        <v>43920000</v>
      </c>
      <c r="ED23" s="392">
        <f t="shared" si="32"/>
        <v>28080000</v>
      </c>
      <c r="EE23" s="394"/>
      <c r="EF23" s="392">
        <f>'[1]COE commited funds to date'!AK26</f>
        <v>8000000</v>
      </c>
      <c r="EG23" s="392">
        <f>'[1]COE DISB 2019'!AK31</f>
        <v>6800000</v>
      </c>
      <c r="EH23" s="392">
        <f t="shared" si="33"/>
        <v>1200000</v>
      </c>
      <c r="EI23" s="394"/>
      <c r="EJ23" s="392">
        <f>'[1]COE commited funds to date'!AL26</f>
        <v>2000000</v>
      </c>
      <c r="EK23" s="392">
        <f>'[1]COE DISB 2019'!AL31</f>
        <v>0</v>
      </c>
      <c r="EL23" s="392">
        <f t="shared" si="34"/>
        <v>2000000</v>
      </c>
      <c r="EM23" s="394"/>
      <c r="EN23" s="392">
        <f>'[1]COE commited funds to date'!AM26</f>
        <v>7000000</v>
      </c>
      <c r="EO23" s="392">
        <f>'[1]COE DISB 2019'!AM31</f>
        <v>7000000</v>
      </c>
      <c r="EP23" s="392">
        <f t="shared" si="35"/>
        <v>0</v>
      </c>
      <c r="EQ23" s="394"/>
      <c r="ER23" s="392">
        <f>'[1]COE commited funds to date'!AN26</f>
        <v>1550000000</v>
      </c>
      <c r="ES23" s="392">
        <f>'[1]COE DISB 2019'!AN31</f>
        <v>1332500000</v>
      </c>
      <c r="ET23" s="392">
        <f t="shared" si="36"/>
        <v>217500000</v>
      </c>
      <c r="EV23" s="383">
        <f>'[1]COE commited funds to date'!AO26</f>
        <v>371067000</v>
      </c>
      <c r="EW23" s="383">
        <f>'[1]COE DISB 2019'!AO31</f>
        <v>226350870</v>
      </c>
      <c r="EX23" s="383">
        <f t="shared" si="38"/>
        <v>144716130</v>
      </c>
      <c r="EY23" s="380"/>
      <c r="EZ23" s="383">
        <f>'[1]COE commited funds to date'!AQ26</f>
        <v>12000000</v>
      </c>
      <c r="FA23" s="383">
        <f>'[1]COE DISB 2019'!AP31</f>
        <v>12000000</v>
      </c>
      <c r="FB23" s="383">
        <f t="shared" si="39"/>
        <v>0</v>
      </c>
      <c r="FC23" s="380"/>
      <c r="FD23" s="383">
        <f>'[1]COE commited funds to date'!AR26</f>
        <v>10000000</v>
      </c>
      <c r="FE23" s="383">
        <f>'[1]COE DISB 2019'!AQ31</f>
        <v>0</v>
      </c>
      <c r="FF23" s="383">
        <f t="shared" si="40"/>
        <v>10000000</v>
      </c>
      <c r="FG23" s="380"/>
      <c r="FH23" s="383">
        <f>'[1]COE commited funds to date'!AP26</f>
        <v>8000000</v>
      </c>
      <c r="FI23" s="383">
        <f>'[1]COE DISB 2019'!AR31</f>
        <v>6800000</v>
      </c>
      <c r="FJ23" s="383">
        <f t="shared" si="41"/>
        <v>1200000</v>
      </c>
      <c r="FK23" s="383">
        <f>'[1]COE commited funds to date'!AS26</f>
        <v>0</v>
      </c>
      <c r="FL23" s="383">
        <f>'[1]COE DISB 2019'!AS31</f>
        <v>0</v>
      </c>
      <c r="FM23" s="383">
        <f t="shared" si="42"/>
        <v>0</v>
      </c>
      <c r="FN23" s="380"/>
      <c r="FO23" s="383">
        <f>'[1]COE commited funds to date'!AT26</f>
        <v>200000000</v>
      </c>
      <c r="FP23" s="383">
        <f>'[1]COE DISB 2019'!AT31</f>
        <v>0</v>
      </c>
      <c r="FQ23" s="383">
        <f t="shared" si="43"/>
        <v>200000000</v>
      </c>
      <c r="FR23" s="380"/>
      <c r="FS23" s="383">
        <f>'[1]COE commited funds to date'!AU26</f>
        <v>75000000</v>
      </c>
      <c r="FT23" s="383">
        <f>'[1]COE DISB 2019'!AU31</f>
        <v>56250000</v>
      </c>
      <c r="FU23" s="383">
        <f t="shared" si="44"/>
        <v>18750000</v>
      </c>
      <c r="FV23" s="380"/>
      <c r="FW23" s="383">
        <f>'[1]COE commited funds to date'!AV26</f>
        <v>8700000</v>
      </c>
      <c r="FX23" s="383">
        <f>'[1]COE DISB 2019'!AV31</f>
        <v>0</v>
      </c>
      <c r="FY23" s="383">
        <f t="shared" si="45"/>
        <v>8700000</v>
      </c>
      <c r="FZ23" s="380"/>
      <c r="GA23" s="383">
        <f>'[1]COE commited funds to date'!AW26</f>
        <v>5000000</v>
      </c>
      <c r="GB23" s="383">
        <f>'[1]COE DISB 2019'!AW31</f>
        <v>0</v>
      </c>
      <c r="GC23" s="383">
        <f t="shared" si="46"/>
        <v>5000000</v>
      </c>
      <c r="GD23" s="380"/>
      <c r="GE23" s="383">
        <f>'[1]COE commited funds to date'!AX26</f>
        <v>20000000</v>
      </c>
      <c r="GF23" s="383">
        <f>'[1]COE DISB 2019'!AX31</f>
        <v>12330427.5</v>
      </c>
      <c r="GG23" s="383">
        <f t="shared" si="47"/>
        <v>7669572.5</v>
      </c>
      <c r="GH23" s="380"/>
      <c r="GI23" s="383">
        <f>'[1]COE commited funds to date'!AY26</f>
        <v>230000000</v>
      </c>
      <c r="GJ23" s="383">
        <f>'[1]COE DISB 2019'!AY31</f>
        <v>0</v>
      </c>
      <c r="GK23" s="383">
        <f t="shared" si="48"/>
        <v>230000000</v>
      </c>
      <c r="GL23" s="380"/>
      <c r="GM23" s="383">
        <f>'[1]COE commited funds to date'!AZ26</f>
        <v>116776600</v>
      </c>
      <c r="GN23" s="383">
        <f>'[1]COE DISB 2019'!AZ31</f>
        <v>0</v>
      </c>
      <c r="GO23" s="383">
        <f t="shared" si="49"/>
        <v>116776600</v>
      </c>
      <c r="GP23" s="380"/>
      <c r="GQ23" s="383">
        <f>'[1]COE commited funds to date'!BA26</f>
        <v>12000000</v>
      </c>
      <c r="GR23" s="383">
        <f>'[1]COE DISB 2019'!BA31</f>
        <v>0</v>
      </c>
      <c r="GS23" s="383">
        <f t="shared" si="50"/>
        <v>12000000</v>
      </c>
      <c r="GT23" s="380"/>
      <c r="GU23" s="383">
        <f>'[1]COE commited funds to date'!BB26</f>
        <v>5000000</v>
      </c>
      <c r="GV23" s="383">
        <f>'[1]COE DISB 2019'!BB31</f>
        <v>0</v>
      </c>
      <c r="GW23" s="383">
        <f t="shared" si="51"/>
        <v>5000000</v>
      </c>
      <c r="GX23" s="380"/>
      <c r="GY23" s="383">
        <f>'[1]COE commited funds to date'!BC26</f>
        <v>10308300</v>
      </c>
      <c r="GZ23" s="383">
        <f>'[1]COE DISB 2019'!BC31</f>
        <v>0</v>
      </c>
      <c r="HA23" s="383">
        <f t="shared" si="52"/>
        <v>10308300</v>
      </c>
      <c r="HB23" s="380"/>
      <c r="HC23" s="383">
        <f t="shared" si="53"/>
        <v>5024326865.5</v>
      </c>
      <c r="HD23" s="383">
        <f t="shared" si="53"/>
        <v>4005198273</v>
      </c>
      <c r="HE23" s="392">
        <f t="shared" si="54"/>
        <v>1019128592.5</v>
      </c>
      <c r="HG23" s="383">
        <f t="shared" si="55"/>
        <v>2074041965.5</v>
      </c>
      <c r="HH23" s="383">
        <f t="shared" si="55"/>
        <v>1471245835.5</v>
      </c>
      <c r="HI23" s="383">
        <f t="shared" si="56"/>
        <v>602796130</v>
      </c>
      <c r="HK23" s="383">
        <f t="shared" si="57"/>
        <v>2610000000</v>
      </c>
      <c r="HL23" s="383">
        <f t="shared" si="57"/>
        <v>2392500000</v>
      </c>
      <c r="HM23" s="383">
        <f t="shared" si="58"/>
        <v>217500000</v>
      </c>
      <c r="HO23" s="383">
        <f t="shared" si="37"/>
        <v>500000</v>
      </c>
      <c r="HP23" s="383">
        <f t="shared" si="37"/>
        <v>500000</v>
      </c>
      <c r="HQ23" s="383">
        <f t="shared" si="59"/>
        <v>0</v>
      </c>
      <c r="HS23" s="383">
        <f t="shared" si="60"/>
        <v>89308300</v>
      </c>
      <c r="HT23" s="383">
        <f t="shared" si="60"/>
        <v>71102437.5</v>
      </c>
      <c r="HU23" s="383">
        <f t="shared" si="61"/>
        <v>18205862.5</v>
      </c>
      <c r="HW23" s="383">
        <f t="shared" si="62"/>
        <v>36700000</v>
      </c>
      <c r="HX23" s="383">
        <f t="shared" si="62"/>
        <v>13600000</v>
      </c>
      <c r="HY23" s="383">
        <f t="shared" si="63"/>
        <v>23100000</v>
      </c>
      <c r="IA23" s="387">
        <f t="shared" si="64"/>
        <v>20000000</v>
      </c>
      <c r="IB23" s="387">
        <f t="shared" si="64"/>
        <v>0</v>
      </c>
      <c r="IC23" s="387">
        <f t="shared" si="65"/>
        <v>20000000</v>
      </c>
      <c r="IE23" s="383">
        <f t="shared" si="66"/>
        <v>191776600</v>
      </c>
      <c r="IF23" s="383">
        <f t="shared" si="66"/>
        <v>56250000</v>
      </c>
      <c r="IG23" s="383">
        <f t="shared" si="67"/>
        <v>135526600</v>
      </c>
      <c r="II23" s="383">
        <f t="shared" si="68"/>
        <v>2000000</v>
      </c>
      <c r="IJ23" s="383">
        <f t="shared" si="68"/>
        <v>0</v>
      </c>
      <c r="IK23" s="383">
        <f t="shared" si="69"/>
        <v>2000000</v>
      </c>
    </row>
    <row r="24" spans="1:245" x14ac:dyDescent="0.25">
      <c r="A24" s="380">
        <v>21</v>
      </c>
      <c r="B24" s="380" t="s">
        <v>340</v>
      </c>
      <c r="C24" s="431" t="s">
        <v>76</v>
      </c>
      <c r="D24" s="392">
        <v>18318965.5</v>
      </c>
      <c r="E24" s="392">
        <f>'[1]COE DISB 2019'!D32</f>
        <v>18318965.5</v>
      </c>
      <c r="F24" s="383">
        <f t="shared" si="0"/>
        <v>0</v>
      </c>
      <c r="H24" s="392">
        <v>8000000</v>
      </c>
      <c r="I24" s="392">
        <f>'[1]COE DISB 2019'!E32</f>
        <v>8000000</v>
      </c>
      <c r="J24" s="383">
        <f t="shared" si="1"/>
        <v>0</v>
      </c>
      <c r="L24" s="392">
        <v>500000</v>
      </c>
      <c r="M24" s="392">
        <f>'[1]COE DISB 2019'!F32</f>
        <v>500000</v>
      </c>
      <c r="N24" s="383">
        <f t="shared" si="2"/>
        <v>0</v>
      </c>
      <c r="P24" s="353">
        <v>16000000</v>
      </c>
      <c r="Q24" s="392">
        <f>'[1]COE DISB 2019'!G32</f>
        <v>16000000</v>
      </c>
      <c r="R24" s="383">
        <f t="shared" si="3"/>
        <v>0</v>
      </c>
      <c r="T24" s="353">
        <v>0</v>
      </c>
      <c r="U24" s="392">
        <f>'[1]COE DISB 2019'!H32</f>
        <v>0</v>
      </c>
      <c r="V24" s="383">
        <f t="shared" si="4"/>
        <v>0</v>
      </c>
      <c r="X24" s="385">
        <v>4000000</v>
      </c>
      <c r="Y24" s="392">
        <f>'[1]COE DISB 2019'!I32</f>
        <v>4000000</v>
      </c>
      <c r="Z24" s="383">
        <f t="shared" si="5"/>
        <v>0</v>
      </c>
      <c r="AB24" s="385">
        <v>20000000</v>
      </c>
      <c r="AC24" s="392">
        <f>'[1]COE DISB 2019'!J32</f>
        <v>20000000</v>
      </c>
      <c r="AD24" s="383">
        <f t="shared" si="6"/>
        <v>0</v>
      </c>
      <c r="AF24" s="353">
        <v>0</v>
      </c>
      <c r="AG24" s="392">
        <f>'[1]COE DISB 2019'!K32</f>
        <v>0</v>
      </c>
      <c r="AH24" s="383">
        <f t="shared" si="7"/>
        <v>0</v>
      </c>
      <c r="AJ24" s="385">
        <v>10000000</v>
      </c>
      <c r="AK24" s="392">
        <f>'[1]COE DISB 2019'!L32</f>
        <v>10000000</v>
      </c>
      <c r="AL24" s="383">
        <f t="shared" si="8"/>
        <v>0</v>
      </c>
      <c r="AN24" s="392">
        <v>10000000</v>
      </c>
      <c r="AO24" s="392">
        <f>'[1]COE DISB 2019'!M32</f>
        <v>10000000</v>
      </c>
      <c r="AP24" s="383">
        <f t="shared" si="9"/>
        <v>0</v>
      </c>
      <c r="AR24" s="392">
        <v>15000000</v>
      </c>
      <c r="AS24" s="392">
        <f>'[1]COE DISB 2019'!N32</f>
        <v>15000000</v>
      </c>
      <c r="AT24" s="383">
        <f t="shared" si="10"/>
        <v>0</v>
      </c>
      <c r="AV24" s="392">
        <v>5000000</v>
      </c>
      <c r="AW24" s="393">
        <f>'[1]COE DISB 2019'!O32</f>
        <v>5000000</v>
      </c>
      <c r="AX24" s="392">
        <f t="shared" si="11"/>
        <v>0</v>
      </c>
      <c r="AZ24" s="392">
        <v>18000000</v>
      </c>
      <c r="BA24" s="392">
        <f>'[1]COE DISB 2019'!P32</f>
        <v>18000000</v>
      </c>
      <c r="BB24" s="392">
        <f t="shared" si="12"/>
        <v>0</v>
      </c>
      <c r="BD24" s="392">
        <v>23400000</v>
      </c>
      <c r="BE24" s="392">
        <f>'[1]COE DISB 2019'!Q32</f>
        <v>23400000</v>
      </c>
      <c r="BF24" s="392">
        <f t="shared" si="13"/>
        <v>0</v>
      </c>
      <c r="BH24" s="392">
        <v>10000000</v>
      </c>
      <c r="BI24" s="392">
        <f>'[1]COE DISB 2019'!R32</f>
        <v>10000000</v>
      </c>
      <c r="BJ24" s="392">
        <f t="shared" si="14"/>
        <v>0</v>
      </c>
      <c r="BL24" s="392">
        <v>43000000</v>
      </c>
      <c r="BM24" s="392">
        <f>'[1]COE DISB 2019'!S32</f>
        <v>43000000</v>
      </c>
      <c r="BN24" s="392">
        <f t="shared" si="15"/>
        <v>0</v>
      </c>
      <c r="BP24" s="392">
        <v>37160000</v>
      </c>
      <c r="BQ24" s="392">
        <f>'[1]COE DISB 2019'!T32</f>
        <v>37160000</v>
      </c>
      <c r="BR24" s="392">
        <f t="shared" si="16"/>
        <v>0</v>
      </c>
      <c r="BT24" s="392">
        <v>0</v>
      </c>
      <c r="BU24" s="392">
        <f>'[1]COE DISB 2019'!U32</f>
        <v>0</v>
      </c>
      <c r="BV24" s="392">
        <f t="shared" si="17"/>
        <v>0</v>
      </c>
      <c r="BX24" s="392">
        <v>112670000</v>
      </c>
      <c r="BY24" s="392">
        <f>'[1]COE DISB 2019'!V32</f>
        <v>112670000</v>
      </c>
      <c r="BZ24" s="392">
        <f t="shared" si="18"/>
        <v>0</v>
      </c>
      <c r="CB24" s="392">
        <f>'[1]COE commited funds to date'!W27</f>
        <v>0</v>
      </c>
      <c r="CC24" s="392">
        <f>'[1]COE DISB 2019'!W32</f>
        <v>0</v>
      </c>
      <c r="CD24" s="392">
        <f t="shared" si="19"/>
        <v>0</v>
      </c>
      <c r="CF24" s="392">
        <f>'[1]COE commited funds to date'!X27</f>
        <v>125000000</v>
      </c>
      <c r="CG24" s="392">
        <f>'[1]COE DISB 2019'!X32</f>
        <v>125000000</v>
      </c>
      <c r="CH24" s="392">
        <f t="shared" si="20"/>
        <v>0</v>
      </c>
      <c r="CJ24" s="392">
        <v>10000000</v>
      </c>
      <c r="CK24" s="392">
        <f>'[1]COE DISB 2019'!Y32</f>
        <v>7290000</v>
      </c>
      <c r="CL24" s="392">
        <f t="shared" si="21"/>
        <v>2710000</v>
      </c>
      <c r="CN24" s="392">
        <v>180000000</v>
      </c>
      <c r="CO24" s="392">
        <f>'[1]COE DISB 2019'!Z32</f>
        <v>180000000</v>
      </c>
      <c r="CP24" s="392">
        <f t="shared" si="22"/>
        <v>0</v>
      </c>
      <c r="CR24" s="392">
        <v>210000000</v>
      </c>
      <c r="CS24" s="392">
        <f>'[1]COE DISB 2019'!AA32</f>
        <v>210000000</v>
      </c>
      <c r="CT24" s="392">
        <f t="shared" si="23"/>
        <v>0</v>
      </c>
      <c r="CV24" s="392">
        <v>10000000</v>
      </c>
      <c r="CW24" s="392">
        <f>'[1]COE DISB 2019'!AB32</f>
        <v>7414085</v>
      </c>
      <c r="CX24" s="392">
        <f t="shared" si="24"/>
        <v>2585915</v>
      </c>
      <c r="CZ24" s="392">
        <f>'[1]COE commited funds to date'!AC27</f>
        <v>0</v>
      </c>
      <c r="DA24" s="392">
        <f>'[1]COE DISB 2019'!AC32</f>
        <v>0</v>
      </c>
      <c r="DB24" s="392">
        <f t="shared" si="25"/>
        <v>0</v>
      </c>
      <c r="DC24" s="394"/>
      <c r="DD24" s="392">
        <v>215000000</v>
      </c>
      <c r="DE24" s="392">
        <f>'[1]COE DISB 2019'!AD32</f>
        <v>215000000</v>
      </c>
      <c r="DF24" s="392">
        <f t="shared" si="26"/>
        <v>0</v>
      </c>
      <c r="DG24" s="394"/>
      <c r="DH24" s="392">
        <v>10000000</v>
      </c>
      <c r="DI24" s="392">
        <f>'[1]COE DISB 2019'!AE32</f>
        <v>3866720</v>
      </c>
      <c r="DJ24" s="392">
        <f t="shared" si="27"/>
        <v>6133280</v>
      </c>
      <c r="DK24" s="394"/>
      <c r="DL24" s="392">
        <f>'[1]COE commited funds to date'!AD27</f>
        <v>0</v>
      </c>
      <c r="DM24" s="392">
        <f>'[1]COE DISB 2019'!AF32</f>
        <v>0</v>
      </c>
      <c r="DN24" s="392">
        <f t="shared" si="28"/>
        <v>0</v>
      </c>
      <c r="DO24" s="394"/>
      <c r="DP24" s="392">
        <v>325000000</v>
      </c>
      <c r="DQ24" s="392">
        <f>'[1]COE DISB 2019'!AG32</f>
        <v>325000000</v>
      </c>
      <c r="DR24" s="392">
        <f t="shared" si="29"/>
        <v>0</v>
      </c>
      <c r="DS24" s="394"/>
      <c r="DT24" s="397">
        <v>10000000</v>
      </c>
      <c r="DU24" s="392">
        <f>'[1]COE DISB 2019'!AH32</f>
        <v>0</v>
      </c>
      <c r="DV24" s="392">
        <f t="shared" si="30"/>
        <v>10000000</v>
      </c>
      <c r="DW24" s="394"/>
      <c r="DX24" s="392">
        <f>'[1]COE commited funds to date'!AI27</f>
        <v>68200000</v>
      </c>
      <c r="DY24" s="392">
        <f>'[1]COE DISB 2019'!AI32</f>
        <v>68200000</v>
      </c>
      <c r="DZ24" s="392">
        <f t="shared" si="31"/>
        <v>0</v>
      </c>
      <c r="EA24" s="394"/>
      <c r="EB24" s="392">
        <f>'[1]COE commited funds to date'!AJ27</f>
        <v>72000000</v>
      </c>
      <c r="EC24" s="392">
        <f>'[1]COE DISB 2019'!AJ32</f>
        <v>72000000</v>
      </c>
      <c r="ED24" s="392">
        <f t="shared" si="32"/>
        <v>0</v>
      </c>
      <c r="EE24" s="394"/>
      <c r="EF24" s="392">
        <f>'[1]COE commited funds to date'!AK27</f>
        <v>8000000</v>
      </c>
      <c r="EG24" s="392">
        <f>'[1]COE DISB 2019'!AK32</f>
        <v>4720000</v>
      </c>
      <c r="EH24" s="392">
        <f t="shared" si="33"/>
        <v>3280000</v>
      </c>
      <c r="EI24" s="394"/>
      <c r="EJ24" s="392">
        <f>'[1]COE commited funds to date'!AL27</f>
        <v>2000000</v>
      </c>
      <c r="EK24" s="392">
        <f>'[1]COE DISB 2019'!AL32</f>
        <v>1700000</v>
      </c>
      <c r="EL24" s="392">
        <f t="shared" si="34"/>
        <v>300000</v>
      </c>
      <c r="EM24" s="394"/>
      <c r="EN24" s="392">
        <f>'[1]COE commited funds to date'!AM27</f>
        <v>7000000</v>
      </c>
      <c r="EO24" s="392">
        <f>'[1]COE DISB 2019'!AM32</f>
        <v>0</v>
      </c>
      <c r="EP24" s="392">
        <f t="shared" si="35"/>
        <v>7000000</v>
      </c>
      <c r="EQ24" s="394"/>
      <c r="ER24" s="392">
        <f>'[1]COE commited funds to date'!AN27</f>
        <v>144200000</v>
      </c>
      <c r="ES24" s="392">
        <f>'[1]COE DISB 2019'!AN32</f>
        <v>144200000</v>
      </c>
      <c r="ET24" s="392">
        <f t="shared" si="36"/>
        <v>0</v>
      </c>
      <c r="EV24" s="383">
        <f>'[1]COE commited funds to date'!AO27</f>
        <v>371067000</v>
      </c>
      <c r="EW24" s="383">
        <f>'[1]COE DISB 2019'!AO32</f>
        <v>371067000</v>
      </c>
      <c r="EX24" s="383">
        <f t="shared" si="38"/>
        <v>0</v>
      </c>
      <c r="EY24" s="380"/>
      <c r="EZ24" s="383">
        <f>'[1]COE commited funds to date'!AQ27</f>
        <v>12000000</v>
      </c>
      <c r="FA24" s="383">
        <f>'[1]COE DISB 2019'!AP32</f>
        <v>3830000</v>
      </c>
      <c r="FB24" s="383">
        <f t="shared" si="39"/>
        <v>8170000</v>
      </c>
      <c r="FC24" s="380"/>
      <c r="FD24" s="383">
        <f>'[1]COE commited funds to date'!AR27</f>
        <v>10000000</v>
      </c>
      <c r="FE24" s="383">
        <f>'[1]COE DISB 2019'!AQ32</f>
        <v>0</v>
      </c>
      <c r="FF24" s="383">
        <f t="shared" si="40"/>
        <v>10000000</v>
      </c>
      <c r="FG24" s="380"/>
      <c r="FH24" s="383">
        <f>'[1]COE commited funds to date'!AP27</f>
        <v>8000000</v>
      </c>
      <c r="FI24" s="383">
        <f>'[1]COE DISB 2019'!AR32</f>
        <v>4720000</v>
      </c>
      <c r="FJ24" s="383">
        <f t="shared" si="41"/>
        <v>3280000</v>
      </c>
      <c r="FK24" s="383">
        <f>'[1]COE commited funds to date'!AS27</f>
        <v>0</v>
      </c>
      <c r="FL24" s="383">
        <f>'[1]COE DISB 2019'!AS32</f>
        <v>0</v>
      </c>
      <c r="FM24" s="383">
        <f t="shared" si="42"/>
        <v>0</v>
      </c>
      <c r="FN24" s="380"/>
      <c r="FO24" s="383">
        <f>'[1]COE commited funds to date'!AT27</f>
        <v>200000000</v>
      </c>
      <c r="FP24" s="383">
        <f>'[1]COE DISB 2019'!AT32</f>
        <v>0</v>
      </c>
      <c r="FQ24" s="383">
        <f t="shared" si="43"/>
        <v>200000000</v>
      </c>
      <c r="FR24" s="380"/>
      <c r="FS24" s="383">
        <f>'[1]COE commited funds to date'!AU27</f>
        <v>75000000</v>
      </c>
      <c r="FT24" s="383">
        <f>'[1]COE DISB 2019'!AU32</f>
        <v>54000000</v>
      </c>
      <c r="FU24" s="383">
        <f t="shared" si="44"/>
        <v>21000000</v>
      </c>
      <c r="FV24" s="380"/>
      <c r="FW24" s="383">
        <f>'[1]COE commited funds to date'!AV27</f>
        <v>8700000</v>
      </c>
      <c r="FX24" s="383">
        <f>'[1]COE DISB 2019'!AV32</f>
        <v>0</v>
      </c>
      <c r="FY24" s="383">
        <f t="shared" si="45"/>
        <v>8700000</v>
      </c>
      <c r="FZ24" s="380"/>
      <c r="GA24" s="383">
        <f>'[1]COE commited funds to date'!AW27</f>
        <v>5000000</v>
      </c>
      <c r="GB24" s="383">
        <f>'[1]COE DISB 2019'!AW32</f>
        <v>0</v>
      </c>
      <c r="GC24" s="383">
        <f t="shared" si="46"/>
        <v>5000000</v>
      </c>
      <c r="GD24" s="380"/>
      <c r="GE24" s="383">
        <f>'[1]COE commited funds to date'!AX27</f>
        <v>20000000</v>
      </c>
      <c r="GF24" s="383">
        <f>'[1]COE DISB 2019'!AX32</f>
        <v>0</v>
      </c>
      <c r="GG24" s="383">
        <f t="shared" si="47"/>
        <v>20000000</v>
      </c>
      <c r="GH24" s="380"/>
      <c r="GI24" s="383">
        <f>'[1]COE commited funds to date'!AY27</f>
        <v>230000000</v>
      </c>
      <c r="GJ24" s="383">
        <f>'[1]COE DISB 2019'!AY32</f>
        <v>0</v>
      </c>
      <c r="GK24" s="383">
        <f t="shared" si="48"/>
        <v>230000000</v>
      </c>
      <c r="GL24" s="380"/>
      <c r="GM24" s="383">
        <f>'[1]COE commited funds to date'!AZ27</f>
        <v>116776600</v>
      </c>
      <c r="GN24" s="383">
        <f>'[1]COE DISB 2019'!AZ32</f>
        <v>0</v>
      </c>
      <c r="GO24" s="383">
        <f t="shared" si="49"/>
        <v>116776600</v>
      </c>
      <c r="GP24" s="380"/>
      <c r="GQ24" s="383">
        <f>'[1]COE commited funds to date'!BA27</f>
        <v>12000000</v>
      </c>
      <c r="GR24" s="383">
        <f>'[1]COE DISB 2019'!BA32</f>
        <v>0</v>
      </c>
      <c r="GS24" s="383">
        <f t="shared" si="50"/>
        <v>12000000</v>
      </c>
      <c r="GT24" s="380"/>
      <c r="GU24" s="383">
        <f>'[1]COE commited funds to date'!BB27</f>
        <v>5000000</v>
      </c>
      <c r="GV24" s="383">
        <f>'[1]COE DISB 2019'!BB32</f>
        <v>0</v>
      </c>
      <c r="GW24" s="383">
        <f t="shared" si="51"/>
        <v>5000000</v>
      </c>
      <c r="GX24" s="380"/>
      <c r="GY24" s="383">
        <f>'[1]COE commited funds to date'!BC27</f>
        <v>10308300</v>
      </c>
      <c r="GZ24" s="383">
        <f>'[1]COE DISB 2019'!BC32</f>
        <v>0</v>
      </c>
      <c r="HA24" s="383">
        <f t="shared" si="52"/>
        <v>10308300</v>
      </c>
      <c r="HB24" s="380"/>
      <c r="HC24" s="383">
        <f t="shared" si="53"/>
        <v>2831300865.5</v>
      </c>
      <c r="HD24" s="383">
        <f t="shared" si="53"/>
        <v>2149056770.5</v>
      </c>
      <c r="HE24" s="392">
        <f t="shared" si="54"/>
        <v>682244095</v>
      </c>
      <c r="HG24" s="383">
        <f t="shared" si="55"/>
        <v>2079615965.5</v>
      </c>
      <c r="HH24" s="383">
        <f t="shared" si="55"/>
        <v>1649615965.5</v>
      </c>
      <c r="HI24" s="383">
        <f t="shared" si="56"/>
        <v>430000000</v>
      </c>
      <c r="HK24" s="383">
        <f t="shared" si="57"/>
        <v>402400000</v>
      </c>
      <c r="HL24" s="383">
        <f t="shared" si="57"/>
        <v>402400000</v>
      </c>
      <c r="HM24" s="383">
        <f t="shared" si="58"/>
        <v>0</v>
      </c>
      <c r="HO24" s="383">
        <f t="shared" si="37"/>
        <v>500000</v>
      </c>
      <c r="HP24" s="383">
        <f t="shared" si="37"/>
        <v>500000</v>
      </c>
      <c r="HQ24" s="383">
        <f t="shared" si="59"/>
        <v>0</v>
      </c>
      <c r="HS24" s="383">
        <f t="shared" si="60"/>
        <v>89308300</v>
      </c>
      <c r="HT24" s="383">
        <f t="shared" si="60"/>
        <v>22400805</v>
      </c>
      <c r="HU24" s="383">
        <f t="shared" si="61"/>
        <v>66907495</v>
      </c>
      <c r="HW24" s="383">
        <f t="shared" si="62"/>
        <v>36700000</v>
      </c>
      <c r="HX24" s="383">
        <f t="shared" si="62"/>
        <v>9440000</v>
      </c>
      <c r="HY24" s="383">
        <f t="shared" si="63"/>
        <v>27260000</v>
      </c>
      <c r="IA24" s="387">
        <f t="shared" si="64"/>
        <v>20000000</v>
      </c>
      <c r="IB24" s="387">
        <f t="shared" si="64"/>
        <v>0</v>
      </c>
      <c r="IC24" s="387">
        <f t="shared" si="65"/>
        <v>20000000</v>
      </c>
      <c r="IE24" s="383">
        <f t="shared" si="66"/>
        <v>191776600</v>
      </c>
      <c r="IF24" s="383">
        <f t="shared" si="66"/>
        <v>54000000</v>
      </c>
      <c r="IG24" s="383">
        <f t="shared" si="67"/>
        <v>137776600</v>
      </c>
      <c r="II24" s="383">
        <f t="shared" si="68"/>
        <v>2000000</v>
      </c>
      <c r="IJ24" s="383">
        <f t="shared" si="68"/>
        <v>1700000</v>
      </c>
      <c r="IK24" s="383">
        <f t="shared" si="69"/>
        <v>300000</v>
      </c>
    </row>
    <row r="25" spans="1:245" x14ac:dyDescent="0.25">
      <c r="A25" s="380">
        <v>22</v>
      </c>
      <c r="B25" s="380" t="s">
        <v>341</v>
      </c>
      <c r="C25" s="433" t="s">
        <v>74</v>
      </c>
      <c r="D25" s="392">
        <v>18318965.5</v>
      </c>
      <c r="E25" s="392">
        <f>'[1]COE DISB 2019'!D33</f>
        <v>18318965.5</v>
      </c>
      <c r="F25" s="383">
        <f t="shared" si="0"/>
        <v>0</v>
      </c>
      <c r="H25" s="392">
        <v>8000000</v>
      </c>
      <c r="I25" s="392">
        <f>'[1]COE DISB 2019'!E33</f>
        <v>8000000</v>
      </c>
      <c r="J25" s="383">
        <f t="shared" si="1"/>
        <v>0</v>
      </c>
      <c r="L25" s="392">
        <v>500000</v>
      </c>
      <c r="M25" s="392">
        <f>'[1]COE DISB 2019'!F33</f>
        <v>500000</v>
      </c>
      <c r="N25" s="383">
        <f t="shared" si="2"/>
        <v>0</v>
      </c>
      <c r="P25" s="353">
        <v>16000000</v>
      </c>
      <c r="Q25" s="392">
        <f>'[1]COE DISB 2019'!G33</f>
        <v>16000000</v>
      </c>
      <c r="R25" s="383">
        <f t="shared" si="3"/>
        <v>0</v>
      </c>
      <c r="T25" s="385">
        <v>530000</v>
      </c>
      <c r="U25" s="392">
        <f>'[1]COE DISB 2019'!H33</f>
        <v>530000</v>
      </c>
      <c r="V25" s="383">
        <f t="shared" si="4"/>
        <v>0</v>
      </c>
      <c r="X25" s="353">
        <v>0</v>
      </c>
      <c r="Y25" s="392">
        <f>'[1]COE DISB 2019'!I33</f>
        <v>0</v>
      </c>
      <c r="Z25" s="383">
        <f t="shared" si="5"/>
        <v>0</v>
      </c>
      <c r="AB25" s="385">
        <v>20000000</v>
      </c>
      <c r="AC25" s="392">
        <f>'[1]COE DISB 2019'!J33</f>
        <v>20000000</v>
      </c>
      <c r="AD25" s="383">
        <f t="shared" si="6"/>
        <v>0</v>
      </c>
      <c r="AF25" s="353">
        <v>0</v>
      </c>
      <c r="AG25" s="392">
        <f>'[1]COE DISB 2019'!K33</f>
        <v>0</v>
      </c>
      <c r="AH25" s="383">
        <f t="shared" si="7"/>
        <v>0</v>
      </c>
      <c r="AJ25" s="385">
        <v>10000000</v>
      </c>
      <c r="AK25" s="392">
        <f>'[1]COE DISB 2019'!L33</f>
        <v>10000000</v>
      </c>
      <c r="AL25" s="383">
        <f t="shared" si="8"/>
        <v>0</v>
      </c>
      <c r="AN25" s="392">
        <v>10000000</v>
      </c>
      <c r="AO25" s="392">
        <f>'[1]COE DISB 2019'!M33</f>
        <v>10000000</v>
      </c>
      <c r="AP25" s="383">
        <f t="shared" si="9"/>
        <v>0</v>
      </c>
      <c r="AR25" s="392">
        <v>15000000</v>
      </c>
      <c r="AS25" s="392">
        <f>'[1]COE DISB 2019'!N33</f>
        <v>15000000</v>
      </c>
      <c r="AT25" s="383">
        <f t="shared" si="10"/>
        <v>0</v>
      </c>
      <c r="AV25" s="392">
        <v>5000000</v>
      </c>
      <c r="AW25" s="393">
        <f>'[1]COE DISB 2019'!O33</f>
        <v>5000000</v>
      </c>
      <c r="AX25" s="392">
        <f t="shared" si="11"/>
        <v>0</v>
      </c>
      <c r="AZ25" s="392">
        <v>18000000</v>
      </c>
      <c r="BA25" s="392">
        <f>'[1]COE DISB 2019'!P33</f>
        <v>18000000</v>
      </c>
      <c r="BB25" s="392">
        <f t="shared" si="12"/>
        <v>0</v>
      </c>
      <c r="BD25" s="392">
        <v>23400000</v>
      </c>
      <c r="BE25" s="392">
        <f>'[1]COE DISB 2019'!Q33</f>
        <v>23400000</v>
      </c>
      <c r="BF25" s="392">
        <f t="shared" si="13"/>
        <v>0</v>
      </c>
      <c r="BH25" s="392">
        <v>0</v>
      </c>
      <c r="BI25" s="392">
        <f>'[1]COE DISB 2019'!R33</f>
        <v>0</v>
      </c>
      <c r="BJ25" s="392">
        <f t="shared" si="14"/>
        <v>0</v>
      </c>
      <c r="BL25" s="392">
        <v>43000000</v>
      </c>
      <c r="BM25" s="392">
        <f>'[1]COE DISB 2019'!S33</f>
        <v>43000000</v>
      </c>
      <c r="BN25" s="392">
        <f t="shared" si="15"/>
        <v>0</v>
      </c>
      <c r="BP25" s="392">
        <v>37159800</v>
      </c>
      <c r="BQ25" s="392">
        <f>'[1]COE DISB 2019'!T33</f>
        <v>37159800</v>
      </c>
      <c r="BR25" s="392">
        <f t="shared" si="16"/>
        <v>0</v>
      </c>
      <c r="BT25" s="392">
        <v>0</v>
      </c>
      <c r="BU25" s="392">
        <f>'[1]COE DISB 2019'!U33</f>
        <v>0</v>
      </c>
      <c r="BV25" s="392">
        <f t="shared" si="17"/>
        <v>0</v>
      </c>
      <c r="BX25" s="392">
        <v>112669600</v>
      </c>
      <c r="BY25" s="392">
        <f>'[1]COE DISB 2019'!V33</f>
        <v>112669600</v>
      </c>
      <c r="BZ25" s="392">
        <f t="shared" si="18"/>
        <v>0</v>
      </c>
      <c r="CB25" s="392">
        <f>'[1]COE commited funds to date'!W28</f>
        <v>0</v>
      </c>
      <c r="CC25" s="392">
        <f>'[1]COE DISB 2019'!W33</f>
        <v>0</v>
      </c>
      <c r="CD25" s="392">
        <f t="shared" si="19"/>
        <v>0</v>
      </c>
      <c r="CF25" s="392">
        <f>'[1]COE commited funds to date'!X28</f>
        <v>125000000</v>
      </c>
      <c r="CG25" s="392">
        <f>'[1]COE DISB 2019'!X33</f>
        <v>125000000</v>
      </c>
      <c r="CH25" s="392">
        <f t="shared" si="20"/>
        <v>0</v>
      </c>
      <c r="CJ25" s="392">
        <v>10000000</v>
      </c>
      <c r="CK25" s="392">
        <f>'[1]COE DISB 2019'!Y33</f>
        <v>10000000</v>
      </c>
      <c r="CL25" s="392">
        <f t="shared" si="21"/>
        <v>0</v>
      </c>
      <c r="CN25" s="392">
        <v>500000000</v>
      </c>
      <c r="CO25" s="392">
        <f>'[1]COE DISB 2019'!Z33</f>
        <v>500000000</v>
      </c>
      <c r="CP25" s="392">
        <f t="shared" si="22"/>
        <v>0</v>
      </c>
      <c r="CR25" s="392">
        <v>210000000</v>
      </c>
      <c r="CS25" s="392">
        <f>'[1]COE DISB 2019'!AA33</f>
        <v>210000000</v>
      </c>
      <c r="CT25" s="392">
        <f t="shared" si="23"/>
        <v>0</v>
      </c>
      <c r="CV25" s="392">
        <v>10000000</v>
      </c>
      <c r="CW25" s="392">
        <f>'[1]COE DISB 2019'!AB33</f>
        <v>10000000</v>
      </c>
      <c r="CX25" s="392">
        <f t="shared" si="24"/>
        <v>0</v>
      </c>
      <c r="CZ25" s="392">
        <f>'[1]COE commited funds to date'!AC28</f>
        <v>0</v>
      </c>
      <c r="DA25" s="392">
        <f>'[1]COE DISB 2019'!AC33</f>
        <v>0</v>
      </c>
      <c r="DB25" s="392">
        <f t="shared" si="25"/>
        <v>0</v>
      </c>
      <c r="DC25" s="394"/>
      <c r="DD25" s="392">
        <v>215000000</v>
      </c>
      <c r="DE25" s="392">
        <f>'[1]COE DISB 2019'!AD33</f>
        <v>215000000</v>
      </c>
      <c r="DF25" s="392">
        <f t="shared" si="26"/>
        <v>0</v>
      </c>
      <c r="DG25" s="394"/>
      <c r="DH25" s="392">
        <v>10000000</v>
      </c>
      <c r="DI25" s="392">
        <f>'[1]COE DISB 2019'!AE33</f>
        <v>10000000</v>
      </c>
      <c r="DJ25" s="392">
        <f t="shared" si="27"/>
        <v>0</v>
      </c>
      <c r="DK25" s="394"/>
      <c r="DL25" s="392">
        <f>'[1]COE commited funds to date'!AD28</f>
        <v>200000000</v>
      </c>
      <c r="DM25" s="392">
        <f>'[1]COE DISB 2019'!AF33</f>
        <v>200000000</v>
      </c>
      <c r="DN25" s="392">
        <f t="shared" si="28"/>
        <v>0</v>
      </c>
      <c r="DO25" s="394"/>
      <c r="DP25" s="392">
        <v>325000000</v>
      </c>
      <c r="DQ25" s="392">
        <f>'[1]COE DISB 2019'!AG33</f>
        <v>276250000</v>
      </c>
      <c r="DR25" s="392">
        <f t="shared" si="29"/>
        <v>48750000</v>
      </c>
      <c r="DS25" s="394"/>
      <c r="DT25" s="397">
        <v>10000000</v>
      </c>
      <c r="DU25" s="392">
        <f>'[1]COE DISB 2019'!AH33</f>
        <v>7092400</v>
      </c>
      <c r="DV25" s="392">
        <f t="shared" si="30"/>
        <v>2907600</v>
      </c>
      <c r="DW25" s="394"/>
      <c r="DX25" s="392">
        <f>'[1]COE commited funds to date'!AI28</f>
        <v>200000000</v>
      </c>
      <c r="DY25" s="392">
        <f>'[1]COE DISB 2019'!AI33</f>
        <v>200000000</v>
      </c>
      <c r="DZ25" s="392">
        <f t="shared" si="31"/>
        <v>0</v>
      </c>
      <c r="EA25" s="394"/>
      <c r="EB25" s="392">
        <f>'[1]COE commited funds to date'!AJ28</f>
        <v>72000000</v>
      </c>
      <c r="EC25" s="392">
        <f>'[1]COE DISB 2019'!AJ33</f>
        <v>72000000</v>
      </c>
      <c r="ED25" s="392">
        <f t="shared" si="32"/>
        <v>0</v>
      </c>
      <c r="EE25" s="394"/>
      <c r="EF25" s="392">
        <f>'[1]COE commited funds to date'!AK28</f>
        <v>8000000</v>
      </c>
      <c r="EG25" s="392">
        <f>'[1]COE DISB 2019'!AK33</f>
        <v>0</v>
      </c>
      <c r="EH25" s="392">
        <f t="shared" si="33"/>
        <v>8000000</v>
      </c>
      <c r="EI25" s="394"/>
      <c r="EJ25" s="392">
        <f>'[1]COE commited funds to date'!AL28</f>
        <v>2000000</v>
      </c>
      <c r="EK25" s="392">
        <f>'[1]COE DISB 2019'!AL33</f>
        <v>0</v>
      </c>
      <c r="EL25" s="392">
        <f t="shared" si="34"/>
        <v>2000000</v>
      </c>
      <c r="EM25" s="394"/>
      <c r="EN25" s="392">
        <f>'[1]COE commited funds to date'!AM28</f>
        <v>7000000</v>
      </c>
      <c r="EO25" s="392">
        <f>'[1]COE DISB 2019'!AM33</f>
        <v>5575000</v>
      </c>
      <c r="EP25" s="392">
        <f t="shared" si="35"/>
        <v>1425000</v>
      </c>
      <c r="EQ25" s="394"/>
      <c r="ER25" s="392">
        <f>'[1]COE commited funds to date'!AN28</f>
        <v>1650000000</v>
      </c>
      <c r="ES25" s="392">
        <f>'[1]COE DISB 2019'!AN33</f>
        <v>1431500000</v>
      </c>
      <c r="ET25" s="392">
        <f t="shared" si="36"/>
        <v>218500000</v>
      </c>
      <c r="EV25" s="383">
        <f>'[1]COE commited funds to date'!AO28</f>
        <v>371067000</v>
      </c>
      <c r="EW25" s="383">
        <f>'[1]COE DISB 2019'!AO33</f>
        <v>371067000</v>
      </c>
      <c r="EX25" s="383">
        <f t="shared" si="38"/>
        <v>0</v>
      </c>
      <c r="EY25" s="380"/>
      <c r="EZ25" s="383">
        <f>'[1]COE commited funds to date'!AQ28</f>
        <v>12000000</v>
      </c>
      <c r="FA25" s="383">
        <f>'[1]COE DISB 2019'!AP33</f>
        <v>12000000</v>
      </c>
      <c r="FB25" s="383">
        <f t="shared" si="39"/>
        <v>0</v>
      </c>
      <c r="FC25" s="380"/>
      <c r="FD25" s="383">
        <f>'[1]COE commited funds to date'!AR28</f>
        <v>10000000</v>
      </c>
      <c r="FE25" s="383">
        <f>'[1]COE DISB 2019'!AQ33</f>
        <v>0</v>
      </c>
      <c r="FF25" s="383">
        <f t="shared" si="40"/>
        <v>10000000</v>
      </c>
      <c r="FG25" s="380"/>
      <c r="FH25" s="383">
        <f>'[1]COE commited funds to date'!AP28</f>
        <v>8000000</v>
      </c>
      <c r="FI25" s="383">
        <f>'[1]COE DISB 2019'!AR33</f>
        <v>0</v>
      </c>
      <c r="FJ25" s="383">
        <f t="shared" si="41"/>
        <v>8000000</v>
      </c>
      <c r="FK25" s="383">
        <f>'[1]COE commited funds to date'!AS28</f>
        <v>0</v>
      </c>
      <c r="FL25" s="383">
        <f>'[1]COE DISB 2019'!AS33</f>
        <v>0</v>
      </c>
      <c r="FM25" s="383">
        <f t="shared" si="42"/>
        <v>0</v>
      </c>
      <c r="FN25" s="380"/>
      <c r="FO25" s="383">
        <f>'[1]COE commited funds to date'!AT28</f>
        <v>200000000</v>
      </c>
      <c r="FP25" s="383">
        <f>'[1]COE DISB 2019'!AT33</f>
        <v>0</v>
      </c>
      <c r="FQ25" s="383">
        <f t="shared" si="43"/>
        <v>200000000</v>
      </c>
      <c r="FR25" s="380"/>
      <c r="FS25" s="383">
        <f>'[1]COE commited funds to date'!AU28</f>
        <v>75000000</v>
      </c>
      <c r="FT25" s="383">
        <f>'[1]COE DISB 2019'!AU33</f>
        <v>75000000</v>
      </c>
      <c r="FU25" s="383">
        <f t="shared" si="44"/>
        <v>0</v>
      </c>
      <c r="FV25" s="380"/>
      <c r="FW25" s="383">
        <f>'[1]COE commited funds to date'!AV28</f>
        <v>8700000</v>
      </c>
      <c r="FX25" s="383">
        <f>'[1]COE DISB 2019'!AV33</f>
        <v>0</v>
      </c>
      <c r="FY25" s="383">
        <f t="shared" si="45"/>
        <v>8700000</v>
      </c>
      <c r="FZ25" s="380"/>
      <c r="GA25" s="383">
        <f>'[1]COE commited funds to date'!AW28</f>
        <v>5000000</v>
      </c>
      <c r="GB25" s="383">
        <f>'[1]COE DISB 2019'!AW33</f>
        <v>0</v>
      </c>
      <c r="GC25" s="383">
        <f t="shared" si="46"/>
        <v>5000000</v>
      </c>
      <c r="GD25" s="380"/>
      <c r="GE25" s="383">
        <f>'[1]COE commited funds to date'!AX28</f>
        <v>20000000</v>
      </c>
      <c r="GF25" s="383">
        <f>'[1]COE DISB 2019'!AX33</f>
        <v>9878600</v>
      </c>
      <c r="GG25" s="383">
        <f t="shared" si="47"/>
        <v>10121400</v>
      </c>
      <c r="GH25" s="380"/>
      <c r="GI25" s="383">
        <f>'[1]COE commited funds to date'!AY28</f>
        <v>230000000</v>
      </c>
      <c r="GJ25" s="383">
        <f>'[1]COE DISB 2019'!AY33</f>
        <v>0</v>
      </c>
      <c r="GK25" s="383">
        <f t="shared" si="48"/>
        <v>230000000</v>
      </c>
      <c r="GL25" s="380"/>
      <c r="GM25" s="383">
        <f>'[1]COE commited funds to date'!AZ28</f>
        <v>116776600</v>
      </c>
      <c r="GN25" s="383">
        <f>'[1]COE DISB 2019'!AZ33</f>
        <v>0</v>
      </c>
      <c r="GO25" s="383">
        <f t="shared" si="49"/>
        <v>116776600</v>
      </c>
      <c r="GP25" s="380"/>
      <c r="GQ25" s="383">
        <f>'[1]COE commited funds to date'!BA28</f>
        <v>12000000</v>
      </c>
      <c r="GR25" s="383">
        <f>'[1]COE DISB 2019'!BA33</f>
        <v>0</v>
      </c>
      <c r="GS25" s="383">
        <f t="shared" si="50"/>
        <v>12000000</v>
      </c>
      <c r="GT25" s="380"/>
      <c r="GU25" s="383">
        <f>'[1]COE commited funds to date'!BB28</f>
        <v>5000000</v>
      </c>
      <c r="GV25" s="383">
        <f>'[1]COE DISB 2019'!BB33</f>
        <v>0</v>
      </c>
      <c r="GW25" s="383">
        <f t="shared" si="51"/>
        <v>5000000</v>
      </c>
      <c r="GX25" s="380"/>
      <c r="GY25" s="383">
        <f>'[1]COE commited funds to date'!BC28</f>
        <v>10308300</v>
      </c>
      <c r="GZ25" s="383">
        <f>'[1]COE DISB 2019'!BC33</f>
        <v>0</v>
      </c>
      <c r="HA25" s="383">
        <f t="shared" si="52"/>
        <v>10308300</v>
      </c>
      <c r="HB25" s="380"/>
      <c r="HC25" s="383">
        <f t="shared" si="53"/>
        <v>4975430265.5</v>
      </c>
      <c r="HD25" s="383">
        <f t="shared" si="53"/>
        <v>4077941365.5</v>
      </c>
      <c r="HE25" s="392">
        <f t="shared" si="54"/>
        <v>897488900</v>
      </c>
      <c r="HG25" s="383">
        <f t="shared" si="55"/>
        <v>2079615365.5</v>
      </c>
      <c r="HH25" s="383">
        <f t="shared" si="55"/>
        <v>1600865365.5</v>
      </c>
      <c r="HI25" s="383">
        <f t="shared" si="56"/>
        <v>478750000</v>
      </c>
      <c r="HK25" s="383">
        <f t="shared" si="57"/>
        <v>2550000000</v>
      </c>
      <c r="HL25" s="383">
        <f t="shared" si="57"/>
        <v>2331500000</v>
      </c>
      <c r="HM25" s="383">
        <f t="shared" si="58"/>
        <v>218500000</v>
      </c>
      <c r="HO25" s="383">
        <f t="shared" si="37"/>
        <v>1030000</v>
      </c>
      <c r="HP25" s="383">
        <f t="shared" si="37"/>
        <v>1030000</v>
      </c>
      <c r="HQ25" s="383">
        <f t="shared" si="59"/>
        <v>0</v>
      </c>
      <c r="HS25" s="383">
        <f t="shared" si="60"/>
        <v>89308300</v>
      </c>
      <c r="HT25" s="383">
        <f t="shared" si="60"/>
        <v>64546000</v>
      </c>
      <c r="HU25" s="383">
        <f t="shared" si="61"/>
        <v>24762300</v>
      </c>
      <c r="HW25" s="383">
        <f t="shared" si="62"/>
        <v>36700000</v>
      </c>
      <c r="HX25" s="383">
        <f t="shared" si="62"/>
        <v>0</v>
      </c>
      <c r="HY25" s="383">
        <f t="shared" si="63"/>
        <v>36700000</v>
      </c>
      <c r="IA25" s="387">
        <f t="shared" si="64"/>
        <v>20000000</v>
      </c>
      <c r="IB25" s="387">
        <f t="shared" si="64"/>
        <v>0</v>
      </c>
      <c r="IC25" s="387">
        <f t="shared" si="65"/>
        <v>20000000</v>
      </c>
      <c r="IE25" s="383">
        <f t="shared" si="66"/>
        <v>191776600</v>
      </c>
      <c r="IF25" s="383">
        <f t="shared" si="66"/>
        <v>75000000</v>
      </c>
      <c r="IG25" s="383">
        <f t="shared" si="67"/>
        <v>116776600</v>
      </c>
      <c r="II25" s="383">
        <f t="shared" si="68"/>
        <v>2000000</v>
      </c>
      <c r="IJ25" s="383">
        <f t="shared" si="68"/>
        <v>0</v>
      </c>
      <c r="IK25" s="383">
        <f t="shared" si="69"/>
        <v>2000000</v>
      </c>
    </row>
    <row r="26" spans="1:245" x14ac:dyDescent="0.25">
      <c r="A26" s="380">
        <v>23</v>
      </c>
      <c r="B26" s="380" t="s">
        <v>342</v>
      </c>
      <c r="C26" s="431" t="s">
        <v>65</v>
      </c>
      <c r="D26" s="392">
        <v>18318965.5</v>
      </c>
      <c r="E26" s="392">
        <f>'[1]COE DISB 2019'!D34</f>
        <v>18318965.5</v>
      </c>
      <c r="F26" s="383">
        <f t="shared" si="0"/>
        <v>0</v>
      </c>
      <c r="H26" s="392">
        <v>8000000</v>
      </c>
      <c r="I26" s="392">
        <f>'[1]COE DISB 2019'!E34</f>
        <v>8000000</v>
      </c>
      <c r="J26" s="383">
        <f t="shared" si="1"/>
        <v>0</v>
      </c>
      <c r="L26" s="392">
        <v>500000</v>
      </c>
      <c r="M26" s="392">
        <f>'[1]COE DISB 2019'!F34</f>
        <v>500000</v>
      </c>
      <c r="N26" s="383">
        <f t="shared" si="2"/>
        <v>0</v>
      </c>
      <c r="P26" s="353">
        <v>16000000</v>
      </c>
      <c r="Q26" s="392">
        <f>'[1]COE DISB 2019'!G34</f>
        <v>16000000</v>
      </c>
      <c r="R26" s="383">
        <f t="shared" si="3"/>
        <v>0</v>
      </c>
      <c r="T26" s="353">
        <v>0</v>
      </c>
      <c r="U26" s="392">
        <f>'[1]COE DISB 2019'!H34</f>
        <v>0</v>
      </c>
      <c r="V26" s="383">
        <f t="shared" si="4"/>
        <v>0</v>
      </c>
      <c r="X26" s="353">
        <v>0</v>
      </c>
      <c r="Y26" s="392">
        <f>'[1]COE DISB 2019'!I34</f>
        <v>0</v>
      </c>
      <c r="Z26" s="383">
        <f t="shared" si="5"/>
        <v>0</v>
      </c>
      <c r="AB26" s="385">
        <v>20000000</v>
      </c>
      <c r="AC26" s="392">
        <f>'[1]COE DISB 2019'!J34</f>
        <v>20000000</v>
      </c>
      <c r="AD26" s="383">
        <f t="shared" si="6"/>
        <v>0</v>
      </c>
      <c r="AF26" s="353">
        <v>0</v>
      </c>
      <c r="AG26" s="392">
        <f>'[1]COE DISB 2019'!K34</f>
        <v>0</v>
      </c>
      <c r="AH26" s="383">
        <f t="shared" si="7"/>
        <v>0</v>
      </c>
      <c r="AJ26" s="385">
        <v>10000000</v>
      </c>
      <c r="AK26" s="392">
        <f>'[1]COE DISB 2019'!L34</f>
        <v>10000000</v>
      </c>
      <c r="AL26" s="383">
        <f t="shared" si="8"/>
        <v>0</v>
      </c>
      <c r="AN26" s="392">
        <v>10000000</v>
      </c>
      <c r="AO26" s="392">
        <f>'[1]COE DISB 2019'!M34</f>
        <v>10000000</v>
      </c>
      <c r="AP26" s="383">
        <f t="shared" si="9"/>
        <v>0</v>
      </c>
      <c r="AR26" s="392">
        <v>15000000</v>
      </c>
      <c r="AS26" s="392">
        <f>'[1]COE DISB 2019'!N34</f>
        <v>15000000</v>
      </c>
      <c r="AT26" s="383">
        <f t="shared" si="10"/>
        <v>0</v>
      </c>
      <c r="AV26" s="392">
        <v>5000000</v>
      </c>
      <c r="AW26" s="393">
        <f>'[1]COE DISB 2019'!O34</f>
        <v>5000000</v>
      </c>
      <c r="AX26" s="392">
        <f t="shared" si="11"/>
        <v>0</v>
      </c>
      <c r="AZ26" s="392">
        <v>18000000</v>
      </c>
      <c r="BA26" s="392">
        <f>'[1]COE DISB 2019'!P34</f>
        <v>18000000</v>
      </c>
      <c r="BB26" s="392">
        <f t="shared" si="12"/>
        <v>0</v>
      </c>
      <c r="BD26" s="392">
        <v>23400000</v>
      </c>
      <c r="BE26" s="392">
        <f>'[1]COE DISB 2019'!Q34</f>
        <v>23400000</v>
      </c>
      <c r="BF26" s="392">
        <f t="shared" si="13"/>
        <v>0</v>
      </c>
      <c r="BH26" s="392">
        <v>0</v>
      </c>
      <c r="BI26" s="392">
        <f>'[1]COE DISB 2019'!R34</f>
        <v>0</v>
      </c>
      <c r="BJ26" s="392">
        <f t="shared" si="14"/>
        <v>0</v>
      </c>
      <c r="BL26" s="392">
        <v>43000000</v>
      </c>
      <c r="BM26" s="392">
        <f>'[1]COE DISB 2019'!S34</f>
        <v>43000000</v>
      </c>
      <c r="BN26" s="392">
        <f t="shared" si="15"/>
        <v>0</v>
      </c>
      <c r="BP26" s="392">
        <v>37160000</v>
      </c>
      <c r="BQ26" s="392">
        <f>'[1]COE DISB 2019'!T34</f>
        <v>37160000</v>
      </c>
      <c r="BR26" s="392">
        <f t="shared" si="16"/>
        <v>0</v>
      </c>
      <c r="BT26" s="392">
        <v>0</v>
      </c>
      <c r="BU26" s="392">
        <f>'[1]COE DISB 2019'!U34</f>
        <v>0</v>
      </c>
      <c r="BV26" s="392">
        <f t="shared" si="17"/>
        <v>0</v>
      </c>
      <c r="BX26" s="392">
        <v>112670000</v>
      </c>
      <c r="BY26" s="392">
        <f>'[1]COE DISB 2019'!V34</f>
        <v>112670000</v>
      </c>
      <c r="BZ26" s="392">
        <f t="shared" si="18"/>
        <v>0</v>
      </c>
      <c r="CB26" s="392">
        <f>'[1]COE commited funds to date'!W29</f>
        <v>0</v>
      </c>
      <c r="CC26" s="392">
        <f>'[1]COE DISB 2019'!W34</f>
        <v>0</v>
      </c>
      <c r="CD26" s="392">
        <f t="shared" si="19"/>
        <v>0</v>
      </c>
      <c r="CF26" s="392">
        <f>'[1]COE commited funds to date'!X29</f>
        <v>125000000</v>
      </c>
      <c r="CG26" s="392">
        <f>'[1]COE DISB 2019'!X34</f>
        <v>125000000</v>
      </c>
      <c r="CH26" s="392">
        <f t="shared" si="20"/>
        <v>0</v>
      </c>
      <c r="CJ26" s="392">
        <v>10000000</v>
      </c>
      <c r="CK26" s="392">
        <f>'[1]COE DISB 2019'!Y34</f>
        <v>10000000</v>
      </c>
      <c r="CL26" s="392">
        <f t="shared" si="21"/>
        <v>0</v>
      </c>
      <c r="CN26" s="392">
        <v>0</v>
      </c>
      <c r="CO26" s="392">
        <f>'[1]COE DISB 2019'!Z34</f>
        <v>0</v>
      </c>
      <c r="CP26" s="392">
        <f t="shared" si="22"/>
        <v>0</v>
      </c>
      <c r="CR26" s="392">
        <v>210000000</v>
      </c>
      <c r="CS26" s="392">
        <f>'[1]COE DISB 2019'!AA34</f>
        <v>210000000</v>
      </c>
      <c r="CT26" s="392">
        <f t="shared" si="23"/>
        <v>0</v>
      </c>
      <c r="CV26" s="392">
        <v>10000000</v>
      </c>
      <c r="CW26" s="392">
        <f>'[1]COE DISB 2019'!AB34</f>
        <v>10000000</v>
      </c>
      <c r="CX26" s="392">
        <f t="shared" si="24"/>
        <v>0</v>
      </c>
      <c r="CZ26" s="392">
        <f>'[1]COE commited funds to date'!AC29</f>
        <v>0</v>
      </c>
      <c r="DA26" s="392">
        <f>'[1]COE DISB 2019'!AC34</f>
        <v>0</v>
      </c>
      <c r="DB26" s="392">
        <f t="shared" si="25"/>
        <v>0</v>
      </c>
      <c r="DC26" s="394"/>
      <c r="DD26" s="392">
        <v>215000000</v>
      </c>
      <c r="DE26" s="392">
        <f>'[1]COE DISB 2019'!AD34</f>
        <v>215000000</v>
      </c>
      <c r="DF26" s="392">
        <f t="shared" si="26"/>
        <v>0</v>
      </c>
      <c r="DG26" s="394"/>
      <c r="DH26" s="392">
        <v>10000000</v>
      </c>
      <c r="DI26" s="392">
        <f>'[1]COE DISB 2019'!AE34</f>
        <v>10000000</v>
      </c>
      <c r="DJ26" s="392">
        <f t="shared" si="27"/>
        <v>0</v>
      </c>
      <c r="DK26" s="394"/>
      <c r="DL26" s="392">
        <f>'[1]COE commited funds to date'!AD29</f>
        <v>0</v>
      </c>
      <c r="DM26" s="392">
        <f>'[1]COE DISB 2019'!AF34</f>
        <v>0</v>
      </c>
      <c r="DN26" s="392">
        <f t="shared" si="28"/>
        <v>0</v>
      </c>
      <c r="DO26" s="394"/>
      <c r="DP26" s="392">
        <v>325000000</v>
      </c>
      <c r="DQ26" s="392">
        <f>'[1]COE DISB 2019'!AG34</f>
        <v>188500000</v>
      </c>
      <c r="DR26" s="392">
        <f t="shared" si="29"/>
        <v>136500000</v>
      </c>
      <c r="DS26" s="394"/>
      <c r="DT26" s="397">
        <v>10000000</v>
      </c>
      <c r="DU26" s="392">
        <f>'[1]COE DISB 2019'!AH34</f>
        <v>10000000</v>
      </c>
      <c r="DV26" s="392">
        <f t="shared" si="30"/>
        <v>0</v>
      </c>
      <c r="DW26" s="394"/>
      <c r="DX26" s="392">
        <f>'[1]COE commited funds to date'!AI29</f>
        <v>130000000</v>
      </c>
      <c r="DY26" s="392">
        <f>'[1]COE DISB 2019'!AI34</f>
        <v>130000000</v>
      </c>
      <c r="DZ26" s="392">
        <f t="shared" si="31"/>
        <v>0</v>
      </c>
      <c r="EA26" s="394"/>
      <c r="EB26" s="392">
        <f>'[1]COE commited funds to date'!AJ29</f>
        <v>72000000</v>
      </c>
      <c r="EC26" s="392">
        <f>'[1]COE DISB 2019'!AJ34</f>
        <v>41760000</v>
      </c>
      <c r="ED26" s="392">
        <f t="shared" si="32"/>
        <v>30240000</v>
      </c>
      <c r="EE26" s="394"/>
      <c r="EF26" s="392">
        <f>'[1]COE commited funds to date'!AK29</f>
        <v>8000000</v>
      </c>
      <c r="EG26" s="392">
        <f>'[1]COE DISB 2019'!AK34</f>
        <v>4080000</v>
      </c>
      <c r="EH26" s="392">
        <f t="shared" si="33"/>
        <v>3920000</v>
      </c>
      <c r="EI26" s="394"/>
      <c r="EJ26" s="392">
        <f>'[1]COE commited funds to date'!AL29</f>
        <v>2000000</v>
      </c>
      <c r="EK26" s="392">
        <f>'[1]COE DISB 2019'!AL34</f>
        <v>0</v>
      </c>
      <c r="EL26" s="392">
        <f t="shared" si="34"/>
        <v>2000000</v>
      </c>
      <c r="EM26" s="394"/>
      <c r="EN26" s="392">
        <f>'[1]COE commited funds to date'!AM29</f>
        <v>7000000</v>
      </c>
      <c r="EO26" s="392">
        <f>'[1]COE DISB 2019'!AM34</f>
        <v>7000000</v>
      </c>
      <c r="EP26" s="392">
        <f t="shared" si="35"/>
        <v>0</v>
      </c>
      <c r="EQ26" s="394"/>
      <c r="ER26" s="392">
        <f>'[1]COE commited funds to date'!AN29</f>
        <v>800000000</v>
      </c>
      <c r="ES26" s="392">
        <f>'[1]COE DISB 2019'!AN34</f>
        <v>800000000</v>
      </c>
      <c r="ET26" s="392">
        <f t="shared" si="36"/>
        <v>0</v>
      </c>
      <c r="EV26" s="383">
        <f>'[1]COE commited funds to date'!AO29</f>
        <v>371067000</v>
      </c>
      <c r="EW26" s="383">
        <f>'[1]COE DISB 2019'!AO34</f>
        <v>215218860</v>
      </c>
      <c r="EX26" s="383">
        <f t="shared" si="38"/>
        <v>155848140</v>
      </c>
      <c r="EY26" s="380"/>
      <c r="EZ26" s="383">
        <f>'[1]COE commited funds to date'!AQ29</f>
        <v>12000000</v>
      </c>
      <c r="FA26" s="383">
        <f>'[1]COE DISB 2019'!AP34</f>
        <v>12000000</v>
      </c>
      <c r="FB26" s="383">
        <f t="shared" si="39"/>
        <v>0</v>
      </c>
      <c r="FC26" s="380"/>
      <c r="FD26" s="383">
        <f>'[1]COE commited funds to date'!AR29</f>
        <v>10000000</v>
      </c>
      <c r="FE26" s="383">
        <f>'[1]COE DISB 2019'!AQ34</f>
        <v>0</v>
      </c>
      <c r="FF26" s="383">
        <f t="shared" si="40"/>
        <v>10000000</v>
      </c>
      <c r="FG26" s="380"/>
      <c r="FH26" s="383">
        <f>'[1]COE commited funds to date'!AP29</f>
        <v>8000000</v>
      </c>
      <c r="FI26" s="383">
        <f>'[1]COE DISB 2019'!AR34</f>
        <v>4080000</v>
      </c>
      <c r="FJ26" s="383">
        <f t="shared" si="41"/>
        <v>3920000</v>
      </c>
      <c r="FK26" s="383">
        <f>'[1]COE commited funds to date'!AS29</f>
        <v>0</v>
      </c>
      <c r="FL26" s="383">
        <f>'[1]COE DISB 2019'!AS34</f>
        <v>0</v>
      </c>
      <c r="FM26" s="383">
        <f t="shared" si="42"/>
        <v>0</v>
      </c>
      <c r="FN26" s="380"/>
      <c r="FO26" s="383">
        <f>'[1]COE commited funds to date'!AT29</f>
        <v>200000000</v>
      </c>
      <c r="FP26" s="383">
        <f>'[1]COE DISB 2019'!AT34</f>
        <v>0</v>
      </c>
      <c r="FQ26" s="383">
        <f t="shared" si="43"/>
        <v>200000000</v>
      </c>
      <c r="FR26" s="380"/>
      <c r="FS26" s="383">
        <f>'[1]COE commited funds to date'!AU29</f>
        <v>75000000</v>
      </c>
      <c r="FT26" s="383">
        <f>'[1]COE DISB 2019'!AU34</f>
        <v>50250000</v>
      </c>
      <c r="FU26" s="383">
        <f t="shared" si="44"/>
        <v>24750000</v>
      </c>
      <c r="FV26" s="380"/>
      <c r="FW26" s="383">
        <f>'[1]COE commited funds to date'!AV29</f>
        <v>8700000</v>
      </c>
      <c r="FX26" s="383">
        <f>'[1]COE DISB 2019'!AV34</f>
        <v>0</v>
      </c>
      <c r="FY26" s="383">
        <f t="shared" si="45"/>
        <v>8700000</v>
      </c>
      <c r="FZ26" s="380"/>
      <c r="GA26" s="383">
        <f>'[1]COE commited funds to date'!AW29</f>
        <v>5000000</v>
      </c>
      <c r="GB26" s="383">
        <f>'[1]COE DISB 2019'!AW34</f>
        <v>0</v>
      </c>
      <c r="GC26" s="383">
        <f t="shared" si="46"/>
        <v>5000000</v>
      </c>
      <c r="GD26" s="380"/>
      <c r="GE26" s="383">
        <f>'[1]COE commited funds to date'!AX29</f>
        <v>20000000</v>
      </c>
      <c r="GF26" s="383">
        <f>'[1]COE DISB 2019'!AX34</f>
        <v>12354245</v>
      </c>
      <c r="GG26" s="383">
        <f t="shared" si="47"/>
        <v>7645755</v>
      </c>
      <c r="GH26" s="380"/>
      <c r="GI26" s="383">
        <f>'[1]COE commited funds to date'!AY29</f>
        <v>230000000</v>
      </c>
      <c r="GJ26" s="383">
        <f>'[1]COE DISB 2019'!AY34</f>
        <v>0</v>
      </c>
      <c r="GK26" s="383">
        <f t="shared" si="48"/>
        <v>230000000</v>
      </c>
      <c r="GL26" s="380"/>
      <c r="GM26" s="383">
        <f>'[1]COE commited funds to date'!AZ29</f>
        <v>116776600</v>
      </c>
      <c r="GN26" s="383">
        <f>'[1]COE DISB 2019'!AZ34</f>
        <v>0</v>
      </c>
      <c r="GO26" s="383">
        <f t="shared" si="49"/>
        <v>116776600</v>
      </c>
      <c r="GP26" s="380"/>
      <c r="GQ26" s="383">
        <f>'[1]COE commited funds to date'!BA29</f>
        <v>12000000</v>
      </c>
      <c r="GR26" s="383">
        <f>'[1]COE DISB 2019'!BA34</f>
        <v>0</v>
      </c>
      <c r="GS26" s="383">
        <f t="shared" si="50"/>
        <v>12000000</v>
      </c>
      <c r="GT26" s="380"/>
      <c r="GU26" s="383">
        <f>'[1]COE commited funds to date'!BB29</f>
        <v>5000000</v>
      </c>
      <c r="GV26" s="383">
        <f>'[1]COE DISB 2019'!BB34</f>
        <v>0</v>
      </c>
      <c r="GW26" s="383">
        <f t="shared" si="51"/>
        <v>5000000</v>
      </c>
      <c r="GX26" s="380"/>
      <c r="GY26" s="383">
        <f>'[1]COE commited funds to date'!BC29</f>
        <v>10308300</v>
      </c>
      <c r="GZ26" s="383">
        <f>'[1]COE DISB 2019'!BC34</f>
        <v>0</v>
      </c>
      <c r="HA26" s="383">
        <f t="shared" si="52"/>
        <v>10308300</v>
      </c>
      <c r="HB26" s="380"/>
      <c r="HC26" s="383">
        <f t="shared" si="53"/>
        <v>3354900865.5</v>
      </c>
      <c r="HD26" s="383">
        <f t="shared" si="53"/>
        <v>2392292070.5</v>
      </c>
      <c r="HE26" s="392">
        <f t="shared" si="54"/>
        <v>962608795</v>
      </c>
      <c r="HG26" s="383">
        <f t="shared" si="55"/>
        <v>2079615965.5</v>
      </c>
      <c r="HH26" s="383">
        <f t="shared" si="55"/>
        <v>1327027825.5</v>
      </c>
      <c r="HI26" s="383">
        <f t="shared" si="56"/>
        <v>752588140</v>
      </c>
      <c r="HK26" s="383">
        <f t="shared" si="57"/>
        <v>930000000</v>
      </c>
      <c r="HL26" s="383">
        <f t="shared" si="57"/>
        <v>930000000</v>
      </c>
      <c r="HM26" s="383">
        <f t="shared" si="58"/>
        <v>0</v>
      </c>
      <c r="HO26" s="383">
        <f t="shared" si="37"/>
        <v>500000</v>
      </c>
      <c r="HP26" s="383">
        <f t="shared" si="37"/>
        <v>500000</v>
      </c>
      <c r="HQ26" s="383">
        <f t="shared" si="59"/>
        <v>0</v>
      </c>
      <c r="HS26" s="383">
        <f t="shared" si="60"/>
        <v>89308300</v>
      </c>
      <c r="HT26" s="383">
        <f t="shared" si="60"/>
        <v>71354245</v>
      </c>
      <c r="HU26" s="383">
        <f t="shared" si="61"/>
        <v>17954055</v>
      </c>
      <c r="HW26" s="383">
        <f t="shared" si="62"/>
        <v>36700000</v>
      </c>
      <c r="HX26" s="383">
        <f t="shared" si="62"/>
        <v>8160000</v>
      </c>
      <c r="HY26" s="383">
        <f t="shared" si="63"/>
        <v>28540000</v>
      </c>
      <c r="IA26" s="387">
        <f t="shared" si="64"/>
        <v>20000000</v>
      </c>
      <c r="IB26" s="387">
        <f t="shared" si="64"/>
        <v>0</v>
      </c>
      <c r="IC26" s="387">
        <f t="shared" si="65"/>
        <v>20000000</v>
      </c>
      <c r="IE26" s="383">
        <f t="shared" si="66"/>
        <v>191776600</v>
      </c>
      <c r="IF26" s="383">
        <f t="shared" si="66"/>
        <v>50250000</v>
      </c>
      <c r="IG26" s="383">
        <f t="shared" si="67"/>
        <v>141526600</v>
      </c>
      <c r="II26" s="383">
        <f t="shared" si="68"/>
        <v>2000000</v>
      </c>
      <c r="IJ26" s="383">
        <f t="shared" si="68"/>
        <v>0</v>
      </c>
      <c r="IK26" s="383">
        <f t="shared" si="69"/>
        <v>2000000</v>
      </c>
    </row>
    <row r="27" spans="1:245" x14ac:dyDescent="0.25">
      <c r="A27" s="380">
        <v>24</v>
      </c>
      <c r="B27" s="380" t="s">
        <v>343</v>
      </c>
      <c r="C27" s="431" t="s">
        <v>76</v>
      </c>
      <c r="D27" s="392">
        <v>18318965.5</v>
      </c>
      <c r="E27" s="392">
        <f>'[1]COE DISB 2019'!D35</f>
        <v>18318965.5</v>
      </c>
      <c r="F27" s="383">
        <f t="shared" si="0"/>
        <v>0</v>
      </c>
      <c r="H27" s="392">
        <v>8000000</v>
      </c>
      <c r="I27" s="392">
        <f>'[1]COE DISB 2019'!E35</f>
        <v>8000000</v>
      </c>
      <c r="J27" s="383">
        <f t="shared" si="1"/>
        <v>0</v>
      </c>
      <c r="L27" s="392">
        <v>500000</v>
      </c>
      <c r="M27" s="392">
        <f>'[1]COE DISB 2019'!F35</f>
        <v>500000</v>
      </c>
      <c r="N27" s="383">
        <f t="shared" si="2"/>
        <v>0</v>
      </c>
      <c r="P27" s="353">
        <v>16000000</v>
      </c>
      <c r="Q27" s="392">
        <f>'[1]COE DISB 2019'!G35</f>
        <v>16000000</v>
      </c>
      <c r="R27" s="383">
        <f t="shared" si="3"/>
        <v>0</v>
      </c>
      <c r="T27" s="385">
        <v>1209000</v>
      </c>
      <c r="U27" s="392">
        <f>'[1]COE DISB 2019'!H35</f>
        <v>1209000</v>
      </c>
      <c r="V27" s="383">
        <f t="shared" si="4"/>
        <v>0</v>
      </c>
      <c r="X27" s="353">
        <v>0</v>
      </c>
      <c r="Y27" s="392">
        <f>'[1]COE DISB 2019'!I35</f>
        <v>0</v>
      </c>
      <c r="Z27" s="383">
        <f t="shared" si="5"/>
        <v>0</v>
      </c>
      <c r="AB27" s="385">
        <v>20000000</v>
      </c>
      <c r="AC27" s="392">
        <f>'[1]COE DISB 2019'!J35</f>
        <v>20000000</v>
      </c>
      <c r="AD27" s="383">
        <f t="shared" si="6"/>
        <v>0</v>
      </c>
      <c r="AF27" s="353">
        <v>0</v>
      </c>
      <c r="AG27" s="392">
        <f>'[1]COE DISB 2019'!K35</f>
        <v>0</v>
      </c>
      <c r="AH27" s="383">
        <f t="shared" si="7"/>
        <v>0</v>
      </c>
      <c r="AJ27" s="385">
        <v>10000000</v>
      </c>
      <c r="AK27" s="392">
        <f>'[1]COE DISB 2019'!L35</f>
        <v>10000000</v>
      </c>
      <c r="AL27" s="383">
        <f t="shared" si="8"/>
        <v>0</v>
      </c>
      <c r="AN27" s="392">
        <v>10000000</v>
      </c>
      <c r="AO27" s="392">
        <f>'[1]COE DISB 2019'!M35</f>
        <v>10000000</v>
      </c>
      <c r="AP27" s="383">
        <f t="shared" si="9"/>
        <v>0</v>
      </c>
      <c r="AR27" s="392">
        <v>15000000</v>
      </c>
      <c r="AS27" s="392">
        <f>'[1]COE DISB 2019'!N35</f>
        <v>15000000</v>
      </c>
      <c r="AT27" s="383">
        <f t="shared" si="10"/>
        <v>0</v>
      </c>
      <c r="AV27" s="392">
        <v>0</v>
      </c>
      <c r="AW27" s="432">
        <f>'[1]COE DISB 2019'!O35</f>
        <v>0</v>
      </c>
      <c r="AX27" s="392">
        <f t="shared" si="11"/>
        <v>0</v>
      </c>
      <c r="AZ27" s="392">
        <v>18000000</v>
      </c>
      <c r="BA27" s="392">
        <f>'[1]COE DISB 2019'!P35</f>
        <v>18000000</v>
      </c>
      <c r="BB27" s="392">
        <f t="shared" si="12"/>
        <v>0</v>
      </c>
      <c r="BD27" s="392">
        <v>23400000</v>
      </c>
      <c r="BE27" s="392">
        <f>'[1]COE DISB 2019'!Q35</f>
        <v>23400000</v>
      </c>
      <c r="BF27" s="392">
        <f t="shared" si="13"/>
        <v>0</v>
      </c>
      <c r="BH27" s="392">
        <v>0</v>
      </c>
      <c r="BI27" s="392">
        <f>'[1]COE DISB 2019'!R35</f>
        <v>0</v>
      </c>
      <c r="BJ27" s="392">
        <f t="shared" si="14"/>
        <v>0</v>
      </c>
      <c r="BL27" s="392">
        <v>43000000</v>
      </c>
      <c r="BM27" s="392">
        <f>'[1]COE DISB 2019'!S35</f>
        <v>43000000</v>
      </c>
      <c r="BN27" s="392">
        <f t="shared" si="15"/>
        <v>0</v>
      </c>
      <c r="BP27" s="392">
        <v>37160000</v>
      </c>
      <c r="BQ27" s="392">
        <f>'[1]COE DISB 2019'!T35</f>
        <v>37160000</v>
      </c>
      <c r="BR27" s="392">
        <f t="shared" si="16"/>
        <v>0</v>
      </c>
      <c r="BT27" s="392">
        <v>0</v>
      </c>
      <c r="BU27" s="392">
        <f>'[1]COE DISB 2019'!U35</f>
        <v>0</v>
      </c>
      <c r="BV27" s="392">
        <f t="shared" si="17"/>
        <v>0</v>
      </c>
      <c r="BX27" s="392">
        <v>112670000</v>
      </c>
      <c r="BY27" s="392">
        <f>'[1]COE DISB 2019'!V35</f>
        <v>112670000</v>
      </c>
      <c r="BZ27" s="392">
        <f t="shared" si="18"/>
        <v>0</v>
      </c>
      <c r="CB27" s="392">
        <f>'[1]COE commited funds to date'!W30</f>
        <v>51000000</v>
      </c>
      <c r="CC27" s="392">
        <f>'[1]COE DISB 2019'!W35</f>
        <v>51000000</v>
      </c>
      <c r="CD27" s="392">
        <f t="shared" si="19"/>
        <v>0</v>
      </c>
      <c r="CF27" s="392">
        <f>'[1]COE commited funds to date'!X30</f>
        <v>125000000</v>
      </c>
      <c r="CG27" s="392">
        <f>'[1]COE DISB 2019'!X35</f>
        <v>125000000</v>
      </c>
      <c r="CH27" s="392">
        <f t="shared" si="20"/>
        <v>0</v>
      </c>
      <c r="CJ27" s="392">
        <v>10000000</v>
      </c>
      <c r="CK27" s="392">
        <f>'[1]COE DISB 2019'!Y35</f>
        <v>10000000</v>
      </c>
      <c r="CL27" s="392">
        <f t="shared" si="21"/>
        <v>0</v>
      </c>
      <c r="CN27" s="392">
        <v>0</v>
      </c>
      <c r="CO27" s="392">
        <f>'[1]COE DISB 2019'!Z35</f>
        <v>0</v>
      </c>
      <c r="CP27" s="392">
        <f t="shared" si="22"/>
        <v>0</v>
      </c>
      <c r="CR27" s="392">
        <v>210000000</v>
      </c>
      <c r="CS27" s="392">
        <f>'[1]COE DISB 2019'!AA35</f>
        <v>210000000</v>
      </c>
      <c r="CT27" s="392">
        <f t="shared" si="23"/>
        <v>0</v>
      </c>
      <c r="CV27" s="392">
        <v>10000000</v>
      </c>
      <c r="CW27" s="392">
        <f>'[1]COE DISB 2019'!AB35</f>
        <v>10000000</v>
      </c>
      <c r="CX27" s="392">
        <f t="shared" si="24"/>
        <v>0</v>
      </c>
      <c r="CZ27" s="392">
        <f>'[1]COE commited funds to date'!AC30</f>
        <v>0</v>
      </c>
      <c r="DA27" s="392">
        <f>'[1]COE DISB 2019'!AC35</f>
        <v>0</v>
      </c>
      <c r="DB27" s="392">
        <f t="shared" si="25"/>
        <v>0</v>
      </c>
      <c r="DC27" s="394"/>
      <c r="DD27" s="392">
        <v>215000000</v>
      </c>
      <c r="DE27" s="392">
        <f>'[1]COE DISB 2019'!AD35</f>
        <v>215000000</v>
      </c>
      <c r="DF27" s="392">
        <f t="shared" si="26"/>
        <v>0</v>
      </c>
      <c r="DG27" s="394"/>
      <c r="DH27" s="392">
        <v>10000000</v>
      </c>
      <c r="DI27" s="392">
        <f>'[1]COE DISB 2019'!AE35</f>
        <v>10000000</v>
      </c>
      <c r="DJ27" s="392">
        <f t="shared" si="27"/>
        <v>0</v>
      </c>
      <c r="DK27" s="394"/>
      <c r="DL27" s="392">
        <f>'[1]COE commited funds to date'!AD30</f>
        <v>0</v>
      </c>
      <c r="DM27" s="392">
        <f>'[1]COE DISB 2019'!AF35</f>
        <v>0</v>
      </c>
      <c r="DN27" s="392">
        <f t="shared" si="28"/>
        <v>0</v>
      </c>
      <c r="DO27" s="394"/>
      <c r="DP27" s="392">
        <v>325000000</v>
      </c>
      <c r="DQ27" s="392">
        <f>'[1]COE DISB 2019'!AG35</f>
        <v>325000000</v>
      </c>
      <c r="DR27" s="392">
        <f t="shared" si="29"/>
        <v>0</v>
      </c>
      <c r="DS27" s="394"/>
      <c r="DT27" s="397">
        <v>10000000</v>
      </c>
      <c r="DU27" s="392">
        <f>'[1]COE DISB 2019'!AH35</f>
        <v>10000000</v>
      </c>
      <c r="DV27" s="392">
        <f t="shared" si="30"/>
        <v>0</v>
      </c>
      <c r="DW27" s="394"/>
      <c r="DX27" s="392">
        <f>'[1]COE commited funds to date'!AI30</f>
        <v>100000000</v>
      </c>
      <c r="DY27" s="392">
        <f>'[1]COE DISB 2019'!AI35</f>
        <v>100000000</v>
      </c>
      <c r="DZ27" s="392">
        <f t="shared" si="31"/>
        <v>0</v>
      </c>
      <c r="EA27" s="394"/>
      <c r="EB27" s="392">
        <f>'[1]COE commited funds to date'!AJ30</f>
        <v>72000000</v>
      </c>
      <c r="EC27" s="392">
        <f>'[1]COE DISB 2019'!AJ35</f>
        <v>46800000</v>
      </c>
      <c r="ED27" s="392">
        <f t="shared" si="32"/>
        <v>25200000</v>
      </c>
      <c r="EE27" s="394"/>
      <c r="EF27" s="392">
        <f>'[1]COE commited funds to date'!AK30</f>
        <v>8000000</v>
      </c>
      <c r="EG27" s="392">
        <f>'[1]COE DISB 2019'!AK35</f>
        <v>6800000</v>
      </c>
      <c r="EH27" s="392">
        <f t="shared" si="33"/>
        <v>1200000</v>
      </c>
      <c r="EI27" s="394"/>
      <c r="EJ27" s="392">
        <f>'[1]COE commited funds to date'!AL30</f>
        <v>2000000</v>
      </c>
      <c r="EK27" s="392">
        <f>'[1]COE DISB 2019'!AL35</f>
        <v>0</v>
      </c>
      <c r="EL27" s="392">
        <f t="shared" si="34"/>
        <v>2000000</v>
      </c>
      <c r="EM27" s="394"/>
      <c r="EN27" s="392">
        <f>'[1]COE commited funds to date'!AM30</f>
        <v>7000000</v>
      </c>
      <c r="EO27" s="392">
        <f>'[1]COE DISB 2019'!AM35</f>
        <v>7000000</v>
      </c>
      <c r="EP27" s="392">
        <f t="shared" si="35"/>
        <v>0</v>
      </c>
      <c r="EQ27" s="394"/>
      <c r="ER27" s="392">
        <f>'[1]COE commited funds to date'!AN30</f>
        <v>150000000</v>
      </c>
      <c r="ES27" s="392">
        <f>'[1]COE DISB 2019'!AN35</f>
        <v>150000000</v>
      </c>
      <c r="ET27" s="392">
        <f t="shared" si="36"/>
        <v>0</v>
      </c>
      <c r="EV27" s="383">
        <f>'[1]COE commited funds to date'!AO30</f>
        <v>371067000</v>
      </c>
      <c r="EW27" s="383">
        <f>'[1]COE DISB 2019'!AO35</f>
        <v>241193550</v>
      </c>
      <c r="EX27" s="383">
        <f t="shared" si="38"/>
        <v>129873450</v>
      </c>
      <c r="EY27" s="380"/>
      <c r="EZ27" s="383">
        <f>'[1]COE commited funds to date'!AQ30</f>
        <v>12000000</v>
      </c>
      <c r="FA27" s="383">
        <f>'[1]COE DISB 2019'!AP35</f>
        <v>12000000</v>
      </c>
      <c r="FB27" s="383">
        <f t="shared" si="39"/>
        <v>0</v>
      </c>
      <c r="FC27" s="380"/>
      <c r="FD27" s="383">
        <f>'[1]COE commited funds to date'!AR30</f>
        <v>10000000</v>
      </c>
      <c r="FE27" s="383">
        <f>'[1]COE DISB 2019'!AQ35</f>
        <v>0</v>
      </c>
      <c r="FF27" s="383">
        <f t="shared" si="40"/>
        <v>10000000</v>
      </c>
      <c r="FG27" s="380"/>
      <c r="FH27" s="383">
        <f>'[1]COE commited funds to date'!AP30</f>
        <v>8000000</v>
      </c>
      <c r="FI27" s="383">
        <f>'[1]COE DISB 2019'!AR35</f>
        <v>6800000</v>
      </c>
      <c r="FJ27" s="383">
        <f t="shared" si="41"/>
        <v>1200000</v>
      </c>
      <c r="FK27" s="383">
        <f>'[1]COE commited funds to date'!AS30</f>
        <v>0</v>
      </c>
      <c r="FL27" s="383">
        <f>'[1]COE DISB 2019'!AS35</f>
        <v>0</v>
      </c>
      <c r="FM27" s="383">
        <f t="shared" si="42"/>
        <v>0</v>
      </c>
      <c r="FN27" s="380"/>
      <c r="FO27" s="383">
        <f>'[1]COE commited funds to date'!AT30</f>
        <v>200000000</v>
      </c>
      <c r="FP27" s="383">
        <f>'[1]COE DISB 2019'!AT35</f>
        <v>0</v>
      </c>
      <c r="FQ27" s="383">
        <f t="shared" si="43"/>
        <v>200000000</v>
      </c>
      <c r="FR27" s="380"/>
      <c r="FS27" s="383">
        <f>'[1]COE commited funds to date'!AU30</f>
        <v>75000000</v>
      </c>
      <c r="FT27" s="383">
        <f>'[1]COE DISB 2019'!AU35</f>
        <v>0</v>
      </c>
      <c r="FU27" s="383">
        <f t="shared" si="44"/>
        <v>75000000</v>
      </c>
      <c r="FV27" s="380"/>
      <c r="FW27" s="383">
        <f>'[1]COE commited funds to date'!AV30</f>
        <v>8700000</v>
      </c>
      <c r="FX27" s="383">
        <f>'[1]COE DISB 2019'!AV35</f>
        <v>0</v>
      </c>
      <c r="FY27" s="383">
        <f t="shared" si="45"/>
        <v>8700000</v>
      </c>
      <c r="FZ27" s="380"/>
      <c r="GA27" s="383">
        <f>'[1]COE commited funds to date'!AW30</f>
        <v>5000000</v>
      </c>
      <c r="GB27" s="383">
        <f>'[1]COE DISB 2019'!AW35</f>
        <v>0</v>
      </c>
      <c r="GC27" s="383">
        <f t="shared" si="46"/>
        <v>5000000</v>
      </c>
      <c r="GD27" s="380"/>
      <c r="GE27" s="383">
        <f>'[1]COE commited funds to date'!AX30</f>
        <v>20000000</v>
      </c>
      <c r="GF27" s="383">
        <f>'[1]COE DISB 2019'!AX35</f>
        <v>20000000</v>
      </c>
      <c r="GG27" s="383">
        <f t="shared" si="47"/>
        <v>0</v>
      </c>
      <c r="GH27" s="380"/>
      <c r="GI27" s="383">
        <f>'[1]COE commited funds to date'!AY30</f>
        <v>230000000</v>
      </c>
      <c r="GJ27" s="383">
        <f>'[1]COE DISB 2019'!AY35</f>
        <v>0</v>
      </c>
      <c r="GK27" s="383">
        <f t="shared" si="48"/>
        <v>230000000</v>
      </c>
      <c r="GL27" s="380"/>
      <c r="GM27" s="383">
        <f>'[1]COE commited funds to date'!AZ30</f>
        <v>116776600</v>
      </c>
      <c r="GN27" s="383">
        <f>'[1]COE DISB 2019'!AZ35</f>
        <v>0</v>
      </c>
      <c r="GO27" s="383">
        <f t="shared" si="49"/>
        <v>116776600</v>
      </c>
      <c r="GP27" s="380"/>
      <c r="GQ27" s="383">
        <f>'[1]COE commited funds to date'!BA30</f>
        <v>12000000</v>
      </c>
      <c r="GR27" s="383">
        <f>'[1]COE DISB 2019'!BA35</f>
        <v>0</v>
      </c>
      <c r="GS27" s="383">
        <f t="shared" si="50"/>
        <v>12000000</v>
      </c>
      <c r="GT27" s="380"/>
      <c r="GU27" s="383">
        <f>'[1]COE commited funds to date'!BB30</f>
        <v>5000000</v>
      </c>
      <c r="GV27" s="383">
        <f>'[1]COE DISB 2019'!BB35</f>
        <v>0</v>
      </c>
      <c r="GW27" s="383">
        <f t="shared" si="51"/>
        <v>5000000</v>
      </c>
      <c r="GX27" s="380"/>
      <c r="GY27" s="383">
        <f>'[1]COE commited funds to date'!BC30</f>
        <v>10308300</v>
      </c>
      <c r="GZ27" s="383">
        <f>'[1]COE DISB 2019'!BC35</f>
        <v>7615920.9199999999</v>
      </c>
      <c r="HA27" s="383">
        <f t="shared" si="52"/>
        <v>2692379.08</v>
      </c>
      <c r="HB27" s="380"/>
      <c r="HC27" s="383">
        <f t="shared" si="53"/>
        <v>2722109865.5</v>
      </c>
      <c r="HD27" s="383">
        <f t="shared" si="53"/>
        <v>1897467436.4200001</v>
      </c>
      <c r="HE27" s="392">
        <f t="shared" si="54"/>
        <v>824642429.07999992</v>
      </c>
      <c r="HG27" s="383">
        <f t="shared" si="55"/>
        <v>2079615965.5</v>
      </c>
      <c r="HH27" s="383">
        <f t="shared" si="55"/>
        <v>1494542515.5</v>
      </c>
      <c r="HI27" s="383">
        <f t="shared" si="56"/>
        <v>585073450</v>
      </c>
      <c r="HK27" s="383">
        <f t="shared" si="57"/>
        <v>301000000</v>
      </c>
      <c r="HL27" s="383">
        <f t="shared" si="57"/>
        <v>301000000</v>
      </c>
      <c r="HM27" s="383">
        <f t="shared" si="58"/>
        <v>0</v>
      </c>
      <c r="HO27" s="383">
        <f t="shared" si="37"/>
        <v>1709000</v>
      </c>
      <c r="HP27" s="383">
        <f t="shared" si="37"/>
        <v>1709000</v>
      </c>
      <c r="HQ27" s="383">
        <f t="shared" si="59"/>
        <v>0</v>
      </c>
      <c r="HS27" s="383">
        <f t="shared" si="60"/>
        <v>89308300</v>
      </c>
      <c r="HT27" s="383">
        <f t="shared" si="60"/>
        <v>86615920.920000002</v>
      </c>
      <c r="HU27" s="383">
        <f t="shared" si="61"/>
        <v>2692379.0799999982</v>
      </c>
      <c r="HW27" s="383">
        <f t="shared" si="62"/>
        <v>36700000</v>
      </c>
      <c r="HX27" s="383">
        <f t="shared" si="62"/>
        <v>13600000</v>
      </c>
      <c r="HY27" s="383">
        <f t="shared" si="63"/>
        <v>23100000</v>
      </c>
      <c r="IA27" s="387">
        <f t="shared" si="64"/>
        <v>20000000</v>
      </c>
      <c r="IB27" s="387">
        <f t="shared" si="64"/>
        <v>0</v>
      </c>
      <c r="IC27" s="387">
        <f t="shared" si="65"/>
        <v>20000000</v>
      </c>
      <c r="IE27" s="383">
        <f t="shared" si="66"/>
        <v>191776600</v>
      </c>
      <c r="IF27" s="383">
        <f t="shared" si="66"/>
        <v>0</v>
      </c>
      <c r="IG27" s="383">
        <f t="shared" si="67"/>
        <v>191776600</v>
      </c>
      <c r="II27" s="383">
        <f t="shared" si="68"/>
        <v>2000000</v>
      </c>
      <c r="IJ27" s="383">
        <f t="shared" si="68"/>
        <v>0</v>
      </c>
      <c r="IK27" s="383">
        <f t="shared" si="69"/>
        <v>2000000</v>
      </c>
    </row>
    <row r="28" spans="1:245" x14ac:dyDescent="0.25">
      <c r="A28" s="380">
        <v>25</v>
      </c>
      <c r="B28" s="380" t="s">
        <v>344</v>
      </c>
      <c r="C28" s="435" t="s">
        <v>74</v>
      </c>
      <c r="D28" s="392">
        <v>18318965.5</v>
      </c>
      <c r="E28" s="392">
        <f>'[1]COE DISB 2019'!D36</f>
        <v>18318965.5</v>
      </c>
      <c r="F28" s="383">
        <f t="shared" si="0"/>
        <v>0</v>
      </c>
      <c r="H28" s="392">
        <v>8000000</v>
      </c>
      <c r="I28" s="392">
        <f>'[1]COE DISB 2019'!E36</f>
        <v>8000000</v>
      </c>
      <c r="J28" s="383">
        <f t="shared" si="1"/>
        <v>0</v>
      </c>
      <c r="L28" s="392">
        <v>500000</v>
      </c>
      <c r="M28" s="392">
        <f>'[1]COE DISB 2019'!F36</f>
        <v>500000</v>
      </c>
      <c r="N28" s="383">
        <f t="shared" si="2"/>
        <v>0</v>
      </c>
      <c r="P28" s="353">
        <v>16000000</v>
      </c>
      <c r="Q28" s="392">
        <f>'[1]COE DISB 2019'!G36</f>
        <v>16000000</v>
      </c>
      <c r="R28" s="383">
        <f t="shared" si="3"/>
        <v>0</v>
      </c>
      <c r="T28" s="385">
        <v>444000</v>
      </c>
      <c r="U28" s="392">
        <f>'[1]COE DISB 2019'!H36</f>
        <v>444000</v>
      </c>
      <c r="V28" s="383">
        <f t="shared" si="4"/>
        <v>0</v>
      </c>
      <c r="X28" s="353">
        <v>0</v>
      </c>
      <c r="Y28" s="392">
        <f>'[1]COE DISB 2019'!I36</f>
        <v>0</v>
      </c>
      <c r="Z28" s="383">
        <f t="shared" si="5"/>
        <v>0</v>
      </c>
      <c r="AB28" s="385">
        <v>20000000</v>
      </c>
      <c r="AC28" s="392">
        <f>'[1]COE DISB 2019'!J36</f>
        <v>20000000</v>
      </c>
      <c r="AD28" s="383">
        <f t="shared" si="6"/>
        <v>0</v>
      </c>
      <c r="AF28" s="353">
        <v>0</v>
      </c>
      <c r="AG28" s="392">
        <f>'[1]COE DISB 2019'!K36</f>
        <v>0</v>
      </c>
      <c r="AH28" s="383">
        <f t="shared" si="7"/>
        <v>0</v>
      </c>
      <c r="AJ28" s="385">
        <v>10000000</v>
      </c>
      <c r="AK28" s="392">
        <f>'[1]COE DISB 2019'!L36</f>
        <v>10000000</v>
      </c>
      <c r="AL28" s="383">
        <f t="shared" si="8"/>
        <v>0</v>
      </c>
      <c r="AN28" s="392">
        <v>10000000</v>
      </c>
      <c r="AO28" s="392">
        <f>'[1]COE DISB 2019'!M36</f>
        <v>10000000</v>
      </c>
      <c r="AP28" s="383">
        <f t="shared" si="9"/>
        <v>0</v>
      </c>
      <c r="AR28" s="392">
        <v>15000000</v>
      </c>
      <c r="AS28" s="392">
        <f>'[1]COE DISB 2019'!N36</f>
        <v>15000000</v>
      </c>
      <c r="AT28" s="383">
        <f t="shared" si="10"/>
        <v>0</v>
      </c>
      <c r="AV28" s="392">
        <v>5000000</v>
      </c>
      <c r="AW28" s="393">
        <f>'[1]COE DISB 2019'!O36</f>
        <v>5000000</v>
      </c>
      <c r="AX28" s="392">
        <f t="shared" si="11"/>
        <v>0</v>
      </c>
      <c r="AZ28" s="392">
        <v>18000000</v>
      </c>
      <c r="BA28" s="392">
        <f>'[1]COE DISB 2019'!P36</f>
        <v>18000000</v>
      </c>
      <c r="BB28" s="392">
        <f t="shared" si="12"/>
        <v>0</v>
      </c>
      <c r="BD28" s="392">
        <v>23400000</v>
      </c>
      <c r="BE28" s="392">
        <f>'[1]COE DISB 2019'!Q36</f>
        <v>23400000</v>
      </c>
      <c r="BF28" s="392">
        <f t="shared" si="13"/>
        <v>0</v>
      </c>
      <c r="BH28" s="392">
        <v>0</v>
      </c>
      <c r="BI28" s="392">
        <f>'[1]COE DISB 2019'!R36</f>
        <v>0</v>
      </c>
      <c r="BJ28" s="392">
        <f t="shared" si="14"/>
        <v>0</v>
      </c>
      <c r="BL28" s="392">
        <v>43000000</v>
      </c>
      <c r="BM28" s="392">
        <f>'[1]COE DISB 2019'!S36</f>
        <v>43000000</v>
      </c>
      <c r="BN28" s="392">
        <f t="shared" si="15"/>
        <v>0</v>
      </c>
      <c r="BP28" s="392">
        <v>37160000</v>
      </c>
      <c r="BQ28" s="392">
        <f>'[1]COE DISB 2019'!T36</f>
        <v>37160000</v>
      </c>
      <c r="BR28" s="392">
        <f t="shared" si="16"/>
        <v>0</v>
      </c>
      <c r="BT28" s="392">
        <v>250157701.53999999</v>
      </c>
      <c r="BU28" s="392">
        <f>'[1]COE DISB 2019'!U36</f>
        <v>250157701.53999999</v>
      </c>
      <c r="BV28" s="392">
        <f t="shared" si="17"/>
        <v>0</v>
      </c>
      <c r="BX28" s="392">
        <v>112670000</v>
      </c>
      <c r="BY28" s="392">
        <f>'[1]COE DISB 2019'!V36</f>
        <v>112670000</v>
      </c>
      <c r="BZ28" s="392">
        <f t="shared" si="18"/>
        <v>0</v>
      </c>
      <c r="CB28" s="392">
        <f>'[1]COE commited funds to date'!W31</f>
        <v>750000000</v>
      </c>
      <c r="CC28" s="392">
        <f>'[1]COE DISB 2019'!W36</f>
        <v>750000000</v>
      </c>
      <c r="CD28" s="392">
        <f t="shared" si="19"/>
        <v>0</v>
      </c>
      <c r="CF28" s="392">
        <f>'[1]COE commited funds to date'!X31</f>
        <v>125000000</v>
      </c>
      <c r="CG28" s="392">
        <f>'[1]COE DISB 2019'!X36</f>
        <v>125000000</v>
      </c>
      <c r="CH28" s="392">
        <f t="shared" si="20"/>
        <v>0</v>
      </c>
      <c r="CJ28" s="392">
        <v>10000000</v>
      </c>
      <c r="CK28" s="392">
        <f>'[1]COE DISB 2019'!Y36</f>
        <v>10000000</v>
      </c>
      <c r="CL28" s="392">
        <f t="shared" si="21"/>
        <v>0</v>
      </c>
      <c r="CN28" s="392">
        <v>120000000</v>
      </c>
      <c r="CO28" s="392">
        <f>'[1]COE DISB 2019'!Z36</f>
        <v>120000000</v>
      </c>
      <c r="CP28" s="392">
        <f t="shared" si="22"/>
        <v>0</v>
      </c>
      <c r="CR28" s="392">
        <v>210000000</v>
      </c>
      <c r="CS28" s="392">
        <f>'[1]COE DISB 2019'!AA36</f>
        <v>210000000</v>
      </c>
      <c r="CT28" s="392">
        <f t="shared" si="23"/>
        <v>0</v>
      </c>
      <c r="CV28" s="392">
        <v>10000000</v>
      </c>
      <c r="CW28" s="392">
        <f>'[1]COE DISB 2019'!AB36</f>
        <v>10000000</v>
      </c>
      <c r="CX28" s="392">
        <f t="shared" si="24"/>
        <v>0</v>
      </c>
      <c r="CZ28" s="392">
        <f>'[1]COE commited funds to date'!AC31</f>
        <v>117000000</v>
      </c>
      <c r="DA28" s="392">
        <f>'[1]COE DISB 2019'!AC36</f>
        <v>117000000</v>
      </c>
      <c r="DB28" s="392">
        <f t="shared" si="25"/>
        <v>0</v>
      </c>
      <c r="DC28" s="394"/>
      <c r="DD28" s="392">
        <v>215000000</v>
      </c>
      <c r="DE28" s="392">
        <f>'[1]COE DISB 2019'!AD36</f>
        <v>215000000</v>
      </c>
      <c r="DF28" s="392">
        <f t="shared" si="26"/>
        <v>0</v>
      </c>
      <c r="DG28" s="394"/>
      <c r="DH28" s="392">
        <v>10000000</v>
      </c>
      <c r="DI28" s="392">
        <f>'[1]COE DISB 2019'!AE36</f>
        <v>10000000</v>
      </c>
      <c r="DJ28" s="392">
        <f t="shared" si="27"/>
        <v>0</v>
      </c>
      <c r="DK28" s="394"/>
      <c r="DL28" s="392">
        <f>'[1]COE commited funds to date'!AD31</f>
        <v>341600000</v>
      </c>
      <c r="DM28" s="392">
        <f>'[1]COE DISB 2019'!AF36</f>
        <v>341600000</v>
      </c>
      <c r="DN28" s="392">
        <f t="shared" si="28"/>
        <v>0</v>
      </c>
      <c r="DO28" s="394"/>
      <c r="DP28" s="392">
        <v>325000000</v>
      </c>
      <c r="DQ28" s="392">
        <f>'[1]COE DISB 2019'!AG36</f>
        <v>324500000</v>
      </c>
      <c r="DR28" s="392">
        <f t="shared" si="29"/>
        <v>500000</v>
      </c>
      <c r="DS28" s="394"/>
      <c r="DT28" s="395">
        <v>10000000</v>
      </c>
      <c r="DU28" s="395">
        <f>'[1]COE DISB 2019'!AH36</f>
        <v>10000000</v>
      </c>
      <c r="DV28" s="395">
        <f t="shared" si="30"/>
        <v>0</v>
      </c>
      <c r="DW28" s="394"/>
      <c r="DX28" s="392">
        <f>'[1]COE commited funds to date'!AI31</f>
        <v>260000000</v>
      </c>
      <c r="DY28" s="392">
        <f>'[1]COE DISB 2019'!AI36</f>
        <v>260000000</v>
      </c>
      <c r="DZ28" s="392">
        <f t="shared" si="31"/>
        <v>0</v>
      </c>
      <c r="EA28" s="394"/>
      <c r="EB28" s="392">
        <f>'[1]COE commited funds to date'!AJ31</f>
        <v>72000000</v>
      </c>
      <c r="EC28" s="392">
        <f>'[1]COE DISB 2019'!AJ36</f>
        <v>72000000</v>
      </c>
      <c r="ED28" s="392">
        <f t="shared" si="32"/>
        <v>0</v>
      </c>
      <c r="EE28" s="394"/>
      <c r="EF28" s="392">
        <f>'[1]COE commited funds to date'!AK31</f>
        <v>8000000</v>
      </c>
      <c r="EG28" s="392">
        <f>'[1]COE DISB 2019'!AK36</f>
        <v>8000000</v>
      </c>
      <c r="EH28" s="392">
        <f t="shared" si="33"/>
        <v>0</v>
      </c>
      <c r="EI28" s="394"/>
      <c r="EJ28" s="392">
        <f>'[1]COE commited funds to date'!AL31</f>
        <v>2000000</v>
      </c>
      <c r="EK28" s="392">
        <f>'[1]COE DISB 2019'!AL36</f>
        <v>1700000</v>
      </c>
      <c r="EL28" s="392">
        <f t="shared" si="34"/>
        <v>300000</v>
      </c>
      <c r="EM28" s="394"/>
      <c r="EN28" s="396">
        <f>'[1]COE commited funds to date'!AM31</f>
        <v>7000000</v>
      </c>
      <c r="EO28" s="396">
        <f>'[1]COE DISB 2019'!AM36</f>
        <v>7000000</v>
      </c>
      <c r="EP28" s="396">
        <f t="shared" si="35"/>
        <v>0</v>
      </c>
      <c r="EQ28" s="394"/>
      <c r="ER28" s="392">
        <f>'[1]COE commited funds to date'!AN31</f>
        <v>3000000000</v>
      </c>
      <c r="ES28" s="392">
        <f>'[1]COE DISB 2019'!AN36</f>
        <v>3000000000</v>
      </c>
      <c r="ET28" s="392">
        <f t="shared" si="36"/>
        <v>0</v>
      </c>
      <c r="EV28" s="383">
        <f>'[1]COE commited funds to date'!AO31</f>
        <v>371067000</v>
      </c>
      <c r="EW28" s="383">
        <f>'[1]COE DISB 2019'!AO36</f>
        <v>371067000</v>
      </c>
      <c r="EX28" s="383">
        <f t="shared" si="38"/>
        <v>0</v>
      </c>
      <c r="EY28" s="380"/>
      <c r="EZ28" s="383">
        <f>'[1]COE commited funds to date'!AQ31</f>
        <v>12000000</v>
      </c>
      <c r="FA28" s="383">
        <f>'[1]COE DISB 2019'!AP36</f>
        <v>12000000</v>
      </c>
      <c r="FB28" s="383">
        <f t="shared" si="39"/>
        <v>0</v>
      </c>
      <c r="FC28" s="380"/>
      <c r="FD28" s="383">
        <f>'[1]COE commited funds to date'!AR31</f>
        <v>10000000</v>
      </c>
      <c r="FE28" s="383">
        <f>'[1]COE DISB 2019'!AQ36</f>
        <v>0</v>
      </c>
      <c r="FF28" s="383">
        <f t="shared" si="40"/>
        <v>10000000</v>
      </c>
      <c r="FG28" s="380"/>
      <c r="FH28" s="383">
        <f>'[1]COE commited funds to date'!AP31</f>
        <v>8000000</v>
      </c>
      <c r="FI28" s="383">
        <f>'[1]COE DISB 2019'!AR36</f>
        <v>8000000</v>
      </c>
      <c r="FJ28" s="383">
        <f t="shared" si="41"/>
        <v>0</v>
      </c>
      <c r="FK28" s="383">
        <f>'[1]COE commited funds to date'!AS31</f>
        <v>0</v>
      </c>
      <c r="FL28" s="383">
        <f>'[1]COE DISB 2019'!AS36</f>
        <v>0</v>
      </c>
      <c r="FM28" s="383">
        <f t="shared" si="42"/>
        <v>0</v>
      </c>
      <c r="FN28" s="380"/>
      <c r="FO28" s="383">
        <f>'[1]COE commited funds to date'!AT31</f>
        <v>200000000</v>
      </c>
      <c r="FP28" s="383">
        <f>'[1]COE DISB 2019'!AT36</f>
        <v>0</v>
      </c>
      <c r="FQ28" s="383">
        <f t="shared" si="43"/>
        <v>200000000</v>
      </c>
      <c r="FR28" s="380"/>
      <c r="FS28" s="383">
        <f>'[1]COE commited funds to date'!AU31</f>
        <v>75000000</v>
      </c>
      <c r="FT28" s="383">
        <f>'[1]COE DISB 2019'!AU36</f>
        <v>63750000</v>
      </c>
      <c r="FU28" s="383">
        <f t="shared" si="44"/>
        <v>11250000</v>
      </c>
      <c r="FV28" s="380"/>
      <c r="FW28" s="383">
        <f>'[1]COE commited funds to date'!AV31</f>
        <v>8700000</v>
      </c>
      <c r="FX28" s="383">
        <f>'[1]COE DISB 2019'!AV36</f>
        <v>0</v>
      </c>
      <c r="FY28" s="383">
        <f t="shared" si="45"/>
        <v>8700000</v>
      </c>
      <c r="FZ28" s="380"/>
      <c r="GA28" s="383">
        <f>'[1]COE commited funds to date'!AW31</f>
        <v>5000000</v>
      </c>
      <c r="GB28" s="383">
        <f>'[1]COE DISB 2019'!AW36</f>
        <v>0</v>
      </c>
      <c r="GC28" s="383">
        <f t="shared" si="46"/>
        <v>5000000</v>
      </c>
      <c r="GD28" s="380"/>
      <c r="GE28" s="383">
        <f>'[1]COE commited funds to date'!AX31</f>
        <v>20000000</v>
      </c>
      <c r="GF28" s="383">
        <f>'[1]COE DISB 2019'!AX36</f>
        <v>16980950</v>
      </c>
      <c r="GG28" s="383">
        <f t="shared" si="47"/>
        <v>3019050</v>
      </c>
      <c r="GH28" s="380"/>
      <c r="GI28" s="383">
        <f>'[1]COE commited funds to date'!AY31</f>
        <v>230000000</v>
      </c>
      <c r="GJ28" s="383">
        <f>'[1]COE DISB 2019'!AY36</f>
        <v>0</v>
      </c>
      <c r="GK28" s="383">
        <f t="shared" si="48"/>
        <v>230000000</v>
      </c>
      <c r="GL28" s="380"/>
      <c r="GM28" s="383">
        <f>'[1]COE commited funds to date'!AZ31</f>
        <v>116776600</v>
      </c>
      <c r="GN28" s="383">
        <f>'[1]COE DISB 2019'!AZ36</f>
        <v>0</v>
      </c>
      <c r="GO28" s="383">
        <f t="shared" si="49"/>
        <v>116776600</v>
      </c>
      <c r="GP28" s="380"/>
      <c r="GQ28" s="383">
        <f>'[1]COE commited funds to date'!BA31</f>
        <v>12000000</v>
      </c>
      <c r="GR28" s="383">
        <f>'[1]COE DISB 2019'!BA36</f>
        <v>0</v>
      </c>
      <c r="GS28" s="383">
        <f t="shared" si="50"/>
        <v>12000000</v>
      </c>
      <c r="GT28" s="380"/>
      <c r="GU28" s="383">
        <f>'[1]COE commited funds to date'!BB31</f>
        <v>5000000</v>
      </c>
      <c r="GV28" s="383">
        <f>'[1]COE DISB 2019'!BB36</f>
        <v>0</v>
      </c>
      <c r="GW28" s="383">
        <f t="shared" si="51"/>
        <v>5000000</v>
      </c>
      <c r="GX28" s="380"/>
      <c r="GY28" s="383">
        <f>'[1]COE commited funds to date'!BC31</f>
        <v>10308300</v>
      </c>
      <c r="GZ28" s="383">
        <f>'[1]COE DISB 2019'!BC36</f>
        <v>0</v>
      </c>
      <c r="HA28" s="383">
        <f t="shared" si="52"/>
        <v>10308300</v>
      </c>
      <c r="HB28" s="380"/>
      <c r="HC28" s="383">
        <f t="shared" si="53"/>
        <v>7264102567.04</v>
      </c>
      <c r="HD28" s="383">
        <f t="shared" si="53"/>
        <v>6651248617.04</v>
      </c>
      <c r="HE28" s="392">
        <f t="shared" si="54"/>
        <v>612853950</v>
      </c>
      <c r="HG28" s="383">
        <f t="shared" si="55"/>
        <v>2079615965.5</v>
      </c>
      <c r="HH28" s="383">
        <f t="shared" si="55"/>
        <v>1649115965.5</v>
      </c>
      <c r="HI28" s="383">
        <f t="shared" si="56"/>
        <v>430500000</v>
      </c>
      <c r="HK28" s="383">
        <f t="shared" si="57"/>
        <v>4838757701.54</v>
      </c>
      <c r="HL28" s="383">
        <f t="shared" si="57"/>
        <v>4838757701.54</v>
      </c>
      <c r="HM28" s="383">
        <f t="shared" si="58"/>
        <v>0</v>
      </c>
      <c r="HO28" s="383">
        <f t="shared" si="37"/>
        <v>944000</v>
      </c>
      <c r="HP28" s="383">
        <f t="shared" si="37"/>
        <v>944000</v>
      </c>
      <c r="HQ28" s="383">
        <f t="shared" si="59"/>
        <v>0</v>
      </c>
      <c r="HS28" s="383">
        <f t="shared" si="60"/>
        <v>89308300</v>
      </c>
      <c r="HT28" s="383">
        <f t="shared" si="60"/>
        <v>75980950</v>
      </c>
      <c r="HU28" s="383">
        <f t="shared" si="61"/>
        <v>13327350</v>
      </c>
      <c r="HW28" s="383">
        <f t="shared" si="62"/>
        <v>36700000</v>
      </c>
      <c r="HX28" s="383">
        <f t="shared" si="62"/>
        <v>16000000</v>
      </c>
      <c r="HY28" s="383">
        <f t="shared" si="63"/>
        <v>20700000</v>
      </c>
      <c r="IA28" s="387">
        <f t="shared" si="64"/>
        <v>20000000</v>
      </c>
      <c r="IB28" s="387">
        <f t="shared" si="64"/>
        <v>0</v>
      </c>
      <c r="IC28" s="387">
        <f t="shared" si="65"/>
        <v>20000000</v>
      </c>
      <c r="IE28" s="383">
        <f t="shared" si="66"/>
        <v>191776600</v>
      </c>
      <c r="IF28" s="383">
        <f t="shared" si="66"/>
        <v>63750000</v>
      </c>
      <c r="IG28" s="383">
        <f t="shared" si="67"/>
        <v>128026600</v>
      </c>
      <c r="II28" s="383">
        <f t="shared" si="68"/>
        <v>2000000</v>
      </c>
      <c r="IJ28" s="383">
        <f t="shared" si="68"/>
        <v>1700000</v>
      </c>
      <c r="IK28" s="383">
        <f t="shared" si="69"/>
        <v>300000</v>
      </c>
    </row>
    <row r="29" spans="1:245" x14ac:dyDescent="0.25">
      <c r="A29" s="380">
        <v>26</v>
      </c>
      <c r="B29" s="380" t="s">
        <v>345</v>
      </c>
      <c r="C29" s="431" t="s">
        <v>61</v>
      </c>
      <c r="D29" s="392">
        <v>18318965.5</v>
      </c>
      <c r="E29" s="392">
        <f>'[1]COE DISB 2019'!D37</f>
        <v>18318965.5</v>
      </c>
      <c r="F29" s="383">
        <f t="shared" si="0"/>
        <v>0</v>
      </c>
      <c r="H29" s="392">
        <v>8000000</v>
      </c>
      <c r="I29" s="392">
        <f>'[1]COE DISB 2019'!E37</f>
        <v>8000000</v>
      </c>
      <c r="J29" s="383">
        <f t="shared" si="1"/>
        <v>0</v>
      </c>
      <c r="L29" s="392">
        <v>500000</v>
      </c>
      <c r="M29" s="392">
        <f>'[1]COE DISB 2019'!F37</f>
        <v>500000</v>
      </c>
      <c r="N29" s="383">
        <f t="shared" si="2"/>
        <v>0</v>
      </c>
      <c r="P29" s="353">
        <v>16000000</v>
      </c>
      <c r="Q29" s="392">
        <f>'[1]COE DISB 2019'!G37</f>
        <v>16000000</v>
      </c>
      <c r="R29" s="383">
        <f t="shared" si="3"/>
        <v>0</v>
      </c>
      <c r="T29" s="385">
        <v>1178000</v>
      </c>
      <c r="U29" s="392">
        <f>'[1]COE DISB 2019'!H37</f>
        <v>1178000</v>
      </c>
      <c r="V29" s="383">
        <f t="shared" si="4"/>
        <v>0</v>
      </c>
      <c r="X29" s="385"/>
      <c r="Y29" s="392">
        <f>'[1]COE DISB 2019'!I37</f>
        <v>0</v>
      </c>
      <c r="Z29" s="383">
        <f t="shared" si="5"/>
        <v>0</v>
      </c>
      <c r="AB29" s="385">
        <v>20000000</v>
      </c>
      <c r="AC29" s="392">
        <f>'[1]COE DISB 2019'!J37</f>
        <v>20000000</v>
      </c>
      <c r="AD29" s="383">
        <f t="shared" si="6"/>
        <v>0</v>
      </c>
      <c r="AF29" s="353">
        <v>0</v>
      </c>
      <c r="AG29" s="392">
        <f>'[1]COE DISB 2019'!K37</f>
        <v>0</v>
      </c>
      <c r="AH29" s="383">
        <f t="shared" si="7"/>
        <v>0</v>
      </c>
      <c r="AJ29" s="385">
        <v>10000000</v>
      </c>
      <c r="AK29" s="392">
        <f>'[1]COE DISB 2019'!L37</f>
        <v>10000000</v>
      </c>
      <c r="AL29" s="383">
        <f t="shared" si="8"/>
        <v>0</v>
      </c>
      <c r="AN29" s="392">
        <v>10000000</v>
      </c>
      <c r="AO29" s="392">
        <f>'[1]COE DISB 2019'!M37</f>
        <v>10000000</v>
      </c>
      <c r="AP29" s="383">
        <f t="shared" si="9"/>
        <v>0</v>
      </c>
      <c r="AR29" s="392">
        <v>15000000</v>
      </c>
      <c r="AS29" s="392">
        <f>'[1]COE DISB 2019'!N37</f>
        <v>15000000</v>
      </c>
      <c r="AT29" s="383">
        <f t="shared" si="10"/>
        <v>0</v>
      </c>
      <c r="AV29" s="392">
        <v>5000000</v>
      </c>
      <c r="AW29" s="393">
        <f>'[1]COE DISB 2019'!O37</f>
        <v>5000000</v>
      </c>
      <c r="AX29" s="392">
        <f t="shared" si="11"/>
        <v>0</v>
      </c>
      <c r="AZ29" s="392">
        <v>18000000</v>
      </c>
      <c r="BA29" s="392">
        <f>'[1]COE DISB 2019'!P37</f>
        <v>18000000</v>
      </c>
      <c r="BB29" s="392">
        <f t="shared" si="12"/>
        <v>0</v>
      </c>
      <c r="BD29" s="392">
        <v>23400000</v>
      </c>
      <c r="BE29" s="392">
        <f>'[1]COE DISB 2019'!Q37</f>
        <v>23400000</v>
      </c>
      <c r="BF29" s="392">
        <f t="shared" si="13"/>
        <v>0</v>
      </c>
      <c r="BH29" s="392">
        <v>0</v>
      </c>
      <c r="BI29" s="392">
        <f>'[1]COE DISB 2019'!R37</f>
        <v>0</v>
      </c>
      <c r="BJ29" s="392">
        <f t="shared" si="14"/>
        <v>0</v>
      </c>
      <c r="BL29" s="392">
        <v>43000000</v>
      </c>
      <c r="BM29" s="392">
        <f>'[1]COE DISB 2019'!S37</f>
        <v>43000000</v>
      </c>
      <c r="BN29" s="392">
        <f t="shared" si="15"/>
        <v>0</v>
      </c>
      <c r="BP29" s="392">
        <v>37160000</v>
      </c>
      <c r="BQ29" s="392">
        <f>'[1]COE DISB 2019'!T37</f>
        <v>37160000</v>
      </c>
      <c r="BR29" s="392">
        <f t="shared" si="16"/>
        <v>0</v>
      </c>
      <c r="BT29" s="392">
        <v>0</v>
      </c>
      <c r="BU29" s="392">
        <f>'[1]COE DISB 2019'!U37</f>
        <v>0</v>
      </c>
      <c r="BV29" s="392">
        <f t="shared" si="17"/>
        <v>0</v>
      </c>
      <c r="BX29" s="392">
        <v>112670000</v>
      </c>
      <c r="BY29" s="392">
        <f>'[1]COE DISB 2019'!V37</f>
        <v>112670000</v>
      </c>
      <c r="BZ29" s="392">
        <f t="shared" si="18"/>
        <v>0</v>
      </c>
      <c r="CB29" s="392">
        <f>'[1]COE commited funds to date'!W32</f>
        <v>100000000</v>
      </c>
      <c r="CC29" s="392">
        <f>'[1]COE DISB 2019'!W37</f>
        <v>100000000</v>
      </c>
      <c r="CD29" s="392">
        <f t="shared" si="19"/>
        <v>0</v>
      </c>
      <c r="CF29" s="392">
        <f>'[1]COE commited funds to date'!X32</f>
        <v>0</v>
      </c>
      <c r="CG29" s="392">
        <f>'[1]COE DISB 2019'!X37</f>
        <v>0</v>
      </c>
      <c r="CH29" s="392">
        <f t="shared" si="20"/>
        <v>0</v>
      </c>
      <c r="CJ29" s="392">
        <v>0</v>
      </c>
      <c r="CK29" s="392">
        <f>'[1]COE DISB 2019'!Y37</f>
        <v>0</v>
      </c>
      <c r="CL29" s="392">
        <f t="shared" si="21"/>
        <v>0</v>
      </c>
      <c r="CN29" s="392">
        <v>250000000</v>
      </c>
      <c r="CO29" s="392">
        <f>'[1]COE DISB 2019'!Z37</f>
        <v>250000000</v>
      </c>
      <c r="CP29" s="392">
        <f t="shared" si="22"/>
        <v>0</v>
      </c>
      <c r="CR29" s="392">
        <v>210000000</v>
      </c>
      <c r="CS29" s="392">
        <f>'[1]COE DISB 2019'!AA37</f>
        <v>210000000</v>
      </c>
      <c r="CT29" s="392">
        <f t="shared" si="23"/>
        <v>0</v>
      </c>
      <c r="CV29" s="392">
        <v>10000000</v>
      </c>
      <c r="CW29" s="392">
        <f>'[1]COE DISB 2019'!AB37</f>
        <v>9805600</v>
      </c>
      <c r="CX29" s="392">
        <f t="shared" si="24"/>
        <v>194400</v>
      </c>
      <c r="CZ29" s="392">
        <f>'[1]COE commited funds to date'!AC32</f>
        <v>100000000</v>
      </c>
      <c r="DA29" s="392">
        <f>'[1]COE DISB 2019'!AC37</f>
        <v>100000000</v>
      </c>
      <c r="DB29" s="392">
        <f t="shared" si="25"/>
        <v>0</v>
      </c>
      <c r="DC29" s="394"/>
      <c r="DD29" s="392">
        <v>0</v>
      </c>
      <c r="DE29" s="392">
        <f>'[1]COE DISB 2019'!AG38</f>
        <v>0</v>
      </c>
      <c r="DF29" s="392">
        <f t="shared" si="26"/>
        <v>0</v>
      </c>
      <c r="DG29" s="394"/>
      <c r="DH29" s="397">
        <v>0</v>
      </c>
      <c r="DI29" s="397">
        <f>'[1]COE DISB 2019'!AE37</f>
        <v>0</v>
      </c>
      <c r="DJ29" s="397">
        <v>0</v>
      </c>
      <c r="DK29" s="394"/>
      <c r="DL29" s="392">
        <f>'[1]COE commited funds to date'!AD32</f>
        <v>150000000</v>
      </c>
      <c r="DM29" s="392">
        <f>'[1]COE DISB 2019'!AF37</f>
        <v>150000000</v>
      </c>
      <c r="DN29" s="392">
        <f t="shared" si="28"/>
        <v>0</v>
      </c>
      <c r="DO29" s="394"/>
      <c r="DP29" s="392">
        <v>325000000</v>
      </c>
      <c r="DQ29" s="392">
        <f>'[1]COE DISB 2019'!AG37</f>
        <v>325000000</v>
      </c>
      <c r="DR29" s="392">
        <f t="shared" si="29"/>
        <v>0</v>
      </c>
      <c r="DS29" s="394"/>
      <c r="DT29" s="397">
        <v>10000000</v>
      </c>
      <c r="DU29" s="392">
        <f>'[1]COE DISB 2019'!AH37</f>
        <v>10000000</v>
      </c>
      <c r="DV29" s="392">
        <f t="shared" si="30"/>
        <v>0</v>
      </c>
      <c r="DW29" s="394"/>
      <c r="DX29" s="392">
        <f>'[1]COE commited funds to date'!AI32</f>
        <v>200000000</v>
      </c>
      <c r="DY29" s="392">
        <f>'[1]COE DISB 2019'!AI37</f>
        <v>200000000</v>
      </c>
      <c r="DZ29" s="392">
        <f t="shared" si="31"/>
        <v>0</v>
      </c>
      <c r="EA29" s="394"/>
      <c r="EB29" s="392">
        <f>'[1]COE commited funds to date'!AJ32</f>
        <v>0</v>
      </c>
      <c r="EC29" s="392">
        <f>'[1]COE DISB 2019'!AJ37</f>
        <v>0</v>
      </c>
      <c r="ED29" s="392">
        <f t="shared" si="32"/>
        <v>0</v>
      </c>
      <c r="EE29" s="394"/>
      <c r="EF29" s="392">
        <f>'[1]COE commited funds to date'!AK32</f>
        <v>0</v>
      </c>
      <c r="EG29" s="392">
        <f>'[1]COE DISB 2019'!AK37</f>
        <v>0</v>
      </c>
      <c r="EH29" s="392">
        <f t="shared" si="33"/>
        <v>0</v>
      </c>
      <c r="EI29" s="394"/>
      <c r="EJ29" s="392">
        <f>'[1]COE commited funds to date'!AL32</f>
        <v>0</v>
      </c>
      <c r="EK29" s="392">
        <f>'[1]COE DISB 2019'!AL37</f>
        <v>0</v>
      </c>
      <c r="EL29" s="392">
        <f t="shared" si="34"/>
        <v>0</v>
      </c>
      <c r="EM29" s="394"/>
      <c r="EN29" s="392">
        <f>'[1]COE commited funds to date'!AM32</f>
        <v>0</v>
      </c>
      <c r="EO29" s="392">
        <f>'[1]COE DISB 2019'!AM37</f>
        <v>0</v>
      </c>
      <c r="EP29" s="392">
        <f t="shared" si="35"/>
        <v>0</v>
      </c>
      <c r="EQ29" s="394"/>
      <c r="ER29" s="392">
        <f>'[1]COE commited funds to date'!AN32</f>
        <v>1750000000</v>
      </c>
      <c r="ES29" s="392">
        <f>'[1]COE DISB 2019'!AN37</f>
        <v>1733500000</v>
      </c>
      <c r="ET29" s="392">
        <f t="shared" si="36"/>
        <v>16500000</v>
      </c>
      <c r="EV29" s="383">
        <f>'[1]COE commited funds to date'!AO32</f>
        <v>371067000</v>
      </c>
      <c r="EW29" s="383">
        <f>'[1]COE DISB 2019'!AO37</f>
        <v>218929530</v>
      </c>
      <c r="EX29" s="383">
        <f t="shared" si="38"/>
        <v>152137470</v>
      </c>
      <c r="EY29" s="380"/>
      <c r="EZ29" s="383">
        <f>'[1]COE commited funds to date'!AQ32</f>
        <v>12000000</v>
      </c>
      <c r="FA29" s="383">
        <f>'[1]COE DISB 2019'!AP37</f>
        <v>11876500</v>
      </c>
      <c r="FB29" s="383">
        <f t="shared" si="39"/>
        <v>123500</v>
      </c>
      <c r="FC29" s="380"/>
      <c r="FD29" s="383">
        <f>'[1]COE commited funds to date'!AR32</f>
        <v>10000000</v>
      </c>
      <c r="FE29" s="383">
        <f>'[1]COE DISB 2019'!AQ37</f>
        <v>0</v>
      </c>
      <c r="FF29" s="383">
        <f t="shared" si="40"/>
        <v>10000000</v>
      </c>
      <c r="FG29" s="380"/>
      <c r="FH29" s="383">
        <f>'[1]COE commited funds to date'!AP32</f>
        <v>8000000</v>
      </c>
      <c r="FI29" s="383">
        <f>'[1]COE DISB 2019'!AR37</f>
        <v>6800000</v>
      </c>
      <c r="FJ29" s="383">
        <f t="shared" si="41"/>
        <v>1200000</v>
      </c>
      <c r="FK29" s="383">
        <f>'[1]COE commited funds to date'!AS32</f>
        <v>0</v>
      </c>
      <c r="FL29" s="383">
        <f>'[1]COE DISB 2019'!AS37</f>
        <v>0</v>
      </c>
      <c r="FM29" s="383">
        <f t="shared" si="42"/>
        <v>0</v>
      </c>
      <c r="FN29" s="380"/>
      <c r="FO29" s="383">
        <f>'[1]COE commited funds to date'!AT32</f>
        <v>0</v>
      </c>
      <c r="FP29" s="383">
        <f>'[1]COE DISB 2019'!AT37</f>
        <v>0</v>
      </c>
      <c r="FQ29" s="383">
        <f t="shared" si="43"/>
        <v>0</v>
      </c>
      <c r="FR29" s="380"/>
      <c r="FS29" s="383">
        <f>'[1]COE commited funds to date'!AU32</f>
        <v>75000000</v>
      </c>
      <c r="FT29" s="383">
        <f>'[1]COE DISB 2019'!AU37</f>
        <v>56250000</v>
      </c>
      <c r="FU29" s="383">
        <f t="shared" si="44"/>
        <v>18750000</v>
      </c>
      <c r="FV29" s="380"/>
      <c r="FW29" s="383">
        <f>'[1]COE commited funds to date'!AV32</f>
        <v>0</v>
      </c>
      <c r="FX29" s="383">
        <f>'[1]COE DISB 2019'!AV37</f>
        <v>0</v>
      </c>
      <c r="FY29" s="383">
        <f t="shared" si="45"/>
        <v>0</v>
      </c>
      <c r="FZ29" s="380"/>
      <c r="GA29" s="383">
        <f>'[1]COE commited funds to date'!AW32</f>
        <v>0</v>
      </c>
      <c r="GB29" s="383">
        <f>'[1]COE DISB 2019'!AW37</f>
        <v>0</v>
      </c>
      <c r="GC29" s="383">
        <f t="shared" si="46"/>
        <v>0</v>
      </c>
      <c r="GD29" s="380"/>
      <c r="GE29" s="383">
        <f>'[1]COE commited funds to date'!AX32</f>
        <v>0</v>
      </c>
      <c r="GF29" s="383">
        <f>'[1]COE DISB 2019'!AX37</f>
        <v>0</v>
      </c>
      <c r="GG29" s="383">
        <f t="shared" si="47"/>
        <v>0</v>
      </c>
      <c r="GH29" s="380"/>
      <c r="GI29" s="383">
        <f>'[1]COE commited funds to date'!AY32</f>
        <v>230000000</v>
      </c>
      <c r="GJ29" s="383">
        <f>'[1]COE DISB 2019'!AY37</f>
        <v>0</v>
      </c>
      <c r="GK29" s="383">
        <f t="shared" si="48"/>
        <v>230000000</v>
      </c>
      <c r="GL29" s="380"/>
      <c r="GM29" s="383">
        <f>'[1]COE commited funds to date'!AZ32</f>
        <v>116776600</v>
      </c>
      <c r="GN29" s="383">
        <f>'[1]COE DISB 2019'!AZ37</f>
        <v>0</v>
      </c>
      <c r="GO29" s="383">
        <f t="shared" si="49"/>
        <v>116776600</v>
      </c>
      <c r="GP29" s="380"/>
      <c r="GQ29" s="383">
        <f>'[1]COE commited funds to date'!BA32</f>
        <v>12000000</v>
      </c>
      <c r="GR29" s="383">
        <f>'[1]COE DISB 2019'!BA37</f>
        <v>0</v>
      </c>
      <c r="GS29" s="383">
        <f t="shared" si="50"/>
        <v>12000000</v>
      </c>
      <c r="GT29" s="380"/>
      <c r="GU29" s="383">
        <f>'[1]COE commited funds to date'!BB32</f>
        <v>5000000</v>
      </c>
      <c r="GV29" s="383">
        <f>'[1]COE DISB 2019'!BB37</f>
        <v>0</v>
      </c>
      <c r="GW29" s="383">
        <f t="shared" si="51"/>
        <v>5000000</v>
      </c>
      <c r="GX29" s="380"/>
      <c r="GY29" s="383">
        <f>'[1]COE commited funds to date'!BC32</f>
        <v>10308300</v>
      </c>
      <c r="GZ29" s="383">
        <f>'[1]COE DISB 2019'!BC37</f>
        <v>0</v>
      </c>
      <c r="HA29" s="383">
        <f t="shared" si="52"/>
        <v>10308300</v>
      </c>
      <c r="HB29" s="380"/>
      <c r="HC29" s="383">
        <f t="shared" si="53"/>
        <v>4293378865.5</v>
      </c>
      <c r="HD29" s="383">
        <f t="shared" si="53"/>
        <v>3720388595.5</v>
      </c>
      <c r="HE29" s="392">
        <f t="shared" si="54"/>
        <v>572990270</v>
      </c>
      <c r="HG29" s="383">
        <f t="shared" si="55"/>
        <v>1467615965.5</v>
      </c>
      <c r="HH29" s="383">
        <f t="shared" si="55"/>
        <v>1085478495.5</v>
      </c>
      <c r="HI29" s="383">
        <f t="shared" si="56"/>
        <v>382137470</v>
      </c>
      <c r="HK29" s="383">
        <f t="shared" si="57"/>
        <v>2550000000</v>
      </c>
      <c r="HL29" s="383">
        <f t="shared" si="57"/>
        <v>2533500000</v>
      </c>
      <c r="HM29" s="383">
        <f t="shared" si="58"/>
        <v>16500000</v>
      </c>
      <c r="HO29" s="383">
        <f t="shared" si="37"/>
        <v>1678000</v>
      </c>
      <c r="HP29" s="383">
        <f t="shared" si="37"/>
        <v>1678000</v>
      </c>
      <c r="HQ29" s="383">
        <f t="shared" si="59"/>
        <v>0</v>
      </c>
      <c r="HS29" s="383">
        <f t="shared" si="60"/>
        <v>42308300</v>
      </c>
      <c r="HT29" s="383">
        <f t="shared" si="60"/>
        <v>31682100</v>
      </c>
      <c r="HU29" s="383">
        <f t="shared" si="61"/>
        <v>10626200</v>
      </c>
      <c r="HW29" s="383">
        <f t="shared" si="62"/>
        <v>20000000</v>
      </c>
      <c r="HX29" s="383">
        <f t="shared" si="62"/>
        <v>6800000</v>
      </c>
      <c r="HY29" s="383">
        <f t="shared" si="63"/>
        <v>13200000</v>
      </c>
      <c r="IA29" s="387">
        <f t="shared" si="64"/>
        <v>15000000</v>
      </c>
      <c r="IB29" s="387">
        <f t="shared" si="64"/>
        <v>0</v>
      </c>
      <c r="IC29" s="387">
        <f t="shared" si="65"/>
        <v>15000000</v>
      </c>
      <c r="IE29" s="383">
        <f t="shared" si="66"/>
        <v>191776600</v>
      </c>
      <c r="IF29" s="383">
        <f t="shared" si="66"/>
        <v>56250000</v>
      </c>
      <c r="IG29" s="383">
        <f t="shared" si="67"/>
        <v>135526600</v>
      </c>
      <c r="II29" s="383">
        <f t="shared" si="68"/>
        <v>0</v>
      </c>
      <c r="IJ29" s="383">
        <f t="shared" si="68"/>
        <v>0</v>
      </c>
      <c r="IK29" s="383">
        <f t="shared" si="69"/>
        <v>0</v>
      </c>
    </row>
    <row r="30" spans="1:245" ht="21" customHeight="1" x14ac:dyDescent="0.25">
      <c r="A30" s="380">
        <v>27</v>
      </c>
      <c r="B30" s="380" t="s">
        <v>346</v>
      </c>
      <c r="C30" s="433"/>
      <c r="D30" s="392">
        <v>18318965.5</v>
      </c>
      <c r="E30" s="392">
        <f>'[1]COE DISB 2019'!D38</f>
        <v>18318965.52</v>
      </c>
      <c r="F30" s="383">
        <f t="shared" si="0"/>
        <v>-1.9999999552965164E-2</v>
      </c>
      <c r="H30" s="392">
        <v>8000000</v>
      </c>
      <c r="I30" s="392">
        <f>'[1]COE DISB 2019'!E38</f>
        <v>8000000</v>
      </c>
      <c r="J30" s="383">
        <f t="shared" si="1"/>
        <v>0</v>
      </c>
      <c r="L30" s="392">
        <v>500000</v>
      </c>
      <c r="M30" s="392">
        <f>'[1]COE DISB 2019'!F38</f>
        <v>500000</v>
      </c>
      <c r="N30" s="383">
        <f t="shared" si="2"/>
        <v>0</v>
      </c>
      <c r="P30" s="353">
        <v>16000000</v>
      </c>
      <c r="Q30" s="392">
        <f>'[1]COE DISB 2019'!G38</f>
        <v>16000000</v>
      </c>
      <c r="R30" s="383">
        <f t="shared" si="3"/>
        <v>0</v>
      </c>
      <c r="T30" s="385">
        <v>476000</v>
      </c>
      <c r="U30" s="392">
        <f>'[1]COE DISB 2019'!H38</f>
        <v>476000</v>
      </c>
      <c r="V30" s="383">
        <f t="shared" si="4"/>
        <v>0</v>
      </c>
      <c r="X30" s="353">
        <v>0</v>
      </c>
      <c r="Y30" s="392">
        <f>'[1]COE DISB 2019'!I38</f>
        <v>0</v>
      </c>
      <c r="Z30" s="383">
        <f t="shared" si="5"/>
        <v>0</v>
      </c>
      <c r="AB30" s="385">
        <v>20000000</v>
      </c>
      <c r="AC30" s="392">
        <f>'[1]COE DISB 2019'!J38</f>
        <v>20000000</v>
      </c>
      <c r="AD30" s="383">
        <f t="shared" si="6"/>
        <v>0</v>
      </c>
      <c r="AF30" s="353">
        <v>0</v>
      </c>
      <c r="AG30" s="392">
        <f>'[1]COE DISB 2019'!K38</f>
        <v>0</v>
      </c>
      <c r="AH30" s="383">
        <f t="shared" si="7"/>
        <v>0</v>
      </c>
      <c r="AJ30" s="385">
        <v>10000000</v>
      </c>
      <c r="AK30" s="392">
        <f>'[1]COE DISB 2019'!L38</f>
        <v>10000000</v>
      </c>
      <c r="AL30" s="383">
        <f t="shared" si="8"/>
        <v>0</v>
      </c>
      <c r="AN30" s="392">
        <v>10000000</v>
      </c>
      <c r="AO30" s="392">
        <f>'[1]COE DISB 2019'!M38</f>
        <v>10000000</v>
      </c>
      <c r="AP30" s="383">
        <f t="shared" si="9"/>
        <v>0</v>
      </c>
      <c r="AR30" s="392">
        <v>15000000</v>
      </c>
      <c r="AS30" s="392">
        <f>'[1]COE DISB 2019'!N38</f>
        <v>15000000</v>
      </c>
      <c r="AT30" s="383">
        <f t="shared" si="10"/>
        <v>0</v>
      </c>
      <c r="AV30" s="392">
        <v>5000000</v>
      </c>
      <c r="AW30" s="393">
        <f>'[1]COE DISB 2019'!O38</f>
        <v>5000000</v>
      </c>
      <c r="AX30" s="392">
        <f t="shared" si="11"/>
        <v>0</v>
      </c>
      <c r="AZ30" s="392">
        <v>18000000</v>
      </c>
      <c r="BA30" s="392">
        <f>'[1]COE DISB 2019'!P38</f>
        <v>18000000</v>
      </c>
      <c r="BB30" s="392">
        <f t="shared" si="12"/>
        <v>0</v>
      </c>
      <c r="BD30" s="392">
        <v>23040000</v>
      </c>
      <c r="BE30" s="392">
        <f>'[1]COE DISB 2019'!Q38</f>
        <v>23040000</v>
      </c>
      <c r="BF30" s="392">
        <f t="shared" si="13"/>
        <v>0</v>
      </c>
      <c r="BH30" s="392">
        <v>0</v>
      </c>
      <c r="BI30" s="392">
        <f>'[1]COE DISB 2019'!R38</f>
        <v>0</v>
      </c>
      <c r="BJ30" s="392">
        <f t="shared" si="14"/>
        <v>0</v>
      </c>
      <c r="BL30" s="392">
        <v>43000000</v>
      </c>
      <c r="BM30" s="392">
        <f>'[1]COE DISB 2019'!S38</f>
        <v>43000000</v>
      </c>
      <c r="BN30" s="392">
        <f t="shared" si="15"/>
        <v>0</v>
      </c>
      <c r="BP30" s="392">
        <v>37160000</v>
      </c>
      <c r="BQ30" s="392">
        <f>'[1]COE DISB 2019'!T38</f>
        <v>37160000</v>
      </c>
      <c r="BR30" s="392">
        <f t="shared" si="16"/>
        <v>0</v>
      </c>
      <c r="BT30" s="392">
        <v>0</v>
      </c>
      <c r="BU30" s="392">
        <f>'[1]COE DISB 2019'!U38</f>
        <v>0</v>
      </c>
      <c r="BV30" s="392">
        <f t="shared" si="17"/>
        <v>0</v>
      </c>
      <c r="BX30" s="392">
        <v>0</v>
      </c>
      <c r="BY30" s="392">
        <f>'[1]COE DISB 2019'!V38</f>
        <v>0</v>
      </c>
      <c r="BZ30" s="392">
        <f t="shared" si="18"/>
        <v>0</v>
      </c>
      <c r="CB30" s="392">
        <f>'[1]COE commited funds to date'!W33</f>
        <v>207500000</v>
      </c>
      <c r="CC30" s="392">
        <f>'[1]COE DISB 2019'!W38</f>
        <v>207500000</v>
      </c>
      <c r="CD30" s="392">
        <f t="shared" si="19"/>
        <v>0</v>
      </c>
      <c r="CF30" s="392">
        <f>'[1]COE commited funds to date'!X33</f>
        <v>125000000</v>
      </c>
      <c r="CG30" s="392">
        <f>'[1]COE DISB 2019'!X38</f>
        <v>125000000</v>
      </c>
      <c r="CH30" s="392">
        <f t="shared" si="20"/>
        <v>0</v>
      </c>
      <c r="CJ30" s="392">
        <v>10000000</v>
      </c>
      <c r="CK30" s="392">
        <f>'[1]COE DISB 2019'!Y38</f>
        <v>10000000</v>
      </c>
      <c r="CL30" s="392">
        <f t="shared" si="21"/>
        <v>0</v>
      </c>
      <c r="CN30" s="392">
        <v>500000000</v>
      </c>
      <c r="CO30" s="392">
        <f>'[1]COE DISB 2019'!Z38</f>
        <v>500000000</v>
      </c>
      <c r="CP30" s="392">
        <f t="shared" si="22"/>
        <v>0</v>
      </c>
      <c r="CR30" s="392">
        <v>0</v>
      </c>
      <c r="CS30" s="392">
        <f>'[1]COE DISB 2019'!AA38</f>
        <v>0</v>
      </c>
      <c r="CT30" s="392">
        <f t="shared" si="23"/>
        <v>0</v>
      </c>
      <c r="CV30" s="392">
        <v>0</v>
      </c>
      <c r="CW30" s="392">
        <f>'[1]COE DISB 2019'!AB38</f>
        <v>0</v>
      </c>
      <c r="CX30" s="392">
        <f t="shared" si="24"/>
        <v>0</v>
      </c>
      <c r="CZ30" s="392">
        <f>'[1]COE commited funds to date'!AC33</f>
        <v>300000000</v>
      </c>
      <c r="DA30" s="392">
        <f>'[1]COE DISB 2019'!AC38</f>
        <v>300000000</v>
      </c>
      <c r="DB30" s="392">
        <f t="shared" si="25"/>
        <v>0</v>
      </c>
      <c r="DC30" s="394"/>
      <c r="DD30" s="392">
        <v>215000000</v>
      </c>
      <c r="DE30" s="392">
        <f>'[1]COE DISB 2019'!AD38</f>
        <v>215000000</v>
      </c>
      <c r="DF30" s="392">
        <f t="shared" si="26"/>
        <v>0</v>
      </c>
      <c r="DG30" s="394"/>
      <c r="DH30" s="392">
        <v>10000000</v>
      </c>
      <c r="DI30" s="392">
        <f>'[1]COE DISB 2019'!AE38</f>
        <v>10000000</v>
      </c>
      <c r="DJ30" s="392">
        <f>DH30-DI30</f>
        <v>0</v>
      </c>
      <c r="DK30" s="394"/>
      <c r="DL30" s="392">
        <f>'[1]COE commited funds to date'!AD33</f>
        <v>0</v>
      </c>
      <c r="DM30" s="392">
        <f>'[1]COE DISB 2019'!AF38</f>
        <v>0</v>
      </c>
      <c r="DN30" s="392">
        <f t="shared" si="28"/>
        <v>0</v>
      </c>
      <c r="DO30" s="394"/>
      <c r="DP30" s="392">
        <v>0</v>
      </c>
      <c r="DQ30" s="392">
        <f>'[1]COE DISB 2019'!AG38</f>
        <v>0</v>
      </c>
      <c r="DR30" s="392">
        <f t="shared" si="29"/>
        <v>0</v>
      </c>
      <c r="DS30" s="394"/>
      <c r="DT30" s="397">
        <v>0</v>
      </c>
      <c r="DU30" s="392">
        <f>'[1]COE DISB 2019'!AH38</f>
        <v>0</v>
      </c>
      <c r="DV30" s="392">
        <f t="shared" si="30"/>
        <v>0</v>
      </c>
      <c r="DW30" s="394"/>
      <c r="DX30" s="392">
        <f>'[1]COE commited funds to date'!AI33</f>
        <v>250000000</v>
      </c>
      <c r="DY30" s="392">
        <f>'[1]COE DISB 2019'!AI38</f>
        <v>250000000</v>
      </c>
      <c r="DZ30" s="392">
        <f t="shared" si="31"/>
        <v>0</v>
      </c>
      <c r="EA30" s="394"/>
      <c r="EB30" s="392">
        <f>'[1]COE commited funds to date'!AJ33</f>
        <v>72000000</v>
      </c>
      <c r="EC30" s="392">
        <f>'[1]COE DISB 2019'!AJ38</f>
        <v>61200000</v>
      </c>
      <c r="ED30" s="392">
        <f t="shared" si="32"/>
        <v>10800000</v>
      </c>
      <c r="EE30" s="394"/>
      <c r="EF30" s="392">
        <f>'[1]COE commited funds to date'!AK33</f>
        <v>8000000</v>
      </c>
      <c r="EG30" s="392">
        <f>'[1]COE DISB 2019'!AK38</f>
        <v>4080000</v>
      </c>
      <c r="EH30" s="392">
        <f t="shared" si="33"/>
        <v>3920000</v>
      </c>
      <c r="EI30" s="394"/>
      <c r="EJ30" s="392">
        <f>'[1]COE commited funds to date'!AL33</f>
        <v>2000000</v>
      </c>
      <c r="EK30" s="392">
        <f>'[1]COE DISB 2019'!AL38</f>
        <v>0</v>
      </c>
      <c r="EL30" s="392">
        <f t="shared" si="34"/>
        <v>2000000</v>
      </c>
      <c r="EM30" s="394"/>
      <c r="EN30" s="392">
        <f>'[1]COE commited funds to date'!AM33</f>
        <v>7000000</v>
      </c>
      <c r="EO30" s="392">
        <f>'[1]COE DISB 2019'!AM38</f>
        <v>7000000</v>
      </c>
      <c r="EP30" s="392">
        <f t="shared" si="35"/>
        <v>0</v>
      </c>
      <c r="EQ30" s="394"/>
      <c r="ER30" s="392">
        <f>'[1]COE commited funds to date'!AN33</f>
        <v>2550000000</v>
      </c>
      <c r="ES30" s="392">
        <f>'[1]COE DISB 2019'!AN38</f>
        <v>2550000000</v>
      </c>
      <c r="ET30" s="392">
        <f t="shared" si="36"/>
        <v>0</v>
      </c>
      <c r="EV30" s="383">
        <f>'[1]COE commited funds to date'!AO33</f>
        <v>0</v>
      </c>
      <c r="EW30" s="383">
        <f>'[1]COE DISB 2019'!AO38</f>
        <v>0</v>
      </c>
      <c r="EX30" s="383">
        <f t="shared" si="38"/>
        <v>0</v>
      </c>
      <c r="EY30" s="380"/>
      <c r="EZ30" s="383">
        <f>'[1]COE commited funds to date'!AQ33</f>
        <v>0</v>
      </c>
      <c r="FA30" s="383">
        <f>'[1]COE DISB 2019'!AP38</f>
        <v>0</v>
      </c>
      <c r="FB30" s="383">
        <f t="shared" si="39"/>
        <v>0</v>
      </c>
      <c r="FC30" s="380"/>
      <c r="FD30" s="383">
        <f>'[1]COE commited funds to date'!AR33</f>
        <v>0</v>
      </c>
      <c r="FE30" s="383">
        <f>'[1]COE DISB 2019'!AQ38</f>
        <v>0</v>
      </c>
      <c r="FF30" s="383">
        <f t="shared" si="40"/>
        <v>0</v>
      </c>
      <c r="FG30" s="380"/>
      <c r="FH30" s="383">
        <f>'[1]COE commited funds to date'!AP33</f>
        <v>0</v>
      </c>
      <c r="FI30" s="383">
        <f>'[1]COE DISB 2019'!AR38</f>
        <v>0</v>
      </c>
      <c r="FJ30" s="383">
        <f t="shared" si="41"/>
        <v>0</v>
      </c>
      <c r="FK30" s="383">
        <f>'[1]COE commited funds to date'!AS33</f>
        <v>150000000</v>
      </c>
      <c r="FL30" s="383">
        <f>'[1]COE DISB 2019'!AS38</f>
        <v>127500000</v>
      </c>
      <c r="FM30" s="383">
        <f t="shared" si="42"/>
        <v>22500000</v>
      </c>
      <c r="FN30" s="380"/>
      <c r="FO30" s="383">
        <f>'[1]COE commited funds to date'!AT33</f>
        <v>200000000</v>
      </c>
      <c r="FP30" s="383">
        <f>'[1]COE DISB 2019'!AT38</f>
        <v>0</v>
      </c>
      <c r="FQ30" s="383">
        <f t="shared" si="43"/>
        <v>200000000</v>
      </c>
      <c r="FR30" s="380"/>
      <c r="FS30" s="383">
        <f>'[1]COE commited funds to date'!AU33</f>
        <v>75000000</v>
      </c>
      <c r="FT30" s="383">
        <f>'[1]COE DISB 2019'!AU38</f>
        <v>51750000</v>
      </c>
      <c r="FU30" s="383">
        <f t="shared" si="44"/>
        <v>23250000</v>
      </c>
      <c r="FV30" s="380"/>
      <c r="FW30" s="383">
        <f>'[1]COE commited funds to date'!AV33</f>
        <v>8700000</v>
      </c>
      <c r="FX30" s="383">
        <f>'[1]COE DISB 2019'!AV38</f>
        <v>0</v>
      </c>
      <c r="FY30" s="383">
        <f t="shared" si="45"/>
        <v>8700000</v>
      </c>
      <c r="FZ30" s="380"/>
      <c r="GA30" s="383">
        <f>'[1]COE commited funds to date'!AW33</f>
        <v>5000000</v>
      </c>
      <c r="GB30" s="383">
        <f>'[1]COE DISB 2019'!AW38</f>
        <v>0</v>
      </c>
      <c r="GC30" s="383">
        <f t="shared" si="46"/>
        <v>5000000</v>
      </c>
      <c r="GD30" s="380"/>
      <c r="GE30" s="383">
        <f>'[1]COE commited funds to date'!AX33</f>
        <v>20000000</v>
      </c>
      <c r="GF30" s="383">
        <f>'[1]COE DISB 2019'!AX38</f>
        <v>11562100</v>
      </c>
      <c r="GG30" s="383">
        <f t="shared" si="47"/>
        <v>8437900</v>
      </c>
      <c r="GH30" s="380"/>
      <c r="GI30" s="383">
        <f>'[1]COE commited funds to date'!AY33</f>
        <v>0</v>
      </c>
      <c r="GJ30" s="383">
        <f>'[1]COE DISB 2019'!AY38</f>
        <v>0</v>
      </c>
      <c r="GK30" s="383">
        <f t="shared" si="48"/>
        <v>0</v>
      </c>
      <c r="GL30" s="380"/>
      <c r="GM30" s="383">
        <f>'[1]COE commited funds to date'!AZ33</f>
        <v>116776600</v>
      </c>
      <c r="GN30" s="383">
        <f>'[1]COE DISB 2019'!AZ38</f>
        <v>0</v>
      </c>
      <c r="GO30" s="383">
        <f t="shared" si="49"/>
        <v>116776600</v>
      </c>
      <c r="GP30" s="380"/>
      <c r="GQ30" s="383">
        <f>'[1]COE commited funds to date'!BA33</f>
        <v>0</v>
      </c>
      <c r="GR30" s="383">
        <f>'[1]COE DISB 2019'!BA38</f>
        <v>0</v>
      </c>
      <c r="GS30" s="383">
        <f t="shared" si="50"/>
        <v>0</v>
      </c>
      <c r="GT30" s="380"/>
      <c r="GU30" s="383">
        <f>'[1]COE commited funds to date'!BB33</f>
        <v>0</v>
      </c>
      <c r="GV30" s="383">
        <f>'[1]COE DISB 2019'!BB38</f>
        <v>0</v>
      </c>
      <c r="GW30" s="383">
        <f t="shared" si="51"/>
        <v>0</v>
      </c>
      <c r="GX30" s="380"/>
      <c r="GY30" s="383">
        <f>'[1]COE commited funds to date'!BC33</f>
        <v>0</v>
      </c>
      <c r="GZ30" s="383">
        <f>'[1]COE DISB 2019'!BC38</f>
        <v>0</v>
      </c>
      <c r="HA30" s="383">
        <f t="shared" si="52"/>
        <v>0</v>
      </c>
      <c r="HB30" s="380"/>
      <c r="HC30" s="383">
        <f t="shared" si="53"/>
        <v>5056471565.5</v>
      </c>
      <c r="HD30" s="383">
        <f t="shared" si="53"/>
        <v>4655087065.5200005</v>
      </c>
      <c r="HE30" s="392">
        <f t="shared" si="54"/>
        <v>401384499.97999954</v>
      </c>
      <c r="HG30" s="383">
        <f t="shared" si="55"/>
        <v>830518965.5</v>
      </c>
      <c r="HH30" s="383">
        <f t="shared" si="55"/>
        <v>619718965.51999998</v>
      </c>
      <c r="HI30" s="383">
        <f t="shared" si="56"/>
        <v>210799999.98000002</v>
      </c>
      <c r="HK30" s="383">
        <f t="shared" si="57"/>
        <v>3807500000</v>
      </c>
      <c r="HL30" s="383">
        <f t="shared" si="57"/>
        <v>3807500000</v>
      </c>
      <c r="HM30" s="383">
        <f t="shared" si="58"/>
        <v>0</v>
      </c>
      <c r="HO30" s="383">
        <f t="shared" si="37"/>
        <v>976000</v>
      </c>
      <c r="HP30" s="383">
        <f t="shared" si="37"/>
        <v>976000</v>
      </c>
      <c r="HQ30" s="383">
        <f t="shared" si="59"/>
        <v>0</v>
      </c>
      <c r="HS30" s="383">
        <f t="shared" si="60"/>
        <v>47000000</v>
      </c>
      <c r="HT30" s="383">
        <f t="shared" si="60"/>
        <v>38562100</v>
      </c>
      <c r="HU30" s="383">
        <f t="shared" si="61"/>
        <v>8437900</v>
      </c>
      <c r="HW30" s="383">
        <f t="shared" si="62"/>
        <v>16700000</v>
      </c>
      <c r="HX30" s="383">
        <f t="shared" si="62"/>
        <v>4080000</v>
      </c>
      <c r="HY30" s="383">
        <f t="shared" si="63"/>
        <v>12620000</v>
      </c>
      <c r="IA30" s="387">
        <f t="shared" si="64"/>
        <v>5000000</v>
      </c>
      <c r="IB30" s="387">
        <f t="shared" si="64"/>
        <v>0</v>
      </c>
      <c r="IC30" s="387">
        <f t="shared" si="65"/>
        <v>5000000</v>
      </c>
      <c r="IE30" s="383">
        <f t="shared" si="66"/>
        <v>341776600</v>
      </c>
      <c r="IF30" s="383">
        <f t="shared" si="66"/>
        <v>179250000</v>
      </c>
      <c r="IG30" s="383">
        <f t="shared" si="67"/>
        <v>162526600</v>
      </c>
      <c r="II30" s="383">
        <f t="shared" si="68"/>
        <v>2000000</v>
      </c>
      <c r="IJ30" s="383">
        <f t="shared" si="68"/>
        <v>0</v>
      </c>
      <c r="IK30" s="383">
        <f t="shared" si="69"/>
        <v>2000000</v>
      </c>
    </row>
    <row r="31" spans="1:245" x14ac:dyDescent="0.25">
      <c r="A31" s="380">
        <v>28</v>
      </c>
      <c r="B31" s="380" t="s">
        <v>347</v>
      </c>
      <c r="C31" s="436"/>
      <c r="D31" s="392">
        <v>18318965.5</v>
      </c>
      <c r="E31" s="392">
        <f>'[1]COE DISB 2019'!D39</f>
        <v>18318965.5</v>
      </c>
      <c r="F31" s="383">
        <f t="shared" si="0"/>
        <v>0</v>
      </c>
      <c r="H31" s="392">
        <v>8000000</v>
      </c>
      <c r="I31" s="392">
        <f>'[1]COE DISB 2019'!E39</f>
        <v>8000000</v>
      </c>
      <c r="J31" s="383">
        <f t="shared" si="1"/>
        <v>0</v>
      </c>
      <c r="L31" s="392">
        <v>500000</v>
      </c>
      <c r="M31" s="392">
        <f>'[1]COE DISB 2019'!F39</f>
        <v>500000</v>
      </c>
      <c r="N31" s="383">
        <f t="shared" si="2"/>
        <v>0</v>
      </c>
      <c r="P31" s="353">
        <v>16000000</v>
      </c>
      <c r="Q31" s="392">
        <f>'[1]COE DISB 2019'!G39</f>
        <v>16000000</v>
      </c>
      <c r="R31" s="383">
        <f t="shared" si="3"/>
        <v>0</v>
      </c>
      <c r="T31" s="385">
        <v>292000</v>
      </c>
      <c r="U31" s="392">
        <f>'[1]COE DISB 2019'!H39</f>
        <v>292000</v>
      </c>
      <c r="V31" s="383">
        <f t="shared" si="4"/>
        <v>0</v>
      </c>
      <c r="X31" s="353">
        <v>0</v>
      </c>
      <c r="Y31" s="392">
        <f>'[1]COE DISB 2019'!I39</f>
        <v>0</v>
      </c>
      <c r="Z31" s="383">
        <f t="shared" si="5"/>
        <v>0</v>
      </c>
      <c r="AB31" s="385">
        <v>20000000</v>
      </c>
      <c r="AC31" s="392">
        <f>'[1]COE DISB 2019'!J39</f>
        <v>20000000</v>
      </c>
      <c r="AD31" s="383">
        <f t="shared" si="6"/>
        <v>0</v>
      </c>
      <c r="AF31" s="353">
        <v>0</v>
      </c>
      <c r="AG31" s="392">
        <f>'[1]COE DISB 2019'!K39</f>
        <v>0</v>
      </c>
      <c r="AH31" s="383">
        <f t="shared" si="7"/>
        <v>0</v>
      </c>
      <c r="AJ31" s="385">
        <v>10000000</v>
      </c>
      <c r="AK31" s="392">
        <f>'[1]COE DISB 2019'!L39</f>
        <v>10000000</v>
      </c>
      <c r="AL31" s="383">
        <f t="shared" si="8"/>
        <v>0</v>
      </c>
      <c r="AN31" s="392">
        <v>10000000</v>
      </c>
      <c r="AO31" s="392">
        <f>'[1]COE DISB 2019'!M39</f>
        <v>10000000</v>
      </c>
      <c r="AP31" s="383">
        <f t="shared" si="9"/>
        <v>0</v>
      </c>
      <c r="AR31" s="392">
        <v>15000000</v>
      </c>
      <c r="AS31" s="392">
        <f>'[1]COE DISB 2019'!N39</f>
        <v>15000000</v>
      </c>
      <c r="AT31" s="383">
        <f t="shared" si="10"/>
        <v>0</v>
      </c>
      <c r="AV31" s="392">
        <v>5000000</v>
      </c>
      <c r="AW31" s="393">
        <f>'[1]COE DISB 2019'!O39</f>
        <v>5000000</v>
      </c>
      <c r="AX31" s="392">
        <f t="shared" si="11"/>
        <v>0</v>
      </c>
      <c r="AZ31" s="392">
        <v>18000000</v>
      </c>
      <c r="BA31" s="392">
        <f>'[1]COE DISB 2019'!P39</f>
        <v>18000000</v>
      </c>
      <c r="BB31" s="392">
        <f t="shared" si="12"/>
        <v>0</v>
      </c>
      <c r="BD31" s="392">
        <v>23400000</v>
      </c>
      <c r="BE31" s="392">
        <f>'[1]COE DISB 2019'!Q39</f>
        <v>23400000</v>
      </c>
      <c r="BF31" s="392">
        <f t="shared" si="13"/>
        <v>0</v>
      </c>
      <c r="BH31" s="392">
        <v>0</v>
      </c>
      <c r="BI31" s="392">
        <f>'[1]COE DISB 2019'!R39</f>
        <v>0</v>
      </c>
      <c r="BJ31" s="392">
        <f t="shared" si="14"/>
        <v>0</v>
      </c>
      <c r="BL31" s="392">
        <v>43000000</v>
      </c>
      <c r="BM31" s="392">
        <f>'[1]COE DISB 2019'!S39</f>
        <v>43000000</v>
      </c>
      <c r="BN31" s="392">
        <f t="shared" si="15"/>
        <v>0</v>
      </c>
      <c r="BP31" s="392">
        <v>37160000</v>
      </c>
      <c r="BQ31" s="392">
        <f>'[1]COE DISB 2019'!T39</f>
        <v>37160000</v>
      </c>
      <c r="BR31" s="392">
        <f t="shared" si="16"/>
        <v>0</v>
      </c>
      <c r="BT31" s="392">
        <v>0</v>
      </c>
      <c r="BU31" s="392">
        <f>'[1]COE DISB 2019'!U39</f>
        <v>0</v>
      </c>
      <c r="BV31" s="392">
        <f t="shared" si="17"/>
        <v>0</v>
      </c>
      <c r="BX31" s="392">
        <v>95769500</v>
      </c>
      <c r="BY31" s="392">
        <f>'[1]COE DISB 2019'!V39</f>
        <v>95769500</v>
      </c>
      <c r="BZ31" s="392">
        <f t="shared" si="18"/>
        <v>0</v>
      </c>
      <c r="CB31" s="392">
        <f>'[1]COE commited funds to date'!W34</f>
        <v>100000000</v>
      </c>
      <c r="CC31" s="392">
        <f>'[1]COE DISB 2019'!W39</f>
        <v>100000000</v>
      </c>
      <c r="CD31" s="392">
        <f t="shared" si="19"/>
        <v>0</v>
      </c>
      <c r="CF31" s="392">
        <f>'[1]COE commited funds to date'!X34</f>
        <v>0</v>
      </c>
      <c r="CG31" s="392">
        <f>'[1]COE DISB 2019'!X39</f>
        <v>0</v>
      </c>
      <c r="CH31" s="392">
        <f t="shared" si="20"/>
        <v>0</v>
      </c>
      <c r="CJ31" s="392">
        <v>0</v>
      </c>
      <c r="CK31" s="392">
        <f>'[1]COE DISB 2019'!Y39</f>
        <v>0</v>
      </c>
      <c r="CL31" s="392">
        <f t="shared" si="21"/>
        <v>0</v>
      </c>
      <c r="CN31" s="392">
        <v>500000000</v>
      </c>
      <c r="CO31" s="392">
        <f>'[1]COE DISB 2019'!Z39</f>
        <v>500000000</v>
      </c>
      <c r="CP31" s="392">
        <f t="shared" si="22"/>
        <v>0</v>
      </c>
      <c r="CR31" s="392">
        <v>0</v>
      </c>
      <c r="CS31" s="392">
        <f>'[1]COE DISB 2019'!AA39</f>
        <v>0</v>
      </c>
      <c r="CT31" s="392">
        <f t="shared" si="23"/>
        <v>0</v>
      </c>
      <c r="CV31" s="392">
        <v>0</v>
      </c>
      <c r="CW31" s="392">
        <f>'[1]COE DISB 2019'!AB39</f>
        <v>0</v>
      </c>
      <c r="CX31" s="392">
        <f t="shared" si="24"/>
        <v>0</v>
      </c>
      <c r="CZ31" s="392">
        <f>'[1]COE commited funds to date'!AC34</f>
        <v>0</v>
      </c>
      <c r="DA31" s="392">
        <f>'[1]COE DISB 2019'!AC39</f>
        <v>0</v>
      </c>
      <c r="DB31" s="392">
        <f t="shared" si="25"/>
        <v>0</v>
      </c>
      <c r="DC31" s="394"/>
      <c r="DD31" s="392">
        <v>0</v>
      </c>
      <c r="DE31" s="392">
        <f>'[1]COE DISB 2019'!AD39</f>
        <v>0</v>
      </c>
      <c r="DF31" s="392">
        <f t="shared" si="26"/>
        <v>0</v>
      </c>
      <c r="DG31" s="394"/>
      <c r="DH31" s="397">
        <v>0</v>
      </c>
      <c r="DI31" s="397">
        <f>'[1]COE DISB 2019'!AE39</f>
        <v>0</v>
      </c>
      <c r="DJ31" s="397">
        <v>0</v>
      </c>
      <c r="DK31" s="394"/>
      <c r="DL31" s="392">
        <f>'[1]COE commited funds to date'!AD34</f>
        <v>0</v>
      </c>
      <c r="DM31" s="392">
        <f>'[1]COE DISB 2019'!AF39</f>
        <v>0</v>
      </c>
      <c r="DN31" s="392">
        <f t="shared" si="28"/>
        <v>0</v>
      </c>
      <c r="DO31" s="394"/>
      <c r="DP31" s="392">
        <v>0</v>
      </c>
      <c r="DQ31" s="392">
        <f>'[1]COE DISB 2019'!AG39</f>
        <v>0</v>
      </c>
      <c r="DR31" s="392">
        <f t="shared" si="29"/>
        <v>0</v>
      </c>
      <c r="DS31" s="394"/>
      <c r="DT31" s="397">
        <v>0</v>
      </c>
      <c r="DU31" s="392">
        <f>'[1]COE DISB 2019'!AH39</f>
        <v>0</v>
      </c>
      <c r="DV31" s="392">
        <f t="shared" si="30"/>
        <v>0</v>
      </c>
      <c r="DW31" s="394"/>
      <c r="DX31" s="392">
        <f>'[1]COE commited funds to date'!AI34</f>
        <v>0</v>
      </c>
      <c r="DY31" s="392">
        <f>'[1]COE DISB 2019'!AI39</f>
        <v>0</v>
      </c>
      <c r="DZ31" s="392">
        <f t="shared" si="31"/>
        <v>0</v>
      </c>
      <c r="EA31" s="394"/>
      <c r="EB31" s="392">
        <f>'[1]COE commited funds to date'!AJ34</f>
        <v>72000000</v>
      </c>
      <c r="EC31" s="392">
        <f>'[1]COE DISB 2019'!AJ39</f>
        <v>72000000</v>
      </c>
      <c r="ED31" s="392">
        <f t="shared" si="32"/>
        <v>0</v>
      </c>
      <c r="EE31" s="394"/>
      <c r="EF31" s="392">
        <f>'[1]COE commited funds to date'!AK34</f>
        <v>8000000</v>
      </c>
      <c r="EG31" s="392">
        <f>'[1]COE DISB 2019'!AK39</f>
        <v>0</v>
      </c>
      <c r="EH31" s="392">
        <f t="shared" si="33"/>
        <v>8000000</v>
      </c>
      <c r="EI31" s="394"/>
      <c r="EJ31" s="392">
        <f>'[1]COE commited funds to date'!AL34</f>
        <v>2000000</v>
      </c>
      <c r="EK31" s="392">
        <f>'[1]COE DISB 2019'!AL39</f>
        <v>0</v>
      </c>
      <c r="EL31" s="392">
        <f t="shared" si="34"/>
        <v>2000000</v>
      </c>
      <c r="EM31" s="394"/>
      <c r="EN31" s="392">
        <f>'[1]COE commited funds to date'!AM34</f>
        <v>7000000</v>
      </c>
      <c r="EO31" s="392">
        <f>'[1]COE DISB 2019'!AM39</f>
        <v>6889750</v>
      </c>
      <c r="EP31" s="392">
        <f t="shared" si="35"/>
        <v>110250</v>
      </c>
      <c r="EQ31" s="394"/>
      <c r="ER31" s="392">
        <f>'[1]COE commited funds to date'!AN34</f>
        <v>0</v>
      </c>
      <c r="ES31" s="392">
        <f>'[1]COE DISB 2019'!AN39</f>
        <v>0</v>
      </c>
      <c r="ET31" s="392">
        <f t="shared" si="36"/>
        <v>0</v>
      </c>
      <c r="EV31" s="383">
        <f>'[1]COE commited funds to date'!AO34</f>
        <v>0</v>
      </c>
      <c r="EW31" s="383">
        <f>'[1]COE DISB 2019'!AO39</f>
        <v>0</v>
      </c>
      <c r="EX31" s="383">
        <f t="shared" si="38"/>
        <v>0</v>
      </c>
      <c r="EY31" s="380"/>
      <c r="EZ31" s="383">
        <f>'[1]COE commited funds to date'!AQ34</f>
        <v>0</v>
      </c>
      <c r="FA31" s="383">
        <f>'[1]COE DISB 2019'!AP39</f>
        <v>0</v>
      </c>
      <c r="FB31" s="383">
        <f t="shared" si="39"/>
        <v>0</v>
      </c>
      <c r="FC31" s="380"/>
      <c r="FD31" s="383">
        <f>'[1]COE commited funds to date'!AR34</f>
        <v>0</v>
      </c>
      <c r="FE31" s="383">
        <f>'[1]COE DISB 2019'!AQ39</f>
        <v>0</v>
      </c>
      <c r="FF31" s="383">
        <f t="shared" si="40"/>
        <v>0</v>
      </c>
      <c r="FG31" s="380"/>
      <c r="FH31" s="383">
        <f>'[1]COE commited funds to date'!AP34</f>
        <v>0</v>
      </c>
      <c r="FI31" s="383">
        <f>'[1]COE DISB 2019'!AR39</f>
        <v>0</v>
      </c>
      <c r="FJ31" s="383">
        <f t="shared" si="41"/>
        <v>0</v>
      </c>
      <c r="FK31" s="383">
        <f>'[1]COE commited funds to date'!AS34</f>
        <v>0</v>
      </c>
      <c r="FL31" s="383">
        <f>'[1]COE DISB 2019'!AS39</f>
        <v>0</v>
      </c>
      <c r="FM31" s="383">
        <f t="shared" si="42"/>
        <v>0</v>
      </c>
      <c r="FN31" s="380"/>
      <c r="FO31" s="383">
        <f>'[1]COE commited funds to date'!AT34</f>
        <v>0</v>
      </c>
      <c r="FP31" s="383">
        <f>'[1]COE DISB 2019'!AT39</f>
        <v>0</v>
      </c>
      <c r="FQ31" s="383">
        <f t="shared" si="43"/>
        <v>0</v>
      </c>
      <c r="FR31" s="380"/>
      <c r="FS31" s="383">
        <f>'[1]COE commited funds to date'!AU34</f>
        <v>75000000</v>
      </c>
      <c r="FT31" s="383">
        <f>'[1]COE DISB 2019'!AU39</f>
        <v>63750000</v>
      </c>
      <c r="FU31" s="383">
        <f t="shared" si="44"/>
        <v>11250000</v>
      </c>
      <c r="FV31" s="380"/>
      <c r="FW31" s="383">
        <f>'[1]COE commited funds to date'!AV34</f>
        <v>0</v>
      </c>
      <c r="FX31" s="383">
        <f>'[1]COE DISB 2019'!AV39</f>
        <v>0</v>
      </c>
      <c r="FY31" s="383">
        <f t="shared" si="45"/>
        <v>0</v>
      </c>
      <c r="FZ31" s="380"/>
      <c r="GA31" s="383">
        <f>'[1]COE commited funds to date'!AW34</f>
        <v>0</v>
      </c>
      <c r="GB31" s="383">
        <f>'[1]COE DISB 2019'!AW39</f>
        <v>0</v>
      </c>
      <c r="GC31" s="383">
        <f t="shared" si="46"/>
        <v>0</v>
      </c>
      <c r="GD31" s="380"/>
      <c r="GE31" s="383">
        <f>'[1]COE commited funds to date'!AX34</f>
        <v>0</v>
      </c>
      <c r="GF31" s="383">
        <f>'[1]COE DISB 2019'!AX39</f>
        <v>0</v>
      </c>
      <c r="GG31" s="383">
        <f t="shared" si="47"/>
        <v>0</v>
      </c>
      <c r="GH31" s="380"/>
      <c r="GI31" s="383">
        <f>'[1]COE commited funds to date'!AY34</f>
        <v>230000000</v>
      </c>
      <c r="GJ31" s="383">
        <f>'[1]COE DISB 2019'!AY39</f>
        <v>0</v>
      </c>
      <c r="GK31" s="383">
        <f t="shared" si="48"/>
        <v>230000000</v>
      </c>
      <c r="GL31" s="380"/>
      <c r="GM31" s="383">
        <f>'[1]COE commited funds to date'!AZ34</f>
        <v>116776600</v>
      </c>
      <c r="GN31" s="383">
        <f>'[1]COE DISB 2019'!AZ39</f>
        <v>0</v>
      </c>
      <c r="GO31" s="383">
        <f t="shared" si="49"/>
        <v>116776600</v>
      </c>
      <c r="GP31" s="380"/>
      <c r="GQ31" s="383">
        <f>'[1]COE commited funds to date'!BA34</f>
        <v>12000000</v>
      </c>
      <c r="GR31" s="383">
        <f>'[1]COE DISB 2019'!BA39</f>
        <v>0</v>
      </c>
      <c r="GS31" s="383">
        <f t="shared" si="50"/>
        <v>12000000</v>
      </c>
      <c r="GT31" s="380"/>
      <c r="GU31" s="383">
        <f>'[1]COE commited funds to date'!BB34</f>
        <v>5000000</v>
      </c>
      <c r="GV31" s="383">
        <f>'[1]COE DISB 2019'!BB39</f>
        <v>0</v>
      </c>
      <c r="GW31" s="383">
        <f t="shared" si="51"/>
        <v>5000000</v>
      </c>
      <c r="GX31" s="380"/>
      <c r="GY31" s="383">
        <f>'[1]COE commited funds to date'!BC34</f>
        <v>10308300</v>
      </c>
      <c r="GZ31" s="383">
        <f>'[1]COE DISB 2019'!BC39</f>
        <v>0</v>
      </c>
      <c r="HA31" s="383">
        <f t="shared" si="52"/>
        <v>10308300</v>
      </c>
      <c r="HB31" s="380"/>
      <c r="HC31" s="383">
        <f t="shared" si="53"/>
        <v>1458525365.5</v>
      </c>
      <c r="HD31" s="383">
        <f t="shared" si="53"/>
        <v>1063080215.5</v>
      </c>
      <c r="HE31" s="392">
        <f t="shared" si="54"/>
        <v>395445150</v>
      </c>
      <c r="HG31" s="383">
        <f t="shared" si="55"/>
        <v>616648465.5</v>
      </c>
      <c r="HH31" s="383">
        <f t="shared" si="55"/>
        <v>386648465.5</v>
      </c>
      <c r="HI31" s="383">
        <f t="shared" si="56"/>
        <v>230000000</v>
      </c>
      <c r="HK31" s="383">
        <f t="shared" si="57"/>
        <v>600000000</v>
      </c>
      <c r="HL31" s="383">
        <f t="shared" si="57"/>
        <v>600000000</v>
      </c>
      <c r="HM31" s="383">
        <f t="shared" si="58"/>
        <v>0</v>
      </c>
      <c r="HO31" s="383">
        <f t="shared" si="37"/>
        <v>792000</v>
      </c>
      <c r="HP31" s="383">
        <f t="shared" si="37"/>
        <v>792000</v>
      </c>
      <c r="HQ31" s="383">
        <f t="shared" si="59"/>
        <v>0</v>
      </c>
      <c r="HS31" s="383">
        <f t="shared" si="60"/>
        <v>17308300</v>
      </c>
      <c r="HT31" s="383">
        <f t="shared" si="60"/>
        <v>6889750</v>
      </c>
      <c r="HU31" s="383">
        <f t="shared" si="61"/>
        <v>10418550</v>
      </c>
      <c r="HW31" s="383">
        <f t="shared" si="62"/>
        <v>20000000</v>
      </c>
      <c r="HX31" s="383">
        <f t="shared" si="62"/>
        <v>0</v>
      </c>
      <c r="HY31" s="383">
        <f t="shared" si="63"/>
        <v>20000000</v>
      </c>
      <c r="IA31" s="387">
        <f t="shared" si="64"/>
        <v>5000000</v>
      </c>
      <c r="IB31" s="387">
        <f t="shared" si="64"/>
        <v>0</v>
      </c>
      <c r="IC31" s="387">
        <f t="shared" si="65"/>
        <v>5000000</v>
      </c>
      <c r="IE31" s="383">
        <f t="shared" si="66"/>
        <v>191776600</v>
      </c>
      <c r="IF31" s="383">
        <f t="shared" si="66"/>
        <v>63750000</v>
      </c>
      <c r="IG31" s="383">
        <f t="shared" si="67"/>
        <v>128026600</v>
      </c>
      <c r="II31" s="383">
        <f t="shared" si="68"/>
        <v>2000000</v>
      </c>
      <c r="IJ31" s="383">
        <f t="shared" si="68"/>
        <v>0</v>
      </c>
      <c r="IK31" s="383">
        <f t="shared" si="69"/>
        <v>2000000</v>
      </c>
    </row>
    <row r="32" spans="1:245" x14ac:dyDescent="0.25">
      <c r="A32" s="380">
        <v>29</v>
      </c>
      <c r="B32" s="380" t="s">
        <v>348</v>
      </c>
      <c r="C32" s="431" t="s">
        <v>74</v>
      </c>
      <c r="D32" s="392">
        <v>18318965.5</v>
      </c>
      <c r="E32" s="392">
        <f>'[1]COE DISB 2019'!D40</f>
        <v>18318946.690000001</v>
      </c>
      <c r="F32" s="383">
        <f t="shared" si="0"/>
        <v>18.809999998658895</v>
      </c>
      <c r="H32" s="392">
        <v>8000000</v>
      </c>
      <c r="I32" s="392">
        <f>'[1]COE DISB 2019'!E40</f>
        <v>8000000</v>
      </c>
      <c r="J32" s="383">
        <f t="shared" si="1"/>
        <v>0</v>
      </c>
      <c r="L32" s="392">
        <v>500000</v>
      </c>
      <c r="M32" s="392">
        <f>'[1]COE DISB 2019'!F40</f>
        <v>500000</v>
      </c>
      <c r="N32" s="383">
        <f t="shared" si="2"/>
        <v>0</v>
      </c>
      <c r="P32" s="353">
        <v>16000000</v>
      </c>
      <c r="Q32" s="392">
        <f>'[1]COE DISB 2019'!G40</f>
        <v>16000000</v>
      </c>
      <c r="R32" s="383">
        <f t="shared" si="3"/>
        <v>0</v>
      </c>
      <c r="T32" s="353">
        <v>0</v>
      </c>
      <c r="U32" s="392">
        <f>'[1]COE DISB 2019'!H40</f>
        <v>0</v>
      </c>
      <c r="V32" s="383">
        <f t="shared" si="4"/>
        <v>0</v>
      </c>
      <c r="X32" s="353">
        <v>0</v>
      </c>
      <c r="Y32" s="392">
        <f>'[1]COE DISB 2019'!I40</f>
        <v>0</v>
      </c>
      <c r="Z32" s="383">
        <f t="shared" si="5"/>
        <v>0</v>
      </c>
      <c r="AB32" s="385">
        <v>20000000</v>
      </c>
      <c r="AC32" s="392">
        <f>'[1]COE DISB 2019'!J40</f>
        <v>20000000</v>
      </c>
      <c r="AD32" s="383">
        <f t="shared" si="6"/>
        <v>0</v>
      </c>
      <c r="AF32" s="353">
        <v>0</v>
      </c>
      <c r="AG32" s="392">
        <f>'[1]COE DISB 2019'!K40</f>
        <v>0</v>
      </c>
      <c r="AH32" s="383">
        <f t="shared" si="7"/>
        <v>0</v>
      </c>
      <c r="AJ32" s="385">
        <v>10000000</v>
      </c>
      <c r="AK32" s="392">
        <f>'[1]COE DISB 2019'!L40</f>
        <v>10000000</v>
      </c>
      <c r="AL32" s="383">
        <f t="shared" si="8"/>
        <v>0</v>
      </c>
      <c r="AN32" s="392">
        <v>10000000</v>
      </c>
      <c r="AO32" s="392">
        <f>'[1]COE DISB 2019'!M40</f>
        <v>10000000</v>
      </c>
      <c r="AP32" s="383">
        <f t="shared" si="9"/>
        <v>0</v>
      </c>
      <c r="AR32" s="392">
        <v>15000000</v>
      </c>
      <c r="AS32" s="392">
        <f>'[1]COE DISB 2019'!N40</f>
        <v>15000000</v>
      </c>
      <c r="AT32" s="383">
        <f t="shared" si="10"/>
        <v>0</v>
      </c>
      <c r="AV32" s="392">
        <v>0</v>
      </c>
      <c r="AW32" s="432">
        <f>'[1]COE DISB 2019'!O40</f>
        <v>0</v>
      </c>
      <c r="AX32" s="392">
        <f t="shared" si="11"/>
        <v>0</v>
      </c>
      <c r="AZ32" s="392">
        <v>18000000</v>
      </c>
      <c r="BA32" s="392">
        <f>'[1]COE DISB 2019'!P40</f>
        <v>18000000</v>
      </c>
      <c r="BB32" s="392">
        <f t="shared" si="12"/>
        <v>0</v>
      </c>
      <c r="BD32" s="392">
        <v>23400000</v>
      </c>
      <c r="BE32" s="392">
        <f>'[1]COE DISB 2019'!Q40</f>
        <v>23400000</v>
      </c>
      <c r="BF32" s="392">
        <f t="shared" si="13"/>
        <v>0</v>
      </c>
      <c r="BH32" s="392">
        <v>0</v>
      </c>
      <c r="BI32" s="392">
        <f>'[1]COE DISB 2019'!R40</f>
        <v>0</v>
      </c>
      <c r="BJ32" s="392">
        <f t="shared" si="14"/>
        <v>0</v>
      </c>
      <c r="BL32" s="392">
        <v>43000000</v>
      </c>
      <c r="BM32" s="392">
        <f>'[1]COE DISB 2019'!S40</f>
        <v>43000000</v>
      </c>
      <c r="BN32" s="392">
        <f t="shared" si="15"/>
        <v>0</v>
      </c>
      <c r="BP32" s="392">
        <v>37159400</v>
      </c>
      <c r="BQ32" s="392">
        <f>'[1]COE DISB 2019'!T40</f>
        <v>37159400</v>
      </c>
      <c r="BR32" s="392">
        <f t="shared" si="16"/>
        <v>0</v>
      </c>
      <c r="BT32" s="392">
        <v>0</v>
      </c>
      <c r="BU32" s="392">
        <f>'[1]COE DISB 2019'!U40</f>
        <v>0</v>
      </c>
      <c r="BV32" s="392">
        <f t="shared" si="17"/>
        <v>0</v>
      </c>
      <c r="BX32" s="392">
        <v>0</v>
      </c>
      <c r="BY32" s="392">
        <f>'[1]COE DISB 2019'!V40</f>
        <v>0</v>
      </c>
      <c r="BZ32" s="392">
        <f t="shared" si="18"/>
        <v>0</v>
      </c>
      <c r="CB32" s="392">
        <f>'[1]COE commited funds to date'!W35</f>
        <v>100000000</v>
      </c>
      <c r="CC32" s="392">
        <f>'[1]COE DISB 2019'!W40</f>
        <v>100000000</v>
      </c>
      <c r="CD32" s="392">
        <f t="shared" si="19"/>
        <v>0</v>
      </c>
      <c r="CF32" s="392">
        <f>'[1]COE commited funds to date'!X35</f>
        <v>125000000</v>
      </c>
      <c r="CG32" s="392">
        <f>'[1]COE DISB 2019'!X40</f>
        <v>125000000</v>
      </c>
      <c r="CH32" s="392">
        <f t="shared" si="20"/>
        <v>0</v>
      </c>
      <c r="CJ32" s="392">
        <v>10000000</v>
      </c>
      <c r="CK32" s="392">
        <f>'[1]COE DISB 2019'!Y40</f>
        <v>10000000</v>
      </c>
      <c r="CL32" s="392">
        <f t="shared" si="21"/>
        <v>0</v>
      </c>
      <c r="CN32" s="392">
        <v>500000000</v>
      </c>
      <c r="CO32" s="392">
        <f>'[1]COE DISB 2019'!Z40</f>
        <v>500000000</v>
      </c>
      <c r="CP32" s="392">
        <f t="shared" si="22"/>
        <v>0</v>
      </c>
      <c r="CR32" s="392">
        <v>0</v>
      </c>
      <c r="CS32" s="392">
        <f>'[1]COE DISB 2019'!AA40</f>
        <v>0</v>
      </c>
      <c r="CT32" s="392">
        <f t="shared" si="23"/>
        <v>0</v>
      </c>
      <c r="CV32" s="392">
        <v>0</v>
      </c>
      <c r="CW32" s="392">
        <f>'[1]COE DISB 2019'!AB40</f>
        <v>0</v>
      </c>
      <c r="CX32" s="392">
        <f t="shared" si="24"/>
        <v>0</v>
      </c>
      <c r="CZ32" s="392">
        <f>'[1]COE commited funds to date'!AC35</f>
        <v>400000000</v>
      </c>
      <c r="DA32" s="392">
        <f>'[1]COE DISB 2019'!AC40</f>
        <v>400000000</v>
      </c>
      <c r="DB32" s="392">
        <f t="shared" si="25"/>
        <v>0</v>
      </c>
      <c r="DC32" s="394"/>
      <c r="DD32" s="392">
        <v>215000000</v>
      </c>
      <c r="DE32" s="392">
        <f>'[1]COE DISB 2019'!AD40</f>
        <v>215000000</v>
      </c>
      <c r="DF32" s="392">
        <f t="shared" si="26"/>
        <v>0</v>
      </c>
      <c r="DG32" s="394"/>
      <c r="DH32" s="392">
        <v>10000000</v>
      </c>
      <c r="DI32" s="392">
        <f>'[1]COE DISB 2019'!AE40</f>
        <v>10000000</v>
      </c>
      <c r="DJ32" s="392">
        <f>DH32-DI32</f>
        <v>0</v>
      </c>
      <c r="DK32" s="394"/>
      <c r="DL32" s="392">
        <f>'[1]COE commited funds to date'!AD35</f>
        <v>0</v>
      </c>
      <c r="DM32" s="392">
        <f>'[1]COE DISB 2019'!AF40</f>
        <v>0</v>
      </c>
      <c r="DN32" s="392">
        <f t="shared" si="28"/>
        <v>0</v>
      </c>
      <c r="DO32" s="394"/>
      <c r="DP32" s="392">
        <v>0</v>
      </c>
      <c r="DQ32" s="392">
        <f>'[1]COE DISB 2019'!AG40</f>
        <v>0</v>
      </c>
      <c r="DR32" s="392">
        <f t="shared" si="29"/>
        <v>0</v>
      </c>
      <c r="DS32" s="394"/>
      <c r="DT32" s="397">
        <v>0</v>
      </c>
      <c r="DU32" s="392">
        <f>'[1]COE DISB 2019'!AH40</f>
        <v>0</v>
      </c>
      <c r="DV32" s="392">
        <f t="shared" si="30"/>
        <v>0</v>
      </c>
      <c r="DW32" s="394"/>
      <c r="DX32" s="392">
        <f>'[1]COE commited funds to date'!AI35</f>
        <v>250000000</v>
      </c>
      <c r="DY32" s="392">
        <f>'[1]COE DISB 2019'!AI40</f>
        <v>250000000</v>
      </c>
      <c r="DZ32" s="392">
        <f t="shared" si="31"/>
        <v>0</v>
      </c>
      <c r="EA32" s="394"/>
      <c r="EB32" s="392">
        <f>'[1]COE commited funds to date'!AJ35</f>
        <v>0</v>
      </c>
      <c r="EC32" s="392">
        <f>'[1]COE DISB 2019'!AJ40</f>
        <v>0</v>
      </c>
      <c r="ED32" s="392">
        <f t="shared" si="32"/>
        <v>0</v>
      </c>
      <c r="EE32" s="394"/>
      <c r="EF32" s="392">
        <f>'[1]COE commited funds to date'!AK35</f>
        <v>0</v>
      </c>
      <c r="EG32" s="392">
        <f>'[1]COE DISB 2019'!AK40</f>
        <v>0</v>
      </c>
      <c r="EH32" s="392">
        <f t="shared" si="33"/>
        <v>0</v>
      </c>
      <c r="EI32" s="394"/>
      <c r="EJ32" s="392">
        <f>'[1]COE commited funds to date'!AL35</f>
        <v>0</v>
      </c>
      <c r="EK32" s="392">
        <f>'[1]COE DISB 2019'!AL40</f>
        <v>0</v>
      </c>
      <c r="EL32" s="392">
        <f t="shared" si="34"/>
        <v>0</v>
      </c>
      <c r="EM32" s="394"/>
      <c r="EN32" s="392">
        <f>'[1]COE commited funds to date'!AM35</f>
        <v>0</v>
      </c>
      <c r="EO32" s="392">
        <f>'[1]COE DISB 2019'!AM40</f>
        <v>0</v>
      </c>
      <c r="EP32" s="392">
        <f t="shared" si="35"/>
        <v>0</v>
      </c>
      <c r="EQ32" s="394"/>
      <c r="ER32" s="392">
        <f>'[1]COE commited funds to date'!AN35</f>
        <v>950000000</v>
      </c>
      <c r="ES32" s="392">
        <f>'[1]COE DISB 2019'!AN40</f>
        <v>950000000</v>
      </c>
      <c r="ET32" s="437">
        <f t="shared" si="36"/>
        <v>0</v>
      </c>
      <c r="EV32" s="383">
        <f>'[1]COE commited funds to date'!AO35</f>
        <v>371067000</v>
      </c>
      <c r="EW32" s="383">
        <f>'[1]COE DISB 2019'!AO40</f>
        <v>230061540</v>
      </c>
      <c r="EX32" s="383">
        <f t="shared" si="38"/>
        <v>141005460</v>
      </c>
      <c r="EY32" s="380"/>
      <c r="EZ32" s="383">
        <f>'[1]COE commited funds to date'!AQ35</f>
        <v>12000000</v>
      </c>
      <c r="FA32" s="383">
        <f>'[1]COE DISB 2019'!AP40</f>
        <v>12296752.18</v>
      </c>
      <c r="FB32" s="383">
        <f t="shared" si="39"/>
        <v>-296752.1799999997</v>
      </c>
      <c r="FC32" s="380"/>
      <c r="FD32" s="383">
        <f>'[1]COE commited funds to date'!AR35</f>
        <v>10000000</v>
      </c>
      <c r="FE32" s="383">
        <f>'[1]COE DISB 2019'!AQ40</f>
        <v>0</v>
      </c>
      <c r="FF32" s="383">
        <f t="shared" si="40"/>
        <v>10000000</v>
      </c>
      <c r="FG32" s="380"/>
      <c r="FH32" s="383">
        <f>'[1]COE commited funds to date'!AP35</f>
        <v>8000000</v>
      </c>
      <c r="FI32" s="383">
        <f>'[1]COE DISB 2019'!AR40</f>
        <v>8000000</v>
      </c>
      <c r="FJ32" s="383">
        <f t="shared" si="41"/>
        <v>0</v>
      </c>
      <c r="FK32" s="383">
        <f>'[1]COE commited funds to date'!AS35</f>
        <v>0</v>
      </c>
      <c r="FL32" s="383">
        <f>'[1]COE DISB 2019'!AS40</f>
        <v>0</v>
      </c>
      <c r="FM32" s="383">
        <f t="shared" si="42"/>
        <v>0</v>
      </c>
      <c r="FN32" s="380"/>
      <c r="FO32" s="383">
        <f>'[1]COE commited funds to date'!AT35</f>
        <v>0</v>
      </c>
      <c r="FP32" s="383">
        <f>'[1]COE DISB 2019'!AT40</f>
        <v>0</v>
      </c>
      <c r="FQ32" s="383">
        <f t="shared" si="43"/>
        <v>0</v>
      </c>
      <c r="FR32" s="380"/>
      <c r="FS32" s="383">
        <f>'[1]COE commited funds to date'!AU35</f>
        <v>75000000</v>
      </c>
      <c r="FT32" s="383">
        <f>'[1]COE DISB 2019'!AU40</f>
        <v>50250000</v>
      </c>
      <c r="FU32" s="383">
        <f t="shared" si="44"/>
        <v>24750000</v>
      </c>
      <c r="FV32" s="380"/>
      <c r="FW32" s="383">
        <f>'[1]COE commited funds to date'!AV35</f>
        <v>0</v>
      </c>
      <c r="FX32" s="383">
        <f>'[1]COE DISB 2019'!AV40</f>
        <v>0</v>
      </c>
      <c r="FY32" s="383">
        <f t="shared" si="45"/>
        <v>0</v>
      </c>
      <c r="FZ32" s="380"/>
      <c r="GA32" s="383">
        <f>'[1]COE commited funds to date'!AW35</f>
        <v>0</v>
      </c>
      <c r="GB32" s="383">
        <f>'[1]COE DISB 2019'!AW40</f>
        <v>0</v>
      </c>
      <c r="GC32" s="383">
        <f t="shared" si="46"/>
        <v>0</v>
      </c>
      <c r="GD32" s="380"/>
      <c r="GE32" s="383">
        <f>'[1]COE commited funds to date'!AX35</f>
        <v>0</v>
      </c>
      <c r="GF32" s="383">
        <f>'[1]COE DISB 2019'!AX40</f>
        <v>0</v>
      </c>
      <c r="GG32" s="383">
        <f t="shared" si="47"/>
        <v>0</v>
      </c>
      <c r="GH32" s="380"/>
      <c r="GI32" s="383">
        <f>'[1]COE commited funds to date'!AY35</f>
        <v>0</v>
      </c>
      <c r="GJ32" s="383">
        <f>'[1]COE DISB 2019'!AY40</f>
        <v>0</v>
      </c>
      <c r="GK32" s="383">
        <f t="shared" si="48"/>
        <v>0</v>
      </c>
      <c r="GL32" s="380"/>
      <c r="GM32" s="383">
        <f>'[1]COE commited funds to date'!AZ35</f>
        <v>116776600</v>
      </c>
      <c r="GN32" s="383">
        <f>'[1]COE DISB 2019'!AZ40</f>
        <v>0</v>
      </c>
      <c r="GO32" s="383">
        <f t="shared" si="49"/>
        <v>116776600</v>
      </c>
      <c r="GP32" s="380"/>
      <c r="GQ32" s="383">
        <f>'[1]COE commited funds to date'!BA35</f>
        <v>0</v>
      </c>
      <c r="GR32" s="383">
        <f>'[1]COE DISB 2019'!BA40</f>
        <v>0</v>
      </c>
      <c r="GS32" s="383">
        <f t="shared" si="50"/>
        <v>0</v>
      </c>
      <c r="GT32" s="380"/>
      <c r="GU32" s="383">
        <f>'[1]COE commited funds to date'!BB35</f>
        <v>0</v>
      </c>
      <c r="GV32" s="383">
        <f>'[1]COE DISB 2019'!BB40</f>
        <v>0</v>
      </c>
      <c r="GW32" s="383">
        <f t="shared" si="51"/>
        <v>0</v>
      </c>
      <c r="GX32" s="380"/>
      <c r="GY32" s="383">
        <f>'[1]COE commited funds to date'!BC35</f>
        <v>0</v>
      </c>
      <c r="GZ32" s="383">
        <f>'[1]COE DISB 2019'!BC40</f>
        <v>0</v>
      </c>
      <c r="HA32" s="383">
        <f t="shared" si="52"/>
        <v>0</v>
      </c>
      <c r="HB32" s="380"/>
      <c r="HC32" s="383">
        <f t="shared" si="53"/>
        <v>3372221965.5</v>
      </c>
      <c r="HD32" s="383">
        <f t="shared" si="53"/>
        <v>3079986638.8699999</v>
      </c>
      <c r="HE32" s="392">
        <f t="shared" si="54"/>
        <v>292235326.63000011</v>
      </c>
      <c r="HG32" s="383">
        <f t="shared" si="55"/>
        <v>929945365.5</v>
      </c>
      <c r="HH32" s="383">
        <f t="shared" si="55"/>
        <v>788939886.69000006</v>
      </c>
      <c r="HI32" s="383">
        <f t="shared" si="56"/>
        <v>141005478.80999994</v>
      </c>
      <c r="HK32" s="383">
        <f t="shared" si="57"/>
        <v>2200000000</v>
      </c>
      <c r="HL32" s="383">
        <f t="shared" si="57"/>
        <v>2200000000</v>
      </c>
      <c r="HM32" s="383">
        <f t="shared" si="58"/>
        <v>0</v>
      </c>
      <c r="HO32" s="383">
        <f t="shared" si="37"/>
        <v>500000</v>
      </c>
      <c r="HP32" s="383">
        <f t="shared" si="37"/>
        <v>500000</v>
      </c>
      <c r="HQ32" s="383">
        <f t="shared" si="59"/>
        <v>0</v>
      </c>
      <c r="HS32" s="383">
        <f t="shared" si="60"/>
        <v>32000000</v>
      </c>
      <c r="HT32" s="383">
        <f t="shared" si="60"/>
        <v>32296752.18</v>
      </c>
      <c r="HU32" s="383">
        <f t="shared" si="61"/>
        <v>-296752.1799999997</v>
      </c>
      <c r="HW32" s="383">
        <f t="shared" si="62"/>
        <v>8000000</v>
      </c>
      <c r="HX32" s="383">
        <f t="shared" si="62"/>
        <v>8000000</v>
      </c>
      <c r="HY32" s="383">
        <f t="shared" si="63"/>
        <v>0</v>
      </c>
      <c r="IA32" s="387">
        <f t="shared" si="64"/>
        <v>10000000</v>
      </c>
      <c r="IB32" s="387">
        <f t="shared" si="64"/>
        <v>0</v>
      </c>
      <c r="IC32" s="387">
        <f t="shared" si="65"/>
        <v>10000000</v>
      </c>
      <c r="IE32" s="383">
        <f t="shared" si="66"/>
        <v>191776600</v>
      </c>
      <c r="IF32" s="383">
        <f t="shared" si="66"/>
        <v>50250000</v>
      </c>
      <c r="IG32" s="383">
        <f t="shared" si="67"/>
        <v>141526600</v>
      </c>
      <c r="II32" s="383">
        <f t="shared" si="68"/>
        <v>0</v>
      </c>
      <c r="IJ32" s="383">
        <f t="shared" si="68"/>
        <v>0</v>
      </c>
      <c r="IK32" s="383">
        <f t="shared" si="69"/>
        <v>0</v>
      </c>
    </row>
    <row r="33" spans="1:245" x14ac:dyDescent="0.25">
      <c r="A33" s="380">
        <v>30</v>
      </c>
      <c r="B33" s="380" t="s">
        <v>349</v>
      </c>
      <c r="C33" s="431"/>
      <c r="D33" s="392">
        <v>18318965.5</v>
      </c>
      <c r="E33" s="392">
        <f>'[1]COE DISB 2019'!D41</f>
        <v>18318965.5</v>
      </c>
      <c r="F33" s="383">
        <f t="shared" si="0"/>
        <v>0</v>
      </c>
      <c r="H33" s="392">
        <v>8000000</v>
      </c>
      <c r="I33" s="392">
        <f>'[1]COE DISB 2019'!E41</f>
        <v>8000000</v>
      </c>
      <c r="J33" s="383">
        <f t="shared" si="1"/>
        <v>0</v>
      </c>
      <c r="L33" s="392">
        <v>500000</v>
      </c>
      <c r="M33" s="392">
        <f>'[1]COE DISB 2019'!F41</f>
        <v>500000</v>
      </c>
      <c r="N33" s="383">
        <f t="shared" si="2"/>
        <v>0</v>
      </c>
      <c r="P33" s="353">
        <v>16000000</v>
      </c>
      <c r="Q33" s="392">
        <f>'[1]COE DISB 2019'!G41</f>
        <v>16000000</v>
      </c>
      <c r="R33" s="383">
        <f t="shared" si="3"/>
        <v>0</v>
      </c>
      <c r="T33" s="385">
        <v>171999.92</v>
      </c>
      <c r="U33" s="392">
        <f>'[1]COE DISB 2019'!H41</f>
        <v>171999.92</v>
      </c>
      <c r="V33" s="383">
        <f t="shared" si="4"/>
        <v>0</v>
      </c>
      <c r="X33" s="353">
        <v>0</v>
      </c>
      <c r="Y33" s="392">
        <f>'[1]COE DISB 2019'!I41</f>
        <v>0</v>
      </c>
      <c r="Z33" s="383">
        <f t="shared" si="5"/>
        <v>0</v>
      </c>
      <c r="AB33" s="385">
        <v>20000000</v>
      </c>
      <c r="AC33" s="392">
        <f>'[1]COE DISB 2019'!J41</f>
        <v>20000000</v>
      </c>
      <c r="AD33" s="383">
        <f t="shared" si="6"/>
        <v>0</v>
      </c>
      <c r="AF33" s="353">
        <v>0</v>
      </c>
      <c r="AG33" s="392">
        <f>'[1]COE DISB 2019'!K41</f>
        <v>0</v>
      </c>
      <c r="AH33" s="383">
        <f t="shared" si="7"/>
        <v>0</v>
      </c>
      <c r="AJ33" s="385">
        <v>10000000</v>
      </c>
      <c r="AK33" s="392">
        <f>'[1]COE DISB 2019'!L41</f>
        <v>10000000</v>
      </c>
      <c r="AL33" s="383">
        <f t="shared" si="8"/>
        <v>0</v>
      </c>
      <c r="AN33" s="392">
        <v>10000000</v>
      </c>
      <c r="AO33" s="392">
        <f>'[1]COE DISB 2019'!M41</f>
        <v>10000000</v>
      </c>
      <c r="AP33" s="383">
        <f t="shared" si="9"/>
        <v>0</v>
      </c>
      <c r="AR33" s="392">
        <v>14488610</v>
      </c>
      <c r="AS33" s="392">
        <f>'[1]COE DISB 2019'!N41</f>
        <v>14488610</v>
      </c>
      <c r="AT33" s="383">
        <f t="shared" si="10"/>
        <v>0</v>
      </c>
      <c r="AV33" s="392">
        <v>0</v>
      </c>
      <c r="AW33" s="397">
        <f>'[1]COE DISB 2019'!O41</f>
        <v>0</v>
      </c>
      <c r="AX33" s="392">
        <f t="shared" si="11"/>
        <v>0</v>
      </c>
      <c r="AZ33" s="392">
        <v>18000000</v>
      </c>
      <c r="BA33" s="392">
        <f>'[1]COE DISB 2019'!P41</f>
        <v>18000000</v>
      </c>
      <c r="BB33" s="392">
        <f t="shared" si="12"/>
        <v>0</v>
      </c>
      <c r="BD33" s="392">
        <v>23400000</v>
      </c>
      <c r="BE33" s="392">
        <f>'[1]COE DISB 2019'!Q41</f>
        <v>23400000</v>
      </c>
      <c r="BF33" s="392">
        <f t="shared" si="13"/>
        <v>0</v>
      </c>
      <c r="BH33" s="392">
        <v>0</v>
      </c>
      <c r="BI33" s="392">
        <f>'[1]COE DISB 2019'!R41</f>
        <v>0</v>
      </c>
      <c r="BJ33" s="392">
        <f t="shared" si="14"/>
        <v>0</v>
      </c>
      <c r="BL33" s="392">
        <v>43000000</v>
      </c>
      <c r="BM33" s="392">
        <f>'[1]COE DISB 2019'!S41</f>
        <v>43000000</v>
      </c>
      <c r="BN33" s="392">
        <f t="shared" si="15"/>
        <v>0</v>
      </c>
      <c r="BP33" s="392">
        <v>37159200</v>
      </c>
      <c r="BQ33" s="392">
        <f>'[1]COE DISB 2019'!T41</f>
        <v>37159200</v>
      </c>
      <c r="BR33" s="392">
        <f t="shared" si="16"/>
        <v>0</v>
      </c>
      <c r="BT33" s="392">
        <v>0</v>
      </c>
      <c r="BU33" s="392">
        <f>'[1]COE DISB 2019'!U41</f>
        <v>0</v>
      </c>
      <c r="BV33" s="392">
        <f t="shared" si="17"/>
        <v>0</v>
      </c>
      <c r="BX33" s="392">
        <v>0</v>
      </c>
      <c r="BY33" s="392">
        <f>'[1]COE DISB 2019'!V41</f>
        <v>0</v>
      </c>
      <c r="BZ33" s="392">
        <f t="shared" si="18"/>
        <v>0</v>
      </c>
      <c r="CB33" s="392">
        <f>'[1]COE commited funds to date'!W36</f>
        <v>550000000</v>
      </c>
      <c r="CC33" s="392">
        <f>'[1]COE DISB 2019'!W41</f>
        <v>550000000</v>
      </c>
      <c r="CD33" s="392">
        <f t="shared" si="19"/>
        <v>0</v>
      </c>
      <c r="CF33" s="392">
        <f>'[1]COE commited funds to date'!X36</f>
        <v>0</v>
      </c>
      <c r="CG33" s="392">
        <f>'[1]COE DISB 2019'!X41</f>
        <v>0</v>
      </c>
      <c r="CH33" s="392">
        <f t="shared" si="20"/>
        <v>0</v>
      </c>
      <c r="CJ33" s="392">
        <v>0</v>
      </c>
      <c r="CK33" s="392">
        <f>'[1]COE DISB 2019'!Y41</f>
        <v>0</v>
      </c>
      <c r="CL33" s="392">
        <f t="shared" si="21"/>
        <v>0</v>
      </c>
      <c r="CN33" s="392">
        <v>300000000</v>
      </c>
      <c r="CO33" s="392">
        <f>'[1]COE DISB 2019'!Z41</f>
        <v>300000000</v>
      </c>
      <c r="CP33" s="392">
        <f t="shared" si="22"/>
        <v>0</v>
      </c>
      <c r="CR33" s="392">
        <v>210000000</v>
      </c>
      <c r="CS33" s="392">
        <f>'[1]COE DISB 2019'!AA41</f>
        <v>210000000</v>
      </c>
      <c r="CT33" s="392">
        <f t="shared" si="23"/>
        <v>0</v>
      </c>
      <c r="CV33" s="392">
        <v>10000000</v>
      </c>
      <c r="CW33" s="392">
        <f>'[1]COE DISB 2019'!AB41</f>
        <v>9444511.0999999996</v>
      </c>
      <c r="CX33" s="392">
        <f t="shared" si="24"/>
        <v>555488.90000000037</v>
      </c>
      <c r="CZ33" s="392">
        <f>'[1]COE commited funds to date'!AC36</f>
        <v>0</v>
      </c>
      <c r="DA33" s="392">
        <f>'[1]COE DISB 2019'!AC41</f>
        <v>0</v>
      </c>
      <c r="DB33" s="392">
        <f t="shared" si="25"/>
        <v>0</v>
      </c>
      <c r="DC33" s="394"/>
      <c r="DD33" s="392">
        <v>0</v>
      </c>
      <c r="DE33" s="392">
        <f>'[1]COE DISB 2019'!AD41</f>
        <v>0</v>
      </c>
      <c r="DF33" s="392">
        <f t="shared" si="26"/>
        <v>0</v>
      </c>
      <c r="DG33" s="394"/>
      <c r="DH33" s="397">
        <v>0</v>
      </c>
      <c r="DI33" s="397">
        <f>'[1]COE DISB 2019'!AE41</f>
        <v>0</v>
      </c>
      <c r="DJ33" s="397">
        <v>0</v>
      </c>
      <c r="DK33" s="394"/>
      <c r="DL33" s="392">
        <f>'[1]COE commited funds to date'!AD36</f>
        <v>200000000</v>
      </c>
      <c r="DM33" s="392">
        <f>'[1]COE DISB 2019'!AF41</f>
        <v>200000000</v>
      </c>
      <c r="DN33" s="392">
        <f t="shared" si="28"/>
        <v>0</v>
      </c>
      <c r="DO33" s="394"/>
      <c r="DP33" s="392">
        <v>325000000</v>
      </c>
      <c r="DQ33" s="392">
        <f>'[1]COE DISB 2019'!AG41</f>
        <v>325000000</v>
      </c>
      <c r="DR33" s="392">
        <f t="shared" si="29"/>
        <v>0</v>
      </c>
      <c r="DS33" s="394"/>
      <c r="DT33" s="397">
        <v>10000000</v>
      </c>
      <c r="DU33" s="392">
        <f>'[1]COE DISB 2019'!AH41</f>
        <v>10000000</v>
      </c>
      <c r="DV33" s="392">
        <f t="shared" si="30"/>
        <v>0</v>
      </c>
      <c r="DW33" s="394"/>
      <c r="DX33" s="392">
        <f>'[1]COE commited funds to date'!AI36</f>
        <v>200000000</v>
      </c>
      <c r="DY33" s="392">
        <f>'[1]COE DISB 2019'!AI41</f>
        <v>200000000</v>
      </c>
      <c r="DZ33" s="392">
        <f t="shared" si="31"/>
        <v>0</v>
      </c>
      <c r="EA33" s="394"/>
      <c r="EB33" s="392">
        <f>'[1]COE commited funds to date'!AJ36</f>
        <v>0</v>
      </c>
      <c r="EC33" s="392">
        <f>'[1]COE DISB 2019'!AJ41</f>
        <v>0</v>
      </c>
      <c r="ED33" s="392">
        <f t="shared" si="32"/>
        <v>0</v>
      </c>
      <c r="EE33" s="394"/>
      <c r="EF33" s="392">
        <f>'[1]COE commited funds to date'!AK36</f>
        <v>0</v>
      </c>
      <c r="EG33" s="392">
        <f>'[1]COE DISB 2019'!AK41</f>
        <v>0</v>
      </c>
      <c r="EH33" s="392">
        <f t="shared" si="33"/>
        <v>0</v>
      </c>
      <c r="EI33" s="394"/>
      <c r="EJ33" s="392">
        <f>'[1]COE commited funds to date'!AL36</f>
        <v>0</v>
      </c>
      <c r="EK33" s="392">
        <f>'[1]COE DISB 2019'!AL41</f>
        <v>0</v>
      </c>
      <c r="EL33" s="392">
        <f t="shared" si="34"/>
        <v>0</v>
      </c>
      <c r="EM33" s="394"/>
      <c r="EN33" s="392">
        <f>'[1]COE commited funds to date'!AM36</f>
        <v>0</v>
      </c>
      <c r="EO33" s="392">
        <f>'[1]COE DISB 2019'!AM41</f>
        <v>0</v>
      </c>
      <c r="EP33" s="392">
        <f t="shared" si="35"/>
        <v>0</v>
      </c>
      <c r="EQ33" s="394"/>
      <c r="ER33" s="392">
        <f>'[1]COE commited funds to date'!AN36</f>
        <v>500000000</v>
      </c>
      <c r="ES33" s="392">
        <f>'[1]COE DISB 2019'!AN41</f>
        <v>500000000</v>
      </c>
      <c r="ET33" s="437">
        <f t="shared" si="36"/>
        <v>0</v>
      </c>
      <c r="EV33" s="383">
        <f>'[1]COE commited funds to date'!AO36</f>
        <v>0</v>
      </c>
      <c r="EW33" s="383">
        <f>'[1]COE DISB 2019'!AO41</f>
        <v>0</v>
      </c>
      <c r="EX33" s="383">
        <f t="shared" si="38"/>
        <v>0</v>
      </c>
      <c r="EY33" s="380"/>
      <c r="EZ33" s="383">
        <f>'[1]COE commited funds to date'!AQ36</f>
        <v>0</v>
      </c>
      <c r="FA33" s="383">
        <f>'[1]COE DISB 2019'!AP41</f>
        <v>0</v>
      </c>
      <c r="FB33" s="383">
        <f t="shared" si="39"/>
        <v>0</v>
      </c>
      <c r="FC33" s="380"/>
      <c r="FD33" s="383">
        <f>'[1]COE commited funds to date'!AR36</f>
        <v>0</v>
      </c>
      <c r="FE33" s="383">
        <f>'[1]COE DISB 2019'!AQ41</f>
        <v>0</v>
      </c>
      <c r="FF33" s="383">
        <f t="shared" si="40"/>
        <v>0</v>
      </c>
      <c r="FG33" s="380"/>
      <c r="FH33" s="383">
        <f>'[1]COE commited funds to date'!AP36</f>
        <v>0</v>
      </c>
      <c r="FI33" s="383">
        <f>'[1]COE DISB 2019'!AR41</f>
        <v>0</v>
      </c>
      <c r="FJ33" s="383">
        <f t="shared" si="41"/>
        <v>0</v>
      </c>
      <c r="FK33" s="383">
        <f>'[1]COE commited funds to date'!AS36</f>
        <v>150000000</v>
      </c>
      <c r="FL33" s="383">
        <f>'[1]COE DISB 2019'!AS41</f>
        <v>150000000</v>
      </c>
      <c r="FM33" s="383">
        <f t="shared" si="42"/>
        <v>0</v>
      </c>
      <c r="FN33" s="380"/>
      <c r="FO33" s="383">
        <f>'[1]COE commited funds to date'!AT36</f>
        <v>200000000</v>
      </c>
      <c r="FP33" s="383">
        <f>'[1]COE DISB 2019'!AT41</f>
        <v>0</v>
      </c>
      <c r="FQ33" s="383">
        <f t="shared" si="43"/>
        <v>200000000</v>
      </c>
      <c r="FR33" s="380"/>
      <c r="FS33" s="383">
        <f>'[1]COE commited funds to date'!AU36</f>
        <v>75000000</v>
      </c>
      <c r="FT33" s="383">
        <f>'[1]COE DISB 2019'!AU41</f>
        <v>47250000</v>
      </c>
      <c r="FU33" s="383">
        <f t="shared" si="44"/>
        <v>27750000</v>
      </c>
      <c r="FV33" s="380"/>
      <c r="FW33" s="383">
        <f>'[1]COE commited funds to date'!AV36</f>
        <v>8700000</v>
      </c>
      <c r="FX33" s="383">
        <f>'[1]COE DISB 2019'!AV41</f>
        <v>0</v>
      </c>
      <c r="FY33" s="383">
        <f t="shared" si="45"/>
        <v>8700000</v>
      </c>
      <c r="FZ33" s="380"/>
      <c r="GA33" s="383">
        <f>'[1]COE commited funds to date'!AW36</f>
        <v>5000000</v>
      </c>
      <c r="GB33" s="383">
        <f>'[1]COE DISB 2019'!AW41</f>
        <v>0</v>
      </c>
      <c r="GC33" s="383">
        <f t="shared" si="46"/>
        <v>5000000</v>
      </c>
      <c r="GD33" s="380"/>
      <c r="GE33" s="383">
        <f>'[1]COE commited funds to date'!AX36</f>
        <v>20000000</v>
      </c>
      <c r="GF33" s="383">
        <f>'[1]COE DISB 2019'!AX41</f>
        <v>9540570</v>
      </c>
      <c r="GG33" s="383">
        <f t="shared" si="47"/>
        <v>10459430</v>
      </c>
      <c r="GH33" s="380"/>
      <c r="GI33" s="383">
        <f>'[1]COE commited funds to date'!AY36</f>
        <v>0</v>
      </c>
      <c r="GJ33" s="383">
        <f>'[1]COE DISB 2019'!AY41</f>
        <v>0</v>
      </c>
      <c r="GK33" s="383">
        <f t="shared" si="48"/>
        <v>0</v>
      </c>
      <c r="GL33" s="380"/>
      <c r="GM33" s="383">
        <f>'[1]COE commited funds to date'!AZ36</f>
        <v>116776600</v>
      </c>
      <c r="GN33" s="383">
        <f>'[1]COE DISB 2019'!AZ41</f>
        <v>0</v>
      </c>
      <c r="GO33" s="383">
        <f t="shared" si="49"/>
        <v>116776600</v>
      </c>
      <c r="GP33" s="380"/>
      <c r="GQ33" s="383">
        <f>'[1]COE commited funds to date'!BA36</f>
        <v>0</v>
      </c>
      <c r="GR33" s="383">
        <f>'[1]COE DISB 2019'!BA41</f>
        <v>0</v>
      </c>
      <c r="GS33" s="383">
        <f t="shared" si="50"/>
        <v>0</v>
      </c>
      <c r="GT33" s="380"/>
      <c r="GU33" s="383">
        <f>'[1]COE commited funds to date'!BB36</f>
        <v>0</v>
      </c>
      <c r="GV33" s="383">
        <f>'[1]COE DISB 2019'!BB41</f>
        <v>0</v>
      </c>
      <c r="GW33" s="383">
        <f t="shared" si="51"/>
        <v>0</v>
      </c>
      <c r="GX33" s="380"/>
      <c r="GY33" s="383">
        <f>'[1]COE commited funds to date'!BC36</f>
        <v>0</v>
      </c>
      <c r="GZ33" s="383">
        <f>'[1]COE DISB 2019'!BC41</f>
        <v>0</v>
      </c>
      <c r="HA33" s="383">
        <f t="shared" si="52"/>
        <v>0</v>
      </c>
      <c r="HB33" s="380"/>
      <c r="HC33" s="383">
        <f t="shared" si="53"/>
        <v>3099515375.4200001</v>
      </c>
      <c r="HD33" s="383">
        <f t="shared" si="53"/>
        <v>2730273856.52</v>
      </c>
      <c r="HE33" s="392">
        <f t="shared" si="54"/>
        <v>369241518.9000001</v>
      </c>
      <c r="HG33" s="383">
        <f t="shared" si="55"/>
        <v>953366775.5</v>
      </c>
      <c r="HH33" s="383">
        <f t="shared" si="55"/>
        <v>753366775.5</v>
      </c>
      <c r="HI33" s="383">
        <f t="shared" si="56"/>
        <v>200000000</v>
      </c>
      <c r="HK33" s="383">
        <f t="shared" si="57"/>
        <v>1750000000</v>
      </c>
      <c r="HL33" s="383">
        <f t="shared" si="57"/>
        <v>1750000000</v>
      </c>
      <c r="HM33" s="383">
        <f t="shared" si="58"/>
        <v>0</v>
      </c>
      <c r="HO33" s="383">
        <f t="shared" si="37"/>
        <v>671999.92</v>
      </c>
      <c r="HP33" s="383">
        <f t="shared" si="37"/>
        <v>671999.92</v>
      </c>
      <c r="HQ33" s="383">
        <f t="shared" si="59"/>
        <v>0</v>
      </c>
      <c r="HS33" s="383">
        <f t="shared" si="60"/>
        <v>40000000</v>
      </c>
      <c r="HT33" s="383">
        <f t="shared" si="60"/>
        <v>28985081.100000001</v>
      </c>
      <c r="HU33" s="383">
        <f t="shared" si="61"/>
        <v>11014918.899999999</v>
      </c>
      <c r="HW33" s="383">
        <f t="shared" si="62"/>
        <v>8700000</v>
      </c>
      <c r="HX33" s="383">
        <f t="shared" si="62"/>
        <v>0</v>
      </c>
      <c r="HY33" s="383">
        <f t="shared" si="63"/>
        <v>8700000</v>
      </c>
      <c r="IA33" s="387">
        <f t="shared" si="64"/>
        <v>5000000</v>
      </c>
      <c r="IB33" s="387">
        <f t="shared" si="64"/>
        <v>0</v>
      </c>
      <c r="IC33" s="387">
        <f t="shared" si="65"/>
        <v>5000000</v>
      </c>
      <c r="IE33" s="383">
        <f t="shared" si="66"/>
        <v>341776600</v>
      </c>
      <c r="IF33" s="383">
        <f t="shared" si="66"/>
        <v>197250000</v>
      </c>
      <c r="IG33" s="383">
        <f t="shared" si="67"/>
        <v>144526600</v>
      </c>
      <c r="II33" s="383">
        <f t="shared" si="68"/>
        <v>0</v>
      </c>
      <c r="IJ33" s="383">
        <f t="shared" si="68"/>
        <v>0</v>
      </c>
      <c r="IK33" s="383">
        <f t="shared" si="69"/>
        <v>0</v>
      </c>
    </row>
    <row r="34" spans="1:245" x14ac:dyDescent="0.25">
      <c r="A34" s="380">
        <v>31</v>
      </c>
      <c r="B34" s="380" t="s">
        <v>350</v>
      </c>
      <c r="C34" s="431" t="s">
        <v>65</v>
      </c>
      <c r="D34" s="392">
        <v>18318965.5</v>
      </c>
      <c r="E34" s="392">
        <f>'[1]COE DISB 2019'!D42</f>
        <v>18318965.5</v>
      </c>
      <c r="F34" s="383">
        <f t="shared" si="0"/>
        <v>0</v>
      </c>
      <c r="H34" s="392">
        <v>8000000</v>
      </c>
      <c r="I34" s="392">
        <f>'[1]COE DISB 2019'!E42</f>
        <v>8000000</v>
      </c>
      <c r="J34" s="383">
        <f t="shared" si="1"/>
        <v>0</v>
      </c>
      <c r="L34" s="392">
        <v>500000</v>
      </c>
      <c r="M34" s="392">
        <f>'[1]COE DISB 2019'!F42</f>
        <v>500000</v>
      </c>
      <c r="N34" s="383">
        <f t="shared" si="2"/>
        <v>0</v>
      </c>
      <c r="P34" s="353">
        <v>16000000</v>
      </c>
      <c r="Q34" s="392">
        <f>'[1]COE DISB 2019'!G42</f>
        <v>16000000</v>
      </c>
      <c r="R34" s="383">
        <f t="shared" si="3"/>
        <v>0</v>
      </c>
      <c r="T34" s="385">
        <v>1220000</v>
      </c>
      <c r="U34" s="392">
        <f>'[1]COE DISB 2019'!H42</f>
        <v>1220000</v>
      </c>
      <c r="V34" s="383">
        <f t="shared" si="4"/>
        <v>0</v>
      </c>
      <c r="X34" s="353">
        <v>0</v>
      </c>
      <c r="Y34" s="392">
        <f>'[1]COE DISB 2019'!I42</f>
        <v>0</v>
      </c>
      <c r="Z34" s="383">
        <f t="shared" si="5"/>
        <v>0</v>
      </c>
      <c r="AB34" s="385">
        <v>20000000</v>
      </c>
      <c r="AC34" s="392">
        <f>'[1]COE DISB 2019'!J42</f>
        <v>20000000</v>
      </c>
      <c r="AD34" s="383">
        <f t="shared" si="6"/>
        <v>0</v>
      </c>
      <c r="AF34" s="353">
        <v>0</v>
      </c>
      <c r="AG34" s="392">
        <f>'[1]COE DISB 2019'!K42</f>
        <v>0</v>
      </c>
      <c r="AH34" s="383">
        <f t="shared" si="7"/>
        <v>0</v>
      </c>
      <c r="AJ34" s="385">
        <v>10000000</v>
      </c>
      <c r="AK34" s="392">
        <f>'[1]COE DISB 2019'!L42</f>
        <v>10000000</v>
      </c>
      <c r="AL34" s="383">
        <f t="shared" si="8"/>
        <v>0</v>
      </c>
      <c r="AN34" s="392">
        <v>10000000</v>
      </c>
      <c r="AO34" s="392">
        <f>'[1]COE DISB 2019'!M42</f>
        <v>10000000</v>
      </c>
      <c r="AP34" s="383">
        <f t="shared" si="9"/>
        <v>0</v>
      </c>
      <c r="AR34" s="392">
        <v>15000000</v>
      </c>
      <c r="AS34" s="392">
        <f>'[1]COE DISB 2019'!N42</f>
        <v>15000000</v>
      </c>
      <c r="AT34" s="383">
        <f t="shared" si="10"/>
        <v>0</v>
      </c>
      <c r="AV34" s="392">
        <v>0</v>
      </c>
      <c r="AW34" s="432">
        <f>'[1]COE DISB 2019'!O42</f>
        <v>0</v>
      </c>
      <c r="AX34" s="392">
        <f t="shared" si="11"/>
        <v>0</v>
      </c>
      <c r="AZ34" s="392">
        <v>18000000</v>
      </c>
      <c r="BA34" s="392">
        <f>'[1]COE DISB 2019'!P42</f>
        <v>18000000</v>
      </c>
      <c r="BB34" s="392">
        <f t="shared" si="12"/>
        <v>0</v>
      </c>
      <c r="BD34" s="392">
        <v>23400000</v>
      </c>
      <c r="BE34" s="392">
        <f>'[1]COE DISB 2019'!Q42</f>
        <v>23400000</v>
      </c>
      <c r="BF34" s="392">
        <f t="shared" si="13"/>
        <v>0</v>
      </c>
      <c r="BH34" s="392">
        <v>0</v>
      </c>
      <c r="BI34" s="392">
        <f>'[1]COE DISB 2019'!R42</f>
        <v>0</v>
      </c>
      <c r="BJ34" s="392">
        <f t="shared" si="14"/>
        <v>0</v>
      </c>
      <c r="BL34" s="392">
        <v>43000000</v>
      </c>
      <c r="BM34" s="392">
        <f>'[1]COE DISB 2019'!S42</f>
        <v>43000000</v>
      </c>
      <c r="BN34" s="392">
        <f t="shared" si="15"/>
        <v>0</v>
      </c>
      <c r="BP34" s="392">
        <v>37160000</v>
      </c>
      <c r="BQ34" s="392">
        <f>'[1]COE DISB 2019'!T42</f>
        <v>37160000</v>
      </c>
      <c r="BR34" s="392">
        <f t="shared" si="16"/>
        <v>0</v>
      </c>
      <c r="BT34" s="392">
        <v>0</v>
      </c>
      <c r="BU34" s="392">
        <f>'[1]COE DISB 2019'!U42</f>
        <v>0</v>
      </c>
      <c r="BV34" s="392">
        <f t="shared" si="17"/>
        <v>0</v>
      </c>
      <c r="BX34" s="392">
        <v>112670000</v>
      </c>
      <c r="BY34" s="392">
        <f>'[1]COE DISB 2019'!V42</f>
        <v>112670000</v>
      </c>
      <c r="BZ34" s="392">
        <f t="shared" si="18"/>
        <v>0</v>
      </c>
      <c r="CB34" s="392">
        <f>'[1]COE commited funds to date'!W37</f>
        <v>0</v>
      </c>
      <c r="CC34" s="392">
        <f>'[1]COE DISB 2019'!W42</f>
        <v>0</v>
      </c>
      <c r="CD34" s="392">
        <f t="shared" si="19"/>
        <v>0</v>
      </c>
      <c r="CF34" s="392">
        <f>'[1]COE commited funds to date'!X37</f>
        <v>0</v>
      </c>
      <c r="CG34" s="392">
        <f>'[1]COE DISB 2019'!X42</f>
        <v>0</v>
      </c>
      <c r="CH34" s="392">
        <f t="shared" si="20"/>
        <v>0</v>
      </c>
      <c r="CJ34" s="392">
        <v>0</v>
      </c>
      <c r="CK34" s="392">
        <f>'[1]COE DISB 2019'!Y42</f>
        <v>0</v>
      </c>
      <c r="CL34" s="392">
        <f t="shared" si="21"/>
        <v>0</v>
      </c>
      <c r="CN34" s="392">
        <v>0</v>
      </c>
      <c r="CO34" s="392">
        <f>'[1]COE DISB 2019'!Z42</f>
        <v>0</v>
      </c>
      <c r="CP34" s="392">
        <f t="shared" si="22"/>
        <v>0</v>
      </c>
      <c r="CR34" s="392">
        <v>0</v>
      </c>
      <c r="CS34" s="392">
        <f>'[1]COE DISB 2019'!AA42</f>
        <v>0</v>
      </c>
      <c r="CT34" s="392">
        <f t="shared" si="23"/>
        <v>0</v>
      </c>
      <c r="CV34" s="392">
        <v>0</v>
      </c>
      <c r="CW34" s="392">
        <f>'[1]COE DISB 2019'!AB42</f>
        <v>0</v>
      </c>
      <c r="CX34" s="392">
        <f t="shared" si="24"/>
        <v>0</v>
      </c>
      <c r="CZ34" s="392">
        <f>'[1]COE commited funds to date'!AC37</f>
        <v>0</v>
      </c>
      <c r="DA34" s="392">
        <f>'[1]COE DISB 2019'!AC42</f>
        <v>0</v>
      </c>
      <c r="DB34" s="392">
        <f t="shared" si="25"/>
        <v>0</v>
      </c>
      <c r="DC34" s="394"/>
      <c r="DD34" s="392">
        <v>215000000</v>
      </c>
      <c r="DE34" s="392">
        <f>'[1]COE DISB 2019'!AD42</f>
        <v>215000000</v>
      </c>
      <c r="DF34" s="392">
        <f t="shared" si="26"/>
        <v>0</v>
      </c>
      <c r="DG34" s="394"/>
      <c r="DH34" s="392">
        <v>10000000</v>
      </c>
      <c r="DI34" s="392">
        <f>'[1]COE DISB 2019'!AE42</f>
        <v>10000000</v>
      </c>
      <c r="DJ34" s="392">
        <f>DH34-DI34</f>
        <v>0</v>
      </c>
      <c r="DK34" s="394"/>
      <c r="DL34" s="392">
        <f>'[1]COE commited funds to date'!AD37</f>
        <v>0</v>
      </c>
      <c r="DM34" s="392">
        <f>'[1]COE DISB 2019'!AF42</f>
        <v>0</v>
      </c>
      <c r="DN34" s="392">
        <f t="shared" si="28"/>
        <v>0</v>
      </c>
      <c r="DO34" s="394"/>
      <c r="DP34" s="392">
        <v>0</v>
      </c>
      <c r="DQ34" s="392">
        <f>'[1]COE DISB 2019'!AG42</f>
        <v>0</v>
      </c>
      <c r="DR34" s="392">
        <f t="shared" si="29"/>
        <v>0</v>
      </c>
      <c r="DS34" s="394"/>
      <c r="DT34" s="397">
        <v>0</v>
      </c>
      <c r="DU34" s="392">
        <f>'[1]COE DISB 2019'!AH42</f>
        <v>0</v>
      </c>
      <c r="DV34" s="392">
        <f t="shared" si="30"/>
        <v>0</v>
      </c>
      <c r="DW34" s="394"/>
      <c r="DX34" s="392">
        <f>'[1]COE commited funds to date'!AI37</f>
        <v>100000000</v>
      </c>
      <c r="DY34" s="392">
        <f>'[1]COE DISB 2019'!AI42</f>
        <v>100000000</v>
      </c>
      <c r="DZ34" s="392">
        <f t="shared" si="31"/>
        <v>0</v>
      </c>
      <c r="EA34" s="394"/>
      <c r="EB34" s="392">
        <f>'[1]COE commited funds to date'!AJ37</f>
        <v>0</v>
      </c>
      <c r="EC34" s="392">
        <f>'[1]COE DISB 2019'!AJ42</f>
        <v>0</v>
      </c>
      <c r="ED34" s="392">
        <f t="shared" si="32"/>
        <v>0</v>
      </c>
      <c r="EE34" s="394"/>
      <c r="EF34" s="392">
        <f>'[1]COE commited funds to date'!AK37</f>
        <v>0</v>
      </c>
      <c r="EG34" s="392">
        <f>'[1]COE DISB 2019'!AK42</f>
        <v>0</v>
      </c>
      <c r="EH34" s="392">
        <f t="shared" si="33"/>
        <v>0</v>
      </c>
      <c r="EI34" s="394"/>
      <c r="EJ34" s="392">
        <f>'[1]COE commited funds to date'!AL37</f>
        <v>0</v>
      </c>
      <c r="EK34" s="392">
        <f>'[1]COE DISB 2019'!AL42</f>
        <v>0</v>
      </c>
      <c r="EL34" s="392">
        <f t="shared" si="34"/>
        <v>0</v>
      </c>
      <c r="EM34" s="394"/>
      <c r="EN34" s="392">
        <f>'[1]COE commited funds to date'!AM37</f>
        <v>0</v>
      </c>
      <c r="EO34" s="392">
        <f>'[1]COE DISB 2019'!AM42</f>
        <v>0</v>
      </c>
      <c r="EP34" s="392">
        <f t="shared" si="35"/>
        <v>0</v>
      </c>
      <c r="EQ34" s="394"/>
      <c r="ER34" s="392">
        <f>'[1]COE commited funds to date'!AN37</f>
        <v>0</v>
      </c>
      <c r="ES34" s="392">
        <f>'[1]COE DISB 2019'!AN42</f>
        <v>0</v>
      </c>
      <c r="ET34" s="392">
        <f t="shared" si="36"/>
        <v>0</v>
      </c>
      <c r="EV34" s="383">
        <f>'[1]COE commited funds to date'!AO37</f>
        <v>371067000</v>
      </c>
      <c r="EW34" s="383">
        <f>'[1]COE DISB 2019'!AO42</f>
        <v>215218860</v>
      </c>
      <c r="EX34" s="383">
        <f t="shared" si="38"/>
        <v>155848140</v>
      </c>
      <c r="EY34" s="380"/>
      <c r="EZ34" s="383">
        <f>'[1]COE commited funds to date'!AQ37</f>
        <v>12000000</v>
      </c>
      <c r="FA34" s="383">
        <f>'[1]COE DISB 2019'!AP42</f>
        <v>11960800</v>
      </c>
      <c r="FB34" s="383">
        <f t="shared" si="39"/>
        <v>39200</v>
      </c>
      <c r="FC34" s="380"/>
      <c r="FD34" s="383">
        <f>'[1]COE commited funds to date'!AR37</f>
        <v>10000000</v>
      </c>
      <c r="FE34" s="383">
        <f>'[1]COE DISB 2019'!AQ42</f>
        <v>0</v>
      </c>
      <c r="FF34" s="383">
        <f t="shared" si="40"/>
        <v>10000000</v>
      </c>
      <c r="FG34" s="380"/>
      <c r="FH34" s="383">
        <f>'[1]COE commited funds to date'!AP37</f>
        <v>8000000</v>
      </c>
      <c r="FI34" s="383">
        <f>'[1]COE DISB 2019'!AR42</f>
        <v>6800000</v>
      </c>
      <c r="FJ34" s="383">
        <f t="shared" si="41"/>
        <v>1200000</v>
      </c>
      <c r="FK34" s="383">
        <f>'[1]COE commited funds to date'!AS37</f>
        <v>0</v>
      </c>
      <c r="FL34" s="383">
        <f>'[1]COE DISB 2019'!AS42</f>
        <v>0</v>
      </c>
      <c r="FM34" s="383">
        <f t="shared" si="42"/>
        <v>0</v>
      </c>
      <c r="FN34" s="380"/>
      <c r="FO34" s="383">
        <f>'[1]COE commited funds to date'!AT37</f>
        <v>0</v>
      </c>
      <c r="FP34" s="383">
        <f>'[1]COE DISB 2019'!AT42</f>
        <v>0</v>
      </c>
      <c r="FQ34" s="383">
        <f t="shared" si="43"/>
        <v>0</v>
      </c>
      <c r="FR34" s="380"/>
      <c r="FS34" s="383">
        <f>'[1]COE commited funds to date'!AU37</f>
        <v>75000000</v>
      </c>
      <c r="FT34" s="383">
        <f>'[1]COE DISB 2019'!AU42</f>
        <v>63750000</v>
      </c>
      <c r="FU34" s="383">
        <f t="shared" si="44"/>
        <v>11250000</v>
      </c>
      <c r="FV34" s="380"/>
      <c r="FW34" s="383">
        <f>'[1]COE commited funds to date'!AV37</f>
        <v>0</v>
      </c>
      <c r="FX34" s="383">
        <f>'[1]COE DISB 2019'!AV42</f>
        <v>0</v>
      </c>
      <c r="FY34" s="383">
        <f t="shared" si="45"/>
        <v>0</v>
      </c>
      <c r="FZ34" s="380"/>
      <c r="GA34" s="383">
        <f>'[1]COE commited funds to date'!AW37</f>
        <v>0</v>
      </c>
      <c r="GB34" s="383">
        <f>'[1]COE DISB 2019'!AW42</f>
        <v>0</v>
      </c>
      <c r="GC34" s="383">
        <f t="shared" si="46"/>
        <v>0</v>
      </c>
      <c r="GD34" s="380"/>
      <c r="GE34" s="383">
        <f>'[1]COE commited funds to date'!AX37</f>
        <v>0</v>
      </c>
      <c r="GF34" s="383">
        <f>'[1]COE DISB 2019'!AX42</f>
        <v>0</v>
      </c>
      <c r="GG34" s="383">
        <f t="shared" si="47"/>
        <v>0</v>
      </c>
      <c r="GH34" s="380"/>
      <c r="GI34" s="383">
        <f>'[1]COE commited funds to date'!AY37</f>
        <v>0</v>
      </c>
      <c r="GJ34" s="383">
        <f>'[1]COE DISB 2019'!AY42</f>
        <v>0</v>
      </c>
      <c r="GK34" s="383">
        <f t="shared" si="48"/>
        <v>0</v>
      </c>
      <c r="GL34" s="380"/>
      <c r="GM34" s="383">
        <f>'[1]COE commited funds to date'!AZ37</f>
        <v>116776600</v>
      </c>
      <c r="GN34" s="383">
        <f>'[1]COE DISB 2019'!AZ42</f>
        <v>0</v>
      </c>
      <c r="GO34" s="383">
        <f t="shared" si="49"/>
        <v>116776600</v>
      </c>
      <c r="GP34" s="380"/>
      <c r="GQ34" s="383">
        <f>'[1]COE commited funds to date'!BA37</f>
        <v>0</v>
      </c>
      <c r="GR34" s="383">
        <f>'[1]COE DISB 2019'!BA42</f>
        <v>0</v>
      </c>
      <c r="GS34" s="383">
        <f t="shared" si="50"/>
        <v>0</v>
      </c>
      <c r="GT34" s="380"/>
      <c r="GU34" s="383">
        <f>'[1]COE commited funds to date'!BB37</f>
        <v>0</v>
      </c>
      <c r="GV34" s="383">
        <f>'[1]COE DISB 2019'!BB42</f>
        <v>0</v>
      </c>
      <c r="GW34" s="383">
        <f t="shared" si="51"/>
        <v>0</v>
      </c>
      <c r="GX34" s="380"/>
      <c r="GY34" s="383">
        <f>'[1]COE commited funds to date'!BC37</f>
        <v>0</v>
      </c>
      <c r="GZ34" s="383">
        <f>'[1]COE DISB 2019'!BC42</f>
        <v>0</v>
      </c>
      <c r="HA34" s="383">
        <f t="shared" si="52"/>
        <v>0</v>
      </c>
      <c r="HB34" s="380"/>
      <c r="HC34" s="383">
        <f t="shared" si="53"/>
        <v>1251112565.5</v>
      </c>
      <c r="HD34" s="383">
        <f t="shared" si="53"/>
        <v>955998625.5</v>
      </c>
      <c r="HE34" s="392">
        <f t="shared" si="54"/>
        <v>295113940</v>
      </c>
      <c r="HG34" s="383">
        <f t="shared" si="55"/>
        <v>917615965.5</v>
      </c>
      <c r="HH34" s="383">
        <f t="shared" si="55"/>
        <v>761767825.5</v>
      </c>
      <c r="HI34" s="383">
        <f t="shared" si="56"/>
        <v>155848140</v>
      </c>
      <c r="HK34" s="383">
        <f t="shared" si="57"/>
        <v>100000000</v>
      </c>
      <c r="HL34" s="383">
        <f t="shared" si="57"/>
        <v>100000000</v>
      </c>
      <c r="HM34" s="383">
        <f t="shared" si="58"/>
        <v>0</v>
      </c>
      <c r="HO34" s="383">
        <f t="shared" si="37"/>
        <v>1720000</v>
      </c>
      <c r="HP34" s="383">
        <f t="shared" si="37"/>
        <v>1720000</v>
      </c>
      <c r="HQ34" s="383">
        <f t="shared" si="59"/>
        <v>0</v>
      </c>
      <c r="HS34" s="383">
        <f t="shared" si="60"/>
        <v>22000000</v>
      </c>
      <c r="HT34" s="383">
        <f t="shared" si="60"/>
        <v>21960800</v>
      </c>
      <c r="HU34" s="383">
        <f t="shared" si="61"/>
        <v>39200</v>
      </c>
      <c r="HW34" s="383">
        <f t="shared" si="62"/>
        <v>8000000</v>
      </c>
      <c r="HX34" s="383">
        <f t="shared" si="62"/>
        <v>6800000</v>
      </c>
      <c r="HY34" s="383">
        <f t="shared" si="63"/>
        <v>1200000</v>
      </c>
      <c r="IA34" s="387">
        <f t="shared" si="64"/>
        <v>10000000</v>
      </c>
      <c r="IB34" s="387">
        <f t="shared" si="64"/>
        <v>0</v>
      </c>
      <c r="IC34" s="387">
        <f t="shared" si="65"/>
        <v>10000000</v>
      </c>
      <c r="IE34" s="383">
        <f t="shared" si="66"/>
        <v>191776600</v>
      </c>
      <c r="IF34" s="383">
        <f t="shared" si="66"/>
        <v>63750000</v>
      </c>
      <c r="IG34" s="383">
        <f t="shared" si="67"/>
        <v>128026600</v>
      </c>
      <c r="II34" s="383">
        <f t="shared" si="68"/>
        <v>0</v>
      </c>
      <c r="IJ34" s="383">
        <f t="shared" si="68"/>
        <v>0</v>
      </c>
      <c r="IK34" s="383">
        <f t="shared" si="69"/>
        <v>0</v>
      </c>
    </row>
    <row r="35" spans="1:245" x14ac:dyDescent="0.25">
      <c r="A35" s="380">
        <v>32</v>
      </c>
      <c r="B35" s="380" t="s">
        <v>351</v>
      </c>
      <c r="C35" s="431"/>
      <c r="D35" s="392">
        <v>18318965.5</v>
      </c>
      <c r="E35" s="392">
        <f>'[1]COE DISB 2019'!D43</f>
        <v>18318965.5</v>
      </c>
      <c r="F35" s="383">
        <f t="shared" si="0"/>
        <v>0</v>
      </c>
      <c r="H35" s="392">
        <v>8000000</v>
      </c>
      <c r="I35" s="392">
        <f>'[1]COE DISB 2019'!E43</f>
        <v>8000000</v>
      </c>
      <c r="J35" s="383">
        <f t="shared" si="1"/>
        <v>0</v>
      </c>
      <c r="L35" s="392">
        <v>500000</v>
      </c>
      <c r="M35" s="392">
        <f>'[1]COE DISB 2019'!F43</f>
        <v>500000</v>
      </c>
      <c r="N35" s="383">
        <f t="shared" si="2"/>
        <v>0</v>
      </c>
      <c r="P35" s="353">
        <v>16000000</v>
      </c>
      <c r="Q35" s="392">
        <f>'[1]COE DISB 2019'!G43</f>
        <v>16000000</v>
      </c>
      <c r="R35" s="383">
        <f t="shared" si="3"/>
        <v>0</v>
      </c>
      <c r="T35" s="385">
        <v>534000</v>
      </c>
      <c r="U35" s="392">
        <f>'[1]COE DISB 2019'!H43</f>
        <v>534000</v>
      </c>
      <c r="V35" s="383">
        <f t="shared" si="4"/>
        <v>0</v>
      </c>
      <c r="X35" s="353">
        <v>0</v>
      </c>
      <c r="Y35" s="392">
        <f>'[1]COE DISB 2019'!I43</f>
        <v>0</v>
      </c>
      <c r="Z35" s="383">
        <f t="shared" si="5"/>
        <v>0</v>
      </c>
      <c r="AB35" s="385">
        <v>20000000</v>
      </c>
      <c r="AC35" s="392">
        <f>'[1]COE DISB 2019'!J43</f>
        <v>20000000</v>
      </c>
      <c r="AD35" s="383">
        <f t="shared" si="6"/>
        <v>0</v>
      </c>
      <c r="AF35" s="353">
        <v>0</v>
      </c>
      <c r="AG35" s="392">
        <f>'[1]COE DISB 2019'!K43</f>
        <v>0</v>
      </c>
      <c r="AH35" s="383">
        <f t="shared" si="7"/>
        <v>0</v>
      </c>
      <c r="AJ35" s="385">
        <v>10000000</v>
      </c>
      <c r="AK35" s="392">
        <f>'[1]COE DISB 2019'!L43</f>
        <v>10000000</v>
      </c>
      <c r="AL35" s="383">
        <f t="shared" si="8"/>
        <v>0</v>
      </c>
      <c r="AN35" s="392">
        <v>10000000</v>
      </c>
      <c r="AO35" s="392">
        <f>'[1]COE DISB 2019'!M43</f>
        <v>10000000</v>
      </c>
      <c r="AP35" s="383">
        <f t="shared" si="9"/>
        <v>0</v>
      </c>
      <c r="AR35" s="392">
        <v>15000000</v>
      </c>
      <c r="AS35" s="392">
        <f>'[1]COE DISB 2019'!N43</f>
        <v>15000000</v>
      </c>
      <c r="AT35" s="383">
        <f t="shared" si="10"/>
        <v>0</v>
      </c>
      <c r="AV35" s="392">
        <v>0</v>
      </c>
      <c r="AW35" s="432">
        <f>'[1]COE DISB 2019'!O43</f>
        <v>0</v>
      </c>
      <c r="AX35" s="392">
        <f t="shared" si="11"/>
        <v>0</v>
      </c>
      <c r="AZ35" s="392">
        <v>18000000</v>
      </c>
      <c r="BA35" s="392">
        <f>'[1]COE DISB 2019'!P43</f>
        <v>18000000</v>
      </c>
      <c r="BB35" s="392">
        <f t="shared" si="12"/>
        <v>0</v>
      </c>
      <c r="BD35" s="392">
        <v>23400000</v>
      </c>
      <c r="BE35" s="392">
        <f>'[1]COE DISB 2019'!Q43</f>
        <v>23400000</v>
      </c>
      <c r="BF35" s="392">
        <f t="shared" si="13"/>
        <v>0</v>
      </c>
      <c r="BH35" s="392">
        <v>0</v>
      </c>
      <c r="BI35" s="392">
        <f>'[1]COE DISB 2019'!R43</f>
        <v>0</v>
      </c>
      <c r="BJ35" s="392">
        <f t="shared" si="14"/>
        <v>0</v>
      </c>
      <c r="BL35" s="392">
        <v>43000000</v>
      </c>
      <c r="BM35" s="392">
        <f>'[1]COE DISB 2019'!S43</f>
        <v>43000000</v>
      </c>
      <c r="BN35" s="392">
        <f t="shared" si="15"/>
        <v>0</v>
      </c>
      <c r="BP35" s="392">
        <v>37160000</v>
      </c>
      <c r="BQ35" s="392">
        <f>'[1]COE DISB 2019'!T43</f>
        <v>37160000</v>
      </c>
      <c r="BR35" s="392">
        <f t="shared" si="16"/>
        <v>0</v>
      </c>
      <c r="BT35" s="392">
        <v>0</v>
      </c>
      <c r="BU35" s="392">
        <f>'[1]COE DISB 2019'!U43</f>
        <v>0</v>
      </c>
      <c r="BV35" s="392">
        <f t="shared" si="17"/>
        <v>0</v>
      </c>
      <c r="BX35" s="392">
        <v>0</v>
      </c>
      <c r="BY35" s="392">
        <f>'[1]COE DISB 2019'!V43</f>
        <v>0</v>
      </c>
      <c r="BZ35" s="392">
        <f t="shared" si="18"/>
        <v>0</v>
      </c>
      <c r="CB35" s="392">
        <f>'[1]COE commited funds to date'!W38</f>
        <v>50000000</v>
      </c>
      <c r="CC35" s="392">
        <f>'[1]COE DISB 2019'!W43</f>
        <v>50000000</v>
      </c>
      <c r="CD35" s="392">
        <f t="shared" si="19"/>
        <v>0</v>
      </c>
      <c r="CF35" s="392">
        <f>'[1]COE commited funds to date'!X38</f>
        <v>125000000</v>
      </c>
      <c r="CG35" s="392">
        <f>'[1]COE DISB 2019'!X43</f>
        <v>125000000</v>
      </c>
      <c r="CH35" s="392">
        <f t="shared" si="20"/>
        <v>0</v>
      </c>
      <c r="CJ35" s="392">
        <v>10000000</v>
      </c>
      <c r="CK35" s="392">
        <f>'[1]COE DISB 2019'!Y43</f>
        <v>10000000</v>
      </c>
      <c r="CL35" s="392">
        <f t="shared" si="21"/>
        <v>0</v>
      </c>
      <c r="CN35" s="392">
        <v>0</v>
      </c>
      <c r="CO35" s="392">
        <f>'[1]COE DISB 2019'!Z43</f>
        <v>0</v>
      </c>
      <c r="CP35" s="392">
        <f t="shared" si="22"/>
        <v>0</v>
      </c>
      <c r="CR35" s="392">
        <v>0</v>
      </c>
      <c r="CS35" s="392">
        <f>'[1]COE DISB 2019'!AA43</f>
        <v>0</v>
      </c>
      <c r="CT35" s="392">
        <f t="shared" si="23"/>
        <v>0</v>
      </c>
      <c r="CV35" s="392">
        <v>0</v>
      </c>
      <c r="CW35" s="392">
        <f>'[1]COE DISB 2019'!AB43</f>
        <v>0</v>
      </c>
      <c r="CX35" s="392">
        <f t="shared" si="24"/>
        <v>0</v>
      </c>
      <c r="CZ35" s="392">
        <f>'[1]COE commited funds to date'!AC38</f>
        <v>0</v>
      </c>
      <c r="DA35" s="392">
        <f>'[1]COE DISB 2019'!AC43</f>
        <v>0</v>
      </c>
      <c r="DB35" s="392">
        <f t="shared" si="25"/>
        <v>0</v>
      </c>
      <c r="DC35" s="394"/>
      <c r="DD35" s="392">
        <v>0</v>
      </c>
      <c r="DE35" s="392">
        <f>'[1]COE DISB 2019'!AD43</f>
        <v>0</v>
      </c>
      <c r="DF35" s="392">
        <f t="shared" si="26"/>
        <v>0</v>
      </c>
      <c r="DG35" s="394"/>
      <c r="DH35" s="397">
        <v>0</v>
      </c>
      <c r="DI35" s="397">
        <f>'[1]COE DISB 2019'!AE43</f>
        <v>0</v>
      </c>
      <c r="DJ35" s="397">
        <v>0</v>
      </c>
      <c r="DK35" s="394"/>
      <c r="DL35" s="392">
        <f>'[1]COE commited funds to date'!AD38</f>
        <v>100000000</v>
      </c>
      <c r="DM35" s="392">
        <f>'[1]COE DISB 2019'!AF43</f>
        <v>100000000</v>
      </c>
      <c r="DN35" s="392">
        <f t="shared" si="28"/>
        <v>0</v>
      </c>
      <c r="DO35" s="394"/>
      <c r="DP35" s="392">
        <v>325000000</v>
      </c>
      <c r="DQ35" s="392">
        <f>'[1]COE DISB 2019'!AG43</f>
        <v>276250000</v>
      </c>
      <c r="DR35" s="392">
        <f t="shared" si="29"/>
        <v>48750000</v>
      </c>
      <c r="DS35" s="394"/>
      <c r="DT35" s="397">
        <v>10000000</v>
      </c>
      <c r="DU35" s="392">
        <f>'[1]COE DISB 2019'!AH43</f>
        <v>10000000</v>
      </c>
      <c r="DV35" s="392">
        <f t="shared" si="30"/>
        <v>0</v>
      </c>
      <c r="DW35" s="394"/>
      <c r="DX35" s="392">
        <f>'[1]COE commited funds to date'!AI38</f>
        <v>45000000</v>
      </c>
      <c r="DY35" s="392">
        <f>'[1]COE DISB 2019'!AI43</f>
        <v>45000000</v>
      </c>
      <c r="DZ35" s="392">
        <f t="shared" si="31"/>
        <v>0</v>
      </c>
      <c r="EA35" s="394"/>
      <c r="EB35" s="392">
        <f>'[1]COE commited funds to date'!AJ38</f>
        <v>0</v>
      </c>
      <c r="EC35" s="392">
        <f>'[1]COE DISB 2019'!AJ43</f>
        <v>0</v>
      </c>
      <c r="ED35" s="392">
        <f t="shared" si="32"/>
        <v>0</v>
      </c>
      <c r="EE35" s="394"/>
      <c r="EF35" s="392">
        <f>'[1]COE commited funds to date'!AK38</f>
        <v>0</v>
      </c>
      <c r="EG35" s="392">
        <f>'[1]COE DISB 2019'!AK43</f>
        <v>0</v>
      </c>
      <c r="EH35" s="392">
        <f t="shared" si="33"/>
        <v>0</v>
      </c>
      <c r="EI35" s="394"/>
      <c r="EJ35" s="392">
        <f>'[1]COE commited funds to date'!AL38</f>
        <v>0</v>
      </c>
      <c r="EK35" s="392">
        <f>'[1]COE DISB 2019'!AL43</f>
        <v>0</v>
      </c>
      <c r="EL35" s="392">
        <f t="shared" si="34"/>
        <v>0</v>
      </c>
      <c r="EM35" s="394"/>
      <c r="EN35" s="392">
        <f>'[1]COE commited funds to date'!AM38</f>
        <v>0</v>
      </c>
      <c r="EO35" s="392">
        <f>'[1]COE DISB 2019'!AM43</f>
        <v>0</v>
      </c>
      <c r="EP35" s="392">
        <f t="shared" si="35"/>
        <v>0</v>
      </c>
      <c r="EQ35" s="394"/>
      <c r="ER35" s="392">
        <f>'[1]COE commited funds to date'!AN38</f>
        <v>2100000000</v>
      </c>
      <c r="ES35" s="392">
        <f>'[1]COE DISB 2019'!AN43</f>
        <v>1950000000</v>
      </c>
      <c r="ET35" s="392">
        <f t="shared" si="36"/>
        <v>150000000</v>
      </c>
      <c r="EV35" s="383">
        <f>'[1]COE commited funds to date'!AO38</f>
        <v>0</v>
      </c>
      <c r="EW35" s="383">
        <f>'[1]COE DISB 2019'!AO43</f>
        <v>0</v>
      </c>
      <c r="EX35" s="383">
        <f t="shared" si="38"/>
        <v>0</v>
      </c>
      <c r="EY35" s="380"/>
      <c r="EZ35" s="383">
        <f>'[1]COE commited funds to date'!AQ38</f>
        <v>0</v>
      </c>
      <c r="FA35" s="383">
        <f>'[1]COE DISB 2019'!AP43</f>
        <v>0</v>
      </c>
      <c r="FB35" s="383">
        <f t="shared" si="39"/>
        <v>0</v>
      </c>
      <c r="FC35" s="380"/>
      <c r="FD35" s="383">
        <f>'[1]COE commited funds to date'!AR38</f>
        <v>0</v>
      </c>
      <c r="FE35" s="383">
        <f>'[1]COE DISB 2019'!AQ43</f>
        <v>0</v>
      </c>
      <c r="FF35" s="383">
        <f t="shared" si="40"/>
        <v>0</v>
      </c>
      <c r="FG35" s="380"/>
      <c r="FH35" s="383">
        <f>'[1]COE commited funds to date'!AP38</f>
        <v>0</v>
      </c>
      <c r="FI35" s="383">
        <f>'[1]COE DISB 2019'!AR43</f>
        <v>0</v>
      </c>
      <c r="FJ35" s="383">
        <f t="shared" si="41"/>
        <v>0</v>
      </c>
      <c r="FK35" s="383">
        <f>'[1]COE commited funds to date'!AS38</f>
        <v>0</v>
      </c>
      <c r="FL35" s="383">
        <f>'[1]COE DISB 2019'!AS43</f>
        <v>0</v>
      </c>
      <c r="FM35" s="383">
        <f t="shared" si="42"/>
        <v>0</v>
      </c>
      <c r="FN35" s="380"/>
      <c r="FO35" s="383">
        <f>'[1]COE commited funds to date'!AT38</f>
        <v>200000000</v>
      </c>
      <c r="FP35" s="383">
        <f>'[1]COE DISB 2019'!AT43</f>
        <v>0</v>
      </c>
      <c r="FQ35" s="383">
        <f t="shared" si="43"/>
        <v>200000000</v>
      </c>
      <c r="FR35" s="380"/>
      <c r="FS35" s="383">
        <f>'[1]COE commited funds to date'!AU38</f>
        <v>75000000</v>
      </c>
      <c r="FT35" s="383">
        <f>'[1]COE DISB 2019'!AU43</f>
        <v>51750000</v>
      </c>
      <c r="FU35" s="383">
        <f t="shared" si="44"/>
        <v>23250000</v>
      </c>
      <c r="FV35" s="380"/>
      <c r="FW35" s="383">
        <f>'[1]COE commited funds to date'!AV38</f>
        <v>8700000</v>
      </c>
      <c r="FX35" s="383">
        <f>'[1]COE DISB 2019'!AV43</f>
        <v>0</v>
      </c>
      <c r="FY35" s="383">
        <f t="shared" si="45"/>
        <v>8700000</v>
      </c>
      <c r="FZ35" s="380"/>
      <c r="GA35" s="383">
        <f>'[1]COE commited funds to date'!AW38</f>
        <v>5000000</v>
      </c>
      <c r="GB35" s="383">
        <f>'[1]COE DISB 2019'!AW43</f>
        <v>0</v>
      </c>
      <c r="GC35" s="383">
        <f t="shared" si="46"/>
        <v>5000000</v>
      </c>
      <c r="GD35" s="380"/>
      <c r="GE35" s="383">
        <f>'[1]COE commited funds to date'!AX38</f>
        <v>20000000</v>
      </c>
      <c r="GF35" s="383">
        <f>'[1]COE DISB 2019'!AX43</f>
        <v>15137000</v>
      </c>
      <c r="GG35" s="383">
        <f t="shared" si="47"/>
        <v>4863000</v>
      </c>
      <c r="GH35" s="380"/>
      <c r="GI35" s="383">
        <f>'[1]COE commited funds to date'!AY38</f>
        <v>0</v>
      </c>
      <c r="GJ35" s="383">
        <f>'[1]COE DISB 2019'!AY43</f>
        <v>0</v>
      </c>
      <c r="GK35" s="383">
        <f t="shared" si="48"/>
        <v>0</v>
      </c>
      <c r="GL35" s="380"/>
      <c r="GM35" s="383">
        <f>'[1]COE commited funds to date'!AZ38</f>
        <v>116776600</v>
      </c>
      <c r="GN35" s="383">
        <f>'[1]COE DISB 2019'!AZ43</f>
        <v>0</v>
      </c>
      <c r="GO35" s="383">
        <f t="shared" si="49"/>
        <v>116776600</v>
      </c>
      <c r="GP35" s="380"/>
      <c r="GQ35" s="383">
        <f>'[1]COE commited funds to date'!BA38</f>
        <v>0</v>
      </c>
      <c r="GR35" s="383">
        <f>'[1]COE DISB 2019'!BA43</f>
        <v>0</v>
      </c>
      <c r="GS35" s="383">
        <f t="shared" si="50"/>
        <v>0</v>
      </c>
      <c r="GT35" s="380"/>
      <c r="GU35" s="383">
        <f>'[1]COE commited funds to date'!BB38</f>
        <v>0</v>
      </c>
      <c r="GV35" s="383">
        <f>'[1]COE DISB 2019'!BB43</f>
        <v>0</v>
      </c>
      <c r="GW35" s="383">
        <f t="shared" si="51"/>
        <v>0</v>
      </c>
      <c r="GX35" s="380"/>
      <c r="GY35" s="383">
        <f>'[1]COE commited funds to date'!BC38</f>
        <v>0</v>
      </c>
      <c r="GZ35" s="383">
        <f>'[1]COE DISB 2019'!BC43</f>
        <v>0</v>
      </c>
      <c r="HA35" s="383">
        <f t="shared" si="52"/>
        <v>0</v>
      </c>
      <c r="HB35" s="380"/>
      <c r="HC35" s="383">
        <f t="shared" si="53"/>
        <v>3410389565.5</v>
      </c>
      <c r="HD35" s="383">
        <f t="shared" si="53"/>
        <v>2853049965.5</v>
      </c>
      <c r="HE35" s="392">
        <f t="shared" si="54"/>
        <v>557339600</v>
      </c>
      <c r="HG35" s="383">
        <f t="shared" si="55"/>
        <v>868878965.5</v>
      </c>
      <c r="HH35" s="383">
        <f t="shared" si="55"/>
        <v>620128965.5</v>
      </c>
      <c r="HI35" s="383">
        <f t="shared" si="56"/>
        <v>248750000</v>
      </c>
      <c r="HK35" s="383">
        <f t="shared" si="57"/>
        <v>2295000000</v>
      </c>
      <c r="HL35" s="383">
        <f t="shared" si="57"/>
        <v>2145000000</v>
      </c>
      <c r="HM35" s="383">
        <f t="shared" si="58"/>
        <v>150000000</v>
      </c>
      <c r="HO35" s="383">
        <f t="shared" si="37"/>
        <v>1034000</v>
      </c>
      <c r="HP35" s="383">
        <f t="shared" si="37"/>
        <v>1034000</v>
      </c>
      <c r="HQ35" s="383">
        <f t="shared" si="59"/>
        <v>0</v>
      </c>
      <c r="HS35" s="383">
        <f t="shared" si="60"/>
        <v>40000000</v>
      </c>
      <c r="HT35" s="383">
        <f t="shared" si="60"/>
        <v>35137000</v>
      </c>
      <c r="HU35" s="383">
        <f t="shared" si="61"/>
        <v>4863000</v>
      </c>
      <c r="HW35" s="383">
        <f t="shared" si="62"/>
        <v>8700000</v>
      </c>
      <c r="HX35" s="383">
        <f t="shared" si="62"/>
        <v>0</v>
      </c>
      <c r="HY35" s="383">
        <f t="shared" si="63"/>
        <v>8700000</v>
      </c>
      <c r="IA35" s="387">
        <f t="shared" si="64"/>
        <v>5000000</v>
      </c>
      <c r="IB35" s="387">
        <f t="shared" si="64"/>
        <v>0</v>
      </c>
      <c r="IC35" s="387">
        <f t="shared" si="65"/>
        <v>5000000</v>
      </c>
      <c r="IE35" s="383">
        <f t="shared" si="66"/>
        <v>191776600</v>
      </c>
      <c r="IF35" s="383">
        <f t="shared" si="66"/>
        <v>51750000</v>
      </c>
      <c r="IG35" s="383">
        <f t="shared" si="67"/>
        <v>140026600</v>
      </c>
      <c r="II35" s="383">
        <f t="shared" si="68"/>
        <v>0</v>
      </c>
      <c r="IJ35" s="383">
        <f t="shared" si="68"/>
        <v>0</v>
      </c>
      <c r="IK35" s="383">
        <f t="shared" si="69"/>
        <v>0</v>
      </c>
    </row>
    <row r="36" spans="1:245" x14ac:dyDescent="0.25">
      <c r="A36" s="380">
        <v>33</v>
      </c>
      <c r="B36" s="380" t="s">
        <v>352</v>
      </c>
      <c r="C36" s="433"/>
      <c r="D36" s="392">
        <v>18318965.5</v>
      </c>
      <c r="E36" s="392">
        <f>'[1]COE DISB 2019'!D44</f>
        <v>18318965.5</v>
      </c>
      <c r="F36" s="383">
        <f t="shared" si="0"/>
        <v>0</v>
      </c>
      <c r="H36" s="392">
        <v>8000000</v>
      </c>
      <c r="I36" s="392">
        <f>'[1]COE DISB 2019'!E44</f>
        <v>8000000</v>
      </c>
      <c r="J36" s="383">
        <f t="shared" si="1"/>
        <v>0</v>
      </c>
      <c r="L36" s="392">
        <v>500000</v>
      </c>
      <c r="M36" s="392">
        <f>'[1]COE DISB 2019'!F44</f>
        <v>500000</v>
      </c>
      <c r="N36" s="383">
        <f t="shared" si="2"/>
        <v>0</v>
      </c>
      <c r="P36" s="353">
        <v>16000000</v>
      </c>
      <c r="Q36" s="392">
        <f>'[1]COE DISB 2019'!G44</f>
        <v>16000000</v>
      </c>
      <c r="R36" s="383">
        <f t="shared" si="3"/>
        <v>0</v>
      </c>
      <c r="T36" s="385">
        <v>366000</v>
      </c>
      <c r="U36" s="392">
        <f>'[1]COE DISB 2019'!H44</f>
        <v>366000</v>
      </c>
      <c r="V36" s="383">
        <f t="shared" si="4"/>
        <v>0</v>
      </c>
      <c r="X36" s="353">
        <v>0</v>
      </c>
      <c r="Y36" s="392">
        <f>'[1]COE DISB 2019'!I44</f>
        <v>0</v>
      </c>
      <c r="Z36" s="383">
        <f t="shared" si="5"/>
        <v>0</v>
      </c>
      <c r="AB36" s="385">
        <v>20000000</v>
      </c>
      <c r="AC36" s="392">
        <f>'[1]COE DISB 2019'!J44</f>
        <v>20000000</v>
      </c>
      <c r="AD36" s="383">
        <f t="shared" si="6"/>
        <v>0</v>
      </c>
      <c r="AF36" s="353">
        <v>0</v>
      </c>
      <c r="AG36" s="392">
        <f>'[1]COE DISB 2019'!K44</f>
        <v>0</v>
      </c>
      <c r="AH36" s="383">
        <f t="shared" si="7"/>
        <v>0</v>
      </c>
      <c r="AJ36" s="385">
        <v>10000000</v>
      </c>
      <c r="AK36" s="392">
        <f>'[1]COE DISB 2019'!L44</f>
        <v>10000000</v>
      </c>
      <c r="AL36" s="383">
        <f t="shared" si="8"/>
        <v>0</v>
      </c>
      <c r="AN36" s="392">
        <v>10000000</v>
      </c>
      <c r="AO36" s="392">
        <f>'[1]COE DISB 2019'!M44</f>
        <v>10000000</v>
      </c>
      <c r="AP36" s="383">
        <f t="shared" si="9"/>
        <v>0</v>
      </c>
      <c r="AR36" s="392">
        <v>15000000</v>
      </c>
      <c r="AS36" s="392">
        <f>'[1]COE DISB 2019'!N44</f>
        <v>15000000</v>
      </c>
      <c r="AT36" s="383">
        <f t="shared" si="10"/>
        <v>0</v>
      </c>
      <c r="AV36" s="392">
        <v>0</v>
      </c>
      <c r="AW36" s="432">
        <f>'[1]COE DISB 2019'!O44</f>
        <v>0</v>
      </c>
      <c r="AX36" s="392">
        <f t="shared" si="11"/>
        <v>0</v>
      </c>
      <c r="AZ36" s="392">
        <v>18000000</v>
      </c>
      <c r="BA36" s="392">
        <f>'[1]COE DISB 2019'!P44</f>
        <v>18000000</v>
      </c>
      <c r="BB36" s="392">
        <f t="shared" si="12"/>
        <v>0</v>
      </c>
      <c r="BD36" s="392">
        <v>23400000</v>
      </c>
      <c r="BE36" s="392">
        <f>'[1]COE DISB 2019'!Q44</f>
        <v>23400000</v>
      </c>
      <c r="BF36" s="392">
        <f t="shared" si="13"/>
        <v>0</v>
      </c>
      <c r="BH36" s="392">
        <v>0</v>
      </c>
      <c r="BI36" s="392">
        <f>'[1]COE DISB 2019'!R44</f>
        <v>0</v>
      </c>
      <c r="BJ36" s="392">
        <f t="shared" si="14"/>
        <v>0</v>
      </c>
      <c r="BL36" s="392">
        <v>43000000</v>
      </c>
      <c r="BM36" s="392">
        <f>'[1]COE DISB 2019'!S44</f>
        <v>43000000</v>
      </c>
      <c r="BN36" s="392">
        <f t="shared" si="15"/>
        <v>0</v>
      </c>
      <c r="BP36" s="392">
        <v>37160000</v>
      </c>
      <c r="BQ36" s="392">
        <f>'[1]COE DISB 2019'!T44</f>
        <v>37160000</v>
      </c>
      <c r="BR36" s="392">
        <f t="shared" si="16"/>
        <v>0</v>
      </c>
      <c r="BT36" s="392">
        <v>0</v>
      </c>
      <c r="BU36" s="392">
        <f>'[1]COE DISB 2019'!U44</f>
        <v>0</v>
      </c>
      <c r="BV36" s="392">
        <f t="shared" si="17"/>
        <v>0</v>
      </c>
      <c r="BX36" s="392">
        <v>112669500</v>
      </c>
      <c r="BY36" s="392">
        <f>'[1]COE DISB 2019'!V44</f>
        <v>112669500</v>
      </c>
      <c r="BZ36" s="392">
        <f t="shared" si="18"/>
        <v>0</v>
      </c>
      <c r="CB36" s="392">
        <f>'[1]COE commited funds to date'!W39</f>
        <v>160000000</v>
      </c>
      <c r="CC36" s="392">
        <f>'[1]COE DISB 2019'!W44</f>
        <v>160000000</v>
      </c>
      <c r="CD36" s="392">
        <f t="shared" si="19"/>
        <v>0</v>
      </c>
      <c r="CF36" s="392">
        <f>'[1]COE commited funds to date'!X39</f>
        <v>0</v>
      </c>
      <c r="CG36" s="392">
        <f>'[1]COE DISB 2019'!X44</f>
        <v>0</v>
      </c>
      <c r="CH36" s="392">
        <f t="shared" si="20"/>
        <v>0</v>
      </c>
      <c r="CJ36" s="392">
        <v>0</v>
      </c>
      <c r="CK36" s="392">
        <f>'[1]COE DISB 2019'!Y44</f>
        <v>0</v>
      </c>
      <c r="CL36" s="392">
        <f t="shared" si="21"/>
        <v>0</v>
      </c>
      <c r="CN36" s="392">
        <v>0</v>
      </c>
      <c r="CO36" s="392">
        <f>'[1]COE DISB 2019'!Z44</f>
        <v>0</v>
      </c>
      <c r="CP36" s="392">
        <f t="shared" si="22"/>
        <v>0</v>
      </c>
      <c r="CR36" s="392">
        <v>0</v>
      </c>
      <c r="CS36" s="392">
        <f>'[1]COE DISB 2019'!AA44</f>
        <v>0</v>
      </c>
      <c r="CT36" s="392">
        <f t="shared" si="23"/>
        <v>0</v>
      </c>
      <c r="CV36" s="392">
        <v>0</v>
      </c>
      <c r="CW36" s="392">
        <f>'[1]COE DISB 2019'!AB44</f>
        <v>0</v>
      </c>
      <c r="CX36" s="392">
        <f t="shared" si="24"/>
        <v>0</v>
      </c>
      <c r="CZ36" s="392">
        <f>'[1]COE commited funds to date'!AC39</f>
        <v>1000000000</v>
      </c>
      <c r="DA36" s="392">
        <f>'[1]COE DISB 2019'!AC44</f>
        <v>1000000000</v>
      </c>
      <c r="DB36" s="392">
        <f t="shared" si="25"/>
        <v>0</v>
      </c>
      <c r="DC36" s="394"/>
      <c r="DD36" s="392">
        <v>215000000</v>
      </c>
      <c r="DE36" s="392">
        <f>'[1]COE DISB 2019'!AD44</f>
        <v>215000000</v>
      </c>
      <c r="DF36" s="392">
        <f t="shared" si="26"/>
        <v>0</v>
      </c>
      <c r="DG36" s="394"/>
      <c r="DH36" s="392">
        <v>10000000</v>
      </c>
      <c r="DI36" s="392">
        <f>'[1]COE DISB 2019'!AE44</f>
        <v>10000000</v>
      </c>
      <c r="DJ36" s="392">
        <f t="shared" ref="DJ36:DJ43" si="70">DH36-DI36</f>
        <v>0</v>
      </c>
      <c r="DK36" s="394"/>
      <c r="DL36" s="392">
        <f>'[1]COE commited funds to date'!AD39</f>
        <v>100000000</v>
      </c>
      <c r="DM36" s="392">
        <f>'[1]COE DISB 2019'!AF44</f>
        <v>100000000</v>
      </c>
      <c r="DN36" s="392">
        <f t="shared" si="28"/>
        <v>0</v>
      </c>
      <c r="DO36" s="394"/>
      <c r="DP36" s="392">
        <v>0</v>
      </c>
      <c r="DQ36" s="392">
        <f>'[1]COE DISB 2019'!AG44</f>
        <v>0</v>
      </c>
      <c r="DR36" s="392">
        <f t="shared" si="29"/>
        <v>0</v>
      </c>
      <c r="DS36" s="394"/>
      <c r="DT36" s="397">
        <v>0</v>
      </c>
      <c r="DU36" s="392">
        <f>'[1]COE DISB 2019'!AH44</f>
        <v>0</v>
      </c>
      <c r="DV36" s="392">
        <f t="shared" si="30"/>
        <v>0</v>
      </c>
      <c r="DW36" s="394"/>
      <c r="DX36" s="392">
        <f>'[1]COE commited funds to date'!AI39</f>
        <v>100000000</v>
      </c>
      <c r="DY36" s="392">
        <f>'[1]COE DISB 2019'!AI44</f>
        <v>100000000</v>
      </c>
      <c r="DZ36" s="392">
        <f t="shared" si="31"/>
        <v>0</v>
      </c>
      <c r="EA36" s="394"/>
      <c r="EB36" s="392">
        <f>'[1]COE commited funds to date'!AJ39</f>
        <v>72000000</v>
      </c>
      <c r="EC36" s="392">
        <f>'[1]COE DISB 2019'!AJ44</f>
        <v>72000000</v>
      </c>
      <c r="ED36" s="392">
        <f t="shared" si="32"/>
        <v>0</v>
      </c>
      <c r="EE36" s="394"/>
      <c r="EF36" s="392">
        <f>'[1]COE commited funds to date'!AK39</f>
        <v>8000000</v>
      </c>
      <c r="EG36" s="392">
        <f>'[1]COE DISB 2019'!AK44</f>
        <v>8000000</v>
      </c>
      <c r="EH36" s="392">
        <f t="shared" si="33"/>
        <v>0</v>
      </c>
      <c r="EI36" s="394"/>
      <c r="EJ36" s="392">
        <f>'[1]COE commited funds to date'!AL39</f>
        <v>2000000</v>
      </c>
      <c r="EK36" s="392">
        <f>'[1]COE DISB 2019'!AL44</f>
        <v>2000000</v>
      </c>
      <c r="EL36" s="392">
        <f t="shared" si="34"/>
        <v>0</v>
      </c>
      <c r="EM36" s="394"/>
      <c r="EN36" s="392">
        <f>'[1]COE commited funds to date'!AM39</f>
        <v>7000000</v>
      </c>
      <c r="EO36" s="392">
        <f>'[1]COE DISB 2019'!AM44</f>
        <v>7000000</v>
      </c>
      <c r="EP36" s="392">
        <f t="shared" si="35"/>
        <v>0</v>
      </c>
      <c r="EQ36" s="394"/>
      <c r="ER36" s="392">
        <f>'[1]COE commited funds to date'!AN39</f>
        <v>450000000</v>
      </c>
      <c r="ES36" s="392">
        <f>'[1]COE DISB 2019'!AN44</f>
        <v>450000000</v>
      </c>
      <c r="ET36" s="392">
        <f t="shared" si="36"/>
        <v>0</v>
      </c>
      <c r="EV36" s="383">
        <f>'[1]COE commited funds to date'!AO39</f>
        <v>0</v>
      </c>
      <c r="EW36" s="383">
        <f>'[1]COE DISB 2019'!AO44</f>
        <v>0</v>
      </c>
      <c r="EX36" s="383">
        <f t="shared" si="38"/>
        <v>0</v>
      </c>
      <c r="EY36" s="380"/>
      <c r="EZ36" s="383">
        <f>'[1]COE commited funds to date'!AQ39</f>
        <v>0</v>
      </c>
      <c r="FA36" s="383">
        <f>'[1]COE DISB 2019'!AP44</f>
        <v>0</v>
      </c>
      <c r="FB36" s="383">
        <f t="shared" si="39"/>
        <v>0</v>
      </c>
      <c r="FC36" s="380"/>
      <c r="FD36" s="383">
        <f>'[1]COE commited funds to date'!AR39</f>
        <v>0</v>
      </c>
      <c r="FE36" s="383">
        <f>'[1]COE DISB 2019'!AQ44</f>
        <v>0</v>
      </c>
      <c r="FF36" s="383">
        <f t="shared" si="40"/>
        <v>0</v>
      </c>
      <c r="FG36" s="380"/>
      <c r="FH36" s="383">
        <f>'[1]COE commited funds to date'!AP39</f>
        <v>0</v>
      </c>
      <c r="FI36" s="383">
        <f>'[1]COE DISB 2019'!AR44</f>
        <v>0</v>
      </c>
      <c r="FJ36" s="383">
        <f t="shared" si="41"/>
        <v>0</v>
      </c>
      <c r="FK36" s="383">
        <f>'[1]COE commited funds to date'!AS39</f>
        <v>0</v>
      </c>
      <c r="FL36" s="383">
        <f>'[1]COE DISB 2019'!AS44</f>
        <v>0</v>
      </c>
      <c r="FM36" s="383">
        <f t="shared" si="42"/>
        <v>0</v>
      </c>
      <c r="FN36" s="380"/>
      <c r="FO36" s="383">
        <f>'[1]COE commited funds to date'!AT39</f>
        <v>200000000</v>
      </c>
      <c r="FP36" s="383">
        <f>'[1]COE DISB 2019'!AT44</f>
        <v>0</v>
      </c>
      <c r="FQ36" s="383">
        <f t="shared" si="43"/>
        <v>200000000</v>
      </c>
      <c r="FR36" s="380"/>
      <c r="FS36" s="383">
        <f>'[1]COE commited funds to date'!AU39</f>
        <v>75000000</v>
      </c>
      <c r="FT36" s="383">
        <f>'[1]COE DISB 2019'!AU44</f>
        <v>54000000</v>
      </c>
      <c r="FU36" s="383">
        <f t="shared" si="44"/>
        <v>21000000</v>
      </c>
      <c r="FV36" s="380"/>
      <c r="FW36" s="383">
        <f>'[1]COE commited funds to date'!AV39</f>
        <v>8700000</v>
      </c>
      <c r="FX36" s="383">
        <f>'[1]COE DISB 2019'!AV44</f>
        <v>0</v>
      </c>
      <c r="FY36" s="383">
        <f t="shared" si="45"/>
        <v>8700000</v>
      </c>
      <c r="FZ36" s="380"/>
      <c r="GA36" s="383">
        <f>'[1]COE commited funds to date'!AW39</f>
        <v>5000000</v>
      </c>
      <c r="GB36" s="383">
        <f>'[1]COE DISB 2019'!AW44</f>
        <v>0</v>
      </c>
      <c r="GC36" s="383">
        <f t="shared" si="46"/>
        <v>5000000</v>
      </c>
      <c r="GD36" s="380"/>
      <c r="GE36" s="383">
        <f>'[1]COE commited funds to date'!AX39</f>
        <v>20000000</v>
      </c>
      <c r="GF36" s="383">
        <f>'[1]COE DISB 2019'!AX44</f>
        <v>13200580</v>
      </c>
      <c r="GG36" s="383">
        <f t="shared" si="47"/>
        <v>6799420</v>
      </c>
      <c r="GH36" s="380"/>
      <c r="GI36" s="383">
        <f>'[1]COE commited funds to date'!AY39</f>
        <v>0</v>
      </c>
      <c r="GJ36" s="383">
        <f>'[1]COE DISB 2019'!AY44</f>
        <v>0</v>
      </c>
      <c r="GK36" s="383">
        <f t="shared" si="48"/>
        <v>0</v>
      </c>
      <c r="GL36" s="380"/>
      <c r="GM36" s="383">
        <f>'[1]COE commited funds to date'!AZ39</f>
        <v>116776600</v>
      </c>
      <c r="GN36" s="383">
        <f>'[1]COE DISB 2019'!AZ44</f>
        <v>0</v>
      </c>
      <c r="GO36" s="383">
        <f t="shared" si="49"/>
        <v>116776600</v>
      </c>
      <c r="GP36" s="380"/>
      <c r="GQ36" s="383">
        <f>'[1]COE commited funds to date'!BA39</f>
        <v>0</v>
      </c>
      <c r="GR36" s="383">
        <f>'[1]COE DISB 2019'!BA44</f>
        <v>0</v>
      </c>
      <c r="GS36" s="383">
        <f t="shared" si="50"/>
        <v>0</v>
      </c>
      <c r="GT36" s="380"/>
      <c r="GU36" s="383">
        <f>'[1]COE commited funds to date'!BB39</f>
        <v>0</v>
      </c>
      <c r="GV36" s="383">
        <f>'[1]COE DISB 2019'!BB44</f>
        <v>0</v>
      </c>
      <c r="GW36" s="383">
        <f t="shared" si="51"/>
        <v>0</v>
      </c>
      <c r="GX36" s="380"/>
      <c r="GY36" s="383">
        <f>'[1]COE commited funds to date'!BC39</f>
        <v>0</v>
      </c>
      <c r="GZ36" s="383">
        <f>'[1]COE DISB 2019'!BC44</f>
        <v>0</v>
      </c>
      <c r="HA36" s="383">
        <f t="shared" si="52"/>
        <v>0</v>
      </c>
      <c r="HB36" s="380"/>
      <c r="HC36" s="383">
        <f t="shared" si="53"/>
        <v>2881891065.5</v>
      </c>
      <c r="HD36" s="383">
        <f t="shared" si="53"/>
        <v>2523615045.5</v>
      </c>
      <c r="HE36" s="392">
        <f t="shared" si="54"/>
        <v>358276020</v>
      </c>
      <c r="HG36" s="383">
        <f t="shared" si="55"/>
        <v>818548465.5</v>
      </c>
      <c r="HH36" s="383">
        <f t="shared" si="55"/>
        <v>618548465.5</v>
      </c>
      <c r="HI36" s="383">
        <f t="shared" si="56"/>
        <v>200000000</v>
      </c>
      <c r="HK36" s="383">
        <f t="shared" si="57"/>
        <v>1810000000</v>
      </c>
      <c r="HL36" s="383">
        <f t="shared" si="57"/>
        <v>1810000000</v>
      </c>
      <c r="HM36" s="383">
        <f t="shared" si="58"/>
        <v>0</v>
      </c>
      <c r="HO36" s="383">
        <f t="shared" ref="HO36:HP68" si="71">L36+T36+AF36</f>
        <v>866000</v>
      </c>
      <c r="HP36" s="383">
        <f t="shared" si="71"/>
        <v>866000</v>
      </c>
      <c r="HQ36" s="383">
        <f t="shared" si="59"/>
        <v>0</v>
      </c>
      <c r="HS36" s="383">
        <f t="shared" si="60"/>
        <v>37000000</v>
      </c>
      <c r="HT36" s="383">
        <f t="shared" si="60"/>
        <v>30200580</v>
      </c>
      <c r="HU36" s="383">
        <f t="shared" si="61"/>
        <v>6799420</v>
      </c>
      <c r="HW36" s="383">
        <f t="shared" si="62"/>
        <v>16700000</v>
      </c>
      <c r="HX36" s="383">
        <f t="shared" si="62"/>
        <v>8000000</v>
      </c>
      <c r="HY36" s="383">
        <f t="shared" si="63"/>
        <v>8700000</v>
      </c>
      <c r="IA36" s="387">
        <f t="shared" si="64"/>
        <v>5000000</v>
      </c>
      <c r="IB36" s="387">
        <f t="shared" si="64"/>
        <v>0</v>
      </c>
      <c r="IC36" s="387">
        <f t="shared" si="65"/>
        <v>5000000</v>
      </c>
      <c r="IE36" s="383">
        <f t="shared" si="66"/>
        <v>191776600</v>
      </c>
      <c r="IF36" s="383">
        <f t="shared" si="66"/>
        <v>54000000</v>
      </c>
      <c r="IG36" s="383">
        <f t="shared" si="67"/>
        <v>137776600</v>
      </c>
      <c r="II36" s="383">
        <f t="shared" si="68"/>
        <v>2000000</v>
      </c>
      <c r="IJ36" s="383">
        <f t="shared" si="68"/>
        <v>2000000</v>
      </c>
      <c r="IK36" s="383">
        <f t="shared" si="69"/>
        <v>0</v>
      </c>
    </row>
    <row r="37" spans="1:245" x14ac:dyDescent="0.25">
      <c r="A37" s="380">
        <v>34</v>
      </c>
      <c r="B37" s="380" t="s">
        <v>353</v>
      </c>
      <c r="C37" s="431" t="s">
        <v>76</v>
      </c>
      <c r="D37" s="392">
        <v>18318965.5</v>
      </c>
      <c r="E37" s="392">
        <f>'[1]COE DISB 2019'!D45</f>
        <v>18318965.5</v>
      </c>
      <c r="F37" s="383">
        <f t="shared" si="0"/>
        <v>0</v>
      </c>
      <c r="H37" s="392">
        <v>8000000</v>
      </c>
      <c r="I37" s="392">
        <f>'[1]COE DISB 2019'!E45</f>
        <v>8000000</v>
      </c>
      <c r="J37" s="383">
        <f t="shared" si="1"/>
        <v>0</v>
      </c>
      <c r="L37" s="392">
        <v>500000</v>
      </c>
      <c r="M37" s="392">
        <f>'[1]COE DISB 2019'!F45</f>
        <v>500000</v>
      </c>
      <c r="N37" s="383">
        <f t="shared" si="2"/>
        <v>0</v>
      </c>
      <c r="P37" s="353">
        <v>16000000</v>
      </c>
      <c r="Q37" s="392">
        <f>'[1]COE DISB 2019'!G45</f>
        <v>16000000</v>
      </c>
      <c r="R37" s="383">
        <f t="shared" si="3"/>
        <v>0</v>
      </c>
      <c r="T37" s="385">
        <v>2619000</v>
      </c>
      <c r="U37" s="392">
        <f>'[1]COE DISB 2019'!H45</f>
        <v>2619000</v>
      </c>
      <c r="V37" s="383">
        <f t="shared" si="4"/>
        <v>0</v>
      </c>
      <c r="X37" s="353">
        <v>0</v>
      </c>
      <c r="Y37" s="392">
        <f>'[1]COE DISB 2019'!I45</f>
        <v>0</v>
      </c>
      <c r="Z37" s="383">
        <f t="shared" si="5"/>
        <v>0</v>
      </c>
      <c r="AB37" s="385">
        <v>20000000</v>
      </c>
      <c r="AC37" s="392">
        <f>'[1]COE DISB 2019'!J45</f>
        <v>20000000</v>
      </c>
      <c r="AD37" s="383">
        <f t="shared" si="6"/>
        <v>0</v>
      </c>
      <c r="AF37" s="353">
        <v>0</v>
      </c>
      <c r="AG37" s="392">
        <f>'[1]COE DISB 2019'!K45</f>
        <v>0</v>
      </c>
      <c r="AH37" s="383">
        <f t="shared" si="7"/>
        <v>0</v>
      </c>
      <c r="AJ37" s="385">
        <v>10000000</v>
      </c>
      <c r="AK37" s="392">
        <f>'[1]COE DISB 2019'!L45</f>
        <v>10000000</v>
      </c>
      <c r="AL37" s="383">
        <f t="shared" si="8"/>
        <v>0</v>
      </c>
      <c r="AN37" s="392">
        <v>10000000</v>
      </c>
      <c r="AO37" s="392">
        <f>'[1]COE DISB 2019'!M45</f>
        <v>10000000</v>
      </c>
      <c r="AP37" s="383">
        <f t="shared" si="9"/>
        <v>0</v>
      </c>
      <c r="AR37" s="392">
        <v>15000000</v>
      </c>
      <c r="AS37" s="392">
        <f>'[1]COE DISB 2019'!N45</f>
        <v>15000000</v>
      </c>
      <c r="AT37" s="383">
        <f t="shared" si="10"/>
        <v>0</v>
      </c>
      <c r="AV37" s="392">
        <v>0</v>
      </c>
      <c r="AW37" s="432">
        <f>'[1]COE DISB 2019'!O45</f>
        <v>0</v>
      </c>
      <c r="AX37" s="392">
        <f t="shared" si="11"/>
        <v>0</v>
      </c>
      <c r="AZ37" s="392">
        <v>18000000</v>
      </c>
      <c r="BA37" s="392">
        <f>'[1]COE DISB 2019'!P45</f>
        <v>18000000</v>
      </c>
      <c r="BB37" s="392">
        <f t="shared" si="12"/>
        <v>0</v>
      </c>
      <c r="BD37" s="392">
        <v>23400000</v>
      </c>
      <c r="BE37" s="392">
        <f>'[1]COE DISB 2019'!Q45</f>
        <v>23400000</v>
      </c>
      <c r="BF37" s="392">
        <f t="shared" si="13"/>
        <v>0</v>
      </c>
      <c r="BH37" s="392">
        <v>0</v>
      </c>
      <c r="BI37" s="392">
        <f>'[1]COE DISB 2019'!R45</f>
        <v>0</v>
      </c>
      <c r="BJ37" s="392">
        <f t="shared" si="14"/>
        <v>0</v>
      </c>
      <c r="BL37" s="392">
        <v>43000000</v>
      </c>
      <c r="BM37" s="392">
        <f>'[1]COE DISB 2019'!S45</f>
        <v>43000000</v>
      </c>
      <c r="BN37" s="392">
        <f t="shared" si="15"/>
        <v>0</v>
      </c>
      <c r="BP37" s="392">
        <v>37160000</v>
      </c>
      <c r="BQ37" s="392">
        <f>'[1]COE DISB 2019'!T45</f>
        <v>37160000</v>
      </c>
      <c r="BR37" s="392">
        <f t="shared" si="16"/>
        <v>0</v>
      </c>
      <c r="BT37" s="392">
        <v>0</v>
      </c>
      <c r="BU37" s="392">
        <f>'[1]COE DISB 2019'!U45</f>
        <v>0</v>
      </c>
      <c r="BV37" s="392">
        <f t="shared" si="17"/>
        <v>0</v>
      </c>
      <c r="BX37" s="392">
        <v>112670000</v>
      </c>
      <c r="BY37" s="392">
        <f>'[1]COE DISB 2019'!V45</f>
        <v>112670000</v>
      </c>
      <c r="BZ37" s="392">
        <f t="shared" si="18"/>
        <v>0</v>
      </c>
      <c r="CB37" s="392">
        <f>'[1]COE commited funds to date'!W40</f>
        <v>0</v>
      </c>
      <c r="CC37" s="392">
        <f>'[1]COE DISB 2019'!W45</f>
        <v>0</v>
      </c>
      <c r="CD37" s="392">
        <f t="shared" si="19"/>
        <v>0</v>
      </c>
      <c r="CF37" s="392">
        <f>'[1]COE commited funds to date'!X40</f>
        <v>125000000</v>
      </c>
      <c r="CG37" s="392">
        <f>'[1]COE DISB 2019'!X45</f>
        <v>125000000</v>
      </c>
      <c r="CH37" s="392">
        <f t="shared" si="20"/>
        <v>0</v>
      </c>
      <c r="CJ37" s="392">
        <v>10000000</v>
      </c>
      <c r="CK37" s="392">
        <f>'[1]COE DISB 2019'!Y45</f>
        <v>10000000</v>
      </c>
      <c r="CL37" s="392">
        <f t="shared" si="21"/>
        <v>0</v>
      </c>
      <c r="CN37" s="392">
        <v>0</v>
      </c>
      <c r="CO37" s="392">
        <f>'[1]COE DISB 2019'!Z45</f>
        <v>0</v>
      </c>
      <c r="CP37" s="392">
        <f t="shared" si="22"/>
        <v>0</v>
      </c>
      <c r="CR37" s="392">
        <v>210000000</v>
      </c>
      <c r="CS37" s="392">
        <f>'[1]COE DISB 2019'!AA45</f>
        <v>210000000</v>
      </c>
      <c r="CT37" s="392">
        <f t="shared" si="23"/>
        <v>0</v>
      </c>
      <c r="CV37" s="392">
        <v>10000000</v>
      </c>
      <c r="CW37" s="392">
        <f>'[1]COE DISB 2019'!AB45</f>
        <v>10000000</v>
      </c>
      <c r="CX37" s="392">
        <f t="shared" si="24"/>
        <v>0</v>
      </c>
      <c r="CZ37" s="392">
        <f>'[1]COE commited funds to date'!AC40</f>
        <v>0</v>
      </c>
      <c r="DA37" s="392">
        <f>'[1]COE DISB 2019'!AC45</f>
        <v>0</v>
      </c>
      <c r="DB37" s="392">
        <f t="shared" si="25"/>
        <v>0</v>
      </c>
      <c r="DC37" s="394"/>
      <c r="DD37" s="392">
        <v>215000000</v>
      </c>
      <c r="DE37" s="392">
        <f>'[1]COE DISB 2019'!AD45</f>
        <v>215000000</v>
      </c>
      <c r="DF37" s="392">
        <f t="shared" si="26"/>
        <v>0</v>
      </c>
      <c r="DG37" s="394"/>
      <c r="DH37" s="392">
        <v>10000000</v>
      </c>
      <c r="DI37" s="392">
        <f>'[1]COE DISB 2019'!AE45</f>
        <v>10000000</v>
      </c>
      <c r="DJ37" s="392">
        <f t="shared" si="70"/>
        <v>0</v>
      </c>
      <c r="DK37" s="394"/>
      <c r="DL37" s="392">
        <f>'[1]COE commited funds to date'!AD40</f>
        <v>0</v>
      </c>
      <c r="DM37" s="392">
        <f>'[1]COE DISB 2019'!AF45</f>
        <v>0</v>
      </c>
      <c r="DN37" s="392">
        <f t="shared" si="28"/>
        <v>0</v>
      </c>
      <c r="DO37" s="394"/>
      <c r="DP37" s="392">
        <v>325000000</v>
      </c>
      <c r="DQ37" s="392">
        <f>'[1]COE DISB 2019'!AG45</f>
        <v>325000000</v>
      </c>
      <c r="DR37" s="392">
        <f t="shared" si="29"/>
        <v>0</v>
      </c>
      <c r="DS37" s="394"/>
      <c r="DT37" s="397">
        <v>10000000</v>
      </c>
      <c r="DU37" s="392">
        <f>'[1]COE DISB 2019'!AH45</f>
        <v>10000000</v>
      </c>
      <c r="DV37" s="392">
        <f t="shared" si="30"/>
        <v>0</v>
      </c>
      <c r="DW37" s="394"/>
      <c r="DX37" s="392">
        <f>'[1]COE commited funds to date'!AI40</f>
        <v>100000000</v>
      </c>
      <c r="DY37" s="392">
        <f>'[1]COE DISB 2019'!AI45</f>
        <v>100000000</v>
      </c>
      <c r="DZ37" s="392">
        <f t="shared" si="31"/>
        <v>0</v>
      </c>
      <c r="EA37" s="394"/>
      <c r="EB37" s="392">
        <f>'[1]COE commited funds to date'!AJ40</f>
        <v>72000000</v>
      </c>
      <c r="EC37" s="392">
        <f>'[1]COE DISB 2019'!AJ45</f>
        <v>44640000</v>
      </c>
      <c r="ED37" s="392">
        <f t="shared" si="32"/>
        <v>27360000</v>
      </c>
      <c r="EE37" s="394"/>
      <c r="EF37" s="392">
        <f>'[1]COE commited funds to date'!AK40</f>
        <v>8000000</v>
      </c>
      <c r="EG37" s="392">
        <f>'[1]COE DISB 2019'!AK45</f>
        <v>0</v>
      </c>
      <c r="EH37" s="392">
        <f t="shared" si="33"/>
        <v>8000000</v>
      </c>
      <c r="EI37" s="394"/>
      <c r="EJ37" s="392">
        <f>'[1]COE commited funds to date'!AL40</f>
        <v>2000000</v>
      </c>
      <c r="EK37" s="392">
        <f>'[1]COE DISB 2019'!AL45</f>
        <v>0</v>
      </c>
      <c r="EL37" s="392">
        <f t="shared" si="34"/>
        <v>2000000</v>
      </c>
      <c r="EM37" s="394"/>
      <c r="EN37" s="392">
        <f>'[1]COE commited funds to date'!AM40</f>
        <v>7000000</v>
      </c>
      <c r="EO37" s="392">
        <f>'[1]COE DISB 2019'!AM45</f>
        <v>7000000</v>
      </c>
      <c r="EP37" s="392">
        <f t="shared" si="35"/>
        <v>0</v>
      </c>
      <c r="EQ37" s="394"/>
      <c r="ER37" s="392">
        <f>'[1]COE commited funds to date'!AN40</f>
        <v>100000000</v>
      </c>
      <c r="ES37" s="392">
        <f>'[1]COE DISB 2019'!AN45</f>
        <v>52000000</v>
      </c>
      <c r="ET37" s="392">
        <f t="shared" si="36"/>
        <v>48000000</v>
      </c>
      <c r="EV37" s="383">
        <f>'[1]COE commited funds to date'!AO40</f>
        <v>371067000</v>
      </c>
      <c r="EW37" s="383">
        <f>'[1]COE DISB 2019'!AO45</f>
        <v>230061540</v>
      </c>
      <c r="EX37" s="383">
        <f t="shared" si="38"/>
        <v>141005460</v>
      </c>
      <c r="EY37" s="380"/>
      <c r="EZ37" s="383">
        <f>'[1]COE commited funds to date'!AQ40</f>
        <v>12000000</v>
      </c>
      <c r="FA37" s="383">
        <f>'[1]COE DISB 2019'!AP45</f>
        <v>12000000</v>
      </c>
      <c r="FB37" s="383">
        <f t="shared" si="39"/>
        <v>0</v>
      </c>
      <c r="FC37" s="380"/>
      <c r="FD37" s="383">
        <f>'[1]COE commited funds to date'!AR40</f>
        <v>10000000</v>
      </c>
      <c r="FE37" s="383">
        <f>'[1]COE DISB 2019'!AQ45</f>
        <v>0</v>
      </c>
      <c r="FF37" s="383">
        <f t="shared" si="40"/>
        <v>10000000</v>
      </c>
      <c r="FG37" s="380"/>
      <c r="FH37" s="383">
        <f>'[1]COE commited funds to date'!AP40</f>
        <v>8000000</v>
      </c>
      <c r="FI37" s="383">
        <f>'[1]COE DISB 2019'!AR45</f>
        <v>0</v>
      </c>
      <c r="FJ37" s="383">
        <f t="shared" si="41"/>
        <v>8000000</v>
      </c>
      <c r="FK37" s="383">
        <f>'[1]COE commited funds to date'!AS40</f>
        <v>0</v>
      </c>
      <c r="FL37" s="383">
        <f>'[1]COE DISB 2019'!AS45</f>
        <v>0</v>
      </c>
      <c r="FM37" s="383">
        <f t="shared" si="42"/>
        <v>0</v>
      </c>
      <c r="FN37" s="380"/>
      <c r="FO37" s="383">
        <f>'[1]COE commited funds to date'!AT40</f>
        <v>200000000</v>
      </c>
      <c r="FP37" s="383">
        <f>'[1]COE DISB 2019'!AT45</f>
        <v>0</v>
      </c>
      <c r="FQ37" s="383">
        <f t="shared" si="43"/>
        <v>200000000</v>
      </c>
      <c r="FR37" s="380"/>
      <c r="FS37" s="383">
        <f>'[1]COE commited funds to date'!AU40</f>
        <v>75000000</v>
      </c>
      <c r="FT37" s="383">
        <f>'[1]COE DISB 2019'!AU45</f>
        <v>63750000</v>
      </c>
      <c r="FU37" s="383">
        <f t="shared" si="44"/>
        <v>11250000</v>
      </c>
      <c r="FV37" s="380"/>
      <c r="FW37" s="383">
        <f>'[1]COE commited funds to date'!AV40</f>
        <v>8700000</v>
      </c>
      <c r="FX37" s="383">
        <f>'[1]COE DISB 2019'!AV45</f>
        <v>0</v>
      </c>
      <c r="FY37" s="383">
        <f t="shared" si="45"/>
        <v>8700000</v>
      </c>
      <c r="FZ37" s="380"/>
      <c r="GA37" s="383">
        <f>'[1]COE commited funds to date'!AW40</f>
        <v>5000000</v>
      </c>
      <c r="GB37" s="383">
        <f>'[1]COE DISB 2019'!AW45</f>
        <v>0</v>
      </c>
      <c r="GC37" s="383">
        <f t="shared" si="46"/>
        <v>5000000</v>
      </c>
      <c r="GD37" s="380"/>
      <c r="GE37" s="383">
        <f>'[1]COE commited funds to date'!AX40</f>
        <v>20000000</v>
      </c>
      <c r="GF37" s="383">
        <f>'[1]COE DISB 2019'!AX45</f>
        <v>17887800</v>
      </c>
      <c r="GG37" s="383">
        <f t="shared" si="47"/>
        <v>2112200</v>
      </c>
      <c r="GH37" s="380"/>
      <c r="GI37" s="383">
        <f>'[1]COE commited funds to date'!AY40</f>
        <v>230000000</v>
      </c>
      <c r="GJ37" s="383">
        <f>'[1]COE DISB 2019'!AY45</f>
        <v>0</v>
      </c>
      <c r="GK37" s="383">
        <f t="shared" si="48"/>
        <v>230000000</v>
      </c>
      <c r="GL37" s="380"/>
      <c r="GM37" s="383">
        <f>'[1]COE commited funds to date'!AZ40</f>
        <v>116776600</v>
      </c>
      <c r="GN37" s="383">
        <f>'[1]COE DISB 2019'!AZ45</f>
        <v>0</v>
      </c>
      <c r="GO37" s="383">
        <f t="shared" si="49"/>
        <v>116776600</v>
      </c>
      <c r="GP37" s="380"/>
      <c r="GQ37" s="383">
        <f>'[1]COE commited funds to date'!BA40</f>
        <v>12000000</v>
      </c>
      <c r="GR37" s="383">
        <f>'[1]COE DISB 2019'!BA45</f>
        <v>0</v>
      </c>
      <c r="GS37" s="383">
        <f t="shared" si="50"/>
        <v>12000000</v>
      </c>
      <c r="GT37" s="380"/>
      <c r="GU37" s="383">
        <f>'[1]COE commited funds to date'!BB40</f>
        <v>5000000</v>
      </c>
      <c r="GV37" s="383">
        <f>'[1]COE DISB 2019'!BB45</f>
        <v>0</v>
      </c>
      <c r="GW37" s="383">
        <f t="shared" si="51"/>
        <v>5000000</v>
      </c>
      <c r="GX37" s="380"/>
      <c r="GY37" s="383">
        <f>'[1]COE commited funds to date'!BC40</f>
        <v>10308300</v>
      </c>
      <c r="GZ37" s="383">
        <f>'[1]COE DISB 2019'!BC45</f>
        <v>0</v>
      </c>
      <c r="HA37" s="383">
        <f t="shared" si="52"/>
        <v>10308300</v>
      </c>
      <c r="HB37" s="380"/>
      <c r="HC37" s="383">
        <f t="shared" si="53"/>
        <v>2622519865.5</v>
      </c>
      <c r="HD37" s="383">
        <f t="shared" si="53"/>
        <v>1777007305.5</v>
      </c>
      <c r="HE37" s="392">
        <f t="shared" si="54"/>
        <v>845512560</v>
      </c>
      <c r="HG37" s="383">
        <f t="shared" si="55"/>
        <v>2079615965.5</v>
      </c>
      <c r="HH37" s="383">
        <f t="shared" si="55"/>
        <v>1481250505.5</v>
      </c>
      <c r="HI37" s="383">
        <f t="shared" si="56"/>
        <v>598365460</v>
      </c>
      <c r="HK37" s="383">
        <f t="shared" si="57"/>
        <v>200000000</v>
      </c>
      <c r="HL37" s="383">
        <f t="shared" si="57"/>
        <v>152000000</v>
      </c>
      <c r="HM37" s="383">
        <f t="shared" si="58"/>
        <v>48000000</v>
      </c>
      <c r="HO37" s="383">
        <f t="shared" si="71"/>
        <v>3119000</v>
      </c>
      <c r="HP37" s="383">
        <f t="shared" si="71"/>
        <v>3119000</v>
      </c>
      <c r="HQ37" s="383">
        <f t="shared" si="59"/>
        <v>0</v>
      </c>
      <c r="HS37" s="383">
        <f t="shared" si="60"/>
        <v>89308300</v>
      </c>
      <c r="HT37" s="383">
        <f t="shared" si="60"/>
        <v>76887800</v>
      </c>
      <c r="HU37" s="383">
        <f t="shared" si="61"/>
        <v>12420500</v>
      </c>
      <c r="HW37" s="383">
        <f t="shared" si="62"/>
        <v>36700000</v>
      </c>
      <c r="HX37" s="383">
        <f t="shared" si="62"/>
        <v>0</v>
      </c>
      <c r="HY37" s="383">
        <f t="shared" si="63"/>
        <v>36700000</v>
      </c>
      <c r="IA37" s="387">
        <f t="shared" si="64"/>
        <v>20000000</v>
      </c>
      <c r="IB37" s="387">
        <f t="shared" si="64"/>
        <v>0</v>
      </c>
      <c r="IC37" s="387">
        <f t="shared" si="65"/>
        <v>20000000</v>
      </c>
      <c r="IE37" s="383">
        <f t="shared" si="66"/>
        <v>191776600</v>
      </c>
      <c r="IF37" s="383">
        <f t="shared" si="66"/>
        <v>63750000</v>
      </c>
      <c r="IG37" s="383">
        <f t="shared" si="67"/>
        <v>128026600</v>
      </c>
      <c r="II37" s="383">
        <f t="shared" si="68"/>
        <v>2000000</v>
      </c>
      <c r="IJ37" s="383">
        <f t="shared" si="68"/>
        <v>0</v>
      </c>
      <c r="IK37" s="383">
        <f t="shared" si="69"/>
        <v>2000000</v>
      </c>
    </row>
    <row r="38" spans="1:245" x14ac:dyDescent="0.25">
      <c r="A38" s="380">
        <v>35</v>
      </c>
      <c r="B38" s="380" t="s">
        <v>354</v>
      </c>
      <c r="C38" s="431" t="s">
        <v>63</v>
      </c>
      <c r="D38" s="392">
        <v>18318965.5</v>
      </c>
      <c r="E38" s="392">
        <f>'[1]COE DISB 2019'!D46</f>
        <v>18318965.5</v>
      </c>
      <c r="F38" s="383">
        <f t="shared" si="0"/>
        <v>0</v>
      </c>
      <c r="H38" s="392">
        <v>8000000</v>
      </c>
      <c r="I38" s="392">
        <f>'[1]COE DISB 2019'!E46</f>
        <v>8000000</v>
      </c>
      <c r="J38" s="383">
        <f t="shared" si="1"/>
        <v>0</v>
      </c>
      <c r="L38" s="392">
        <v>500000</v>
      </c>
      <c r="M38" s="392">
        <f>'[1]COE DISB 2019'!F46</f>
        <v>500000</v>
      </c>
      <c r="N38" s="383">
        <f t="shared" si="2"/>
        <v>0</v>
      </c>
      <c r="P38" s="353">
        <v>16000000</v>
      </c>
      <c r="Q38" s="392">
        <f>'[1]COE DISB 2019'!G46</f>
        <v>16000000</v>
      </c>
      <c r="R38" s="383">
        <f t="shared" si="3"/>
        <v>0</v>
      </c>
      <c r="T38" s="385">
        <v>144000</v>
      </c>
      <c r="U38" s="392">
        <f>'[1]COE DISB 2019'!H46</f>
        <v>144000</v>
      </c>
      <c r="V38" s="383">
        <f t="shared" si="4"/>
        <v>0</v>
      </c>
      <c r="X38" s="353">
        <v>0</v>
      </c>
      <c r="Y38" s="392">
        <f>'[1]COE DISB 2019'!I46</f>
        <v>0</v>
      </c>
      <c r="Z38" s="383">
        <f t="shared" si="5"/>
        <v>0</v>
      </c>
      <c r="AB38" s="385">
        <v>20000000</v>
      </c>
      <c r="AC38" s="392">
        <f>'[1]COE DISB 2019'!J46</f>
        <v>20000000</v>
      </c>
      <c r="AD38" s="383">
        <f t="shared" si="6"/>
        <v>0</v>
      </c>
      <c r="AF38" s="353">
        <v>0</v>
      </c>
      <c r="AG38" s="392">
        <f>'[1]COE DISB 2019'!K46</f>
        <v>0</v>
      </c>
      <c r="AH38" s="383">
        <f t="shared" si="7"/>
        <v>0</v>
      </c>
      <c r="AJ38" s="385">
        <v>10000000</v>
      </c>
      <c r="AK38" s="392">
        <f>'[1]COE DISB 2019'!L46</f>
        <v>10000000</v>
      </c>
      <c r="AL38" s="383">
        <f t="shared" si="8"/>
        <v>0</v>
      </c>
      <c r="AN38" s="392">
        <v>10000000</v>
      </c>
      <c r="AO38" s="392">
        <f>'[1]COE DISB 2019'!M46</f>
        <v>10000000</v>
      </c>
      <c r="AP38" s="383">
        <f t="shared" si="9"/>
        <v>0</v>
      </c>
      <c r="AR38" s="392">
        <v>15000000</v>
      </c>
      <c r="AS38" s="392">
        <f>'[1]COE DISB 2019'!N46</f>
        <v>15000000</v>
      </c>
      <c r="AT38" s="383">
        <f t="shared" si="10"/>
        <v>0</v>
      </c>
      <c r="AV38" s="392">
        <v>0</v>
      </c>
      <c r="AW38" s="432">
        <f>'[1]COE DISB 2019'!O46</f>
        <v>0</v>
      </c>
      <c r="AX38" s="392">
        <f t="shared" si="11"/>
        <v>0</v>
      </c>
      <c r="AZ38" s="392">
        <v>18000000</v>
      </c>
      <c r="BA38" s="392">
        <f>'[1]COE DISB 2019'!P46</f>
        <v>18000000</v>
      </c>
      <c r="BB38" s="392">
        <f t="shared" si="12"/>
        <v>0</v>
      </c>
      <c r="BD38" s="392">
        <v>23400000</v>
      </c>
      <c r="BE38" s="392">
        <f>'[1]COE DISB 2019'!Q46</f>
        <v>23400000</v>
      </c>
      <c r="BF38" s="392">
        <f t="shared" si="13"/>
        <v>0</v>
      </c>
      <c r="BH38" s="392">
        <v>0</v>
      </c>
      <c r="BI38" s="392">
        <f>'[1]COE DISB 2019'!R46</f>
        <v>0</v>
      </c>
      <c r="BJ38" s="392">
        <f t="shared" si="14"/>
        <v>0</v>
      </c>
      <c r="BL38" s="392">
        <v>43000000</v>
      </c>
      <c r="BM38" s="392">
        <f>'[1]COE DISB 2019'!S46</f>
        <v>43000000</v>
      </c>
      <c r="BN38" s="392">
        <f t="shared" si="15"/>
        <v>0</v>
      </c>
      <c r="BP38" s="392">
        <v>36911985.579999998</v>
      </c>
      <c r="BQ38" s="392">
        <f>'[1]COE DISB 2019'!T46</f>
        <v>36911985.579999998</v>
      </c>
      <c r="BR38" s="392">
        <f t="shared" si="16"/>
        <v>0</v>
      </c>
      <c r="BT38" s="392">
        <v>0</v>
      </c>
      <c r="BU38" s="392">
        <f>'[1]COE DISB 2019'!U46</f>
        <v>0</v>
      </c>
      <c r="BV38" s="392">
        <f t="shared" si="17"/>
        <v>0</v>
      </c>
      <c r="BX38" s="392">
        <v>111918014.42</v>
      </c>
      <c r="BY38" s="392">
        <f>'[1]COE DISB 2019'!V46</f>
        <v>111918014.42</v>
      </c>
      <c r="BZ38" s="392">
        <f t="shared" si="18"/>
        <v>0</v>
      </c>
      <c r="CB38" s="392">
        <v>0</v>
      </c>
      <c r="CC38" s="392">
        <f>'[1]COE DISB 2019'!W46</f>
        <v>0</v>
      </c>
      <c r="CD38" s="392">
        <f t="shared" si="19"/>
        <v>0</v>
      </c>
      <c r="CF38" s="392">
        <f>'[1]COE commited funds to date'!X41</f>
        <v>125000000</v>
      </c>
      <c r="CG38" s="392">
        <f>'[1]COE DISB 2019'!X46</f>
        <v>125000000</v>
      </c>
      <c r="CH38" s="392">
        <f t="shared" si="20"/>
        <v>0</v>
      </c>
      <c r="CJ38" s="392">
        <v>10000000</v>
      </c>
      <c r="CK38" s="392">
        <f>'[1]COE DISB 2019'!Y46</f>
        <v>10000000</v>
      </c>
      <c r="CL38" s="392">
        <f t="shared" si="21"/>
        <v>0</v>
      </c>
      <c r="CN38" s="392">
        <v>300000000</v>
      </c>
      <c r="CO38" s="392">
        <f>'[1]COE DISB 2019'!Z46</f>
        <v>300000000</v>
      </c>
      <c r="CP38" s="392">
        <f t="shared" si="22"/>
        <v>0</v>
      </c>
      <c r="CR38" s="392">
        <v>210000000</v>
      </c>
      <c r="CS38" s="392">
        <f>'[1]COE DISB 2019'!AA46</f>
        <v>210000000</v>
      </c>
      <c r="CT38" s="392">
        <f t="shared" si="23"/>
        <v>0</v>
      </c>
      <c r="CV38" s="392">
        <v>10000000</v>
      </c>
      <c r="CW38" s="392">
        <f>'[1]COE DISB 2019'!AB46</f>
        <v>10000000</v>
      </c>
      <c r="CX38" s="392">
        <f t="shared" si="24"/>
        <v>0</v>
      </c>
      <c r="CZ38" s="392">
        <f>'[1]COE commited funds to date'!AC41</f>
        <v>250000000.00000003</v>
      </c>
      <c r="DA38" s="392">
        <f>'[1]COE DISB 2019'!AC46</f>
        <v>250000000</v>
      </c>
      <c r="DB38" s="392">
        <f t="shared" si="25"/>
        <v>0</v>
      </c>
      <c r="DC38" s="394"/>
      <c r="DD38" s="392">
        <v>215000000</v>
      </c>
      <c r="DE38" s="392">
        <f>'[1]COE DISB 2019'!AD46</f>
        <v>214000000</v>
      </c>
      <c r="DF38" s="392">
        <f t="shared" si="26"/>
        <v>1000000</v>
      </c>
      <c r="DG38" s="394"/>
      <c r="DH38" s="392">
        <v>10000000</v>
      </c>
      <c r="DI38" s="392">
        <f>'[1]COE DISB 2019'!AE46</f>
        <v>10000000</v>
      </c>
      <c r="DJ38" s="392">
        <f t="shared" si="70"/>
        <v>0</v>
      </c>
      <c r="DK38" s="394"/>
      <c r="DL38" s="392">
        <f>'[1]COE commited funds to date'!AD41</f>
        <v>100000000</v>
      </c>
      <c r="DM38" s="392">
        <f>'[1]COE DISB 2019'!AF46</f>
        <v>100000000</v>
      </c>
      <c r="DN38" s="392">
        <f t="shared" si="28"/>
        <v>0</v>
      </c>
      <c r="DO38" s="394"/>
      <c r="DP38" s="392">
        <v>325000000</v>
      </c>
      <c r="DQ38" s="392">
        <f>'[1]COE DISB 2019'!AG46</f>
        <v>276250000</v>
      </c>
      <c r="DR38" s="392">
        <f t="shared" si="29"/>
        <v>48750000</v>
      </c>
      <c r="DS38" s="394"/>
      <c r="DT38" s="397">
        <v>10000000</v>
      </c>
      <c r="DU38" s="392">
        <f>'[1]COE DISB 2019'!AH46</f>
        <v>10000000</v>
      </c>
      <c r="DV38" s="392">
        <f t="shared" si="30"/>
        <v>0</v>
      </c>
      <c r="DW38" s="394"/>
      <c r="DX38" s="392">
        <f>'[1]COE commited funds to date'!AI41</f>
        <v>580000000</v>
      </c>
      <c r="DY38" s="392">
        <f>'[1]COE DISB 2019'!AI46</f>
        <v>520000000</v>
      </c>
      <c r="DZ38" s="392">
        <f t="shared" si="31"/>
        <v>60000000</v>
      </c>
      <c r="EA38" s="394"/>
      <c r="EB38" s="392">
        <f>'[1]COE commited funds to date'!AJ41</f>
        <v>72000000</v>
      </c>
      <c r="EC38" s="392">
        <f>'[1]COE DISB 2019'!AJ46</f>
        <v>61200000</v>
      </c>
      <c r="ED38" s="392">
        <f t="shared" si="32"/>
        <v>10800000</v>
      </c>
      <c r="EE38" s="394"/>
      <c r="EF38" s="392">
        <f>'[1]COE commited funds to date'!AK41</f>
        <v>8000000</v>
      </c>
      <c r="EG38" s="392">
        <f>'[1]COE DISB 2019'!AK46</f>
        <v>4320000</v>
      </c>
      <c r="EH38" s="392">
        <f t="shared" si="33"/>
        <v>3680000</v>
      </c>
      <c r="EI38" s="394"/>
      <c r="EJ38" s="392">
        <f>'[1]COE commited funds to date'!AL41</f>
        <v>2000000</v>
      </c>
      <c r="EK38" s="392">
        <f>'[1]COE DISB 2019'!AL46</f>
        <v>0</v>
      </c>
      <c r="EL38" s="392">
        <f t="shared" si="34"/>
        <v>2000000</v>
      </c>
      <c r="EM38" s="394"/>
      <c r="EN38" s="392">
        <f>'[1]COE commited funds to date'!AM41</f>
        <v>7000000</v>
      </c>
      <c r="EO38" s="392">
        <f>'[1]COE DISB 2019'!AM46</f>
        <v>7000000</v>
      </c>
      <c r="EP38" s="392">
        <f t="shared" si="35"/>
        <v>0</v>
      </c>
      <c r="EQ38" s="394"/>
      <c r="ER38" s="392">
        <f>'[1]COE commited funds to date'!AN41</f>
        <v>1150000000</v>
      </c>
      <c r="ES38" s="392">
        <f>'[1]COE DISB 2019'!AN46</f>
        <v>935000000</v>
      </c>
      <c r="ET38" s="392">
        <f t="shared" si="36"/>
        <v>215000000</v>
      </c>
      <c r="EV38" s="383">
        <f>'[1]COE commited funds to date'!AO41</f>
        <v>371067000</v>
      </c>
      <c r="EW38" s="383">
        <f>'[1]COE DISB 2019'!AO46</f>
        <v>315406950</v>
      </c>
      <c r="EX38" s="383">
        <f t="shared" si="38"/>
        <v>55660050</v>
      </c>
      <c r="EY38" s="380"/>
      <c r="EZ38" s="383">
        <f>'[1]COE commited funds to date'!AQ41</f>
        <v>12000000</v>
      </c>
      <c r="FA38" s="383">
        <f>'[1]COE DISB 2019'!AP46</f>
        <v>12000000</v>
      </c>
      <c r="FB38" s="383">
        <f t="shared" si="39"/>
        <v>0</v>
      </c>
      <c r="FC38" s="380"/>
      <c r="FD38" s="383">
        <f>'[1]COE commited funds to date'!AR41</f>
        <v>10000000</v>
      </c>
      <c r="FE38" s="383">
        <f>'[1]COE DISB 2019'!AQ46</f>
        <v>0</v>
      </c>
      <c r="FF38" s="383">
        <f t="shared" si="40"/>
        <v>10000000</v>
      </c>
      <c r="FG38" s="380"/>
      <c r="FH38" s="383">
        <f>'[1]COE commited funds to date'!AP41</f>
        <v>8000000</v>
      </c>
      <c r="FI38" s="383">
        <f>'[1]COE DISB 2019'!AR46</f>
        <v>4320000</v>
      </c>
      <c r="FJ38" s="383">
        <f t="shared" si="41"/>
        <v>3680000</v>
      </c>
      <c r="FK38" s="383">
        <f>'[1]COE commited funds to date'!AS41</f>
        <v>0</v>
      </c>
      <c r="FL38" s="383">
        <f>'[1]COE DISB 2019'!AS46</f>
        <v>0</v>
      </c>
      <c r="FM38" s="383">
        <f t="shared" si="42"/>
        <v>0</v>
      </c>
      <c r="FN38" s="380"/>
      <c r="FO38" s="383">
        <f>'[1]COE commited funds to date'!AT41</f>
        <v>200000000</v>
      </c>
      <c r="FP38" s="383">
        <f>'[1]COE DISB 2019'!AT46</f>
        <v>0</v>
      </c>
      <c r="FQ38" s="383">
        <f t="shared" si="43"/>
        <v>200000000</v>
      </c>
      <c r="FR38" s="380"/>
      <c r="FS38" s="383">
        <f>'[1]COE commited funds to date'!AU41</f>
        <v>75000000</v>
      </c>
      <c r="FT38" s="383">
        <f>'[1]COE DISB 2019'!AU46</f>
        <v>40500000</v>
      </c>
      <c r="FU38" s="383">
        <f t="shared" si="44"/>
        <v>34500000</v>
      </c>
      <c r="FV38" s="380"/>
      <c r="FW38" s="383">
        <f>'[1]COE commited funds to date'!AV41</f>
        <v>8700000</v>
      </c>
      <c r="FX38" s="383">
        <f>'[1]COE DISB 2019'!AV46</f>
        <v>0</v>
      </c>
      <c r="FY38" s="383">
        <f t="shared" si="45"/>
        <v>8700000</v>
      </c>
      <c r="FZ38" s="380"/>
      <c r="GA38" s="383">
        <f>'[1]COE commited funds to date'!AW41</f>
        <v>5000000</v>
      </c>
      <c r="GB38" s="383">
        <f>'[1]COE DISB 2019'!AW46</f>
        <v>0</v>
      </c>
      <c r="GC38" s="383">
        <f t="shared" si="46"/>
        <v>5000000</v>
      </c>
      <c r="GD38" s="380"/>
      <c r="GE38" s="383">
        <f>'[1]COE commited funds to date'!AX41</f>
        <v>20000000</v>
      </c>
      <c r="GF38" s="383">
        <f>'[1]COE DISB 2019'!AX46</f>
        <v>16495510</v>
      </c>
      <c r="GG38" s="383">
        <f t="shared" si="47"/>
        <v>3504490</v>
      </c>
      <c r="GH38" s="380"/>
      <c r="GI38" s="383">
        <f>'[1]COE commited funds to date'!AY41</f>
        <v>230000000</v>
      </c>
      <c r="GJ38" s="383">
        <f>'[1]COE DISB 2019'!AY46</f>
        <v>0</v>
      </c>
      <c r="GK38" s="383">
        <f t="shared" si="48"/>
        <v>230000000</v>
      </c>
      <c r="GL38" s="380"/>
      <c r="GM38" s="383">
        <f>'[1]COE commited funds to date'!AZ41</f>
        <v>116776600</v>
      </c>
      <c r="GN38" s="383">
        <f>'[1]COE DISB 2019'!AZ46</f>
        <v>0</v>
      </c>
      <c r="GO38" s="383">
        <f t="shared" si="49"/>
        <v>116776600</v>
      </c>
      <c r="GP38" s="380"/>
      <c r="GQ38" s="383">
        <f>'[1]COE commited funds to date'!BA41</f>
        <v>12000000</v>
      </c>
      <c r="GR38" s="383">
        <f>'[1]COE DISB 2019'!BA46</f>
        <v>0</v>
      </c>
      <c r="GS38" s="383">
        <f t="shared" si="50"/>
        <v>12000000</v>
      </c>
      <c r="GT38" s="380"/>
      <c r="GU38" s="383">
        <f>'[1]COE commited funds to date'!BB41</f>
        <v>5000000</v>
      </c>
      <c r="GV38" s="383">
        <f>'[1]COE DISB 2019'!BB46</f>
        <v>0</v>
      </c>
      <c r="GW38" s="383">
        <f t="shared" si="51"/>
        <v>5000000</v>
      </c>
      <c r="GX38" s="380"/>
      <c r="GY38" s="383">
        <f>'[1]COE commited funds to date'!BC41</f>
        <v>10308300</v>
      </c>
      <c r="GZ38" s="383">
        <f>'[1]COE DISB 2019'!BC46</f>
        <v>0</v>
      </c>
      <c r="HA38" s="383">
        <f t="shared" si="52"/>
        <v>10308300</v>
      </c>
      <c r="HB38" s="380"/>
      <c r="HC38" s="383">
        <f t="shared" si="53"/>
        <v>4799044865.5</v>
      </c>
      <c r="HD38" s="383">
        <f t="shared" si="53"/>
        <v>3762685425.5</v>
      </c>
      <c r="HE38" s="392">
        <f t="shared" si="54"/>
        <v>1036359440</v>
      </c>
      <c r="HG38" s="383">
        <f t="shared" si="55"/>
        <v>2078615965.5</v>
      </c>
      <c r="HH38" s="383">
        <f t="shared" si="55"/>
        <v>1532405915.5</v>
      </c>
      <c r="HI38" s="383">
        <f t="shared" si="56"/>
        <v>546210050</v>
      </c>
      <c r="HK38" s="383">
        <f t="shared" si="57"/>
        <v>2380000000</v>
      </c>
      <c r="HL38" s="383">
        <f t="shared" si="57"/>
        <v>2105000000</v>
      </c>
      <c r="HM38" s="383">
        <f t="shared" si="58"/>
        <v>275000000</v>
      </c>
      <c r="HO38" s="383">
        <f t="shared" si="71"/>
        <v>644000</v>
      </c>
      <c r="HP38" s="383">
        <f t="shared" si="71"/>
        <v>644000</v>
      </c>
      <c r="HQ38" s="383">
        <f t="shared" si="59"/>
        <v>0</v>
      </c>
      <c r="HS38" s="383">
        <f t="shared" si="60"/>
        <v>89308300</v>
      </c>
      <c r="HT38" s="383">
        <f t="shared" si="60"/>
        <v>75495510</v>
      </c>
      <c r="HU38" s="383">
        <f t="shared" si="61"/>
        <v>13812790</v>
      </c>
      <c r="HW38" s="383">
        <f t="shared" si="62"/>
        <v>36700000</v>
      </c>
      <c r="HX38" s="383">
        <f t="shared" si="62"/>
        <v>8640000</v>
      </c>
      <c r="HY38" s="383">
        <f t="shared" si="63"/>
        <v>28060000</v>
      </c>
      <c r="IA38" s="387">
        <f t="shared" si="64"/>
        <v>20000000</v>
      </c>
      <c r="IB38" s="387">
        <f t="shared" si="64"/>
        <v>0</v>
      </c>
      <c r="IC38" s="387">
        <f t="shared" si="65"/>
        <v>20000000</v>
      </c>
      <c r="IE38" s="383">
        <f t="shared" si="66"/>
        <v>191776600</v>
      </c>
      <c r="IF38" s="383">
        <f t="shared" si="66"/>
        <v>40500000</v>
      </c>
      <c r="IG38" s="383">
        <f t="shared" si="67"/>
        <v>151276600</v>
      </c>
      <c r="II38" s="383">
        <f t="shared" si="68"/>
        <v>2000000</v>
      </c>
      <c r="IJ38" s="383">
        <f t="shared" si="68"/>
        <v>0</v>
      </c>
      <c r="IK38" s="383">
        <f t="shared" si="69"/>
        <v>2000000</v>
      </c>
    </row>
    <row r="39" spans="1:245" x14ac:dyDescent="0.25">
      <c r="A39" s="380">
        <v>36</v>
      </c>
      <c r="B39" s="380" t="s">
        <v>355</v>
      </c>
      <c r="C39" s="431" t="s">
        <v>63</v>
      </c>
      <c r="D39" s="392">
        <v>18318965.5</v>
      </c>
      <c r="E39" s="392">
        <f>'[1]COE DISB 2019'!D47</f>
        <v>18318965.41</v>
      </c>
      <c r="F39" s="383">
        <f t="shared" si="0"/>
        <v>8.9999999850988388E-2</v>
      </c>
      <c r="H39" s="392">
        <v>8000000</v>
      </c>
      <c r="I39" s="392">
        <f>'[1]COE DISB 2019'!E47</f>
        <v>8000000</v>
      </c>
      <c r="J39" s="383">
        <f t="shared" si="1"/>
        <v>0</v>
      </c>
      <c r="L39" s="392">
        <v>500000</v>
      </c>
      <c r="M39" s="392">
        <f>'[1]COE DISB 2019'!F47</f>
        <v>500000</v>
      </c>
      <c r="N39" s="383">
        <f t="shared" si="2"/>
        <v>0</v>
      </c>
      <c r="P39" s="353">
        <v>16000000</v>
      </c>
      <c r="Q39" s="392">
        <f>'[1]COE DISB 2019'!G47</f>
        <v>16000000</v>
      </c>
      <c r="R39" s="383">
        <f t="shared" si="3"/>
        <v>0</v>
      </c>
      <c r="T39" s="385">
        <v>974635.2</v>
      </c>
      <c r="U39" s="385">
        <f>'[1]COE DISB 2019'!H47</f>
        <v>974635.2</v>
      </c>
      <c r="V39" s="383">
        <f t="shared" si="4"/>
        <v>0</v>
      </c>
      <c r="X39" s="353">
        <v>0</v>
      </c>
      <c r="Y39" s="392">
        <f>'[1]COE DISB 2019'!I47</f>
        <v>0</v>
      </c>
      <c r="Z39" s="383">
        <f t="shared" si="5"/>
        <v>0</v>
      </c>
      <c r="AB39" s="385">
        <v>20000000</v>
      </c>
      <c r="AC39" s="392">
        <f>'[1]COE DISB 2019'!J47</f>
        <v>20000000</v>
      </c>
      <c r="AD39" s="383">
        <f t="shared" si="6"/>
        <v>0</v>
      </c>
      <c r="AF39" s="353">
        <v>0</v>
      </c>
      <c r="AG39" s="392">
        <f>'[1]COE DISB 2019'!K47</f>
        <v>0</v>
      </c>
      <c r="AH39" s="383">
        <f t="shared" si="7"/>
        <v>0</v>
      </c>
      <c r="AJ39" s="385">
        <v>10000000</v>
      </c>
      <c r="AK39" s="392">
        <f>'[1]COE DISB 2019'!L47</f>
        <v>10000000</v>
      </c>
      <c r="AL39" s="383">
        <f t="shared" si="8"/>
        <v>0</v>
      </c>
      <c r="AN39" s="392">
        <v>10000000</v>
      </c>
      <c r="AO39" s="392">
        <f>'[1]COE DISB 2019'!M47</f>
        <v>10000000</v>
      </c>
      <c r="AP39" s="383">
        <f t="shared" si="9"/>
        <v>0</v>
      </c>
      <c r="AR39" s="392">
        <v>15000000</v>
      </c>
      <c r="AS39" s="392">
        <f>'[1]COE DISB 2019'!N47</f>
        <v>15000000</v>
      </c>
      <c r="AT39" s="383">
        <f t="shared" si="10"/>
        <v>0</v>
      </c>
      <c r="AV39" s="392">
        <v>5000000</v>
      </c>
      <c r="AW39" s="393">
        <f>'[1]COE DISB 2019'!O47</f>
        <v>5000000</v>
      </c>
      <c r="AX39" s="392">
        <f t="shared" si="11"/>
        <v>0</v>
      </c>
      <c r="AZ39" s="392">
        <v>18000000</v>
      </c>
      <c r="BA39" s="392">
        <f>'[1]COE DISB 2019'!P47</f>
        <v>18000000</v>
      </c>
      <c r="BB39" s="392">
        <f t="shared" si="12"/>
        <v>0</v>
      </c>
      <c r="BD39" s="392">
        <v>23400000</v>
      </c>
      <c r="BE39" s="392">
        <f>'[1]COE DISB 2019'!Q47</f>
        <v>23400000</v>
      </c>
      <c r="BF39" s="392">
        <f t="shared" si="13"/>
        <v>0</v>
      </c>
      <c r="BH39" s="392">
        <v>0</v>
      </c>
      <c r="BI39" s="392">
        <f>'[1]COE DISB 2019'!R47</f>
        <v>0</v>
      </c>
      <c r="BJ39" s="392">
        <f t="shared" si="14"/>
        <v>0</v>
      </c>
      <c r="BL39" s="392">
        <v>43000000</v>
      </c>
      <c r="BM39" s="392">
        <f>'[1]COE DISB 2019'!S47</f>
        <v>43000000</v>
      </c>
      <c r="BN39" s="392">
        <f t="shared" si="15"/>
        <v>0</v>
      </c>
      <c r="BP39" s="392">
        <v>37160000</v>
      </c>
      <c r="BQ39" s="392">
        <f>'[1]COE DISB 2019'!T47</f>
        <v>37160000</v>
      </c>
      <c r="BR39" s="392">
        <f t="shared" si="16"/>
        <v>0</v>
      </c>
      <c r="BT39" s="392">
        <v>0</v>
      </c>
      <c r="BU39" s="392">
        <f>'[1]COE DISB 2019'!U47</f>
        <v>0</v>
      </c>
      <c r="BV39" s="392">
        <f t="shared" si="17"/>
        <v>0</v>
      </c>
      <c r="BX39" s="392">
        <v>95769500</v>
      </c>
      <c r="BY39" s="392">
        <f>'[1]COE DISB 2019'!V47</f>
        <v>95769500</v>
      </c>
      <c r="BZ39" s="392">
        <f t="shared" si="18"/>
        <v>0</v>
      </c>
      <c r="CB39" s="392">
        <f>'[1]COE commited funds to date'!W42</f>
        <v>30000000</v>
      </c>
      <c r="CC39" s="392">
        <f>'[1]COE DISB 2019'!W47</f>
        <v>30000000</v>
      </c>
      <c r="CD39" s="392">
        <f t="shared" si="19"/>
        <v>0</v>
      </c>
      <c r="CF39" s="392">
        <f>'[1]COE commited funds to date'!X42</f>
        <v>125000000</v>
      </c>
      <c r="CG39" s="392">
        <f>'[1]COE DISB 2019'!X47</f>
        <v>125000000</v>
      </c>
      <c r="CH39" s="392">
        <f t="shared" si="20"/>
        <v>0</v>
      </c>
      <c r="CJ39" s="392">
        <v>10000000</v>
      </c>
      <c r="CK39" s="392">
        <f>'[1]COE DISB 2019'!Y47</f>
        <v>10000000</v>
      </c>
      <c r="CL39" s="392">
        <f t="shared" si="21"/>
        <v>0</v>
      </c>
      <c r="CN39" s="392">
        <v>0</v>
      </c>
      <c r="CO39" s="392">
        <f>'[1]COE DISB 2019'!Z47</f>
        <v>0</v>
      </c>
      <c r="CP39" s="392">
        <f t="shared" si="22"/>
        <v>0</v>
      </c>
      <c r="CR39" s="392">
        <v>210000000</v>
      </c>
      <c r="CS39" s="392">
        <f>'[1]COE DISB 2019'!AA47</f>
        <v>210000000</v>
      </c>
      <c r="CT39" s="392">
        <f t="shared" si="23"/>
        <v>0</v>
      </c>
      <c r="CV39" s="392">
        <v>10000000</v>
      </c>
      <c r="CW39" s="392">
        <f>'[1]COE DISB 2019'!AB47</f>
        <v>10000000</v>
      </c>
      <c r="CX39" s="392">
        <f t="shared" si="24"/>
        <v>0</v>
      </c>
      <c r="CZ39" s="392">
        <f>'[1]COE commited funds to date'!AC42</f>
        <v>0</v>
      </c>
      <c r="DA39" s="392">
        <f>'[1]COE DISB 2019'!AC47</f>
        <v>0</v>
      </c>
      <c r="DB39" s="392">
        <f t="shared" si="25"/>
        <v>0</v>
      </c>
      <c r="DC39" s="394"/>
      <c r="DD39" s="392">
        <v>215000000</v>
      </c>
      <c r="DE39" s="392">
        <f>'[1]COE DISB 2019'!AD47</f>
        <v>131150000</v>
      </c>
      <c r="DF39" s="392">
        <f t="shared" si="26"/>
        <v>83850000</v>
      </c>
      <c r="DG39" s="394"/>
      <c r="DH39" s="392">
        <v>10000000</v>
      </c>
      <c r="DI39" s="392">
        <f>'[1]COE DISB 2019'!AE47</f>
        <v>10000000</v>
      </c>
      <c r="DJ39" s="392">
        <f t="shared" si="70"/>
        <v>0</v>
      </c>
      <c r="DK39" s="394"/>
      <c r="DL39" s="392">
        <f>'[1]COE commited funds to date'!AD42</f>
        <v>10000000</v>
      </c>
      <c r="DM39" s="392">
        <f>'[1]COE DISB 2019'!AF47</f>
        <v>10000000</v>
      </c>
      <c r="DN39" s="392">
        <f t="shared" si="28"/>
        <v>0</v>
      </c>
      <c r="DO39" s="394"/>
      <c r="DP39" s="392">
        <v>325000000</v>
      </c>
      <c r="DQ39" s="392">
        <f>'[1]COE DISB 2019'!AG47</f>
        <v>198250000</v>
      </c>
      <c r="DR39" s="392">
        <f t="shared" si="29"/>
        <v>126750000</v>
      </c>
      <c r="DS39" s="394"/>
      <c r="DT39" s="397">
        <v>10000000</v>
      </c>
      <c r="DU39" s="392">
        <f>'[1]COE DISB 2019'!AH47</f>
        <v>10000000</v>
      </c>
      <c r="DV39" s="392">
        <f t="shared" si="30"/>
        <v>0</v>
      </c>
      <c r="DW39" s="394"/>
      <c r="DX39" s="392">
        <f>'[1]COE commited funds to date'!AI42</f>
        <v>10000000</v>
      </c>
      <c r="DY39" s="392">
        <f>'[1]COE DISB 2019'!AI47</f>
        <v>10000000</v>
      </c>
      <c r="DZ39" s="392">
        <f t="shared" si="31"/>
        <v>0</v>
      </c>
      <c r="EA39" s="394"/>
      <c r="EB39" s="392">
        <f>'[1]COE commited funds to date'!AJ42</f>
        <v>72000000</v>
      </c>
      <c r="EC39" s="392">
        <f>'[1]COE DISB 2019'!AJ47</f>
        <v>43920000</v>
      </c>
      <c r="ED39" s="392">
        <f t="shared" si="32"/>
        <v>28080000</v>
      </c>
      <c r="EE39" s="394"/>
      <c r="EF39" s="392">
        <f>'[1]COE commited funds to date'!AK42</f>
        <v>8000000</v>
      </c>
      <c r="EG39" s="392">
        <f>'[1]COE DISB 2019'!AK47</f>
        <v>8000000</v>
      </c>
      <c r="EH39" s="392">
        <f t="shared" si="33"/>
        <v>0</v>
      </c>
      <c r="EI39" s="394"/>
      <c r="EJ39" s="392">
        <f>'[1]COE commited funds to date'!AL42</f>
        <v>2000000</v>
      </c>
      <c r="EK39" s="392">
        <f>'[1]COE DISB 2019'!AL47</f>
        <v>1700000</v>
      </c>
      <c r="EL39" s="392">
        <f t="shared" si="34"/>
        <v>300000</v>
      </c>
      <c r="EM39" s="394"/>
      <c r="EN39" s="392">
        <f>'[1]COE commited funds to date'!AM42</f>
        <v>7000000</v>
      </c>
      <c r="EO39" s="392">
        <f>'[1]COE DISB 2019'!AM47</f>
        <v>7000000</v>
      </c>
      <c r="EP39" s="392">
        <f t="shared" si="35"/>
        <v>0</v>
      </c>
      <c r="EQ39" s="394"/>
      <c r="ER39" s="392">
        <f>'[1]COE commited funds to date'!AN42</f>
        <v>1000000000</v>
      </c>
      <c r="ES39" s="392">
        <f>'[1]COE DISB 2019'!AN47</f>
        <v>905000000</v>
      </c>
      <c r="ET39" s="392">
        <f t="shared" si="36"/>
        <v>95000000</v>
      </c>
      <c r="EV39" s="383">
        <f>'[1]COE commited funds to date'!AO42</f>
        <v>371067000</v>
      </c>
      <c r="EW39" s="383">
        <f>'[1]COE DISB 2019'!AO47</f>
        <v>226350870</v>
      </c>
      <c r="EX39" s="383">
        <f t="shared" si="38"/>
        <v>144716130</v>
      </c>
      <c r="EY39" s="380"/>
      <c r="EZ39" s="383">
        <f>'[1]COE commited funds to date'!AQ42</f>
        <v>12000000</v>
      </c>
      <c r="FA39" s="383">
        <f>'[1]COE DISB 2019'!AP47</f>
        <v>12000000</v>
      </c>
      <c r="FB39" s="383">
        <f t="shared" si="39"/>
        <v>0</v>
      </c>
      <c r="FC39" s="380"/>
      <c r="FD39" s="383">
        <f>'[1]COE commited funds to date'!AR42</f>
        <v>10000000</v>
      </c>
      <c r="FE39" s="383">
        <f>'[1]COE DISB 2019'!AQ47</f>
        <v>0</v>
      </c>
      <c r="FF39" s="383">
        <f t="shared" si="40"/>
        <v>10000000</v>
      </c>
      <c r="FG39" s="380"/>
      <c r="FH39" s="383">
        <f>'[1]COE commited funds to date'!AP42</f>
        <v>8000000</v>
      </c>
      <c r="FI39" s="383">
        <f>'[1]COE DISB 2019'!AR47</f>
        <v>8000000</v>
      </c>
      <c r="FJ39" s="383">
        <f t="shared" si="41"/>
        <v>0</v>
      </c>
      <c r="FK39" s="383">
        <f>'[1]COE commited funds to date'!AS42</f>
        <v>0</v>
      </c>
      <c r="FL39" s="383">
        <f>'[1]COE DISB 2019'!AS47</f>
        <v>0</v>
      </c>
      <c r="FM39" s="383">
        <f t="shared" si="42"/>
        <v>0</v>
      </c>
      <c r="FN39" s="380"/>
      <c r="FO39" s="383">
        <f>'[1]COE commited funds to date'!AT42</f>
        <v>200000000</v>
      </c>
      <c r="FP39" s="383">
        <f>'[1]COE DISB 2019'!AT47</f>
        <v>0</v>
      </c>
      <c r="FQ39" s="383">
        <f t="shared" si="43"/>
        <v>200000000</v>
      </c>
      <c r="FR39" s="380"/>
      <c r="FS39" s="383">
        <f>'[1]COE commited funds to date'!AU42</f>
        <v>75000000</v>
      </c>
      <c r="FT39" s="383">
        <f>'[1]COE DISB 2019'!AU47</f>
        <v>50250000</v>
      </c>
      <c r="FU39" s="383">
        <f t="shared" si="44"/>
        <v>24750000</v>
      </c>
      <c r="FV39" s="380"/>
      <c r="FW39" s="383">
        <f>'[1]COE commited funds to date'!AV42</f>
        <v>8700000</v>
      </c>
      <c r="FX39" s="383">
        <f>'[1]COE DISB 2019'!AV47</f>
        <v>0</v>
      </c>
      <c r="FY39" s="383">
        <f t="shared" si="45"/>
        <v>8700000</v>
      </c>
      <c r="FZ39" s="380"/>
      <c r="GA39" s="383">
        <f>'[1]COE commited funds to date'!AW42</f>
        <v>5000000</v>
      </c>
      <c r="GB39" s="383">
        <f>'[1]COE DISB 2019'!AW47</f>
        <v>0</v>
      </c>
      <c r="GC39" s="383">
        <f t="shared" si="46"/>
        <v>5000000</v>
      </c>
      <c r="GD39" s="380"/>
      <c r="GE39" s="383">
        <f>'[1]COE commited funds to date'!AX42</f>
        <v>20000000</v>
      </c>
      <c r="GF39" s="383">
        <f>'[1]COE DISB 2019'!AX47</f>
        <v>13174075</v>
      </c>
      <c r="GG39" s="383">
        <f t="shared" si="47"/>
        <v>6825925</v>
      </c>
      <c r="GH39" s="380"/>
      <c r="GI39" s="383">
        <f>'[1]COE commited funds to date'!AY42</f>
        <v>230000000</v>
      </c>
      <c r="GJ39" s="383">
        <f>'[1]COE DISB 2019'!AY47</f>
        <v>0</v>
      </c>
      <c r="GK39" s="383">
        <f t="shared" si="48"/>
        <v>230000000</v>
      </c>
      <c r="GL39" s="380"/>
      <c r="GM39" s="383">
        <f>'[1]COE commited funds to date'!AZ42</f>
        <v>116776600</v>
      </c>
      <c r="GN39" s="383">
        <f>'[1]COE DISB 2019'!AZ47</f>
        <v>0</v>
      </c>
      <c r="GO39" s="383">
        <f t="shared" si="49"/>
        <v>116776600</v>
      </c>
      <c r="GP39" s="380"/>
      <c r="GQ39" s="383">
        <f>'[1]COE commited funds to date'!BA42</f>
        <v>12000000</v>
      </c>
      <c r="GR39" s="383">
        <f>'[1]COE DISB 2019'!BA47</f>
        <v>0</v>
      </c>
      <c r="GS39" s="383">
        <f t="shared" si="50"/>
        <v>12000000</v>
      </c>
      <c r="GT39" s="380"/>
      <c r="GU39" s="383">
        <f>'[1]COE commited funds to date'!BB42</f>
        <v>5000000</v>
      </c>
      <c r="GV39" s="383">
        <f>'[1]COE DISB 2019'!BB47</f>
        <v>0</v>
      </c>
      <c r="GW39" s="383">
        <f t="shared" si="51"/>
        <v>5000000</v>
      </c>
      <c r="GX39" s="380"/>
      <c r="GY39" s="383">
        <f>'[1]COE commited funds to date'!BC42</f>
        <v>10308300</v>
      </c>
      <c r="GZ39" s="383">
        <f>'[1]COE DISB 2019'!BC47</f>
        <v>0</v>
      </c>
      <c r="HA39" s="383">
        <f t="shared" si="52"/>
        <v>10308300</v>
      </c>
      <c r="HB39" s="380"/>
      <c r="HC39" s="383">
        <f t="shared" si="53"/>
        <v>3458975000.6999998</v>
      </c>
      <c r="HD39" s="383">
        <f t="shared" si="53"/>
        <v>2350918045.6100001</v>
      </c>
      <c r="HE39" s="392">
        <f t="shared" si="54"/>
        <v>1108056955.0899997</v>
      </c>
      <c r="HG39" s="383">
        <f t="shared" si="55"/>
        <v>2062715465.5</v>
      </c>
      <c r="HH39" s="383">
        <f t="shared" si="55"/>
        <v>1249319335.4099998</v>
      </c>
      <c r="HI39" s="383">
        <f t="shared" si="56"/>
        <v>813396130.09000015</v>
      </c>
      <c r="HK39" s="383">
        <f t="shared" si="57"/>
        <v>1050000000</v>
      </c>
      <c r="HL39" s="383">
        <f t="shared" si="57"/>
        <v>955000000</v>
      </c>
      <c r="HM39" s="383">
        <f t="shared" si="58"/>
        <v>95000000</v>
      </c>
      <c r="HO39" s="383">
        <f t="shared" si="71"/>
        <v>1474635.2</v>
      </c>
      <c r="HP39" s="383">
        <f t="shared" si="71"/>
        <v>1474635.2</v>
      </c>
      <c r="HQ39" s="383">
        <f t="shared" si="59"/>
        <v>0</v>
      </c>
      <c r="HS39" s="383">
        <f t="shared" si="60"/>
        <v>89308300</v>
      </c>
      <c r="HT39" s="383">
        <f t="shared" si="60"/>
        <v>72174075</v>
      </c>
      <c r="HU39" s="383">
        <f t="shared" si="61"/>
        <v>17134225</v>
      </c>
      <c r="HW39" s="383">
        <f t="shared" si="62"/>
        <v>36700000</v>
      </c>
      <c r="HX39" s="383">
        <f t="shared" si="62"/>
        <v>16000000</v>
      </c>
      <c r="HY39" s="383">
        <f t="shared" si="63"/>
        <v>20700000</v>
      </c>
      <c r="IA39" s="387">
        <f t="shared" si="64"/>
        <v>20000000</v>
      </c>
      <c r="IB39" s="387">
        <f t="shared" si="64"/>
        <v>0</v>
      </c>
      <c r="IC39" s="387">
        <f t="shared" si="65"/>
        <v>20000000</v>
      </c>
      <c r="IE39" s="383">
        <f t="shared" si="66"/>
        <v>191776600</v>
      </c>
      <c r="IF39" s="383">
        <f t="shared" si="66"/>
        <v>50250000</v>
      </c>
      <c r="IG39" s="383">
        <f t="shared" si="67"/>
        <v>141526600</v>
      </c>
      <c r="II39" s="383">
        <f t="shared" si="68"/>
        <v>2000000</v>
      </c>
      <c r="IJ39" s="383">
        <f t="shared" si="68"/>
        <v>1700000</v>
      </c>
      <c r="IK39" s="383">
        <f t="shared" si="69"/>
        <v>300000</v>
      </c>
    </row>
    <row r="40" spans="1:245" x14ac:dyDescent="0.25">
      <c r="A40" s="380">
        <v>37</v>
      </c>
      <c r="B40" s="380" t="s">
        <v>356</v>
      </c>
      <c r="C40" s="438" t="s">
        <v>63</v>
      </c>
      <c r="D40" s="392">
        <v>18318965.5</v>
      </c>
      <c r="E40" s="392">
        <f>'[1]COE DISB 2019'!D48</f>
        <v>18318965.5</v>
      </c>
      <c r="F40" s="383">
        <f t="shared" si="0"/>
        <v>0</v>
      </c>
      <c r="H40" s="392">
        <v>8000000</v>
      </c>
      <c r="I40" s="392">
        <f>'[1]COE DISB 2019'!E48</f>
        <v>8000000</v>
      </c>
      <c r="J40" s="383">
        <f t="shared" si="1"/>
        <v>0</v>
      </c>
      <c r="L40" s="392">
        <v>500000</v>
      </c>
      <c r="M40" s="392">
        <f>'[1]COE DISB 2019'!F48</f>
        <v>500000</v>
      </c>
      <c r="N40" s="383">
        <f t="shared" si="2"/>
        <v>0</v>
      </c>
      <c r="P40" s="353">
        <v>16000000</v>
      </c>
      <c r="Q40" s="392">
        <f>'[1]COE DISB 2019'!G48</f>
        <v>16000000</v>
      </c>
      <c r="R40" s="383">
        <f t="shared" si="3"/>
        <v>0</v>
      </c>
      <c r="T40" s="385">
        <v>156000</v>
      </c>
      <c r="U40" s="392">
        <f>'[1]COE DISB 2019'!H48</f>
        <v>156000</v>
      </c>
      <c r="V40" s="383">
        <f t="shared" si="4"/>
        <v>0</v>
      </c>
      <c r="X40" s="353">
        <v>0</v>
      </c>
      <c r="Y40" s="392">
        <f>'[1]COE DISB 2019'!I48</f>
        <v>0</v>
      </c>
      <c r="Z40" s="383">
        <f t="shared" si="5"/>
        <v>0</v>
      </c>
      <c r="AB40" s="385">
        <v>20000000</v>
      </c>
      <c r="AC40" s="392">
        <f>'[1]COE DISB 2019'!J48</f>
        <v>20000000</v>
      </c>
      <c r="AD40" s="383">
        <f t="shared" si="6"/>
        <v>0</v>
      </c>
      <c r="AF40" s="353">
        <v>0</v>
      </c>
      <c r="AG40" s="392">
        <f>'[1]COE DISB 2019'!K48</f>
        <v>0</v>
      </c>
      <c r="AH40" s="383">
        <f t="shared" si="7"/>
        <v>0</v>
      </c>
      <c r="AJ40" s="385">
        <v>10000000</v>
      </c>
      <c r="AK40" s="392">
        <f>'[1]COE DISB 2019'!L48</f>
        <v>10000000</v>
      </c>
      <c r="AL40" s="383">
        <f t="shared" si="8"/>
        <v>0</v>
      </c>
      <c r="AN40" s="392">
        <v>10000000</v>
      </c>
      <c r="AO40" s="392">
        <f>'[1]COE DISB 2019'!M48</f>
        <v>10000000</v>
      </c>
      <c r="AP40" s="383">
        <f t="shared" si="9"/>
        <v>0</v>
      </c>
      <c r="AR40" s="392">
        <v>15000000</v>
      </c>
      <c r="AS40" s="392">
        <f>'[1]COE DISB 2019'!N48</f>
        <v>15000000</v>
      </c>
      <c r="AT40" s="383">
        <f t="shared" si="10"/>
        <v>0</v>
      </c>
      <c r="AV40" s="392">
        <v>0</v>
      </c>
      <c r="AW40" s="397">
        <f>'[1]COE DISB 2019'!O48</f>
        <v>0</v>
      </c>
      <c r="AX40" s="392">
        <f t="shared" si="11"/>
        <v>0</v>
      </c>
      <c r="AZ40" s="392">
        <v>18000000</v>
      </c>
      <c r="BA40" s="392">
        <f>'[1]COE DISB 2019'!P48</f>
        <v>18000000</v>
      </c>
      <c r="BB40" s="392">
        <f t="shared" si="12"/>
        <v>0</v>
      </c>
      <c r="BD40" s="392">
        <v>23400000</v>
      </c>
      <c r="BE40" s="392">
        <f>'[1]COE DISB 2019'!Q48</f>
        <v>23400000</v>
      </c>
      <c r="BF40" s="392">
        <f t="shared" si="13"/>
        <v>0</v>
      </c>
      <c r="BH40" s="392">
        <v>0</v>
      </c>
      <c r="BI40" s="392">
        <f>'[1]COE DISB 2019'!R48</f>
        <v>0</v>
      </c>
      <c r="BJ40" s="392">
        <f t="shared" si="14"/>
        <v>0</v>
      </c>
      <c r="BL40" s="392">
        <v>43000000</v>
      </c>
      <c r="BM40" s="392">
        <f>'[1]COE DISB 2019'!S48</f>
        <v>43000000</v>
      </c>
      <c r="BN40" s="392">
        <f t="shared" si="15"/>
        <v>0</v>
      </c>
      <c r="BP40" s="392">
        <v>37160000</v>
      </c>
      <c r="BQ40" s="392">
        <f>'[1]COE DISB 2019'!T48</f>
        <v>37160000</v>
      </c>
      <c r="BR40" s="392">
        <f t="shared" si="16"/>
        <v>0</v>
      </c>
      <c r="BT40" s="392">
        <v>0</v>
      </c>
      <c r="BU40" s="392">
        <f>'[1]COE DISB 2019'!U48</f>
        <v>0</v>
      </c>
      <c r="BV40" s="392">
        <f t="shared" si="17"/>
        <v>0</v>
      </c>
      <c r="BX40" s="392">
        <v>112670000</v>
      </c>
      <c r="BY40" s="392">
        <f>'[1]COE DISB 2019'!V48</f>
        <v>112670000</v>
      </c>
      <c r="BZ40" s="392">
        <f t="shared" si="18"/>
        <v>0</v>
      </c>
      <c r="CB40" s="392">
        <f>'[1]COE commited funds to date'!W43</f>
        <v>235000000</v>
      </c>
      <c r="CC40" s="392">
        <f>'[1]COE DISB 2019'!W48</f>
        <v>235000000</v>
      </c>
      <c r="CD40" s="392">
        <f t="shared" si="19"/>
        <v>0</v>
      </c>
      <c r="CF40" s="392">
        <f>'[1]COE commited funds to date'!X43</f>
        <v>125000000</v>
      </c>
      <c r="CG40" s="392">
        <f>'[1]COE DISB 2019'!X48</f>
        <v>125000000</v>
      </c>
      <c r="CH40" s="392">
        <f t="shared" si="20"/>
        <v>0</v>
      </c>
      <c r="CJ40" s="392">
        <v>10000000</v>
      </c>
      <c r="CK40" s="392">
        <f>'[1]COE DISB 2019'!Y48</f>
        <v>10000000</v>
      </c>
      <c r="CL40" s="392">
        <f t="shared" si="21"/>
        <v>0</v>
      </c>
      <c r="CN40" s="392">
        <v>0</v>
      </c>
      <c r="CO40" s="392">
        <f>'[1]COE DISB 2019'!Z48</f>
        <v>0</v>
      </c>
      <c r="CP40" s="392">
        <f t="shared" si="22"/>
        <v>0</v>
      </c>
      <c r="CR40" s="392">
        <v>210000000</v>
      </c>
      <c r="CS40" s="392">
        <f>'[1]COE DISB 2019'!AA48</f>
        <v>210000000</v>
      </c>
      <c r="CT40" s="392">
        <f t="shared" si="23"/>
        <v>0</v>
      </c>
      <c r="CV40" s="392">
        <v>10000000</v>
      </c>
      <c r="CW40" s="392">
        <f>'[1]COE DISB 2019'!AB48</f>
        <v>10000000</v>
      </c>
      <c r="CX40" s="392">
        <f t="shared" si="24"/>
        <v>0</v>
      </c>
      <c r="CZ40" s="392">
        <f>'[1]COE commited funds to date'!AC43</f>
        <v>500000000</v>
      </c>
      <c r="DA40" s="392">
        <f>'[1]COE DISB 2019'!AC48</f>
        <v>500000000</v>
      </c>
      <c r="DB40" s="392">
        <f t="shared" si="25"/>
        <v>0</v>
      </c>
      <c r="DC40" s="394"/>
      <c r="DD40" s="392">
        <v>215000000</v>
      </c>
      <c r="DE40" s="392">
        <f>'[1]COE DISB 2019'!AD48</f>
        <v>215000000</v>
      </c>
      <c r="DF40" s="392">
        <f t="shared" si="26"/>
        <v>0</v>
      </c>
      <c r="DG40" s="394"/>
      <c r="DH40" s="392">
        <v>10000000</v>
      </c>
      <c r="DI40" s="392">
        <f>'[1]COE DISB 2019'!AE48</f>
        <v>10000000</v>
      </c>
      <c r="DJ40" s="392">
        <f t="shared" si="70"/>
        <v>0</v>
      </c>
      <c r="DK40" s="394"/>
      <c r="DL40" s="392">
        <f>'[1]COE commited funds to date'!AD43</f>
        <v>630000000</v>
      </c>
      <c r="DM40" s="392">
        <f>'[1]COE DISB 2019'!AF48</f>
        <v>630000000</v>
      </c>
      <c r="DN40" s="392">
        <f t="shared" si="28"/>
        <v>0</v>
      </c>
      <c r="DO40" s="394"/>
      <c r="DP40" s="392">
        <v>325000000</v>
      </c>
      <c r="DQ40" s="392">
        <f>'[1]COE DISB 2019'!AG48</f>
        <v>325000000</v>
      </c>
      <c r="DR40" s="392">
        <f t="shared" si="29"/>
        <v>0</v>
      </c>
      <c r="DS40" s="394"/>
      <c r="DT40" s="397">
        <v>10000000</v>
      </c>
      <c r="DU40" s="392">
        <f>'[1]COE DISB 2019'!AH48</f>
        <v>10000000</v>
      </c>
      <c r="DV40" s="392">
        <f t="shared" si="30"/>
        <v>0</v>
      </c>
      <c r="DW40" s="394"/>
      <c r="DX40" s="392">
        <f>'[1]COE commited funds to date'!AI43</f>
        <v>600000000</v>
      </c>
      <c r="DY40" s="392">
        <f>'[1]COE DISB 2019'!AI48</f>
        <v>600000000</v>
      </c>
      <c r="DZ40" s="392">
        <f t="shared" si="31"/>
        <v>0</v>
      </c>
      <c r="EA40" s="394"/>
      <c r="EB40" s="392">
        <f>'[1]COE commited funds to date'!AJ43</f>
        <v>72000000</v>
      </c>
      <c r="EC40" s="392">
        <f>'[1]COE DISB 2019'!AJ48</f>
        <v>61200000</v>
      </c>
      <c r="ED40" s="392">
        <f t="shared" si="32"/>
        <v>10800000</v>
      </c>
      <c r="EE40" s="394"/>
      <c r="EF40" s="392">
        <f>'[1]COE commited funds to date'!AK43</f>
        <v>8000000</v>
      </c>
      <c r="EG40" s="392">
        <f>'[1]COE DISB 2019'!AK48</f>
        <v>0</v>
      </c>
      <c r="EH40" s="392">
        <f t="shared" si="33"/>
        <v>8000000</v>
      </c>
      <c r="EI40" s="394"/>
      <c r="EJ40" s="392">
        <f>'[1]COE commited funds to date'!AL43</f>
        <v>2000000</v>
      </c>
      <c r="EK40" s="392">
        <f>'[1]COE DISB 2019'!AL48</f>
        <v>2000000</v>
      </c>
      <c r="EL40" s="392">
        <f t="shared" si="34"/>
        <v>0</v>
      </c>
      <c r="EM40" s="394"/>
      <c r="EN40" s="392">
        <f>'[1]COE commited funds to date'!AM43</f>
        <v>7000000</v>
      </c>
      <c r="EO40" s="392">
        <f>'[1]COE DISB 2019'!AM48</f>
        <v>7000000</v>
      </c>
      <c r="EP40" s="392">
        <f t="shared" si="35"/>
        <v>0</v>
      </c>
      <c r="EQ40" s="394"/>
      <c r="ER40" s="392">
        <f>'[1]COE commited funds to date'!AN43</f>
        <v>310000000</v>
      </c>
      <c r="ES40" s="392">
        <f>'[1]COE DISB 2019'!AN48</f>
        <v>310000000</v>
      </c>
      <c r="ET40" s="392">
        <f t="shared" si="36"/>
        <v>0</v>
      </c>
      <c r="EV40" s="383">
        <f>'[1]COE commited funds to date'!AO43</f>
        <v>371067000</v>
      </c>
      <c r="EW40" s="383">
        <f>'[1]COE DISB 2019'!AO48</f>
        <v>315406950</v>
      </c>
      <c r="EX40" s="383">
        <f t="shared" si="38"/>
        <v>55660050</v>
      </c>
      <c r="EY40" s="380"/>
      <c r="EZ40" s="383">
        <f>'[1]COE commited funds to date'!AQ43</f>
        <v>12000000</v>
      </c>
      <c r="FA40" s="383">
        <f>'[1]COE DISB 2019'!AP48</f>
        <v>12000000</v>
      </c>
      <c r="FB40" s="383">
        <f t="shared" si="39"/>
        <v>0</v>
      </c>
      <c r="FC40" s="380"/>
      <c r="FD40" s="383">
        <f>'[1]COE commited funds to date'!AR43</f>
        <v>10000000</v>
      </c>
      <c r="FE40" s="383">
        <f>'[1]COE DISB 2019'!AQ48</f>
        <v>0</v>
      </c>
      <c r="FF40" s="383">
        <f t="shared" si="40"/>
        <v>10000000</v>
      </c>
      <c r="FG40" s="380"/>
      <c r="FH40" s="383">
        <f>'[1]COE commited funds to date'!AP43</f>
        <v>8000000</v>
      </c>
      <c r="FI40" s="383">
        <f>'[1]COE DISB 2019'!AR48</f>
        <v>0</v>
      </c>
      <c r="FJ40" s="383">
        <f t="shared" si="41"/>
        <v>8000000</v>
      </c>
      <c r="FK40" s="383">
        <f>'[1]COE commited funds to date'!AS43</f>
        <v>0</v>
      </c>
      <c r="FL40" s="383">
        <f>'[1]COE DISB 2019'!AS48</f>
        <v>0</v>
      </c>
      <c r="FM40" s="383">
        <f t="shared" si="42"/>
        <v>0</v>
      </c>
      <c r="FN40" s="380"/>
      <c r="FO40" s="383">
        <f>'[1]COE commited funds to date'!AT43</f>
        <v>200000000</v>
      </c>
      <c r="FP40" s="383">
        <f>'[1]COE DISB 2019'!AT48</f>
        <v>0</v>
      </c>
      <c r="FQ40" s="383">
        <f t="shared" si="43"/>
        <v>200000000</v>
      </c>
      <c r="FR40" s="380"/>
      <c r="FS40" s="383">
        <f>'[1]COE commited funds to date'!AU43</f>
        <v>75000000</v>
      </c>
      <c r="FT40" s="383">
        <f>'[1]COE DISB 2019'!AU48</f>
        <v>75000000</v>
      </c>
      <c r="FU40" s="383">
        <f t="shared" si="44"/>
        <v>0</v>
      </c>
      <c r="FV40" s="380"/>
      <c r="FW40" s="383">
        <f>'[1]COE commited funds to date'!AV43</f>
        <v>8700000</v>
      </c>
      <c r="FX40" s="383">
        <f>'[1]COE DISB 2019'!AV48</f>
        <v>0</v>
      </c>
      <c r="FY40" s="383">
        <f t="shared" si="45"/>
        <v>8700000</v>
      </c>
      <c r="FZ40" s="380"/>
      <c r="GA40" s="383">
        <f>'[1]COE commited funds to date'!AW43</f>
        <v>5000000</v>
      </c>
      <c r="GB40" s="383">
        <f>'[1]COE DISB 2019'!AW48</f>
        <v>0</v>
      </c>
      <c r="GC40" s="383">
        <f t="shared" si="46"/>
        <v>5000000</v>
      </c>
      <c r="GD40" s="380"/>
      <c r="GE40" s="383">
        <f>'[1]COE commited funds to date'!AX43</f>
        <v>20000000</v>
      </c>
      <c r="GF40" s="383">
        <f>'[1]COE DISB 2019'!AX48</f>
        <v>19166100</v>
      </c>
      <c r="GG40" s="383">
        <f t="shared" si="47"/>
        <v>833900</v>
      </c>
      <c r="GH40" s="380"/>
      <c r="GI40" s="383">
        <f>'[1]COE commited funds to date'!AY43</f>
        <v>230000000</v>
      </c>
      <c r="GJ40" s="383">
        <f>'[1]COE DISB 2019'!AY48</f>
        <v>0</v>
      </c>
      <c r="GK40" s="383">
        <f t="shared" si="48"/>
        <v>230000000</v>
      </c>
      <c r="GL40" s="380"/>
      <c r="GM40" s="383">
        <f>'[1]COE commited funds to date'!AZ43</f>
        <v>116776600</v>
      </c>
      <c r="GN40" s="383">
        <f>'[1]COE DISB 2019'!AZ48</f>
        <v>0</v>
      </c>
      <c r="GO40" s="383">
        <f t="shared" si="49"/>
        <v>116776600</v>
      </c>
      <c r="GP40" s="380"/>
      <c r="GQ40" s="383">
        <f>'[1]COE commited funds to date'!BA43</f>
        <v>12000000</v>
      </c>
      <c r="GR40" s="383">
        <f>'[1]COE DISB 2019'!BA48</f>
        <v>0</v>
      </c>
      <c r="GS40" s="383">
        <f t="shared" si="50"/>
        <v>12000000</v>
      </c>
      <c r="GT40" s="380"/>
      <c r="GU40" s="383">
        <f>'[1]COE commited funds to date'!BB43</f>
        <v>5000000</v>
      </c>
      <c r="GV40" s="383">
        <f>'[1]COE DISB 2019'!BB48</f>
        <v>0</v>
      </c>
      <c r="GW40" s="383">
        <f t="shared" si="51"/>
        <v>5000000</v>
      </c>
      <c r="GX40" s="380"/>
      <c r="GY40" s="383">
        <f>'[1]COE commited funds to date'!BC43</f>
        <v>10308300</v>
      </c>
      <c r="GZ40" s="383">
        <f>'[1]COE DISB 2019'!BC48</f>
        <v>0</v>
      </c>
      <c r="HA40" s="383">
        <f t="shared" si="52"/>
        <v>10308300</v>
      </c>
      <c r="HB40" s="380"/>
      <c r="HC40" s="383">
        <f t="shared" si="53"/>
        <v>4695056865.5</v>
      </c>
      <c r="HD40" s="383">
        <f t="shared" si="53"/>
        <v>4013978015.5</v>
      </c>
      <c r="HE40" s="392">
        <f t="shared" si="54"/>
        <v>681078850</v>
      </c>
      <c r="HG40" s="383">
        <f t="shared" si="55"/>
        <v>2079615965.5</v>
      </c>
      <c r="HH40" s="383">
        <f t="shared" si="55"/>
        <v>1583155915.5</v>
      </c>
      <c r="HI40" s="383">
        <f t="shared" si="56"/>
        <v>496460050</v>
      </c>
      <c r="HK40" s="383">
        <f t="shared" si="57"/>
        <v>2275000000</v>
      </c>
      <c r="HL40" s="383">
        <f t="shared" si="57"/>
        <v>2275000000</v>
      </c>
      <c r="HM40" s="383">
        <f t="shared" si="58"/>
        <v>0</v>
      </c>
      <c r="HO40" s="383">
        <f t="shared" si="71"/>
        <v>656000</v>
      </c>
      <c r="HP40" s="383">
        <f t="shared" si="71"/>
        <v>656000</v>
      </c>
      <c r="HQ40" s="383">
        <f t="shared" si="59"/>
        <v>0</v>
      </c>
      <c r="HS40" s="383">
        <f t="shared" si="60"/>
        <v>89308300</v>
      </c>
      <c r="HT40" s="383">
        <f t="shared" si="60"/>
        <v>78166100</v>
      </c>
      <c r="HU40" s="383">
        <f t="shared" si="61"/>
        <v>11142200</v>
      </c>
      <c r="HW40" s="383">
        <f t="shared" si="62"/>
        <v>36700000</v>
      </c>
      <c r="HX40" s="383">
        <f t="shared" si="62"/>
        <v>0</v>
      </c>
      <c r="HY40" s="383">
        <f t="shared" si="63"/>
        <v>36700000</v>
      </c>
      <c r="IA40" s="387">
        <f t="shared" si="64"/>
        <v>20000000</v>
      </c>
      <c r="IB40" s="387">
        <f t="shared" si="64"/>
        <v>0</v>
      </c>
      <c r="IC40" s="387">
        <f t="shared" si="65"/>
        <v>20000000</v>
      </c>
      <c r="IE40" s="383">
        <f t="shared" si="66"/>
        <v>191776600</v>
      </c>
      <c r="IF40" s="383">
        <f t="shared" si="66"/>
        <v>75000000</v>
      </c>
      <c r="IG40" s="383">
        <f t="shared" si="67"/>
        <v>116776600</v>
      </c>
      <c r="II40" s="383">
        <f t="shared" si="68"/>
        <v>2000000</v>
      </c>
      <c r="IJ40" s="383">
        <f t="shared" si="68"/>
        <v>2000000</v>
      </c>
      <c r="IK40" s="383">
        <f t="shared" si="69"/>
        <v>0</v>
      </c>
    </row>
    <row r="41" spans="1:245" x14ac:dyDescent="0.25">
      <c r="A41" s="380">
        <v>38</v>
      </c>
      <c r="B41" s="380" t="s">
        <v>357</v>
      </c>
      <c r="C41" s="431" t="s">
        <v>63</v>
      </c>
      <c r="D41" s="392">
        <v>18318965.5</v>
      </c>
      <c r="E41" s="392">
        <f>'[1]COE DISB 2019'!D49</f>
        <v>18318965.5</v>
      </c>
      <c r="F41" s="383">
        <f t="shared" si="0"/>
        <v>0</v>
      </c>
      <c r="H41" s="392">
        <v>8000000</v>
      </c>
      <c r="I41" s="392">
        <f>'[1]COE DISB 2019'!E49</f>
        <v>8000000</v>
      </c>
      <c r="J41" s="383">
        <f t="shared" si="1"/>
        <v>0</v>
      </c>
      <c r="L41" s="392">
        <v>500000</v>
      </c>
      <c r="M41" s="392">
        <f>'[1]COE DISB 2019'!F49</f>
        <v>500000</v>
      </c>
      <c r="N41" s="383">
        <f t="shared" si="2"/>
        <v>0</v>
      </c>
      <c r="P41" s="353">
        <v>16000000</v>
      </c>
      <c r="Q41" s="392">
        <f>'[1]COE DISB 2019'!G49</f>
        <v>16000000</v>
      </c>
      <c r="R41" s="383">
        <f t="shared" si="3"/>
        <v>0</v>
      </c>
      <c r="T41" s="353">
        <v>0</v>
      </c>
      <c r="U41" s="392">
        <f>'[1]COE DISB 2019'!H49</f>
        <v>0</v>
      </c>
      <c r="V41" s="383">
        <f t="shared" si="4"/>
        <v>0</v>
      </c>
      <c r="X41" s="353">
        <v>0</v>
      </c>
      <c r="Y41" s="392">
        <f>'[1]COE DISB 2019'!I49</f>
        <v>0</v>
      </c>
      <c r="Z41" s="383">
        <f t="shared" si="5"/>
        <v>0</v>
      </c>
      <c r="AB41" s="385">
        <v>20000000</v>
      </c>
      <c r="AC41" s="392">
        <f>'[1]COE DISB 2019'!J49</f>
        <v>20000000</v>
      </c>
      <c r="AD41" s="383">
        <f t="shared" si="6"/>
        <v>0</v>
      </c>
      <c r="AF41" s="353">
        <v>0</v>
      </c>
      <c r="AG41" s="392">
        <f>'[1]COE DISB 2019'!K49</f>
        <v>0</v>
      </c>
      <c r="AH41" s="383">
        <f t="shared" si="7"/>
        <v>0</v>
      </c>
      <c r="AJ41" s="385">
        <v>10000000</v>
      </c>
      <c r="AK41" s="392">
        <f>'[1]COE DISB 2019'!L49</f>
        <v>10000000</v>
      </c>
      <c r="AL41" s="383">
        <f t="shared" si="8"/>
        <v>0</v>
      </c>
      <c r="AN41" s="392">
        <v>10000000</v>
      </c>
      <c r="AO41" s="392">
        <f>'[1]COE DISB 2019'!M49</f>
        <v>10000000</v>
      </c>
      <c r="AP41" s="383">
        <f t="shared" si="9"/>
        <v>0</v>
      </c>
      <c r="AR41" s="392">
        <v>15000000</v>
      </c>
      <c r="AS41" s="392">
        <f>'[1]COE DISB 2019'!N49</f>
        <v>15000000</v>
      </c>
      <c r="AT41" s="383">
        <f t="shared" si="10"/>
        <v>0</v>
      </c>
      <c r="AV41" s="392">
        <v>0</v>
      </c>
      <c r="AW41" s="432">
        <f>'[1]COE DISB 2019'!O49</f>
        <v>0</v>
      </c>
      <c r="AX41" s="392">
        <f t="shared" si="11"/>
        <v>0</v>
      </c>
      <c r="AZ41" s="392">
        <v>18000000</v>
      </c>
      <c r="BA41" s="392">
        <f>'[1]COE DISB 2019'!P49</f>
        <v>18000000</v>
      </c>
      <c r="BB41" s="392">
        <f t="shared" si="12"/>
        <v>0</v>
      </c>
      <c r="BD41" s="392">
        <v>23400000</v>
      </c>
      <c r="BE41" s="392">
        <f>'[1]COE DISB 2019'!Q49</f>
        <v>23400000</v>
      </c>
      <c r="BF41" s="392">
        <f t="shared" si="13"/>
        <v>0</v>
      </c>
      <c r="BH41" s="392">
        <v>0</v>
      </c>
      <c r="BI41" s="392">
        <f>'[1]COE DISB 2019'!R49</f>
        <v>0</v>
      </c>
      <c r="BJ41" s="392">
        <f t="shared" si="14"/>
        <v>0</v>
      </c>
      <c r="BL41" s="392">
        <v>43000000</v>
      </c>
      <c r="BM41" s="392">
        <f>'[1]COE DISB 2019'!S49</f>
        <v>43000000</v>
      </c>
      <c r="BN41" s="392">
        <f t="shared" si="15"/>
        <v>0</v>
      </c>
      <c r="BP41" s="392">
        <v>37160000</v>
      </c>
      <c r="BQ41" s="392">
        <f>'[1]COE DISB 2019'!T49</f>
        <v>37160000</v>
      </c>
      <c r="BR41" s="392">
        <f t="shared" si="16"/>
        <v>0</v>
      </c>
      <c r="BT41" s="392">
        <v>0</v>
      </c>
      <c r="BU41" s="392">
        <f>'[1]COE DISB 2019'!U49</f>
        <v>0</v>
      </c>
      <c r="BV41" s="392">
        <f t="shared" si="17"/>
        <v>0</v>
      </c>
      <c r="BX41" s="392">
        <v>112670000</v>
      </c>
      <c r="BY41" s="392">
        <f>'[1]COE DISB 2019'!V49</f>
        <v>112670000</v>
      </c>
      <c r="BZ41" s="392">
        <f t="shared" si="18"/>
        <v>0</v>
      </c>
      <c r="CB41" s="392">
        <f>'[1]COE commited funds to date'!W44</f>
        <v>0</v>
      </c>
      <c r="CC41" s="392">
        <f>'[1]COE DISB 2019'!W49</f>
        <v>0</v>
      </c>
      <c r="CD41" s="392">
        <f t="shared" si="19"/>
        <v>0</v>
      </c>
      <c r="CF41" s="392">
        <f>'[1]COE commited funds to date'!X44</f>
        <v>125000000</v>
      </c>
      <c r="CG41" s="392">
        <f>'[1]COE DISB 2019'!X49</f>
        <v>125000000</v>
      </c>
      <c r="CH41" s="392">
        <f t="shared" si="20"/>
        <v>0</v>
      </c>
      <c r="CJ41" s="392">
        <v>10000000</v>
      </c>
      <c r="CK41" s="392">
        <f>'[1]COE DISB 2019'!Y49</f>
        <v>10000000</v>
      </c>
      <c r="CL41" s="392">
        <f t="shared" si="21"/>
        <v>0</v>
      </c>
      <c r="CN41" s="392">
        <v>0</v>
      </c>
      <c r="CO41" s="392">
        <f>'[1]COE DISB 2019'!Z49</f>
        <v>0</v>
      </c>
      <c r="CP41" s="392">
        <f t="shared" si="22"/>
        <v>0</v>
      </c>
      <c r="CR41" s="392">
        <v>210000000</v>
      </c>
      <c r="CS41" s="392">
        <f>'[1]COE DISB 2019'!AA49</f>
        <v>210000000</v>
      </c>
      <c r="CT41" s="392">
        <f t="shared" si="23"/>
        <v>0</v>
      </c>
      <c r="CV41" s="392">
        <v>10000000</v>
      </c>
      <c r="CW41" s="392">
        <f>'[1]COE DISB 2019'!AB49</f>
        <v>10000000</v>
      </c>
      <c r="CX41" s="392">
        <f t="shared" si="24"/>
        <v>0</v>
      </c>
      <c r="CZ41" s="392">
        <f>'[1]COE commited funds to date'!AC44</f>
        <v>50000000</v>
      </c>
      <c r="DA41" s="392">
        <f>'[1]COE DISB 2019'!AC49</f>
        <v>50000000</v>
      </c>
      <c r="DB41" s="392">
        <f t="shared" si="25"/>
        <v>0</v>
      </c>
      <c r="DC41" s="394"/>
      <c r="DD41" s="392">
        <v>215000000</v>
      </c>
      <c r="DE41" s="392">
        <f>'[1]COE DISB 2019'!AD49</f>
        <v>215000000</v>
      </c>
      <c r="DF41" s="392">
        <f t="shared" si="26"/>
        <v>0</v>
      </c>
      <c r="DG41" s="394"/>
      <c r="DH41" s="392">
        <v>10000000</v>
      </c>
      <c r="DI41" s="392">
        <f>'[1]COE DISB 2019'!AE49</f>
        <v>10000000</v>
      </c>
      <c r="DJ41" s="392">
        <f t="shared" si="70"/>
        <v>0</v>
      </c>
      <c r="DK41" s="394"/>
      <c r="DL41" s="392">
        <f>'[1]COE commited funds to date'!AD44</f>
        <v>30000000</v>
      </c>
      <c r="DM41" s="392">
        <f>'[1]COE DISB 2019'!AF49</f>
        <v>30000000</v>
      </c>
      <c r="DN41" s="392">
        <f t="shared" si="28"/>
        <v>0</v>
      </c>
      <c r="DO41" s="394"/>
      <c r="DP41" s="392">
        <v>325000000</v>
      </c>
      <c r="DQ41" s="392">
        <f>'[1]COE DISB 2019'!AG49</f>
        <v>325000000</v>
      </c>
      <c r="DR41" s="392">
        <f t="shared" si="29"/>
        <v>0</v>
      </c>
      <c r="DS41" s="394"/>
      <c r="DT41" s="397">
        <v>10000000</v>
      </c>
      <c r="DU41" s="392">
        <f>'[1]COE DISB 2019'!AH49</f>
        <v>10000000</v>
      </c>
      <c r="DV41" s="392">
        <f t="shared" si="30"/>
        <v>0</v>
      </c>
      <c r="DW41" s="394"/>
      <c r="DX41" s="392">
        <f>'[1]COE commited funds to date'!AI44</f>
        <v>30000000</v>
      </c>
      <c r="DY41" s="392">
        <f>'[1]COE DISB 2019'!AI49</f>
        <v>30000000</v>
      </c>
      <c r="DZ41" s="392">
        <f t="shared" si="31"/>
        <v>0</v>
      </c>
      <c r="EA41" s="394"/>
      <c r="EB41" s="392">
        <f>'[1]COE commited funds to date'!AJ44</f>
        <v>72000000</v>
      </c>
      <c r="EC41" s="392">
        <f>'[1]COE DISB 2019'!AJ49</f>
        <v>61200000</v>
      </c>
      <c r="ED41" s="392">
        <f t="shared" si="32"/>
        <v>10800000</v>
      </c>
      <c r="EE41" s="394"/>
      <c r="EF41" s="392">
        <f>'[1]COE commited funds to date'!AK44</f>
        <v>8000000</v>
      </c>
      <c r="EG41" s="392">
        <f>'[1]COE DISB 2019'!AK49</f>
        <v>0</v>
      </c>
      <c r="EH41" s="392">
        <f t="shared" si="33"/>
        <v>8000000</v>
      </c>
      <c r="EI41" s="394"/>
      <c r="EJ41" s="392">
        <f>'[1]COE commited funds to date'!AL44</f>
        <v>2000000</v>
      </c>
      <c r="EK41" s="392">
        <f>'[1]COE DISB 2019'!AL49</f>
        <v>0</v>
      </c>
      <c r="EL41" s="392">
        <f t="shared" si="34"/>
        <v>2000000</v>
      </c>
      <c r="EM41" s="394"/>
      <c r="EN41" s="392">
        <f>'[1]COE commited funds to date'!AM44</f>
        <v>7000000</v>
      </c>
      <c r="EO41" s="392">
        <f>'[1]COE DISB 2019'!AM49</f>
        <v>7000000</v>
      </c>
      <c r="EP41" s="392">
        <f t="shared" si="35"/>
        <v>0</v>
      </c>
      <c r="EQ41" s="394"/>
      <c r="ER41" s="392">
        <f>'[1]COE commited funds to date'!AN44</f>
        <v>1000000000</v>
      </c>
      <c r="ES41" s="392">
        <f>'[1]COE DISB 2019'!AN49</f>
        <v>970000000</v>
      </c>
      <c r="ET41" s="392">
        <f t="shared" si="36"/>
        <v>30000000</v>
      </c>
      <c r="EV41" s="383">
        <f>'[1]COE commited funds to date'!AO44</f>
        <v>371067000</v>
      </c>
      <c r="EW41" s="383">
        <f>'[1]COE DISB 2019'!AO49</f>
        <v>315406950</v>
      </c>
      <c r="EX41" s="383">
        <f t="shared" si="38"/>
        <v>55660050</v>
      </c>
      <c r="EY41" s="380"/>
      <c r="EZ41" s="383">
        <f>'[1]COE commited funds to date'!AQ44</f>
        <v>12000000</v>
      </c>
      <c r="FA41" s="383">
        <f>'[1]COE DISB 2019'!AP49</f>
        <v>12000000</v>
      </c>
      <c r="FB41" s="383">
        <f t="shared" si="39"/>
        <v>0</v>
      </c>
      <c r="FC41" s="380"/>
      <c r="FD41" s="383">
        <f>'[1]COE commited funds to date'!AR44</f>
        <v>10000000</v>
      </c>
      <c r="FE41" s="383">
        <f>'[1]COE DISB 2019'!AQ49</f>
        <v>0</v>
      </c>
      <c r="FF41" s="383">
        <f t="shared" si="40"/>
        <v>10000000</v>
      </c>
      <c r="FG41" s="380"/>
      <c r="FH41" s="383">
        <f>'[1]COE commited funds to date'!AP44</f>
        <v>8000000</v>
      </c>
      <c r="FI41" s="383">
        <f>'[1]COE DISB 2019'!AR49</f>
        <v>0</v>
      </c>
      <c r="FJ41" s="383">
        <f t="shared" si="41"/>
        <v>8000000</v>
      </c>
      <c r="FK41" s="383">
        <f>'[1]COE commited funds to date'!AS44</f>
        <v>0</v>
      </c>
      <c r="FL41" s="383">
        <f>'[1]COE DISB 2019'!AS49</f>
        <v>0</v>
      </c>
      <c r="FM41" s="383">
        <f t="shared" si="42"/>
        <v>0</v>
      </c>
      <c r="FN41" s="380"/>
      <c r="FO41" s="383">
        <f>'[1]COE commited funds to date'!AT44</f>
        <v>200000000</v>
      </c>
      <c r="FP41" s="383">
        <f>'[1]COE DISB 2019'!AT49</f>
        <v>0</v>
      </c>
      <c r="FQ41" s="383">
        <f t="shared" si="43"/>
        <v>200000000</v>
      </c>
      <c r="FR41" s="380"/>
      <c r="FS41" s="383">
        <f>'[1]COE commited funds to date'!AU44</f>
        <v>75000000</v>
      </c>
      <c r="FT41" s="383">
        <f>'[1]COE DISB 2019'!AU49</f>
        <v>63750000</v>
      </c>
      <c r="FU41" s="383">
        <f t="shared" si="44"/>
        <v>11250000</v>
      </c>
      <c r="FV41" s="380"/>
      <c r="FW41" s="383">
        <f>'[1]COE commited funds to date'!AV44</f>
        <v>8700000</v>
      </c>
      <c r="FX41" s="383">
        <f>'[1]COE DISB 2019'!AV49</f>
        <v>0</v>
      </c>
      <c r="FY41" s="383">
        <f t="shared" si="45"/>
        <v>8700000</v>
      </c>
      <c r="FZ41" s="380"/>
      <c r="GA41" s="383">
        <f>'[1]COE commited funds to date'!AW44</f>
        <v>5000000</v>
      </c>
      <c r="GB41" s="383">
        <f>'[1]COE DISB 2019'!AW49</f>
        <v>0</v>
      </c>
      <c r="GC41" s="383">
        <f t="shared" si="46"/>
        <v>5000000</v>
      </c>
      <c r="GD41" s="380"/>
      <c r="GE41" s="383">
        <f>'[1]COE commited funds to date'!AX44</f>
        <v>20000000</v>
      </c>
      <c r="GF41" s="383">
        <f>'[1]COE DISB 2019'!AX49</f>
        <v>10661200</v>
      </c>
      <c r="GG41" s="383">
        <f t="shared" si="47"/>
        <v>9338800</v>
      </c>
      <c r="GH41" s="380"/>
      <c r="GI41" s="383">
        <f>'[1]COE commited funds to date'!AY44</f>
        <v>230000000</v>
      </c>
      <c r="GJ41" s="383">
        <f>'[1]COE DISB 2019'!AY49</f>
        <v>0</v>
      </c>
      <c r="GK41" s="383">
        <f t="shared" si="48"/>
        <v>230000000</v>
      </c>
      <c r="GL41" s="380"/>
      <c r="GM41" s="383">
        <f>'[1]COE commited funds to date'!AZ44</f>
        <v>116776600</v>
      </c>
      <c r="GN41" s="383">
        <f>'[1]COE DISB 2019'!AZ49</f>
        <v>0</v>
      </c>
      <c r="GO41" s="383">
        <f t="shared" si="49"/>
        <v>116776600</v>
      </c>
      <c r="GP41" s="380"/>
      <c r="GQ41" s="383">
        <f>'[1]COE commited funds to date'!BA44</f>
        <v>12000000</v>
      </c>
      <c r="GR41" s="383">
        <f>'[1]COE DISB 2019'!BA49</f>
        <v>0</v>
      </c>
      <c r="GS41" s="383">
        <f t="shared" si="50"/>
        <v>12000000</v>
      </c>
      <c r="GT41" s="380"/>
      <c r="GU41" s="383">
        <f>'[1]COE commited funds to date'!BB44</f>
        <v>5000000</v>
      </c>
      <c r="GV41" s="383">
        <f>'[1]COE DISB 2019'!BB49</f>
        <v>0</v>
      </c>
      <c r="GW41" s="383">
        <f t="shared" si="51"/>
        <v>5000000</v>
      </c>
      <c r="GX41" s="380"/>
      <c r="GY41" s="383">
        <f>'[1]COE commited funds to date'!BC44</f>
        <v>10308300</v>
      </c>
      <c r="GZ41" s="383">
        <f>'[1]COE DISB 2019'!BC49</f>
        <v>0</v>
      </c>
      <c r="HA41" s="383">
        <f t="shared" si="52"/>
        <v>10308300</v>
      </c>
      <c r="HB41" s="380"/>
      <c r="HC41" s="383">
        <f t="shared" si="53"/>
        <v>3529900865.5</v>
      </c>
      <c r="HD41" s="383">
        <f t="shared" si="53"/>
        <v>2797067115.5</v>
      </c>
      <c r="HE41" s="392">
        <f t="shared" si="54"/>
        <v>732833750</v>
      </c>
      <c r="HG41" s="383">
        <f t="shared" si="55"/>
        <v>2079615965.5</v>
      </c>
      <c r="HH41" s="383">
        <f t="shared" si="55"/>
        <v>1583155915.5</v>
      </c>
      <c r="HI41" s="383">
        <f t="shared" si="56"/>
        <v>496460050</v>
      </c>
      <c r="HK41" s="383">
        <f t="shared" si="57"/>
        <v>1110000000</v>
      </c>
      <c r="HL41" s="383">
        <f t="shared" si="57"/>
        <v>1080000000</v>
      </c>
      <c r="HM41" s="383">
        <f t="shared" si="58"/>
        <v>30000000</v>
      </c>
      <c r="HO41" s="383">
        <f t="shared" si="71"/>
        <v>500000</v>
      </c>
      <c r="HP41" s="383">
        <f t="shared" si="71"/>
        <v>500000</v>
      </c>
      <c r="HQ41" s="383">
        <f t="shared" si="59"/>
        <v>0</v>
      </c>
      <c r="HS41" s="383">
        <f t="shared" si="60"/>
        <v>89308300</v>
      </c>
      <c r="HT41" s="383">
        <f t="shared" si="60"/>
        <v>69661200</v>
      </c>
      <c r="HU41" s="383">
        <f t="shared" si="61"/>
        <v>19647100</v>
      </c>
      <c r="HW41" s="383">
        <f t="shared" si="62"/>
        <v>36700000</v>
      </c>
      <c r="HX41" s="383">
        <f t="shared" si="62"/>
        <v>0</v>
      </c>
      <c r="HY41" s="383">
        <f t="shared" si="63"/>
        <v>36700000</v>
      </c>
      <c r="IA41" s="387">
        <f t="shared" si="64"/>
        <v>20000000</v>
      </c>
      <c r="IB41" s="387">
        <f t="shared" si="64"/>
        <v>0</v>
      </c>
      <c r="IC41" s="387">
        <f t="shared" si="65"/>
        <v>20000000</v>
      </c>
      <c r="IE41" s="383">
        <f t="shared" si="66"/>
        <v>191776600</v>
      </c>
      <c r="IF41" s="383">
        <f t="shared" si="66"/>
        <v>63750000</v>
      </c>
      <c r="IG41" s="383">
        <f t="shared" si="67"/>
        <v>128026600</v>
      </c>
      <c r="II41" s="383">
        <f t="shared" si="68"/>
        <v>2000000</v>
      </c>
      <c r="IJ41" s="383">
        <f t="shared" si="68"/>
        <v>0</v>
      </c>
      <c r="IK41" s="383">
        <f t="shared" si="69"/>
        <v>2000000</v>
      </c>
    </row>
    <row r="42" spans="1:245" x14ac:dyDescent="0.25">
      <c r="A42" s="380">
        <v>39</v>
      </c>
      <c r="B42" s="380" t="s">
        <v>358</v>
      </c>
      <c r="C42" s="433" t="s">
        <v>63</v>
      </c>
      <c r="D42" s="392">
        <v>18318965.5</v>
      </c>
      <c r="E42" s="392">
        <f>'[1]COE DISB 2019'!D50</f>
        <v>18318965.5</v>
      </c>
      <c r="F42" s="383">
        <f t="shared" si="0"/>
        <v>0</v>
      </c>
      <c r="H42" s="392">
        <v>8000000</v>
      </c>
      <c r="I42" s="392">
        <f>'[1]COE DISB 2019'!E50</f>
        <v>8000000</v>
      </c>
      <c r="J42" s="383">
        <f t="shared" si="1"/>
        <v>0</v>
      </c>
      <c r="L42" s="392">
        <v>500000</v>
      </c>
      <c r="M42" s="392">
        <f>'[1]COE DISB 2019'!F50</f>
        <v>500000</v>
      </c>
      <c r="N42" s="383">
        <f t="shared" si="2"/>
        <v>0</v>
      </c>
      <c r="P42" s="353">
        <v>16000000</v>
      </c>
      <c r="Q42" s="392">
        <f>'[1]COE DISB 2019'!G50</f>
        <v>16000000</v>
      </c>
      <c r="R42" s="383">
        <f t="shared" si="3"/>
        <v>0</v>
      </c>
      <c r="T42" s="385">
        <v>285000</v>
      </c>
      <c r="U42" s="392">
        <f>'[1]COE DISB 2019'!H50</f>
        <v>285000</v>
      </c>
      <c r="V42" s="383">
        <f t="shared" si="4"/>
        <v>0</v>
      </c>
      <c r="X42" s="353">
        <v>0</v>
      </c>
      <c r="Y42" s="392">
        <f>'[1]COE DISB 2019'!I50</f>
        <v>0</v>
      </c>
      <c r="Z42" s="383">
        <f t="shared" si="5"/>
        <v>0</v>
      </c>
      <c r="AB42" s="385">
        <v>20000000</v>
      </c>
      <c r="AC42" s="392">
        <f>'[1]COE DISB 2019'!J50</f>
        <v>20000000</v>
      </c>
      <c r="AD42" s="383">
        <f t="shared" si="6"/>
        <v>0</v>
      </c>
      <c r="AF42" s="353">
        <v>0</v>
      </c>
      <c r="AG42" s="392">
        <f>'[1]COE DISB 2019'!K50</f>
        <v>0</v>
      </c>
      <c r="AH42" s="383">
        <f t="shared" si="7"/>
        <v>0</v>
      </c>
      <c r="AJ42" s="385">
        <v>10000000</v>
      </c>
      <c r="AK42" s="392">
        <f>'[1]COE DISB 2019'!L50</f>
        <v>10000000</v>
      </c>
      <c r="AL42" s="383">
        <f t="shared" si="8"/>
        <v>0</v>
      </c>
      <c r="AN42" s="392">
        <v>10000000</v>
      </c>
      <c r="AO42" s="392">
        <f>'[1]COE DISB 2019'!M50</f>
        <v>10000000</v>
      </c>
      <c r="AP42" s="383">
        <f t="shared" si="9"/>
        <v>0</v>
      </c>
      <c r="AR42" s="392">
        <v>15000000</v>
      </c>
      <c r="AS42" s="392">
        <f>'[1]COE DISB 2019'!N50</f>
        <v>15000000</v>
      </c>
      <c r="AT42" s="383">
        <f t="shared" si="10"/>
        <v>0</v>
      </c>
      <c r="AV42" s="392">
        <v>0</v>
      </c>
      <c r="AW42" s="432">
        <f>'[1]COE DISB 2019'!O50</f>
        <v>0</v>
      </c>
      <c r="AX42" s="392">
        <f t="shared" si="11"/>
        <v>0</v>
      </c>
      <c r="AZ42" s="392">
        <v>18000000</v>
      </c>
      <c r="BA42" s="392">
        <f>'[1]COE DISB 2019'!P50</f>
        <v>18000000</v>
      </c>
      <c r="BB42" s="392">
        <f t="shared" si="12"/>
        <v>0</v>
      </c>
      <c r="BD42" s="392">
        <v>23400000</v>
      </c>
      <c r="BE42" s="392">
        <f>'[1]COE DISB 2019'!Q50</f>
        <v>23400000</v>
      </c>
      <c r="BF42" s="392">
        <f t="shared" si="13"/>
        <v>0</v>
      </c>
      <c r="BH42" s="392">
        <v>0</v>
      </c>
      <c r="BI42" s="392">
        <f>'[1]COE DISB 2019'!R50</f>
        <v>0</v>
      </c>
      <c r="BJ42" s="392">
        <f t="shared" si="14"/>
        <v>0</v>
      </c>
      <c r="BL42" s="392">
        <v>43000000</v>
      </c>
      <c r="BM42" s="392">
        <f>'[1]COE DISB 2019'!S50</f>
        <v>43000000</v>
      </c>
      <c r="BN42" s="392">
        <f t="shared" si="15"/>
        <v>0</v>
      </c>
      <c r="BP42" s="392">
        <v>37160000</v>
      </c>
      <c r="BQ42" s="392">
        <f>'[1]COE DISB 2019'!T50</f>
        <v>37160000</v>
      </c>
      <c r="BR42" s="392">
        <f t="shared" si="16"/>
        <v>0</v>
      </c>
      <c r="BT42" s="392">
        <v>0</v>
      </c>
      <c r="BU42" s="392">
        <f>'[1]COE DISB 2019'!U50</f>
        <v>0</v>
      </c>
      <c r="BV42" s="392">
        <f t="shared" si="17"/>
        <v>0</v>
      </c>
      <c r="BX42" s="392">
        <v>112670000</v>
      </c>
      <c r="BY42" s="392">
        <f>'[1]COE DISB 2019'!V50</f>
        <v>112670000</v>
      </c>
      <c r="BZ42" s="392">
        <f t="shared" si="18"/>
        <v>0</v>
      </c>
      <c r="CB42" s="392">
        <f>'[1]COE commited funds to date'!W45</f>
        <v>0</v>
      </c>
      <c r="CC42" s="392">
        <f>'[1]COE DISB 2019'!W50</f>
        <v>0</v>
      </c>
      <c r="CD42" s="392">
        <f t="shared" si="19"/>
        <v>0</v>
      </c>
      <c r="CF42" s="392">
        <f>'[1]COE commited funds to date'!X45</f>
        <v>125000000</v>
      </c>
      <c r="CG42" s="392">
        <f>'[1]COE DISB 2019'!X50</f>
        <v>125000000</v>
      </c>
      <c r="CH42" s="392">
        <f t="shared" si="20"/>
        <v>0</v>
      </c>
      <c r="CJ42" s="392">
        <v>10000000</v>
      </c>
      <c r="CK42" s="392">
        <f>'[1]COE DISB 2019'!Y50</f>
        <v>10000000</v>
      </c>
      <c r="CL42" s="392">
        <f t="shared" si="21"/>
        <v>0</v>
      </c>
      <c r="CN42" s="392"/>
      <c r="CO42" s="392">
        <f>'[1]COE DISB 2019'!Z50</f>
        <v>0</v>
      </c>
      <c r="CP42" s="392">
        <f t="shared" si="22"/>
        <v>0</v>
      </c>
      <c r="CR42" s="392">
        <v>210000000</v>
      </c>
      <c r="CS42" s="392">
        <f>'[1]COE DISB 2019'!AA50</f>
        <v>210000000</v>
      </c>
      <c r="CT42" s="392">
        <f t="shared" si="23"/>
        <v>0</v>
      </c>
      <c r="CV42" s="392">
        <v>10000000</v>
      </c>
      <c r="CW42" s="392">
        <f>'[1]COE DISB 2019'!AB50</f>
        <v>10000000</v>
      </c>
      <c r="CX42" s="392">
        <f t="shared" si="24"/>
        <v>0</v>
      </c>
      <c r="CZ42" s="392">
        <f>'[1]COE commited funds to date'!AC45</f>
        <v>470000000</v>
      </c>
      <c r="DA42" s="392">
        <f>'[1]COE DISB 2019'!AC50</f>
        <v>470000000</v>
      </c>
      <c r="DB42" s="392">
        <f t="shared" si="25"/>
        <v>0</v>
      </c>
      <c r="DC42" s="394"/>
      <c r="DD42" s="392">
        <v>215000000</v>
      </c>
      <c r="DE42" s="392">
        <f>'[1]COE DISB 2019'!AD50</f>
        <v>215000000</v>
      </c>
      <c r="DF42" s="392">
        <f t="shared" si="26"/>
        <v>0</v>
      </c>
      <c r="DG42" s="394"/>
      <c r="DH42" s="392">
        <v>10000000</v>
      </c>
      <c r="DI42" s="392">
        <f>'[1]COE DISB 2019'!AE50</f>
        <v>10000000</v>
      </c>
      <c r="DJ42" s="392">
        <f t="shared" si="70"/>
        <v>0</v>
      </c>
      <c r="DK42" s="394"/>
      <c r="DL42" s="392">
        <f>'[1]COE commited funds to date'!AD45</f>
        <v>300000000</v>
      </c>
      <c r="DM42" s="392">
        <f>'[1]COE DISB 2019'!AF50</f>
        <v>177000000</v>
      </c>
      <c r="DN42" s="392">
        <f t="shared" si="28"/>
        <v>123000000</v>
      </c>
      <c r="DO42" s="394"/>
      <c r="DP42" s="392">
        <v>325000000</v>
      </c>
      <c r="DQ42" s="392">
        <f>'[1]COE DISB 2019'!AG50</f>
        <v>325000000</v>
      </c>
      <c r="DR42" s="392">
        <f t="shared" si="29"/>
        <v>0</v>
      </c>
      <c r="DS42" s="394"/>
      <c r="DT42" s="397">
        <v>10000000</v>
      </c>
      <c r="DU42" s="392">
        <f>'[1]COE DISB 2019'!AH50</f>
        <v>10000000</v>
      </c>
      <c r="DV42" s="392">
        <f t="shared" si="30"/>
        <v>0</v>
      </c>
      <c r="DW42" s="394"/>
      <c r="DX42" s="392">
        <f>'[1]COE commited funds to date'!AI45</f>
        <v>91600000</v>
      </c>
      <c r="DY42" s="392">
        <f>'[1]COE DISB 2019'!AI50</f>
        <v>91600000</v>
      </c>
      <c r="DZ42" s="392">
        <f t="shared" si="31"/>
        <v>0</v>
      </c>
      <c r="EA42" s="394"/>
      <c r="EB42" s="392">
        <f>'[1]COE commited funds to date'!AJ45</f>
        <v>72000000</v>
      </c>
      <c r="EC42" s="392">
        <f>'[1]COE DISB 2019'!AJ50</f>
        <v>61200000</v>
      </c>
      <c r="ED42" s="392">
        <f t="shared" si="32"/>
        <v>10800000</v>
      </c>
      <c r="EE42" s="394"/>
      <c r="EF42" s="392">
        <f>'[1]COE commited funds to date'!AK45</f>
        <v>8000000</v>
      </c>
      <c r="EG42" s="392">
        <f>'[1]COE DISB 2019'!AK50</f>
        <v>4320000</v>
      </c>
      <c r="EH42" s="392">
        <f t="shared" si="33"/>
        <v>3680000</v>
      </c>
      <c r="EI42" s="394"/>
      <c r="EJ42" s="392">
        <f>'[1]COE commited funds to date'!AL45</f>
        <v>2000000</v>
      </c>
      <c r="EK42" s="392">
        <f>'[1]COE DISB 2019'!AL50</f>
        <v>0</v>
      </c>
      <c r="EL42" s="392">
        <f t="shared" si="34"/>
        <v>2000000</v>
      </c>
      <c r="EM42" s="394"/>
      <c r="EN42" s="392">
        <f>'[1]COE commited funds to date'!AM45</f>
        <v>7000000</v>
      </c>
      <c r="EO42" s="392">
        <f>'[1]COE DISB 2019'!AM50</f>
        <v>7000000</v>
      </c>
      <c r="EP42" s="392">
        <f t="shared" si="35"/>
        <v>0</v>
      </c>
      <c r="EQ42" s="394"/>
      <c r="ER42" s="392">
        <f>'[1]COE commited funds to date'!AN45</f>
        <v>1850000000</v>
      </c>
      <c r="ES42" s="392">
        <f>'[1]COE DISB 2019'!AN50</f>
        <v>1707500000</v>
      </c>
      <c r="ET42" s="392">
        <f t="shared" si="36"/>
        <v>142500000</v>
      </c>
      <c r="EV42" s="383">
        <f>'[1]COE commited funds to date'!AO45</f>
        <v>371067000</v>
      </c>
      <c r="EW42" s="383">
        <f>'[1]COE DISB 2019'!AO50</f>
        <v>315406950</v>
      </c>
      <c r="EX42" s="383">
        <f t="shared" si="38"/>
        <v>55660050</v>
      </c>
      <c r="EY42" s="380"/>
      <c r="EZ42" s="383">
        <f>'[1]COE commited funds to date'!AQ45</f>
        <v>12000000</v>
      </c>
      <c r="FA42" s="383">
        <f>'[1]COE DISB 2019'!AP50</f>
        <v>12000000</v>
      </c>
      <c r="FB42" s="383">
        <f t="shared" si="39"/>
        <v>0</v>
      </c>
      <c r="FC42" s="380"/>
      <c r="FD42" s="383">
        <f>'[1]COE commited funds to date'!AR45</f>
        <v>10000000</v>
      </c>
      <c r="FE42" s="383">
        <f>'[1]COE DISB 2019'!AQ50</f>
        <v>0</v>
      </c>
      <c r="FF42" s="383">
        <f t="shared" si="40"/>
        <v>10000000</v>
      </c>
      <c r="FG42" s="380"/>
      <c r="FH42" s="383">
        <f>'[1]COE commited funds to date'!AP45</f>
        <v>8000000</v>
      </c>
      <c r="FI42" s="383">
        <f>'[1]COE DISB 2019'!AR50</f>
        <v>4320000</v>
      </c>
      <c r="FJ42" s="383">
        <f t="shared" si="41"/>
        <v>3680000</v>
      </c>
      <c r="FK42" s="383">
        <f>'[1]COE commited funds to date'!AS45</f>
        <v>150000000</v>
      </c>
      <c r="FL42" s="383">
        <f>'[1]COE DISB 2019'!AS50</f>
        <v>127500000</v>
      </c>
      <c r="FM42" s="383">
        <f t="shared" si="42"/>
        <v>22500000</v>
      </c>
      <c r="FN42" s="380"/>
      <c r="FO42" s="383">
        <f>'[1]COE commited funds to date'!AT45</f>
        <v>200000000</v>
      </c>
      <c r="FP42" s="383">
        <f>'[1]COE DISB 2019'!AT50</f>
        <v>0</v>
      </c>
      <c r="FQ42" s="383">
        <f t="shared" si="43"/>
        <v>200000000</v>
      </c>
      <c r="FR42" s="380"/>
      <c r="FS42" s="383">
        <f>'[1]COE commited funds to date'!AU45</f>
        <v>75000000</v>
      </c>
      <c r="FT42" s="383">
        <f>'[1]COE DISB 2019'!AU50</f>
        <v>60000000</v>
      </c>
      <c r="FU42" s="383">
        <f t="shared" si="44"/>
        <v>15000000</v>
      </c>
      <c r="FV42" s="380"/>
      <c r="FW42" s="383">
        <f>'[1]COE commited funds to date'!AV45</f>
        <v>8700000</v>
      </c>
      <c r="FX42" s="383">
        <f>'[1]COE DISB 2019'!AV50</f>
        <v>0</v>
      </c>
      <c r="FY42" s="383">
        <f t="shared" si="45"/>
        <v>8700000</v>
      </c>
      <c r="FZ42" s="380"/>
      <c r="GA42" s="383">
        <f>'[1]COE commited funds to date'!AW45</f>
        <v>5000000</v>
      </c>
      <c r="GB42" s="383">
        <f>'[1]COE DISB 2019'!AW50</f>
        <v>0</v>
      </c>
      <c r="GC42" s="383">
        <f t="shared" si="46"/>
        <v>5000000</v>
      </c>
      <c r="GD42" s="380"/>
      <c r="GE42" s="383">
        <f>'[1]COE commited funds to date'!AX45</f>
        <v>20000000</v>
      </c>
      <c r="GF42" s="383">
        <f>'[1]COE DISB 2019'!AX50</f>
        <v>8784550</v>
      </c>
      <c r="GG42" s="383">
        <f t="shared" si="47"/>
        <v>11215450</v>
      </c>
      <c r="GH42" s="380"/>
      <c r="GI42" s="383">
        <f>'[1]COE commited funds to date'!AY45</f>
        <v>230000000</v>
      </c>
      <c r="GJ42" s="383">
        <f>'[1]COE DISB 2019'!AY50</f>
        <v>0</v>
      </c>
      <c r="GK42" s="383">
        <f t="shared" si="48"/>
        <v>230000000</v>
      </c>
      <c r="GL42" s="380"/>
      <c r="GM42" s="383">
        <f>'[1]COE commited funds to date'!AZ45</f>
        <v>116776600</v>
      </c>
      <c r="GN42" s="383">
        <f>'[1]COE DISB 2019'!AZ50</f>
        <v>0</v>
      </c>
      <c r="GO42" s="383">
        <f t="shared" si="49"/>
        <v>116776600</v>
      </c>
      <c r="GP42" s="380"/>
      <c r="GQ42" s="383">
        <f>'[1]COE commited funds to date'!BA45</f>
        <v>12000000</v>
      </c>
      <c r="GR42" s="383">
        <f>'[1]COE DISB 2019'!BA50</f>
        <v>0</v>
      </c>
      <c r="GS42" s="383">
        <f t="shared" si="50"/>
        <v>12000000</v>
      </c>
      <c r="GT42" s="380"/>
      <c r="GU42" s="383">
        <f>'[1]COE commited funds to date'!BB45</f>
        <v>5000000</v>
      </c>
      <c r="GV42" s="383">
        <f>'[1]COE DISB 2019'!BB50</f>
        <v>0</v>
      </c>
      <c r="GW42" s="383">
        <f t="shared" si="51"/>
        <v>5000000</v>
      </c>
      <c r="GX42" s="380"/>
      <c r="GY42" s="383">
        <f>'[1]COE commited funds to date'!BC45</f>
        <v>10308300</v>
      </c>
      <c r="GZ42" s="383">
        <f>'[1]COE DISB 2019'!BC50</f>
        <v>0</v>
      </c>
      <c r="HA42" s="383">
        <f t="shared" si="52"/>
        <v>10308300</v>
      </c>
      <c r="HB42" s="380"/>
      <c r="HC42" s="383">
        <f t="shared" si="53"/>
        <v>5281785865.5</v>
      </c>
      <c r="HD42" s="383">
        <f t="shared" si="53"/>
        <v>4293965465.5</v>
      </c>
      <c r="HE42" s="392">
        <f t="shared" si="54"/>
        <v>987820400</v>
      </c>
      <c r="HG42" s="383">
        <f t="shared" si="55"/>
        <v>2079615965.5</v>
      </c>
      <c r="HH42" s="383">
        <f t="shared" si="55"/>
        <v>1583155915.5</v>
      </c>
      <c r="HI42" s="383">
        <f t="shared" si="56"/>
        <v>496460050</v>
      </c>
      <c r="HK42" s="383">
        <f t="shared" si="57"/>
        <v>2711600000</v>
      </c>
      <c r="HL42" s="383">
        <f t="shared" si="57"/>
        <v>2446100000</v>
      </c>
      <c r="HM42" s="383">
        <f t="shared" si="58"/>
        <v>265500000</v>
      </c>
      <c r="HO42" s="383">
        <f t="shared" si="71"/>
        <v>785000</v>
      </c>
      <c r="HP42" s="383">
        <f t="shared" si="71"/>
        <v>785000</v>
      </c>
      <c r="HQ42" s="383">
        <f t="shared" si="59"/>
        <v>0</v>
      </c>
      <c r="HS42" s="383">
        <f t="shared" si="60"/>
        <v>89308300</v>
      </c>
      <c r="HT42" s="383">
        <f t="shared" si="60"/>
        <v>67784550</v>
      </c>
      <c r="HU42" s="383">
        <f t="shared" si="61"/>
        <v>21523750</v>
      </c>
      <c r="HW42" s="383">
        <f t="shared" si="62"/>
        <v>36700000</v>
      </c>
      <c r="HX42" s="383">
        <f t="shared" si="62"/>
        <v>8640000</v>
      </c>
      <c r="HY42" s="383">
        <f t="shared" si="63"/>
        <v>28060000</v>
      </c>
      <c r="IA42" s="387">
        <f t="shared" si="64"/>
        <v>20000000</v>
      </c>
      <c r="IB42" s="387">
        <f t="shared" si="64"/>
        <v>0</v>
      </c>
      <c r="IC42" s="387">
        <f t="shared" si="65"/>
        <v>20000000</v>
      </c>
      <c r="IE42" s="383">
        <f t="shared" si="66"/>
        <v>341776600</v>
      </c>
      <c r="IF42" s="383">
        <f t="shared" si="66"/>
        <v>187500000</v>
      </c>
      <c r="IG42" s="383">
        <f t="shared" si="67"/>
        <v>154276600</v>
      </c>
      <c r="II42" s="383">
        <f t="shared" si="68"/>
        <v>2000000</v>
      </c>
      <c r="IJ42" s="383">
        <f t="shared" si="68"/>
        <v>0</v>
      </c>
      <c r="IK42" s="383">
        <f t="shared" si="69"/>
        <v>2000000</v>
      </c>
    </row>
    <row r="43" spans="1:245" x14ac:dyDescent="0.25">
      <c r="A43" s="380">
        <v>40</v>
      </c>
      <c r="B43" s="380" t="s">
        <v>359</v>
      </c>
      <c r="C43" s="431" t="s">
        <v>61</v>
      </c>
      <c r="D43" s="392">
        <v>18318965.5</v>
      </c>
      <c r="E43" s="392">
        <f>'[1]COE DISB 2019'!D51</f>
        <v>18318965.5</v>
      </c>
      <c r="F43" s="383">
        <f t="shared" si="0"/>
        <v>0</v>
      </c>
      <c r="H43" s="392">
        <v>8000000</v>
      </c>
      <c r="I43" s="392">
        <f>'[1]COE DISB 2019'!E51</f>
        <v>8000000</v>
      </c>
      <c r="J43" s="383">
        <f t="shared" si="1"/>
        <v>0</v>
      </c>
      <c r="L43" s="392">
        <v>500000</v>
      </c>
      <c r="M43" s="392">
        <f>'[1]COE DISB 2019'!F51</f>
        <v>500000</v>
      </c>
      <c r="N43" s="383">
        <f t="shared" si="2"/>
        <v>0</v>
      </c>
      <c r="P43" s="353">
        <v>16000000</v>
      </c>
      <c r="Q43" s="392">
        <f>'[1]COE DISB 2019'!G51</f>
        <v>16000000</v>
      </c>
      <c r="R43" s="383">
        <f t="shared" si="3"/>
        <v>0</v>
      </c>
      <c r="T43" s="385">
        <v>1026000</v>
      </c>
      <c r="U43" s="392">
        <f>'[1]COE DISB 2019'!H51</f>
        <v>1026000</v>
      </c>
      <c r="V43" s="383">
        <f t="shared" si="4"/>
        <v>0</v>
      </c>
      <c r="X43" s="353">
        <v>0</v>
      </c>
      <c r="Y43" s="392">
        <f>'[1]COE DISB 2019'!I51</f>
        <v>0</v>
      </c>
      <c r="Z43" s="383">
        <f t="shared" si="5"/>
        <v>0</v>
      </c>
      <c r="AB43" s="385">
        <v>20000000</v>
      </c>
      <c r="AC43" s="392">
        <f>'[1]COE DISB 2019'!J51</f>
        <v>20000000</v>
      </c>
      <c r="AD43" s="383">
        <f t="shared" si="6"/>
        <v>0</v>
      </c>
      <c r="AF43" s="353">
        <v>0</v>
      </c>
      <c r="AG43" s="392">
        <f>'[1]COE DISB 2019'!K51</f>
        <v>0</v>
      </c>
      <c r="AH43" s="383">
        <f t="shared" si="7"/>
        <v>0</v>
      </c>
      <c r="AJ43" s="385">
        <v>10000000</v>
      </c>
      <c r="AK43" s="392">
        <f>'[1]COE DISB 2019'!L51</f>
        <v>10000000</v>
      </c>
      <c r="AL43" s="383">
        <f t="shared" si="8"/>
        <v>0</v>
      </c>
      <c r="AN43" s="392">
        <v>10000000</v>
      </c>
      <c r="AO43" s="392">
        <f>'[1]COE DISB 2019'!M51</f>
        <v>10000000</v>
      </c>
      <c r="AP43" s="383">
        <f t="shared" si="9"/>
        <v>0</v>
      </c>
      <c r="AR43" s="392">
        <v>15000000</v>
      </c>
      <c r="AS43" s="392">
        <f>'[1]COE DISB 2019'!N51</f>
        <v>15000000</v>
      </c>
      <c r="AT43" s="383">
        <f t="shared" si="10"/>
        <v>0</v>
      </c>
      <c r="AV43" s="392">
        <v>5000000</v>
      </c>
      <c r="AW43" s="393">
        <f>'[1]COE DISB 2019'!O51</f>
        <v>5000000</v>
      </c>
      <c r="AX43" s="392">
        <f t="shared" si="11"/>
        <v>0</v>
      </c>
      <c r="AZ43" s="392">
        <v>18000000</v>
      </c>
      <c r="BA43" s="392">
        <f>'[1]COE DISB 2019'!P51</f>
        <v>18000000</v>
      </c>
      <c r="BB43" s="392">
        <f t="shared" si="12"/>
        <v>0</v>
      </c>
      <c r="BD43" s="392">
        <v>23400000</v>
      </c>
      <c r="BE43" s="392">
        <f>'[1]COE DISB 2019'!Q51</f>
        <v>23400000</v>
      </c>
      <c r="BF43" s="392">
        <f t="shared" si="13"/>
        <v>0</v>
      </c>
      <c r="BH43" s="392">
        <v>0</v>
      </c>
      <c r="BI43" s="392">
        <f>'[1]COE DISB 2019'!R51</f>
        <v>0</v>
      </c>
      <c r="BJ43" s="392">
        <f t="shared" si="14"/>
        <v>0</v>
      </c>
      <c r="BL43" s="392">
        <v>43000000</v>
      </c>
      <c r="BM43" s="392">
        <f>'[1]COE DISB 2019'!S51</f>
        <v>43000000</v>
      </c>
      <c r="BN43" s="392">
        <f t="shared" si="15"/>
        <v>0</v>
      </c>
      <c r="BP43" s="392">
        <v>37160000</v>
      </c>
      <c r="BQ43" s="392">
        <f>'[1]COE DISB 2019'!T51</f>
        <v>37160000</v>
      </c>
      <c r="BR43" s="392">
        <f t="shared" si="16"/>
        <v>0</v>
      </c>
      <c r="BT43" s="392">
        <v>0</v>
      </c>
      <c r="BU43" s="392">
        <f>'[1]COE DISB 2019'!U51</f>
        <v>0</v>
      </c>
      <c r="BV43" s="392">
        <f t="shared" si="17"/>
        <v>0</v>
      </c>
      <c r="BX43" s="392">
        <v>112670000</v>
      </c>
      <c r="BY43" s="392">
        <f>'[1]COE DISB 2019'!V51</f>
        <v>112670000</v>
      </c>
      <c r="BZ43" s="392">
        <f t="shared" si="18"/>
        <v>0</v>
      </c>
      <c r="CB43" s="392">
        <f>'[1]COE commited funds to date'!W46</f>
        <v>50000000</v>
      </c>
      <c r="CC43" s="392">
        <f>'[1]COE DISB 2019'!W51</f>
        <v>50000000</v>
      </c>
      <c r="CD43" s="392">
        <f t="shared" si="19"/>
        <v>0</v>
      </c>
      <c r="CF43" s="392">
        <f>'[1]COE commited funds to date'!X46</f>
        <v>125000000</v>
      </c>
      <c r="CG43" s="392">
        <f>'[1]COE DISB 2019'!X51</f>
        <v>125000000</v>
      </c>
      <c r="CH43" s="392">
        <f t="shared" si="20"/>
        <v>0</v>
      </c>
      <c r="CJ43" s="392">
        <v>10000000</v>
      </c>
      <c r="CK43" s="392">
        <f>'[1]COE DISB 2019'!Y51</f>
        <v>10000000</v>
      </c>
      <c r="CL43" s="392">
        <f t="shared" si="21"/>
        <v>0</v>
      </c>
      <c r="CN43" s="392">
        <v>0</v>
      </c>
      <c r="CO43" s="392">
        <f>'[1]COE DISB 2019'!Z51</f>
        <v>0</v>
      </c>
      <c r="CP43" s="392">
        <f t="shared" si="22"/>
        <v>0</v>
      </c>
      <c r="CR43" s="392">
        <v>210000000</v>
      </c>
      <c r="CS43" s="392">
        <f>'[1]COE DISB 2019'!AA51</f>
        <v>210000000</v>
      </c>
      <c r="CT43" s="392">
        <f t="shared" si="23"/>
        <v>0</v>
      </c>
      <c r="CV43" s="392">
        <v>10000000</v>
      </c>
      <c r="CW43" s="392">
        <f>'[1]COE DISB 2019'!AB51</f>
        <v>10000000</v>
      </c>
      <c r="CX43" s="392">
        <f t="shared" si="24"/>
        <v>0</v>
      </c>
      <c r="CZ43" s="392">
        <f>'[1]COE commited funds to date'!AC46</f>
        <v>0</v>
      </c>
      <c r="DA43" s="392">
        <f>'[1]COE DISB 2019'!AC51</f>
        <v>0</v>
      </c>
      <c r="DB43" s="392">
        <f t="shared" si="25"/>
        <v>0</v>
      </c>
      <c r="DC43" s="394"/>
      <c r="DD43" s="392">
        <v>215000000</v>
      </c>
      <c r="DE43" s="392">
        <f>'[1]COE DISB 2019'!AD51</f>
        <v>215000000</v>
      </c>
      <c r="DF43" s="392">
        <f t="shared" si="26"/>
        <v>0</v>
      </c>
      <c r="DG43" s="394"/>
      <c r="DH43" s="392">
        <v>10000000</v>
      </c>
      <c r="DI43" s="392">
        <f>'[1]COE DISB 2019'!AE51</f>
        <v>10000000</v>
      </c>
      <c r="DJ43" s="392">
        <f t="shared" si="70"/>
        <v>0</v>
      </c>
      <c r="DK43" s="394"/>
      <c r="DL43" s="392">
        <f>'[1]COE commited funds to date'!AD46</f>
        <v>0</v>
      </c>
      <c r="DM43" s="392">
        <f>'[1]COE DISB 2019'!AF51</f>
        <v>0</v>
      </c>
      <c r="DN43" s="392">
        <f t="shared" si="28"/>
        <v>0</v>
      </c>
      <c r="DO43" s="394"/>
      <c r="DP43" s="392">
        <v>325000000</v>
      </c>
      <c r="DQ43" s="392">
        <f>'[1]COE DISB 2019'!AG51</f>
        <v>325000000</v>
      </c>
      <c r="DR43" s="392">
        <f t="shared" si="29"/>
        <v>0</v>
      </c>
      <c r="DS43" s="394"/>
      <c r="DT43" s="397">
        <v>10000000</v>
      </c>
      <c r="DU43" s="392">
        <f>'[1]COE DISB 2019'!AH51</f>
        <v>10000000</v>
      </c>
      <c r="DV43" s="392">
        <f t="shared" si="30"/>
        <v>0</v>
      </c>
      <c r="DW43" s="394"/>
      <c r="DX43" s="392">
        <f>'[1]COE commited funds to date'!AI46</f>
        <v>200000000</v>
      </c>
      <c r="DY43" s="392">
        <f>'[1]COE DISB 2019'!AI51</f>
        <v>200000000</v>
      </c>
      <c r="DZ43" s="392">
        <f t="shared" si="31"/>
        <v>0</v>
      </c>
      <c r="EA43" s="394"/>
      <c r="EB43" s="392">
        <f>'[1]COE commited funds to date'!AJ46</f>
        <v>0</v>
      </c>
      <c r="EC43" s="392">
        <f>'[1]COE DISB 2019'!AJ51</f>
        <v>0</v>
      </c>
      <c r="ED43" s="392">
        <f t="shared" si="32"/>
        <v>0</v>
      </c>
      <c r="EE43" s="394"/>
      <c r="EF43" s="392">
        <f>'[1]COE commited funds to date'!AK46</f>
        <v>0</v>
      </c>
      <c r="EG43" s="392">
        <f>'[1]COE DISB 2019'!AK51</f>
        <v>0</v>
      </c>
      <c r="EH43" s="392">
        <f t="shared" si="33"/>
        <v>0</v>
      </c>
      <c r="EI43" s="394"/>
      <c r="EJ43" s="392">
        <f>'[1]COE commited funds to date'!AL46</f>
        <v>0</v>
      </c>
      <c r="EK43" s="392">
        <f>'[1]COE DISB 2019'!AL51</f>
        <v>0</v>
      </c>
      <c r="EL43" s="392">
        <f t="shared" si="34"/>
        <v>0</v>
      </c>
      <c r="EM43" s="394"/>
      <c r="EN43" s="392">
        <f>'[1]COE commited funds to date'!AM46</f>
        <v>0</v>
      </c>
      <c r="EO43" s="392">
        <f>'[1]COE DISB 2019'!AM51</f>
        <v>0</v>
      </c>
      <c r="EP43" s="392">
        <f t="shared" si="35"/>
        <v>0</v>
      </c>
      <c r="EQ43" s="394"/>
      <c r="ER43" s="392">
        <f>'[1]COE commited funds to date'!AN46</f>
        <v>1450000000</v>
      </c>
      <c r="ES43" s="392">
        <f>'[1]COE DISB 2019'!AN51</f>
        <v>1322500000</v>
      </c>
      <c r="ET43" s="392">
        <f t="shared" si="36"/>
        <v>127500000</v>
      </c>
      <c r="EV43" s="383">
        <f>'[1]COE commited funds to date'!AO46</f>
        <v>371067000</v>
      </c>
      <c r="EW43" s="383">
        <f>'[1]COE DISB 2019'!AO51</f>
        <v>222640200</v>
      </c>
      <c r="EX43" s="383">
        <f t="shared" si="38"/>
        <v>148426800</v>
      </c>
      <c r="EY43" s="380"/>
      <c r="EZ43" s="383">
        <f>'[1]COE commited funds to date'!AQ46</f>
        <v>12000000</v>
      </c>
      <c r="FA43" s="383">
        <f>'[1]COE DISB 2019'!AP51</f>
        <v>9649600</v>
      </c>
      <c r="FB43" s="383">
        <f t="shared" si="39"/>
        <v>2350400</v>
      </c>
      <c r="FC43" s="380"/>
      <c r="FD43" s="383">
        <f>'[1]COE commited funds to date'!AR46</f>
        <v>10000000</v>
      </c>
      <c r="FE43" s="383">
        <f>'[1]COE DISB 2019'!AQ51</f>
        <v>0</v>
      </c>
      <c r="FF43" s="383">
        <f t="shared" si="40"/>
        <v>10000000</v>
      </c>
      <c r="FG43" s="380"/>
      <c r="FH43" s="383">
        <f>'[1]COE commited funds to date'!AP46</f>
        <v>8000000</v>
      </c>
      <c r="FI43" s="383">
        <f>'[1]COE DISB 2019'!AR51</f>
        <v>0</v>
      </c>
      <c r="FJ43" s="383">
        <f t="shared" si="41"/>
        <v>8000000</v>
      </c>
      <c r="FK43" s="383">
        <f>'[1]COE commited funds to date'!AS46</f>
        <v>0</v>
      </c>
      <c r="FL43" s="383">
        <f>'[1]COE DISB 2019'!AS51</f>
        <v>0</v>
      </c>
      <c r="FM43" s="383">
        <f t="shared" si="42"/>
        <v>0</v>
      </c>
      <c r="FN43" s="380"/>
      <c r="FO43" s="383">
        <f>'[1]COE commited funds to date'!AT46</f>
        <v>0</v>
      </c>
      <c r="FP43" s="383">
        <f>'[1]COE DISB 2019'!AT51</f>
        <v>0</v>
      </c>
      <c r="FQ43" s="383">
        <f t="shared" si="43"/>
        <v>0</v>
      </c>
      <c r="FR43" s="380"/>
      <c r="FS43" s="383">
        <f>'[1]COE commited funds to date'!AU46</f>
        <v>75000000</v>
      </c>
      <c r="FT43" s="383">
        <f>'[1]COE DISB 2019'!AU51</f>
        <v>51000000</v>
      </c>
      <c r="FU43" s="383">
        <f t="shared" si="44"/>
        <v>24000000</v>
      </c>
      <c r="FV43" s="380"/>
      <c r="FW43" s="383">
        <f>'[1]COE commited funds to date'!AV46</f>
        <v>0</v>
      </c>
      <c r="FX43" s="383">
        <f>'[1]COE DISB 2019'!AV51</f>
        <v>0</v>
      </c>
      <c r="FY43" s="383">
        <f t="shared" si="45"/>
        <v>0</v>
      </c>
      <c r="FZ43" s="380"/>
      <c r="GA43" s="383">
        <f>'[1]COE commited funds to date'!AW46</f>
        <v>0</v>
      </c>
      <c r="GB43" s="383">
        <f>'[1]COE DISB 2019'!AW51</f>
        <v>0</v>
      </c>
      <c r="GC43" s="383">
        <f t="shared" si="46"/>
        <v>0</v>
      </c>
      <c r="GD43" s="380"/>
      <c r="GE43" s="383">
        <f>'[1]COE commited funds to date'!AX46</f>
        <v>0</v>
      </c>
      <c r="GF43" s="383">
        <f>'[1]COE DISB 2019'!AX51</f>
        <v>0</v>
      </c>
      <c r="GG43" s="383">
        <f t="shared" si="47"/>
        <v>0</v>
      </c>
      <c r="GH43" s="380"/>
      <c r="GI43" s="383">
        <f>'[1]COE commited funds to date'!AY46</f>
        <v>230000000</v>
      </c>
      <c r="GJ43" s="383">
        <f>'[1]COE DISB 2019'!AY51</f>
        <v>0</v>
      </c>
      <c r="GK43" s="383">
        <f t="shared" si="48"/>
        <v>230000000</v>
      </c>
      <c r="GL43" s="380"/>
      <c r="GM43" s="383">
        <f>'[1]COE commited funds to date'!AZ46</f>
        <v>116776600</v>
      </c>
      <c r="GN43" s="383">
        <f>'[1]COE DISB 2019'!AZ51</f>
        <v>0</v>
      </c>
      <c r="GO43" s="383">
        <f t="shared" si="49"/>
        <v>116776600</v>
      </c>
      <c r="GP43" s="380"/>
      <c r="GQ43" s="383">
        <f>'[1]COE commited funds to date'!BA46</f>
        <v>12000000</v>
      </c>
      <c r="GR43" s="383">
        <f>'[1]COE DISB 2019'!BA51</f>
        <v>0</v>
      </c>
      <c r="GS43" s="383">
        <f t="shared" si="50"/>
        <v>12000000</v>
      </c>
      <c r="GT43" s="380"/>
      <c r="GU43" s="383">
        <f>'[1]COE commited funds to date'!BB46</f>
        <v>5000000</v>
      </c>
      <c r="GV43" s="383">
        <f>'[1]COE DISB 2019'!BB51</f>
        <v>0</v>
      </c>
      <c r="GW43" s="383">
        <f t="shared" si="51"/>
        <v>5000000</v>
      </c>
      <c r="GX43" s="380"/>
      <c r="GY43" s="383">
        <f>'[1]COE commited funds to date'!BC46</f>
        <v>10308300</v>
      </c>
      <c r="GZ43" s="383">
        <f>'[1]COE DISB 2019'!BC51</f>
        <v>0</v>
      </c>
      <c r="HA43" s="383">
        <f t="shared" si="52"/>
        <v>10308300</v>
      </c>
      <c r="HB43" s="380"/>
      <c r="HC43" s="383">
        <f t="shared" si="53"/>
        <v>3803226865.5</v>
      </c>
      <c r="HD43" s="383">
        <f t="shared" si="53"/>
        <v>3108864765.5</v>
      </c>
      <c r="HE43" s="392">
        <f t="shared" si="54"/>
        <v>694362100</v>
      </c>
      <c r="HG43" s="383">
        <f t="shared" si="55"/>
        <v>1807615965.5</v>
      </c>
      <c r="HH43" s="383">
        <f t="shared" si="55"/>
        <v>1429189165.5</v>
      </c>
      <c r="HI43" s="383">
        <f t="shared" si="56"/>
        <v>378426800</v>
      </c>
      <c r="HK43" s="383">
        <f t="shared" si="57"/>
        <v>1700000000</v>
      </c>
      <c r="HL43" s="383">
        <f t="shared" si="57"/>
        <v>1572500000</v>
      </c>
      <c r="HM43" s="383">
        <f t="shared" si="58"/>
        <v>127500000</v>
      </c>
      <c r="HO43" s="383">
        <f t="shared" si="71"/>
        <v>1526000</v>
      </c>
      <c r="HP43" s="383">
        <f t="shared" si="71"/>
        <v>1526000</v>
      </c>
      <c r="HQ43" s="383">
        <f t="shared" si="59"/>
        <v>0</v>
      </c>
      <c r="HS43" s="383">
        <f t="shared" si="60"/>
        <v>62308300</v>
      </c>
      <c r="HT43" s="383">
        <f t="shared" si="60"/>
        <v>49649600</v>
      </c>
      <c r="HU43" s="383">
        <f t="shared" si="61"/>
        <v>12658700</v>
      </c>
      <c r="HW43" s="383">
        <f t="shared" si="62"/>
        <v>20000000</v>
      </c>
      <c r="HX43" s="383">
        <f t="shared" si="62"/>
        <v>0</v>
      </c>
      <c r="HY43" s="383">
        <f t="shared" si="63"/>
        <v>20000000</v>
      </c>
      <c r="IA43" s="387">
        <f t="shared" si="64"/>
        <v>15000000</v>
      </c>
      <c r="IB43" s="387">
        <f t="shared" si="64"/>
        <v>0</v>
      </c>
      <c r="IC43" s="387">
        <f t="shared" si="65"/>
        <v>15000000</v>
      </c>
      <c r="IE43" s="383">
        <f t="shared" si="66"/>
        <v>191776600</v>
      </c>
      <c r="IF43" s="383">
        <f t="shared" si="66"/>
        <v>51000000</v>
      </c>
      <c r="IG43" s="383">
        <f t="shared" si="67"/>
        <v>140776600</v>
      </c>
      <c r="II43" s="383">
        <f t="shared" si="68"/>
        <v>0</v>
      </c>
      <c r="IJ43" s="383">
        <f t="shared" si="68"/>
        <v>0</v>
      </c>
      <c r="IK43" s="383">
        <f t="shared" si="69"/>
        <v>0</v>
      </c>
    </row>
    <row r="44" spans="1:245" x14ac:dyDescent="0.25">
      <c r="A44" s="380">
        <v>41</v>
      </c>
      <c r="B44" s="380" t="s">
        <v>360</v>
      </c>
      <c r="C44" s="431"/>
      <c r="D44" s="392">
        <v>18318965.5</v>
      </c>
      <c r="E44" s="392">
        <f>'[1]COE DISB 2019'!D52</f>
        <v>18318965.5</v>
      </c>
      <c r="F44" s="383">
        <f t="shared" si="0"/>
        <v>0</v>
      </c>
      <c r="H44" s="392">
        <v>8000000</v>
      </c>
      <c r="I44" s="392">
        <f>'[1]COE DISB 2019'!E52</f>
        <v>8000000</v>
      </c>
      <c r="J44" s="383">
        <f t="shared" si="1"/>
        <v>0</v>
      </c>
      <c r="L44" s="392">
        <v>500000</v>
      </c>
      <c r="M44" s="392">
        <f>'[1]COE DISB 2019'!F52</f>
        <v>500000</v>
      </c>
      <c r="N44" s="383">
        <f t="shared" si="2"/>
        <v>0</v>
      </c>
      <c r="P44" s="353">
        <v>16000000</v>
      </c>
      <c r="Q44" s="392">
        <f>'[1]COE DISB 2019'!G52</f>
        <v>16000000</v>
      </c>
      <c r="R44" s="383">
        <f t="shared" si="3"/>
        <v>0</v>
      </c>
      <c r="T44" s="353">
        <v>0</v>
      </c>
      <c r="U44" s="392">
        <f>'[1]COE DISB 2019'!H52</f>
        <v>0</v>
      </c>
      <c r="V44" s="383">
        <f t="shared" si="4"/>
        <v>0</v>
      </c>
      <c r="X44" s="353">
        <v>0</v>
      </c>
      <c r="Y44" s="392">
        <f>'[1]COE DISB 2019'!I52</f>
        <v>0</v>
      </c>
      <c r="Z44" s="383">
        <f t="shared" si="5"/>
        <v>0</v>
      </c>
      <c r="AB44" s="385">
        <v>20000000</v>
      </c>
      <c r="AC44" s="392">
        <f>'[1]COE DISB 2019'!J52</f>
        <v>20000000</v>
      </c>
      <c r="AD44" s="383">
        <f t="shared" si="6"/>
        <v>0</v>
      </c>
      <c r="AF44" s="353">
        <v>0</v>
      </c>
      <c r="AG44" s="392">
        <f>'[1]COE DISB 2019'!K52</f>
        <v>0</v>
      </c>
      <c r="AH44" s="383">
        <f t="shared" si="7"/>
        <v>0</v>
      </c>
      <c r="AJ44" s="385">
        <v>10000000</v>
      </c>
      <c r="AK44" s="392">
        <f>'[1]COE DISB 2019'!L52</f>
        <v>10000000</v>
      </c>
      <c r="AL44" s="383">
        <f t="shared" si="8"/>
        <v>0</v>
      </c>
      <c r="AN44" s="392">
        <v>10000000</v>
      </c>
      <c r="AO44" s="392">
        <f>'[1]COE DISB 2019'!M52</f>
        <v>10000000</v>
      </c>
      <c r="AP44" s="383">
        <f t="shared" si="9"/>
        <v>0</v>
      </c>
      <c r="AR44" s="392">
        <v>15000000</v>
      </c>
      <c r="AS44" s="392">
        <f>'[1]COE DISB 2019'!N52</f>
        <v>15000000</v>
      </c>
      <c r="AT44" s="383">
        <f t="shared" si="10"/>
        <v>0</v>
      </c>
      <c r="AV44" s="392">
        <v>5000000</v>
      </c>
      <c r="AW44" s="393">
        <f>'[1]COE DISB 2019'!O52</f>
        <v>5000000</v>
      </c>
      <c r="AX44" s="392">
        <f t="shared" si="11"/>
        <v>0</v>
      </c>
      <c r="AZ44" s="392">
        <v>18000000</v>
      </c>
      <c r="BA44" s="392">
        <f>'[1]COE DISB 2019'!P52</f>
        <v>18000000</v>
      </c>
      <c r="BB44" s="392">
        <f t="shared" si="12"/>
        <v>0</v>
      </c>
      <c r="BD44" s="392">
        <v>23400000</v>
      </c>
      <c r="BE44" s="392">
        <f>'[1]COE DISB 2019'!Q52</f>
        <v>23400000</v>
      </c>
      <c r="BF44" s="392">
        <f t="shared" si="13"/>
        <v>0</v>
      </c>
      <c r="BH44" s="392">
        <v>0</v>
      </c>
      <c r="BI44" s="392">
        <f>'[1]COE DISB 2019'!R52</f>
        <v>0</v>
      </c>
      <c r="BJ44" s="392">
        <f t="shared" si="14"/>
        <v>0</v>
      </c>
      <c r="BL44" s="392">
        <v>43000000</v>
      </c>
      <c r="BM44" s="392">
        <f>'[1]COE DISB 2019'!S52</f>
        <v>43000000</v>
      </c>
      <c r="BN44" s="392">
        <f t="shared" si="15"/>
        <v>0</v>
      </c>
      <c r="BP44" s="392">
        <v>37160000</v>
      </c>
      <c r="BQ44" s="392">
        <f>'[1]COE DISB 2019'!T52</f>
        <v>37160000</v>
      </c>
      <c r="BR44" s="392">
        <f t="shared" si="16"/>
        <v>0</v>
      </c>
      <c r="BT44" s="392">
        <v>0</v>
      </c>
      <c r="BU44" s="392">
        <f>'[1]COE DISB 2019'!U52</f>
        <v>0</v>
      </c>
      <c r="BV44" s="392">
        <f t="shared" si="17"/>
        <v>0</v>
      </c>
      <c r="BX44" s="392">
        <v>0</v>
      </c>
      <c r="BY44" s="392">
        <f>'[1]COE DISB 2019'!V52</f>
        <v>0</v>
      </c>
      <c r="BZ44" s="392">
        <f t="shared" si="18"/>
        <v>0</v>
      </c>
      <c r="CB44" s="392">
        <f>'[1]COE commited funds to date'!W47</f>
        <v>0</v>
      </c>
      <c r="CC44" s="392">
        <f>'[1]COE DISB 2019'!W52</f>
        <v>0</v>
      </c>
      <c r="CD44" s="392">
        <f t="shared" si="19"/>
        <v>0</v>
      </c>
      <c r="CF44" s="392">
        <f>'[1]COE commited funds to date'!X47</f>
        <v>125000000</v>
      </c>
      <c r="CG44" s="392">
        <f>'[1]COE DISB 2019'!X52</f>
        <v>125000000</v>
      </c>
      <c r="CH44" s="392">
        <f t="shared" si="20"/>
        <v>0</v>
      </c>
      <c r="CJ44" s="392">
        <v>10000000</v>
      </c>
      <c r="CK44" s="392">
        <f>'[1]COE DISB 2019'!Y52</f>
        <v>10000000</v>
      </c>
      <c r="CL44" s="392">
        <f t="shared" si="21"/>
        <v>0</v>
      </c>
      <c r="CN44" s="392">
        <v>250000000</v>
      </c>
      <c r="CO44" s="392">
        <f>'[1]COE DISB 2019'!Z52</f>
        <v>250000000</v>
      </c>
      <c r="CP44" s="392">
        <f t="shared" si="22"/>
        <v>0</v>
      </c>
      <c r="CR44" s="392">
        <v>0</v>
      </c>
      <c r="CS44" s="392">
        <f>'[1]COE DISB 2019'!AA52</f>
        <v>0</v>
      </c>
      <c r="CT44" s="392">
        <f t="shared" si="23"/>
        <v>0</v>
      </c>
      <c r="CV44" s="392">
        <v>0</v>
      </c>
      <c r="CW44" s="392">
        <f>'[1]COE DISB 2019'!AB52</f>
        <v>0</v>
      </c>
      <c r="CX44" s="392">
        <f t="shared" si="24"/>
        <v>0</v>
      </c>
      <c r="CZ44" s="392">
        <f>'[1]COE commited funds to date'!AC47</f>
        <v>0</v>
      </c>
      <c r="DA44" s="392">
        <f>'[1]COE DISB 2019'!AC52</f>
        <v>0</v>
      </c>
      <c r="DB44" s="392">
        <f t="shared" si="25"/>
        <v>0</v>
      </c>
      <c r="DC44" s="394"/>
      <c r="DD44" s="392">
        <v>0</v>
      </c>
      <c r="DE44" s="392">
        <f>'[1]COE DISB 2019'!AD52</f>
        <v>0</v>
      </c>
      <c r="DF44" s="392">
        <f t="shared" si="26"/>
        <v>0</v>
      </c>
      <c r="DG44" s="394"/>
      <c r="DH44" s="397">
        <v>0</v>
      </c>
      <c r="DI44" s="397">
        <f>'[1]COE DISB 2019'!AE52</f>
        <v>0</v>
      </c>
      <c r="DJ44" s="397">
        <v>0</v>
      </c>
      <c r="DK44" s="394"/>
      <c r="DL44" s="392">
        <f>'[1]COE commited funds to date'!AD47</f>
        <v>0</v>
      </c>
      <c r="DM44" s="392">
        <f>'[1]COE DISB 2019'!AF52</f>
        <v>0</v>
      </c>
      <c r="DN44" s="392">
        <f t="shared" si="28"/>
        <v>0</v>
      </c>
      <c r="DO44" s="394"/>
      <c r="DP44" s="392">
        <v>325000000</v>
      </c>
      <c r="DQ44" s="392">
        <f>'[1]COE DISB 2019'!AG52</f>
        <v>325000000</v>
      </c>
      <c r="DR44" s="392">
        <f t="shared" si="29"/>
        <v>0</v>
      </c>
      <c r="DS44" s="394"/>
      <c r="DT44" s="397">
        <v>10000000</v>
      </c>
      <c r="DU44" s="392">
        <f>'[1]COE DISB 2019'!AH52</f>
        <v>10000000</v>
      </c>
      <c r="DV44" s="392">
        <f t="shared" si="30"/>
        <v>0</v>
      </c>
      <c r="DW44" s="394"/>
      <c r="DX44" s="392">
        <f>'[1]COE commited funds to date'!AI47</f>
        <v>100000000</v>
      </c>
      <c r="DY44" s="392">
        <f>'[1]COE DISB 2019'!AI52</f>
        <v>100000000</v>
      </c>
      <c r="DZ44" s="392">
        <f t="shared" si="31"/>
        <v>0</v>
      </c>
      <c r="EA44" s="394"/>
      <c r="EB44" s="392">
        <f>'[1]COE commited funds to date'!AJ47</f>
        <v>0</v>
      </c>
      <c r="EC44" s="392">
        <f>'[1]COE DISB 2019'!AJ52</f>
        <v>0</v>
      </c>
      <c r="ED44" s="392">
        <f t="shared" si="32"/>
        <v>0</v>
      </c>
      <c r="EE44" s="394"/>
      <c r="EF44" s="392">
        <f>'[1]COE commited funds to date'!AK47</f>
        <v>0</v>
      </c>
      <c r="EG44" s="392">
        <f>'[1]COE DISB 2019'!AK52</f>
        <v>0</v>
      </c>
      <c r="EH44" s="392">
        <f t="shared" si="33"/>
        <v>0</v>
      </c>
      <c r="EI44" s="394"/>
      <c r="EJ44" s="392">
        <f>'[1]COE commited funds to date'!AL47</f>
        <v>0</v>
      </c>
      <c r="EK44" s="392">
        <f>'[1]COE DISB 2019'!AL52</f>
        <v>0</v>
      </c>
      <c r="EL44" s="392">
        <f t="shared" si="34"/>
        <v>0</v>
      </c>
      <c r="EM44" s="394"/>
      <c r="EN44" s="392">
        <f>'[1]COE commited funds to date'!AM47</f>
        <v>0</v>
      </c>
      <c r="EO44" s="392">
        <f>'[1]COE DISB 2019'!AM52</f>
        <v>0</v>
      </c>
      <c r="EP44" s="392">
        <f t="shared" si="35"/>
        <v>0</v>
      </c>
      <c r="EQ44" s="394"/>
      <c r="ER44" s="392">
        <f>'[1]COE commited funds to date'!AN47</f>
        <v>250000000</v>
      </c>
      <c r="ES44" s="392">
        <f>'[1]COE DISB 2019'!AN52</f>
        <v>250000000</v>
      </c>
      <c r="ET44" s="392">
        <f t="shared" si="36"/>
        <v>0</v>
      </c>
      <c r="EV44" s="383">
        <f>'[1]COE commited funds to date'!AO47</f>
        <v>0</v>
      </c>
      <c r="EW44" s="383">
        <f>'[1]COE DISB 2019'!AO52</f>
        <v>0</v>
      </c>
      <c r="EX44" s="383">
        <f t="shared" si="38"/>
        <v>0</v>
      </c>
      <c r="EY44" s="380"/>
      <c r="EZ44" s="383">
        <f>'[1]COE commited funds to date'!AQ47</f>
        <v>0</v>
      </c>
      <c r="FA44" s="383">
        <f>'[1]COE DISB 2019'!AP52</f>
        <v>0</v>
      </c>
      <c r="FB44" s="383">
        <f t="shared" si="39"/>
        <v>0</v>
      </c>
      <c r="FC44" s="380"/>
      <c r="FD44" s="383">
        <f>'[1]COE commited funds to date'!AR47</f>
        <v>0</v>
      </c>
      <c r="FE44" s="383">
        <f>'[1]COE DISB 2019'!AQ52</f>
        <v>0</v>
      </c>
      <c r="FF44" s="383">
        <f t="shared" si="40"/>
        <v>0</v>
      </c>
      <c r="FG44" s="380"/>
      <c r="FH44" s="383">
        <f>'[1]COE commited funds to date'!AP47</f>
        <v>0</v>
      </c>
      <c r="FI44" s="383">
        <f>'[1]COE DISB 2019'!AR52</f>
        <v>0</v>
      </c>
      <c r="FJ44" s="383">
        <f t="shared" si="41"/>
        <v>0</v>
      </c>
      <c r="FK44" s="383">
        <f>'[1]COE commited funds to date'!AS47</f>
        <v>0</v>
      </c>
      <c r="FL44" s="383">
        <f>'[1]COE DISB 2019'!AS52</f>
        <v>0</v>
      </c>
      <c r="FM44" s="383">
        <f t="shared" si="42"/>
        <v>0</v>
      </c>
      <c r="FN44" s="380"/>
      <c r="FO44" s="383">
        <f>'[1]COE commited funds to date'!AT47</f>
        <v>200000000</v>
      </c>
      <c r="FP44" s="383">
        <f>'[1]COE DISB 2019'!AT52</f>
        <v>0</v>
      </c>
      <c r="FQ44" s="383">
        <f t="shared" si="43"/>
        <v>200000000</v>
      </c>
      <c r="FR44" s="380"/>
      <c r="FS44" s="383">
        <f>'[1]COE commited funds to date'!AU47</f>
        <v>75000000</v>
      </c>
      <c r="FT44" s="383">
        <f>'[1]COE DISB 2019'!AU52</f>
        <v>51000000</v>
      </c>
      <c r="FU44" s="383">
        <f t="shared" si="44"/>
        <v>24000000</v>
      </c>
      <c r="FV44" s="380"/>
      <c r="FW44" s="383">
        <f>'[1]COE commited funds to date'!AV47</f>
        <v>8700000</v>
      </c>
      <c r="FX44" s="383">
        <f>'[1]COE DISB 2019'!AV52</f>
        <v>0</v>
      </c>
      <c r="FY44" s="383">
        <f t="shared" si="45"/>
        <v>8700000</v>
      </c>
      <c r="FZ44" s="380"/>
      <c r="GA44" s="383">
        <f>'[1]COE commited funds to date'!AW47</f>
        <v>5000000</v>
      </c>
      <c r="GB44" s="383">
        <f>'[1]COE DISB 2019'!AW52</f>
        <v>0</v>
      </c>
      <c r="GC44" s="383">
        <f t="shared" si="46"/>
        <v>5000000</v>
      </c>
      <c r="GD44" s="380"/>
      <c r="GE44" s="383">
        <f>'[1]COE commited funds to date'!AX47</f>
        <v>20000000</v>
      </c>
      <c r="GF44" s="383">
        <f>'[1]COE DISB 2019'!AX52</f>
        <v>10058000</v>
      </c>
      <c r="GG44" s="383">
        <f t="shared" si="47"/>
        <v>9942000</v>
      </c>
      <c r="GH44" s="380"/>
      <c r="GI44" s="383">
        <f>'[1]COE commited funds to date'!AY47</f>
        <v>0</v>
      </c>
      <c r="GJ44" s="383">
        <f>'[1]COE DISB 2019'!AY52</f>
        <v>0</v>
      </c>
      <c r="GK44" s="383">
        <f t="shared" si="48"/>
        <v>0</v>
      </c>
      <c r="GL44" s="380"/>
      <c r="GM44" s="383">
        <f>'[1]COE commited funds to date'!AZ47</f>
        <v>116776600</v>
      </c>
      <c r="GN44" s="383">
        <f>'[1]COE DISB 2019'!AZ52</f>
        <v>0</v>
      </c>
      <c r="GO44" s="383">
        <f t="shared" si="49"/>
        <v>116776600</v>
      </c>
      <c r="GP44" s="380"/>
      <c r="GQ44" s="383">
        <f>'[1]COE commited funds to date'!BA47</f>
        <v>0</v>
      </c>
      <c r="GR44" s="383">
        <f>'[1]COE DISB 2019'!BA52</f>
        <v>0</v>
      </c>
      <c r="GS44" s="383">
        <f t="shared" si="50"/>
        <v>0</v>
      </c>
      <c r="GT44" s="380"/>
      <c r="GU44" s="383">
        <f>'[1]COE commited funds to date'!BB47</f>
        <v>0</v>
      </c>
      <c r="GV44" s="383">
        <f>'[1]COE DISB 2019'!BB52</f>
        <v>0</v>
      </c>
      <c r="GW44" s="383">
        <f t="shared" si="51"/>
        <v>0</v>
      </c>
      <c r="GX44" s="380"/>
      <c r="GY44" s="383">
        <f>'[1]COE commited funds to date'!BC47</f>
        <v>0</v>
      </c>
      <c r="GZ44" s="383">
        <f>'[1]COE DISB 2019'!BC52</f>
        <v>0</v>
      </c>
      <c r="HA44" s="383">
        <f t="shared" si="52"/>
        <v>0</v>
      </c>
      <c r="HB44" s="380"/>
      <c r="HC44" s="383">
        <f t="shared" si="53"/>
        <v>1719855565.5</v>
      </c>
      <c r="HD44" s="383">
        <f t="shared" si="53"/>
        <v>1355436965.5</v>
      </c>
      <c r="HE44" s="392">
        <f t="shared" si="54"/>
        <v>364418600</v>
      </c>
      <c r="HG44" s="383">
        <f t="shared" si="55"/>
        <v>868878965.5</v>
      </c>
      <c r="HH44" s="383">
        <f t="shared" si="55"/>
        <v>668878965.5</v>
      </c>
      <c r="HI44" s="383">
        <f t="shared" si="56"/>
        <v>200000000</v>
      </c>
      <c r="HK44" s="383">
        <f t="shared" si="57"/>
        <v>600000000</v>
      </c>
      <c r="HL44" s="383">
        <f t="shared" si="57"/>
        <v>600000000</v>
      </c>
      <c r="HM44" s="383">
        <f t="shared" si="58"/>
        <v>0</v>
      </c>
      <c r="HO44" s="383">
        <f t="shared" si="71"/>
        <v>500000</v>
      </c>
      <c r="HP44" s="383">
        <f t="shared" si="71"/>
        <v>500000</v>
      </c>
      <c r="HQ44" s="383">
        <f t="shared" si="59"/>
        <v>0</v>
      </c>
      <c r="HS44" s="383">
        <f t="shared" si="60"/>
        <v>40000000</v>
      </c>
      <c r="HT44" s="383">
        <f t="shared" si="60"/>
        <v>30058000</v>
      </c>
      <c r="HU44" s="383">
        <f t="shared" si="61"/>
        <v>9942000</v>
      </c>
      <c r="HW44" s="383">
        <f t="shared" si="62"/>
        <v>8700000</v>
      </c>
      <c r="HX44" s="383">
        <f t="shared" si="62"/>
        <v>0</v>
      </c>
      <c r="HY44" s="383">
        <f t="shared" si="63"/>
        <v>8700000</v>
      </c>
      <c r="IA44" s="387">
        <f t="shared" si="64"/>
        <v>5000000</v>
      </c>
      <c r="IB44" s="387">
        <f t="shared" si="64"/>
        <v>0</v>
      </c>
      <c r="IC44" s="387">
        <f t="shared" si="65"/>
        <v>5000000</v>
      </c>
      <c r="IE44" s="383">
        <f t="shared" si="66"/>
        <v>191776600</v>
      </c>
      <c r="IF44" s="383">
        <f t="shared" si="66"/>
        <v>51000000</v>
      </c>
      <c r="IG44" s="383">
        <f t="shared" si="67"/>
        <v>140776600</v>
      </c>
      <c r="II44" s="383">
        <f t="shared" si="68"/>
        <v>0</v>
      </c>
      <c r="IJ44" s="383">
        <f t="shared" si="68"/>
        <v>0</v>
      </c>
      <c r="IK44" s="383">
        <f t="shared" si="69"/>
        <v>0</v>
      </c>
    </row>
    <row r="45" spans="1:245" x14ac:dyDescent="0.25">
      <c r="A45" s="380">
        <v>42</v>
      </c>
      <c r="B45" s="380" t="s">
        <v>361</v>
      </c>
      <c r="C45" s="431" t="s">
        <v>61</v>
      </c>
      <c r="D45" s="392">
        <v>18318965.5</v>
      </c>
      <c r="E45" s="392">
        <f>'[1]COE DISB 2019'!D53</f>
        <v>18318965.5</v>
      </c>
      <c r="F45" s="383">
        <f t="shared" si="0"/>
        <v>0</v>
      </c>
      <c r="H45" s="392">
        <v>8000000</v>
      </c>
      <c r="I45" s="392">
        <f>'[1]COE DISB 2019'!E53</f>
        <v>8000000</v>
      </c>
      <c r="J45" s="383">
        <f t="shared" si="1"/>
        <v>0</v>
      </c>
      <c r="L45" s="392">
        <v>500000</v>
      </c>
      <c r="M45" s="392">
        <f>'[1]COE DISB 2019'!F53</f>
        <v>500000</v>
      </c>
      <c r="N45" s="383">
        <f t="shared" si="2"/>
        <v>0</v>
      </c>
      <c r="P45" s="353">
        <v>16000000</v>
      </c>
      <c r="Q45" s="392">
        <f>'[1]COE DISB 2019'!G53</f>
        <v>16000000</v>
      </c>
      <c r="R45" s="383">
        <f t="shared" si="3"/>
        <v>0</v>
      </c>
      <c r="T45" s="385">
        <v>1791000</v>
      </c>
      <c r="U45" s="392">
        <f>'[1]COE DISB 2019'!H53</f>
        <v>1791000</v>
      </c>
      <c r="V45" s="383">
        <f t="shared" si="4"/>
        <v>0</v>
      </c>
      <c r="X45" s="353">
        <v>0</v>
      </c>
      <c r="Y45" s="392">
        <f>'[1]COE DISB 2019'!I53</f>
        <v>0</v>
      </c>
      <c r="Z45" s="383">
        <f t="shared" si="5"/>
        <v>0</v>
      </c>
      <c r="AB45" s="385">
        <v>20000000</v>
      </c>
      <c r="AC45" s="392">
        <f>'[1]COE DISB 2019'!J53</f>
        <v>20000000</v>
      </c>
      <c r="AD45" s="383">
        <f t="shared" si="6"/>
        <v>0</v>
      </c>
      <c r="AF45" s="353">
        <v>1855000</v>
      </c>
      <c r="AG45" s="392">
        <f>'[1]COE DISB 2019'!K53</f>
        <v>1855000</v>
      </c>
      <c r="AH45" s="383">
        <f t="shared" si="7"/>
        <v>0</v>
      </c>
      <c r="AJ45" s="385">
        <v>10000000</v>
      </c>
      <c r="AK45" s="392">
        <f>'[1]COE DISB 2019'!L53</f>
        <v>10000000</v>
      </c>
      <c r="AL45" s="383">
        <f t="shared" si="8"/>
        <v>0</v>
      </c>
      <c r="AN45" s="392">
        <v>10000000</v>
      </c>
      <c r="AO45" s="392">
        <f>'[1]COE DISB 2019'!M53</f>
        <v>10000000</v>
      </c>
      <c r="AP45" s="383">
        <f t="shared" si="9"/>
        <v>0</v>
      </c>
      <c r="AR45" s="392">
        <v>15000000</v>
      </c>
      <c r="AS45" s="392">
        <f>'[1]COE DISB 2019'!N53</f>
        <v>15000000</v>
      </c>
      <c r="AT45" s="383">
        <f t="shared" si="10"/>
        <v>0</v>
      </c>
      <c r="AV45" s="392">
        <v>0</v>
      </c>
      <c r="AW45" s="432">
        <f>'[1]COE DISB 2019'!O53</f>
        <v>0</v>
      </c>
      <c r="AX45" s="392">
        <f t="shared" si="11"/>
        <v>0</v>
      </c>
      <c r="AZ45" s="392">
        <v>18000000</v>
      </c>
      <c r="BA45" s="392">
        <f>'[1]COE DISB 2019'!P53</f>
        <v>18000000</v>
      </c>
      <c r="BB45" s="392">
        <f t="shared" si="12"/>
        <v>0</v>
      </c>
      <c r="BD45" s="392">
        <v>23400000</v>
      </c>
      <c r="BE45" s="392">
        <f>'[1]COE DISB 2019'!Q53</f>
        <v>23400000</v>
      </c>
      <c r="BF45" s="392">
        <f t="shared" si="13"/>
        <v>0</v>
      </c>
      <c r="BH45" s="392">
        <v>0</v>
      </c>
      <c r="BI45" s="392">
        <f>'[1]COE DISB 2019'!R53</f>
        <v>0</v>
      </c>
      <c r="BJ45" s="392">
        <f t="shared" si="14"/>
        <v>0</v>
      </c>
      <c r="BL45" s="392">
        <v>43000000</v>
      </c>
      <c r="BM45" s="392">
        <f>'[1]COE DISB 2019'!S53</f>
        <v>43000000</v>
      </c>
      <c r="BN45" s="392">
        <f t="shared" si="15"/>
        <v>0</v>
      </c>
      <c r="BP45" s="392">
        <v>37160000</v>
      </c>
      <c r="BQ45" s="392">
        <f>'[1]COE DISB 2019'!T53</f>
        <v>37160000</v>
      </c>
      <c r="BR45" s="392">
        <f t="shared" si="16"/>
        <v>0</v>
      </c>
      <c r="BT45" s="392">
        <v>0</v>
      </c>
      <c r="BU45" s="392">
        <f>'[1]COE DISB 2019'!U53</f>
        <v>0</v>
      </c>
      <c r="BV45" s="392">
        <f t="shared" si="17"/>
        <v>0</v>
      </c>
      <c r="BX45" s="392">
        <v>112670000</v>
      </c>
      <c r="BY45" s="392">
        <f>'[1]COE DISB 2019'!V53</f>
        <v>112670000</v>
      </c>
      <c r="BZ45" s="392">
        <f t="shared" si="18"/>
        <v>0</v>
      </c>
      <c r="CB45" s="392">
        <f>'[1]COE commited funds to date'!W48</f>
        <v>0</v>
      </c>
      <c r="CC45" s="392">
        <f>'[1]COE DISB 2019'!W53</f>
        <v>0</v>
      </c>
      <c r="CD45" s="392">
        <f t="shared" si="19"/>
        <v>0</v>
      </c>
      <c r="CF45" s="392">
        <f>'[1]COE commited funds to date'!X48</f>
        <v>0</v>
      </c>
      <c r="CG45" s="392">
        <f>'[1]COE DISB 2019'!X53</f>
        <v>0</v>
      </c>
      <c r="CH45" s="392">
        <f t="shared" si="20"/>
        <v>0</v>
      </c>
      <c r="CJ45" s="392">
        <v>0</v>
      </c>
      <c r="CK45" s="392">
        <f>'[1]COE DISB 2019'!Y53</f>
        <v>0</v>
      </c>
      <c r="CL45" s="392">
        <f t="shared" si="21"/>
        <v>0</v>
      </c>
      <c r="CN45" s="392">
        <v>0</v>
      </c>
      <c r="CO45" s="392">
        <f>'[1]COE DISB 2019'!Z53</f>
        <v>0</v>
      </c>
      <c r="CP45" s="392">
        <f t="shared" si="22"/>
        <v>0</v>
      </c>
      <c r="CR45" s="392">
        <v>0</v>
      </c>
      <c r="CS45" s="392">
        <f>'[1]COE DISB 2019'!AA53</f>
        <v>0</v>
      </c>
      <c r="CT45" s="392">
        <f t="shared" si="23"/>
        <v>0</v>
      </c>
      <c r="CV45" s="392">
        <v>0</v>
      </c>
      <c r="CW45" s="392">
        <f>'[1]COE DISB 2019'!AB53</f>
        <v>0</v>
      </c>
      <c r="CX45" s="392">
        <f t="shared" si="24"/>
        <v>0</v>
      </c>
      <c r="CZ45" s="392">
        <f>'[1]COE commited funds to date'!AC48</f>
        <v>0</v>
      </c>
      <c r="DA45" s="392">
        <f>'[1]COE DISB 2019'!AC53</f>
        <v>0</v>
      </c>
      <c r="DB45" s="392">
        <f t="shared" si="25"/>
        <v>0</v>
      </c>
      <c r="DC45" s="394"/>
      <c r="DD45" s="392">
        <v>215000000</v>
      </c>
      <c r="DE45" s="392">
        <f>'[1]COE DISB 2019'!AD53</f>
        <v>215000000</v>
      </c>
      <c r="DF45" s="392">
        <f t="shared" si="26"/>
        <v>0</v>
      </c>
      <c r="DG45" s="394"/>
      <c r="DH45" s="392">
        <v>10000000</v>
      </c>
      <c r="DI45" s="392">
        <f>'[1]COE DISB 2019'!AE53</f>
        <v>10000000</v>
      </c>
      <c r="DJ45" s="392">
        <f>DH45-DI45</f>
        <v>0</v>
      </c>
      <c r="DK45" s="394"/>
      <c r="DL45" s="392">
        <f>'[1]COE commited funds to date'!AD48</f>
        <v>0</v>
      </c>
      <c r="DM45" s="392">
        <f>'[1]COE DISB 2019'!AF53</f>
        <v>0</v>
      </c>
      <c r="DN45" s="392">
        <f t="shared" si="28"/>
        <v>0</v>
      </c>
      <c r="DO45" s="394"/>
      <c r="DP45" s="392">
        <v>0</v>
      </c>
      <c r="DQ45" s="392">
        <f>'[1]COE DISB 2019'!AG53</f>
        <v>0</v>
      </c>
      <c r="DR45" s="392">
        <f t="shared" si="29"/>
        <v>0</v>
      </c>
      <c r="DS45" s="394"/>
      <c r="DT45" s="397">
        <v>0</v>
      </c>
      <c r="DU45" s="392">
        <f>'[1]COE DISB 2019'!AH53</f>
        <v>0</v>
      </c>
      <c r="DV45" s="392">
        <f t="shared" si="30"/>
        <v>0</v>
      </c>
      <c r="DW45" s="394"/>
      <c r="DX45" s="392">
        <f>'[1]COE commited funds to date'!AI48</f>
        <v>300000000</v>
      </c>
      <c r="DY45" s="392">
        <f>'[1]COE DISB 2019'!AI53</f>
        <v>300000000</v>
      </c>
      <c r="DZ45" s="392">
        <f t="shared" si="31"/>
        <v>0</v>
      </c>
      <c r="EA45" s="394"/>
      <c r="EB45" s="392">
        <f>'[1]COE commited funds to date'!AJ48</f>
        <v>0</v>
      </c>
      <c r="EC45" s="392">
        <f>'[1]COE DISB 2019'!AJ53</f>
        <v>0</v>
      </c>
      <c r="ED45" s="392">
        <f t="shared" si="32"/>
        <v>0</v>
      </c>
      <c r="EE45" s="394"/>
      <c r="EF45" s="392">
        <f>'[1]COE commited funds to date'!AK48</f>
        <v>0</v>
      </c>
      <c r="EG45" s="392">
        <f>'[1]COE DISB 2019'!AK53</f>
        <v>0</v>
      </c>
      <c r="EH45" s="392">
        <f t="shared" si="33"/>
        <v>0</v>
      </c>
      <c r="EI45" s="394"/>
      <c r="EJ45" s="392">
        <f>'[1]COE commited funds to date'!AL48</f>
        <v>0</v>
      </c>
      <c r="EK45" s="392">
        <f>'[1]COE DISB 2019'!AL53</f>
        <v>0</v>
      </c>
      <c r="EL45" s="392">
        <f t="shared" si="34"/>
        <v>0</v>
      </c>
      <c r="EM45" s="394"/>
      <c r="EN45" s="392">
        <f>'[1]COE commited funds to date'!AM48</f>
        <v>0</v>
      </c>
      <c r="EO45" s="392">
        <f>'[1]COE DISB 2019'!AM53</f>
        <v>0</v>
      </c>
      <c r="EP45" s="392">
        <f t="shared" si="35"/>
        <v>0</v>
      </c>
      <c r="EQ45" s="394"/>
      <c r="ER45" s="392">
        <f>'[1]COE commited funds to date'!AN48</f>
        <v>350000000</v>
      </c>
      <c r="ES45" s="392">
        <f>'[1]COE DISB 2019'!AN53</f>
        <v>350000000</v>
      </c>
      <c r="ET45" s="392">
        <f t="shared" si="36"/>
        <v>0</v>
      </c>
      <c r="EV45" s="383">
        <f>'[1]COE commited funds to date'!AO48</f>
        <v>371067000</v>
      </c>
      <c r="EW45" s="383">
        <f>'[1]COE DISB 2019'!AO53</f>
        <v>222640200</v>
      </c>
      <c r="EX45" s="383">
        <f t="shared" si="38"/>
        <v>148426800</v>
      </c>
      <c r="EY45" s="380"/>
      <c r="EZ45" s="383">
        <f>'[1]COE commited funds to date'!AQ48</f>
        <v>12000000</v>
      </c>
      <c r="FA45" s="383">
        <f>'[1]COE DISB 2019'!AP53</f>
        <v>3593200</v>
      </c>
      <c r="FB45" s="383">
        <f t="shared" si="39"/>
        <v>8406800</v>
      </c>
      <c r="FC45" s="380"/>
      <c r="FD45" s="383">
        <f>'[1]COE commited funds to date'!AR48</f>
        <v>10000000</v>
      </c>
      <c r="FE45" s="383">
        <f>'[1]COE DISB 2019'!AQ53</f>
        <v>0</v>
      </c>
      <c r="FF45" s="383">
        <f t="shared" si="40"/>
        <v>10000000</v>
      </c>
      <c r="FG45" s="380"/>
      <c r="FH45" s="383">
        <f>'[1]COE commited funds to date'!AP48</f>
        <v>8000000</v>
      </c>
      <c r="FI45" s="383">
        <f>'[1]COE DISB 2019'!AR53</f>
        <v>6800000</v>
      </c>
      <c r="FJ45" s="383">
        <f t="shared" si="41"/>
        <v>1200000</v>
      </c>
      <c r="FK45" s="383">
        <f>'[1]COE commited funds to date'!AS48</f>
        <v>150000000</v>
      </c>
      <c r="FL45" s="383">
        <f>'[1]COE DISB 2019'!AS53</f>
        <v>150000000</v>
      </c>
      <c r="FM45" s="383">
        <f t="shared" si="42"/>
        <v>0</v>
      </c>
      <c r="FN45" s="380"/>
      <c r="FO45" s="383">
        <f>'[1]COE commited funds to date'!AT48</f>
        <v>0</v>
      </c>
      <c r="FP45" s="383">
        <f>'[1]COE DISB 2019'!AT53</f>
        <v>0</v>
      </c>
      <c r="FQ45" s="383">
        <f t="shared" si="43"/>
        <v>0</v>
      </c>
      <c r="FR45" s="380"/>
      <c r="FS45" s="383">
        <f>'[1]COE commited funds to date'!AU48</f>
        <v>75000000</v>
      </c>
      <c r="FT45" s="383">
        <f>'[1]COE DISB 2019'!AU53</f>
        <v>50250000</v>
      </c>
      <c r="FU45" s="383">
        <f t="shared" si="44"/>
        <v>24750000</v>
      </c>
      <c r="FV45" s="380"/>
      <c r="FW45" s="383">
        <f>'[1]COE commited funds to date'!AV48</f>
        <v>0</v>
      </c>
      <c r="FX45" s="383">
        <f>'[1]COE DISB 2019'!AV53</f>
        <v>0</v>
      </c>
      <c r="FY45" s="383">
        <f t="shared" si="45"/>
        <v>0</v>
      </c>
      <c r="FZ45" s="380"/>
      <c r="GA45" s="383">
        <f>'[1]COE commited funds to date'!AW48</f>
        <v>0</v>
      </c>
      <c r="GB45" s="383">
        <f>'[1]COE DISB 2019'!AW53</f>
        <v>0</v>
      </c>
      <c r="GC45" s="383">
        <f t="shared" si="46"/>
        <v>0</v>
      </c>
      <c r="GD45" s="380"/>
      <c r="GE45" s="383">
        <f>'[1]COE commited funds to date'!AX48</f>
        <v>0</v>
      </c>
      <c r="GF45" s="383">
        <f>'[1]COE DISB 2019'!AX53</f>
        <v>0</v>
      </c>
      <c r="GG45" s="383">
        <f t="shared" si="47"/>
        <v>0</v>
      </c>
      <c r="GH45" s="380"/>
      <c r="GI45" s="383">
        <f>'[1]COE commited funds to date'!AY48</f>
        <v>0</v>
      </c>
      <c r="GJ45" s="383">
        <f>'[1]COE DISB 2019'!AY53</f>
        <v>0</v>
      </c>
      <c r="GK45" s="383">
        <f t="shared" si="48"/>
        <v>0</v>
      </c>
      <c r="GL45" s="380"/>
      <c r="GM45" s="383">
        <f>'[1]COE commited funds to date'!AZ48</f>
        <v>116776600</v>
      </c>
      <c r="GN45" s="383">
        <f>'[1]COE DISB 2019'!AZ53</f>
        <v>0</v>
      </c>
      <c r="GO45" s="383">
        <f t="shared" si="49"/>
        <v>116776600</v>
      </c>
      <c r="GP45" s="380"/>
      <c r="GQ45" s="383">
        <f>'[1]COE commited funds to date'!BA48</f>
        <v>0</v>
      </c>
      <c r="GR45" s="383">
        <f>'[1]COE DISB 2019'!BA53</f>
        <v>0</v>
      </c>
      <c r="GS45" s="383">
        <f t="shared" si="50"/>
        <v>0</v>
      </c>
      <c r="GT45" s="380"/>
      <c r="GU45" s="383">
        <f>'[1]COE commited funds to date'!BB48</f>
        <v>0</v>
      </c>
      <c r="GV45" s="383">
        <f>'[1]COE DISB 2019'!BB53</f>
        <v>0</v>
      </c>
      <c r="GW45" s="383">
        <f t="shared" si="51"/>
        <v>0</v>
      </c>
      <c r="GX45" s="380"/>
      <c r="GY45" s="383">
        <f>'[1]COE commited funds to date'!BC48</f>
        <v>0</v>
      </c>
      <c r="GZ45" s="383">
        <f>'[1]COE DISB 2019'!BC53</f>
        <v>0</v>
      </c>
      <c r="HA45" s="383">
        <f t="shared" si="52"/>
        <v>0</v>
      </c>
      <c r="HB45" s="380"/>
      <c r="HC45" s="383">
        <f t="shared" si="53"/>
        <v>1953538565.5</v>
      </c>
      <c r="HD45" s="383">
        <f t="shared" si="53"/>
        <v>1643978365.5</v>
      </c>
      <c r="HE45" s="392">
        <f t="shared" si="54"/>
        <v>309560200</v>
      </c>
      <c r="HG45" s="383">
        <f t="shared" si="55"/>
        <v>917615965.5</v>
      </c>
      <c r="HH45" s="383">
        <f t="shared" si="55"/>
        <v>769189165.5</v>
      </c>
      <c r="HI45" s="383">
        <f t="shared" si="56"/>
        <v>148426800</v>
      </c>
      <c r="HK45" s="383">
        <f t="shared" si="57"/>
        <v>650000000</v>
      </c>
      <c r="HL45" s="383">
        <f t="shared" si="57"/>
        <v>650000000</v>
      </c>
      <c r="HM45" s="383">
        <f t="shared" si="58"/>
        <v>0</v>
      </c>
      <c r="HO45" s="383">
        <f t="shared" si="71"/>
        <v>4146000</v>
      </c>
      <c r="HP45" s="383">
        <f t="shared" si="71"/>
        <v>4146000</v>
      </c>
      <c r="HQ45" s="383">
        <f t="shared" si="59"/>
        <v>0</v>
      </c>
      <c r="HS45" s="383">
        <f t="shared" si="60"/>
        <v>22000000</v>
      </c>
      <c r="HT45" s="383">
        <f t="shared" si="60"/>
        <v>13593200</v>
      </c>
      <c r="HU45" s="383">
        <f t="shared" si="61"/>
        <v>8406800</v>
      </c>
      <c r="HW45" s="383">
        <f t="shared" si="62"/>
        <v>8000000</v>
      </c>
      <c r="HX45" s="383">
        <f t="shared" si="62"/>
        <v>6800000</v>
      </c>
      <c r="HY45" s="383">
        <f t="shared" si="63"/>
        <v>1200000</v>
      </c>
      <c r="IA45" s="387">
        <f t="shared" si="64"/>
        <v>10000000</v>
      </c>
      <c r="IB45" s="387">
        <f t="shared" si="64"/>
        <v>0</v>
      </c>
      <c r="IC45" s="387">
        <f t="shared" si="65"/>
        <v>10000000</v>
      </c>
      <c r="IE45" s="383">
        <f t="shared" si="66"/>
        <v>341776600</v>
      </c>
      <c r="IF45" s="383">
        <f t="shared" si="66"/>
        <v>200250000</v>
      </c>
      <c r="IG45" s="383">
        <f t="shared" si="67"/>
        <v>141526600</v>
      </c>
      <c r="II45" s="383">
        <f t="shared" si="68"/>
        <v>0</v>
      </c>
      <c r="IJ45" s="383">
        <f t="shared" si="68"/>
        <v>0</v>
      </c>
      <c r="IK45" s="383">
        <f t="shared" si="69"/>
        <v>0</v>
      </c>
    </row>
    <row r="46" spans="1:245" x14ac:dyDescent="0.25">
      <c r="A46" s="380">
        <v>43</v>
      </c>
      <c r="B46" s="380" t="s">
        <v>362</v>
      </c>
      <c r="C46" s="431"/>
      <c r="D46" s="392">
        <v>18318965.5</v>
      </c>
      <c r="E46" s="392">
        <f>'[1]COE DISB 2019'!D54</f>
        <v>18318965.5</v>
      </c>
      <c r="F46" s="383">
        <f t="shared" si="0"/>
        <v>0</v>
      </c>
      <c r="H46" s="392">
        <v>8000000</v>
      </c>
      <c r="I46" s="392">
        <f>'[1]COE DISB 2019'!E54</f>
        <v>8000000</v>
      </c>
      <c r="J46" s="383">
        <f t="shared" si="1"/>
        <v>0</v>
      </c>
      <c r="L46" s="392">
        <v>500000</v>
      </c>
      <c r="M46" s="392">
        <f>'[1]COE DISB 2019'!F54</f>
        <v>500000</v>
      </c>
      <c r="N46" s="383">
        <f t="shared" si="2"/>
        <v>0</v>
      </c>
      <c r="P46" s="353">
        <v>16000000</v>
      </c>
      <c r="Q46" s="392">
        <f>'[1]COE DISB 2019'!G54</f>
        <v>16000000</v>
      </c>
      <c r="R46" s="383">
        <f t="shared" si="3"/>
        <v>0</v>
      </c>
      <c r="T46" s="385">
        <v>219000</v>
      </c>
      <c r="U46" s="392">
        <f>'[1]COE DISB 2019'!H54</f>
        <v>219000</v>
      </c>
      <c r="V46" s="383">
        <f t="shared" si="4"/>
        <v>0</v>
      </c>
      <c r="X46" s="385">
        <v>4000000</v>
      </c>
      <c r="Y46" s="392">
        <f>'[1]COE DISB 2019'!I54</f>
        <v>4000000</v>
      </c>
      <c r="Z46" s="383">
        <f t="shared" si="5"/>
        <v>0</v>
      </c>
      <c r="AB46" s="385">
        <v>20000000</v>
      </c>
      <c r="AC46" s="392">
        <f>'[1]COE DISB 2019'!J54</f>
        <v>20000000</v>
      </c>
      <c r="AD46" s="383">
        <f t="shared" si="6"/>
        <v>0</v>
      </c>
      <c r="AF46" s="353">
        <v>0</v>
      </c>
      <c r="AG46" s="392">
        <f>'[1]COE DISB 2019'!K54</f>
        <v>0</v>
      </c>
      <c r="AH46" s="383">
        <f t="shared" si="7"/>
        <v>0</v>
      </c>
      <c r="AJ46" s="385">
        <v>10000000</v>
      </c>
      <c r="AK46" s="392">
        <f>'[1]COE DISB 2019'!L54</f>
        <v>10000000</v>
      </c>
      <c r="AL46" s="383">
        <f t="shared" si="8"/>
        <v>0</v>
      </c>
      <c r="AN46" s="392">
        <v>10000000</v>
      </c>
      <c r="AO46" s="392">
        <f>'[1]COE DISB 2019'!M54</f>
        <v>10000000</v>
      </c>
      <c r="AP46" s="383">
        <f t="shared" si="9"/>
        <v>0</v>
      </c>
      <c r="AR46" s="392">
        <v>15000000</v>
      </c>
      <c r="AS46" s="392">
        <f>'[1]COE DISB 2019'!N54</f>
        <v>15000000</v>
      </c>
      <c r="AT46" s="383">
        <f t="shared" si="10"/>
        <v>0</v>
      </c>
      <c r="AV46" s="392">
        <v>10000000</v>
      </c>
      <c r="AW46" s="393">
        <f>'[1]COE DISB 2019'!O54</f>
        <v>10000000</v>
      </c>
      <c r="AX46" s="392">
        <f t="shared" si="11"/>
        <v>0</v>
      </c>
      <c r="AZ46" s="392">
        <v>18000000</v>
      </c>
      <c r="BA46" s="392">
        <f>'[1]COE DISB 2019'!P54</f>
        <v>18000000</v>
      </c>
      <c r="BB46" s="392">
        <f t="shared" si="12"/>
        <v>0</v>
      </c>
      <c r="BD46" s="392">
        <v>23400000</v>
      </c>
      <c r="BE46" s="392">
        <f>'[1]COE DISB 2019'!Q54</f>
        <v>23400000</v>
      </c>
      <c r="BF46" s="392">
        <f t="shared" si="13"/>
        <v>0</v>
      </c>
      <c r="BH46" s="392">
        <v>0</v>
      </c>
      <c r="BI46" s="392">
        <f>'[1]COE DISB 2019'!R54</f>
        <v>0</v>
      </c>
      <c r="BJ46" s="392">
        <f t="shared" si="14"/>
        <v>0</v>
      </c>
      <c r="BL46" s="392">
        <v>43000000</v>
      </c>
      <c r="BM46" s="392">
        <f>'[1]COE DISB 2019'!S54</f>
        <v>43000000</v>
      </c>
      <c r="BN46" s="392">
        <f t="shared" si="15"/>
        <v>0</v>
      </c>
      <c r="BP46" s="392">
        <v>37160000</v>
      </c>
      <c r="BQ46" s="392">
        <f>'[1]COE DISB 2019'!T54</f>
        <v>37160000</v>
      </c>
      <c r="BR46" s="392">
        <f t="shared" si="16"/>
        <v>0</v>
      </c>
      <c r="BT46" s="392">
        <v>0</v>
      </c>
      <c r="BU46" s="392">
        <f>'[1]COE DISB 2019'!U54</f>
        <v>0</v>
      </c>
      <c r="BV46" s="392">
        <f t="shared" si="17"/>
        <v>0</v>
      </c>
      <c r="BX46" s="392">
        <v>0</v>
      </c>
      <c r="BY46" s="392">
        <f>'[1]COE DISB 2019'!V54</f>
        <v>0</v>
      </c>
      <c r="BZ46" s="392">
        <f t="shared" si="18"/>
        <v>0</v>
      </c>
      <c r="CB46" s="392">
        <f>'[1]COE commited funds to date'!W49</f>
        <v>0</v>
      </c>
      <c r="CC46" s="392">
        <f>'[1]COE DISB 2019'!W54</f>
        <v>0</v>
      </c>
      <c r="CD46" s="392">
        <f t="shared" si="19"/>
        <v>0</v>
      </c>
      <c r="CF46" s="392">
        <f>'[1]COE commited funds to date'!X49</f>
        <v>0</v>
      </c>
      <c r="CG46" s="392">
        <f>'[1]COE DISB 2019'!X54</f>
        <v>0</v>
      </c>
      <c r="CH46" s="392">
        <f t="shared" si="20"/>
        <v>0</v>
      </c>
      <c r="CJ46" s="392">
        <v>0</v>
      </c>
      <c r="CK46" s="392">
        <f>'[1]COE DISB 2019'!Y54</f>
        <v>0</v>
      </c>
      <c r="CL46" s="392">
        <f t="shared" si="21"/>
        <v>0</v>
      </c>
      <c r="CN46" s="392">
        <v>0</v>
      </c>
      <c r="CO46" s="392">
        <f>'[1]COE DISB 2019'!Z54</f>
        <v>0</v>
      </c>
      <c r="CP46" s="392">
        <f t="shared" si="22"/>
        <v>0</v>
      </c>
      <c r="CR46" s="392">
        <v>210000000</v>
      </c>
      <c r="CS46" s="392">
        <f>'[1]COE DISB 2019'!AA54</f>
        <v>210000000</v>
      </c>
      <c r="CT46" s="392">
        <f t="shared" si="23"/>
        <v>0</v>
      </c>
      <c r="CV46" s="392">
        <v>10000000</v>
      </c>
      <c r="CW46" s="392">
        <f>'[1]COE DISB 2019'!AB54</f>
        <v>10000000</v>
      </c>
      <c r="CX46" s="392">
        <f t="shared" si="24"/>
        <v>0</v>
      </c>
      <c r="CZ46" s="392">
        <f>'[1]COE commited funds to date'!AC49</f>
        <v>100000000</v>
      </c>
      <c r="DA46" s="392">
        <f>'[1]COE DISB 2019'!AC54</f>
        <v>100000000</v>
      </c>
      <c r="DB46" s="392">
        <f t="shared" si="25"/>
        <v>0</v>
      </c>
      <c r="DC46" s="394"/>
      <c r="DD46" s="392">
        <v>0</v>
      </c>
      <c r="DE46" s="392">
        <f>'[1]COE DISB 2019'!AD54</f>
        <v>0</v>
      </c>
      <c r="DF46" s="392">
        <f t="shared" si="26"/>
        <v>0</v>
      </c>
      <c r="DG46" s="394"/>
      <c r="DH46" s="397">
        <v>0</v>
      </c>
      <c r="DI46" s="397">
        <f>'[1]COE DISB 2019'!AE54</f>
        <v>0</v>
      </c>
      <c r="DJ46" s="397">
        <v>0</v>
      </c>
      <c r="DK46" s="394"/>
      <c r="DL46" s="392">
        <f>'[1]COE commited funds to date'!AD49</f>
        <v>0</v>
      </c>
      <c r="DM46" s="392">
        <f>'[1]COE DISB 2019'!AF54</f>
        <v>0</v>
      </c>
      <c r="DN46" s="392">
        <f t="shared" si="28"/>
        <v>0</v>
      </c>
      <c r="DO46" s="394"/>
      <c r="DP46" s="392">
        <v>0</v>
      </c>
      <c r="DQ46" s="392">
        <f>'[1]COE DISB 2019'!AG54</f>
        <v>0</v>
      </c>
      <c r="DR46" s="392">
        <f t="shared" si="29"/>
        <v>0</v>
      </c>
      <c r="DS46" s="394"/>
      <c r="DT46" s="397">
        <v>0</v>
      </c>
      <c r="DU46" s="392">
        <f>'[1]COE DISB 2019'!AH54</f>
        <v>0</v>
      </c>
      <c r="DV46" s="392">
        <f t="shared" si="30"/>
        <v>0</v>
      </c>
      <c r="DW46" s="394"/>
      <c r="DX46" s="392">
        <f>'[1]COE commited funds to date'!AI49</f>
        <v>300000000</v>
      </c>
      <c r="DY46" s="392">
        <f>'[1]COE DISB 2019'!AI54</f>
        <v>300000000</v>
      </c>
      <c r="DZ46" s="392">
        <f t="shared" si="31"/>
        <v>0</v>
      </c>
      <c r="EA46" s="394"/>
      <c r="EB46" s="392">
        <f>'[1]COE commited funds to date'!AJ49</f>
        <v>72000000</v>
      </c>
      <c r="EC46" s="392">
        <f>'[1]COE DISB 2019'!AJ54</f>
        <v>72000000</v>
      </c>
      <c r="ED46" s="392">
        <f t="shared" si="32"/>
        <v>0</v>
      </c>
      <c r="EE46" s="394"/>
      <c r="EF46" s="392">
        <f>'[1]COE commited funds to date'!AK49</f>
        <v>8000000</v>
      </c>
      <c r="EG46" s="392">
        <f>'[1]COE DISB 2019'!AK54</f>
        <v>8000000</v>
      </c>
      <c r="EH46" s="392">
        <f t="shared" si="33"/>
        <v>0</v>
      </c>
      <c r="EI46" s="394"/>
      <c r="EJ46" s="392">
        <f>'[1]COE commited funds to date'!AL49</f>
        <v>2000000</v>
      </c>
      <c r="EK46" s="392">
        <f>'[1]COE DISB 2019'!AL54</f>
        <v>2000000</v>
      </c>
      <c r="EL46" s="392">
        <f t="shared" si="34"/>
        <v>0</v>
      </c>
      <c r="EM46" s="394"/>
      <c r="EN46" s="392">
        <f>'[1]COE commited funds to date'!AM49</f>
        <v>7000000</v>
      </c>
      <c r="EO46" s="392">
        <f>'[1]COE DISB 2019'!AM54</f>
        <v>7000000</v>
      </c>
      <c r="EP46" s="392">
        <f t="shared" si="35"/>
        <v>0</v>
      </c>
      <c r="EQ46" s="394"/>
      <c r="ER46" s="392">
        <f>'[1]COE commited funds to date'!AN49</f>
        <v>350000000</v>
      </c>
      <c r="ES46" s="392">
        <f>'[1]COE DISB 2019'!AN54</f>
        <v>350000000</v>
      </c>
      <c r="ET46" s="392">
        <f t="shared" si="36"/>
        <v>0</v>
      </c>
      <c r="EV46" s="383">
        <f>'[1]COE commited funds to date'!AO49</f>
        <v>0</v>
      </c>
      <c r="EW46" s="383">
        <f>'[1]COE DISB 2019'!AO54</f>
        <v>0</v>
      </c>
      <c r="EX46" s="383">
        <f t="shared" si="38"/>
        <v>0</v>
      </c>
      <c r="EY46" s="380"/>
      <c r="EZ46" s="383">
        <f>'[1]COE commited funds to date'!AQ49</f>
        <v>0</v>
      </c>
      <c r="FA46" s="383">
        <f>'[1]COE DISB 2019'!AP54</f>
        <v>0</v>
      </c>
      <c r="FB46" s="383">
        <f t="shared" si="39"/>
        <v>0</v>
      </c>
      <c r="FC46" s="380"/>
      <c r="FD46" s="383">
        <f>'[1]COE commited funds to date'!AR49</f>
        <v>0</v>
      </c>
      <c r="FE46" s="383">
        <f>'[1]COE DISB 2019'!AQ54</f>
        <v>0</v>
      </c>
      <c r="FF46" s="383">
        <f t="shared" si="40"/>
        <v>0</v>
      </c>
      <c r="FG46" s="380"/>
      <c r="FH46" s="383">
        <f>'[1]COE commited funds to date'!AP49</f>
        <v>0</v>
      </c>
      <c r="FI46" s="383">
        <f>'[1]COE DISB 2019'!AR54</f>
        <v>0</v>
      </c>
      <c r="FJ46" s="383">
        <f t="shared" si="41"/>
        <v>0</v>
      </c>
      <c r="FK46" s="383">
        <f>'[1]COE commited funds to date'!AS49</f>
        <v>0</v>
      </c>
      <c r="FL46" s="383">
        <f>'[1]COE DISB 2019'!AS54</f>
        <v>0</v>
      </c>
      <c r="FM46" s="383">
        <f t="shared" si="42"/>
        <v>0</v>
      </c>
      <c r="FN46" s="380"/>
      <c r="FO46" s="383">
        <f>'[1]COE commited funds to date'!AT49</f>
        <v>0</v>
      </c>
      <c r="FP46" s="383">
        <f>'[1]COE DISB 2019'!AT54</f>
        <v>0</v>
      </c>
      <c r="FQ46" s="383">
        <f t="shared" si="43"/>
        <v>0</v>
      </c>
      <c r="FR46" s="380"/>
      <c r="FS46" s="383">
        <f>'[1]COE commited funds to date'!AU49</f>
        <v>75000000</v>
      </c>
      <c r="FT46" s="383">
        <f>'[1]COE DISB 2019'!AU54</f>
        <v>51000000</v>
      </c>
      <c r="FU46" s="383">
        <f t="shared" si="44"/>
        <v>24000000</v>
      </c>
      <c r="FV46" s="380"/>
      <c r="FW46" s="383">
        <f>'[1]COE commited funds to date'!AV49</f>
        <v>0</v>
      </c>
      <c r="FX46" s="383">
        <f>'[1]COE DISB 2019'!AV54</f>
        <v>0</v>
      </c>
      <c r="FY46" s="383">
        <f t="shared" si="45"/>
        <v>0</v>
      </c>
      <c r="FZ46" s="380"/>
      <c r="GA46" s="383">
        <f>'[1]COE commited funds to date'!AW49</f>
        <v>0</v>
      </c>
      <c r="GB46" s="383">
        <f>'[1]COE DISB 2019'!AW54</f>
        <v>0</v>
      </c>
      <c r="GC46" s="383">
        <f t="shared" si="46"/>
        <v>0</v>
      </c>
      <c r="GD46" s="380"/>
      <c r="GE46" s="383">
        <f>'[1]COE commited funds to date'!AX49</f>
        <v>0</v>
      </c>
      <c r="GF46" s="383">
        <f>'[1]COE DISB 2019'!AX54</f>
        <v>0</v>
      </c>
      <c r="GG46" s="383">
        <f t="shared" si="47"/>
        <v>0</v>
      </c>
      <c r="GH46" s="380"/>
      <c r="GI46" s="383">
        <f>'[1]COE commited funds to date'!AY49</f>
        <v>230000000</v>
      </c>
      <c r="GJ46" s="383">
        <f>'[1]COE DISB 2019'!AY54</f>
        <v>0</v>
      </c>
      <c r="GK46" s="383">
        <f t="shared" si="48"/>
        <v>230000000</v>
      </c>
      <c r="GL46" s="380"/>
      <c r="GM46" s="383">
        <f>'[1]COE commited funds to date'!AZ49</f>
        <v>116776600</v>
      </c>
      <c r="GN46" s="383">
        <f>'[1]COE DISB 2019'!AZ54</f>
        <v>0</v>
      </c>
      <c r="GO46" s="383">
        <f t="shared" si="49"/>
        <v>116776600</v>
      </c>
      <c r="GP46" s="380"/>
      <c r="GQ46" s="383">
        <f>'[1]COE commited funds to date'!BA49</f>
        <v>12000000</v>
      </c>
      <c r="GR46" s="383">
        <f>'[1]COE DISB 2019'!BA54</f>
        <v>0</v>
      </c>
      <c r="GS46" s="383">
        <f t="shared" si="50"/>
        <v>12000000</v>
      </c>
      <c r="GT46" s="380"/>
      <c r="GU46" s="383">
        <f>'[1]COE commited funds to date'!BB49</f>
        <v>5000000</v>
      </c>
      <c r="GV46" s="383">
        <f>'[1]COE DISB 2019'!BB54</f>
        <v>0</v>
      </c>
      <c r="GW46" s="383">
        <f t="shared" si="51"/>
        <v>5000000</v>
      </c>
      <c r="GX46" s="380"/>
      <c r="GY46" s="383">
        <f>'[1]COE commited funds to date'!BC49</f>
        <v>10308300</v>
      </c>
      <c r="GZ46" s="383">
        <f>'[1]COE DISB 2019'!BC54</f>
        <v>4183835</v>
      </c>
      <c r="HA46" s="383">
        <f t="shared" si="52"/>
        <v>6124465</v>
      </c>
      <c r="HB46" s="380"/>
      <c r="HC46" s="383">
        <f t="shared" si="53"/>
        <v>1741682865.5</v>
      </c>
      <c r="HD46" s="383">
        <f t="shared" si="53"/>
        <v>1347781800.5</v>
      </c>
      <c r="HE46" s="392">
        <f t="shared" si="54"/>
        <v>393901065</v>
      </c>
      <c r="HG46" s="383">
        <f t="shared" si="55"/>
        <v>730878965.5</v>
      </c>
      <c r="HH46" s="383">
        <f t="shared" si="55"/>
        <v>500878965.5</v>
      </c>
      <c r="HI46" s="383">
        <f t="shared" si="56"/>
        <v>230000000</v>
      </c>
      <c r="HK46" s="383">
        <f t="shared" si="57"/>
        <v>750000000</v>
      </c>
      <c r="HL46" s="383">
        <f t="shared" si="57"/>
        <v>750000000</v>
      </c>
      <c r="HM46" s="383">
        <f t="shared" si="58"/>
        <v>0</v>
      </c>
      <c r="HO46" s="383">
        <f t="shared" si="71"/>
        <v>719000</v>
      </c>
      <c r="HP46" s="383">
        <f t="shared" si="71"/>
        <v>719000</v>
      </c>
      <c r="HQ46" s="383">
        <f t="shared" si="59"/>
        <v>0</v>
      </c>
      <c r="HS46" s="383">
        <f t="shared" si="60"/>
        <v>27308300</v>
      </c>
      <c r="HT46" s="383">
        <f t="shared" si="60"/>
        <v>21183835</v>
      </c>
      <c r="HU46" s="383">
        <f t="shared" si="61"/>
        <v>6124465</v>
      </c>
      <c r="HW46" s="383">
        <f t="shared" si="62"/>
        <v>20000000</v>
      </c>
      <c r="HX46" s="383">
        <f t="shared" si="62"/>
        <v>8000000</v>
      </c>
      <c r="HY46" s="383">
        <f t="shared" si="63"/>
        <v>12000000</v>
      </c>
      <c r="IA46" s="387">
        <f t="shared" si="64"/>
        <v>5000000</v>
      </c>
      <c r="IB46" s="387">
        <f t="shared" si="64"/>
        <v>0</v>
      </c>
      <c r="IC46" s="387">
        <f t="shared" si="65"/>
        <v>5000000</v>
      </c>
      <c r="IE46" s="383">
        <f t="shared" si="66"/>
        <v>191776600</v>
      </c>
      <c r="IF46" s="383">
        <f t="shared" si="66"/>
        <v>51000000</v>
      </c>
      <c r="IG46" s="383">
        <f t="shared" si="67"/>
        <v>140776600</v>
      </c>
      <c r="II46" s="383">
        <f t="shared" si="68"/>
        <v>2000000</v>
      </c>
      <c r="IJ46" s="383">
        <f t="shared" si="68"/>
        <v>2000000</v>
      </c>
      <c r="IK46" s="383">
        <f t="shared" si="69"/>
        <v>0</v>
      </c>
    </row>
    <row r="47" spans="1:245" x14ac:dyDescent="0.25">
      <c r="A47" s="380">
        <v>44</v>
      </c>
      <c r="B47" s="380" t="s">
        <v>363</v>
      </c>
      <c r="C47" s="431" t="s">
        <v>61</v>
      </c>
      <c r="D47" s="392">
        <v>18318965.5</v>
      </c>
      <c r="E47" s="392">
        <f>'[1]COE DISB 2019'!D55</f>
        <v>18318965.5</v>
      </c>
      <c r="F47" s="383">
        <f t="shared" si="0"/>
        <v>0</v>
      </c>
      <c r="H47" s="392">
        <v>8000000</v>
      </c>
      <c r="I47" s="392">
        <f>'[1]COE DISB 2019'!E55</f>
        <v>8000000</v>
      </c>
      <c r="J47" s="383">
        <f t="shared" si="1"/>
        <v>0</v>
      </c>
      <c r="L47" s="392">
        <v>500000</v>
      </c>
      <c r="M47" s="392">
        <f>'[1]COE DISB 2019'!F55</f>
        <v>500000</v>
      </c>
      <c r="N47" s="383">
        <f t="shared" si="2"/>
        <v>0</v>
      </c>
      <c r="P47" s="353">
        <v>16000000</v>
      </c>
      <c r="Q47" s="392">
        <f>'[1]COE DISB 2019'!G55</f>
        <v>16000000</v>
      </c>
      <c r="R47" s="383">
        <f t="shared" si="3"/>
        <v>0</v>
      </c>
      <c r="T47" s="385">
        <v>622000</v>
      </c>
      <c r="U47" s="392">
        <f>'[1]COE DISB 2019'!H55</f>
        <v>622000</v>
      </c>
      <c r="V47" s="383">
        <f t="shared" si="4"/>
        <v>0</v>
      </c>
      <c r="X47" s="353">
        <v>0</v>
      </c>
      <c r="Y47" s="392">
        <f>'[1]COE DISB 2019'!I55</f>
        <v>0</v>
      </c>
      <c r="Z47" s="383">
        <f t="shared" si="5"/>
        <v>0</v>
      </c>
      <c r="AB47" s="385">
        <v>20000000</v>
      </c>
      <c r="AC47" s="392">
        <f>'[1]COE DISB 2019'!J55</f>
        <v>20000000</v>
      </c>
      <c r="AD47" s="383">
        <f t="shared" si="6"/>
        <v>0</v>
      </c>
      <c r="AF47" s="353">
        <v>0</v>
      </c>
      <c r="AG47" s="392">
        <f>'[1]COE DISB 2019'!K55</f>
        <v>0</v>
      </c>
      <c r="AH47" s="383">
        <f t="shared" si="7"/>
        <v>0</v>
      </c>
      <c r="AJ47" s="385">
        <v>10000000</v>
      </c>
      <c r="AK47" s="392">
        <f>'[1]COE DISB 2019'!L55</f>
        <v>10000000</v>
      </c>
      <c r="AL47" s="383">
        <f t="shared" si="8"/>
        <v>0</v>
      </c>
      <c r="AN47" s="392">
        <v>10000000</v>
      </c>
      <c r="AO47" s="392">
        <f>'[1]COE DISB 2019'!M55</f>
        <v>10000000</v>
      </c>
      <c r="AP47" s="383">
        <f t="shared" si="9"/>
        <v>0</v>
      </c>
      <c r="AR47" s="392">
        <v>15000000</v>
      </c>
      <c r="AS47" s="392">
        <f>'[1]COE DISB 2019'!N55</f>
        <v>15000000</v>
      </c>
      <c r="AT47" s="383">
        <f t="shared" si="10"/>
        <v>0</v>
      </c>
      <c r="AV47" s="392">
        <v>5000000</v>
      </c>
      <c r="AW47" s="393">
        <f>'[1]COE DISB 2019'!O55</f>
        <v>5000000</v>
      </c>
      <c r="AX47" s="392">
        <f t="shared" si="11"/>
        <v>0</v>
      </c>
      <c r="AZ47" s="392">
        <v>18000000</v>
      </c>
      <c r="BA47" s="392">
        <f>'[1]COE DISB 2019'!P55</f>
        <v>18000000</v>
      </c>
      <c r="BB47" s="392">
        <f t="shared" si="12"/>
        <v>0</v>
      </c>
      <c r="BD47" s="392">
        <v>23400000</v>
      </c>
      <c r="BE47" s="392">
        <f>'[1]COE DISB 2019'!Q55</f>
        <v>23400000</v>
      </c>
      <c r="BF47" s="392">
        <f t="shared" si="13"/>
        <v>0</v>
      </c>
      <c r="BH47" s="392">
        <v>0</v>
      </c>
      <c r="BI47" s="392">
        <f>'[1]COE DISB 2019'!R55</f>
        <v>0</v>
      </c>
      <c r="BJ47" s="392">
        <f t="shared" si="14"/>
        <v>0</v>
      </c>
      <c r="BL47" s="392">
        <v>43000000</v>
      </c>
      <c r="BM47" s="392">
        <f>'[1]COE DISB 2019'!S55</f>
        <v>43000000</v>
      </c>
      <c r="BN47" s="392">
        <f t="shared" si="15"/>
        <v>0</v>
      </c>
      <c r="BP47" s="392">
        <v>37160000</v>
      </c>
      <c r="BQ47" s="392">
        <f>'[1]COE DISB 2019'!T55</f>
        <v>37160000</v>
      </c>
      <c r="BR47" s="392">
        <f t="shared" si="16"/>
        <v>0</v>
      </c>
      <c r="BT47" s="392">
        <v>0</v>
      </c>
      <c r="BU47" s="392">
        <f>'[1]COE DISB 2019'!U55</f>
        <v>0</v>
      </c>
      <c r="BV47" s="392">
        <f t="shared" si="17"/>
        <v>0</v>
      </c>
      <c r="BX47" s="392">
        <v>112670000</v>
      </c>
      <c r="BY47" s="392">
        <f>'[1]COE DISB 2019'!V55</f>
        <v>112670000</v>
      </c>
      <c r="BZ47" s="392">
        <f t="shared" si="18"/>
        <v>0</v>
      </c>
      <c r="CB47" s="392">
        <f>'[1]COE commited funds to date'!W50</f>
        <v>100000000</v>
      </c>
      <c r="CC47" s="392">
        <f>'[1]COE DISB 2019'!W55</f>
        <v>100000000</v>
      </c>
      <c r="CD47" s="392">
        <f t="shared" si="19"/>
        <v>0</v>
      </c>
      <c r="CF47" s="392">
        <f>'[1]COE commited funds to date'!X50</f>
        <v>125000000</v>
      </c>
      <c r="CG47" s="392">
        <f>'[1]COE DISB 2019'!X55</f>
        <v>125000000</v>
      </c>
      <c r="CH47" s="392">
        <f t="shared" si="20"/>
        <v>0</v>
      </c>
      <c r="CJ47" s="392">
        <v>10000000</v>
      </c>
      <c r="CK47" s="392">
        <f>'[1]COE DISB 2019'!Y55</f>
        <v>10000000</v>
      </c>
      <c r="CL47" s="392">
        <f t="shared" si="21"/>
        <v>0</v>
      </c>
      <c r="CN47" s="392">
        <v>500000000</v>
      </c>
      <c r="CO47" s="392">
        <f>'[1]COE DISB 2019'!Z55</f>
        <v>500000000</v>
      </c>
      <c r="CP47" s="392">
        <f t="shared" si="22"/>
        <v>0</v>
      </c>
      <c r="CR47" s="392">
        <v>210000000</v>
      </c>
      <c r="CS47" s="392">
        <f>'[1]COE DISB 2019'!AA55</f>
        <v>210000000</v>
      </c>
      <c r="CT47" s="392">
        <f t="shared" si="23"/>
        <v>0</v>
      </c>
      <c r="CV47" s="392">
        <v>10000000</v>
      </c>
      <c r="CW47" s="392">
        <f>'[1]COE DISB 2019'!AB55</f>
        <v>10000000</v>
      </c>
      <c r="CX47" s="392">
        <f t="shared" si="24"/>
        <v>0</v>
      </c>
      <c r="CZ47" s="392">
        <f>'[1]COE commited funds to date'!AC50</f>
        <v>382000000</v>
      </c>
      <c r="DA47" s="392">
        <f>'[1]COE DISB 2019'!AC55</f>
        <v>382000000</v>
      </c>
      <c r="DB47" s="392">
        <f t="shared" si="25"/>
        <v>0</v>
      </c>
      <c r="DC47" s="394"/>
      <c r="DD47" s="392">
        <v>215000000</v>
      </c>
      <c r="DE47" s="392">
        <f>'[1]COE DISB 2019'!AD55</f>
        <v>215000000</v>
      </c>
      <c r="DF47" s="392">
        <f t="shared" si="26"/>
        <v>0</v>
      </c>
      <c r="DG47" s="394"/>
      <c r="DH47" s="392">
        <v>10000000</v>
      </c>
      <c r="DI47" s="392">
        <f>'[1]COE DISB 2019'!AE55</f>
        <v>10000000</v>
      </c>
      <c r="DJ47" s="392">
        <f>DH47-DI47</f>
        <v>0</v>
      </c>
      <c r="DK47" s="394"/>
      <c r="DL47" s="392">
        <f>'[1]COE commited funds to date'!AD50</f>
        <v>500000000</v>
      </c>
      <c r="DM47" s="392">
        <f>'[1]COE DISB 2019'!AF55</f>
        <v>500000000</v>
      </c>
      <c r="DN47" s="392">
        <f t="shared" si="28"/>
        <v>0</v>
      </c>
      <c r="DO47" s="394"/>
      <c r="DP47" s="392">
        <v>325000000</v>
      </c>
      <c r="DQ47" s="392">
        <f>'[1]COE DISB 2019'!AG55</f>
        <v>325000000</v>
      </c>
      <c r="DR47" s="392">
        <f t="shared" si="29"/>
        <v>0</v>
      </c>
      <c r="DS47" s="394"/>
      <c r="DT47" s="397">
        <v>10000000</v>
      </c>
      <c r="DU47" s="392">
        <f>'[1]COE DISB 2019'!AH55</f>
        <v>10000000</v>
      </c>
      <c r="DV47" s="392">
        <f t="shared" si="30"/>
        <v>0</v>
      </c>
      <c r="DW47" s="394"/>
      <c r="DX47" s="392">
        <f>'[1]COE commited funds to date'!AI50</f>
        <v>221000000</v>
      </c>
      <c r="DY47" s="392">
        <f>'[1]COE DISB 2019'!AI55</f>
        <v>195350000</v>
      </c>
      <c r="DZ47" s="392">
        <f t="shared" si="31"/>
        <v>25650000</v>
      </c>
      <c r="EA47" s="394"/>
      <c r="EB47" s="392">
        <f>'[1]COE commited funds to date'!AJ50</f>
        <v>72000000</v>
      </c>
      <c r="EC47" s="392">
        <f>'[1]COE DISB 2019'!AJ55</f>
        <v>44640000</v>
      </c>
      <c r="ED47" s="392">
        <f t="shared" si="32"/>
        <v>27360000</v>
      </c>
      <c r="EE47" s="394"/>
      <c r="EF47" s="392">
        <f>'[1]COE commited funds to date'!AK50</f>
        <v>8000000</v>
      </c>
      <c r="EG47" s="392">
        <f>'[1]COE DISB 2019'!AK55</f>
        <v>8000000</v>
      </c>
      <c r="EH47" s="392">
        <f t="shared" si="33"/>
        <v>0</v>
      </c>
      <c r="EI47" s="394"/>
      <c r="EJ47" s="392">
        <f>'[1]COE commited funds to date'!AL50</f>
        <v>2000000</v>
      </c>
      <c r="EK47" s="392">
        <f>'[1]COE DISB 2019'!AL55</f>
        <v>0</v>
      </c>
      <c r="EL47" s="392">
        <f t="shared" si="34"/>
        <v>2000000</v>
      </c>
      <c r="EM47" s="394"/>
      <c r="EN47" s="392">
        <f>'[1]COE commited funds to date'!AM50</f>
        <v>7000000</v>
      </c>
      <c r="EO47" s="392">
        <f>'[1]COE DISB 2019'!AM55</f>
        <v>7000000</v>
      </c>
      <c r="EP47" s="392">
        <f t="shared" si="35"/>
        <v>0</v>
      </c>
      <c r="EQ47" s="394"/>
      <c r="ER47" s="392">
        <f>'[1]COE commited funds to date'!AN50</f>
        <v>2690000000</v>
      </c>
      <c r="ES47" s="392">
        <f>'[1]COE DISB 2019'!AN55</f>
        <v>2690000000</v>
      </c>
      <c r="ET47" s="392">
        <f t="shared" si="36"/>
        <v>0</v>
      </c>
      <c r="EV47" s="383">
        <f>'[1]COE commited funds to date'!AO50</f>
        <v>371067000</v>
      </c>
      <c r="EW47" s="383">
        <f>'[1]COE DISB 2019'!AO55</f>
        <v>230061540</v>
      </c>
      <c r="EX47" s="383">
        <f t="shared" si="38"/>
        <v>141005460</v>
      </c>
      <c r="EY47" s="380"/>
      <c r="EZ47" s="383">
        <f>'[1]COE commited funds to date'!AQ50</f>
        <v>12000000</v>
      </c>
      <c r="FA47" s="383">
        <f>'[1]COE DISB 2019'!AP55</f>
        <v>12000000</v>
      </c>
      <c r="FB47" s="383">
        <f t="shared" si="39"/>
        <v>0</v>
      </c>
      <c r="FC47" s="380"/>
      <c r="FD47" s="383">
        <f>'[1]COE commited funds to date'!AR50</f>
        <v>10000000</v>
      </c>
      <c r="FE47" s="383">
        <f>'[1]COE DISB 2019'!AQ55</f>
        <v>0</v>
      </c>
      <c r="FF47" s="383">
        <f t="shared" si="40"/>
        <v>10000000</v>
      </c>
      <c r="FG47" s="380"/>
      <c r="FH47" s="383">
        <f>'[1]COE commited funds to date'!AP50</f>
        <v>8000000</v>
      </c>
      <c r="FI47" s="383">
        <f>'[1]COE DISB 2019'!AR55</f>
        <v>8000000</v>
      </c>
      <c r="FJ47" s="383">
        <f t="shared" si="41"/>
        <v>0</v>
      </c>
      <c r="FK47" s="383">
        <f>'[1]COE commited funds to date'!AS50</f>
        <v>0</v>
      </c>
      <c r="FL47" s="383">
        <f>'[1]COE DISB 2019'!AS55</f>
        <v>0</v>
      </c>
      <c r="FM47" s="383">
        <f t="shared" si="42"/>
        <v>0</v>
      </c>
      <c r="FN47" s="380"/>
      <c r="FO47" s="383">
        <f>'[1]COE commited funds to date'!AT50</f>
        <v>200000000</v>
      </c>
      <c r="FP47" s="383">
        <f>'[1]COE DISB 2019'!AT55</f>
        <v>0</v>
      </c>
      <c r="FQ47" s="383">
        <f t="shared" si="43"/>
        <v>200000000</v>
      </c>
      <c r="FR47" s="380"/>
      <c r="FS47" s="383">
        <f>'[1]COE commited funds to date'!AU50</f>
        <v>75000000</v>
      </c>
      <c r="FT47" s="383">
        <f>'[1]COE DISB 2019'!AU55</f>
        <v>75000000</v>
      </c>
      <c r="FU47" s="383">
        <f t="shared" si="44"/>
        <v>0</v>
      </c>
      <c r="FV47" s="380"/>
      <c r="FW47" s="383">
        <f>'[1]COE commited funds to date'!AV50</f>
        <v>8700000</v>
      </c>
      <c r="FX47" s="383">
        <f>'[1]COE DISB 2019'!AV55</f>
        <v>0</v>
      </c>
      <c r="FY47" s="383">
        <f t="shared" si="45"/>
        <v>8700000</v>
      </c>
      <c r="FZ47" s="380"/>
      <c r="GA47" s="383">
        <f>'[1]COE commited funds to date'!AW50</f>
        <v>5000000</v>
      </c>
      <c r="GB47" s="383">
        <f>'[1]COE DISB 2019'!AW55</f>
        <v>0</v>
      </c>
      <c r="GC47" s="383">
        <f t="shared" si="46"/>
        <v>5000000</v>
      </c>
      <c r="GD47" s="380"/>
      <c r="GE47" s="383">
        <f>'[1]COE commited funds to date'!AX50</f>
        <v>20000000</v>
      </c>
      <c r="GF47" s="383">
        <f>'[1]COE DISB 2019'!AX55</f>
        <v>12737000</v>
      </c>
      <c r="GG47" s="383">
        <f t="shared" si="47"/>
        <v>7263000</v>
      </c>
      <c r="GH47" s="380"/>
      <c r="GI47" s="383">
        <f>'[1]COE commited funds to date'!AY50</f>
        <v>230000000</v>
      </c>
      <c r="GJ47" s="383">
        <f>'[1]COE DISB 2019'!AY55</f>
        <v>0</v>
      </c>
      <c r="GK47" s="383">
        <f t="shared" si="48"/>
        <v>230000000</v>
      </c>
      <c r="GL47" s="380"/>
      <c r="GM47" s="383">
        <f>'[1]COE commited funds to date'!AZ50</f>
        <v>116776600</v>
      </c>
      <c r="GN47" s="383">
        <f>'[1]COE DISB 2019'!AZ55</f>
        <v>0</v>
      </c>
      <c r="GO47" s="383">
        <f t="shared" si="49"/>
        <v>116776600</v>
      </c>
      <c r="GP47" s="380"/>
      <c r="GQ47" s="383">
        <f>'[1]COE commited funds to date'!BA50</f>
        <v>12000000</v>
      </c>
      <c r="GR47" s="383">
        <f>'[1]COE DISB 2019'!BA55</f>
        <v>0</v>
      </c>
      <c r="GS47" s="383">
        <f t="shared" si="50"/>
        <v>12000000</v>
      </c>
      <c r="GT47" s="380"/>
      <c r="GU47" s="383">
        <f>'[1]COE commited funds to date'!BB50</f>
        <v>5000000</v>
      </c>
      <c r="GV47" s="383">
        <f>'[1]COE DISB 2019'!BB55</f>
        <v>0</v>
      </c>
      <c r="GW47" s="383">
        <f t="shared" si="51"/>
        <v>5000000</v>
      </c>
      <c r="GX47" s="380"/>
      <c r="GY47" s="383">
        <f>'[1]COE commited funds to date'!BC50</f>
        <v>10308300</v>
      </c>
      <c r="GZ47" s="383">
        <f>'[1]COE DISB 2019'!BC55</f>
        <v>0</v>
      </c>
      <c r="HA47" s="383">
        <f t="shared" si="52"/>
        <v>10308300</v>
      </c>
      <c r="HB47" s="380"/>
      <c r="HC47" s="383">
        <f t="shared" si="53"/>
        <v>6818522865.5</v>
      </c>
      <c r="HD47" s="383">
        <f t="shared" si="53"/>
        <v>6017459505.5</v>
      </c>
      <c r="HE47" s="392">
        <f t="shared" si="54"/>
        <v>801063360</v>
      </c>
      <c r="HG47" s="383">
        <f t="shared" si="55"/>
        <v>2079615965.5</v>
      </c>
      <c r="HH47" s="383">
        <f t="shared" si="55"/>
        <v>1481250505.5</v>
      </c>
      <c r="HI47" s="383">
        <f t="shared" si="56"/>
        <v>598365460</v>
      </c>
      <c r="HK47" s="383">
        <f t="shared" si="57"/>
        <v>4393000000</v>
      </c>
      <c r="HL47" s="383">
        <f t="shared" si="57"/>
        <v>4367350000</v>
      </c>
      <c r="HM47" s="383">
        <f t="shared" si="58"/>
        <v>25650000</v>
      </c>
      <c r="HO47" s="383">
        <f t="shared" si="71"/>
        <v>1122000</v>
      </c>
      <c r="HP47" s="383">
        <f t="shared" si="71"/>
        <v>1122000</v>
      </c>
      <c r="HQ47" s="383">
        <f t="shared" si="59"/>
        <v>0</v>
      </c>
      <c r="HS47" s="383">
        <f t="shared" si="60"/>
        <v>89308300</v>
      </c>
      <c r="HT47" s="383">
        <f t="shared" si="60"/>
        <v>71737000</v>
      </c>
      <c r="HU47" s="383">
        <f t="shared" si="61"/>
        <v>17571300</v>
      </c>
      <c r="HW47" s="383">
        <f t="shared" si="62"/>
        <v>36700000</v>
      </c>
      <c r="HX47" s="383">
        <f t="shared" si="62"/>
        <v>16000000</v>
      </c>
      <c r="HY47" s="383">
        <f t="shared" si="63"/>
        <v>20700000</v>
      </c>
      <c r="IA47" s="387">
        <f t="shared" si="64"/>
        <v>20000000</v>
      </c>
      <c r="IB47" s="387">
        <f t="shared" si="64"/>
        <v>0</v>
      </c>
      <c r="IC47" s="387">
        <f t="shared" si="65"/>
        <v>20000000</v>
      </c>
      <c r="IE47" s="383">
        <f t="shared" si="66"/>
        <v>191776600</v>
      </c>
      <c r="IF47" s="383">
        <f t="shared" si="66"/>
        <v>75000000</v>
      </c>
      <c r="IG47" s="383">
        <f t="shared" si="67"/>
        <v>116776600</v>
      </c>
      <c r="II47" s="383">
        <f t="shared" si="68"/>
        <v>2000000</v>
      </c>
      <c r="IJ47" s="383">
        <f t="shared" si="68"/>
        <v>0</v>
      </c>
      <c r="IK47" s="383">
        <f t="shared" si="69"/>
        <v>2000000</v>
      </c>
    </row>
    <row r="48" spans="1:245" x14ac:dyDescent="0.25">
      <c r="A48" s="380">
        <v>45</v>
      </c>
      <c r="B48" s="380" t="s">
        <v>364</v>
      </c>
      <c r="C48" s="431" t="s">
        <v>61</v>
      </c>
      <c r="D48" s="392">
        <v>18318965.5</v>
      </c>
      <c r="E48" s="392">
        <f>'[1]COE DISB 2019'!D56</f>
        <v>18318965.010000002</v>
      </c>
      <c r="F48" s="383">
        <f t="shared" si="0"/>
        <v>0.48999999836087227</v>
      </c>
      <c r="H48" s="392">
        <v>8000000</v>
      </c>
      <c r="I48" s="392">
        <f>'[1]COE DISB 2019'!E56</f>
        <v>8000000</v>
      </c>
      <c r="J48" s="383">
        <f t="shared" si="1"/>
        <v>0</v>
      </c>
      <c r="L48" s="392">
        <v>500000</v>
      </c>
      <c r="M48" s="392">
        <f>'[1]COE DISB 2019'!F56</f>
        <v>500000</v>
      </c>
      <c r="N48" s="383">
        <f t="shared" si="2"/>
        <v>0</v>
      </c>
      <c r="P48" s="353">
        <v>16000000</v>
      </c>
      <c r="Q48" s="392">
        <f>'[1]COE DISB 2019'!G56</f>
        <v>16000000</v>
      </c>
      <c r="R48" s="383">
        <f t="shared" si="3"/>
        <v>0</v>
      </c>
      <c r="T48" s="385">
        <v>538000</v>
      </c>
      <c r="U48" s="392">
        <f>'[1]COE DISB 2019'!H56</f>
        <v>538000</v>
      </c>
      <c r="V48" s="383">
        <f t="shared" si="4"/>
        <v>0</v>
      </c>
      <c r="X48" s="353">
        <v>0</v>
      </c>
      <c r="Y48" s="392">
        <f>'[1]COE DISB 2019'!I56</f>
        <v>0</v>
      </c>
      <c r="Z48" s="383">
        <f t="shared" si="5"/>
        <v>0</v>
      </c>
      <c r="AB48" s="385">
        <v>20000000</v>
      </c>
      <c r="AC48" s="392">
        <f>'[1]COE DISB 2019'!J56</f>
        <v>20000000</v>
      </c>
      <c r="AD48" s="383">
        <f t="shared" si="6"/>
        <v>0</v>
      </c>
      <c r="AF48" s="353">
        <v>0</v>
      </c>
      <c r="AG48" s="392">
        <f>'[1]COE DISB 2019'!K56</f>
        <v>0</v>
      </c>
      <c r="AH48" s="383">
        <f t="shared" si="7"/>
        <v>0</v>
      </c>
      <c r="AJ48" s="385">
        <v>10000000</v>
      </c>
      <c r="AK48" s="392">
        <f>'[1]COE DISB 2019'!L56</f>
        <v>10000000</v>
      </c>
      <c r="AL48" s="383">
        <f t="shared" si="8"/>
        <v>0</v>
      </c>
      <c r="AN48" s="392">
        <v>10000000</v>
      </c>
      <c r="AO48" s="392">
        <f>'[1]COE DISB 2019'!M56</f>
        <v>10000000</v>
      </c>
      <c r="AP48" s="383">
        <f t="shared" si="9"/>
        <v>0</v>
      </c>
      <c r="AR48" s="392">
        <v>15000000</v>
      </c>
      <c r="AS48" s="392">
        <f>'[1]COE DISB 2019'!N56</f>
        <v>15000000</v>
      </c>
      <c r="AT48" s="383">
        <f t="shared" si="10"/>
        <v>0</v>
      </c>
      <c r="AV48" s="392">
        <v>0</v>
      </c>
      <c r="AW48" s="432">
        <f>'[1]COE DISB 2019'!O56</f>
        <v>0</v>
      </c>
      <c r="AX48" s="392">
        <f t="shared" si="11"/>
        <v>0</v>
      </c>
      <c r="AZ48" s="392">
        <v>18000000</v>
      </c>
      <c r="BA48" s="392">
        <f>'[1]COE DISB 2019'!P56</f>
        <v>18000000</v>
      </c>
      <c r="BB48" s="392">
        <f t="shared" si="12"/>
        <v>0</v>
      </c>
      <c r="BD48" s="392">
        <v>23400000</v>
      </c>
      <c r="BE48" s="392">
        <f>'[1]COE DISB 2019'!Q56</f>
        <v>23400000</v>
      </c>
      <c r="BF48" s="392">
        <f t="shared" si="13"/>
        <v>0</v>
      </c>
      <c r="BH48" s="392">
        <v>0</v>
      </c>
      <c r="BI48" s="392">
        <f>'[1]COE DISB 2019'!R56</f>
        <v>0</v>
      </c>
      <c r="BJ48" s="392">
        <f t="shared" si="14"/>
        <v>0</v>
      </c>
      <c r="BL48" s="392">
        <v>36550000</v>
      </c>
      <c r="BM48" s="392">
        <f>'[1]COE DISB 2019'!S56</f>
        <v>36550000</v>
      </c>
      <c r="BN48" s="392">
        <f t="shared" si="15"/>
        <v>0</v>
      </c>
      <c r="BP48" s="392">
        <v>31586000</v>
      </c>
      <c r="BQ48" s="392">
        <f>'[1]COE DISB 2019'!T56</f>
        <v>31586000</v>
      </c>
      <c r="BR48" s="392">
        <f t="shared" si="16"/>
        <v>0</v>
      </c>
      <c r="BT48" s="392">
        <v>0</v>
      </c>
      <c r="BU48" s="392">
        <f>'[1]COE DISB 2019'!U56</f>
        <v>0</v>
      </c>
      <c r="BV48" s="392">
        <f t="shared" si="17"/>
        <v>0</v>
      </c>
      <c r="BX48" s="392">
        <v>112663000</v>
      </c>
      <c r="BY48" s="392">
        <f>'[1]COE DISB 2019'!V56</f>
        <v>112663000</v>
      </c>
      <c r="BZ48" s="392">
        <f t="shared" si="18"/>
        <v>0</v>
      </c>
      <c r="CB48" s="392">
        <f>'[1]COE commited funds to date'!W51</f>
        <v>100000000</v>
      </c>
      <c r="CC48" s="392">
        <f>'[1]COE DISB 2019'!W56</f>
        <v>100000000</v>
      </c>
      <c r="CD48" s="392">
        <f t="shared" si="19"/>
        <v>0</v>
      </c>
      <c r="CF48" s="392">
        <f>'[1]COE commited funds to date'!X51</f>
        <v>125000000</v>
      </c>
      <c r="CG48" s="392">
        <f>'[1]COE DISB 2019'!X56</f>
        <v>125000000</v>
      </c>
      <c r="CH48" s="392">
        <f t="shared" si="20"/>
        <v>0</v>
      </c>
      <c r="CJ48" s="392">
        <v>10000000</v>
      </c>
      <c r="CK48" s="392">
        <f>'[1]COE DISB 2019'!Y56</f>
        <v>9013550</v>
      </c>
      <c r="CL48" s="392">
        <f t="shared" si="21"/>
        <v>986450</v>
      </c>
      <c r="CN48" s="392">
        <v>0</v>
      </c>
      <c r="CO48" s="392">
        <f>'[1]COE DISB 2019'!Z56</f>
        <v>0</v>
      </c>
      <c r="CP48" s="392">
        <f t="shared" si="22"/>
        <v>0</v>
      </c>
      <c r="CR48" s="392">
        <v>210000000</v>
      </c>
      <c r="CS48" s="392">
        <f>'[1]COE DISB 2019'!AA56</f>
        <v>210000000</v>
      </c>
      <c r="CT48" s="392">
        <f t="shared" si="23"/>
        <v>0</v>
      </c>
      <c r="CV48" s="392">
        <v>10000000</v>
      </c>
      <c r="CW48" s="392">
        <f>'[1]COE DISB 2019'!AB56</f>
        <v>10000000</v>
      </c>
      <c r="CX48" s="392">
        <f t="shared" si="24"/>
        <v>0</v>
      </c>
      <c r="CZ48" s="392">
        <f>'[1]COE commited funds to date'!AC51</f>
        <v>50000000</v>
      </c>
      <c r="DA48" s="392">
        <f>'[1]COE DISB 2019'!AC56</f>
        <v>50000000</v>
      </c>
      <c r="DB48" s="392">
        <f t="shared" si="25"/>
        <v>0</v>
      </c>
      <c r="DC48" s="394"/>
      <c r="DD48" s="392">
        <v>215000000</v>
      </c>
      <c r="DE48" s="392">
        <f>'[1]COE DISB 2019'!AD56</f>
        <v>215000000</v>
      </c>
      <c r="DF48" s="392">
        <f t="shared" si="26"/>
        <v>0</v>
      </c>
      <c r="DG48" s="394"/>
      <c r="DH48" s="392">
        <v>10000000</v>
      </c>
      <c r="DI48" s="392">
        <f>'[1]COE DISB 2019'!AE56</f>
        <v>10000000</v>
      </c>
      <c r="DJ48" s="392">
        <f>DH48-DI48</f>
        <v>0</v>
      </c>
      <c r="DK48" s="394"/>
      <c r="DL48" s="392">
        <f>'[1]COE commited funds to date'!AD51</f>
        <v>460000000</v>
      </c>
      <c r="DM48" s="392">
        <f>'[1]COE DISB 2019'!AF56</f>
        <v>431800000</v>
      </c>
      <c r="DN48" s="392">
        <f t="shared" si="28"/>
        <v>28200000</v>
      </c>
      <c r="DO48" s="394"/>
      <c r="DP48" s="392">
        <v>325000000</v>
      </c>
      <c r="DQ48" s="392">
        <f>'[1]COE DISB 2019'!AG56</f>
        <v>325000000</v>
      </c>
      <c r="DR48" s="392">
        <f t="shared" si="29"/>
        <v>0</v>
      </c>
      <c r="DS48" s="394"/>
      <c r="DT48" s="397">
        <v>10000000</v>
      </c>
      <c r="DU48" s="392">
        <f>'[1]COE DISB 2019'!AH56</f>
        <v>10000000</v>
      </c>
      <c r="DV48" s="392">
        <f t="shared" si="30"/>
        <v>0</v>
      </c>
      <c r="DW48" s="394"/>
      <c r="DX48" s="392">
        <f>'[1]COE commited funds to date'!AI51</f>
        <v>200000000</v>
      </c>
      <c r="DY48" s="392">
        <f>'[1]COE DISB 2019'!AI56</f>
        <v>200000000</v>
      </c>
      <c r="DZ48" s="392">
        <f t="shared" si="31"/>
        <v>0</v>
      </c>
      <c r="EA48" s="394"/>
      <c r="EB48" s="392">
        <f>'[1]COE commited funds to date'!AJ51</f>
        <v>72000000</v>
      </c>
      <c r="EC48" s="392">
        <f>'[1]COE DISB 2019'!AJ56</f>
        <v>61200000</v>
      </c>
      <c r="ED48" s="392">
        <f t="shared" si="32"/>
        <v>10800000</v>
      </c>
      <c r="EE48" s="394"/>
      <c r="EF48" s="392">
        <f>'[1]COE commited funds to date'!AK51</f>
        <v>8000000</v>
      </c>
      <c r="EG48" s="392">
        <f>'[1]COE DISB 2019'!AK56</f>
        <v>8000000</v>
      </c>
      <c r="EH48" s="392">
        <f t="shared" si="33"/>
        <v>0</v>
      </c>
      <c r="EI48" s="394"/>
      <c r="EJ48" s="392">
        <f>'[1]COE commited funds to date'!AL51</f>
        <v>2000000</v>
      </c>
      <c r="EK48" s="392">
        <f>'[1]COE DISB 2019'!AL56</f>
        <v>0</v>
      </c>
      <c r="EL48" s="392">
        <f t="shared" si="34"/>
        <v>2000000</v>
      </c>
      <c r="EM48" s="394"/>
      <c r="EN48" s="392">
        <f>'[1]COE commited funds to date'!AM51</f>
        <v>7000000</v>
      </c>
      <c r="EO48" s="392">
        <f>'[1]COE DISB 2019'!AM56</f>
        <v>7000000</v>
      </c>
      <c r="EP48" s="392">
        <f t="shared" si="35"/>
        <v>0</v>
      </c>
      <c r="EQ48" s="394"/>
      <c r="ER48" s="392">
        <f>'[1]COE commited funds to date'!AN51</f>
        <v>3000000000</v>
      </c>
      <c r="ES48" s="392">
        <f>'[1]COE DISB 2019'!AN56</f>
        <v>2553100000</v>
      </c>
      <c r="ET48" s="392">
        <f t="shared" si="36"/>
        <v>446900000</v>
      </c>
      <c r="EV48" s="383">
        <f>'[1]COE commited funds to date'!AO51</f>
        <v>371067000</v>
      </c>
      <c r="EW48" s="383">
        <f>'[1]COE DISB 2019'!AO56</f>
        <v>315406955</v>
      </c>
      <c r="EX48" s="383">
        <f t="shared" si="38"/>
        <v>55660045</v>
      </c>
      <c r="EY48" s="380"/>
      <c r="EZ48" s="383">
        <f>'[1]COE commited funds to date'!AQ51</f>
        <v>12000000</v>
      </c>
      <c r="FA48" s="383">
        <f>'[1]COE DISB 2019'!AP56</f>
        <v>12000000</v>
      </c>
      <c r="FB48" s="383">
        <f t="shared" si="39"/>
        <v>0</v>
      </c>
      <c r="FC48" s="380"/>
      <c r="FD48" s="383">
        <f>'[1]COE commited funds to date'!AR51</f>
        <v>10000000</v>
      </c>
      <c r="FE48" s="383">
        <f>'[1]COE DISB 2019'!AQ56</f>
        <v>0</v>
      </c>
      <c r="FF48" s="383">
        <f t="shared" si="40"/>
        <v>10000000</v>
      </c>
      <c r="FG48" s="380"/>
      <c r="FH48" s="383">
        <f>'[1]COE commited funds to date'!AP51</f>
        <v>8000000</v>
      </c>
      <c r="FI48" s="383">
        <f>'[1]COE DISB 2019'!AR56</f>
        <v>8000000</v>
      </c>
      <c r="FJ48" s="383">
        <f t="shared" si="41"/>
        <v>0</v>
      </c>
      <c r="FK48" s="383">
        <f>'[1]COE commited funds to date'!AS51</f>
        <v>0</v>
      </c>
      <c r="FL48" s="383">
        <f>'[1]COE DISB 2019'!AS56</f>
        <v>0</v>
      </c>
      <c r="FM48" s="383">
        <f t="shared" si="42"/>
        <v>0</v>
      </c>
      <c r="FN48" s="380"/>
      <c r="FO48" s="383">
        <f>'[1]COE commited funds to date'!AT51</f>
        <v>200000000</v>
      </c>
      <c r="FP48" s="383">
        <f>'[1]COE DISB 2019'!AT56</f>
        <v>0</v>
      </c>
      <c r="FQ48" s="383">
        <f t="shared" si="43"/>
        <v>200000000</v>
      </c>
      <c r="FR48" s="380"/>
      <c r="FS48" s="383">
        <f>'[1]COE commited funds to date'!AU51</f>
        <v>75000000</v>
      </c>
      <c r="FT48" s="383">
        <f>'[1]COE DISB 2019'!AU56</f>
        <v>51000000</v>
      </c>
      <c r="FU48" s="383">
        <f t="shared" si="44"/>
        <v>24000000</v>
      </c>
      <c r="FV48" s="380"/>
      <c r="FW48" s="383">
        <f>'[1]COE commited funds to date'!AV51</f>
        <v>8700000</v>
      </c>
      <c r="FX48" s="383">
        <f>'[1]COE DISB 2019'!AV56</f>
        <v>0</v>
      </c>
      <c r="FY48" s="383">
        <f t="shared" si="45"/>
        <v>8700000</v>
      </c>
      <c r="FZ48" s="380"/>
      <c r="GA48" s="383">
        <f>'[1]COE commited funds to date'!AW51</f>
        <v>5000000</v>
      </c>
      <c r="GB48" s="383">
        <f>'[1]COE DISB 2019'!AW56</f>
        <v>0</v>
      </c>
      <c r="GC48" s="383">
        <f t="shared" si="46"/>
        <v>5000000</v>
      </c>
      <c r="GD48" s="380"/>
      <c r="GE48" s="383">
        <f>'[1]COE commited funds to date'!AX51</f>
        <v>20000000</v>
      </c>
      <c r="GF48" s="383">
        <f>'[1]COE DISB 2019'!AX56</f>
        <v>13778800</v>
      </c>
      <c r="GG48" s="383">
        <f t="shared" si="47"/>
        <v>6221200</v>
      </c>
      <c r="GH48" s="380"/>
      <c r="GI48" s="383">
        <f>'[1]COE commited funds to date'!AY51</f>
        <v>230000000</v>
      </c>
      <c r="GJ48" s="383">
        <f>'[1]COE DISB 2019'!AY56</f>
        <v>0</v>
      </c>
      <c r="GK48" s="383">
        <f t="shared" si="48"/>
        <v>230000000</v>
      </c>
      <c r="GL48" s="380"/>
      <c r="GM48" s="383">
        <f>'[1]COE commited funds to date'!AZ51</f>
        <v>116776600</v>
      </c>
      <c r="GN48" s="383">
        <f>'[1]COE DISB 2019'!AZ56</f>
        <v>0</v>
      </c>
      <c r="GO48" s="383">
        <f t="shared" si="49"/>
        <v>116776600</v>
      </c>
      <c r="GP48" s="380"/>
      <c r="GQ48" s="383">
        <f>'[1]COE commited funds to date'!BA51</f>
        <v>12000000</v>
      </c>
      <c r="GR48" s="383">
        <f>'[1]COE DISB 2019'!BA56</f>
        <v>0</v>
      </c>
      <c r="GS48" s="383">
        <f t="shared" si="50"/>
        <v>12000000</v>
      </c>
      <c r="GT48" s="380"/>
      <c r="GU48" s="383">
        <f>'[1]COE commited funds to date'!BB51</f>
        <v>5000000</v>
      </c>
      <c r="GV48" s="383">
        <f>'[1]COE DISB 2019'!BB56</f>
        <v>0</v>
      </c>
      <c r="GW48" s="383">
        <f t="shared" si="51"/>
        <v>5000000</v>
      </c>
      <c r="GX48" s="380"/>
      <c r="GY48" s="383">
        <f>'[1]COE commited funds to date'!BC51</f>
        <v>10308300</v>
      </c>
      <c r="GZ48" s="383">
        <f>'[1]COE DISB 2019'!BC56</f>
        <v>0</v>
      </c>
      <c r="HA48" s="383">
        <f t="shared" si="52"/>
        <v>10308300</v>
      </c>
      <c r="HB48" s="380"/>
      <c r="HC48" s="383">
        <f t="shared" si="53"/>
        <v>6218407865.5</v>
      </c>
      <c r="HD48" s="383">
        <f t="shared" si="53"/>
        <v>5045855270.0100002</v>
      </c>
      <c r="HE48" s="392">
        <f t="shared" si="54"/>
        <v>1172552595.4899998</v>
      </c>
      <c r="HG48" s="383">
        <f t="shared" si="55"/>
        <v>2067584965.5</v>
      </c>
      <c r="HH48" s="383">
        <f t="shared" si="55"/>
        <v>1571124920.01</v>
      </c>
      <c r="HI48" s="383">
        <f t="shared" si="56"/>
        <v>496460045.49000001</v>
      </c>
      <c r="HK48" s="383">
        <f t="shared" si="57"/>
        <v>3810000000</v>
      </c>
      <c r="HL48" s="383">
        <f t="shared" si="57"/>
        <v>3334900000</v>
      </c>
      <c r="HM48" s="383">
        <f t="shared" si="58"/>
        <v>475100000</v>
      </c>
      <c r="HO48" s="383">
        <f t="shared" si="71"/>
        <v>1038000</v>
      </c>
      <c r="HP48" s="383">
        <f t="shared" si="71"/>
        <v>1038000</v>
      </c>
      <c r="HQ48" s="383">
        <f t="shared" si="59"/>
        <v>0</v>
      </c>
      <c r="HS48" s="383">
        <f t="shared" si="60"/>
        <v>89308300</v>
      </c>
      <c r="HT48" s="383">
        <f t="shared" si="60"/>
        <v>71792350</v>
      </c>
      <c r="HU48" s="383">
        <f t="shared" si="61"/>
        <v>17515950</v>
      </c>
      <c r="HW48" s="383">
        <f t="shared" si="62"/>
        <v>36700000</v>
      </c>
      <c r="HX48" s="383">
        <f t="shared" si="62"/>
        <v>16000000</v>
      </c>
      <c r="HY48" s="383">
        <f t="shared" si="63"/>
        <v>20700000</v>
      </c>
      <c r="IA48" s="387">
        <f t="shared" si="64"/>
        <v>20000000</v>
      </c>
      <c r="IB48" s="387">
        <f t="shared" si="64"/>
        <v>0</v>
      </c>
      <c r="IC48" s="387">
        <f t="shared" si="65"/>
        <v>20000000</v>
      </c>
      <c r="IE48" s="383">
        <f t="shared" si="66"/>
        <v>191776600</v>
      </c>
      <c r="IF48" s="383">
        <f t="shared" si="66"/>
        <v>51000000</v>
      </c>
      <c r="IG48" s="383">
        <f t="shared" si="67"/>
        <v>140776600</v>
      </c>
      <c r="II48" s="383">
        <f t="shared" si="68"/>
        <v>2000000</v>
      </c>
      <c r="IJ48" s="383">
        <f t="shared" si="68"/>
        <v>0</v>
      </c>
      <c r="IK48" s="383">
        <f t="shared" si="69"/>
        <v>2000000</v>
      </c>
    </row>
    <row r="49" spans="1:245" x14ac:dyDescent="0.25">
      <c r="A49" s="380">
        <v>46</v>
      </c>
      <c r="B49" s="380" t="s">
        <v>365</v>
      </c>
      <c r="C49" s="431" t="s">
        <v>69</v>
      </c>
      <c r="D49" s="392">
        <v>18318769.5</v>
      </c>
      <c r="E49" s="392">
        <f>'[1]COE DISB 2019'!D57</f>
        <v>18318769.5</v>
      </c>
      <c r="F49" s="383">
        <f t="shared" si="0"/>
        <v>0</v>
      </c>
      <c r="H49" s="392">
        <v>8000000</v>
      </c>
      <c r="I49" s="392">
        <f>'[1]COE DISB 2019'!E57</f>
        <v>8000000</v>
      </c>
      <c r="J49" s="383">
        <f t="shared" si="1"/>
        <v>0</v>
      </c>
      <c r="L49" s="392">
        <v>500000</v>
      </c>
      <c r="M49" s="392">
        <f>'[1]COE DISB 2019'!F57</f>
        <v>500000</v>
      </c>
      <c r="N49" s="383">
        <f t="shared" si="2"/>
        <v>0</v>
      </c>
      <c r="P49" s="353">
        <v>16000000</v>
      </c>
      <c r="Q49" s="392">
        <f>'[1]COE DISB 2019'!G57</f>
        <v>16000000</v>
      </c>
      <c r="R49" s="383">
        <f t="shared" si="3"/>
        <v>0</v>
      </c>
      <c r="T49" s="385">
        <v>1833000</v>
      </c>
      <c r="U49" s="392">
        <f>'[1]COE DISB 2019'!H57</f>
        <v>1833000</v>
      </c>
      <c r="V49" s="383">
        <f t="shared" si="4"/>
        <v>0</v>
      </c>
      <c r="X49" s="385"/>
      <c r="Y49" s="392">
        <f>'[1]COE DISB 2019'!I57</f>
        <v>0</v>
      </c>
      <c r="Z49" s="383">
        <f t="shared" si="5"/>
        <v>0</v>
      </c>
      <c r="AB49" s="385">
        <v>20000000</v>
      </c>
      <c r="AC49" s="392">
        <f>'[1]COE DISB 2019'!J57</f>
        <v>20000000</v>
      </c>
      <c r="AD49" s="383">
        <f t="shared" si="6"/>
        <v>0</v>
      </c>
      <c r="AF49" s="353">
        <v>1833000</v>
      </c>
      <c r="AG49" s="392">
        <f>'[1]COE DISB 2019'!K57</f>
        <v>1833000</v>
      </c>
      <c r="AH49" s="383">
        <f t="shared" si="7"/>
        <v>0</v>
      </c>
      <c r="AJ49" s="385">
        <v>10000000</v>
      </c>
      <c r="AK49" s="392">
        <f>'[1]COE DISB 2019'!L57</f>
        <v>10000000</v>
      </c>
      <c r="AL49" s="383">
        <f t="shared" si="8"/>
        <v>0</v>
      </c>
      <c r="AN49" s="392">
        <v>10000000</v>
      </c>
      <c r="AO49" s="392">
        <f>'[1]COE DISB 2019'!M57</f>
        <v>10000000</v>
      </c>
      <c r="AP49" s="383">
        <f t="shared" si="9"/>
        <v>0</v>
      </c>
      <c r="AR49" s="392">
        <v>15000000</v>
      </c>
      <c r="AS49" s="392">
        <f>'[1]COE DISB 2019'!N57</f>
        <v>15000000</v>
      </c>
      <c r="AT49" s="383">
        <f t="shared" si="10"/>
        <v>0</v>
      </c>
      <c r="AV49" s="392">
        <v>4250000</v>
      </c>
      <c r="AW49" s="393">
        <f>'[1]COE DISB 2019'!O57</f>
        <v>4250000</v>
      </c>
      <c r="AX49" s="392">
        <f t="shared" si="11"/>
        <v>0</v>
      </c>
      <c r="AZ49" s="392">
        <v>18000000</v>
      </c>
      <c r="BA49" s="392">
        <f>'[1]COE DISB 2019'!P57</f>
        <v>18000000</v>
      </c>
      <c r="BB49" s="392">
        <f t="shared" si="12"/>
        <v>0</v>
      </c>
      <c r="BD49" s="392">
        <v>23400000</v>
      </c>
      <c r="BE49" s="392">
        <f>'[1]COE DISB 2019'!Q57</f>
        <v>23400000</v>
      </c>
      <c r="BF49" s="392">
        <f t="shared" si="13"/>
        <v>0</v>
      </c>
      <c r="BH49" s="392">
        <v>0</v>
      </c>
      <c r="BI49" s="392">
        <f>'[1]COE DISB 2019'!R57</f>
        <v>0</v>
      </c>
      <c r="BJ49" s="392">
        <f t="shared" si="14"/>
        <v>0</v>
      </c>
      <c r="BL49" s="392">
        <v>43000000</v>
      </c>
      <c r="BM49" s="392">
        <f>'[1]COE DISB 2019'!S57</f>
        <v>43000000</v>
      </c>
      <c r="BN49" s="392">
        <f t="shared" si="15"/>
        <v>0</v>
      </c>
      <c r="BP49" s="392">
        <v>37159600</v>
      </c>
      <c r="BQ49" s="392">
        <f>'[1]COE DISB 2019'!T57</f>
        <v>37159600</v>
      </c>
      <c r="BR49" s="392">
        <f t="shared" si="16"/>
        <v>0</v>
      </c>
      <c r="BT49" s="392">
        <v>0</v>
      </c>
      <c r="BU49" s="392">
        <f>'[1]COE DISB 2019'!U57</f>
        <v>0</v>
      </c>
      <c r="BV49" s="392">
        <f t="shared" si="17"/>
        <v>0</v>
      </c>
      <c r="BX49" s="392">
        <v>112669700</v>
      </c>
      <c r="BY49" s="392">
        <f>'[1]COE DISB 2019'!V57</f>
        <v>112669700</v>
      </c>
      <c r="BZ49" s="392">
        <f t="shared" si="18"/>
        <v>0</v>
      </c>
      <c r="CB49" s="392">
        <f>'[1]COE commited funds to date'!W52</f>
        <v>100000000</v>
      </c>
      <c r="CC49" s="392">
        <f>'[1]COE DISB 2019'!W57</f>
        <v>100000000</v>
      </c>
      <c r="CD49" s="392">
        <f t="shared" si="19"/>
        <v>0</v>
      </c>
      <c r="CF49" s="392">
        <f>'[1]COE commited funds to date'!X52</f>
        <v>0</v>
      </c>
      <c r="CG49" s="392">
        <f>'[1]COE DISB 2019'!X57</f>
        <v>0</v>
      </c>
      <c r="CH49" s="392">
        <f t="shared" si="20"/>
        <v>0</v>
      </c>
      <c r="CJ49" s="392">
        <v>0</v>
      </c>
      <c r="CK49" s="392">
        <f>'[1]COE DISB 2019'!Y57</f>
        <v>0</v>
      </c>
      <c r="CL49" s="392">
        <f t="shared" si="21"/>
        <v>0</v>
      </c>
      <c r="CN49" s="392">
        <v>160000000</v>
      </c>
      <c r="CO49" s="392">
        <f>'[1]COE DISB 2019'!Z57</f>
        <v>160000000</v>
      </c>
      <c r="CP49" s="392">
        <f t="shared" si="22"/>
        <v>0</v>
      </c>
      <c r="CR49" s="392">
        <v>210000000</v>
      </c>
      <c r="CS49" s="392">
        <f>'[1]COE DISB 2019'!AA57</f>
        <v>178500000</v>
      </c>
      <c r="CT49" s="392">
        <f t="shared" si="23"/>
        <v>31500000</v>
      </c>
      <c r="CV49" s="392">
        <v>10000000</v>
      </c>
      <c r="CW49" s="392">
        <f>'[1]COE DISB 2019'!AB57</f>
        <v>10000000</v>
      </c>
      <c r="CX49" s="392">
        <f t="shared" si="24"/>
        <v>0</v>
      </c>
      <c r="CZ49" s="392">
        <f>'[1]COE commited funds to date'!AC52</f>
        <v>0</v>
      </c>
      <c r="DA49" s="392">
        <f>'[1]COE DISB 2019'!AC57</f>
        <v>0</v>
      </c>
      <c r="DB49" s="392">
        <f t="shared" si="25"/>
        <v>0</v>
      </c>
      <c r="DC49" s="394"/>
      <c r="DD49" s="392">
        <v>0</v>
      </c>
      <c r="DE49" s="392">
        <f>'[1]COE DISB 2019'!AD57</f>
        <v>0</v>
      </c>
      <c r="DF49" s="392">
        <f t="shared" si="26"/>
        <v>0</v>
      </c>
      <c r="DG49" s="394"/>
      <c r="DH49" s="397">
        <v>0</v>
      </c>
      <c r="DI49" s="397">
        <f>'[1]COE DISB 2019'!AE57</f>
        <v>0</v>
      </c>
      <c r="DJ49" s="397">
        <v>0</v>
      </c>
      <c r="DK49" s="394"/>
      <c r="DL49" s="392">
        <f>'[1]COE commited funds to date'!AD52</f>
        <v>0</v>
      </c>
      <c r="DM49" s="392">
        <f>'[1]COE DISB 2019'!AF57</f>
        <v>0</v>
      </c>
      <c r="DN49" s="392">
        <f t="shared" si="28"/>
        <v>0</v>
      </c>
      <c r="DO49" s="394"/>
      <c r="DP49" s="392">
        <v>325000000</v>
      </c>
      <c r="DQ49" s="392">
        <f>'[1]COE DISB 2019'!AG57</f>
        <v>276250000</v>
      </c>
      <c r="DR49" s="392">
        <f t="shared" si="29"/>
        <v>48750000</v>
      </c>
      <c r="DS49" s="394"/>
      <c r="DT49" s="397">
        <v>10000000</v>
      </c>
      <c r="DU49" s="392">
        <f>'[1]COE DISB 2019'!AH57</f>
        <v>10000000</v>
      </c>
      <c r="DV49" s="392">
        <f t="shared" si="30"/>
        <v>0</v>
      </c>
      <c r="DW49" s="394"/>
      <c r="DX49" s="392">
        <f>'[1]COE commited funds to date'!AI52</f>
        <v>225000000</v>
      </c>
      <c r="DY49" s="392">
        <f>'[1]COE DISB 2019'!AI57</f>
        <v>225000000</v>
      </c>
      <c r="DZ49" s="392">
        <f t="shared" si="31"/>
        <v>0</v>
      </c>
      <c r="EA49" s="394"/>
      <c r="EB49" s="392">
        <f>'[1]COE commited funds to date'!AJ52</f>
        <v>0</v>
      </c>
      <c r="EC49" s="392">
        <f>'[1]COE DISB 2019'!AJ57</f>
        <v>0</v>
      </c>
      <c r="ED49" s="392">
        <f t="shared" si="32"/>
        <v>0</v>
      </c>
      <c r="EE49" s="394"/>
      <c r="EF49" s="392">
        <f>'[1]COE commited funds to date'!AK52</f>
        <v>0</v>
      </c>
      <c r="EG49" s="392">
        <f>'[1]COE DISB 2019'!AK57</f>
        <v>0</v>
      </c>
      <c r="EH49" s="392">
        <f t="shared" si="33"/>
        <v>0</v>
      </c>
      <c r="EI49" s="394"/>
      <c r="EJ49" s="392">
        <f>'[1]COE commited funds to date'!AL52</f>
        <v>0</v>
      </c>
      <c r="EK49" s="392">
        <f>'[1]COE DISB 2019'!AL57</f>
        <v>0</v>
      </c>
      <c r="EL49" s="392">
        <f t="shared" si="34"/>
        <v>0</v>
      </c>
      <c r="EM49" s="394"/>
      <c r="EN49" s="392">
        <f>'[1]COE commited funds to date'!AM52</f>
        <v>0</v>
      </c>
      <c r="EO49" s="392">
        <f>'[1]COE DISB 2019'!AM57</f>
        <v>0</v>
      </c>
      <c r="EP49" s="392">
        <f t="shared" si="35"/>
        <v>0</v>
      </c>
      <c r="EQ49" s="394"/>
      <c r="ER49" s="392">
        <f>'[1]COE commited funds to date'!AN52</f>
        <v>150000000</v>
      </c>
      <c r="ES49" s="392">
        <f>'[1]COE DISB 2019'!AN57</f>
        <v>90750000</v>
      </c>
      <c r="ET49" s="392">
        <f t="shared" si="36"/>
        <v>59250000</v>
      </c>
      <c r="EV49" s="383">
        <f>'[1]COE commited funds to date'!AO52</f>
        <v>371067000</v>
      </c>
      <c r="EW49" s="383">
        <f>'[1]COE DISB 2019'!AO57</f>
        <v>233772210</v>
      </c>
      <c r="EX49" s="383">
        <f t="shared" si="38"/>
        <v>137294790</v>
      </c>
      <c r="EY49" s="380"/>
      <c r="EZ49" s="383">
        <f>'[1]COE commited funds to date'!AQ52</f>
        <v>12000000</v>
      </c>
      <c r="FA49" s="383">
        <f>'[1]COE DISB 2019'!AP57</f>
        <v>12000000</v>
      </c>
      <c r="FB49" s="383">
        <f t="shared" si="39"/>
        <v>0</v>
      </c>
      <c r="FC49" s="380"/>
      <c r="FD49" s="383">
        <f>'[1]COE commited funds to date'!AR52</f>
        <v>10000000</v>
      </c>
      <c r="FE49" s="383">
        <f>'[1]COE DISB 2019'!AQ57</f>
        <v>0</v>
      </c>
      <c r="FF49" s="383">
        <f t="shared" si="40"/>
        <v>10000000</v>
      </c>
      <c r="FG49" s="380"/>
      <c r="FH49" s="383">
        <f>'[1]COE commited funds to date'!AP52</f>
        <v>8000000</v>
      </c>
      <c r="FI49" s="383">
        <f>'[1]COE DISB 2019'!AR57</f>
        <v>0</v>
      </c>
      <c r="FJ49" s="383">
        <f t="shared" si="41"/>
        <v>8000000</v>
      </c>
      <c r="FK49" s="383">
        <f>'[1]COE commited funds to date'!AS52</f>
        <v>0</v>
      </c>
      <c r="FL49" s="383">
        <f>'[1]COE DISB 2019'!AS57</f>
        <v>0</v>
      </c>
      <c r="FM49" s="383">
        <f t="shared" si="42"/>
        <v>0</v>
      </c>
      <c r="FN49" s="380"/>
      <c r="FO49" s="383">
        <f>'[1]COE commited funds to date'!AT52</f>
        <v>0</v>
      </c>
      <c r="FP49" s="383">
        <f>'[1]COE DISB 2019'!AT57</f>
        <v>0</v>
      </c>
      <c r="FQ49" s="383">
        <f t="shared" si="43"/>
        <v>0</v>
      </c>
      <c r="FR49" s="380"/>
      <c r="FS49" s="383">
        <f>'[1]COE commited funds to date'!AU52</f>
        <v>75000000</v>
      </c>
      <c r="FT49" s="383">
        <f>'[1]COE DISB 2019'!AU57</f>
        <v>0</v>
      </c>
      <c r="FU49" s="383">
        <f t="shared" si="44"/>
        <v>75000000</v>
      </c>
      <c r="FV49" s="380"/>
      <c r="FW49" s="383">
        <f>'[1]COE commited funds to date'!AV52</f>
        <v>0</v>
      </c>
      <c r="FX49" s="383">
        <f>'[1]COE DISB 2019'!AV57</f>
        <v>0</v>
      </c>
      <c r="FY49" s="383">
        <f t="shared" si="45"/>
        <v>0</v>
      </c>
      <c r="FZ49" s="380"/>
      <c r="GA49" s="383">
        <f>'[1]COE commited funds to date'!AW52</f>
        <v>0</v>
      </c>
      <c r="GB49" s="383">
        <f>'[1]COE DISB 2019'!AW57</f>
        <v>0</v>
      </c>
      <c r="GC49" s="383">
        <f t="shared" si="46"/>
        <v>0</v>
      </c>
      <c r="GD49" s="380"/>
      <c r="GE49" s="383">
        <f>'[1]COE commited funds to date'!AX52</f>
        <v>0</v>
      </c>
      <c r="GF49" s="383">
        <f>'[1]COE DISB 2019'!AX57</f>
        <v>8066400</v>
      </c>
      <c r="GG49" s="383">
        <f t="shared" si="47"/>
        <v>-8066400</v>
      </c>
      <c r="GH49" s="380"/>
      <c r="GI49" s="383">
        <f>'[1]COE commited funds to date'!AY52</f>
        <v>230000000</v>
      </c>
      <c r="GJ49" s="383">
        <f>'[1]COE DISB 2019'!AY57</f>
        <v>0</v>
      </c>
      <c r="GK49" s="383">
        <f t="shared" si="48"/>
        <v>230000000</v>
      </c>
      <c r="GL49" s="380"/>
      <c r="GM49" s="383">
        <f>'[1]COE commited funds to date'!AZ52</f>
        <v>116776600</v>
      </c>
      <c r="GN49" s="383">
        <f>'[1]COE DISB 2019'!AZ57</f>
        <v>0</v>
      </c>
      <c r="GO49" s="383">
        <f t="shared" si="49"/>
        <v>116776600</v>
      </c>
      <c r="GP49" s="380"/>
      <c r="GQ49" s="383">
        <f>'[1]COE commited funds to date'!BA52</f>
        <v>12000000</v>
      </c>
      <c r="GR49" s="383">
        <f>'[1]COE DISB 2019'!BA57</f>
        <v>0</v>
      </c>
      <c r="GS49" s="383">
        <f t="shared" si="50"/>
        <v>12000000</v>
      </c>
      <c r="GT49" s="380"/>
      <c r="GU49" s="383">
        <f>'[1]COE commited funds to date'!BB52</f>
        <v>5000000</v>
      </c>
      <c r="GV49" s="383">
        <f>'[1]COE DISB 2019'!BB57</f>
        <v>0</v>
      </c>
      <c r="GW49" s="383">
        <f t="shared" si="51"/>
        <v>5000000</v>
      </c>
      <c r="GX49" s="380"/>
      <c r="GY49" s="383">
        <f>'[1]COE commited funds to date'!BC52</f>
        <v>10308300</v>
      </c>
      <c r="GZ49" s="383">
        <f>'[1]COE DISB 2019'!BC57</f>
        <v>0</v>
      </c>
      <c r="HA49" s="383">
        <f t="shared" si="52"/>
        <v>10308300</v>
      </c>
      <c r="HB49" s="380"/>
      <c r="HC49" s="383">
        <f t="shared" si="53"/>
        <v>2380115969.5</v>
      </c>
      <c r="HD49" s="383">
        <f t="shared" si="53"/>
        <v>1644302679.5</v>
      </c>
      <c r="HE49" s="392">
        <f t="shared" si="54"/>
        <v>735813290</v>
      </c>
      <c r="HG49" s="383">
        <f t="shared" si="55"/>
        <v>1467615069.5</v>
      </c>
      <c r="HH49" s="383">
        <f t="shared" si="55"/>
        <v>1020070279.5</v>
      </c>
      <c r="HI49" s="383">
        <f t="shared" si="56"/>
        <v>447544790</v>
      </c>
      <c r="HK49" s="383">
        <f t="shared" si="57"/>
        <v>635000000</v>
      </c>
      <c r="HL49" s="383">
        <f t="shared" si="57"/>
        <v>575750000</v>
      </c>
      <c r="HM49" s="383">
        <f t="shared" si="58"/>
        <v>59250000</v>
      </c>
      <c r="HO49" s="383">
        <f t="shared" si="71"/>
        <v>4166000</v>
      </c>
      <c r="HP49" s="383">
        <f t="shared" si="71"/>
        <v>4166000</v>
      </c>
      <c r="HQ49" s="383">
        <f t="shared" si="59"/>
        <v>0</v>
      </c>
      <c r="HS49" s="383">
        <f t="shared" si="60"/>
        <v>42308300</v>
      </c>
      <c r="HT49" s="383">
        <f t="shared" si="60"/>
        <v>40066400</v>
      </c>
      <c r="HU49" s="383">
        <f t="shared" si="61"/>
        <v>2241900</v>
      </c>
      <c r="HW49" s="383">
        <f t="shared" si="62"/>
        <v>20000000</v>
      </c>
      <c r="HX49" s="383">
        <f t="shared" si="62"/>
        <v>0</v>
      </c>
      <c r="HY49" s="383">
        <f t="shared" si="63"/>
        <v>20000000</v>
      </c>
      <c r="IA49" s="387">
        <f t="shared" si="64"/>
        <v>15000000</v>
      </c>
      <c r="IB49" s="387">
        <f t="shared" si="64"/>
        <v>0</v>
      </c>
      <c r="IC49" s="387">
        <f t="shared" si="65"/>
        <v>15000000</v>
      </c>
      <c r="IE49" s="383">
        <f t="shared" si="66"/>
        <v>191776600</v>
      </c>
      <c r="IF49" s="383">
        <f t="shared" si="66"/>
        <v>0</v>
      </c>
      <c r="IG49" s="383">
        <f t="shared" si="67"/>
        <v>191776600</v>
      </c>
      <c r="II49" s="383">
        <f t="shared" si="68"/>
        <v>0</v>
      </c>
      <c r="IJ49" s="383">
        <f t="shared" si="68"/>
        <v>0</v>
      </c>
      <c r="IK49" s="383">
        <f t="shared" si="69"/>
        <v>0</v>
      </c>
    </row>
    <row r="50" spans="1:245" x14ac:dyDescent="0.25">
      <c r="A50" s="380">
        <v>47</v>
      </c>
      <c r="B50" s="380" t="s">
        <v>366</v>
      </c>
      <c r="C50" s="433"/>
      <c r="D50" s="392">
        <v>18318965.5</v>
      </c>
      <c r="E50" s="392">
        <f>'[1]COE DISB 2019'!D58</f>
        <v>18318965.5</v>
      </c>
      <c r="F50" s="383">
        <f t="shared" si="0"/>
        <v>0</v>
      </c>
      <c r="H50" s="392">
        <v>8000000</v>
      </c>
      <c r="I50" s="392">
        <f>'[1]COE DISB 2019'!E58</f>
        <v>8000000</v>
      </c>
      <c r="J50" s="383">
        <f t="shared" si="1"/>
        <v>0</v>
      </c>
      <c r="L50" s="392">
        <v>500000</v>
      </c>
      <c r="M50" s="392">
        <f>'[1]COE DISB 2019'!F58</f>
        <v>500000</v>
      </c>
      <c r="N50" s="383">
        <f t="shared" si="2"/>
        <v>0</v>
      </c>
      <c r="P50" s="353">
        <v>16000000</v>
      </c>
      <c r="Q50" s="392">
        <f>'[1]COE DISB 2019'!G58</f>
        <v>16000000</v>
      </c>
      <c r="R50" s="383">
        <f t="shared" si="3"/>
        <v>0</v>
      </c>
      <c r="T50" s="385">
        <v>410000</v>
      </c>
      <c r="U50" s="392">
        <f>'[1]COE DISB 2019'!H58</f>
        <v>410000</v>
      </c>
      <c r="V50" s="383">
        <f t="shared" si="4"/>
        <v>0</v>
      </c>
      <c r="X50" s="353">
        <v>0</v>
      </c>
      <c r="Y50" s="392">
        <f>'[1]COE DISB 2019'!I58</f>
        <v>0</v>
      </c>
      <c r="Z50" s="383">
        <f t="shared" si="5"/>
        <v>0</v>
      </c>
      <c r="AB50" s="385">
        <v>20000000</v>
      </c>
      <c r="AC50" s="392">
        <f>'[1]COE DISB 2019'!J58</f>
        <v>20000000</v>
      </c>
      <c r="AD50" s="383">
        <f t="shared" si="6"/>
        <v>0</v>
      </c>
      <c r="AF50" s="353">
        <v>0</v>
      </c>
      <c r="AG50" s="392">
        <f>'[1]COE DISB 2019'!K58</f>
        <v>0</v>
      </c>
      <c r="AH50" s="383">
        <f t="shared" si="7"/>
        <v>0</v>
      </c>
      <c r="AJ50" s="385">
        <v>10000000</v>
      </c>
      <c r="AK50" s="392">
        <f>'[1]COE DISB 2019'!L58</f>
        <v>10000000</v>
      </c>
      <c r="AL50" s="383">
        <f t="shared" si="8"/>
        <v>0</v>
      </c>
      <c r="AN50" s="392">
        <v>10000000</v>
      </c>
      <c r="AO50" s="392">
        <f>'[1]COE DISB 2019'!M58</f>
        <v>10000000</v>
      </c>
      <c r="AP50" s="383">
        <f t="shared" si="9"/>
        <v>0</v>
      </c>
      <c r="AR50" s="392">
        <v>15000000</v>
      </c>
      <c r="AS50" s="392">
        <f>'[1]COE DISB 2019'!N58</f>
        <v>15000000</v>
      </c>
      <c r="AT50" s="383">
        <f t="shared" si="10"/>
        <v>0</v>
      </c>
      <c r="AV50" s="392">
        <v>0</v>
      </c>
      <c r="AW50" s="432">
        <f>'[1]COE DISB 2019'!O58</f>
        <v>0</v>
      </c>
      <c r="AX50" s="392">
        <f t="shared" si="11"/>
        <v>0</v>
      </c>
      <c r="AZ50" s="392">
        <v>18000000</v>
      </c>
      <c r="BA50" s="392">
        <f>'[1]COE DISB 2019'!P58</f>
        <v>18000000</v>
      </c>
      <c r="BB50" s="392">
        <f t="shared" si="12"/>
        <v>0</v>
      </c>
      <c r="BD50" s="392">
        <v>23400000</v>
      </c>
      <c r="BE50" s="392">
        <f>'[1]COE DISB 2019'!Q58</f>
        <v>23400000</v>
      </c>
      <c r="BF50" s="392">
        <f t="shared" si="13"/>
        <v>0</v>
      </c>
      <c r="BH50" s="392">
        <v>0</v>
      </c>
      <c r="BI50" s="392">
        <f>'[1]COE DISB 2019'!R58</f>
        <v>0</v>
      </c>
      <c r="BJ50" s="392">
        <f t="shared" si="14"/>
        <v>0</v>
      </c>
      <c r="BL50" s="392">
        <v>43000000</v>
      </c>
      <c r="BM50" s="392">
        <f>'[1]COE DISB 2019'!S58</f>
        <v>43000000</v>
      </c>
      <c r="BN50" s="392">
        <f t="shared" si="15"/>
        <v>0</v>
      </c>
      <c r="BP50" s="392">
        <v>37160000</v>
      </c>
      <c r="BQ50" s="392">
        <f>'[1]COE DISB 2019'!T58</f>
        <v>37160000</v>
      </c>
      <c r="BR50" s="392">
        <f t="shared" si="16"/>
        <v>0</v>
      </c>
      <c r="BT50" s="392">
        <v>0</v>
      </c>
      <c r="BU50" s="392">
        <f>'[1]COE DISB 2019'!U58</f>
        <v>0</v>
      </c>
      <c r="BV50" s="392">
        <f t="shared" si="17"/>
        <v>0</v>
      </c>
      <c r="BX50" s="392">
        <v>0</v>
      </c>
      <c r="BY50" s="392">
        <f>'[1]COE DISB 2019'!V58</f>
        <v>0</v>
      </c>
      <c r="BZ50" s="392">
        <f t="shared" si="18"/>
        <v>0</v>
      </c>
      <c r="CB50" s="392">
        <f>'[1]COE commited funds to date'!W53</f>
        <v>0</v>
      </c>
      <c r="CC50" s="392">
        <f>'[1]COE DISB 2019'!W58</f>
        <v>0</v>
      </c>
      <c r="CD50" s="392">
        <f t="shared" si="19"/>
        <v>0</v>
      </c>
      <c r="CF50" s="392">
        <f>'[1]COE commited funds to date'!X53</f>
        <v>125000000</v>
      </c>
      <c r="CG50" s="392">
        <f>'[1]COE DISB 2019'!X58</f>
        <v>125000000</v>
      </c>
      <c r="CH50" s="392">
        <f t="shared" si="20"/>
        <v>0</v>
      </c>
      <c r="CJ50" s="392">
        <v>10000000</v>
      </c>
      <c r="CK50" s="392">
        <f>'[1]COE DISB 2019'!Y58</f>
        <v>10000000</v>
      </c>
      <c r="CL50" s="392">
        <f t="shared" si="21"/>
        <v>0</v>
      </c>
      <c r="CN50" s="392">
        <v>0</v>
      </c>
      <c r="CO50" s="392">
        <f>'[1]COE DISB 2019'!Z58</f>
        <v>0</v>
      </c>
      <c r="CP50" s="392">
        <f t="shared" si="22"/>
        <v>0</v>
      </c>
      <c r="CR50" s="392"/>
      <c r="CS50" s="392">
        <f>'[1]COE DISB 2019'!AA58</f>
        <v>0</v>
      </c>
      <c r="CT50" s="392">
        <f t="shared" si="23"/>
        <v>0</v>
      </c>
      <c r="CV50" s="392">
        <v>0</v>
      </c>
      <c r="CW50" s="392">
        <f>'[1]COE DISB 2019'!AB58</f>
        <v>0</v>
      </c>
      <c r="CX50" s="392">
        <f t="shared" si="24"/>
        <v>0</v>
      </c>
      <c r="CZ50" s="392">
        <f>'[1]COE commited funds to date'!AC53</f>
        <v>151000000</v>
      </c>
      <c r="DA50" s="392">
        <f>'[1]COE DISB 2019'!AC58</f>
        <v>151000000</v>
      </c>
      <c r="DB50" s="392">
        <f t="shared" si="25"/>
        <v>0</v>
      </c>
      <c r="DC50" s="394"/>
      <c r="DD50" s="392">
        <v>215000000</v>
      </c>
      <c r="DE50" s="392">
        <f>'[1]COE DISB 2019'!AD58</f>
        <v>215000000</v>
      </c>
      <c r="DF50" s="392">
        <f t="shared" si="26"/>
        <v>0</v>
      </c>
      <c r="DG50" s="394"/>
      <c r="DH50" s="392">
        <v>10000000</v>
      </c>
      <c r="DI50" s="392">
        <f>'[1]COE DISB 2019'!AE58</f>
        <v>10000000</v>
      </c>
      <c r="DJ50" s="392">
        <f>DH50-DI50</f>
        <v>0</v>
      </c>
      <c r="DK50" s="394"/>
      <c r="DL50" s="392">
        <f>'[1]COE commited funds to date'!AD53</f>
        <v>341600000</v>
      </c>
      <c r="DM50" s="392">
        <f>'[1]COE DISB 2019'!AF58</f>
        <v>341600000</v>
      </c>
      <c r="DN50" s="392">
        <f t="shared" si="28"/>
        <v>0</v>
      </c>
      <c r="DO50" s="394"/>
      <c r="DP50" s="392">
        <v>0</v>
      </c>
      <c r="DQ50" s="392">
        <f>'[1]COE DISB 2019'!AG58</f>
        <v>0</v>
      </c>
      <c r="DR50" s="392">
        <f t="shared" si="29"/>
        <v>0</v>
      </c>
      <c r="DS50" s="394"/>
      <c r="DT50" s="397">
        <v>0</v>
      </c>
      <c r="DU50" s="392">
        <f>'[1]COE DISB 2019'!AH58</f>
        <v>0</v>
      </c>
      <c r="DV50" s="392">
        <f t="shared" si="30"/>
        <v>0</v>
      </c>
      <c r="DW50" s="394"/>
      <c r="DX50" s="392">
        <f>'[1]COE commited funds to date'!AI53</f>
        <v>70000000</v>
      </c>
      <c r="DY50" s="392">
        <f>'[1]COE DISB 2019'!AI58</f>
        <v>70000000</v>
      </c>
      <c r="DZ50" s="392">
        <f t="shared" si="31"/>
        <v>0</v>
      </c>
      <c r="EA50" s="394"/>
      <c r="EB50" s="392">
        <f>'[1]COE commited funds to date'!AJ53</f>
        <v>72000000</v>
      </c>
      <c r="EC50" s="392">
        <f>'[1]COE DISB 2019'!AJ58</f>
        <v>0</v>
      </c>
      <c r="ED50" s="392">
        <f t="shared" si="32"/>
        <v>72000000</v>
      </c>
      <c r="EE50" s="394"/>
      <c r="EF50" s="392">
        <f>'[1]COE commited funds to date'!AK53</f>
        <v>8000000</v>
      </c>
      <c r="EG50" s="392">
        <f>'[1]COE DISB 2019'!AK58</f>
        <v>0</v>
      </c>
      <c r="EH50" s="392">
        <f t="shared" si="33"/>
        <v>8000000</v>
      </c>
      <c r="EI50" s="394"/>
      <c r="EJ50" s="392">
        <f>'[1]COE commited funds to date'!AL53</f>
        <v>2000000</v>
      </c>
      <c r="EK50" s="392">
        <f>'[1]COE DISB 2019'!AL58</f>
        <v>1700000</v>
      </c>
      <c r="EL50" s="392">
        <f t="shared" si="34"/>
        <v>300000</v>
      </c>
      <c r="EM50" s="394"/>
      <c r="EN50" s="392">
        <f>'[1]COE commited funds to date'!AM53</f>
        <v>7000000</v>
      </c>
      <c r="EO50" s="392">
        <f>'[1]COE DISB 2019'!AM58</f>
        <v>7000000</v>
      </c>
      <c r="EP50" s="392">
        <f t="shared" si="35"/>
        <v>0</v>
      </c>
      <c r="EQ50" s="394"/>
      <c r="ER50" s="392">
        <f>'[1]COE commited funds to date'!AN53</f>
        <v>4950000000</v>
      </c>
      <c r="ES50" s="392">
        <f>'[1]COE DISB 2019'!AN58</f>
        <v>3905000000</v>
      </c>
      <c r="ET50" s="392">
        <f t="shared" si="36"/>
        <v>1045000000</v>
      </c>
      <c r="EV50" s="383">
        <f>'[1]COE commited funds to date'!AO53</f>
        <v>0</v>
      </c>
      <c r="EW50" s="383">
        <f>'[1]COE DISB 2019'!AO58</f>
        <v>0</v>
      </c>
      <c r="EX50" s="383">
        <f t="shared" si="38"/>
        <v>0</v>
      </c>
      <c r="EY50" s="380"/>
      <c r="EZ50" s="383">
        <f>'[1]COE commited funds to date'!AQ53</f>
        <v>0</v>
      </c>
      <c r="FA50" s="383">
        <f>'[1]COE DISB 2019'!AP58</f>
        <v>0</v>
      </c>
      <c r="FB50" s="383">
        <f t="shared" si="39"/>
        <v>0</v>
      </c>
      <c r="FC50" s="380"/>
      <c r="FD50" s="383">
        <f>'[1]COE commited funds to date'!AR53</f>
        <v>0</v>
      </c>
      <c r="FE50" s="383">
        <f>'[1]COE DISB 2019'!AQ58</f>
        <v>0</v>
      </c>
      <c r="FF50" s="383">
        <f t="shared" si="40"/>
        <v>0</v>
      </c>
      <c r="FG50" s="380"/>
      <c r="FH50" s="383">
        <f>'[1]COE commited funds to date'!AP53</f>
        <v>0</v>
      </c>
      <c r="FI50" s="383">
        <f>'[1]COE DISB 2019'!AR58</f>
        <v>0</v>
      </c>
      <c r="FJ50" s="383">
        <f t="shared" si="41"/>
        <v>0</v>
      </c>
      <c r="FK50" s="383">
        <f>'[1]COE commited funds to date'!AS53</f>
        <v>0</v>
      </c>
      <c r="FL50" s="383">
        <f>'[1]COE DISB 2019'!AS58</f>
        <v>0</v>
      </c>
      <c r="FM50" s="383">
        <f t="shared" si="42"/>
        <v>0</v>
      </c>
      <c r="FN50" s="380"/>
      <c r="FO50" s="383">
        <f>'[1]COE commited funds to date'!AT53</f>
        <v>200000000</v>
      </c>
      <c r="FP50" s="383">
        <f>'[1]COE DISB 2019'!AT58</f>
        <v>0</v>
      </c>
      <c r="FQ50" s="383">
        <f t="shared" si="43"/>
        <v>200000000</v>
      </c>
      <c r="FR50" s="380"/>
      <c r="FS50" s="383">
        <f>'[1]COE commited funds to date'!AU53</f>
        <v>75000000</v>
      </c>
      <c r="FT50" s="383">
        <f>'[1]COE DISB 2019'!AU58</f>
        <v>63750000</v>
      </c>
      <c r="FU50" s="383">
        <f t="shared" si="44"/>
        <v>11250000</v>
      </c>
      <c r="FV50" s="380"/>
      <c r="FW50" s="383">
        <f>'[1]COE commited funds to date'!AV53</f>
        <v>8700000</v>
      </c>
      <c r="FX50" s="383">
        <f>'[1]COE DISB 2019'!AV58</f>
        <v>0</v>
      </c>
      <c r="FY50" s="383">
        <f t="shared" si="45"/>
        <v>8700000</v>
      </c>
      <c r="FZ50" s="380"/>
      <c r="GA50" s="383">
        <f>'[1]COE commited funds to date'!AW53</f>
        <v>5000000</v>
      </c>
      <c r="GB50" s="383">
        <f>'[1]COE DISB 2019'!AW58</f>
        <v>0</v>
      </c>
      <c r="GC50" s="383">
        <f t="shared" si="46"/>
        <v>5000000</v>
      </c>
      <c r="GD50" s="380"/>
      <c r="GE50" s="383">
        <f>'[1]COE commited funds to date'!AX53</f>
        <v>20000000</v>
      </c>
      <c r="GF50" s="383">
        <f>'[1]COE DISB 2019'!AX58</f>
        <v>5227050</v>
      </c>
      <c r="GG50" s="383">
        <f t="shared" si="47"/>
        <v>14772950</v>
      </c>
      <c r="GH50" s="380"/>
      <c r="GI50" s="383">
        <f>'[1]COE commited funds to date'!AY53</f>
        <v>0</v>
      </c>
      <c r="GJ50" s="383">
        <f>'[1]COE DISB 2019'!AY58</f>
        <v>0</v>
      </c>
      <c r="GK50" s="383">
        <f t="shared" si="48"/>
        <v>0</v>
      </c>
      <c r="GL50" s="380"/>
      <c r="GM50" s="383">
        <f>'[1]COE commited funds to date'!AZ53</f>
        <v>116776600</v>
      </c>
      <c r="GN50" s="383">
        <f>'[1]COE DISB 2019'!AZ58</f>
        <v>0</v>
      </c>
      <c r="GO50" s="383">
        <f t="shared" si="49"/>
        <v>116776600</v>
      </c>
      <c r="GP50" s="380"/>
      <c r="GQ50" s="383">
        <f>'[1]COE commited funds to date'!BA53</f>
        <v>0</v>
      </c>
      <c r="GR50" s="383">
        <f>'[1]COE DISB 2019'!BA58</f>
        <v>0</v>
      </c>
      <c r="GS50" s="383">
        <f t="shared" si="50"/>
        <v>0</v>
      </c>
      <c r="GT50" s="380"/>
      <c r="GU50" s="383">
        <f>'[1]COE commited funds to date'!BB53</f>
        <v>0</v>
      </c>
      <c r="GV50" s="383">
        <f>'[1]COE DISB 2019'!BB58</f>
        <v>0</v>
      </c>
      <c r="GW50" s="383">
        <f t="shared" si="51"/>
        <v>0</v>
      </c>
      <c r="GX50" s="380"/>
      <c r="GY50" s="383">
        <f>'[1]COE commited funds to date'!BC53</f>
        <v>0</v>
      </c>
      <c r="GZ50" s="383">
        <f>'[1]COE DISB 2019'!BC58</f>
        <v>0</v>
      </c>
      <c r="HA50" s="383">
        <f t="shared" si="52"/>
        <v>0</v>
      </c>
      <c r="HB50" s="380"/>
      <c r="HC50" s="383">
        <f t="shared" si="53"/>
        <v>6606865565.5</v>
      </c>
      <c r="HD50" s="383">
        <f t="shared" si="53"/>
        <v>5125066015.5</v>
      </c>
      <c r="HE50" s="392">
        <f t="shared" si="54"/>
        <v>1481799550</v>
      </c>
      <c r="HG50" s="383">
        <f t="shared" si="55"/>
        <v>830878965.5</v>
      </c>
      <c r="HH50" s="383">
        <f t="shared" si="55"/>
        <v>558878965.5</v>
      </c>
      <c r="HI50" s="383">
        <f t="shared" si="56"/>
        <v>272000000</v>
      </c>
      <c r="HK50" s="383">
        <f t="shared" si="57"/>
        <v>5512600000</v>
      </c>
      <c r="HL50" s="383">
        <f t="shared" si="57"/>
        <v>4467600000</v>
      </c>
      <c r="HM50" s="383">
        <f t="shared" si="58"/>
        <v>1045000000</v>
      </c>
      <c r="HO50" s="383">
        <f t="shared" si="71"/>
        <v>910000</v>
      </c>
      <c r="HP50" s="383">
        <f t="shared" si="71"/>
        <v>910000</v>
      </c>
      <c r="HQ50" s="383">
        <f t="shared" si="59"/>
        <v>0</v>
      </c>
      <c r="HS50" s="383">
        <f t="shared" si="60"/>
        <v>47000000</v>
      </c>
      <c r="HT50" s="383">
        <f t="shared" si="60"/>
        <v>32227050</v>
      </c>
      <c r="HU50" s="383">
        <f t="shared" si="61"/>
        <v>14772950</v>
      </c>
      <c r="HW50" s="383">
        <f t="shared" si="62"/>
        <v>16700000</v>
      </c>
      <c r="HX50" s="383">
        <f t="shared" si="62"/>
        <v>0</v>
      </c>
      <c r="HY50" s="383">
        <f t="shared" si="63"/>
        <v>16700000</v>
      </c>
      <c r="IA50" s="387">
        <f t="shared" si="64"/>
        <v>5000000</v>
      </c>
      <c r="IB50" s="387">
        <f t="shared" si="64"/>
        <v>0</v>
      </c>
      <c r="IC50" s="387">
        <f t="shared" si="65"/>
        <v>5000000</v>
      </c>
      <c r="IE50" s="383">
        <f t="shared" si="66"/>
        <v>191776600</v>
      </c>
      <c r="IF50" s="383">
        <f t="shared" si="66"/>
        <v>63750000</v>
      </c>
      <c r="IG50" s="383">
        <f t="shared" si="67"/>
        <v>128026600</v>
      </c>
      <c r="II50" s="383">
        <f t="shared" si="68"/>
        <v>2000000</v>
      </c>
      <c r="IJ50" s="383">
        <f t="shared" si="68"/>
        <v>1700000</v>
      </c>
      <c r="IK50" s="383">
        <f t="shared" si="69"/>
        <v>300000</v>
      </c>
    </row>
    <row r="51" spans="1:245" x14ac:dyDescent="0.25">
      <c r="A51" s="380">
        <v>48</v>
      </c>
      <c r="B51" s="380" t="s">
        <v>367</v>
      </c>
      <c r="C51" s="431" t="s">
        <v>69</v>
      </c>
      <c r="D51" s="392">
        <v>18318965.5</v>
      </c>
      <c r="E51" s="392">
        <f>'[1]COE DISB 2019'!D59</f>
        <v>18318965.5</v>
      </c>
      <c r="F51" s="383">
        <f t="shared" si="0"/>
        <v>0</v>
      </c>
      <c r="H51" s="392">
        <v>8000000</v>
      </c>
      <c r="I51" s="392">
        <f>'[1]COE DISB 2019'!E59</f>
        <v>8000000</v>
      </c>
      <c r="J51" s="383">
        <f t="shared" si="1"/>
        <v>0</v>
      </c>
      <c r="L51" s="392">
        <v>500000</v>
      </c>
      <c r="M51" s="392">
        <f>'[1]COE DISB 2019'!F59</f>
        <v>500000</v>
      </c>
      <c r="N51" s="383">
        <f t="shared" si="2"/>
        <v>0</v>
      </c>
      <c r="P51" s="353">
        <v>16000000</v>
      </c>
      <c r="Q51" s="392">
        <f>'[1]COE DISB 2019'!G59</f>
        <v>16000000</v>
      </c>
      <c r="R51" s="383">
        <f t="shared" si="3"/>
        <v>0</v>
      </c>
      <c r="T51" s="353">
        <v>0</v>
      </c>
      <c r="U51" s="392">
        <f>'[1]COE DISB 2019'!H59</f>
        <v>0</v>
      </c>
      <c r="V51" s="383">
        <f t="shared" si="4"/>
        <v>0</v>
      </c>
      <c r="X51" s="353">
        <v>0</v>
      </c>
      <c r="Y51" s="392">
        <f>'[1]COE DISB 2019'!I59</f>
        <v>0</v>
      </c>
      <c r="Z51" s="383">
        <f t="shared" si="5"/>
        <v>0</v>
      </c>
      <c r="AB51" s="385">
        <v>20000000</v>
      </c>
      <c r="AC51" s="392">
        <f>'[1]COE DISB 2019'!J59</f>
        <v>20000000</v>
      </c>
      <c r="AD51" s="383">
        <f t="shared" si="6"/>
        <v>0</v>
      </c>
      <c r="AF51" s="353">
        <v>0</v>
      </c>
      <c r="AG51" s="392">
        <f>'[1]COE DISB 2019'!K59</f>
        <v>0</v>
      </c>
      <c r="AH51" s="383">
        <f t="shared" si="7"/>
        <v>0</v>
      </c>
      <c r="AJ51" s="385">
        <v>10000000</v>
      </c>
      <c r="AK51" s="392">
        <f>'[1]COE DISB 2019'!L59</f>
        <v>10000000</v>
      </c>
      <c r="AL51" s="383">
        <f t="shared" si="8"/>
        <v>0</v>
      </c>
      <c r="AN51" s="392">
        <v>10000000</v>
      </c>
      <c r="AO51" s="392">
        <f>'[1]COE DISB 2019'!M59</f>
        <v>10000000</v>
      </c>
      <c r="AP51" s="383">
        <f t="shared" si="9"/>
        <v>0</v>
      </c>
      <c r="AR51" s="392">
        <v>15000000</v>
      </c>
      <c r="AS51" s="392">
        <f>'[1]COE DISB 2019'!N59</f>
        <v>15000000</v>
      </c>
      <c r="AT51" s="383">
        <f t="shared" si="10"/>
        <v>0</v>
      </c>
      <c r="AV51" s="392">
        <v>0</v>
      </c>
      <c r="AW51" s="432">
        <f>'[1]COE DISB 2019'!O59</f>
        <v>0</v>
      </c>
      <c r="AX51" s="392">
        <f t="shared" si="11"/>
        <v>0</v>
      </c>
      <c r="AZ51" s="392">
        <v>18000000</v>
      </c>
      <c r="BA51" s="392">
        <f>'[1]COE DISB 2019'!P59</f>
        <v>18000000</v>
      </c>
      <c r="BB51" s="392">
        <f t="shared" si="12"/>
        <v>0</v>
      </c>
      <c r="BD51" s="392">
        <v>23400000</v>
      </c>
      <c r="BE51" s="392">
        <f>'[1]COE DISB 2019'!Q59</f>
        <v>23400000</v>
      </c>
      <c r="BF51" s="392">
        <f t="shared" si="13"/>
        <v>0</v>
      </c>
      <c r="BH51" s="392">
        <v>0</v>
      </c>
      <c r="BI51" s="392">
        <f>'[1]COE DISB 2019'!R59</f>
        <v>0</v>
      </c>
      <c r="BJ51" s="392">
        <f t="shared" si="14"/>
        <v>0</v>
      </c>
      <c r="BL51" s="392">
        <v>43000000</v>
      </c>
      <c r="BM51" s="392">
        <f>'[1]COE DISB 2019'!S59</f>
        <v>43000000</v>
      </c>
      <c r="BN51" s="392">
        <f t="shared" si="15"/>
        <v>0</v>
      </c>
      <c r="BP51" s="392">
        <v>37160000</v>
      </c>
      <c r="BQ51" s="392">
        <f>'[1]COE DISB 2019'!T59</f>
        <v>37160000</v>
      </c>
      <c r="BR51" s="392">
        <f t="shared" si="16"/>
        <v>0</v>
      </c>
      <c r="BT51" s="392">
        <v>0</v>
      </c>
      <c r="BU51" s="392">
        <f>'[1]COE DISB 2019'!U59</f>
        <v>0</v>
      </c>
      <c r="BV51" s="392">
        <f t="shared" si="17"/>
        <v>0</v>
      </c>
      <c r="BX51" s="392">
        <v>112670000</v>
      </c>
      <c r="BY51" s="392">
        <f>'[1]COE DISB 2019'!V59</f>
        <v>112670000</v>
      </c>
      <c r="BZ51" s="392">
        <f t="shared" si="18"/>
        <v>0</v>
      </c>
      <c r="CB51" s="392">
        <f>'[1]COE commited funds to date'!W54</f>
        <v>0</v>
      </c>
      <c r="CC51" s="392">
        <f>'[1]COE DISB 2019'!W59</f>
        <v>0</v>
      </c>
      <c r="CD51" s="392">
        <f t="shared" si="19"/>
        <v>0</v>
      </c>
      <c r="CF51" s="392">
        <f>'[1]COE commited funds to date'!X54</f>
        <v>125000000</v>
      </c>
      <c r="CG51" s="392">
        <f>'[1]COE DISB 2019'!X59</f>
        <v>125000000</v>
      </c>
      <c r="CH51" s="392">
        <f t="shared" si="20"/>
        <v>0</v>
      </c>
      <c r="CJ51" s="392">
        <v>10000000</v>
      </c>
      <c r="CK51" s="392">
        <f>'[1]COE DISB 2019'!Y59</f>
        <v>10000000</v>
      </c>
      <c r="CL51" s="392">
        <f t="shared" si="21"/>
        <v>0</v>
      </c>
      <c r="CN51" s="392">
        <v>0</v>
      </c>
      <c r="CO51" s="392">
        <f>'[1]COE DISB 2019'!Z59</f>
        <v>0</v>
      </c>
      <c r="CP51" s="392">
        <f t="shared" si="22"/>
        <v>0</v>
      </c>
      <c r="CR51" s="392">
        <v>210000000</v>
      </c>
      <c r="CS51" s="392">
        <f>'[1]COE DISB 2019'!AA59</f>
        <v>210000000</v>
      </c>
      <c r="CT51" s="392">
        <f t="shared" si="23"/>
        <v>0</v>
      </c>
      <c r="CV51" s="392">
        <v>10000000</v>
      </c>
      <c r="CW51" s="392">
        <f>'[1]COE DISB 2019'!AB59</f>
        <v>10000000</v>
      </c>
      <c r="CX51" s="392">
        <f t="shared" si="24"/>
        <v>0</v>
      </c>
      <c r="CZ51" s="392">
        <f>'[1]COE commited funds to date'!AC54</f>
        <v>242000000</v>
      </c>
      <c r="DA51" s="392">
        <f>'[1]COE DISB 2019'!AC59</f>
        <v>212000000</v>
      </c>
      <c r="DB51" s="392">
        <f t="shared" si="25"/>
        <v>30000000</v>
      </c>
      <c r="DC51" s="394"/>
      <c r="DD51" s="392">
        <v>215000000</v>
      </c>
      <c r="DE51" s="392">
        <f>'[1]COE DISB 2019'!AD59</f>
        <v>182750000</v>
      </c>
      <c r="DF51" s="392">
        <f t="shared" si="26"/>
        <v>32250000</v>
      </c>
      <c r="DG51" s="394"/>
      <c r="DH51" s="392">
        <v>10000000</v>
      </c>
      <c r="DI51" s="392">
        <f>'[1]COE DISB 2019'!AE59</f>
        <v>10000000</v>
      </c>
      <c r="DJ51" s="392">
        <f>DH51-DI51</f>
        <v>0</v>
      </c>
      <c r="DK51" s="394"/>
      <c r="DL51" s="392">
        <f>'[1]COE commited funds to date'!AD54</f>
        <v>0</v>
      </c>
      <c r="DM51" s="392">
        <f>'[1]COE DISB 2019'!AF59</f>
        <v>0</v>
      </c>
      <c r="DN51" s="392">
        <f t="shared" si="28"/>
        <v>0</v>
      </c>
      <c r="DO51" s="394"/>
      <c r="DP51" s="392">
        <v>325000000</v>
      </c>
      <c r="DQ51" s="392">
        <f>'[1]COE DISB 2019'!AG59</f>
        <v>276250000</v>
      </c>
      <c r="DR51" s="392">
        <f t="shared" si="29"/>
        <v>48750000</v>
      </c>
      <c r="DS51" s="394"/>
      <c r="DT51" s="397">
        <v>10000000</v>
      </c>
      <c r="DU51" s="392">
        <f>'[1]COE DISB 2019'!AH59</f>
        <v>10000000</v>
      </c>
      <c r="DV51" s="392">
        <f t="shared" si="30"/>
        <v>0</v>
      </c>
      <c r="DW51" s="394"/>
      <c r="DX51" s="392">
        <f>'[1]COE commited funds to date'!AI54</f>
        <v>0</v>
      </c>
      <c r="DY51" s="392">
        <f>'[1]COE DISB 2019'!AI59</f>
        <v>0</v>
      </c>
      <c r="DZ51" s="392">
        <f t="shared" si="31"/>
        <v>0</v>
      </c>
      <c r="EA51" s="394"/>
      <c r="EB51" s="392">
        <f>'[1]COE commited funds to date'!AJ54</f>
        <v>72000000</v>
      </c>
      <c r="EC51" s="392">
        <f>'[1]COE DISB 2019'!AJ59</f>
        <v>61200000</v>
      </c>
      <c r="ED51" s="392">
        <f t="shared" si="32"/>
        <v>10800000</v>
      </c>
      <c r="EE51" s="394"/>
      <c r="EF51" s="392">
        <f>'[1]COE commited funds to date'!AK54</f>
        <v>8000000</v>
      </c>
      <c r="EG51" s="392">
        <f>'[1]COE DISB 2019'!AK59</f>
        <v>0</v>
      </c>
      <c r="EH51" s="392">
        <f t="shared" si="33"/>
        <v>8000000</v>
      </c>
      <c r="EI51" s="394"/>
      <c r="EJ51" s="392">
        <f>'[1]COE commited funds to date'!AL54</f>
        <v>2000000</v>
      </c>
      <c r="EK51" s="392">
        <f>'[1]COE DISB 2019'!AL59</f>
        <v>0</v>
      </c>
      <c r="EL51" s="392">
        <f t="shared" si="34"/>
        <v>2000000</v>
      </c>
      <c r="EM51" s="394"/>
      <c r="EN51" s="392">
        <f>'[1]COE commited funds to date'!AM54</f>
        <v>7000000</v>
      </c>
      <c r="EO51" s="392">
        <f>'[1]COE DISB 2019'!AM59</f>
        <v>7000000</v>
      </c>
      <c r="EP51" s="392">
        <f t="shared" si="35"/>
        <v>0</v>
      </c>
      <c r="EQ51" s="394"/>
      <c r="ER51" s="392">
        <f>'[1]COE commited funds to date'!AN54</f>
        <v>0</v>
      </c>
      <c r="ES51" s="392">
        <f>'[1]COE DISB 2019'!AN59</f>
        <v>0</v>
      </c>
      <c r="ET51" s="392">
        <f t="shared" si="36"/>
        <v>0</v>
      </c>
      <c r="EV51" s="383">
        <f>'[1]COE commited funds to date'!AO54</f>
        <v>371067000</v>
      </c>
      <c r="EW51" s="383">
        <f>'[1]COE DISB 2019'!AO59</f>
        <v>0</v>
      </c>
      <c r="EX51" s="383">
        <f t="shared" si="38"/>
        <v>371067000</v>
      </c>
      <c r="EY51" s="380"/>
      <c r="EZ51" s="383">
        <f>'[1]COE commited funds to date'!AQ54</f>
        <v>12000000</v>
      </c>
      <c r="FA51" s="383">
        <f>'[1]COE DISB 2019'!AP59</f>
        <v>11640000</v>
      </c>
      <c r="FB51" s="383">
        <f t="shared" si="39"/>
        <v>360000</v>
      </c>
      <c r="FC51" s="380"/>
      <c r="FD51" s="383">
        <f>'[1]COE commited funds to date'!AR54</f>
        <v>10000000</v>
      </c>
      <c r="FE51" s="383">
        <f>'[1]COE DISB 2019'!AQ59</f>
        <v>0</v>
      </c>
      <c r="FF51" s="383">
        <f t="shared" si="40"/>
        <v>10000000</v>
      </c>
      <c r="FG51" s="380"/>
      <c r="FH51" s="383">
        <f>'[1]COE commited funds to date'!AP54</f>
        <v>8000000</v>
      </c>
      <c r="FI51" s="383">
        <f>'[1]COE DISB 2019'!AR59</f>
        <v>0</v>
      </c>
      <c r="FJ51" s="383">
        <f t="shared" si="41"/>
        <v>8000000</v>
      </c>
      <c r="FK51" s="383">
        <f>'[1]COE commited funds to date'!AS54</f>
        <v>0</v>
      </c>
      <c r="FL51" s="383">
        <f>'[1]COE DISB 2019'!AS59</f>
        <v>0</v>
      </c>
      <c r="FM51" s="383">
        <f t="shared" si="42"/>
        <v>0</v>
      </c>
      <c r="FN51" s="380"/>
      <c r="FO51" s="383">
        <f>'[1]COE commited funds to date'!AT54</f>
        <v>200000000</v>
      </c>
      <c r="FP51" s="383">
        <f>'[1]COE DISB 2019'!AT59</f>
        <v>0</v>
      </c>
      <c r="FQ51" s="383">
        <f t="shared" si="43"/>
        <v>200000000</v>
      </c>
      <c r="FR51" s="380"/>
      <c r="FS51" s="383">
        <f>'[1]COE commited funds to date'!AU54</f>
        <v>75000000</v>
      </c>
      <c r="FT51" s="383">
        <f>'[1]COE DISB 2019'!AU59</f>
        <v>0</v>
      </c>
      <c r="FU51" s="383">
        <f t="shared" si="44"/>
        <v>75000000</v>
      </c>
      <c r="FV51" s="380"/>
      <c r="FW51" s="383">
        <f>'[1]COE commited funds to date'!AV54</f>
        <v>8700000</v>
      </c>
      <c r="FX51" s="383">
        <f>'[1]COE DISB 2019'!AV59</f>
        <v>0</v>
      </c>
      <c r="FY51" s="383">
        <f t="shared" si="45"/>
        <v>8700000</v>
      </c>
      <c r="FZ51" s="380"/>
      <c r="GA51" s="383">
        <f>'[1]COE commited funds to date'!AW54</f>
        <v>5000000</v>
      </c>
      <c r="GB51" s="383">
        <f>'[1]COE DISB 2019'!AW59</f>
        <v>0</v>
      </c>
      <c r="GC51" s="383">
        <f t="shared" si="46"/>
        <v>5000000</v>
      </c>
      <c r="GD51" s="380"/>
      <c r="GE51" s="383">
        <f>'[1]COE commited funds to date'!AX54</f>
        <v>20000000</v>
      </c>
      <c r="GF51" s="383">
        <f>'[1]COE DISB 2019'!AX59</f>
        <v>17393000</v>
      </c>
      <c r="GG51" s="383">
        <f t="shared" si="47"/>
        <v>2607000</v>
      </c>
      <c r="GH51" s="380"/>
      <c r="GI51" s="383">
        <f>'[1]COE commited funds to date'!AY54</f>
        <v>230000000</v>
      </c>
      <c r="GJ51" s="383">
        <f>'[1]COE DISB 2019'!AY59</f>
        <v>0</v>
      </c>
      <c r="GK51" s="383">
        <f t="shared" si="48"/>
        <v>230000000</v>
      </c>
      <c r="GL51" s="380"/>
      <c r="GM51" s="383">
        <f>'[1]COE commited funds to date'!AZ54</f>
        <v>116776600</v>
      </c>
      <c r="GN51" s="383">
        <f>'[1]COE DISB 2019'!AZ59</f>
        <v>0</v>
      </c>
      <c r="GO51" s="383">
        <f t="shared" si="49"/>
        <v>116776600</v>
      </c>
      <c r="GP51" s="380"/>
      <c r="GQ51" s="383">
        <f>'[1]COE commited funds to date'!BA54</f>
        <v>12000000</v>
      </c>
      <c r="GR51" s="383">
        <f>'[1]COE DISB 2019'!BA59</f>
        <v>0</v>
      </c>
      <c r="GS51" s="383">
        <f t="shared" si="50"/>
        <v>12000000</v>
      </c>
      <c r="GT51" s="380"/>
      <c r="GU51" s="383">
        <f>'[1]COE commited funds to date'!BB54</f>
        <v>5000000</v>
      </c>
      <c r="GV51" s="383">
        <f>'[1]COE DISB 2019'!BB59</f>
        <v>0</v>
      </c>
      <c r="GW51" s="383">
        <f t="shared" si="51"/>
        <v>5000000</v>
      </c>
      <c r="GX51" s="380"/>
      <c r="GY51" s="383">
        <f>'[1]COE commited funds to date'!BC54</f>
        <v>10308300</v>
      </c>
      <c r="GZ51" s="383">
        <f>'[1]COE DISB 2019'!BC59</f>
        <v>0</v>
      </c>
      <c r="HA51" s="383">
        <f t="shared" si="52"/>
        <v>10308300</v>
      </c>
      <c r="HB51" s="380"/>
      <c r="HC51" s="383">
        <f t="shared" si="53"/>
        <v>2661900865.5</v>
      </c>
      <c r="HD51" s="383">
        <f t="shared" si="53"/>
        <v>1475281965.5</v>
      </c>
      <c r="HE51" s="392">
        <f t="shared" si="54"/>
        <v>1186618900</v>
      </c>
      <c r="HG51" s="383">
        <f t="shared" si="55"/>
        <v>2079615965.5</v>
      </c>
      <c r="HH51" s="383">
        <f t="shared" si="55"/>
        <v>1186748965.5</v>
      </c>
      <c r="HI51" s="383">
        <f t="shared" si="56"/>
        <v>892867000</v>
      </c>
      <c r="HK51" s="383">
        <f t="shared" si="57"/>
        <v>242000000</v>
      </c>
      <c r="HL51" s="383">
        <f t="shared" si="57"/>
        <v>212000000</v>
      </c>
      <c r="HM51" s="383">
        <f t="shared" si="58"/>
        <v>30000000</v>
      </c>
      <c r="HO51" s="383">
        <f t="shared" si="71"/>
        <v>500000</v>
      </c>
      <c r="HP51" s="383">
        <f t="shared" si="71"/>
        <v>500000</v>
      </c>
      <c r="HQ51" s="383">
        <f t="shared" si="59"/>
        <v>0</v>
      </c>
      <c r="HS51" s="383">
        <f t="shared" si="60"/>
        <v>89308300</v>
      </c>
      <c r="HT51" s="383">
        <f t="shared" si="60"/>
        <v>76033000</v>
      </c>
      <c r="HU51" s="383">
        <f t="shared" si="61"/>
        <v>13275300</v>
      </c>
      <c r="HW51" s="383">
        <f t="shared" si="62"/>
        <v>36700000</v>
      </c>
      <c r="HX51" s="383">
        <f t="shared" si="62"/>
        <v>0</v>
      </c>
      <c r="HY51" s="383">
        <f t="shared" si="63"/>
        <v>36700000</v>
      </c>
      <c r="IA51" s="387">
        <f t="shared" si="64"/>
        <v>20000000</v>
      </c>
      <c r="IB51" s="387">
        <f t="shared" si="64"/>
        <v>0</v>
      </c>
      <c r="IC51" s="387">
        <f t="shared" si="65"/>
        <v>20000000</v>
      </c>
      <c r="IE51" s="383">
        <f t="shared" si="66"/>
        <v>191776600</v>
      </c>
      <c r="IF51" s="383">
        <f t="shared" si="66"/>
        <v>0</v>
      </c>
      <c r="IG51" s="383">
        <f t="shared" si="67"/>
        <v>191776600</v>
      </c>
      <c r="II51" s="383">
        <f t="shared" si="68"/>
        <v>2000000</v>
      </c>
      <c r="IJ51" s="383">
        <f t="shared" si="68"/>
        <v>0</v>
      </c>
      <c r="IK51" s="383">
        <f t="shared" si="69"/>
        <v>2000000</v>
      </c>
    </row>
    <row r="52" spans="1:245" x14ac:dyDescent="0.25">
      <c r="A52" s="380">
        <v>49</v>
      </c>
      <c r="B52" s="380" t="s">
        <v>368</v>
      </c>
      <c r="C52" s="431" t="s">
        <v>69</v>
      </c>
      <c r="D52" s="392">
        <v>18318965.5</v>
      </c>
      <c r="E52" s="392">
        <f>'[1]COE DISB 2019'!D60</f>
        <v>18318965.5</v>
      </c>
      <c r="F52" s="383">
        <f t="shared" si="0"/>
        <v>0</v>
      </c>
      <c r="H52" s="392">
        <v>8000000</v>
      </c>
      <c r="I52" s="392">
        <f>'[1]COE DISB 2019'!E60</f>
        <v>8000000</v>
      </c>
      <c r="J52" s="383">
        <f t="shared" si="1"/>
        <v>0</v>
      </c>
      <c r="L52" s="392">
        <v>500000</v>
      </c>
      <c r="M52" s="392">
        <f>'[1]COE DISB 2019'!F60</f>
        <v>500000</v>
      </c>
      <c r="N52" s="383">
        <f t="shared" si="2"/>
        <v>0</v>
      </c>
      <c r="P52" s="353">
        <v>14322000</v>
      </c>
      <c r="Q52" s="392">
        <f>'[1]COE DISB 2019'!G60</f>
        <v>14322000</v>
      </c>
      <c r="R52" s="383">
        <f t="shared" si="3"/>
        <v>0</v>
      </c>
      <c r="T52" s="353">
        <v>0</v>
      </c>
      <c r="U52" s="392">
        <f>'[1]COE DISB 2019'!H60</f>
        <v>0</v>
      </c>
      <c r="V52" s="383">
        <f t="shared" si="4"/>
        <v>0</v>
      </c>
      <c r="X52" s="353">
        <v>0</v>
      </c>
      <c r="Y52" s="392">
        <f>'[1]COE DISB 2019'!I60</f>
        <v>0</v>
      </c>
      <c r="Z52" s="383">
        <f t="shared" si="5"/>
        <v>0</v>
      </c>
      <c r="AB52" s="385">
        <v>20000000</v>
      </c>
      <c r="AC52" s="392">
        <f>'[1]COE DISB 2019'!J60</f>
        <v>20000000</v>
      </c>
      <c r="AD52" s="383">
        <f t="shared" si="6"/>
        <v>0</v>
      </c>
      <c r="AF52" s="353">
        <v>0</v>
      </c>
      <c r="AG52" s="392">
        <f>'[1]COE DISB 2019'!K60</f>
        <v>0</v>
      </c>
      <c r="AH52" s="383">
        <f t="shared" si="7"/>
        <v>0</v>
      </c>
      <c r="AJ52" s="385">
        <v>8500000</v>
      </c>
      <c r="AK52" s="392">
        <f>'[1]COE DISB 2019'!L60</f>
        <v>8500000</v>
      </c>
      <c r="AL52" s="383">
        <f t="shared" si="8"/>
        <v>0</v>
      </c>
      <c r="AN52" s="392">
        <v>10000000</v>
      </c>
      <c r="AO52" s="392">
        <f>'[1]COE DISB 2019'!M60</f>
        <v>10000000</v>
      </c>
      <c r="AP52" s="383">
        <f t="shared" si="9"/>
        <v>0</v>
      </c>
      <c r="AR52" s="392">
        <v>15000000</v>
      </c>
      <c r="AS52" s="392">
        <f>'[1]COE DISB 2019'!N60</f>
        <v>15000000</v>
      </c>
      <c r="AT52" s="383">
        <f t="shared" si="10"/>
        <v>0</v>
      </c>
      <c r="AV52" s="392">
        <v>4250000</v>
      </c>
      <c r="AW52" s="393">
        <f>'[1]COE DISB 2019'!O60</f>
        <v>4250000</v>
      </c>
      <c r="AX52" s="392">
        <f t="shared" si="11"/>
        <v>0</v>
      </c>
      <c r="AZ52" s="392">
        <v>18000000</v>
      </c>
      <c r="BA52" s="392">
        <f>'[1]COE DISB 2019'!P60</f>
        <v>18000000</v>
      </c>
      <c r="BB52" s="392">
        <f t="shared" si="12"/>
        <v>0</v>
      </c>
      <c r="BD52" s="392">
        <v>23400000</v>
      </c>
      <c r="BE52" s="392">
        <f>'[1]COE DISB 2019'!Q60</f>
        <v>23400000</v>
      </c>
      <c r="BF52" s="392">
        <f t="shared" si="13"/>
        <v>0</v>
      </c>
      <c r="BH52" s="392">
        <v>0</v>
      </c>
      <c r="BI52" s="392">
        <f>'[1]COE DISB 2019'!R60</f>
        <v>0</v>
      </c>
      <c r="BJ52" s="392">
        <f t="shared" si="14"/>
        <v>0</v>
      </c>
      <c r="BL52" s="392">
        <v>43000000</v>
      </c>
      <c r="BM52" s="392">
        <f>'[1]COE DISB 2019'!S60</f>
        <v>43000000</v>
      </c>
      <c r="BN52" s="392">
        <f t="shared" si="15"/>
        <v>0</v>
      </c>
      <c r="BP52" s="392">
        <v>37160000</v>
      </c>
      <c r="BQ52" s="392">
        <f>'[1]COE DISB 2019'!T60</f>
        <v>37160000</v>
      </c>
      <c r="BR52" s="392">
        <f t="shared" si="16"/>
        <v>0</v>
      </c>
      <c r="BT52" s="392">
        <v>0</v>
      </c>
      <c r="BU52" s="392">
        <f>'[1]COE DISB 2019'!U60</f>
        <v>0</v>
      </c>
      <c r="BV52" s="392">
        <f t="shared" si="17"/>
        <v>0</v>
      </c>
      <c r="BX52" s="392">
        <v>112670000</v>
      </c>
      <c r="BY52" s="392">
        <f>'[1]COE DISB 2019'!V60</f>
        <v>112670000</v>
      </c>
      <c r="BZ52" s="392">
        <f t="shared" si="18"/>
        <v>0</v>
      </c>
      <c r="CB52" s="392">
        <f>'[1]COE commited funds to date'!W55</f>
        <v>0</v>
      </c>
      <c r="CC52" s="392">
        <f>'[1]COE DISB 2019'!W60</f>
        <v>0</v>
      </c>
      <c r="CD52" s="392">
        <f t="shared" si="19"/>
        <v>0</v>
      </c>
      <c r="CF52" s="392">
        <f>'[1]COE commited funds to date'!X55</f>
        <v>125000000</v>
      </c>
      <c r="CG52" s="392">
        <f>'[1]COE DISB 2019'!X60</f>
        <v>125000000</v>
      </c>
      <c r="CH52" s="392">
        <f t="shared" si="20"/>
        <v>0</v>
      </c>
      <c r="CJ52" s="392">
        <v>10000000</v>
      </c>
      <c r="CK52" s="392">
        <f>'[1]COE DISB 2019'!Y60</f>
        <v>10000000</v>
      </c>
      <c r="CL52" s="392">
        <f t="shared" si="21"/>
        <v>0</v>
      </c>
      <c r="CN52" s="392">
        <v>0</v>
      </c>
      <c r="CO52" s="392">
        <f>'[1]COE DISB 2019'!Z60</f>
        <v>0</v>
      </c>
      <c r="CP52" s="392">
        <f t="shared" si="22"/>
        <v>0</v>
      </c>
      <c r="CR52" s="392">
        <v>210000000</v>
      </c>
      <c r="CS52" s="392">
        <f>'[1]COE DISB 2019'!AA60</f>
        <v>210000000</v>
      </c>
      <c r="CT52" s="392">
        <f t="shared" si="23"/>
        <v>0</v>
      </c>
      <c r="CV52" s="392">
        <v>10000000</v>
      </c>
      <c r="CW52" s="392">
        <f>'[1]COE DISB 2019'!AB60</f>
        <v>10000000</v>
      </c>
      <c r="CX52" s="392">
        <f t="shared" si="24"/>
        <v>0</v>
      </c>
      <c r="CZ52" s="392">
        <f>'[1]COE commited funds to date'!AC55</f>
        <v>0</v>
      </c>
      <c r="DA52" s="392">
        <f>'[1]COE DISB 2019'!AC60</f>
        <v>0</v>
      </c>
      <c r="DB52" s="392">
        <f t="shared" si="25"/>
        <v>0</v>
      </c>
      <c r="DC52" s="394"/>
      <c r="DD52" s="392">
        <v>215000000</v>
      </c>
      <c r="DE52" s="392">
        <f>'[1]COE DISB 2019'!AD60</f>
        <v>215000000</v>
      </c>
      <c r="DF52" s="392">
        <f t="shared" si="26"/>
        <v>0</v>
      </c>
      <c r="DG52" s="394"/>
      <c r="DH52" s="392">
        <v>10000000</v>
      </c>
      <c r="DI52" s="392">
        <f>'[1]COE DISB 2019'!AE60</f>
        <v>10000000</v>
      </c>
      <c r="DJ52" s="392">
        <f>DH52-DI52</f>
        <v>0</v>
      </c>
      <c r="DK52" s="394"/>
      <c r="DL52" s="392">
        <f>'[1]COE commited funds to date'!AD55</f>
        <v>134000000</v>
      </c>
      <c r="DM52" s="392">
        <f>'[1]COE DISB 2019'!AF60</f>
        <v>134000000</v>
      </c>
      <c r="DN52" s="392">
        <f t="shared" si="28"/>
        <v>0</v>
      </c>
      <c r="DO52" s="394"/>
      <c r="DP52" s="392">
        <v>325000000</v>
      </c>
      <c r="DQ52" s="392">
        <f>'[1]COE DISB 2019'!AG60</f>
        <v>325000000</v>
      </c>
      <c r="DR52" s="392">
        <f t="shared" si="29"/>
        <v>0</v>
      </c>
      <c r="DS52" s="394"/>
      <c r="DT52" s="397">
        <v>10000000</v>
      </c>
      <c r="DU52" s="392">
        <f>'[1]COE DISB 2019'!AH60</f>
        <v>10000000</v>
      </c>
      <c r="DV52" s="392">
        <f t="shared" si="30"/>
        <v>0</v>
      </c>
      <c r="DW52" s="394"/>
      <c r="DX52" s="392">
        <f>'[1]COE commited funds to date'!AI55</f>
        <v>50000000</v>
      </c>
      <c r="DY52" s="392">
        <f>'[1]COE DISB 2019'!AI60</f>
        <v>50000000</v>
      </c>
      <c r="DZ52" s="392">
        <f t="shared" si="31"/>
        <v>0</v>
      </c>
      <c r="EA52" s="394"/>
      <c r="EB52" s="392">
        <f>'[1]COE commited funds to date'!AJ55</f>
        <v>72000000</v>
      </c>
      <c r="EC52" s="392">
        <f>'[1]COE DISB 2019'!AJ60</f>
        <v>40320000</v>
      </c>
      <c r="ED52" s="392">
        <f t="shared" si="32"/>
        <v>31680000</v>
      </c>
      <c r="EE52" s="394"/>
      <c r="EF52" s="392">
        <f>'[1]COE commited funds to date'!AK55</f>
        <v>8000000</v>
      </c>
      <c r="EG52" s="392">
        <f>'[1]COE DISB 2019'!AK60</f>
        <v>4000000</v>
      </c>
      <c r="EH52" s="392">
        <f t="shared" si="33"/>
        <v>4000000</v>
      </c>
      <c r="EI52" s="394"/>
      <c r="EJ52" s="392">
        <f>'[1]COE commited funds to date'!AL55</f>
        <v>2000000</v>
      </c>
      <c r="EK52" s="392">
        <f>'[1]COE DISB 2019'!AL60</f>
        <v>0</v>
      </c>
      <c r="EL52" s="392">
        <f t="shared" si="34"/>
        <v>2000000</v>
      </c>
      <c r="EM52" s="394"/>
      <c r="EN52" s="392">
        <f>'[1]COE commited funds to date'!AM55</f>
        <v>7000000</v>
      </c>
      <c r="EO52" s="392">
        <f>'[1]COE DISB 2019'!AM60</f>
        <v>7000000</v>
      </c>
      <c r="EP52" s="392">
        <f t="shared" si="35"/>
        <v>0</v>
      </c>
      <c r="EQ52" s="394"/>
      <c r="ER52" s="392">
        <f>'[1]COE commited funds to date'!AN55</f>
        <v>50000000</v>
      </c>
      <c r="ES52" s="392">
        <f>'[1]COE DISB 2019'!AN60</f>
        <v>50000000</v>
      </c>
      <c r="ET52" s="392">
        <f t="shared" si="36"/>
        <v>0</v>
      </c>
      <c r="EV52" s="383">
        <f>'[1]COE commited funds to date'!AO55</f>
        <v>371067000</v>
      </c>
      <c r="EW52" s="383">
        <f>'[1]COE DISB 2019'!AO60</f>
        <v>207797520</v>
      </c>
      <c r="EX52" s="383">
        <f t="shared" si="38"/>
        <v>163269480</v>
      </c>
      <c r="EY52" s="380"/>
      <c r="EZ52" s="383">
        <f>'[1]COE commited funds to date'!AQ55</f>
        <v>12000000</v>
      </c>
      <c r="FA52" s="383">
        <f>'[1]COE DISB 2019'!AP60</f>
        <v>12000000</v>
      </c>
      <c r="FB52" s="383">
        <f t="shared" si="39"/>
        <v>0</v>
      </c>
      <c r="FC52" s="380"/>
      <c r="FD52" s="383">
        <f>'[1]COE commited funds to date'!AR55</f>
        <v>10000000</v>
      </c>
      <c r="FE52" s="383">
        <f>'[1]COE DISB 2019'!AQ60</f>
        <v>0</v>
      </c>
      <c r="FF52" s="383">
        <f t="shared" si="40"/>
        <v>10000000</v>
      </c>
      <c r="FG52" s="380"/>
      <c r="FH52" s="383">
        <f>'[1]COE commited funds to date'!AP55</f>
        <v>8000000</v>
      </c>
      <c r="FI52" s="383">
        <f>'[1]COE DISB 2019'!AR60</f>
        <v>4000000</v>
      </c>
      <c r="FJ52" s="383">
        <f t="shared" si="41"/>
        <v>4000000</v>
      </c>
      <c r="FK52" s="383">
        <f>'[1]COE commited funds to date'!AS55</f>
        <v>150000000</v>
      </c>
      <c r="FL52" s="383">
        <f>'[1]COE DISB 2019'!AS60</f>
        <v>127500000</v>
      </c>
      <c r="FM52" s="383">
        <f t="shared" si="42"/>
        <v>22500000</v>
      </c>
      <c r="FN52" s="380"/>
      <c r="FO52" s="383">
        <f>'[1]COE commited funds to date'!AT55</f>
        <v>200000000</v>
      </c>
      <c r="FP52" s="383">
        <f>'[1]COE DISB 2019'!AT60</f>
        <v>0</v>
      </c>
      <c r="FQ52" s="383">
        <f t="shared" si="43"/>
        <v>200000000</v>
      </c>
      <c r="FR52" s="380"/>
      <c r="FS52" s="383">
        <f>'[1]COE commited funds to date'!AU55</f>
        <v>75000000</v>
      </c>
      <c r="FT52" s="383">
        <f>'[1]COE DISB 2019'!AU60</f>
        <v>57750000</v>
      </c>
      <c r="FU52" s="383">
        <f t="shared" si="44"/>
        <v>17250000</v>
      </c>
      <c r="FV52" s="380"/>
      <c r="FW52" s="383">
        <f>'[1]COE commited funds to date'!AV55</f>
        <v>8700000</v>
      </c>
      <c r="FX52" s="383">
        <f>'[1]COE DISB 2019'!AV60</f>
        <v>0</v>
      </c>
      <c r="FY52" s="383">
        <f t="shared" si="45"/>
        <v>8700000</v>
      </c>
      <c r="FZ52" s="380"/>
      <c r="GA52" s="383">
        <f>'[1]COE commited funds to date'!AW55</f>
        <v>5000000</v>
      </c>
      <c r="GB52" s="383">
        <f>'[1]COE DISB 2019'!AW60</f>
        <v>0</v>
      </c>
      <c r="GC52" s="383">
        <f t="shared" si="46"/>
        <v>5000000</v>
      </c>
      <c r="GD52" s="380"/>
      <c r="GE52" s="383">
        <f>'[1]COE commited funds to date'!AX55</f>
        <v>20000000</v>
      </c>
      <c r="GF52" s="383">
        <f>'[1]COE DISB 2019'!AX60</f>
        <v>15523600</v>
      </c>
      <c r="GG52" s="383">
        <f t="shared" si="47"/>
        <v>4476400</v>
      </c>
      <c r="GH52" s="380"/>
      <c r="GI52" s="383">
        <f>'[1]COE commited funds to date'!AY55</f>
        <v>230000000</v>
      </c>
      <c r="GJ52" s="383">
        <f>'[1]COE DISB 2019'!AY60</f>
        <v>0</v>
      </c>
      <c r="GK52" s="383">
        <f t="shared" si="48"/>
        <v>230000000</v>
      </c>
      <c r="GL52" s="380"/>
      <c r="GM52" s="383">
        <f>'[1]COE commited funds to date'!AZ55</f>
        <v>116776600</v>
      </c>
      <c r="GN52" s="383">
        <f>'[1]COE DISB 2019'!AZ60</f>
        <v>0</v>
      </c>
      <c r="GO52" s="383">
        <f t="shared" si="49"/>
        <v>116776600</v>
      </c>
      <c r="GP52" s="380"/>
      <c r="GQ52" s="383">
        <f>'[1]COE commited funds to date'!BA55</f>
        <v>12000000</v>
      </c>
      <c r="GR52" s="383">
        <f>'[1]COE DISB 2019'!BA60</f>
        <v>0</v>
      </c>
      <c r="GS52" s="383">
        <f t="shared" si="50"/>
        <v>12000000</v>
      </c>
      <c r="GT52" s="380"/>
      <c r="GU52" s="383">
        <f>'[1]COE commited funds to date'!BB55</f>
        <v>5000000</v>
      </c>
      <c r="GV52" s="383">
        <f>'[1]COE DISB 2019'!BB60</f>
        <v>0</v>
      </c>
      <c r="GW52" s="383">
        <f t="shared" si="51"/>
        <v>5000000</v>
      </c>
      <c r="GX52" s="380"/>
      <c r="GY52" s="383">
        <f>'[1]COE commited funds to date'!BC55</f>
        <v>10308300</v>
      </c>
      <c r="GZ52" s="383">
        <f>'[1]COE DISB 2019'!BC60</f>
        <v>0</v>
      </c>
      <c r="HA52" s="383">
        <f t="shared" si="52"/>
        <v>10308300</v>
      </c>
      <c r="HB52" s="380"/>
      <c r="HC52" s="383">
        <f t="shared" si="53"/>
        <v>2804972865.5</v>
      </c>
      <c r="HD52" s="383">
        <f t="shared" si="53"/>
        <v>1958012085.5</v>
      </c>
      <c r="HE52" s="392">
        <f t="shared" si="54"/>
        <v>846960780</v>
      </c>
      <c r="HG52" s="383">
        <f t="shared" si="55"/>
        <v>2076437965.5</v>
      </c>
      <c r="HH52" s="383">
        <f t="shared" si="55"/>
        <v>1451488485.5</v>
      </c>
      <c r="HI52" s="383">
        <f t="shared" si="56"/>
        <v>624949480</v>
      </c>
      <c r="HK52" s="383">
        <f t="shared" si="57"/>
        <v>234000000</v>
      </c>
      <c r="HL52" s="383">
        <f t="shared" si="57"/>
        <v>234000000</v>
      </c>
      <c r="HM52" s="383">
        <f t="shared" si="58"/>
        <v>0</v>
      </c>
      <c r="HO52" s="383">
        <f t="shared" si="71"/>
        <v>500000</v>
      </c>
      <c r="HP52" s="383">
        <f t="shared" si="71"/>
        <v>500000</v>
      </c>
      <c r="HQ52" s="383">
        <f t="shared" si="59"/>
        <v>0</v>
      </c>
      <c r="HS52" s="383">
        <f t="shared" si="60"/>
        <v>89308300</v>
      </c>
      <c r="HT52" s="383">
        <f t="shared" si="60"/>
        <v>74523600</v>
      </c>
      <c r="HU52" s="383">
        <f t="shared" si="61"/>
        <v>14784700</v>
      </c>
      <c r="HW52" s="383">
        <f t="shared" si="62"/>
        <v>36700000</v>
      </c>
      <c r="HX52" s="383">
        <f t="shared" si="62"/>
        <v>8000000</v>
      </c>
      <c r="HY52" s="383">
        <f t="shared" si="63"/>
        <v>28700000</v>
      </c>
      <c r="IA52" s="387">
        <f t="shared" si="64"/>
        <v>20000000</v>
      </c>
      <c r="IB52" s="387">
        <f t="shared" si="64"/>
        <v>0</v>
      </c>
      <c r="IC52" s="387">
        <f t="shared" si="65"/>
        <v>20000000</v>
      </c>
      <c r="IE52" s="383">
        <f t="shared" si="66"/>
        <v>341776600</v>
      </c>
      <c r="IF52" s="383">
        <f t="shared" si="66"/>
        <v>185250000</v>
      </c>
      <c r="IG52" s="383">
        <f t="shared" si="67"/>
        <v>156526600</v>
      </c>
      <c r="II52" s="383">
        <f t="shared" si="68"/>
        <v>2000000</v>
      </c>
      <c r="IJ52" s="383">
        <f t="shared" si="68"/>
        <v>0</v>
      </c>
      <c r="IK52" s="383">
        <f t="shared" si="69"/>
        <v>2000000</v>
      </c>
    </row>
    <row r="53" spans="1:245" x14ac:dyDescent="0.25">
      <c r="A53" s="380">
        <v>50</v>
      </c>
      <c r="B53" s="380" t="s">
        <v>369</v>
      </c>
      <c r="C53" s="431" t="s">
        <v>69</v>
      </c>
      <c r="D53" s="392">
        <v>18318965.5</v>
      </c>
      <c r="E53" s="392">
        <f>'[1]COE DISB 2019'!D61</f>
        <v>18318965.539999999</v>
      </c>
      <c r="F53" s="383">
        <f t="shared" si="0"/>
        <v>-3.9999999105930328E-2</v>
      </c>
      <c r="H53" s="392">
        <v>8000000</v>
      </c>
      <c r="I53" s="392">
        <f>'[1]COE DISB 2019'!E61</f>
        <v>8000000</v>
      </c>
      <c r="J53" s="383">
        <f t="shared" si="1"/>
        <v>0</v>
      </c>
      <c r="L53" s="392">
        <v>500000</v>
      </c>
      <c r="M53" s="392">
        <f>'[1]COE DISB 2019'!F61</f>
        <v>500000</v>
      </c>
      <c r="N53" s="383">
        <f t="shared" si="2"/>
        <v>0</v>
      </c>
      <c r="P53" s="385">
        <v>16000000</v>
      </c>
      <c r="Q53" s="392">
        <f>'[1]COE DISB 2019'!G61</f>
        <v>16000000</v>
      </c>
      <c r="R53" s="383">
        <f t="shared" si="3"/>
        <v>0</v>
      </c>
      <c r="T53" s="385">
        <v>1571000</v>
      </c>
      <c r="U53" s="392">
        <f>'[1]COE DISB 2019'!H61</f>
        <v>1571000</v>
      </c>
      <c r="V53" s="383">
        <f t="shared" si="4"/>
        <v>0</v>
      </c>
      <c r="X53" s="353">
        <v>0</v>
      </c>
      <c r="Y53" s="392">
        <f>'[1]COE DISB 2019'!I61</f>
        <v>0</v>
      </c>
      <c r="Z53" s="383">
        <f t="shared" si="5"/>
        <v>0</v>
      </c>
      <c r="AB53" s="385">
        <v>20000000</v>
      </c>
      <c r="AC53" s="392">
        <f>'[1]COE DISB 2019'!J61</f>
        <v>20000000</v>
      </c>
      <c r="AD53" s="383">
        <f t="shared" si="6"/>
        <v>0</v>
      </c>
      <c r="AF53" s="353">
        <v>31000</v>
      </c>
      <c r="AG53" s="392">
        <f>'[1]COE DISB 2019'!K61</f>
        <v>31000</v>
      </c>
      <c r="AH53" s="383">
        <f t="shared" si="7"/>
        <v>0</v>
      </c>
      <c r="AJ53" s="385">
        <v>10000000</v>
      </c>
      <c r="AK53" s="392">
        <f>'[1]COE DISB 2019'!L61</f>
        <v>10000000</v>
      </c>
      <c r="AL53" s="383">
        <f t="shared" si="8"/>
        <v>0</v>
      </c>
      <c r="AN53" s="392">
        <v>10000000</v>
      </c>
      <c r="AO53" s="392">
        <f>'[1]COE DISB 2019'!M61</f>
        <v>10000000</v>
      </c>
      <c r="AP53" s="383">
        <f t="shared" si="9"/>
        <v>0</v>
      </c>
      <c r="AR53" s="392">
        <v>15000000</v>
      </c>
      <c r="AS53" s="392">
        <f>'[1]COE DISB 2019'!N61</f>
        <v>15000000</v>
      </c>
      <c r="AT53" s="383">
        <f t="shared" si="10"/>
        <v>0</v>
      </c>
      <c r="AV53" s="392">
        <v>5000000</v>
      </c>
      <c r="AW53" s="393">
        <f>'[1]COE DISB 2019'!O61</f>
        <v>5000000</v>
      </c>
      <c r="AX53" s="392">
        <f t="shared" si="11"/>
        <v>0</v>
      </c>
      <c r="AZ53" s="392">
        <v>18000000</v>
      </c>
      <c r="BA53" s="392">
        <f>'[1]COE DISB 2019'!P61</f>
        <v>18000000</v>
      </c>
      <c r="BB53" s="392">
        <f t="shared" si="12"/>
        <v>0</v>
      </c>
      <c r="BD53" s="392">
        <v>23400000</v>
      </c>
      <c r="BE53" s="392">
        <f>'[1]COE DISB 2019'!Q61</f>
        <v>23400000</v>
      </c>
      <c r="BF53" s="392">
        <f t="shared" si="13"/>
        <v>0</v>
      </c>
      <c r="BH53" s="392">
        <v>0</v>
      </c>
      <c r="BI53" s="392">
        <f>'[1]COE DISB 2019'!R61</f>
        <v>0</v>
      </c>
      <c r="BJ53" s="392">
        <f t="shared" si="14"/>
        <v>0</v>
      </c>
      <c r="BL53" s="392">
        <v>43000000</v>
      </c>
      <c r="BM53" s="392">
        <f>'[1]COE DISB 2019'!S61</f>
        <v>43000000</v>
      </c>
      <c r="BN53" s="392">
        <f t="shared" si="15"/>
        <v>0</v>
      </c>
      <c r="BP53" s="392">
        <v>37160000</v>
      </c>
      <c r="BQ53" s="392">
        <f>'[1]COE DISB 2019'!T61</f>
        <v>37160000</v>
      </c>
      <c r="BR53" s="392">
        <f t="shared" si="16"/>
        <v>0</v>
      </c>
      <c r="BT53" s="392">
        <v>0</v>
      </c>
      <c r="BU53" s="392">
        <f>'[1]COE DISB 2019'!U61</f>
        <v>0</v>
      </c>
      <c r="BV53" s="392">
        <f t="shared" si="17"/>
        <v>0</v>
      </c>
      <c r="BX53" s="392">
        <v>112670000</v>
      </c>
      <c r="BY53" s="392">
        <f>'[1]COE DISB 2019'!V61</f>
        <v>112670000</v>
      </c>
      <c r="BZ53" s="392">
        <f t="shared" si="18"/>
        <v>0</v>
      </c>
      <c r="CB53" s="392">
        <f>'[1]COE commited funds to date'!W56</f>
        <v>0</v>
      </c>
      <c r="CC53" s="392">
        <f>'[1]COE DISB 2019'!W61</f>
        <v>0</v>
      </c>
      <c r="CD53" s="392">
        <f t="shared" si="19"/>
        <v>0</v>
      </c>
      <c r="CF53" s="392">
        <f>'[1]COE commited funds to date'!X56</f>
        <v>0</v>
      </c>
      <c r="CG53" s="392">
        <f>'[1]COE DISB 2019'!X61</f>
        <v>0</v>
      </c>
      <c r="CH53" s="392">
        <f t="shared" si="20"/>
        <v>0</v>
      </c>
      <c r="CJ53" s="392">
        <v>0</v>
      </c>
      <c r="CK53" s="392">
        <f>'[1]COE DISB 2019'!Y61</f>
        <v>0</v>
      </c>
      <c r="CL53" s="392">
        <f t="shared" si="21"/>
        <v>0</v>
      </c>
      <c r="CN53" s="392">
        <v>500000000</v>
      </c>
      <c r="CO53" s="392">
        <f>'[1]COE DISB 2019'!Z61</f>
        <v>500000000</v>
      </c>
      <c r="CP53" s="392">
        <f t="shared" si="22"/>
        <v>0</v>
      </c>
      <c r="CR53" s="392">
        <v>210000000</v>
      </c>
      <c r="CS53" s="392">
        <f>'[1]COE DISB 2019'!AA61</f>
        <v>210000000</v>
      </c>
      <c r="CT53" s="392">
        <f t="shared" si="23"/>
        <v>0</v>
      </c>
      <c r="CV53" s="392">
        <v>10000000</v>
      </c>
      <c r="CW53" s="392">
        <f>'[1]COE DISB 2019'!AB61</f>
        <v>10000000</v>
      </c>
      <c r="CX53" s="392">
        <f t="shared" si="24"/>
        <v>0</v>
      </c>
      <c r="CZ53" s="392">
        <f>'[1]COE commited funds to date'!AC56</f>
        <v>0</v>
      </c>
      <c r="DA53" s="392">
        <f>'[1]COE DISB 2019'!AC61</f>
        <v>0</v>
      </c>
      <c r="DB53" s="392">
        <f t="shared" si="25"/>
        <v>0</v>
      </c>
      <c r="DC53" s="394"/>
      <c r="DD53" s="392">
        <v>0</v>
      </c>
      <c r="DE53" s="392">
        <f>'[1]COE DISB 2019'!AD61</f>
        <v>0</v>
      </c>
      <c r="DF53" s="392">
        <f t="shared" si="26"/>
        <v>0</v>
      </c>
      <c r="DG53" s="394"/>
      <c r="DH53" s="397">
        <v>0</v>
      </c>
      <c r="DI53" s="397">
        <f>'[1]COE DISB 2019'!AE61</f>
        <v>0</v>
      </c>
      <c r="DJ53" s="397">
        <v>0</v>
      </c>
      <c r="DK53" s="394"/>
      <c r="DL53" s="392">
        <f>'[1]COE commited funds to date'!AD56</f>
        <v>0</v>
      </c>
      <c r="DM53" s="392">
        <f>'[1]COE DISB 2019'!AF61</f>
        <v>0</v>
      </c>
      <c r="DN53" s="392">
        <f t="shared" si="28"/>
        <v>0</v>
      </c>
      <c r="DO53" s="394"/>
      <c r="DP53" s="392">
        <v>325000000</v>
      </c>
      <c r="DQ53" s="392">
        <f>'[1]COE DISB 2019'!AG61</f>
        <v>325000000</v>
      </c>
      <c r="DR53" s="392">
        <f t="shared" si="29"/>
        <v>0</v>
      </c>
      <c r="DS53" s="394"/>
      <c r="DT53" s="397">
        <v>10000000</v>
      </c>
      <c r="DU53" s="392">
        <f>'[1]COE DISB 2019'!AH61</f>
        <v>10000000</v>
      </c>
      <c r="DV53" s="392">
        <f t="shared" si="30"/>
        <v>0</v>
      </c>
      <c r="DW53" s="394"/>
      <c r="DX53" s="392">
        <f>'[1]COE commited funds to date'!AI56</f>
        <v>100000000</v>
      </c>
      <c r="DY53" s="392">
        <f>'[1]COE DISB 2019'!AI61</f>
        <v>100000000</v>
      </c>
      <c r="DZ53" s="392">
        <f t="shared" si="31"/>
        <v>0</v>
      </c>
      <c r="EA53" s="394"/>
      <c r="EB53" s="392">
        <f>'[1]COE commited funds to date'!AJ56</f>
        <v>0</v>
      </c>
      <c r="EC53" s="392">
        <f>'[1]COE DISB 2019'!AJ61</f>
        <v>0</v>
      </c>
      <c r="ED53" s="392">
        <f t="shared" si="32"/>
        <v>0</v>
      </c>
      <c r="EE53" s="394"/>
      <c r="EF53" s="392">
        <f>'[1]COE commited funds to date'!AK56</f>
        <v>0</v>
      </c>
      <c r="EG53" s="392">
        <f>'[1]COE DISB 2019'!AK61</f>
        <v>0</v>
      </c>
      <c r="EH53" s="392">
        <f t="shared" si="33"/>
        <v>0</v>
      </c>
      <c r="EI53" s="394"/>
      <c r="EJ53" s="392">
        <f>'[1]COE commited funds to date'!AL56</f>
        <v>0</v>
      </c>
      <c r="EK53" s="392">
        <f>'[1]COE DISB 2019'!AL61</f>
        <v>0</v>
      </c>
      <c r="EL53" s="392">
        <f t="shared" si="34"/>
        <v>0</v>
      </c>
      <c r="EM53" s="394"/>
      <c r="EN53" s="392">
        <f>'[1]COE commited funds to date'!AM56</f>
        <v>0</v>
      </c>
      <c r="EO53" s="392">
        <f>'[1]COE DISB 2019'!AM61</f>
        <v>0</v>
      </c>
      <c r="EP53" s="392">
        <f t="shared" si="35"/>
        <v>0</v>
      </c>
      <c r="EQ53" s="394"/>
      <c r="ER53" s="392">
        <f>'[1]COE commited funds to date'!AN56</f>
        <v>2800000000</v>
      </c>
      <c r="ES53" s="392">
        <f>'[1]COE DISB 2019'!AN61</f>
        <v>2800000000</v>
      </c>
      <c r="ET53" s="392">
        <f t="shared" si="36"/>
        <v>0</v>
      </c>
      <c r="EV53" s="383">
        <f>'[1]COE commited funds to date'!AO56</f>
        <v>371067000</v>
      </c>
      <c r="EW53" s="383">
        <f>'[1]COE DISB 2019'!AO61</f>
        <v>200376180</v>
      </c>
      <c r="EX53" s="383">
        <f t="shared" si="38"/>
        <v>170690820</v>
      </c>
      <c r="EY53" s="380"/>
      <c r="EZ53" s="383">
        <f>'[1]COE commited funds to date'!AQ56</f>
        <v>12000000</v>
      </c>
      <c r="FA53" s="383">
        <f>'[1]COE DISB 2019'!AP61</f>
        <v>11379520</v>
      </c>
      <c r="FB53" s="383">
        <f t="shared" si="39"/>
        <v>620480</v>
      </c>
      <c r="FC53" s="380"/>
      <c r="FD53" s="383">
        <f>'[1]COE commited funds to date'!AR56</f>
        <v>10000000</v>
      </c>
      <c r="FE53" s="383">
        <f>'[1]COE DISB 2019'!AQ61</f>
        <v>0</v>
      </c>
      <c r="FF53" s="383">
        <f t="shared" si="40"/>
        <v>10000000</v>
      </c>
      <c r="FG53" s="380"/>
      <c r="FH53" s="383">
        <f>'[1]COE commited funds to date'!AP56</f>
        <v>8000000</v>
      </c>
      <c r="FI53" s="383">
        <f>'[1]COE DISB 2019'!AR61</f>
        <v>0</v>
      </c>
      <c r="FJ53" s="383">
        <f t="shared" si="41"/>
        <v>8000000</v>
      </c>
      <c r="FK53" s="383">
        <f>'[1]COE commited funds to date'!AS56</f>
        <v>0</v>
      </c>
      <c r="FL53" s="383">
        <f>'[1]COE DISB 2019'!AS61</f>
        <v>0</v>
      </c>
      <c r="FM53" s="383">
        <f t="shared" si="42"/>
        <v>0</v>
      </c>
      <c r="FN53" s="380"/>
      <c r="FO53" s="383">
        <f>'[1]COE commited funds to date'!AT56</f>
        <v>0</v>
      </c>
      <c r="FP53" s="383">
        <f>'[1]COE DISB 2019'!AT61</f>
        <v>0</v>
      </c>
      <c r="FQ53" s="383">
        <f t="shared" si="43"/>
        <v>0</v>
      </c>
      <c r="FR53" s="380"/>
      <c r="FS53" s="383">
        <f>'[1]COE commited funds to date'!AU56</f>
        <v>150000000</v>
      </c>
      <c r="FT53" s="383">
        <f>'[1]COE DISB 2019'!AU61</f>
        <v>115500000</v>
      </c>
      <c r="FU53" s="383">
        <f t="shared" si="44"/>
        <v>34500000</v>
      </c>
      <c r="FV53" s="380"/>
      <c r="FW53" s="383">
        <f>'[1]COE commited funds to date'!AV56</f>
        <v>0</v>
      </c>
      <c r="FX53" s="383">
        <f>'[1]COE DISB 2019'!AV61</f>
        <v>0</v>
      </c>
      <c r="FY53" s="383">
        <f t="shared" si="45"/>
        <v>0</v>
      </c>
      <c r="FZ53" s="380"/>
      <c r="GA53" s="383">
        <f>'[1]COE commited funds to date'!AW56</f>
        <v>0</v>
      </c>
      <c r="GB53" s="383">
        <f>'[1]COE DISB 2019'!AW61</f>
        <v>0</v>
      </c>
      <c r="GC53" s="383">
        <f t="shared" si="46"/>
        <v>0</v>
      </c>
      <c r="GD53" s="380"/>
      <c r="GE53" s="383">
        <f>'[1]COE commited funds to date'!AX56</f>
        <v>0</v>
      </c>
      <c r="GF53" s="383">
        <f>'[1]COE DISB 2019'!AX61</f>
        <v>0</v>
      </c>
      <c r="GG53" s="383">
        <f t="shared" si="47"/>
        <v>0</v>
      </c>
      <c r="GH53" s="380"/>
      <c r="GI53" s="383">
        <f>'[1]COE commited funds to date'!AY56</f>
        <v>230000000</v>
      </c>
      <c r="GJ53" s="383">
        <f>'[1]COE DISB 2019'!AY61</f>
        <v>0</v>
      </c>
      <c r="GK53" s="383">
        <f t="shared" si="48"/>
        <v>230000000</v>
      </c>
      <c r="GL53" s="380"/>
      <c r="GM53" s="383">
        <f>'[1]COE commited funds to date'!AZ56</f>
        <v>116776600</v>
      </c>
      <c r="GN53" s="383">
        <f>'[1]COE DISB 2019'!AZ61</f>
        <v>0</v>
      </c>
      <c r="GO53" s="383">
        <f t="shared" si="49"/>
        <v>116776600</v>
      </c>
      <c r="GP53" s="380"/>
      <c r="GQ53" s="383">
        <f>'[1]COE commited funds to date'!BA56</f>
        <v>12000000</v>
      </c>
      <c r="GR53" s="383">
        <f>'[1]COE DISB 2019'!BA61</f>
        <v>0</v>
      </c>
      <c r="GS53" s="383">
        <f t="shared" si="50"/>
        <v>12000000</v>
      </c>
      <c r="GT53" s="380"/>
      <c r="GU53" s="383">
        <f>'[1]COE commited funds to date'!BB56</f>
        <v>5000000</v>
      </c>
      <c r="GV53" s="383">
        <f>'[1]COE DISB 2019'!BB61</f>
        <v>0</v>
      </c>
      <c r="GW53" s="383">
        <f t="shared" si="51"/>
        <v>5000000</v>
      </c>
      <c r="GX53" s="380"/>
      <c r="GY53" s="383">
        <f>'[1]COE commited funds to date'!BC56</f>
        <v>10308300</v>
      </c>
      <c r="GZ53" s="383">
        <f>'[1]COE DISB 2019'!BC61</f>
        <v>0</v>
      </c>
      <c r="HA53" s="383">
        <f t="shared" si="52"/>
        <v>10308300</v>
      </c>
      <c r="HB53" s="380"/>
      <c r="HC53" s="383">
        <f t="shared" si="53"/>
        <v>5218802865.5</v>
      </c>
      <c r="HD53" s="383">
        <f t="shared" si="53"/>
        <v>4620906665.54</v>
      </c>
      <c r="HE53" s="392">
        <f t="shared" si="54"/>
        <v>597896199.96000004</v>
      </c>
      <c r="HG53" s="383">
        <f t="shared" si="55"/>
        <v>1467615965.5</v>
      </c>
      <c r="HH53" s="383">
        <f t="shared" si="55"/>
        <v>1066925145.54</v>
      </c>
      <c r="HI53" s="383">
        <f t="shared" si="56"/>
        <v>400690819.96000004</v>
      </c>
      <c r="HK53" s="383">
        <f t="shared" si="57"/>
        <v>3400000000</v>
      </c>
      <c r="HL53" s="383">
        <f t="shared" si="57"/>
        <v>3400000000</v>
      </c>
      <c r="HM53" s="383">
        <f t="shared" si="58"/>
        <v>0</v>
      </c>
      <c r="HO53" s="383">
        <f t="shared" si="71"/>
        <v>2102000</v>
      </c>
      <c r="HP53" s="383">
        <f t="shared" si="71"/>
        <v>2102000</v>
      </c>
      <c r="HQ53" s="383">
        <f t="shared" si="59"/>
        <v>0</v>
      </c>
      <c r="HS53" s="383">
        <f t="shared" si="60"/>
        <v>42308300</v>
      </c>
      <c r="HT53" s="383">
        <f t="shared" si="60"/>
        <v>31379520</v>
      </c>
      <c r="HU53" s="383">
        <f t="shared" si="61"/>
        <v>10928780</v>
      </c>
      <c r="HW53" s="383">
        <f t="shared" si="62"/>
        <v>20000000</v>
      </c>
      <c r="HX53" s="383">
        <f t="shared" si="62"/>
        <v>0</v>
      </c>
      <c r="HY53" s="383">
        <f t="shared" si="63"/>
        <v>20000000</v>
      </c>
      <c r="IA53" s="387">
        <f t="shared" si="64"/>
        <v>15000000</v>
      </c>
      <c r="IB53" s="387">
        <f t="shared" si="64"/>
        <v>0</v>
      </c>
      <c r="IC53" s="387">
        <f t="shared" si="65"/>
        <v>15000000</v>
      </c>
      <c r="IE53" s="383">
        <f t="shared" si="66"/>
        <v>266776600</v>
      </c>
      <c r="IF53" s="383">
        <f t="shared" si="66"/>
        <v>115500000</v>
      </c>
      <c r="IG53" s="383">
        <f t="shared" si="67"/>
        <v>151276600</v>
      </c>
      <c r="II53" s="383">
        <f t="shared" si="68"/>
        <v>0</v>
      </c>
      <c r="IJ53" s="383">
        <f t="shared" si="68"/>
        <v>0</v>
      </c>
      <c r="IK53" s="383">
        <f t="shared" si="69"/>
        <v>0</v>
      </c>
    </row>
    <row r="54" spans="1:245" x14ac:dyDescent="0.25">
      <c r="A54" s="380">
        <v>51</v>
      </c>
      <c r="B54" s="380" t="s">
        <v>370</v>
      </c>
      <c r="C54" s="431"/>
      <c r="D54" s="392">
        <v>18318965.5</v>
      </c>
      <c r="E54" s="392">
        <f>'[1]COE DISB 2019'!D62</f>
        <v>18318966.559999999</v>
      </c>
      <c r="F54" s="383">
        <f t="shared" si="0"/>
        <v>-1.0599999986588955</v>
      </c>
      <c r="H54" s="392">
        <v>8000000</v>
      </c>
      <c r="I54" s="392">
        <f>'[1]COE DISB 2019'!E62</f>
        <v>8000000</v>
      </c>
      <c r="J54" s="383">
        <f t="shared" si="1"/>
        <v>0</v>
      </c>
      <c r="L54" s="392">
        <v>500000</v>
      </c>
      <c r="M54" s="392">
        <f>'[1]COE DISB 2019'!F62</f>
        <v>500000</v>
      </c>
      <c r="N54" s="383">
        <f t="shared" si="2"/>
        <v>0</v>
      </c>
      <c r="P54" s="385">
        <v>16000000</v>
      </c>
      <c r="Q54" s="392">
        <f>'[1]COE DISB 2019'!G62</f>
        <v>16000000</v>
      </c>
      <c r="R54" s="383">
        <f t="shared" si="3"/>
        <v>0</v>
      </c>
      <c r="T54" s="385">
        <v>1441998</v>
      </c>
      <c r="U54" s="392">
        <f>'[1]COE DISB 2019'!H62</f>
        <v>1441998</v>
      </c>
      <c r="V54" s="383">
        <f t="shared" si="4"/>
        <v>0</v>
      </c>
      <c r="X54" s="353">
        <v>0</v>
      </c>
      <c r="Y54" s="392">
        <f>'[1]COE DISB 2019'!I62</f>
        <v>0</v>
      </c>
      <c r="Z54" s="383">
        <f t="shared" si="5"/>
        <v>0</v>
      </c>
      <c r="AB54" s="385">
        <v>20000000</v>
      </c>
      <c r="AC54" s="392">
        <f>'[1]COE DISB 2019'!J62</f>
        <v>20000000</v>
      </c>
      <c r="AD54" s="383">
        <f t="shared" si="6"/>
        <v>0</v>
      </c>
      <c r="AF54" s="353">
        <v>0</v>
      </c>
      <c r="AG54" s="392">
        <f>'[1]COE DISB 2019'!K62</f>
        <v>0</v>
      </c>
      <c r="AH54" s="383">
        <f t="shared" si="7"/>
        <v>0</v>
      </c>
      <c r="AJ54" s="385">
        <v>10000000</v>
      </c>
      <c r="AK54" s="392">
        <f>'[1]COE DISB 2019'!L62</f>
        <v>10000000</v>
      </c>
      <c r="AL54" s="383">
        <f t="shared" si="8"/>
        <v>0</v>
      </c>
      <c r="AN54" s="392">
        <v>10000000</v>
      </c>
      <c r="AO54" s="392">
        <f>'[1]COE DISB 2019'!M62</f>
        <v>10000000</v>
      </c>
      <c r="AP54" s="383">
        <f t="shared" si="9"/>
        <v>0</v>
      </c>
      <c r="AR54" s="392">
        <v>15000000</v>
      </c>
      <c r="AS54" s="392">
        <f>'[1]COE DISB 2019'!N62</f>
        <v>15000000</v>
      </c>
      <c r="AT54" s="383">
        <f t="shared" si="10"/>
        <v>0</v>
      </c>
      <c r="AV54" s="392">
        <v>5000000</v>
      </c>
      <c r="AW54" s="393">
        <f>'[1]COE DISB 2019'!O62</f>
        <v>5000000</v>
      </c>
      <c r="AX54" s="392">
        <f t="shared" si="11"/>
        <v>0</v>
      </c>
      <c r="AZ54" s="392">
        <v>18000000</v>
      </c>
      <c r="BA54" s="392">
        <f>'[1]COE DISB 2019'!P62</f>
        <v>18000000</v>
      </c>
      <c r="BB54" s="392">
        <f t="shared" si="12"/>
        <v>0</v>
      </c>
      <c r="BD54" s="392">
        <v>23400000</v>
      </c>
      <c r="BE54" s="392">
        <f>'[1]COE DISB 2019'!Q62</f>
        <v>23400000</v>
      </c>
      <c r="BF54" s="392">
        <f t="shared" si="13"/>
        <v>0</v>
      </c>
      <c r="BH54" s="392">
        <v>0</v>
      </c>
      <c r="BI54" s="392">
        <f>'[1]COE DISB 2019'!R62</f>
        <v>0</v>
      </c>
      <c r="BJ54" s="392">
        <f t="shared" si="14"/>
        <v>0</v>
      </c>
      <c r="BL54" s="392">
        <v>43000000</v>
      </c>
      <c r="BM54" s="392">
        <f>'[1]COE DISB 2019'!S62</f>
        <v>43000000</v>
      </c>
      <c r="BN54" s="392">
        <f t="shared" si="15"/>
        <v>0</v>
      </c>
      <c r="BP54" s="392">
        <v>37160000</v>
      </c>
      <c r="BQ54" s="392">
        <f>'[1]COE DISB 2019'!T62</f>
        <v>37160000</v>
      </c>
      <c r="BR54" s="392">
        <f t="shared" si="16"/>
        <v>0</v>
      </c>
      <c r="BT54" s="392">
        <v>0</v>
      </c>
      <c r="BU54" s="392">
        <f>'[1]COE DISB 2019'!U62</f>
        <v>0</v>
      </c>
      <c r="BV54" s="392">
        <f t="shared" si="17"/>
        <v>0</v>
      </c>
      <c r="BX54" s="392">
        <v>0</v>
      </c>
      <c r="BY54" s="392">
        <f>'[1]COE DISB 2019'!V62</f>
        <v>0</v>
      </c>
      <c r="BZ54" s="392">
        <f t="shared" si="18"/>
        <v>0</v>
      </c>
      <c r="CB54" s="392">
        <f>'[1]COE commited funds to date'!W57</f>
        <v>170000000</v>
      </c>
      <c r="CC54" s="392">
        <f>'[1]COE DISB 2019'!W62</f>
        <v>170000000</v>
      </c>
      <c r="CD54" s="392">
        <f t="shared" si="19"/>
        <v>0</v>
      </c>
      <c r="CF54" s="392">
        <f>'[1]COE commited funds to date'!X57</f>
        <v>125000000</v>
      </c>
      <c r="CG54" s="392">
        <f>'[1]COE DISB 2019'!X62</f>
        <v>106250000</v>
      </c>
      <c r="CH54" s="392">
        <f t="shared" si="20"/>
        <v>18750000</v>
      </c>
      <c r="CJ54" s="392">
        <v>10000000</v>
      </c>
      <c r="CK54" s="392">
        <f>'[1]COE DISB 2019'!Y62</f>
        <v>0</v>
      </c>
      <c r="CL54" s="392">
        <f t="shared" si="21"/>
        <v>10000000</v>
      </c>
      <c r="CN54" s="392">
        <v>0</v>
      </c>
      <c r="CO54" s="392">
        <f>'[1]COE DISB 2019'!Z62</f>
        <v>0</v>
      </c>
      <c r="CP54" s="392">
        <f t="shared" si="22"/>
        <v>0</v>
      </c>
      <c r="CR54" s="392">
        <v>0</v>
      </c>
      <c r="CS54" s="392">
        <f>'[1]COE DISB 2019'!AA62</f>
        <v>0</v>
      </c>
      <c r="CT54" s="392">
        <f t="shared" si="23"/>
        <v>0</v>
      </c>
      <c r="CV54" s="392">
        <v>0</v>
      </c>
      <c r="CW54" s="392">
        <f>'[1]COE DISB 2019'!AB62</f>
        <v>0</v>
      </c>
      <c r="CX54" s="392">
        <f t="shared" si="24"/>
        <v>0</v>
      </c>
      <c r="CZ54" s="392">
        <f>'[1]COE commited funds to date'!AC57</f>
        <v>253000000</v>
      </c>
      <c r="DA54" s="392">
        <f>'[1]COE DISB 2019'!AC62</f>
        <v>141680000</v>
      </c>
      <c r="DB54" s="392">
        <f t="shared" si="25"/>
        <v>111320000</v>
      </c>
      <c r="DC54" s="394"/>
      <c r="DD54" s="392">
        <v>215000000</v>
      </c>
      <c r="DE54" s="392">
        <f>'[1]COE DISB 2019'!AD62</f>
        <v>182750000</v>
      </c>
      <c r="DF54" s="392">
        <f t="shared" si="26"/>
        <v>32250000</v>
      </c>
      <c r="DG54" s="394"/>
      <c r="DH54" s="392">
        <v>10000000</v>
      </c>
      <c r="DI54" s="392">
        <f>'[1]COE DISB 2019'!AE62</f>
        <v>10000000</v>
      </c>
      <c r="DJ54" s="392">
        <f>DH54-DI54</f>
        <v>0</v>
      </c>
      <c r="DK54" s="394"/>
      <c r="DL54" s="392">
        <f>'[1]COE commited funds to date'!AD57</f>
        <v>0</v>
      </c>
      <c r="DM54" s="392">
        <f>'[1]COE DISB 2019'!AF62</f>
        <v>0</v>
      </c>
      <c r="DN54" s="392">
        <f t="shared" si="28"/>
        <v>0</v>
      </c>
      <c r="DO54" s="394"/>
      <c r="DP54" s="392">
        <v>0</v>
      </c>
      <c r="DQ54" s="392">
        <f>'[1]COE DISB 2019'!AG62</f>
        <v>0</v>
      </c>
      <c r="DR54" s="392">
        <f t="shared" si="29"/>
        <v>0</v>
      </c>
      <c r="DS54" s="394"/>
      <c r="DT54" s="397">
        <v>0</v>
      </c>
      <c r="DU54" s="392">
        <f>'[1]COE DISB 2019'!AH62</f>
        <v>0</v>
      </c>
      <c r="DV54" s="392">
        <f t="shared" si="30"/>
        <v>0</v>
      </c>
      <c r="DW54" s="394"/>
      <c r="DX54" s="392">
        <f>'[1]COE commited funds to date'!AI57</f>
        <v>100000000</v>
      </c>
      <c r="DY54" s="392">
        <f>'[1]COE DISB 2019'!AI62</f>
        <v>100000000</v>
      </c>
      <c r="DZ54" s="392">
        <f t="shared" si="31"/>
        <v>0</v>
      </c>
      <c r="EA54" s="394"/>
      <c r="EB54" s="392">
        <f>'[1]COE commited funds to date'!AJ57</f>
        <v>72000000</v>
      </c>
      <c r="EC54" s="392">
        <f>'[1]COE DISB 2019'!AJ62</f>
        <v>51120000</v>
      </c>
      <c r="ED54" s="392">
        <f t="shared" si="32"/>
        <v>20880000</v>
      </c>
      <c r="EE54" s="394"/>
      <c r="EF54" s="392">
        <f>'[1]COE commited funds to date'!AK57</f>
        <v>8000000</v>
      </c>
      <c r="EG54" s="392">
        <f>'[1]COE DISB 2019'!AK62</f>
        <v>6800000</v>
      </c>
      <c r="EH54" s="392">
        <f t="shared" si="33"/>
        <v>1200000</v>
      </c>
      <c r="EI54" s="394"/>
      <c r="EJ54" s="392">
        <f>'[1]COE commited funds to date'!AL57</f>
        <v>2000000</v>
      </c>
      <c r="EK54" s="392">
        <f>'[1]COE DISB 2019'!AL62</f>
        <v>0</v>
      </c>
      <c r="EL54" s="392">
        <f t="shared" si="34"/>
        <v>2000000</v>
      </c>
      <c r="EM54" s="394"/>
      <c r="EN54" s="392">
        <f>'[1]COE commited funds to date'!AM57</f>
        <v>7000000</v>
      </c>
      <c r="EO54" s="392">
        <f>'[1]COE DISB 2019'!AM62</f>
        <v>6775650</v>
      </c>
      <c r="EP54" s="392">
        <f t="shared" si="35"/>
        <v>224350</v>
      </c>
      <c r="EQ54" s="394"/>
      <c r="ER54" s="392">
        <f>'[1]COE commited funds to date'!AN57</f>
        <v>400000000</v>
      </c>
      <c r="ES54" s="392">
        <f>'[1]COE DISB 2019'!AN62</f>
        <v>400000000</v>
      </c>
      <c r="ET54" s="392">
        <f t="shared" si="36"/>
        <v>0</v>
      </c>
      <c r="EV54" s="383">
        <f>'[1]COE commited funds to date'!AO57</f>
        <v>0</v>
      </c>
      <c r="EW54" s="383">
        <f>'[1]COE DISB 2019'!AO62</f>
        <v>0</v>
      </c>
      <c r="EX54" s="383">
        <f t="shared" si="38"/>
        <v>0</v>
      </c>
      <c r="EY54" s="380"/>
      <c r="EZ54" s="383">
        <f>'[1]COE commited funds to date'!AQ57</f>
        <v>0</v>
      </c>
      <c r="FA54" s="383">
        <f>'[1]COE DISB 2019'!AP62</f>
        <v>0</v>
      </c>
      <c r="FB54" s="383">
        <f t="shared" si="39"/>
        <v>0</v>
      </c>
      <c r="FC54" s="380"/>
      <c r="FD54" s="383">
        <f>'[1]COE commited funds to date'!AR57</f>
        <v>0</v>
      </c>
      <c r="FE54" s="383">
        <f>'[1]COE DISB 2019'!AQ62</f>
        <v>0</v>
      </c>
      <c r="FF54" s="383">
        <f t="shared" si="40"/>
        <v>0</v>
      </c>
      <c r="FG54" s="380"/>
      <c r="FH54" s="383">
        <f>'[1]COE commited funds to date'!AP57</f>
        <v>0</v>
      </c>
      <c r="FI54" s="383">
        <f>'[1]COE DISB 2019'!AR62</f>
        <v>0</v>
      </c>
      <c r="FJ54" s="383">
        <f t="shared" si="41"/>
        <v>0</v>
      </c>
      <c r="FK54" s="383">
        <f>'[1]COE commited funds to date'!AS57</f>
        <v>0</v>
      </c>
      <c r="FL54" s="383">
        <f>'[1]COE DISB 2019'!AS62</f>
        <v>0</v>
      </c>
      <c r="FM54" s="383">
        <f t="shared" si="42"/>
        <v>0</v>
      </c>
      <c r="FN54" s="380"/>
      <c r="FO54" s="383">
        <f>'[1]COE commited funds to date'!AT57</f>
        <v>200000000</v>
      </c>
      <c r="FP54" s="383">
        <f>'[1]COE DISB 2019'!AT62</f>
        <v>0</v>
      </c>
      <c r="FQ54" s="383">
        <f t="shared" si="43"/>
        <v>200000000</v>
      </c>
      <c r="FR54" s="380"/>
      <c r="FS54" s="383">
        <f>'[1]COE commited funds to date'!AU57</f>
        <v>75000000</v>
      </c>
      <c r="FT54" s="383">
        <f>'[1]COE DISB 2019'!AU62</f>
        <v>41250000</v>
      </c>
      <c r="FU54" s="383">
        <f t="shared" si="44"/>
        <v>33750000</v>
      </c>
      <c r="FV54" s="380"/>
      <c r="FW54" s="383">
        <f>'[1]COE commited funds to date'!AV57</f>
        <v>8700000</v>
      </c>
      <c r="FX54" s="383">
        <f>'[1]COE DISB 2019'!AV62</f>
        <v>0</v>
      </c>
      <c r="FY54" s="383">
        <f t="shared" si="45"/>
        <v>8700000</v>
      </c>
      <c r="FZ54" s="380"/>
      <c r="GA54" s="383">
        <f>'[1]COE commited funds to date'!AW57</f>
        <v>5000000</v>
      </c>
      <c r="GB54" s="383">
        <f>'[1]COE DISB 2019'!AW62</f>
        <v>0</v>
      </c>
      <c r="GC54" s="383">
        <f t="shared" si="46"/>
        <v>5000000</v>
      </c>
      <c r="GD54" s="380"/>
      <c r="GE54" s="383">
        <f>'[1]COE commited funds to date'!AX57</f>
        <v>20000000</v>
      </c>
      <c r="GF54" s="383">
        <f>'[1]COE DISB 2019'!AX62</f>
        <v>0</v>
      </c>
      <c r="GG54" s="383">
        <f t="shared" si="47"/>
        <v>20000000</v>
      </c>
      <c r="GH54" s="380"/>
      <c r="GI54" s="383">
        <f>'[1]COE commited funds to date'!AY57</f>
        <v>0</v>
      </c>
      <c r="GJ54" s="383">
        <f>'[1]COE DISB 2019'!AY62</f>
        <v>0</v>
      </c>
      <c r="GK54" s="383">
        <f t="shared" si="48"/>
        <v>0</v>
      </c>
      <c r="GL54" s="380"/>
      <c r="GM54" s="383">
        <f>'[1]COE commited funds to date'!AZ57</f>
        <v>116776600</v>
      </c>
      <c r="GN54" s="383">
        <f>'[1]COE DISB 2019'!AZ62</f>
        <v>0</v>
      </c>
      <c r="GO54" s="383">
        <f t="shared" si="49"/>
        <v>116776600</v>
      </c>
      <c r="GP54" s="380"/>
      <c r="GQ54" s="383">
        <f>'[1]COE commited funds to date'!BA57</f>
        <v>0</v>
      </c>
      <c r="GR54" s="383">
        <f>'[1]COE DISB 2019'!BA62</f>
        <v>0</v>
      </c>
      <c r="GS54" s="383">
        <f t="shared" si="50"/>
        <v>0</v>
      </c>
      <c r="GT54" s="380"/>
      <c r="GU54" s="383">
        <f>'[1]COE commited funds to date'!BB57</f>
        <v>0</v>
      </c>
      <c r="GV54" s="383">
        <f>'[1]COE DISB 2019'!BB62</f>
        <v>0</v>
      </c>
      <c r="GW54" s="383">
        <f t="shared" si="51"/>
        <v>0</v>
      </c>
      <c r="GX54" s="380"/>
      <c r="GY54" s="383">
        <f>'[1]COE commited funds to date'!BC57</f>
        <v>0</v>
      </c>
      <c r="GZ54" s="383">
        <f>'[1]COE DISB 2019'!BC62</f>
        <v>0</v>
      </c>
      <c r="HA54" s="383">
        <f t="shared" si="52"/>
        <v>0</v>
      </c>
      <c r="HB54" s="380"/>
      <c r="HC54" s="383">
        <f t="shared" si="53"/>
        <v>2023297563.5</v>
      </c>
      <c r="HD54" s="383">
        <f t="shared" si="53"/>
        <v>1442446614.5599999</v>
      </c>
      <c r="HE54" s="392">
        <f t="shared" si="54"/>
        <v>580850948.94000006</v>
      </c>
      <c r="HG54" s="383">
        <f t="shared" si="55"/>
        <v>830878965.5</v>
      </c>
      <c r="HH54" s="383">
        <f t="shared" si="55"/>
        <v>558998966.55999994</v>
      </c>
      <c r="HI54" s="383">
        <f t="shared" si="56"/>
        <v>271879998.94000006</v>
      </c>
      <c r="HK54" s="383">
        <f t="shared" si="57"/>
        <v>923000000</v>
      </c>
      <c r="HL54" s="383">
        <f t="shared" si="57"/>
        <v>811680000</v>
      </c>
      <c r="HM54" s="383">
        <f t="shared" si="58"/>
        <v>111320000</v>
      </c>
      <c r="HO54" s="383">
        <f t="shared" si="71"/>
        <v>1941998</v>
      </c>
      <c r="HP54" s="383">
        <f t="shared" si="71"/>
        <v>1941998</v>
      </c>
      <c r="HQ54" s="383">
        <f t="shared" si="59"/>
        <v>0</v>
      </c>
      <c r="HS54" s="383">
        <f t="shared" si="60"/>
        <v>47000000</v>
      </c>
      <c r="HT54" s="383">
        <f t="shared" si="60"/>
        <v>16775650</v>
      </c>
      <c r="HU54" s="383">
        <f t="shared" si="61"/>
        <v>30224350</v>
      </c>
      <c r="HW54" s="383">
        <f t="shared" si="62"/>
        <v>16700000</v>
      </c>
      <c r="HX54" s="383">
        <f t="shared" si="62"/>
        <v>6800000</v>
      </c>
      <c r="HY54" s="383">
        <f t="shared" si="63"/>
        <v>9900000</v>
      </c>
      <c r="IA54" s="387">
        <f t="shared" si="64"/>
        <v>5000000</v>
      </c>
      <c r="IB54" s="387">
        <f t="shared" si="64"/>
        <v>0</v>
      </c>
      <c r="IC54" s="387">
        <f t="shared" si="65"/>
        <v>5000000</v>
      </c>
      <c r="IE54" s="383">
        <f t="shared" si="66"/>
        <v>191776600</v>
      </c>
      <c r="IF54" s="383">
        <f t="shared" si="66"/>
        <v>41250000</v>
      </c>
      <c r="IG54" s="383">
        <f t="shared" si="67"/>
        <v>150526600</v>
      </c>
      <c r="II54" s="383">
        <f t="shared" si="68"/>
        <v>2000000</v>
      </c>
      <c r="IJ54" s="383">
        <f t="shared" si="68"/>
        <v>0</v>
      </c>
      <c r="IK54" s="383">
        <f t="shared" si="69"/>
        <v>2000000</v>
      </c>
    </row>
    <row r="55" spans="1:245" x14ac:dyDescent="0.25">
      <c r="A55" s="380">
        <v>52</v>
      </c>
      <c r="B55" s="380" t="s">
        <v>371</v>
      </c>
      <c r="C55" s="436" t="s">
        <v>69</v>
      </c>
      <c r="D55" s="392">
        <v>18318965.5</v>
      </c>
      <c r="E55" s="392">
        <f>'[1]COE DISB 2019'!D63</f>
        <v>18318965.5</v>
      </c>
      <c r="F55" s="383">
        <f t="shared" si="0"/>
        <v>0</v>
      </c>
      <c r="H55" s="392">
        <v>8000000</v>
      </c>
      <c r="I55" s="392">
        <f>'[1]COE DISB 2019'!E63</f>
        <v>8000000</v>
      </c>
      <c r="J55" s="383">
        <f t="shared" si="1"/>
        <v>0</v>
      </c>
      <c r="L55" s="392">
        <v>500000</v>
      </c>
      <c r="M55" s="392">
        <f>'[1]COE DISB 2019'!F63</f>
        <v>500000</v>
      </c>
      <c r="N55" s="383">
        <f t="shared" si="2"/>
        <v>0</v>
      </c>
      <c r="P55" s="385">
        <v>16000000</v>
      </c>
      <c r="Q55" s="392">
        <f>'[1]COE DISB 2019'!G63</f>
        <v>16000000</v>
      </c>
      <c r="R55" s="383">
        <f t="shared" si="3"/>
        <v>0</v>
      </c>
      <c r="T55" s="385">
        <v>2861000</v>
      </c>
      <c r="U55" s="392">
        <f>'[1]COE DISB 2019'!H63</f>
        <v>2861000</v>
      </c>
      <c r="V55" s="383">
        <f t="shared" si="4"/>
        <v>0</v>
      </c>
      <c r="X55" s="353">
        <v>0</v>
      </c>
      <c r="Y55" s="392">
        <f>'[1]COE DISB 2019'!I63</f>
        <v>0</v>
      </c>
      <c r="Z55" s="383">
        <f t="shared" si="5"/>
        <v>0</v>
      </c>
      <c r="AB55" s="385">
        <v>20000000</v>
      </c>
      <c r="AC55" s="392">
        <f>'[1]COE DISB 2019'!J63</f>
        <v>20000000</v>
      </c>
      <c r="AD55" s="383">
        <f t="shared" si="6"/>
        <v>0</v>
      </c>
      <c r="AF55" s="353">
        <v>0</v>
      </c>
      <c r="AG55" s="392">
        <f>'[1]COE DISB 2019'!K63</f>
        <v>0</v>
      </c>
      <c r="AH55" s="383">
        <f t="shared" si="7"/>
        <v>0</v>
      </c>
      <c r="AJ55" s="385">
        <v>10000000</v>
      </c>
      <c r="AK55" s="392">
        <f>'[1]COE DISB 2019'!L63</f>
        <v>10000000</v>
      </c>
      <c r="AL55" s="383">
        <f t="shared" si="8"/>
        <v>0</v>
      </c>
      <c r="AN55" s="392">
        <v>10000000</v>
      </c>
      <c r="AO55" s="392">
        <f>'[1]COE DISB 2019'!M63</f>
        <v>10000000</v>
      </c>
      <c r="AP55" s="383">
        <f t="shared" si="9"/>
        <v>0</v>
      </c>
      <c r="AR55" s="392">
        <v>15000000</v>
      </c>
      <c r="AS55" s="392">
        <f>'[1]COE DISB 2019'!N63</f>
        <v>15000000</v>
      </c>
      <c r="AT55" s="383">
        <f t="shared" si="10"/>
        <v>0</v>
      </c>
      <c r="AV55" s="392">
        <v>5000000</v>
      </c>
      <c r="AW55" s="393">
        <f>'[1]COE DISB 2019'!O63</f>
        <v>5000000</v>
      </c>
      <c r="AX55" s="392">
        <f t="shared" si="11"/>
        <v>0</v>
      </c>
      <c r="AZ55" s="392">
        <v>18000000</v>
      </c>
      <c r="BA55" s="392">
        <f>'[1]COE DISB 2019'!P63</f>
        <v>18000000</v>
      </c>
      <c r="BB55" s="392">
        <f t="shared" si="12"/>
        <v>0</v>
      </c>
      <c r="BD55" s="392">
        <v>23400000</v>
      </c>
      <c r="BE55" s="392">
        <f>'[1]COE DISB 2019'!Q63</f>
        <v>23400000</v>
      </c>
      <c r="BF55" s="392">
        <f t="shared" si="13"/>
        <v>0</v>
      </c>
      <c r="BH55" s="392">
        <v>0</v>
      </c>
      <c r="BI55" s="392">
        <f>'[1]COE DISB 2019'!R63</f>
        <v>0</v>
      </c>
      <c r="BJ55" s="392">
        <f t="shared" si="14"/>
        <v>0</v>
      </c>
      <c r="BL55" s="392">
        <v>43000000</v>
      </c>
      <c r="BM55" s="392">
        <f>'[1]COE DISB 2019'!S63</f>
        <v>43000000</v>
      </c>
      <c r="BN55" s="392">
        <f t="shared" si="15"/>
        <v>0</v>
      </c>
      <c r="BP55" s="392">
        <v>37160000</v>
      </c>
      <c r="BQ55" s="392">
        <f>'[1]COE DISB 2019'!T63</f>
        <v>37160000</v>
      </c>
      <c r="BR55" s="392">
        <f t="shared" si="16"/>
        <v>0</v>
      </c>
      <c r="BT55" s="392">
        <v>0</v>
      </c>
      <c r="BU55" s="392">
        <f>'[1]COE DISB 2019'!U63</f>
        <v>0</v>
      </c>
      <c r="BV55" s="392">
        <f t="shared" si="17"/>
        <v>0</v>
      </c>
      <c r="BX55" s="392">
        <v>112669500</v>
      </c>
      <c r="BY55" s="392">
        <f>'[1]COE DISB 2019'!V63</f>
        <v>112669500</v>
      </c>
      <c r="BZ55" s="392">
        <f t="shared" si="18"/>
        <v>0</v>
      </c>
      <c r="CB55" s="392">
        <f>'[1]COE commited funds to date'!W58</f>
        <v>210000000</v>
      </c>
      <c r="CC55" s="392">
        <f>'[1]COE DISB 2019'!W63</f>
        <v>210000000</v>
      </c>
      <c r="CD55" s="392">
        <f t="shared" si="19"/>
        <v>0</v>
      </c>
      <c r="CF55" s="392">
        <f>'[1]COE commited funds to date'!X58</f>
        <v>125000000</v>
      </c>
      <c r="CG55" s="392">
        <f>'[1]COE DISB 2019'!X63</f>
        <v>125000000</v>
      </c>
      <c r="CH55" s="392">
        <f t="shared" si="20"/>
        <v>0</v>
      </c>
      <c r="CJ55" s="392">
        <v>10000000</v>
      </c>
      <c r="CK55" s="392">
        <f>'[1]COE DISB 2019'!Y63</f>
        <v>10000000</v>
      </c>
      <c r="CL55" s="392">
        <f t="shared" si="21"/>
        <v>0</v>
      </c>
      <c r="CN55" s="392">
        <v>0</v>
      </c>
      <c r="CO55" s="392">
        <f>'[1]COE DISB 2019'!Z63</f>
        <v>0</v>
      </c>
      <c r="CP55" s="392">
        <f t="shared" si="22"/>
        <v>0</v>
      </c>
      <c r="CR55" s="392">
        <v>210000000</v>
      </c>
      <c r="CS55" s="392">
        <f>'[1]COE DISB 2019'!AA63</f>
        <v>210000000</v>
      </c>
      <c r="CT55" s="392">
        <f t="shared" si="23"/>
        <v>0</v>
      </c>
      <c r="CV55" s="392">
        <v>10000000</v>
      </c>
      <c r="CW55" s="392">
        <f>'[1]COE DISB 2019'!AB63</f>
        <v>10000000</v>
      </c>
      <c r="CX55" s="392">
        <f t="shared" si="24"/>
        <v>0</v>
      </c>
      <c r="CZ55" s="392">
        <f>'[1]COE commited funds to date'!AC58</f>
        <v>0</v>
      </c>
      <c r="DA55" s="392">
        <f>'[1]COE DISB 2019'!AC63</f>
        <v>0</v>
      </c>
      <c r="DB55" s="392">
        <f t="shared" si="25"/>
        <v>0</v>
      </c>
      <c r="DC55" s="394"/>
      <c r="DD55" s="392">
        <v>215000000</v>
      </c>
      <c r="DE55" s="392">
        <f>'[1]COE DISB 2019'!AD63</f>
        <v>135450000</v>
      </c>
      <c r="DF55" s="392">
        <f t="shared" si="26"/>
        <v>79550000</v>
      </c>
      <c r="DG55" s="394"/>
      <c r="DH55" s="392">
        <v>10000000</v>
      </c>
      <c r="DI55" s="392">
        <f>'[1]COE DISB 2019'!AE63</f>
        <v>10000000</v>
      </c>
      <c r="DJ55" s="392">
        <f>DH55-DI55</f>
        <v>0</v>
      </c>
      <c r="DK55" s="394"/>
      <c r="DL55" s="392">
        <f>'[1]COE commited funds to date'!AD58</f>
        <v>0</v>
      </c>
      <c r="DM55" s="392">
        <f>'[1]COE DISB 2019'!AF63</f>
        <v>0</v>
      </c>
      <c r="DN55" s="392">
        <f t="shared" si="28"/>
        <v>0</v>
      </c>
      <c r="DO55" s="394"/>
      <c r="DP55" s="392">
        <v>325000000</v>
      </c>
      <c r="DQ55" s="392">
        <f>'[1]COE DISB 2019'!AG63</f>
        <v>204750000</v>
      </c>
      <c r="DR55" s="392">
        <f t="shared" si="29"/>
        <v>120250000</v>
      </c>
      <c r="DS55" s="394"/>
      <c r="DT55" s="397">
        <v>10000000</v>
      </c>
      <c r="DU55" s="392">
        <f>'[1]COE DISB 2019'!AH63</f>
        <v>10000000</v>
      </c>
      <c r="DV55" s="392">
        <f t="shared" si="30"/>
        <v>0</v>
      </c>
      <c r="DW55" s="394"/>
      <c r="DX55" s="392">
        <f>'[1]COE commited funds to date'!AI58</f>
        <v>250000000</v>
      </c>
      <c r="DY55" s="392">
        <f>'[1]COE DISB 2019'!AI63</f>
        <v>250000000</v>
      </c>
      <c r="DZ55" s="392">
        <f t="shared" si="31"/>
        <v>0</v>
      </c>
      <c r="EA55" s="394"/>
      <c r="EB55" s="392">
        <f>'[1]COE commited funds to date'!AJ58</f>
        <v>72000000</v>
      </c>
      <c r="EC55" s="392">
        <f>'[1]COE DISB 2019'!AJ63</f>
        <v>45360000</v>
      </c>
      <c r="ED55" s="392">
        <f t="shared" si="32"/>
        <v>26640000</v>
      </c>
      <c r="EE55" s="394"/>
      <c r="EF55" s="392">
        <f>'[1]COE commited funds to date'!AK58</f>
        <v>8000000</v>
      </c>
      <c r="EG55" s="392">
        <f>'[1]COE DISB 2019'!AK63</f>
        <v>0</v>
      </c>
      <c r="EH55" s="392">
        <f t="shared" si="33"/>
        <v>8000000</v>
      </c>
      <c r="EI55" s="394"/>
      <c r="EJ55" s="392">
        <f>'[1]COE commited funds to date'!AL58</f>
        <v>2000000</v>
      </c>
      <c r="EK55" s="392">
        <f>'[1]COE DISB 2019'!AL63</f>
        <v>0</v>
      </c>
      <c r="EL55" s="392">
        <f t="shared" si="34"/>
        <v>2000000</v>
      </c>
      <c r="EM55" s="394"/>
      <c r="EN55" s="392">
        <f>'[1]COE commited funds to date'!AM58</f>
        <v>7000000</v>
      </c>
      <c r="EO55" s="392">
        <f>'[1]COE DISB 2019'!AM63</f>
        <v>7000000</v>
      </c>
      <c r="EP55" s="392">
        <f t="shared" si="35"/>
        <v>0</v>
      </c>
      <c r="EQ55" s="394"/>
      <c r="ER55" s="392">
        <f>'[1]COE commited funds to date'!AN58</f>
        <v>3600000000</v>
      </c>
      <c r="ES55" s="392">
        <f>'[1]COE DISB 2019'!AN63</f>
        <v>3435000000</v>
      </c>
      <c r="ET55" s="392">
        <f t="shared" si="36"/>
        <v>165000000</v>
      </c>
      <c r="EV55" s="383">
        <f>'[1]COE commited funds to date'!AO58</f>
        <v>371067000</v>
      </c>
      <c r="EW55" s="383">
        <f>'[1]COE DISB 2019'!AO63</f>
        <v>233772210</v>
      </c>
      <c r="EX55" s="383">
        <f t="shared" si="38"/>
        <v>137294790</v>
      </c>
      <c r="EY55" s="380"/>
      <c r="EZ55" s="383">
        <f>'[1]COE commited funds to date'!AQ58</f>
        <v>12000000</v>
      </c>
      <c r="FA55" s="383">
        <f>'[1]COE DISB 2019'!AP63</f>
        <v>11788400</v>
      </c>
      <c r="FB55" s="383">
        <f t="shared" si="39"/>
        <v>211600</v>
      </c>
      <c r="FC55" s="380"/>
      <c r="FD55" s="383">
        <f>'[1]COE commited funds to date'!AR58</f>
        <v>10000000</v>
      </c>
      <c r="FE55" s="383">
        <f>'[1]COE DISB 2019'!AQ63</f>
        <v>0</v>
      </c>
      <c r="FF55" s="383">
        <f t="shared" si="40"/>
        <v>10000000</v>
      </c>
      <c r="FG55" s="380"/>
      <c r="FH55" s="383">
        <f>'[1]COE commited funds to date'!AP58</f>
        <v>8000000</v>
      </c>
      <c r="FI55" s="383">
        <f>'[1]COE DISB 2019'!AR63</f>
        <v>0</v>
      </c>
      <c r="FJ55" s="383">
        <f t="shared" si="41"/>
        <v>8000000</v>
      </c>
      <c r="FK55" s="383">
        <f>'[1]COE commited funds to date'!AS58</f>
        <v>0</v>
      </c>
      <c r="FL55" s="383">
        <f>'[1]COE DISB 2019'!AS63</f>
        <v>0</v>
      </c>
      <c r="FM55" s="383">
        <f t="shared" si="42"/>
        <v>0</v>
      </c>
      <c r="FN55" s="380"/>
      <c r="FO55" s="383">
        <f>'[1]COE commited funds to date'!AT58</f>
        <v>200000000</v>
      </c>
      <c r="FP55" s="383">
        <f>'[1]COE DISB 2019'!AT63</f>
        <v>0</v>
      </c>
      <c r="FQ55" s="383">
        <f t="shared" si="43"/>
        <v>200000000</v>
      </c>
      <c r="FR55" s="380"/>
      <c r="FS55" s="383">
        <f>'[1]COE commited funds to date'!AU58</f>
        <v>75000000</v>
      </c>
      <c r="FT55" s="383">
        <f>'[1]COE DISB 2019'!AU63</f>
        <v>52500000</v>
      </c>
      <c r="FU55" s="383">
        <f t="shared" si="44"/>
        <v>22500000</v>
      </c>
      <c r="FV55" s="380"/>
      <c r="FW55" s="383">
        <f>'[1]COE commited funds to date'!AV58</f>
        <v>8700000</v>
      </c>
      <c r="FX55" s="383">
        <f>'[1]COE DISB 2019'!AV63</f>
        <v>0</v>
      </c>
      <c r="FY55" s="383">
        <f t="shared" si="45"/>
        <v>8700000</v>
      </c>
      <c r="FZ55" s="380"/>
      <c r="GA55" s="383">
        <f>'[1]COE commited funds to date'!AW58</f>
        <v>5000000</v>
      </c>
      <c r="GB55" s="383">
        <f>'[1]COE DISB 2019'!AW63</f>
        <v>0</v>
      </c>
      <c r="GC55" s="383">
        <f t="shared" si="46"/>
        <v>5000000</v>
      </c>
      <c r="GD55" s="380"/>
      <c r="GE55" s="383">
        <f>'[1]COE commited funds to date'!AX58</f>
        <v>20000000</v>
      </c>
      <c r="GF55" s="383">
        <f>'[1]COE DISB 2019'!AX63</f>
        <v>0</v>
      </c>
      <c r="GG55" s="383">
        <f t="shared" si="47"/>
        <v>20000000</v>
      </c>
      <c r="GH55" s="380"/>
      <c r="GI55" s="383">
        <f>'[1]COE commited funds to date'!AY58</f>
        <v>230000000</v>
      </c>
      <c r="GJ55" s="383">
        <f>'[1]COE DISB 2019'!AY63</f>
        <v>0</v>
      </c>
      <c r="GK55" s="383">
        <f t="shared" si="48"/>
        <v>230000000</v>
      </c>
      <c r="GL55" s="380"/>
      <c r="GM55" s="383">
        <f>'[1]COE commited funds to date'!AZ58</f>
        <v>116776600</v>
      </c>
      <c r="GN55" s="383">
        <f>'[1]COE DISB 2019'!AZ63</f>
        <v>0</v>
      </c>
      <c r="GO55" s="383">
        <f t="shared" si="49"/>
        <v>116776600</v>
      </c>
      <c r="GP55" s="380"/>
      <c r="GQ55" s="383">
        <f>'[1]COE commited funds to date'!BA58</f>
        <v>12000000</v>
      </c>
      <c r="GR55" s="383">
        <f>'[1]COE DISB 2019'!BA63</f>
        <v>0</v>
      </c>
      <c r="GS55" s="383">
        <f t="shared" si="50"/>
        <v>12000000</v>
      </c>
      <c r="GT55" s="380"/>
      <c r="GU55" s="383">
        <f>'[1]COE commited funds to date'!BB58</f>
        <v>5000000</v>
      </c>
      <c r="GV55" s="383">
        <f>'[1]COE DISB 2019'!BB63</f>
        <v>0</v>
      </c>
      <c r="GW55" s="383">
        <f t="shared" si="51"/>
        <v>5000000</v>
      </c>
      <c r="GX55" s="380"/>
      <c r="GY55" s="383">
        <f>'[1]COE commited funds to date'!BC58</f>
        <v>10308300</v>
      </c>
      <c r="GZ55" s="383">
        <f>'[1]COE DISB 2019'!BC63</f>
        <v>0</v>
      </c>
      <c r="HA55" s="383">
        <f t="shared" si="52"/>
        <v>10308300</v>
      </c>
      <c r="HB55" s="380"/>
      <c r="HC55" s="383">
        <f t="shared" si="53"/>
        <v>6487761365.5</v>
      </c>
      <c r="HD55" s="383">
        <f t="shared" si="53"/>
        <v>5300530075.5</v>
      </c>
      <c r="HE55" s="392">
        <f t="shared" si="54"/>
        <v>1187231290</v>
      </c>
      <c r="HG55" s="383">
        <f t="shared" si="55"/>
        <v>2079615465.5</v>
      </c>
      <c r="HH55" s="383">
        <f t="shared" si="55"/>
        <v>1285880675.5</v>
      </c>
      <c r="HI55" s="383">
        <f t="shared" si="56"/>
        <v>793734790</v>
      </c>
      <c r="HK55" s="383">
        <f t="shared" si="57"/>
        <v>4060000000</v>
      </c>
      <c r="HL55" s="383">
        <f t="shared" si="57"/>
        <v>3895000000</v>
      </c>
      <c r="HM55" s="383">
        <f t="shared" si="58"/>
        <v>165000000</v>
      </c>
      <c r="HO55" s="383">
        <f t="shared" si="71"/>
        <v>3361000</v>
      </c>
      <c r="HP55" s="383">
        <f t="shared" si="71"/>
        <v>3361000</v>
      </c>
      <c r="HQ55" s="383">
        <f t="shared" si="59"/>
        <v>0</v>
      </c>
      <c r="HS55" s="383">
        <f t="shared" si="60"/>
        <v>89308300</v>
      </c>
      <c r="HT55" s="383">
        <f t="shared" si="60"/>
        <v>58788400</v>
      </c>
      <c r="HU55" s="383">
        <f t="shared" si="61"/>
        <v>30519900</v>
      </c>
      <c r="HW55" s="383">
        <f t="shared" si="62"/>
        <v>36700000</v>
      </c>
      <c r="HX55" s="383">
        <f t="shared" si="62"/>
        <v>0</v>
      </c>
      <c r="HY55" s="383">
        <f t="shared" si="63"/>
        <v>36700000</v>
      </c>
      <c r="IA55" s="387">
        <f t="shared" si="64"/>
        <v>20000000</v>
      </c>
      <c r="IB55" s="387">
        <f t="shared" si="64"/>
        <v>0</v>
      </c>
      <c r="IC55" s="387">
        <f t="shared" si="65"/>
        <v>20000000</v>
      </c>
      <c r="IE55" s="383">
        <f t="shared" si="66"/>
        <v>191776600</v>
      </c>
      <c r="IF55" s="383">
        <f t="shared" si="66"/>
        <v>52500000</v>
      </c>
      <c r="IG55" s="383">
        <f t="shared" si="67"/>
        <v>139276600</v>
      </c>
      <c r="II55" s="383">
        <f t="shared" si="68"/>
        <v>2000000</v>
      </c>
      <c r="IJ55" s="383">
        <f t="shared" si="68"/>
        <v>0</v>
      </c>
      <c r="IK55" s="383">
        <f t="shared" si="69"/>
        <v>2000000</v>
      </c>
    </row>
    <row r="56" spans="1:245" x14ac:dyDescent="0.25">
      <c r="A56" s="380">
        <v>53</v>
      </c>
      <c r="B56" s="380" t="s">
        <v>372</v>
      </c>
      <c r="C56" s="431" t="s">
        <v>61</v>
      </c>
      <c r="D56" s="392">
        <v>18318965.5</v>
      </c>
      <c r="E56" s="392">
        <f>'[1]COE DISB 2019'!D64</f>
        <v>18318965.5</v>
      </c>
      <c r="F56" s="383">
        <f t="shared" si="0"/>
        <v>0</v>
      </c>
      <c r="H56" s="392">
        <v>8000000</v>
      </c>
      <c r="I56" s="392">
        <f>'[1]COE DISB 2019'!E64</f>
        <v>8000000</v>
      </c>
      <c r="J56" s="383">
        <f t="shared" si="1"/>
        <v>0</v>
      </c>
      <c r="L56" s="392">
        <v>500000</v>
      </c>
      <c r="M56" s="392">
        <f>'[1]COE DISB 2019'!F64</f>
        <v>500000</v>
      </c>
      <c r="N56" s="383">
        <f t="shared" si="2"/>
        <v>0</v>
      </c>
      <c r="P56" s="385">
        <v>16000000</v>
      </c>
      <c r="Q56" s="392">
        <f>'[1]COE DISB 2019'!G64</f>
        <v>16000000</v>
      </c>
      <c r="R56" s="383">
        <f t="shared" si="3"/>
        <v>0</v>
      </c>
      <c r="T56" s="385">
        <v>844000</v>
      </c>
      <c r="U56" s="392">
        <f>'[1]COE DISB 2019'!H64</f>
        <v>844000</v>
      </c>
      <c r="V56" s="383">
        <f t="shared" si="4"/>
        <v>0</v>
      </c>
      <c r="X56" s="353">
        <v>0</v>
      </c>
      <c r="Y56" s="392">
        <f>'[1]COE DISB 2019'!I64</f>
        <v>0</v>
      </c>
      <c r="Z56" s="383">
        <f t="shared" si="5"/>
        <v>0</v>
      </c>
      <c r="AB56" s="385">
        <v>20000000</v>
      </c>
      <c r="AC56" s="392">
        <f>'[1]COE DISB 2019'!J64</f>
        <v>20000000</v>
      </c>
      <c r="AD56" s="383">
        <f t="shared" si="6"/>
        <v>0</v>
      </c>
      <c r="AF56" s="353">
        <v>0</v>
      </c>
      <c r="AG56" s="392">
        <f>'[1]COE DISB 2019'!K64</f>
        <v>0</v>
      </c>
      <c r="AH56" s="383">
        <f t="shared" si="7"/>
        <v>0</v>
      </c>
      <c r="AJ56" s="385">
        <v>10000000</v>
      </c>
      <c r="AK56" s="392">
        <f>'[1]COE DISB 2019'!L64</f>
        <v>10000000</v>
      </c>
      <c r="AL56" s="383">
        <f t="shared" si="8"/>
        <v>0</v>
      </c>
      <c r="AN56" s="392">
        <v>10000000</v>
      </c>
      <c r="AO56" s="392">
        <f>'[1]COE DISB 2019'!M64</f>
        <v>10000000</v>
      </c>
      <c r="AP56" s="383">
        <f t="shared" si="9"/>
        <v>0</v>
      </c>
      <c r="AR56" s="392">
        <v>15000000</v>
      </c>
      <c r="AS56" s="392">
        <f>'[1]COE DISB 2019'!N64</f>
        <v>15000000</v>
      </c>
      <c r="AT56" s="383">
        <f t="shared" si="10"/>
        <v>0</v>
      </c>
      <c r="AV56" s="392">
        <v>0</v>
      </c>
      <c r="AW56" s="432">
        <f>'[1]COE DISB 2019'!O64</f>
        <v>0</v>
      </c>
      <c r="AX56" s="392">
        <f t="shared" si="11"/>
        <v>0</v>
      </c>
      <c r="AZ56" s="392">
        <v>18000000</v>
      </c>
      <c r="BA56" s="392">
        <f>'[1]COE DISB 2019'!P64</f>
        <v>18000000</v>
      </c>
      <c r="BB56" s="392">
        <f t="shared" si="12"/>
        <v>0</v>
      </c>
      <c r="BD56" s="392">
        <v>23400000</v>
      </c>
      <c r="BE56" s="392">
        <f>'[1]COE DISB 2019'!Q64</f>
        <v>23400000</v>
      </c>
      <c r="BF56" s="392">
        <f t="shared" si="13"/>
        <v>0</v>
      </c>
      <c r="BH56" s="392">
        <v>0</v>
      </c>
      <c r="BI56" s="392">
        <f>'[1]COE DISB 2019'!R64</f>
        <v>0</v>
      </c>
      <c r="BJ56" s="392">
        <f t="shared" si="14"/>
        <v>0</v>
      </c>
      <c r="BL56" s="392">
        <v>43000000</v>
      </c>
      <c r="BM56" s="392">
        <f>'[1]COE DISB 2019'!S64</f>
        <v>43000000</v>
      </c>
      <c r="BN56" s="392">
        <f t="shared" si="15"/>
        <v>0</v>
      </c>
      <c r="BP56" s="392">
        <v>37160000</v>
      </c>
      <c r="BQ56" s="392">
        <f>'[1]COE DISB 2019'!T64</f>
        <v>37160000</v>
      </c>
      <c r="BR56" s="392">
        <f t="shared" si="16"/>
        <v>0</v>
      </c>
      <c r="BT56" s="392">
        <v>0</v>
      </c>
      <c r="BU56" s="392">
        <f>'[1]COE DISB 2019'!U64</f>
        <v>0</v>
      </c>
      <c r="BV56" s="392">
        <f t="shared" si="17"/>
        <v>0</v>
      </c>
      <c r="BX56" s="392">
        <v>112670000</v>
      </c>
      <c r="BY56" s="392">
        <f>'[1]COE DISB 2019'!V64</f>
        <v>112670000</v>
      </c>
      <c r="BZ56" s="392">
        <f t="shared" si="18"/>
        <v>0</v>
      </c>
      <c r="CB56" s="392">
        <f>'[1]COE commited funds to date'!W59</f>
        <v>0</v>
      </c>
      <c r="CC56" s="392">
        <f>'[1]COE DISB 2019'!W64</f>
        <v>0</v>
      </c>
      <c r="CD56" s="392">
        <f t="shared" si="19"/>
        <v>0</v>
      </c>
      <c r="CF56" s="392">
        <f>'[1]COE commited funds to date'!X59</f>
        <v>125000000</v>
      </c>
      <c r="CG56" s="392">
        <f>'[1]COE DISB 2019'!X64</f>
        <v>125000000</v>
      </c>
      <c r="CH56" s="392">
        <f t="shared" si="20"/>
        <v>0</v>
      </c>
      <c r="CJ56" s="392">
        <v>10000000</v>
      </c>
      <c r="CK56" s="392">
        <f>'[1]COE DISB 2019'!Y64</f>
        <v>10000000</v>
      </c>
      <c r="CL56" s="392">
        <f t="shared" si="21"/>
        <v>0</v>
      </c>
      <c r="CN56" s="392">
        <v>0</v>
      </c>
      <c r="CO56" s="392">
        <f>'[1]COE DISB 2019'!Z64</f>
        <v>0</v>
      </c>
      <c r="CP56" s="392">
        <f t="shared" si="22"/>
        <v>0</v>
      </c>
      <c r="CR56" s="392">
        <v>210000000</v>
      </c>
      <c r="CS56" s="392">
        <f>'[1]COE DISB 2019'!AA64</f>
        <v>210000000</v>
      </c>
      <c r="CT56" s="392">
        <f t="shared" si="23"/>
        <v>0</v>
      </c>
      <c r="CV56" s="392">
        <v>10000000</v>
      </c>
      <c r="CW56" s="392">
        <f>'[1]COE DISB 2019'!AB64</f>
        <v>10000000</v>
      </c>
      <c r="CX56" s="392">
        <f t="shared" si="24"/>
        <v>0</v>
      </c>
      <c r="CZ56" s="392">
        <f>'[1]COE commited funds to date'!AC59</f>
        <v>0</v>
      </c>
      <c r="DA56" s="392">
        <f>'[1]COE DISB 2019'!AC64</f>
        <v>0</v>
      </c>
      <c r="DB56" s="392">
        <f t="shared" si="25"/>
        <v>0</v>
      </c>
      <c r="DC56" s="394"/>
      <c r="DD56" s="392">
        <v>215000000</v>
      </c>
      <c r="DE56" s="392">
        <f>'[1]COE DISB 2019'!AD64</f>
        <v>215000000</v>
      </c>
      <c r="DF56" s="392">
        <f t="shared" si="26"/>
        <v>0</v>
      </c>
      <c r="DG56" s="394"/>
      <c r="DH56" s="392">
        <v>10000000</v>
      </c>
      <c r="DI56" s="392">
        <f>'[1]COE DISB 2019'!AE64</f>
        <v>10000000</v>
      </c>
      <c r="DJ56" s="392">
        <f>DH56-DI56</f>
        <v>0</v>
      </c>
      <c r="DK56" s="394"/>
      <c r="DL56" s="392">
        <f>'[1]COE commited funds to date'!AD59</f>
        <v>0</v>
      </c>
      <c r="DM56" s="392">
        <f>'[1]COE DISB 2019'!AF64</f>
        <v>0</v>
      </c>
      <c r="DN56" s="392">
        <f t="shared" si="28"/>
        <v>0</v>
      </c>
      <c r="DO56" s="394"/>
      <c r="DP56" s="392">
        <v>325000000</v>
      </c>
      <c r="DQ56" s="392">
        <f>'[1]COE DISB 2019'!AG64</f>
        <v>325000000</v>
      </c>
      <c r="DR56" s="392">
        <f t="shared" si="29"/>
        <v>0</v>
      </c>
      <c r="DS56" s="394"/>
      <c r="DT56" s="397">
        <v>10000000</v>
      </c>
      <c r="DU56" s="392">
        <f>'[1]COE DISB 2019'!AH64</f>
        <v>10000000</v>
      </c>
      <c r="DV56" s="392">
        <f t="shared" si="30"/>
        <v>0</v>
      </c>
      <c r="DW56" s="394"/>
      <c r="DX56" s="392">
        <f>'[1]COE commited funds to date'!AI59</f>
        <v>41600000</v>
      </c>
      <c r="DY56" s="392">
        <f>'[1]COE DISB 2019'!AI64</f>
        <v>35360000</v>
      </c>
      <c r="DZ56" s="392">
        <f t="shared" si="31"/>
        <v>6240000</v>
      </c>
      <c r="EA56" s="394"/>
      <c r="EB56" s="392">
        <f>'[1]COE commited funds to date'!AJ59</f>
        <v>72000000</v>
      </c>
      <c r="EC56" s="392">
        <f>'[1]COE DISB 2019'!AJ64</f>
        <v>72000000</v>
      </c>
      <c r="ED56" s="392">
        <f t="shared" si="32"/>
        <v>0</v>
      </c>
      <c r="EE56" s="394"/>
      <c r="EF56" s="392">
        <f>'[1]COE commited funds to date'!AK59</f>
        <v>8000000</v>
      </c>
      <c r="EG56" s="392">
        <f>'[1]COE DISB 2019'!AK64</f>
        <v>6800000</v>
      </c>
      <c r="EH56" s="392">
        <f t="shared" si="33"/>
        <v>1200000</v>
      </c>
      <c r="EI56" s="394"/>
      <c r="EJ56" s="392">
        <f>'[1]COE commited funds to date'!AL59</f>
        <v>2000000</v>
      </c>
      <c r="EK56" s="392">
        <f>'[1]COE DISB 2019'!AL64</f>
        <v>0</v>
      </c>
      <c r="EL56" s="392">
        <f t="shared" si="34"/>
        <v>2000000</v>
      </c>
      <c r="EM56" s="394"/>
      <c r="EN56" s="392">
        <f>'[1]COE commited funds to date'!AM59</f>
        <v>7000000</v>
      </c>
      <c r="EO56" s="392">
        <f>'[1]COE DISB 2019'!AM64</f>
        <v>7000000</v>
      </c>
      <c r="EP56" s="392">
        <f t="shared" si="35"/>
        <v>0</v>
      </c>
      <c r="EQ56" s="394"/>
      <c r="ER56" s="392">
        <f>'[1]COE commited funds to date'!AN59</f>
        <v>2000000000</v>
      </c>
      <c r="ES56" s="392">
        <f>'[1]COE DISB 2019'!AN64</f>
        <v>1947500000</v>
      </c>
      <c r="ET56" s="392">
        <f t="shared" si="36"/>
        <v>52500000</v>
      </c>
      <c r="EV56" s="383">
        <f>'[1]COE commited funds to date'!AO59</f>
        <v>371067000</v>
      </c>
      <c r="EW56" s="383">
        <f>'[1]COE DISB 2019'!AO64</f>
        <v>371067000</v>
      </c>
      <c r="EX56" s="383">
        <f t="shared" si="38"/>
        <v>0</v>
      </c>
      <c r="EY56" s="380"/>
      <c r="EZ56" s="383">
        <f>'[1]COE commited funds to date'!AQ59</f>
        <v>12000000</v>
      </c>
      <c r="FA56" s="383">
        <f>'[1]COE DISB 2019'!AP64</f>
        <v>12000000</v>
      </c>
      <c r="FB56" s="383">
        <f t="shared" si="39"/>
        <v>0</v>
      </c>
      <c r="FC56" s="380"/>
      <c r="FD56" s="383">
        <f>'[1]COE commited funds to date'!AR59</f>
        <v>10000000</v>
      </c>
      <c r="FE56" s="383">
        <f>'[1]COE DISB 2019'!AQ64</f>
        <v>0</v>
      </c>
      <c r="FF56" s="383">
        <f t="shared" si="40"/>
        <v>10000000</v>
      </c>
      <c r="FG56" s="380"/>
      <c r="FH56" s="383">
        <f>'[1]COE commited funds to date'!AP59</f>
        <v>8000000</v>
      </c>
      <c r="FI56" s="383">
        <f>'[1]COE DISB 2019'!AR64</f>
        <v>6800000</v>
      </c>
      <c r="FJ56" s="383">
        <f t="shared" si="41"/>
        <v>1200000</v>
      </c>
      <c r="FK56" s="383">
        <f>'[1]COE commited funds to date'!AS59</f>
        <v>0</v>
      </c>
      <c r="FL56" s="383">
        <f>'[1]COE DISB 2019'!AS64</f>
        <v>0</v>
      </c>
      <c r="FM56" s="383">
        <f t="shared" si="42"/>
        <v>0</v>
      </c>
      <c r="FN56" s="380"/>
      <c r="FO56" s="383">
        <f>'[1]COE commited funds to date'!AT59</f>
        <v>200000000</v>
      </c>
      <c r="FP56" s="383">
        <f>'[1]COE DISB 2019'!AT64</f>
        <v>116000000</v>
      </c>
      <c r="FQ56" s="383">
        <f t="shared" si="43"/>
        <v>84000000</v>
      </c>
      <c r="FR56" s="380"/>
      <c r="FS56" s="383">
        <f>'[1]COE commited funds to date'!AU59</f>
        <v>75000000</v>
      </c>
      <c r="FT56" s="383">
        <f>'[1]COE DISB 2019'!AU64</f>
        <v>63750000</v>
      </c>
      <c r="FU56" s="383">
        <f t="shared" si="44"/>
        <v>11250000</v>
      </c>
      <c r="FV56" s="380"/>
      <c r="FW56" s="383">
        <f>'[1]COE commited funds to date'!AV59</f>
        <v>8700000</v>
      </c>
      <c r="FX56" s="383">
        <f>'[1]COE DISB 2019'!AV64</f>
        <v>0</v>
      </c>
      <c r="FY56" s="383">
        <f t="shared" si="45"/>
        <v>8700000</v>
      </c>
      <c r="FZ56" s="380"/>
      <c r="GA56" s="383">
        <f>'[1]COE commited funds to date'!AW59</f>
        <v>5000000</v>
      </c>
      <c r="GB56" s="383">
        <f>'[1]COE DISB 2019'!AW64</f>
        <v>0</v>
      </c>
      <c r="GC56" s="383">
        <f t="shared" si="46"/>
        <v>5000000</v>
      </c>
      <c r="GD56" s="380"/>
      <c r="GE56" s="383">
        <f>'[1]COE commited funds to date'!AX59</f>
        <v>20000000</v>
      </c>
      <c r="GF56" s="383">
        <f>'[1]COE DISB 2019'!AX64</f>
        <v>3661000</v>
      </c>
      <c r="GG56" s="383">
        <f t="shared" si="47"/>
        <v>16339000</v>
      </c>
      <c r="GH56" s="380"/>
      <c r="GI56" s="383">
        <f>'[1]COE commited funds to date'!AY59</f>
        <v>230000000</v>
      </c>
      <c r="GJ56" s="383">
        <f>'[1]COE DISB 2019'!AY64</f>
        <v>133400000</v>
      </c>
      <c r="GK56" s="383">
        <f t="shared" si="48"/>
        <v>96600000</v>
      </c>
      <c r="GL56" s="380"/>
      <c r="GM56" s="383">
        <f>'[1]COE commited funds to date'!AZ59</f>
        <v>116776600</v>
      </c>
      <c r="GN56" s="383">
        <f>'[1]COE DISB 2019'!AZ64</f>
        <v>0</v>
      </c>
      <c r="GO56" s="383">
        <f t="shared" si="49"/>
        <v>116776600</v>
      </c>
      <c r="GP56" s="380"/>
      <c r="GQ56" s="383">
        <f>'[1]COE commited funds to date'!BA59</f>
        <v>12000000</v>
      </c>
      <c r="GR56" s="383">
        <f>'[1]COE DISB 2019'!BA64</f>
        <v>0</v>
      </c>
      <c r="GS56" s="383">
        <f t="shared" si="50"/>
        <v>12000000</v>
      </c>
      <c r="GT56" s="380"/>
      <c r="GU56" s="383">
        <f>'[1]COE commited funds to date'!BB59</f>
        <v>5000000</v>
      </c>
      <c r="GV56" s="383">
        <f>'[1]COE DISB 2019'!BB64</f>
        <v>0</v>
      </c>
      <c r="GW56" s="383">
        <f t="shared" si="51"/>
        <v>5000000</v>
      </c>
      <c r="GX56" s="380"/>
      <c r="GY56" s="383">
        <f>'[1]COE commited funds to date'!BC59</f>
        <v>10308300</v>
      </c>
      <c r="GZ56" s="383">
        <f>'[1]COE DISB 2019'!BC64</f>
        <v>0</v>
      </c>
      <c r="HA56" s="383">
        <f t="shared" si="52"/>
        <v>10308300</v>
      </c>
      <c r="HB56" s="380"/>
      <c r="HC56" s="383">
        <f t="shared" si="53"/>
        <v>4462344865.5</v>
      </c>
      <c r="HD56" s="383">
        <f t="shared" si="53"/>
        <v>4023230965.5</v>
      </c>
      <c r="HE56" s="392">
        <f t="shared" si="54"/>
        <v>439113900</v>
      </c>
      <c r="HG56" s="383">
        <f t="shared" si="55"/>
        <v>2079615965.5</v>
      </c>
      <c r="HH56" s="383">
        <f t="shared" si="55"/>
        <v>1899015965.5</v>
      </c>
      <c r="HI56" s="383">
        <f t="shared" si="56"/>
        <v>180600000</v>
      </c>
      <c r="HK56" s="383">
        <f t="shared" si="57"/>
        <v>2041600000</v>
      </c>
      <c r="HL56" s="383">
        <f t="shared" si="57"/>
        <v>1982860000</v>
      </c>
      <c r="HM56" s="383">
        <f t="shared" si="58"/>
        <v>58740000</v>
      </c>
      <c r="HO56" s="383">
        <f t="shared" si="71"/>
        <v>1344000</v>
      </c>
      <c r="HP56" s="383">
        <f t="shared" si="71"/>
        <v>1344000</v>
      </c>
      <c r="HQ56" s="383">
        <f t="shared" si="59"/>
        <v>0</v>
      </c>
      <c r="HS56" s="383">
        <f t="shared" si="60"/>
        <v>89308300</v>
      </c>
      <c r="HT56" s="383">
        <f t="shared" si="60"/>
        <v>62661000</v>
      </c>
      <c r="HU56" s="383">
        <f t="shared" si="61"/>
        <v>26647300</v>
      </c>
      <c r="HW56" s="383">
        <f t="shared" si="62"/>
        <v>36700000</v>
      </c>
      <c r="HX56" s="383">
        <f t="shared" si="62"/>
        <v>13600000</v>
      </c>
      <c r="HY56" s="383">
        <f t="shared" si="63"/>
        <v>23100000</v>
      </c>
      <c r="IA56" s="387">
        <f t="shared" si="64"/>
        <v>20000000</v>
      </c>
      <c r="IB56" s="387">
        <f t="shared" si="64"/>
        <v>0</v>
      </c>
      <c r="IC56" s="387">
        <f t="shared" si="65"/>
        <v>20000000</v>
      </c>
      <c r="IE56" s="383">
        <f t="shared" si="66"/>
        <v>191776600</v>
      </c>
      <c r="IF56" s="383">
        <f t="shared" si="66"/>
        <v>63750000</v>
      </c>
      <c r="IG56" s="383">
        <f t="shared" si="67"/>
        <v>128026600</v>
      </c>
      <c r="II56" s="383">
        <f t="shared" si="68"/>
        <v>2000000</v>
      </c>
      <c r="IJ56" s="383">
        <f t="shared" si="68"/>
        <v>0</v>
      </c>
      <c r="IK56" s="383">
        <f t="shared" si="69"/>
        <v>2000000</v>
      </c>
    </row>
    <row r="57" spans="1:245" x14ac:dyDescent="0.25">
      <c r="A57" s="380" t="s">
        <v>373</v>
      </c>
      <c r="B57" s="380" t="s">
        <v>374</v>
      </c>
      <c r="C57" s="431"/>
      <c r="D57" s="392">
        <v>18318965.5</v>
      </c>
      <c r="E57" s="392">
        <f>'[1]COE DISB 2019'!D65</f>
        <v>18318965.5</v>
      </c>
      <c r="F57" s="383">
        <f t="shared" si="0"/>
        <v>0</v>
      </c>
      <c r="H57" s="392">
        <v>8000000</v>
      </c>
      <c r="I57" s="392">
        <f>'[1]COE DISB 2019'!E65</f>
        <v>8000000</v>
      </c>
      <c r="J57" s="383">
        <f t="shared" si="1"/>
        <v>0</v>
      </c>
      <c r="L57" s="392">
        <v>500000</v>
      </c>
      <c r="M57" s="392">
        <f>'[1]COE DISB 2019'!F65</f>
        <v>500000</v>
      </c>
      <c r="N57" s="383">
        <f t="shared" si="2"/>
        <v>0</v>
      </c>
      <c r="P57" s="385">
        <v>16000000</v>
      </c>
      <c r="Q57" s="392">
        <f>'[1]COE DISB 2019'!G65</f>
        <v>16000000</v>
      </c>
      <c r="R57" s="383">
        <f t="shared" si="3"/>
        <v>0</v>
      </c>
      <c r="T57" s="385">
        <v>966000</v>
      </c>
      <c r="U57" s="392">
        <f>'[1]COE DISB 2019'!H65</f>
        <v>966000</v>
      </c>
      <c r="V57" s="383">
        <f t="shared" si="4"/>
        <v>0</v>
      </c>
      <c r="X57" s="353">
        <v>0</v>
      </c>
      <c r="Y57" s="392">
        <f>'[1]COE DISB 2019'!I65</f>
        <v>0</v>
      </c>
      <c r="Z57" s="383">
        <f t="shared" si="5"/>
        <v>0</v>
      </c>
      <c r="AB57" s="385">
        <v>20000000</v>
      </c>
      <c r="AC57" s="392">
        <f>'[1]COE DISB 2019'!J65</f>
        <v>20000000</v>
      </c>
      <c r="AD57" s="383">
        <f t="shared" si="6"/>
        <v>0</v>
      </c>
      <c r="AF57" s="353">
        <v>0</v>
      </c>
      <c r="AG57" s="392">
        <f>'[1]COE DISB 2019'!K65</f>
        <v>0</v>
      </c>
      <c r="AH57" s="383">
        <f t="shared" si="7"/>
        <v>0</v>
      </c>
      <c r="AJ57" s="385">
        <v>10000000</v>
      </c>
      <c r="AK57" s="392">
        <f>'[1]COE DISB 2019'!L65</f>
        <v>10000000</v>
      </c>
      <c r="AL57" s="383">
        <f t="shared" si="8"/>
        <v>0</v>
      </c>
      <c r="AN57" s="392">
        <v>10000000</v>
      </c>
      <c r="AO57" s="392">
        <f>'[1]COE DISB 2019'!M65</f>
        <v>10000000</v>
      </c>
      <c r="AP57" s="383">
        <f t="shared" si="9"/>
        <v>0</v>
      </c>
      <c r="AR57" s="392">
        <v>15000000</v>
      </c>
      <c r="AS57" s="392">
        <f>'[1]COE DISB 2019'!N65</f>
        <v>15000000</v>
      </c>
      <c r="AT57" s="383">
        <f t="shared" si="10"/>
        <v>0</v>
      </c>
      <c r="AV57" s="392">
        <v>5000000</v>
      </c>
      <c r="AW57" s="393">
        <f>'[1]COE DISB 2019'!O65</f>
        <v>5000000</v>
      </c>
      <c r="AX57" s="392">
        <f t="shared" si="11"/>
        <v>0</v>
      </c>
      <c r="AZ57" s="392">
        <v>18000000</v>
      </c>
      <c r="BA57" s="392">
        <f>'[1]COE DISB 2019'!P65</f>
        <v>18000000</v>
      </c>
      <c r="BB57" s="392">
        <f t="shared" si="12"/>
        <v>0</v>
      </c>
      <c r="BD57" s="392">
        <v>23400000</v>
      </c>
      <c r="BE57" s="392">
        <f>'[1]COE DISB 2019'!Q65</f>
        <v>23400000</v>
      </c>
      <c r="BF57" s="392">
        <f t="shared" si="13"/>
        <v>0</v>
      </c>
      <c r="BH57" s="392">
        <v>0</v>
      </c>
      <c r="BI57" s="392">
        <f>'[1]COE DISB 2019'!R65</f>
        <v>0</v>
      </c>
      <c r="BJ57" s="392">
        <f t="shared" si="14"/>
        <v>0</v>
      </c>
      <c r="BL57" s="392">
        <v>43000000</v>
      </c>
      <c r="BM57" s="392">
        <f>'[1]COE DISB 2019'!S65</f>
        <v>43000000</v>
      </c>
      <c r="BN57" s="392">
        <f t="shared" si="15"/>
        <v>0</v>
      </c>
      <c r="BP57" s="392">
        <v>37160000</v>
      </c>
      <c r="BQ57" s="392">
        <f>'[1]COE DISB 2019'!T65</f>
        <v>37160000</v>
      </c>
      <c r="BR57" s="392">
        <f t="shared" si="16"/>
        <v>0</v>
      </c>
      <c r="BT57" s="392">
        <v>0</v>
      </c>
      <c r="BU57" s="392">
        <f>'[1]COE DISB 2019'!U65</f>
        <v>0</v>
      </c>
      <c r="BV57" s="392">
        <f t="shared" si="17"/>
        <v>0</v>
      </c>
      <c r="BX57" s="392">
        <v>112670000</v>
      </c>
      <c r="BY57" s="392">
        <f>'[1]COE DISB 2019'!V65</f>
        <v>112670000</v>
      </c>
      <c r="BZ57" s="392">
        <f t="shared" si="18"/>
        <v>0</v>
      </c>
      <c r="CB57" s="392">
        <f>'[1]COE commited funds to date'!W60</f>
        <v>855000000</v>
      </c>
      <c r="CC57" s="392">
        <f>'[1]COE DISB 2019'!W65</f>
        <v>855000000</v>
      </c>
      <c r="CD57" s="392">
        <f t="shared" si="19"/>
        <v>0</v>
      </c>
      <c r="CF57" s="392">
        <f>'[1]COE commited funds to date'!X60</f>
        <v>0</v>
      </c>
      <c r="CG57" s="392">
        <f>'[1]COE DISB 2019'!X65</f>
        <v>0</v>
      </c>
      <c r="CH57" s="392">
        <f t="shared" si="20"/>
        <v>0</v>
      </c>
      <c r="CJ57" s="392">
        <v>0</v>
      </c>
      <c r="CK57" s="392">
        <f>'[1]COE DISB 2019'!Y65</f>
        <v>0</v>
      </c>
      <c r="CL57" s="392">
        <f t="shared" si="21"/>
        <v>0</v>
      </c>
      <c r="CN57" s="392">
        <v>500000000</v>
      </c>
      <c r="CO57" s="392">
        <f>'[1]COE DISB 2019'!Z65</f>
        <v>500000000</v>
      </c>
      <c r="CP57" s="392">
        <f t="shared" si="22"/>
        <v>0</v>
      </c>
      <c r="CR57" s="392">
        <v>0</v>
      </c>
      <c r="CS57" s="392">
        <f>'[1]COE DISB 2019'!AA65</f>
        <v>0</v>
      </c>
      <c r="CT57" s="392">
        <f t="shared" si="23"/>
        <v>0</v>
      </c>
      <c r="CV57" s="392">
        <v>0</v>
      </c>
      <c r="CW57" s="392">
        <f>'[1]COE DISB 2019'!AB65</f>
        <v>0</v>
      </c>
      <c r="CX57" s="392">
        <f t="shared" si="24"/>
        <v>0</v>
      </c>
      <c r="CZ57" s="392">
        <f>'[1]COE commited funds to date'!AC60</f>
        <v>0</v>
      </c>
      <c r="DA57" s="392">
        <f>'[1]COE DISB 2019'!AC65</f>
        <v>0</v>
      </c>
      <c r="DB57" s="392">
        <f t="shared" si="25"/>
        <v>0</v>
      </c>
      <c r="DC57" s="394"/>
      <c r="DD57" s="397">
        <v>0</v>
      </c>
      <c r="DE57" s="397">
        <f>'[1]COE DISB 2019'!AD65</f>
        <v>0</v>
      </c>
      <c r="DF57" s="397">
        <v>0</v>
      </c>
      <c r="DG57" s="394"/>
      <c r="DH57" s="397">
        <v>0</v>
      </c>
      <c r="DI57" s="397">
        <f>'[1]COE DISB 2019'!AE65</f>
        <v>0</v>
      </c>
      <c r="DJ57" s="397">
        <v>0</v>
      </c>
      <c r="DK57" s="394"/>
      <c r="DL57" s="392">
        <f>'[1]COE commited funds to date'!AD60</f>
        <v>0</v>
      </c>
      <c r="DM57" s="392">
        <f>'[1]COE DISB 2019'!AF65</f>
        <v>0</v>
      </c>
      <c r="DN57" s="392">
        <f t="shared" si="28"/>
        <v>0</v>
      </c>
      <c r="DO57" s="394"/>
      <c r="DP57" s="392">
        <v>0</v>
      </c>
      <c r="DQ57" s="392">
        <f>'[1]COE DISB 2019'!AG65</f>
        <v>0</v>
      </c>
      <c r="DR57" s="392">
        <f t="shared" si="29"/>
        <v>0</v>
      </c>
      <c r="DS57" s="394"/>
      <c r="DT57" s="397">
        <v>0</v>
      </c>
      <c r="DU57" s="392">
        <f>'[1]COE DISB 2019'!AH65</f>
        <v>0</v>
      </c>
      <c r="DV57" s="392">
        <f t="shared" si="30"/>
        <v>0</v>
      </c>
      <c r="DW57" s="394"/>
      <c r="DX57" s="392">
        <f>'[1]COE commited funds to date'!AI60</f>
        <v>0</v>
      </c>
      <c r="DY57" s="392">
        <f>'[1]COE DISB 2019'!AI65</f>
        <v>0</v>
      </c>
      <c r="DZ57" s="392">
        <f t="shared" si="31"/>
        <v>0</v>
      </c>
      <c r="EA57" s="394"/>
      <c r="EB57" s="392">
        <f>'[1]COE commited funds to date'!AJ60</f>
        <v>0</v>
      </c>
      <c r="EC57" s="392">
        <f>'[1]COE DISB 2019'!AJ65</f>
        <v>0</v>
      </c>
      <c r="ED57" s="392">
        <f t="shared" si="32"/>
        <v>0</v>
      </c>
      <c r="EE57" s="394"/>
      <c r="EF57" s="392">
        <f>'[1]COE commited funds to date'!AK60</f>
        <v>0</v>
      </c>
      <c r="EG57" s="392">
        <f>'[1]COE DISB 2019'!AK65</f>
        <v>0</v>
      </c>
      <c r="EH57" s="392">
        <f t="shared" si="33"/>
        <v>0</v>
      </c>
      <c r="EI57" s="394"/>
      <c r="EJ57" s="392">
        <f>'[1]COE commited funds to date'!AL60</f>
        <v>0</v>
      </c>
      <c r="EK57" s="392">
        <f>'[1]COE DISB 2019'!AL65</f>
        <v>0</v>
      </c>
      <c r="EL57" s="392">
        <f t="shared" si="34"/>
        <v>0</v>
      </c>
      <c r="EM57" s="394"/>
      <c r="EN57" s="392">
        <f>'[1]COE commited funds to date'!AM60</f>
        <v>0</v>
      </c>
      <c r="EO57" s="392">
        <f>'[1]COE DISB 2019'!AM65</f>
        <v>0</v>
      </c>
      <c r="EP57" s="392">
        <f t="shared" si="35"/>
        <v>0</v>
      </c>
      <c r="EQ57" s="394"/>
      <c r="ER57" s="392">
        <f>'[1]COE commited funds to date'!AN60</f>
        <v>0</v>
      </c>
      <c r="ES57" s="392">
        <f>'[1]COE DISB 2019'!AN65</f>
        <v>0</v>
      </c>
      <c r="ET57" s="392">
        <f t="shared" si="36"/>
        <v>0</v>
      </c>
      <c r="EV57" s="383">
        <f>'[1]COE commited funds to date'!AO60</f>
        <v>0</v>
      </c>
      <c r="EW57" s="383">
        <f>'[1]COE DISB 2019'!AO65</f>
        <v>0</v>
      </c>
      <c r="EX57" s="383">
        <f t="shared" si="38"/>
        <v>0</v>
      </c>
      <c r="EY57" s="380"/>
      <c r="EZ57" s="383">
        <f>'[1]COE commited funds to date'!AQ60</f>
        <v>0</v>
      </c>
      <c r="FA57" s="383">
        <f>'[1]COE DISB 2019'!AP65</f>
        <v>0</v>
      </c>
      <c r="FB57" s="383">
        <f t="shared" si="39"/>
        <v>0</v>
      </c>
      <c r="FC57" s="380"/>
      <c r="FD57" s="383">
        <f>'[1]COE commited funds to date'!AR60</f>
        <v>0</v>
      </c>
      <c r="FE57" s="383">
        <f>'[1]COE DISB 2019'!AQ65</f>
        <v>0</v>
      </c>
      <c r="FF57" s="383">
        <f t="shared" si="40"/>
        <v>0</v>
      </c>
      <c r="FG57" s="380"/>
      <c r="FH57" s="383">
        <f>'[1]COE commited funds to date'!AP60</f>
        <v>0</v>
      </c>
      <c r="FI57" s="383">
        <f>'[1]COE DISB 2019'!AR65</f>
        <v>0</v>
      </c>
      <c r="FJ57" s="383">
        <f t="shared" si="41"/>
        <v>0</v>
      </c>
      <c r="FK57" s="383">
        <f>'[1]COE commited funds to date'!AS60</f>
        <v>0</v>
      </c>
      <c r="FL57" s="383">
        <f>'[1]COE DISB 2019'!AS65</f>
        <v>0</v>
      </c>
      <c r="FM57" s="383">
        <f t="shared" si="42"/>
        <v>0</v>
      </c>
      <c r="FN57" s="380"/>
      <c r="FO57" s="383">
        <f>'[1]COE commited funds to date'!AT60</f>
        <v>0</v>
      </c>
      <c r="FP57" s="383">
        <f>'[1]COE DISB 2019'!AT65</f>
        <v>0</v>
      </c>
      <c r="FQ57" s="383">
        <f t="shared" si="43"/>
        <v>0</v>
      </c>
      <c r="FR57" s="380"/>
      <c r="FS57" s="383">
        <f>'[1]COE commited funds to date'!AU60</f>
        <v>0</v>
      </c>
      <c r="FT57" s="383">
        <f>'[1]COE DISB 2019'!AU65</f>
        <v>0</v>
      </c>
      <c r="FU57" s="383">
        <f t="shared" si="44"/>
        <v>0</v>
      </c>
      <c r="FV57" s="380"/>
      <c r="FW57" s="383">
        <f>'[1]COE commited funds to date'!AV60</f>
        <v>0</v>
      </c>
      <c r="FX57" s="383">
        <f>'[1]COE DISB 2019'!AV65</f>
        <v>0</v>
      </c>
      <c r="FY57" s="383">
        <f t="shared" si="45"/>
        <v>0</v>
      </c>
      <c r="FZ57" s="380"/>
      <c r="GA57" s="383">
        <f>'[1]COE commited funds to date'!AW60</f>
        <v>0</v>
      </c>
      <c r="GB57" s="383">
        <f>'[1]COE DISB 2019'!AW65</f>
        <v>0</v>
      </c>
      <c r="GC57" s="383">
        <f t="shared" si="46"/>
        <v>0</v>
      </c>
      <c r="GD57" s="380"/>
      <c r="GE57" s="383">
        <f>'[1]COE commited funds to date'!AX60</f>
        <v>0</v>
      </c>
      <c r="GF57" s="383">
        <f>'[1]COE DISB 2019'!AX65</f>
        <v>0</v>
      </c>
      <c r="GG57" s="383">
        <f t="shared" si="47"/>
        <v>0</v>
      </c>
      <c r="GH57" s="380"/>
      <c r="GI57" s="383">
        <f>'[1]COE commited funds to date'!AY60</f>
        <v>0</v>
      </c>
      <c r="GJ57" s="383">
        <f>'[1]COE DISB 2019'!AY65</f>
        <v>0</v>
      </c>
      <c r="GK57" s="383">
        <f t="shared" si="48"/>
        <v>0</v>
      </c>
      <c r="GL57" s="380"/>
      <c r="GM57" s="383">
        <f>'[1]COE commited funds to date'!AZ60</f>
        <v>0</v>
      </c>
      <c r="GN57" s="383">
        <f>'[1]COE DISB 2019'!AZ65</f>
        <v>0</v>
      </c>
      <c r="GO57" s="383">
        <f t="shared" si="49"/>
        <v>0</v>
      </c>
      <c r="GP57" s="380"/>
      <c r="GQ57" s="383">
        <f>'[1]COE commited funds to date'!BA60</f>
        <v>0</v>
      </c>
      <c r="GR57" s="383">
        <f>'[1]COE DISB 2019'!BA65</f>
        <v>0</v>
      </c>
      <c r="GS57" s="383">
        <f t="shared" si="50"/>
        <v>0</v>
      </c>
      <c r="GT57" s="380"/>
      <c r="GU57" s="383">
        <f>'[1]COE commited funds to date'!BB60</f>
        <v>0</v>
      </c>
      <c r="GV57" s="383">
        <f>'[1]COE DISB 2019'!BB65</f>
        <v>0</v>
      </c>
      <c r="GW57" s="383">
        <f t="shared" si="51"/>
        <v>0</v>
      </c>
      <c r="GX57" s="380"/>
      <c r="GY57" s="383">
        <f>'[1]COE commited funds to date'!BC60</f>
        <v>0</v>
      </c>
      <c r="GZ57" s="383">
        <f>'[1]COE DISB 2019'!BC65</f>
        <v>0</v>
      </c>
      <c r="HA57" s="383">
        <f t="shared" si="52"/>
        <v>0</v>
      </c>
      <c r="HB57" s="380"/>
      <c r="HC57" s="383">
        <f t="shared" si="53"/>
        <v>1693014965.5</v>
      </c>
      <c r="HD57" s="383">
        <f t="shared" si="53"/>
        <v>1693014965.5</v>
      </c>
      <c r="HE57" s="392">
        <f t="shared" si="54"/>
        <v>0</v>
      </c>
      <c r="HG57" s="383">
        <f t="shared" si="55"/>
        <v>331548965.5</v>
      </c>
      <c r="HH57" s="383">
        <f t="shared" si="55"/>
        <v>331548965.5</v>
      </c>
      <c r="HI57" s="383">
        <f t="shared" si="56"/>
        <v>0</v>
      </c>
      <c r="HK57" s="383">
        <f t="shared" si="57"/>
        <v>1355000000</v>
      </c>
      <c r="HL57" s="383">
        <f t="shared" si="57"/>
        <v>1355000000</v>
      </c>
      <c r="HM57" s="383">
        <f t="shared" si="58"/>
        <v>0</v>
      </c>
      <c r="HO57" s="383">
        <f t="shared" si="71"/>
        <v>1466000</v>
      </c>
      <c r="HP57" s="383">
        <f t="shared" si="71"/>
        <v>1466000</v>
      </c>
      <c r="HQ57" s="383">
        <f t="shared" si="59"/>
        <v>0</v>
      </c>
      <c r="HS57" s="383">
        <f t="shared" si="60"/>
        <v>0</v>
      </c>
      <c r="HT57" s="383">
        <f t="shared" si="60"/>
        <v>0</v>
      </c>
      <c r="HU57" s="383">
        <f t="shared" si="61"/>
        <v>0</v>
      </c>
      <c r="HW57" s="383">
        <f t="shared" si="62"/>
        <v>0</v>
      </c>
      <c r="HX57" s="383">
        <f t="shared" si="62"/>
        <v>0</v>
      </c>
      <c r="HY57" s="383">
        <f t="shared" si="63"/>
        <v>0</v>
      </c>
      <c r="IA57" s="387">
        <f t="shared" si="64"/>
        <v>0</v>
      </c>
      <c r="IB57" s="387">
        <f t="shared" si="64"/>
        <v>0</v>
      </c>
      <c r="IC57" s="387">
        <f t="shared" si="65"/>
        <v>0</v>
      </c>
      <c r="IE57" s="383">
        <f t="shared" si="66"/>
        <v>0</v>
      </c>
      <c r="IF57" s="383">
        <f t="shared" si="66"/>
        <v>0</v>
      </c>
      <c r="IG57" s="383">
        <f t="shared" si="67"/>
        <v>0</v>
      </c>
      <c r="II57" s="383">
        <f t="shared" si="68"/>
        <v>0</v>
      </c>
      <c r="IJ57" s="383">
        <f t="shared" si="68"/>
        <v>0</v>
      </c>
      <c r="IK57" s="383">
        <f t="shared" si="69"/>
        <v>0</v>
      </c>
    </row>
    <row r="58" spans="1:245" x14ac:dyDescent="0.25">
      <c r="A58" s="380">
        <v>54</v>
      </c>
      <c r="B58" s="380" t="s">
        <v>375</v>
      </c>
      <c r="C58" s="433" t="s">
        <v>63</v>
      </c>
      <c r="D58" s="392">
        <v>18318965.5</v>
      </c>
      <c r="E58" s="392">
        <f>'[1]COE DISB 2019'!D66</f>
        <v>18318965.510000002</v>
      </c>
      <c r="F58" s="383">
        <f t="shared" si="0"/>
        <v>-1.0000001639127731E-2</v>
      </c>
      <c r="H58" s="392">
        <v>8000000</v>
      </c>
      <c r="I58" s="392">
        <f>'[1]COE DISB 2019'!E66</f>
        <v>8000000</v>
      </c>
      <c r="J58" s="383">
        <f t="shared" si="1"/>
        <v>0</v>
      </c>
      <c r="L58" s="392">
        <v>500000</v>
      </c>
      <c r="M58" s="392">
        <f>'[1]COE DISB 2019'!F66</f>
        <v>500000</v>
      </c>
      <c r="N58" s="383">
        <f t="shared" si="2"/>
        <v>0</v>
      </c>
      <c r="P58" s="385">
        <v>16000000</v>
      </c>
      <c r="Q58" s="392">
        <f>'[1]COE DISB 2019'!G66</f>
        <v>16000000</v>
      </c>
      <c r="R58" s="383">
        <f t="shared" si="3"/>
        <v>0</v>
      </c>
      <c r="T58" s="385">
        <v>871000</v>
      </c>
      <c r="U58" s="392">
        <f>'[1]COE DISB 2019'!H66</f>
        <v>871000</v>
      </c>
      <c r="V58" s="383">
        <f t="shared" si="4"/>
        <v>0</v>
      </c>
      <c r="X58" s="353">
        <v>0</v>
      </c>
      <c r="Y58" s="392">
        <f>'[1]COE DISB 2019'!I66</f>
        <v>0</v>
      </c>
      <c r="Z58" s="383">
        <f t="shared" si="5"/>
        <v>0</v>
      </c>
      <c r="AB58" s="385">
        <v>20000000</v>
      </c>
      <c r="AC58" s="392">
        <f>'[1]COE DISB 2019'!J66</f>
        <v>20000000</v>
      </c>
      <c r="AD58" s="383">
        <f t="shared" si="6"/>
        <v>0</v>
      </c>
      <c r="AF58" s="353">
        <v>0</v>
      </c>
      <c r="AG58" s="392">
        <f>'[1]COE DISB 2019'!K66</f>
        <v>0</v>
      </c>
      <c r="AH58" s="383">
        <f t="shared" si="7"/>
        <v>0</v>
      </c>
      <c r="AJ58" s="385">
        <v>10000000</v>
      </c>
      <c r="AK58" s="392">
        <f>'[1]COE DISB 2019'!L66</f>
        <v>10000000</v>
      </c>
      <c r="AL58" s="383">
        <f t="shared" si="8"/>
        <v>0</v>
      </c>
      <c r="AN58" s="392">
        <v>10000000</v>
      </c>
      <c r="AO58" s="392">
        <f>'[1]COE DISB 2019'!M66</f>
        <v>10000000</v>
      </c>
      <c r="AP58" s="383">
        <f t="shared" si="9"/>
        <v>0</v>
      </c>
      <c r="AR58" s="392">
        <v>15000000</v>
      </c>
      <c r="AS58" s="392">
        <f>'[1]COE DISB 2019'!N66</f>
        <v>15000000</v>
      </c>
      <c r="AT58" s="383">
        <f t="shared" si="10"/>
        <v>0</v>
      </c>
      <c r="AV58" s="392">
        <v>5000000</v>
      </c>
      <c r="AW58" s="432">
        <f>'[1]COE DISB 2019'!O66</f>
        <v>5000000</v>
      </c>
      <c r="AX58" s="392">
        <f t="shared" si="11"/>
        <v>0</v>
      </c>
      <c r="AZ58" s="392">
        <v>18000000</v>
      </c>
      <c r="BA58" s="392">
        <f>'[1]COE DISB 2019'!P66</f>
        <v>18000000</v>
      </c>
      <c r="BB58" s="392">
        <f t="shared" si="12"/>
        <v>0</v>
      </c>
      <c r="BD58" s="392">
        <v>23400000</v>
      </c>
      <c r="BE58" s="392">
        <f>'[1]COE DISB 2019'!Q66</f>
        <v>23400000</v>
      </c>
      <c r="BF58" s="392">
        <f t="shared" si="13"/>
        <v>0</v>
      </c>
      <c r="BH58" s="392">
        <v>0</v>
      </c>
      <c r="BI58" s="392">
        <f>'[1]COE DISB 2019'!R66</f>
        <v>0</v>
      </c>
      <c r="BJ58" s="392">
        <f t="shared" si="14"/>
        <v>0</v>
      </c>
      <c r="BL58" s="392">
        <v>43000000</v>
      </c>
      <c r="BM58" s="392">
        <f>'[1]COE DISB 2019'!S66</f>
        <v>43000000</v>
      </c>
      <c r="BN58" s="392">
        <f t="shared" si="15"/>
        <v>0</v>
      </c>
      <c r="BP58" s="392">
        <v>37160000</v>
      </c>
      <c r="BQ58" s="392">
        <f>'[1]COE DISB 2019'!T66</f>
        <v>37160000</v>
      </c>
      <c r="BR58" s="392">
        <f t="shared" si="16"/>
        <v>0</v>
      </c>
      <c r="BT58" s="392">
        <v>0</v>
      </c>
      <c r="BU58" s="392">
        <f>'[1]COE DISB 2019'!U66</f>
        <v>0</v>
      </c>
      <c r="BV58" s="392">
        <f t="shared" si="17"/>
        <v>0</v>
      </c>
      <c r="BX58" s="392">
        <v>112670000</v>
      </c>
      <c r="BY58" s="392">
        <f>'[1]COE DISB 2019'!V66</f>
        <v>112670000</v>
      </c>
      <c r="BZ58" s="392">
        <f t="shared" si="18"/>
        <v>0</v>
      </c>
      <c r="CB58" s="392">
        <f>'[1]COE commited funds to date'!W61</f>
        <v>20000000</v>
      </c>
      <c r="CC58" s="392">
        <f>'[1]COE DISB 2019'!W66</f>
        <v>20000000</v>
      </c>
      <c r="CD58" s="392">
        <f t="shared" si="19"/>
        <v>0</v>
      </c>
      <c r="CF58" s="392">
        <f>'[1]COE commited funds to date'!X61</f>
        <v>125000000</v>
      </c>
      <c r="CG58" s="392">
        <f>'[1]COE DISB 2019'!X66</f>
        <v>125000000</v>
      </c>
      <c r="CH58" s="392">
        <f t="shared" si="20"/>
        <v>0</v>
      </c>
      <c r="CJ58" s="392">
        <v>10000000</v>
      </c>
      <c r="CK58" s="392">
        <f>'[1]COE DISB 2019'!Y66</f>
        <v>10000000</v>
      </c>
      <c r="CL58" s="392">
        <f t="shared" si="21"/>
        <v>0</v>
      </c>
      <c r="CN58" s="392">
        <v>500000000</v>
      </c>
      <c r="CO58" s="392">
        <f>'[1]COE DISB 2019'!Z66</f>
        <v>500000000</v>
      </c>
      <c r="CP58" s="392">
        <f t="shared" si="22"/>
        <v>0</v>
      </c>
      <c r="CR58" s="392">
        <v>210000000</v>
      </c>
      <c r="CS58" s="392">
        <f>'[1]COE DISB 2019'!AA66</f>
        <v>210000000</v>
      </c>
      <c r="CT58" s="392">
        <f t="shared" si="23"/>
        <v>0</v>
      </c>
      <c r="CV58" s="392">
        <v>10000000</v>
      </c>
      <c r="CW58" s="392">
        <f>'[1]COE DISB 2019'!AB66</f>
        <v>10000000</v>
      </c>
      <c r="CX58" s="392">
        <f t="shared" si="24"/>
        <v>0</v>
      </c>
      <c r="CZ58" s="392">
        <f>'[1]COE commited funds to date'!AC61</f>
        <v>542000000</v>
      </c>
      <c r="DA58" s="392">
        <f>'[1]COE DISB 2019'!AC66</f>
        <v>542000000</v>
      </c>
      <c r="DB58" s="392">
        <f t="shared" si="25"/>
        <v>0</v>
      </c>
      <c r="DC58" s="394"/>
      <c r="DD58" s="392">
        <v>215000000</v>
      </c>
      <c r="DE58" s="392">
        <f>'[1]COE DISB 2019'!AD66</f>
        <v>215000000</v>
      </c>
      <c r="DF58" s="392">
        <f>DD58-DE58</f>
        <v>0</v>
      </c>
      <c r="DG58" s="394"/>
      <c r="DH58" s="392">
        <v>10000000</v>
      </c>
      <c r="DI58" s="392">
        <f>'[1]COE DISB 2019'!AE66</f>
        <v>10000000</v>
      </c>
      <c r="DJ58" s="392">
        <f>DH58-DI58</f>
        <v>0</v>
      </c>
      <c r="DK58" s="394"/>
      <c r="DL58" s="392">
        <f>'[1]COE commited funds to date'!AD61</f>
        <v>350000000</v>
      </c>
      <c r="DM58" s="392">
        <f>'[1]COE DISB 2019'!AF66</f>
        <v>350000000</v>
      </c>
      <c r="DN58" s="392">
        <f t="shared" si="28"/>
        <v>0</v>
      </c>
      <c r="DO58" s="394"/>
      <c r="DP58" s="392">
        <v>325000000</v>
      </c>
      <c r="DQ58" s="392">
        <f>'[1]COE DISB 2019'!AG66</f>
        <v>325000000</v>
      </c>
      <c r="DR58" s="392">
        <f t="shared" si="29"/>
        <v>0</v>
      </c>
      <c r="DS58" s="394"/>
      <c r="DT58" s="397">
        <v>10000000</v>
      </c>
      <c r="DU58" s="392">
        <f>'[1]COE DISB 2019'!AH66</f>
        <v>10000000</v>
      </c>
      <c r="DV58" s="392">
        <f t="shared" si="30"/>
        <v>0</v>
      </c>
      <c r="DW58" s="394"/>
      <c r="DX58" s="392">
        <f>'[1]COE commited funds to date'!AI61</f>
        <v>80000000</v>
      </c>
      <c r="DY58" s="392">
        <f>'[1]COE DISB 2019'!AI66</f>
        <v>65000000</v>
      </c>
      <c r="DZ58" s="392">
        <f t="shared" si="31"/>
        <v>15000000</v>
      </c>
      <c r="EA58" s="394"/>
      <c r="EB58" s="392">
        <f>'[1]COE commited funds to date'!AJ61</f>
        <v>72000000</v>
      </c>
      <c r="EC58" s="392">
        <f>'[1]COE DISB 2019'!AJ66</f>
        <v>61200000</v>
      </c>
      <c r="ED58" s="392">
        <f t="shared" si="32"/>
        <v>10800000</v>
      </c>
      <c r="EE58" s="394"/>
      <c r="EF58" s="392">
        <f>'[1]COE commited funds to date'!AK61</f>
        <v>8000000</v>
      </c>
      <c r="EG58" s="392">
        <f>'[1]COE DISB 2019'!AK66</f>
        <v>6800000</v>
      </c>
      <c r="EH58" s="392">
        <f t="shared" si="33"/>
        <v>1200000</v>
      </c>
      <c r="EI58" s="394"/>
      <c r="EJ58" s="392">
        <f>'[1]COE commited funds to date'!AL61</f>
        <v>2000000</v>
      </c>
      <c r="EK58" s="392">
        <f>'[1]COE DISB 2019'!AL66</f>
        <v>0</v>
      </c>
      <c r="EL58" s="392">
        <f t="shared" si="34"/>
        <v>2000000</v>
      </c>
      <c r="EM58" s="394"/>
      <c r="EN58" s="392">
        <f>'[1]COE commited funds to date'!AM61</f>
        <v>7000000</v>
      </c>
      <c r="EO58" s="392">
        <f>'[1]COE DISB 2019'!AM66</f>
        <v>7000000</v>
      </c>
      <c r="EP58" s="392">
        <f t="shared" si="35"/>
        <v>0</v>
      </c>
      <c r="EQ58" s="394"/>
      <c r="ER58" s="392">
        <f>'[1]COE commited funds to date'!AN61</f>
        <v>2500000000</v>
      </c>
      <c r="ES58" s="392">
        <f>'[1]COE DISB 2019'!AN66</f>
        <v>2477500000</v>
      </c>
      <c r="ET58" s="392">
        <f t="shared" si="36"/>
        <v>22500000</v>
      </c>
      <c r="EV58" s="383">
        <f>'[1]COE commited funds to date'!AO61</f>
        <v>371067000</v>
      </c>
      <c r="EW58" s="383">
        <f>'[1]COE DISB 2019'!AO66</f>
        <v>315406950</v>
      </c>
      <c r="EX58" s="383">
        <f t="shared" si="38"/>
        <v>55660050</v>
      </c>
      <c r="EY58" s="380"/>
      <c r="EZ58" s="383">
        <f>'[1]COE commited funds to date'!AQ61</f>
        <v>12000000</v>
      </c>
      <c r="FA58" s="383">
        <f>'[1]COE DISB 2019'!AP66</f>
        <v>12000000</v>
      </c>
      <c r="FB58" s="383">
        <f t="shared" si="39"/>
        <v>0</v>
      </c>
      <c r="FC58" s="380"/>
      <c r="FD58" s="383">
        <f>'[1]COE commited funds to date'!AR61</f>
        <v>10000000</v>
      </c>
      <c r="FE58" s="383">
        <f>'[1]COE DISB 2019'!AQ66</f>
        <v>0</v>
      </c>
      <c r="FF58" s="383">
        <f t="shared" si="40"/>
        <v>10000000</v>
      </c>
      <c r="FG58" s="380"/>
      <c r="FH58" s="383">
        <f>'[1]COE commited funds to date'!AP61</f>
        <v>8000000</v>
      </c>
      <c r="FI58" s="383">
        <f>'[1]COE DISB 2019'!AR66</f>
        <v>6800000</v>
      </c>
      <c r="FJ58" s="383">
        <f t="shared" si="41"/>
        <v>1200000</v>
      </c>
      <c r="FK58" s="383">
        <f>'[1]COE commited funds to date'!AS61</f>
        <v>0</v>
      </c>
      <c r="FL58" s="383">
        <f>'[1]COE DISB 2019'!AS66</f>
        <v>0</v>
      </c>
      <c r="FM58" s="383">
        <f t="shared" si="42"/>
        <v>0</v>
      </c>
      <c r="FN58" s="380"/>
      <c r="FO58" s="383">
        <f>'[1]COE commited funds to date'!AT61</f>
        <v>200000000</v>
      </c>
      <c r="FP58" s="383">
        <f>'[1]COE DISB 2019'!AT66</f>
        <v>0</v>
      </c>
      <c r="FQ58" s="383">
        <f t="shared" si="43"/>
        <v>200000000</v>
      </c>
      <c r="FR58" s="380"/>
      <c r="FS58" s="383">
        <f>'[1]COE commited funds to date'!AU61</f>
        <v>75000000</v>
      </c>
      <c r="FT58" s="383">
        <f>'[1]COE DISB 2019'!AU66</f>
        <v>51750000</v>
      </c>
      <c r="FU58" s="383">
        <f t="shared" si="44"/>
        <v>23250000</v>
      </c>
      <c r="FV58" s="380"/>
      <c r="FW58" s="383">
        <f>'[1]COE commited funds to date'!AV61</f>
        <v>8700000</v>
      </c>
      <c r="FX58" s="383">
        <f>'[1]COE DISB 2019'!AV66</f>
        <v>0</v>
      </c>
      <c r="FY58" s="383">
        <f t="shared" si="45"/>
        <v>8700000</v>
      </c>
      <c r="FZ58" s="380"/>
      <c r="GA58" s="383">
        <f>'[1]COE commited funds to date'!AW61</f>
        <v>5000000</v>
      </c>
      <c r="GB58" s="383">
        <f>'[1]COE DISB 2019'!AW66</f>
        <v>0</v>
      </c>
      <c r="GC58" s="383">
        <f t="shared" si="46"/>
        <v>5000000</v>
      </c>
      <c r="GD58" s="380"/>
      <c r="GE58" s="383">
        <f>'[1]COE commited funds to date'!AX61</f>
        <v>20000000</v>
      </c>
      <c r="GF58" s="383">
        <f>'[1]COE DISB 2019'!AX66</f>
        <v>20000000</v>
      </c>
      <c r="GG58" s="383">
        <f t="shared" si="47"/>
        <v>0</v>
      </c>
      <c r="GH58" s="380"/>
      <c r="GI58" s="383">
        <f>'[1]COE commited funds to date'!AY61</f>
        <v>230000000</v>
      </c>
      <c r="GJ58" s="383">
        <f>'[1]COE DISB 2019'!AY66</f>
        <v>0</v>
      </c>
      <c r="GK58" s="383">
        <f t="shared" si="48"/>
        <v>230000000</v>
      </c>
      <c r="GL58" s="380"/>
      <c r="GM58" s="383">
        <f>'[1]COE commited funds to date'!AZ61</f>
        <v>116776600</v>
      </c>
      <c r="GN58" s="383">
        <f>'[1]COE DISB 2019'!AZ66</f>
        <v>0</v>
      </c>
      <c r="GO58" s="383">
        <f t="shared" si="49"/>
        <v>116776600</v>
      </c>
      <c r="GP58" s="380"/>
      <c r="GQ58" s="383">
        <f>'[1]COE commited funds to date'!BA61</f>
        <v>12000000</v>
      </c>
      <c r="GR58" s="383">
        <f>'[1]COE DISB 2019'!BA66</f>
        <v>0</v>
      </c>
      <c r="GS58" s="383">
        <f t="shared" si="50"/>
        <v>12000000</v>
      </c>
      <c r="GT58" s="380"/>
      <c r="GU58" s="383">
        <f>'[1]COE commited funds to date'!BB61</f>
        <v>5000000</v>
      </c>
      <c r="GV58" s="383">
        <f>'[1]COE DISB 2019'!BB66</f>
        <v>0</v>
      </c>
      <c r="GW58" s="383">
        <f t="shared" si="51"/>
        <v>5000000</v>
      </c>
      <c r="GX58" s="380"/>
      <c r="GY58" s="383">
        <f>'[1]COE commited funds to date'!BC61</f>
        <v>10308300</v>
      </c>
      <c r="GZ58" s="383">
        <f>'[1]COE DISB 2019'!BC66</f>
        <v>10280400</v>
      </c>
      <c r="HA58" s="383">
        <f t="shared" si="52"/>
        <v>27900</v>
      </c>
      <c r="HB58" s="380"/>
      <c r="HC58" s="383">
        <f t="shared" si="53"/>
        <v>6417771865.5</v>
      </c>
      <c r="HD58" s="383">
        <f t="shared" si="53"/>
        <v>5698657315.5100002</v>
      </c>
      <c r="HE58" s="392">
        <f t="shared" si="54"/>
        <v>719114549.98999977</v>
      </c>
      <c r="HG58" s="383">
        <f t="shared" si="55"/>
        <v>2079615965.5</v>
      </c>
      <c r="HH58" s="383">
        <f t="shared" si="55"/>
        <v>1583155915.51</v>
      </c>
      <c r="HI58" s="383">
        <f t="shared" si="56"/>
        <v>496460049.99000001</v>
      </c>
      <c r="HK58" s="383">
        <f t="shared" si="57"/>
        <v>3992000000</v>
      </c>
      <c r="HL58" s="383">
        <f t="shared" si="57"/>
        <v>3954500000</v>
      </c>
      <c r="HM58" s="383">
        <f t="shared" si="58"/>
        <v>37500000</v>
      </c>
      <c r="HO58" s="383">
        <f t="shared" si="71"/>
        <v>1371000</v>
      </c>
      <c r="HP58" s="383">
        <f t="shared" si="71"/>
        <v>1371000</v>
      </c>
      <c r="HQ58" s="383">
        <f t="shared" si="59"/>
        <v>0</v>
      </c>
      <c r="HS58" s="383">
        <f t="shared" si="60"/>
        <v>89308300</v>
      </c>
      <c r="HT58" s="383">
        <f t="shared" si="60"/>
        <v>89280400</v>
      </c>
      <c r="HU58" s="383">
        <f t="shared" si="61"/>
        <v>27900</v>
      </c>
      <c r="HW58" s="383">
        <f t="shared" si="62"/>
        <v>36700000</v>
      </c>
      <c r="HX58" s="383">
        <f t="shared" si="62"/>
        <v>13600000</v>
      </c>
      <c r="HY58" s="383">
        <f t="shared" si="63"/>
        <v>23100000</v>
      </c>
      <c r="IA58" s="387">
        <f t="shared" si="64"/>
        <v>20000000</v>
      </c>
      <c r="IB58" s="387">
        <f t="shared" si="64"/>
        <v>0</v>
      </c>
      <c r="IC58" s="387">
        <f t="shared" si="65"/>
        <v>20000000</v>
      </c>
      <c r="IE58" s="383">
        <f t="shared" si="66"/>
        <v>191776600</v>
      </c>
      <c r="IF58" s="383">
        <f t="shared" si="66"/>
        <v>51750000</v>
      </c>
      <c r="IG58" s="383">
        <f t="shared" si="67"/>
        <v>140026600</v>
      </c>
      <c r="II58" s="383">
        <f t="shared" si="68"/>
        <v>2000000</v>
      </c>
      <c r="IJ58" s="383">
        <f t="shared" si="68"/>
        <v>0</v>
      </c>
      <c r="IK58" s="383">
        <f t="shared" si="69"/>
        <v>2000000</v>
      </c>
    </row>
    <row r="59" spans="1:245" x14ac:dyDescent="0.25">
      <c r="A59" s="380">
        <v>55</v>
      </c>
      <c r="B59" s="380" t="s">
        <v>376</v>
      </c>
      <c r="C59" s="433" t="s">
        <v>74</v>
      </c>
      <c r="D59" s="392">
        <v>18318965.5</v>
      </c>
      <c r="E59" s="392">
        <f>'[1]COE DISB 2019'!D67</f>
        <v>20150862.050000001</v>
      </c>
      <c r="F59" s="383">
        <f t="shared" si="0"/>
        <v>-1831896.5500000007</v>
      </c>
      <c r="H59" s="392">
        <v>8000000</v>
      </c>
      <c r="I59" s="392">
        <f>'[1]COE DISB 2019'!E67</f>
        <v>8000000</v>
      </c>
      <c r="J59" s="383">
        <f t="shared" si="1"/>
        <v>0</v>
      </c>
      <c r="L59" s="392">
        <v>500000</v>
      </c>
      <c r="M59" s="392">
        <f>'[1]COE DISB 2019'!F67</f>
        <v>500000</v>
      </c>
      <c r="N59" s="383">
        <f t="shared" si="2"/>
        <v>0</v>
      </c>
      <c r="P59" s="385">
        <v>16000000</v>
      </c>
      <c r="Q59" s="392">
        <f>'[1]COE DISB 2019'!G67</f>
        <v>16000000</v>
      </c>
      <c r="R59" s="383">
        <f t="shared" si="3"/>
        <v>0</v>
      </c>
      <c r="T59" s="385">
        <v>2141000</v>
      </c>
      <c r="U59" s="392">
        <f>'[1]COE DISB 2019'!H67</f>
        <v>2141000</v>
      </c>
      <c r="V59" s="383">
        <f t="shared" si="4"/>
        <v>0</v>
      </c>
      <c r="X59" s="353">
        <v>0</v>
      </c>
      <c r="Y59" s="392">
        <f>'[1]COE DISB 2019'!I67</f>
        <v>0</v>
      </c>
      <c r="Z59" s="383">
        <f t="shared" si="5"/>
        <v>0</v>
      </c>
      <c r="AB59" s="385">
        <v>20000000</v>
      </c>
      <c r="AC59" s="392">
        <f>'[1]COE DISB 2019'!J67</f>
        <v>20000000</v>
      </c>
      <c r="AD59" s="383">
        <f t="shared" si="6"/>
        <v>0</v>
      </c>
      <c r="AF59" s="385">
        <v>281000</v>
      </c>
      <c r="AG59" s="392">
        <f>'[1]COE DISB 2019'!K67</f>
        <v>281000</v>
      </c>
      <c r="AH59" s="383">
        <f t="shared" si="7"/>
        <v>0</v>
      </c>
      <c r="AJ59" s="385">
        <v>10000000</v>
      </c>
      <c r="AK59" s="392">
        <f>'[1]COE DISB 2019'!L67</f>
        <v>10000000</v>
      </c>
      <c r="AL59" s="383">
        <f t="shared" si="8"/>
        <v>0</v>
      </c>
      <c r="AN59" s="392">
        <v>10000000</v>
      </c>
      <c r="AO59" s="392">
        <f>'[1]COE DISB 2019'!M67</f>
        <v>10000000</v>
      </c>
      <c r="AP59" s="383">
        <f t="shared" si="9"/>
        <v>0</v>
      </c>
      <c r="AR59" s="392">
        <v>15000000</v>
      </c>
      <c r="AS59" s="392">
        <f>'[1]COE DISB 2019'!N67</f>
        <v>15000000</v>
      </c>
      <c r="AT59" s="383">
        <f t="shared" si="10"/>
        <v>0</v>
      </c>
      <c r="AV59" s="392">
        <v>5000000</v>
      </c>
      <c r="AW59" s="432">
        <f>'[1]COE DISB 2019'!O67</f>
        <v>5000000</v>
      </c>
      <c r="AX59" s="392">
        <f t="shared" si="11"/>
        <v>0</v>
      </c>
      <c r="AZ59" s="392">
        <v>18000000</v>
      </c>
      <c r="BA59" s="392">
        <f>'[1]COE DISB 2019'!P67</f>
        <v>18000000</v>
      </c>
      <c r="BB59" s="392">
        <f t="shared" si="12"/>
        <v>0</v>
      </c>
      <c r="BD59" s="392">
        <v>23400000</v>
      </c>
      <c r="BE59" s="392">
        <f>'[1]COE DISB 2019'!Q67</f>
        <v>23400000</v>
      </c>
      <c r="BF59" s="392">
        <f t="shared" si="13"/>
        <v>0</v>
      </c>
      <c r="BH59" s="392">
        <v>0</v>
      </c>
      <c r="BI59" s="392">
        <f>'[1]COE DISB 2019'!R67</f>
        <v>0</v>
      </c>
      <c r="BJ59" s="392">
        <f t="shared" si="14"/>
        <v>0</v>
      </c>
      <c r="BL59" s="392">
        <v>43000000</v>
      </c>
      <c r="BM59" s="392">
        <f>'[1]COE DISB 2019'!S67</f>
        <v>43000000</v>
      </c>
      <c r="BN59" s="392">
        <f t="shared" si="15"/>
        <v>0</v>
      </c>
      <c r="BP59" s="392">
        <v>37160000</v>
      </c>
      <c r="BQ59" s="392">
        <f>'[1]COE DISB 2019'!T67</f>
        <v>37160000</v>
      </c>
      <c r="BR59" s="392">
        <f t="shared" si="16"/>
        <v>0</v>
      </c>
      <c r="BT59" s="392">
        <v>0</v>
      </c>
      <c r="BU59" s="392">
        <f>'[1]COE DISB 2019'!U67</f>
        <v>0</v>
      </c>
      <c r="BV59" s="392">
        <f t="shared" si="17"/>
        <v>0</v>
      </c>
      <c r="BX59" s="392">
        <v>112670000</v>
      </c>
      <c r="BY59" s="392">
        <f>'[1]COE DISB 2019'!V67</f>
        <v>112670000</v>
      </c>
      <c r="BZ59" s="392">
        <f t="shared" si="18"/>
        <v>0</v>
      </c>
      <c r="CB59" s="392">
        <f>'[1]COE commited funds to date'!W62</f>
        <v>50000000</v>
      </c>
      <c r="CC59" s="392">
        <f>'[1]COE DISB 2019'!W67</f>
        <v>50000000</v>
      </c>
      <c r="CD59" s="392">
        <f t="shared" si="19"/>
        <v>0</v>
      </c>
      <c r="CF59" s="392">
        <f>'[1]COE commited funds to date'!X62</f>
        <v>125000000</v>
      </c>
      <c r="CG59" s="392">
        <f>'[1]COE DISB 2019'!X67</f>
        <v>125000000</v>
      </c>
      <c r="CH59" s="392">
        <f t="shared" si="20"/>
        <v>0</v>
      </c>
      <c r="CJ59" s="392">
        <v>10000000</v>
      </c>
      <c r="CK59" s="392">
        <f>'[1]COE DISB 2019'!Y67</f>
        <v>10000000</v>
      </c>
      <c r="CL59" s="392">
        <f t="shared" si="21"/>
        <v>0</v>
      </c>
      <c r="CN59" s="392">
        <v>525000000</v>
      </c>
      <c r="CO59" s="392">
        <f>'[1]COE DISB 2019'!Z67</f>
        <v>525000000</v>
      </c>
      <c r="CP59" s="392">
        <f t="shared" si="22"/>
        <v>0</v>
      </c>
      <c r="CR59" s="392">
        <v>210000000</v>
      </c>
      <c r="CS59" s="392">
        <f>'[1]COE DISB 2019'!AA67</f>
        <v>210000000</v>
      </c>
      <c r="CT59" s="392">
        <f t="shared" si="23"/>
        <v>0</v>
      </c>
      <c r="CV59" s="392">
        <v>10000000</v>
      </c>
      <c r="CW59" s="392">
        <f>'[1]COE DISB 2019'!AB67</f>
        <v>10000000</v>
      </c>
      <c r="CX59" s="392">
        <f t="shared" si="24"/>
        <v>0</v>
      </c>
      <c r="CZ59" s="392">
        <f>'[1]COE commited funds to date'!AC62</f>
        <v>500000000</v>
      </c>
      <c r="DA59" s="392">
        <f>'[1]COE DISB 2019'!AC67</f>
        <v>500000000</v>
      </c>
      <c r="DB59" s="392">
        <f t="shared" si="25"/>
        <v>0</v>
      </c>
      <c r="DC59" s="394"/>
      <c r="DD59" s="392">
        <v>215000000</v>
      </c>
      <c r="DE59" s="392">
        <f>'[1]COE DISB 2019'!AD67</f>
        <v>182750000</v>
      </c>
      <c r="DF59" s="392">
        <f>DD59-DE59</f>
        <v>32250000</v>
      </c>
      <c r="DG59" s="394"/>
      <c r="DH59" s="392">
        <v>10000000</v>
      </c>
      <c r="DI59" s="392">
        <f>'[1]COE DISB 2019'!AE67</f>
        <v>10000000</v>
      </c>
      <c r="DJ59" s="392">
        <f>DH59-DI59</f>
        <v>0</v>
      </c>
      <c r="DK59" s="394"/>
      <c r="DL59" s="392">
        <f>'[1]COE commited funds to date'!AD62</f>
        <v>0</v>
      </c>
      <c r="DM59" s="392">
        <f>'[1]COE DISB 2019'!AF67</f>
        <v>0</v>
      </c>
      <c r="DN59" s="392">
        <f t="shared" si="28"/>
        <v>0</v>
      </c>
      <c r="DO59" s="394"/>
      <c r="DP59" s="392">
        <v>325000000</v>
      </c>
      <c r="DQ59" s="392">
        <f>'[1]COE DISB 2019'!AG67</f>
        <v>325000000</v>
      </c>
      <c r="DR59" s="392">
        <f t="shared" si="29"/>
        <v>0</v>
      </c>
      <c r="DS59" s="394"/>
      <c r="DT59" s="397">
        <v>10000000</v>
      </c>
      <c r="DU59" s="392">
        <f>'[1]COE DISB 2019'!AH67</f>
        <v>10000000</v>
      </c>
      <c r="DV59" s="392">
        <f t="shared" si="30"/>
        <v>0</v>
      </c>
      <c r="DW59" s="394"/>
      <c r="DX59" s="392">
        <f>'[1]COE commited funds to date'!AI62</f>
        <v>110000000</v>
      </c>
      <c r="DY59" s="392">
        <f>'[1]COE DISB 2019'!AI67</f>
        <v>107000000</v>
      </c>
      <c r="DZ59" s="392">
        <f t="shared" si="31"/>
        <v>3000000</v>
      </c>
      <c r="EA59" s="394"/>
      <c r="EB59" s="392">
        <f>'[1]COE commited funds to date'!AJ62</f>
        <v>72000000</v>
      </c>
      <c r="EC59" s="392">
        <f>'[1]COE DISB 2019'!AJ67</f>
        <v>72000000</v>
      </c>
      <c r="ED59" s="392">
        <f t="shared" si="32"/>
        <v>0</v>
      </c>
      <c r="EE59" s="394"/>
      <c r="EF59" s="392">
        <f>'[1]COE commited funds to date'!AK62</f>
        <v>8000000</v>
      </c>
      <c r="EG59" s="392">
        <f>'[1]COE DISB 2019'!AK67</f>
        <v>8000000</v>
      </c>
      <c r="EH59" s="392">
        <f t="shared" si="33"/>
        <v>0</v>
      </c>
      <c r="EI59" s="394"/>
      <c r="EJ59" s="392">
        <f>'[1]COE commited funds to date'!AL62</f>
        <v>2000000</v>
      </c>
      <c r="EK59" s="392">
        <f>'[1]COE DISB 2019'!AL67</f>
        <v>0</v>
      </c>
      <c r="EL59" s="392">
        <f t="shared" si="34"/>
        <v>2000000</v>
      </c>
      <c r="EM59" s="394"/>
      <c r="EN59" s="392">
        <f>'[1]COE commited funds to date'!AM62</f>
        <v>7000000</v>
      </c>
      <c r="EO59" s="392">
        <f>'[1]COE DISB 2019'!AM67</f>
        <v>6960400</v>
      </c>
      <c r="EP59" s="392">
        <f t="shared" si="35"/>
        <v>39600</v>
      </c>
      <c r="EQ59" s="394"/>
      <c r="ER59" s="392">
        <f>'[1]COE commited funds to date'!AN62</f>
        <v>5000000000</v>
      </c>
      <c r="ES59" s="392">
        <f>'[1]COE DISB 2019'!AN67</f>
        <v>4897550000</v>
      </c>
      <c r="ET59" s="392">
        <f t="shared" si="36"/>
        <v>102450000</v>
      </c>
      <c r="EV59" s="383">
        <f>'[1]COE commited funds to date'!AO62</f>
        <v>371067000</v>
      </c>
      <c r="EW59" s="383">
        <f>'[1]COE DISB 2019'!AO67</f>
        <v>371067000</v>
      </c>
      <c r="EX59" s="383">
        <f t="shared" si="38"/>
        <v>0</v>
      </c>
      <c r="EY59" s="380"/>
      <c r="EZ59" s="383">
        <f>'[1]COE commited funds to date'!AQ62</f>
        <v>12000000</v>
      </c>
      <c r="FA59" s="383">
        <f>'[1]COE DISB 2019'!AP67</f>
        <v>0</v>
      </c>
      <c r="FB59" s="383">
        <f t="shared" si="39"/>
        <v>12000000</v>
      </c>
      <c r="FC59" s="380"/>
      <c r="FD59" s="383">
        <f>'[1]COE commited funds to date'!AR62</f>
        <v>10000000</v>
      </c>
      <c r="FE59" s="383">
        <f>'[1]COE DISB 2019'!AQ67</f>
        <v>0</v>
      </c>
      <c r="FF59" s="383">
        <f t="shared" si="40"/>
        <v>10000000</v>
      </c>
      <c r="FG59" s="380"/>
      <c r="FH59" s="383">
        <f>'[1]COE commited funds to date'!AP62</f>
        <v>8000000</v>
      </c>
      <c r="FI59" s="383">
        <f>'[1]COE DISB 2019'!AR67</f>
        <v>8000000</v>
      </c>
      <c r="FJ59" s="383">
        <f t="shared" si="41"/>
        <v>0</v>
      </c>
      <c r="FK59" s="383">
        <f>'[1]COE commited funds to date'!AS62</f>
        <v>0</v>
      </c>
      <c r="FL59" s="383">
        <f>'[1]COE DISB 2019'!AS67</f>
        <v>0</v>
      </c>
      <c r="FM59" s="383">
        <f t="shared" si="42"/>
        <v>0</v>
      </c>
      <c r="FN59" s="380"/>
      <c r="FO59" s="383">
        <f>'[1]COE commited funds to date'!AT62</f>
        <v>200000000</v>
      </c>
      <c r="FP59" s="383">
        <f>'[1]COE DISB 2019'!AT67</f>
        <v>0</v>
      </c>
      <c r="FQ59" s="383">
        <f t="shared" si="43"/>
        <v>200000000</v>
      </c>
      <c r="FR59" s="380"/>
      <c r="FS59" s="383">
        <f>'[1]COE commited funds to date'!AU62</f>
        <v>75000000</v>
      </c>
      <c r="FT59" s="383">
        <f>'[1]COE DISB 2019'!AU67</f>
        <v>75000000</v>
      </c>
      <c r="FU59" s="383">
        <f t="shared" si="44"/>
        <v>0</v>
      </c>
      <c r="FV59" s="380"/>
      <c r="FW59" s="383">
        <f>'[1]COE commited funds to date'!AV62</f>
        <v>8700000</v>
      </c>
      <c r="FX59" s="383">
        <f>'[1]COE DISB 2019'!AV67</f>
        <v>0</v>
      </c>
      <c r="FY59" s="383">
        <f t="shared" si="45"/>
        <v>8700000</v>
      </c>
      <c r="FZ59" s="380"/>
      <c r="GA59" s="383">
        <f>'[1]COE commited funds to date'!AW62</f>
        <v>5000000</v>
      </c>
      <c r="GB59" s="383">
        <f>'[1]COE DISB 2019'!AW67</f>
        <v>0</v>
      </c>
      <c r="GC59" s="383">
        <f t="shared" si="46"/>
        <v>5000000</v>
      </c>
      <c r="GD59" s="380"/>
      <c r="GE59" s="383">
        <f>'[1]COE commited funds to date'!AX62</f>
        <v>20000000</v>
      </c>
      <c r="GF59" s="383">
        <f>'[1]COE DISB 2019'!AX67</f>
        <v>0</v>
      </c>
      <c r="GG59" s="383">
        <f t="shared" si="47"/>
        <v>20000000</v>
      </c>
      <c r="GH59" s="380"/>
      <c r="GI59" s="383">
        <f>'[1]COE commited funds to date'!AY62</f>
        <v>230000000</v>
      </c>
      <c r="GJ59" s="383">
        <f>'[1]COE DISB 2019'!AY67</f>
        <v>0</v>
      </c>
      <c r="GK59" s="383">
        <f t="shared" si="48"/>
        <v>230000000</v>
      </c>
      <c r="GL59" s="380"/>
      <c r="GM59" s="383">
        <f>'[1]COE commited funds to date'!AZ62</f>
        <v>116776600</v>
      </c>
      <c r="GN59" s="383">
        <f>'[1]COE DISB 2019'!AZ67</f>
        <v>0</v>
      </c>
      <c r="GO59" s="383">
        <f t="shared" si="49"/>
        <v>116776600</v>
      </c>
      <c r="GP59" s="380"/>
      <c r="GQ59" s="383">
        <f>'[1]COE commited funds to date'!BA62</f>
        <v>12000000</v>
      </c>
      <c r="GR59" s="383">
        <f>'[1]COE DISB 2019'!BA67</f>
        <v>0</v>
      </c>
      <c r="GS59" s="383">
        <f t="shared" si="50"/>
        <v>12000000</v>
      </c>
      <c r="GT59" s="380"/>
      <c r="GU59" s="383">
        <f>'[1]COE commited funds to date'!BB62</f>
        <v>5000000</v>
      </c>
      <c r="GV59" s="383">
        <f>'[1]COE DISB 2019'!BB67</f>
        <v>0</v>
      </c>
      <c r="GW59" s="383">
        <f t="shared" si="51"/>
        <v>5000000</v>
      </c>
      <c r="GX59" s="380"/>
      <c r="GY59" s="383">
        <f>'[1]COE commited funds to date'!BC62</f>
        <v>10308300</v>
      </c>
      <c r="GZ59" s="383">
        <f>'[1]COE DISB 2019'!BC67</f>
        <v>0</v>
      </c>
      <c r="HA59" s="383">
        <f t="shared" si="52"/>
        <v>10308300</v>
      </c>
      <c r="HB59" s="380"/>
      <c r="HC59" s="383">
        <f t="shared" si="53"/>
        <v>8612322865.5</v>
      </c>
      <c r="HD59" s="383">
        <f t="shared" si="53"/>
        <v>7844630262.0500002</v>
      </c>
      <c r="HE59" s="392">
        <f t="shared" si="54"/>
        <v>767692603.44999981</v>
      </c>
      <c r="HG59" s="383">
        <f t="shared" si="55"/>
        <v>2079615965.5</v>
      </c>
      <c r="HH59" s="383">
        <f t="shared" si="55"/>
        <v>1619197862.05</v>
      </c>
      <c r="HI59" s="383">
        <f t="shared" si="56"/>
        <v>460418103.45000005</v>
      </c>
      <c r="HK59" s="383">
        <f t="shared" si="57"/>
        <v>6185000000</v>
      </c>
      <c r="HL59" s="383">
        <f t="shared" si="57"/>
        <v>6079550000</v>
      </c>
      <c r="HM59" s="383">
        <f t="shared" si="58"/>
        <v>105450000</v>
      </c>
      <c r="HO59" s="383">
        <f t="shared" si="71"/>
        <v>2922000</v>
      </c>
      <c r="HP59" s="383">
        <f t="shared" si="71"/>
        <v>2922000</v>
      </c>
      <c r="HQ59" s="383">
        <f t="shared" si="59"/>
        <v>0</v>
      </c>
      <c r="HS59" s="383">
        <f t="shared" si="60"/>
        <v>89308300</v>
      </c>
      <c r="HT59" s="383">
        <f t="shared" si="60"/>
        <v>46960400</v>
      </c>
      <c r="HU59" s="383">
        <f t="shared" si="61"/>
        <v>42347900</v>
      </c>
      <c r="HW59" s="383">
        <f t="shared" si="62"/>
        <v>36700000</v>
      </c>
      <c r="HX59" s="383">
        <f t="shared" si="62"/>
        <v>16000000</v>
      </c>
      <c r="HY59" s="383">
        <f t="shared" si="63"/>
        <v>20700000</v>
      </c>
      <c r="IA59" s="387">
        <f t="shared" si="64"/>
        <v>20000000</v>
      </c>
      <c r="IB59" s="387">
        <f t="shared" si="64"/>
        <v>0</v>
      </c>
      <c r="IC59" s="387">
        <f t="shared" si="65"/>
        <v>20000000</v>
      </c>
      <c r="IE59" s="383">
        <f t="shared" si="66"/>
        <v>191776600</v>
      </c>
      <c r="IF59" s="383">
        <f t="shared" si="66"/>
        <v>75000000</v>
      </c>
      <c r="IG59" s="383">
        <f t="shared" si="67"/>
        <v>116776600</v>
      </c>
      <c r="II59" s="383">
        <f t="shared" si="68"/>
        <v>2000000</v>
      </c>
      <c r="IJ59" s="383">
        <f t="shared" si="68"/>
        <v>0</v>
      </c>
      <c r="IK59" s="383">
        <f t="shared" si="69"/>
        <v>2000000</v>
      </c>
    </row>
    <row r="60" spans="1:245" x14ac:dyDescent="0.25">
      <c r="A60" s="380">
        <v>56</v>
      </c>
      <c r="B60" s="380" t="s">
        <v>377</v>
      </c>
      <c r="C60" s="433" t="s">
        <v>74</v>
      </c>
      <c r="D60" s="392">
        <v>18318965.5</v>
      </c>
      <c r="E60" s="392">
        <f>'[1]COE DISB 2019'!D68</f>
        <v>18319965.489999998</v>
      </c>
      <c r="F60" s="383">
        <f t="shared" si="0"/>
        <v>-999.98999999836087</v>
      </c>
      <c r="H60" s="392">
        <v>8000000</v>
      </c>
      <c r="I60" s="392">
        <f>'[1]COE DISB 2019'!E68</f>
        <v>8000000</v>
      </c>
      <c r="J60" s="383">
        <f t="shared" si="1"/>
        <v>0</v>
      </c>
      <c r="L60" s="392">
        <v>500000</v>
      </c>
      <c r="M60" s="392">
        <f>'[1]COE DISB 2019'!F68</f>
        <v>500000</v>
      </c>
      <c r="N60" s="383">
        <f t="shared" si="2"/>
        <v>0</v>
      </c>
      <c r="P60" s="385">
        <v>16000000</v>
      </c>
      <c r="Q60" s="392">
        <f>'[1]COE DISB 2019'!G68</f>
        <v>16000000</v>
      </c>
      <c r="R60" s="383">
        <f t="shared" si="3"/>
        <v>0</v>
      </c>
      <c r="T60" s="385">
        <v>145000</v>
      </c>
      <c r="U60" s="392">
        <f>'[1]COE DISB 2019'!H68</f>
        <v>145000</v>
      </c>
      <c r="V60" s="383">
        <f t="shared" si="4"/>
        <v>0</v>
      </c>
      <c r="X60" s="353">
        <v>0</v>
      </c>
      <c r="Y60" s="392">
        <f>'[1]COE DISB 2019'!I68</f>
        <v>0</v>
      </c>
      <c r="Z60" s="383">
        <f t="shared" si="5"/>
        <v>0</v>
      </c>
      <c r="AB60" s="385">
        <v>20000000</v>
      </c>
      <c r="AC60" s="392">
        <f>'[1]COE DISB 2019'!J68</f>
        <v>20000000</v>
      </c>
      <c r="AD60" s="383">
        <f t="shared" si="6"/>
        <v>0</v>
      </c>
      <c r="AF60" s="353">
        <v>0</v>
      </c>
      <c r="AG60" s="392">
        <f>'[1]COE DISB 2019'!K68</f>
        <v>0</v>
      </c>
      <c r="AH60" s="383">
        <f t="shared" si="7"/>
        <v>0</v>
      </c>
      <c r="AJ60" s="385">
        <v>10000000</v>
      </c>
      <c r="AK60" s="392">
        <f>'[1]COE DISB 2019'!L68</f>
        <v>10000000</v>
      </c>
      <c r="AL60" s="383">
        <f t="shared" si="8"/>
        <v>0</v>
      </c>
      <c r="AN60" s="392">
        <v>10000000</v>
      </c>
      <c r="AO60" s="392">
        <f>'[1]COE DISB 2019'!M68</f>
        <v>10000000</v>
      </c>
      <c r="AP60" s="383">
        <f t="shared" si="9"/>
        <v>0</v>
      </c>
      <c r="AR60" s="392">
        <v>15000000</v>
      </c>
      <c r="AS60" s="392">
        <f>'[1]COE DISB 2019'!N68</f>
        <v>15000000</v>
      </c>
      <c r="AT60" s="383">
        <f t="shared" si="10"/>
        <v>0</v>
      </c>
      <c r="AV60" s="392">
        <v>0</v>
      </c>
      <c r="AW60" s="432">
        <f>'[1]COE DISB 2019'!O68</f>
        <v>0</v>
      </c>
      <c r="AX60" s="392">
        <f t="shared" si="11"/>
        <v>0</v>
      </c>
      <c r="AZ60" s="392">
        <v>18000000</v>
      </c>
      <c r="BA60" s="392">
        <f>'[1]COE DISB 2019'!P68</f>
        <v>18000000</v>
      </c>
      <c r="BB60" s="392">
        <f t="shared" si="12"/>
        <v>0</v>
      </c>
      <c r="BD60" s="392">
        <v>23400000</v>
      </c>
      <c r="BE60" s="392">
        <f>'[1]COE DISB 2019'!Q68</f>
        <v>23400000</v>
      </c>
      <c r="BF60" s="392">
        <f t="shared" si="13"/>
        <v>0</v>
      </c>
      <c r="BH60" s="392">
        <v>0</v>
      </c>
      <c r="BI60" s="392">
        <f>'[1]COE DISB 2019'!R68</f>
        <v>0</v>
      </c>
      <c r="BJ60" s="392">
        <f t="shared" si="14"/>
        <v>0</v>
      </c>
      <c r="BL60" s="392">
        <v>43000000</v>
      </c>
      <c r="BM60" s="392">
        <f>'[1]COE DISB 2019'!S68</f>
        <v>43000000</v>
      </c>
      <c r="BN60" s="392">
        <f t="shared" si="15"/>
        <v>0</v>
      </c>
      <c r="BP60" s="392">
        <v>37160000</v>
      </c>
      <c r="BQ60" s="392">
        <f>'[1]COE DISB 2019'!T68</f>
        <v>37160000</v>
      </c>
      <c r="BR60" s="392">
        <f t="shared" si="16"/>
        <v>0</v>
      </c>
      <c r="BT60" s="392">
        <v>28650100</v>
      </c>
      <c r="BU60" s="392">
        <f>'[1]COE DISB 2019'!U68</f>
        <v>28650100</v>
      </c>
      <c r="BV60" s="392">
        <f t="shared" si="17"/>
        <v>0</v>
      </c>
      <c r="BX60" s="392">
        <v>112670000</v>
      </c>
      <c r="BY60" s="392">
        <f>'[1]COE DISB 2019'!V68</f>
        <v>112670000</v>
      </c>
      <c r="BZ60" s="392">
        <f t="shared" si="18"/>
        <v>0</v>
      </c>
      <c r="CB60" s="392">
        <f>'[1]COE commited funds to date'!W63</f>
        <v>50000000</v>
      </c>
      <c r="CC60" s="392">
        <f>'[1]COE DISB 2019'!W68</f>
        <v>50000000</v>
      </c>
      <c r="CD60" s="392">
        <f t="shared" si="19"/>
        <v>0</v>
      </c>
      <c r="CF60" s="392">
        <f>'[1]COE commited funds to date'!X63</f>
        <v>125000000</v>
      </c>
      <c r="CG60" s="392">
        <f>'[1]COE DISB 2019'!X68</f>
        <v>125000000</v>
      </c>
      <c r="CH60" s="392">
        <f t="shared" si="20"/>
        <v>0</v>
      </c>
      <c r="CJ60" s="392">
        <v>10000000</v>
      </c>
      <c r="CK60" s="392">
        <f>'[1]COE DISB 2019'!Y68</f>
        <v>10000000</v>
      </c>
      <c r="CL60" s="392">
        <f t="shared" si="21"/>
        <v>0</v>
      </c>
      <c r="CN60" s="392">
        <v>120000000</v>
      </c>
      <c r="CO60" s="392">
        <f>'[1]COE DISB 2019'!Z68</f>
        <v>120000000</v>
      </c>
      <c r="CP60" s="392">
        <f t="shared" si="22"/>
        <v>0</v>
      </c>
      <c r="CR60" s="392">
        <v>210000000</v>
      </c>
      <c r="CS60" s="392">
        <f>'[1]COE DISB 2019'!AA68</f>
        <v>210000000</v>
      </c>
      <c r="CT60" s="392">
        <f t="shared" si="23"/>
        <v>0</v>
      </c>
      <c r="CV60" s="392">
        <v>10000000</v>
      </c>
      <c r="CW60" s="392">
        <f>'[1]COE DISB 2019'!AB68</f>
        <v>10000000</v>
      </c>
      <c r="CX60" s="392">
        <f t="shared" si="24"/>
        <v>0</v>
      </c>
      <c r="CZ60" s="392">
        <f>'[1]COE commited funds to date'!AC63</f>
        <v>217000000</v>
      </c>
      <c r="DA60" s="392">
        <f>'[1]COE DISB 2019'!AC68</f>
        <v>217000000</v>
      </c>
      <c r="DB60" s="392">
        <f t="shared" si="25"/>
        <v>0</v>
      </c>
      <c r="DC60" s="394"/>
      <c r="DD60" s="392">
        <v>215000000</v>
      </c>
      <c r="DE60" s="392">
        <f>'[1]COE DISB 2019'!AD68</f>
        <v>215000000</v>
      </c>
      <c r="DF60" s="392">
        <f>DD60-DE60</f>
        <v>0</v>
      </c>
      <c r="DG60" s="394"/>
      <c r="DH60" s="392">
        <v>10000000</v>
      </c>
      <c r="DI60" s="392">
        <f>'[1]COE DISB 2019'!AE68</f>
        <v>10000000</v>
      </c>
      <c r="DJ60" s="392">
        <f>DH60-DI60</f>
        <v>0</v>
      </c>
      <c r="DK60" s="394"/>
      <c r="DL60" s="392">
        <f>'[1]COE commited funds to date'!AD63</f>
        <v>0</v>
      </c>
      <c r="DM60" s="392">
        <f>'[1]COE DISB 2019'!AF68</f>
        <v>0</v>
      </c>
      <c r="DN60" s="392">
        <f t="shared" si="28"/>
        <v>0</v>
      </c>
      <c r="DO60" s="394"/>
      <c r="DP60" s="392">
        <v>325000000</v>
      </c>
      <c r="DQ60" s="392">
        <f>'[1]COE DISB 2019'!AG68</f>
        <v>325000000</v>
      </c>
      <c r="DR60" s="392">
        <f t="shared" si="29"/>
        <v>0</v>
      </c>
      <c r="DS60" s="394"/>
      <c r="DT60" s="397">
        <v>10000000</v>
      </c>
      <c r="DU60" s="392">
        <f>'[1]COE DISB 2019'!AH68</f>
        <v>10000000</v>
      </c>
      <c r="DV60" s="392">
        <f t="shared" si="30"/>
        <v>0</v>
      </c>
      <c r="DW60" s="394"/>
      <c r="DX60" s="392">
        <f>'[1]COE commited funds to date'!AI63</f>
        <v>41600000</v>
      </c>
      <c r="DY60" s="392">
        <f>'[1]COE DISB 2019'!AI68</f>
        <v>41600000</v>
      </c>
      <c r="DZ60" s="392">
        <f t="shared" si="31"/>
        <v>0</v>
      </c>
      <c r="EA60" s="394"/>
      <c r="EB60" s="392">
        <f>'[1]COE commited funds to date'!AJ63</f>
        <v>72000000</v>
      </c>
      <c r="EC60" s="392">
        <f>'[1]COE DISB 2019'!AJ68</f>
        <v>46800000</v>
      </c>
      <c r="ED60" s="392">
        <f t="shared" si="32"/>
        <v>25200000</v>
      </c>
      <c r="EE60" s="394"/>
      <c r="EF60" s="392">
        <f>'[1]COE commited funds to date'!AK63</f>
        <v>8000000</v>
      </c>
      <c r="EG60" s="392">
        <f>'[1]COE DISB 2019'!AK68</f>
        <v>6800000</v>
      </c>
      <c r="EH60" s="392">
        <f t="shared" si="33"/>
        <v>1200000</v>
      </c>
      <c r="EI60" s="394"/>
      <c r="EJ60" s="392">
        <f>'[1]COE commited funds to date'!AL63</f>
        <v>2000000</v>
      </c>
      <c r="EK60" s="392">
        <f>'[1]COE DISB 2019'!AL68</f>
        <v>0</v>
      </c>
      <c r="EL60" s="392">
        <f t="shared" si="34"/>
        <v>2000000</v>
      </c>
      <c r="EM60" s="394"/>
      <c r="EN60" s="392">
        <f>'[1]COE commited funds to date'!AM63</f>
        <v>7000000</v>
      </c>
      <c r="EO60" s="392">
        <f>'[1]COE DISB 2019'!AM68</f>
        <v>7000000</v>
      </c>
      <c r="EP60" s="392">
        <f t="shared" si="35"/>
        <v>0</v>
      </c>
      <c r="EQ60" s="394"/>
      <c r="ER60" s="392">
        <f>'[1]COE commited funds to date'!AN63</f>
        <v>100000000</v>
      </c>
      <c r="ES60" s="392">
        <f>'[1]COE DISB 2019'!AN68</f>
        <v>100000000</v>
      </c>
      <c r="ET60" s="392">
        <f t="shared" si="36"/>
        <v>0</v>
      </c>
      <c r="EV60" s="383">
        <f>'[1]COE commited funds to date'!AO63</f>
        <v>371067000</v>
      </c>
      <c r="EW60" s="383">
        <f>'[1]COE DISB 2019'!AO68</f>
        <v>241193550</v>
      </c>
      <c r="EX60" s="383">
        <f t="shared" si="38"/>
        <v>129873450</v>
      </c>
      <c r="EY60" s="380"/>
      <c r="EZ60" s="383">
        <f>'[1]COE commited funds to date'!AQ63</f>
        <v>12000000</v>
      </c>
      <c r="FA60" s="383">
        <f>'[1]COE DISB 2019'!AP68</f>
        <v>12000000</v>
      </c>
      <c r="FB60" s="383">
        <f t="shared" si="39"/>
        <v>0</v>
      </c>
      <c r="FC60" s="380"/>
      <c r="FD60" s="383">
        <f>'[1]COE commited funds to date'!AR63</f>
        <v>10000000</v>
      </c>
      <c r="FE60" s="383">
        <f>'[1]COE DISB 2019'!AQ68</f>
        <v>0</v>
      </c>
      <c r="FF60" s="383">
        <f t="shared" si="40"/>
        <v>10000000</v>
      </c>
      <c r="FG60" s="380"/>
      <c r="FH60" s="383">
        <f>'[1]COE commited funds to date'!AP63</f>
        <v>8000000</v>
      </c>
      <c r="FI60" s="383">
        <f>'[1]COE DISB 2019'!AR68</f>
        <v>6800000</v>
      </c>
      <c r="FJ60" s="383">
        <f t="shared" si="41"/>
        <v>1200000</v>
      </c>
      <c r="FK60" s="383">
        <f>'[1]COE commited funds to date'!AS63</f>
        <v>0</v>
      </c>
      <c r="FL60" s="383">
        <f>'[1]COE DISB 2019'!AS68</f>
        <v>0</v>
      </c>
      <c r="FM60" s="383">
        <f t="shared" si="42"/>
        <v>0</v>
      </c>
      <c r="FN60" s="380"/>
      <c r="FO60" s="383">
        <f>'[1]COE commited funds to date'!AT63</f>
        <v>200000000</v>
      </c>
      <c r="FP60" s="383">
        <f>'[1]COE DISB 2019'!AT68</f>
        <v>0</v>
      </c>
      <c r="FQ60" s="383">
        <f t="shared" si="43"/>
        <v>200000000</v>
      </c>
      <c r="FR60" s="380"/>
      <c r="FS60" s="383">
        <f>'[1]COE commited funds to date'!AU63</f>
        <v>75000000</v>
      </c>
      <c r="FT60" s="383">
        <f>'[1]COE DISB 2019'!AU68</f>
        <v>63750000</v>
      </c>
      <c r="FU60" s="383">
        <f t="shared" si="44"/>
        <v>11250000</v>
      </c>
      <c r="FV60" s="380"/>
      <c r="FW60" s="383">
        <f>'[1]COE commited funds to date'!AV63</f>
        <v>8700000</v>
      </c>
      <c r="FX60" s="383">
        <f>'[1]COE DISB 2019'!AV68</f>
        <v>0</v>
      </c>
      <c r="FY60" s="383">
        <f t="shared" si="45"/>
        <v>8700000</v>
      </c>
      <c r="FZ60" s="380"/>
      <c r="GA60" s="383">
        <f>'[1]COE commited funds to date'!AW63</f>
        <v>5000000</v>
      </c>
      <c r="GB60" s="383">
        <f>'[1]COE DISB 2019'!AW68</f>
        <v>0</v>
      </c>
      <c r="GC60" s="383">
        <f t="shared" si="46"/>
        <v>5000000</v>
      </c>
      <c r="GD60" s="380"/>
      <c r="GE60" s="383">
        <f>'[1]COE commited funds to date'!AX63</f>
        <v>20000000</v>
      </c>
      <c r="GF60" s="383">
        <f>'[1]COE DISB 2019'!AX68</f>
        <v>19623200</v>
      </c>
      <c r="GG60" s="383">
        <f t="shared" si="47"/>
        <v>376800</v>
      </c>
      <c r="GH60" s="380"/>
      <c r="GI60" s="383">
        <f>'[1]COE commited funds to date'!AY63</f>
        <v>230000000</v>
      </c>
      <c r="GJ60" s="383">
        <f>'[1]COE DISB 2019'!AY68</f>
        <v>0</v>
      </c>
      <c r="GK60" s="383">
        <f t="shared" si="48"/>
        <v>230000000</v>
      </c>
      <c r="GL60" s="380"/>
      <c r="GM60" s="383">
        <f>'[1]COE commited funds to date'!AZ63</f>
        <v>116776600</v>
      </c>
      <c r="GN60" s="383">
        <f>'[1]COE DISB 2019'!AZ68</f>
        <v>0</v>
      </c>
      <c r="GO60" s="383">
        <f t="shared" si="49"/>
        <v>116776600</v>
      </c>
      <c r="GP60" s="380"/>
      <c r="GQ60" s="383">
        <f>'[1]COE commited funds to date'!BA63</f>
        <v>12000000</v>
      </c>
      <c r="GR60" s="383">
        <f>'[1]COE DISB 2019'!BA68</f>
        <v>0</v>
      </c>
      <c r="GS60" s="383">
        <f t="shared" si="50"/>
        <v>12000000</v>
      </c>
      <c r="GT60" s="380"/>
      <c r="GU60" s="383">
        <f>'[1]COE commited funds to date'!BB63</f>
        <v>5000000</v>
      </c>
      <c r="GV60" s="383">
        <f>'[1]COE DISB 2019'!BB68</f>
        <v>0</v>
      </c>
      <c r="GW60" s="383">
        <f t="shared" si="51"/>
        <v>5000000</v>
      </c>
      <c r="GX60" s="380"/>
      <c r="GY60" s="383">
        <f>'[1]COE commited funds to date'!BC63</f>
        <v>10308300</v>
      </c>
      <c r="GZ60" s="383">
        <f>'[1]COE DISB 2019'!BC68</f>
        <v>0</v>
      </c>
      <c r="HA60" s="383">
        <f t="shared" si="52"/>
        <v>10308300</v>
      </c>
      <c r="HB60" s="380"/>
      <c r="HC60" s="383">
        <f t="shared" si="53"/>
        <v>2977295965.5</v>
      </c>
      <c r="HD60" s="383">
        <f t="shared" si="53"/>
        <v>2208411815.4899998</v>
      </c>
      <c r="HE60" s="392">
        <f t="shared" si="54"/>
        <v>768884150.01000023</v>
      </c>
      <c r="HG60" s="383">
        <f t="shared" si="55"/>
        <v>2079615965.5</v>
      </c>
      <c r="HH60" s="383">
        <f t="shared" si="55"/>
        <v>1494543515.49</v>
      </c>
      <c r="HI60" s="383">
        <f t="shared" si="56"/>
        <v>585072450.00999999</v>
      </c>
      <c r="HK60" s="383">
        <f t="shared" si="57"/>
        <v>557250100</v>
      </c>
      <c r="HL60" s="383">
        <f t="shared" si="57"/>
        <v>557250100</v>
      </c>
      <c r="HM60" s="383">
        <f t="shared" si="58"/>
        <v>0</v>
      </c>
      <c r="HO60" s="383">
        <f t="shared" si="71"/>
        <v>645000</v>
      </c>
      <c r="HP60" s="383">
        <f t="shared" si="71"/>
        <v>645000</v>
      </c>
      <c r="HQ60" s="383">
        <f t="shared" si="59"/>
        <v>0</v>
      </c>
      <c r="HS60" s="383">
        <f t="shared" si="60"/>
        <v>89308300</v>
      </c>
      <c r="HT60" s="383">
        <f t="shared" si="60"/>
        <v>78623200</v>
      </c>
      <c r="HU60" s="383">
        <f t="shared" si="61"/>
        <v>10685100</v>
      </c>
      <c r="HW60" s="383">
        <f t="shared" si="62"/>
        <v>36700000</v>
      </c>
      <c r="HX60" s="383">
        <f t="shared" si="62"/>
        <v>13600000</v>
      </c>
      <c r="HY60" s="383">
        <f t="shared" si="63"/>
        <v>23100000</v>
      </c>
      <c r="IA60" s="387">
        <f t="shared" si="64"/>
        <v>20000000</v>
      </c>
      <c r="IB60" s="387">
        <f t="shared" si="64"/>
        <v>0</v>
      </c>
      <c r="IC60" s="387">
        <f t="shared" si="65"/>
        <v>20000000</v>
      </c>
      <c r="IE60" s="383">
        <f t="shared" si="66"/>
        <v>191776600</v>
      </c>
      <c r="IF60" s="383">
        <f t="shared" si="66"/>
        <v>63750000</v>
      </c>
      <c r="IG60" s="383">
        <f t="shared" si="67"/>
        <v>128026600</v>
      </c>
      <c r="II60" s="383">
        <f t="shared" si="68"/>
        <v>2000000</v>
      </c>
      <c r="IJ60" s="383">
        <f t="shared" si="68"/>
        <v>0</v>
      </c>
      <c r="IK60" s="383">
        <f t="shared" si="69"/>
        <v>2000000</v>
      </c>
    </row>
    <row r="61" spans="1:245" x14ac:dyDescent="0.25">
      <c r="A61" s="380">
        <v>57</v>
      </c>
      <c r="B61" s="380" t="s">
        <v>378</v>
      </c>
      <c r="C61" s="439" t="s">
        <v>63</v>
      </c>
      <c r="D61" s="392">
        <v>0</v>
      </c>
      <c r="E61" s="392">
        <f>'[1]COE DISB 2019'!D69</f>
        <v>0</v>
      </c>
      <c r="F61" s="383">
        <f t="shared" si="0"/>
        <v>0</v>
      </c>
      <c r="H61" s="392">
        <v>0</v>
      </c>
      <c r="I61" s="392">
        <f>'[1]COE DISB 2019'!E69</f>
        <v>0</v>
      </c>
      <c r="J61" s="383">
        <f t="shared" si="1"/>
        <v>0</v>
      </c>
      <c r="L61" s="392">
        <v>0</v>
      </c>
      <c r="M61" s="392">
        <f>'[1]COE DISB 2019'!F69</f>
        <v>0</v>
      </c>
      <c r="N61" s="383">
        <f t="shared" si="2"/>
        <v>0</v>
      </c>
      <c r="P61" s="353">
        <v>0</v>
      </c>
      <c r="Q61" s="392">
        <f>'[1]COE DISB 2019'!G69</f>
        <v>0</v>
      </c>
      <c r="R61" s="383">
        <f t="shared" si="3"/>
        <v>0</v>
      </c>
      <c r="T61" s="353">
        <v>0</v>
      </c>
      <c r="U61" s="392">
        <f>'[1]COE DISB 2019'!H69</f>
        <v>0</v>
      </c>
      <c r="V61" s="383">
        <f t="shared" si="4"/>
        <v>0</v>
      </c>
      <c r="X61" s="353">
        <v>0</v>
      </c>
      <c r="Y61" s="392">
        <f>'[1]COE DISB 2019'!I69</f>
        <v>0</v>
      </c>
      <c r="Z61" s="383">
        <f t="shared" si="5"/>
        <v>0</v>
      </c>
      <c r="AB61" s="385">
        <v>20000000</v>
      </c>
      <c r="AC61" s="392">
        <f>'[1]COE DISB 2019'!J69</f>
        <v>20000000</v>
      </c>
      <c r="AD61" s="383">
        <f t="shared" si="6"/>
        <v>0</v>
      </c>
      <c r="AF61" s="353">
        <v>0</v>
      </c>
      <c r="AG61" s="392">
        <f>'[1]COE DISB 2019'!K69</f>
        <v>0</v>
      </c>
      <c r="AH61" s="383">
        <f t="shared" si="7"/>
        <v>0</v>
      </c>
      <c r="AJ61" s="385">
        <v>10000000</v>
      </c>
      <c r="AK61" s="392">
        <f>'[1]COE DISB 2019'!L69</f>
        <v>10000000</v>
      </c>
      <c r="AL61" s="383">
        <f t="shared" si="8"/>
        <v>0</v>
      </c>
      <c r="AN61" s="392">
        <v>10000000</v>
      </c>
      <c r="AO61" s="392">
        <f>'[1]COE DISB 2019'!M69</f>
        <v>10000000</v>
      </c>
      <c r="AP61" s="383">
        <f t="shared" si="9"/>
        <v>0</v>
      </c>
      <c r="AR61" s="392">
        <v>15000000</v>
      </c>
      <c r="AS61" s="392">
        <f>'[1]COE DISB 2019'!N69</f>
        <v>15000000</v>
      </c>
      <c r="AT61" s="383">
        <f t="shared" si="10"/>
        <v>0</v>
      </c>
      <c r="AV61" s="392">
        <v>0</v>
      </c>
      <c r="AW61" s="432">
        <f>'[1]COE DISB 2019'!O69</f>
        <v>0</v>
      </c>
      <c r="AX61" s="392">
        <f t="shared" si="11"/>
        <v>0</v>
      </c>
      <c r="AZ61" s="392">
        <v>18000000</v>
      </c>
      <c r="BA61" s="392">
        <f>'[1]COE DISB 2019'!P69</f>
        <v>18000000</v>
      </c>
      <c r="BB61" s="392">
        <f t="shared" si="12"/>
        <v>0</v>
      </c>
      <c r="BD61" s="392">
        <v>23400000</v>
      </c>
      <c r="BE61" s="392">
        <f>'[1]COE DISB 2019'!Q69</f>
        <v>23400000</v>
      </c>
      <c r="BF61" s="392">
        <f t="shared" si="13"/>
        <v>0</v>
      </c>
      <c r="BH61" s="392">
        <v>0</v>
      </c>
      <c r="BI61" s="392">
        <f>'[1]COE DISB 2019'!R69</f>
        <v>0</v>
      </c>
      <c r="BJ61" s="392">
        <f t="shared" si="14"/>
        <v>0</v>
      </c>
      <c r="BL61" s="392">
        <v>43000000</v>
      </c>
      <c r="BM61" s="392">
        <f>'[1]COE DISB 2019'!S69</f>
        <v>43000000</v>
      </c>
      <c r="BN61" s="392">
        <f t="shared" si="15"/>
        <v>0</v>
      </c>
      <c r="BP61" s="392">
        <v>37160000</v>
      </c>
      <c r="BQ61" s="392">
        <f>'[1]COE DISB 2019'!T69</f>
        <v>37160000</v>
      </c>
      <c r="BR61" s="392">
        <f t="shared" si="16"/>
        <v>0</v>
      </c>
      <c r="BT61" s="392">
        <v>0</v>
      </c>
      <c r="BU61" s="392">
        <f>'[1]COE DISB 2019'!U69</f>
        <v>0</v>
      </c>
      <c r="BV61" s="392">
        <f t="shared" si="17"/>
        <v>0</v>
      </c>
      <c r="BX61" s="392">
        <v>112669500</v>
      </c>
      <c r="BY61" s="392">
        <f>'[1]COE DISB 2019'!V69</f>
        <v>112669500</v>
      </c>
      <c r="BZ61" s="392">
        <f t="shared" si="18"/>
        <v>0</v>
      </c>
      <c r="CB61" s="392">
        <f>'[1]COE commited funds to date'!W64</f>
        <v>0</v>
      </c>
      <c r="CC61" s="392">
        <f>'[1]COE DISB 2019'!W69</f>
        <v>0</v>
      </c>
      <c r="CD61" s="392">
        <f t="shared" si="19"/>
        <v>0</v>
      </c>
      <c r="CF61" s="392">
        <f>'[1]COE commited funds to date'!X64</f>
        <v>125000000</v>
      </c>
      <c r="CG61" s="392">
        <f>'[1]COE DISB 2019'!X69</f>
        <v>125000000</v>
      </c>
      <c r="CH61" s="392">
        <f t="shared" si="20"/>
        <v>0</v>
      </c>
      <c r="CJ61" s="392">
        <v>10000000</v>
      </c>
      <c r="CK61" s="392">
        <f>'[1]COE DISB 2019'!Y69</f>
        <v>10000000</v>
      </c>
      <c r="CL61" s="392">
        <f t="shared" si="21"/>
        <v>0</v>
      </c>
      <c r="CN61" s="392">
        <v>250000000</v>
      </c>
      <c r="CO61" s="392">
        <f>'[1]COE DISB 2019'!Z69</f>
        <v>250000000</v>
      </c>
      <c r="CP61" s="392">
        <f t="shared" si="22"/>
        <v>0</v>
      </c>
      <c r="CR61" s="392">
        <v>210000000</v>
      </c>
      <c r="CS61" s="392">
        <f>'[1]COE DISB 2019'!AA69</f>
        <v>210000000</v>
      </c>
      <c r="CT61" s="392">
        <f t="shared" si="23"/>
        <v>0</v>
      </c>
      <c r="CV61" s="392">
        <v>10000000</v>
      </c>
      <c r="CW61" s="392">
        <f>'[1]COE DISB 2019'!AB69</f>
        <v>10000000</v>
      </c>
      <c r="CX61" s="392">
        <f t="shared" si="24"/>
        <v>0</v>
      </c>
      <c r="CZ61" s="392">
        <f>'[1]COE commited funds to date'!AC64</f>
        <v>400000000</v>
      </c>
      <c r="DA61" s="392">
        <f>'[1]COE DISB 2019'!AC69</f>
        <v>400000000</v>
      </c>
      <c r="DB61" s="392">
        <f t="shared" si="25"/>
        <v>0</v>
      </c>
      <c r="DC61" s="394"/>
      <c r="DD61" s="392">
        <v>215000000</v>
      </c>
      <c r="DE61" s="392">
        <f>'[1]COE DISB 2019'!AD69</f>
        <v>215000000</v>
      </c>
      <c r="DF61" s="392">
        <f>DD61-DE61</f>
        <v>0</v>
      </c>
      <c r="DG61" s="394"/>
      <c r="DH61" s="392">
        <v>10000000</v>
      </c>
      <c r="DI61" s="392">
        <f>'[1]COE DISB 2019'!AE69</f>
        <v>10000000</v>
      </c>
      <c r="DJ61" s="392">
        <f>DH61-DI61</f>
        <v>0</v>
      </c>
      <c r="DK61" s="394"/>
      <c r="DL61" s="392">
        <f>'[1]COE commited funds to date'!AD64</f>
        <v>0</v>
      </c>
      <c r="DM61" s="392">
        <f>'[1]COE DISB 2019'!AF69</f>
        <v>0</v>
      </c>
      <c r="DN61" s="392">
        <f t="shared" si="28"/>
        <v>0</v>
      </c>
      <c r="DO61" s="394"/>
      <c r="DP61" s="392">
        <v>325000000</v>
      </c>
      <c r="DQ61" s="392">
        <f>'[1]COE DISB 2019'!AG69</f>
        <v>325000000</v>
      </c>
      <c r="DR61" s="392">
        <f t="shared" si="29"/>
        <v>0</v>
      </c>
      <c r="DS61" s="394"/>
      <c r="DT61" s="397">
        <v>10000000</v>
      </c>
      <c r="DU61" s="392">
        <f>'[1]COE DISB 2019'!AH69</f>
        <v>10000000</v>
      </c>
      <c r="DV61" s="392">
        <f t="shared" si="30"/>
        <v>0</v>
      </c>
      <c r="DW61" s="394"/>
      <c r="DX61" s="392">
        <f>'[1]COE commited funds to date'!AI64</f>
        <v>280000000</v>
      </c>
      <c r="DY61" s="392">
        <f>'[1]COE DISB 2019'!AI69</f>
        <v>280000000</v>
      </c>
      <c r="DZ61" s="392">
        <f t="shared" si="31"/>
        <v>0</v>
      </c>
      <c r="EA61" s="394"/>
      <c r="EB61" s="392">
        <f>'[1]COE commited funds to date'!AJ64</f>
        <v>72000000</v>
      </c>
      <c r="EC61" s="392">
        <f>'[1]COE DISB 2019'!AJ69</f>
        <v>72000000</v>
      </c>
      <c r="ED61" s="392">
        <f t="shared" si="32"/>
        <v>0</v>
      </c>
      <c r="EE61" s="394"/>
      <c r="EF61" s="392">
        <f>'[1]COE commited funds to date'!AK64</f>
        <v>8000000</v>
      </c>
      <c r="EG61" s="392">
        <f>'[1]COE DISB 2019'!AK69</f>
        <v>8000000</v>
      </c>
      <c r="EH61" s="392">
        <f t="shared" si="33"/>
        <v>0</v>
      </c>
      <c r="EI61" s="394"/>
      <c r="EJ61" s="392">
        <f>'[1]COE commited funds to date'!AL64</f>
        <v>2000000</v>
      </c>
      <c r="EK61" s="392">
        <f>'[1]COE DISB 2019'!AL69</f>
        <v>2000000</v>
      </c>
      <c r="EL61" s="392">
        <f t="shared" si="34"/>
        <v>0</v>
      </c>
      <c r="EM61" s="394"/>
      <c r="EN61" s="392">
        <f>'[1]COE commited funds to date'!AM64</f>
        <v>7000000</v>
      </c>
      <c r="EO61" s="392">
        <f>'[1]COE DISB 2019'!AM69</f>
        <v>7000000</v>
      </c>
      <c r="EP61" s="392">
        <f t="shared" si="35"/>
        <v>0</v>
      </c>
      <c r="EQ61" s="394"/>
      <c r="ER61" s="392">
        <f>'[1]COE commited funds to date'!AN64</f>
        <v>1100000000</v>
      </c>
      <c r="ES61" s="392">
        <f>'[1]COE DISB 2019'!AN69</f>
        <v>1100000000</v>
      </c>
      <c r="ET61" s="392">
        <f t="shared" si="36"/>
        <v>0</v>
      </c>
      <c r="EV61" s="383">
        <f>'[1]COE commited funds to date'!AO64</f>
        <v>371067000</v>
      </c>
      <c r="EW61" s="383">
        <f>'[1]COE DISB 2019'!AO69</f>
        <v>371067000</v>
      </c>
      <c r="EX61" s="383">
        <f t="shared" si="38"/>
        <v>0</v>
      </c>
      <c r="EY61" s="380"/>
      <c r="EZ61" s="383">
        <f>'[1]COE commited funds to date'!AQ64</f>
        <v>12000000</v>
      </c>
      <c r="FA61" s="383">
        <f>'[1]COE DISB 2019'!AP69</f>
        <v>10276472.5</v>
      </c>
      <c r="FB61" s="383">
        <f t="shared" si="39"/>
        <v>1723527.5</v>
      </c>
      <c r="FC61" s="380"/>
      <c r="FD61" s="383">
        <f>'[1]COE commited funds to date'!AR64</f>
        <v>10000000</v>
      </c>
      <c r="FE61" s="383">
        <f>'[1]COE DISB 2019'!AQ69</f>
        <v>0</v>
      </c>
      <c r="FF61" s="383">
        <f t="shared" si="40"/>
        <v>10000000</v>
      </c>
      <c r="FG61" s="380"/>
      <c r="FH61" s="383">
        <f>'[1]COE commited funds to date'!AP64</f>
        <v>8000000</v>
      </c>
      <c r="FI61" s="383">
        <f>'[1]COE DISB 2019'!AR69</f>
        <v>8000000</v>
      </c>
      <c r="FJ61" s="383">
        <f t="shared" si="41"/>
        <v>0</v>
      </c>
      <c r="FK61" s="383">
        <f>'[1]COE commited funds to date'!AS64</f>
        <v>150000000</v>
      </c>
      <c r="FL61" s="383">
        <f>'[1]COE DISB 2019'!AS69</f>
        <v>150000000</v>
      </c>
      <c r="FM61" s="383">
        <f t="shared" si="42"/>
        <v>0</v>
      </c>
      <c r="FN61" s="380"/>
      <c r="FO61" s="383">
        <f>'[1]COE commited funds to date'!AT64</f>
        <v>200000000</v>
      </c>
      <c r="FP61" s="383">
        <f>'[1]COE DISB 2019'!AT69</f>
        <v>0</v>
      </c>
      <c r="FQ61" s="383">
        <f t="shared" si="43"/>
        <v>200000000</v>
      </c>
      <c r="FR61" s="380"/>
      <c r="FS61" s="383">
        <f>'[1]COE commited funds to date'!AU64</f>
        <v>75000000</v>
      </c>
      <c r="FT61" s="383">
        <f>'[1]COE DISB 2019'!AU69</f>
        <v>75000000</v>
      </c>
      <c r="FU61" s="383">
        <f t="shared" si="44"/>
        <v>0</v>
      </c>
      <c r="FV61" s="380"/>
      <c r="FW61" s="383">
        <f>'[1]COE commited funds to date'!AV64</f>
        <v>8700000</v>
      </c>
      <c r="FX61" s="383">
        <f>'[1]COE DISB 2019'!AV69</f>
        <v>0</v>
      </c>
      <c r="FY61" s="383">
        <f t="shared" si="45"/>
        <v>8700000</v>
      </c>
      <c r="FZ61" s="380"/>
      <c r="GA61" s="383">
        <f>'[1]COE commited funds to date'!AW64</f>
        <v>5000000</v>
      </c>
      <c r="GB61" s="383">
        <f>'[1]COE DISB 2019'!AW69</f>
        <v>0</v>
      </c>
      <c r="GC61" s="383">
        <f t="shared" si="46"/>
        <v>5000000</v>
      </c>
      <c r="GD61" s="380"/>
      <c r="GE61" s="383">
        <f>'[1]COE commited funds to date'!AX64</f>
        <v>20000000</v>
      </c>
      <c r="GF61" s="383">
        <f>'[1]COE DISB 2019'!AX69</f>
        <v>0</v>
      </c>
      <c r="GG61" s="383">
        <f t="shared" si="47"/>
        <v>20000000</v>
      </c>
      <c r="GH61" s="380"/>
      <c r="GI61" s="383">
        <f>'[1]COE commited funds to date'!AY64</f>
        <v>230000000</v>
      </c>
      <c r="GJ61" s="383">
        <f>'[1]COE DISB 2019'!AY69</f>
        <v>0</v>
      </c>
      <c r="GK61" s="383">
        <f t="shared" si="48"/>
        <v>230000000</v>
      </c>
      <c r="GL61" s="380"/>
      <c r="GM61" s="383">
        <f>'[1]COE commited funds to date'!AZ64</f>
        <v>116776600</v>
      </c>
      <c r="GN61" s="383">
        <f>'[1]COE DISB 2019'!AZ69</f>
        <v>0</v>
      </c>
      <c r="GO61" s="383">
        <f t="shared" si="49"/>
        <v>116776600</v>
      </c>
      <c r="GP61" s="380"/>
      <c r="GQ61" s="383">
        <f>'[1]COE commited funds to date'!BA64</f>
        <v>12000000</v>
      </c>
      <c r="GR61" s="383">
        <f>'[1]COE DISB 2019'!BA69</f>
        <v>0</v>
      </c>
      <c r="GS61" s="383">
        <f t="shared" si="50"/>
        <v>12000000</v>
      </c>
      <c r="GT61" s="380"/>
      <c r="GU61" s="383">
        <f>'[1]COE commited funds to date'!BB64</f>
        <v>5000000</v>
      </c>
      <c r="GV61" s="383">
        <f>'[1]COE DISB 2019'!BB69</f>
        <v>0</v>
      </c>
      <c r="GW61" s="383">
        <f t="shared" si="51"/>
        <v>5000000</v>
      </c>
      <c r="GX61" s="380"/>
      <c r="GY61" s="383">
        <f>'[1]COE commited funds to date'!BC64</f>
        <v>10308300</v>
      </c>
      <c r="GZ61" s="383">
        <f>'[1]COE DISB 2019'!BC69</f>
        <v>0</v>
      </c>
      <c r="HA61" s="383">
        <f t="shared" si="52"/>
        <v>10308300</v>
      </c>
      <c r="HB61" s="380"/>
      <c r="HC61" s="383">
        <f t="shared" si="53"/>
        <v>4557081400</v>
      </c>
      <c r="HD61" s="383">
        <f t="shared" si="53"/>
        <v>3937572972.5</v>
      </c>
      <c r="HE61" s="392">
        <f t="shared" si="54"/>
        <v>619508427.5</v>
      </c>
      <c r="HG61" s="383">
        <f t="shared" si="55"/>
        <v>2037296500</v>
      </c>
      <c r="HH61" s="383">
        <f t="shared" si="55"/>
        <v>1607296500</v>
      </c>
      <c r="HI61" s="383">
        <f t="shared" si="56"/>
        <v>430000000</v>
      </c>
      <c r="HK61" s="383">
        <f t="shared" si="57"/>
        <v>2030000000</v>
      </c>
      <c r="HL61" s="383">
        <f t="shared" si="57"/>
        <v>2030000000</v>
      </c>
      <c r="HM61" s="383">
        <f t="shared" si="58"/>
        <v>0</v>
      </c>
      <c r="HO61" s="383">
        <f t="shared" si="71"/>
        <v>0</v>
      </c>
      <c r="HP61" s="383">
        <f t="shared" si="71"/>
        <v>0</v>
      </c>
      <c r="HQ61" s="383">
        <f t="shared" si="59"/>
        <v>0</v>
      </c>
      <c r="HS61" s="383">
        <f t="shared" si="60"/>
        <v>89308300</v>
      </c>
      <c r="HT61" s="383">
        <f t="shared" si="60"/>
        <v>57276472.5</v>
      </c>
      <c r="HU61" s="383">
        <f t="shared" si="61"/>
        <v>32031827.5</v>
      </c>
      <c r="HW61" s="383">
        <f t="shared" si="62"/>
        <v>36700000</v>
      </c>
      <c r="HX61" s="383">
        <f t="shared" si="62"/>
        <v>16000000</v>
      </c>
      <c r="HY61" s="383">
        <f t="shared" si="63"/>
        <v>20700000</v>
      </c>
      <c r="IA61" s="387">
        <f t="shared" si="64"/>
        <v>20000000</v>
      </c>
      <c r="IB61" s="387">
        <f t="shared" si="64"/>
        <v>0</v>
      </c>
      <c r="IC61" s="387">
        <f t="shared" si="65"/>
        <v>20000000</v>
      </c>
      <c r="IE61" s="383">
        <f t="shared" si="66"/>
        <v>341776600</v>
      </c>
      <c r="IF61" s="383">
        <f t="shared" si="66"/>
        <v>225000000</v>
      </c>
      <c r="IG61" s="383">
        <f t="shared" si="67"/>
        <v>116776600</v>
      </c>
      <c r="II61" s="383">
        <f t="shared" si="68"/>
        <v>2000000</v>
      </c>
      <c r="IJ61" s="383">
        <f t="shared" si="68"/>
        <v>2000000</v>
      </c>
      <c r="IK61" s="383">
        <f t="shared" si="69"/>
        <v>0</v>
      </c>
    </row>
    <row r="62" spans="1:245" x14ac:dyDescent="0.25">
      <c r="A62" s="380">
        <v>58</v>
      </c>
      <c r="B62" s="380" t="s">
        <v>379</v>
      </c>
      <c r="C62" s="431" t="s">
        <v>76</v>
      </c>
      <c r="D62" s="392">
        <v>0</v>
      </c>
      <c r="E62" s="392">
        <f>'[1]COE DISB 2019'!D70</f>
        <v>0</v>
      </c>
      <c r="F62" s="383">
        <f t="shared" si="0"/>
        <v>0</v>
      </c>
      <c r="H62" s="392">
        <v>0</v>
      </c>
      <c r="I62" s="392">
        <f>'[1]COE DISB 2019'!E70</f>
        <v>0</v>
      </c>
      <c r="J62" s="383">
        <f t="shared" si="1"/>
        <v>0</v>
      </c>
      <c r="L62" s="392">
        <v>0</v>
      </c>
      <c r="M62" s="392">
        <f>'[1]COE DISB 2019'!F70</f>
        <v>0</v>
      </c>
      <c r="N62" s="383">
        <f t="shared" si="2"/>
        <v>0</v>
      </c>
      <c r="P62" s="353">
        <v>0</v>
      </c>
      <c r="Q62" s="392">
        <f>'[1]COE DISB 2019'!G70</f>
        <v>0</v>
      </c>
      <c r="R62" s="383">
        <f t="shared" si="3"/>
        <v>0</v>
      </c>
      <c r="T62" s="353">
        <v>0</v>
      </c>
      <c r="U62" s="392">
        <f>'[1]COE DISB 2019'!H70</f>
        <v>0</v>
      </c>
      <c r="V62" s="383">
        <f t="shared" si="4"/>
        <v>0</v>
      </c>
      <c r="X62" s="353">
        <v>0</v>
      </c>
      <c r="Y62" s="392">
        <f>'[1]COE DISB 2019'!I70</f>
        <v>0</v>
      </c>
      <c r="Z62" s="383">
        <f t="shared" si="5"/>
        <v>0</v>
      </c>
      <c r="AB62" s="353">
        <v>0</v>
      </c>
      <c r="AC62" s="392">
        <f>'[1]COE DISB 2019'!J70</f>
        <v>0</v>
      </c>
      <c r="AD62" s="383">
        <f t="shared" si="6"/>
        <v>0</v>
      </c>
      <c r="AF62" s="353">
        <v>0</v>
      </c>
      <c r="AG62" s="392">
        <f>'[1]COE DISB 2019'!K70</f>
        <v>0</v>
      </c>
      <c r="AH62" s="383">
        <f t="shared" si="7"/>
        <v>0</v>
      </c>
      <c r="AJ62" s="353">
        <v>0</v>
      </c>
      <c r="AK62" s="392">
        <f>'[1]COE DISB 2019'!L70</f>
        <v>0</v>
      </c>
      <c r="AL62" s="383">
        <f t="shared" si="8"/>
        <v>0</v>
      </c>
      <c r="AN62" s="392">
        <v>0</v>
      </c>
      <c r="AO62" s="392">
        <f>'[1]COE DISB 2019'!M70</f>
        <v>0</v>
      </c>
      <c r="AP62" s="383">
        <f t="shared" si="9"/>
        <v>0</v>
      </c>
      <c r="AR62" s="392">
        <v>15000000</v>
      </c>
      <c r="AS62" s="392">
        <f>'[1]COE DISB 2019'!N70</f>
        <v>15000000</v>
      </c>
      <c r="AT62" s="383">
        <f t="shared" si="10"/>
        <v>0</v>
      </c>
      <c r="AV62" s="392">
        <v>0</v>
      </c>
      <c r="AW62" s="432">
        <f>'[1]COE DISB 2019'!O70</f>
        <v>0</v>
      </c>
      <c r="AX62" s="392">
        <f t="shared" si="11"/>
        <v>0</v>
      </c>
      <c r="AZ62" s="392">
        <v>18000000</v>
      </c>
      <c r="BA62" s="392">
        <f>'[1]COE DISB 2019'!P70</f>
        <v>18000000</v>
      </c>
      <c r="BB62" s="392">
        <f t="shared" si="12"/>
        <v>0</v>
      </c>
      <c r="BD62" s="392">
        <v>23400000</v>
      </c>
      <c r="BE62" s="392">
        <f>'[1]COE DISB 2019'!Q70</f>
        <v>23400000</v>
      </c>
      <c r="BF62" s="392">
        <f t="shared" si="13"/>
        <v>0</v>
      </c>
      <c r="BH62" s="392">
        <v>0</v>
      </c>
      <c r="BI62" s="392">
        <f>'[1]COE DISB 2019'!R70</f>
        <v>0</v>
      </c>
      <c r="BJ62" s="392">
        <f t="shared" si="14"/>
        <v>0</v>
      </c>
      <c r="BL62" s="392">
        <v>43000000</v>
      </c>
      <c r="BM62" s="392">
        <f>'[1]COE DISB 2019'!S70</f>
        <v>43000000</v>
      </c>
      <c r="BN62" s="392">
        <f t="shared" si="15"/>
        <v>0</v>
      </c>
      <c r="BP62" s="392">
        <v>37160000</v>
      </c>
      <c r="BQ62" s="392">
        <f>'[1]COE DISB 2019'!T70</f>
        <v>37160000</v>
      </c>
      <c r="BR62" s="392">
        <f t="shared" si="16"/>
        <v>0</v>
      </c>
      <c r="BT62" s="392">
        <v>0</v>
      </c>
      <c r="BU62" s="392">
        <f>'[1]COE DISB 2019'!U70</f>
        <v>0</v>
      </c>
      <c r="BV62" s="392">
        <f t="shared" si="17"/>
        <v>0</v>
      </c>
      <c r="BX62" s="392">
        <v>112670000</v>
      </c>
      <c r="BY62" s="392">
        <f>'[1]COE DISB 2019'!V70</f>
        <v>112670000</v>
      </c>
      <c r="BZ62" s="392">
        <f t="shared" si="18"/>
        <v>0</v>
      </c>
      <c r="CB62" s="392">
        <f>'[1]COE commited funds to date'!W65</f>
        <v>0</v>
      </c>
      <c r="CC62" s="392">
        <f>'[1]COE DISB 2019'!W70</f>
        <v>0</v>
      </c>
      <c r="CD62" s="392">
        <f t="shared" si="19"/>
        <v>0</v>
      </c>
      <c r="CF62" s="397">
        <f>'[1]COE commited funds to date'!X65</f>
        <v>125000000</v>
      </c>
      <c r="CG62" s="392">
        <f>'[1]COE DISB 2019'!X70</f>
        <v>125000000</v>
      </c>
      <c r="CH62" s="392">
        <f t="shared" si="20"/>
        <v>0</v>
      </c>
      <c r="CJ62" s="392">
        <v>10000000</v>
      </c>
      <c r="CK62" s="392">
        <f>'[1]COE DISB 2019'!Y70</f>
        <v>9624182.5</v>
      </c>
      <c r="CL62" s="392">
        <f t="shared" si="21"/>
        <v>375817.5</v>
      </c>
      <c r="CN62" s="392">
        <v>0</v>
      </c>
      <c r="CO62" s="392">
        <f>'[1]COE DISB 2019'!Z70</f>
        <v>0</v>
      </c>
      <c r="CP62" s="392">
        <f t="shared" si="22"/>
        <v>0</v>
      </c>
      <c r="CR62" s="392">
        <v>210000000</v>
      </c>
      <c r="CS62" s="392">
        <f>'[1]COE DISB 2019'!AA70</f>
        <v>210000000</v>
      </c>
      <c r="CT62" s="392">
        <f t="shared" si="23"/>
        <v>0</v>
      </c>
      <c r="CV62" s="392">
        <v>10000000</v>
      </c>
      <c r="CW62" s="392">
        <f>'[1]COE DISB 2019'!AB70</f>
        <v>10000000</v>
      </c>
      <c r="CX62" s="392">
        <f t="shared" si="24"/>
        <v>0</v>
      </c>
      <c r="CZ62" s="392">
        <f>'[1]COE commited funds to date'!AC65</f>
        <v>267000000</v>
      </c>
      <c r="DA62" s="392">
        <f>'[1]COE DISB 2019'!AC70</f>
        <v>267000000</v>
      </c>
      <c r="DB62" s="392">
        <f t="shared" si="25"/>
        <v>0</v>
      </c>
      <c r="DC62" s="394"/>
      <c r="DD62" s="392">
        <v>215000000</v>
      </c>
      <c r="DE62" s="392">
        <f>'[1]COE DISB 2019'!AD70</f>
        <v>215000000</v>
      </c>
      <c r="DF62" s="392">
        <f>DD62-DE62</f>
        <v>0</v>
      </c>
      <c r="DG62" s="394"/>
      <c r="DH62" s="392">
        <v>10000000</v>
      </c>
      <c r="DI62" s="392">
        <f>'[1]COE DISB 2019'!AE70</f>
        <v>10000000</v>
      </c>
      <c r="DJ62" s="392">
        <f>DH62-DI62</f>
        <v>0</v>
      </c>
      <c r="DK62" s="394"/>
      <c r="DL62" s="392">
        <f>'[1]COE commited funds to date'!AD65</f>
        <v>0</v>
      </c>
      <c r="DM62" s="392">
        <f>'[1]COE DISB 2019'!AF70</f>
        <v>0</v>
      </c>
      <c r="DN62" s="392">
        <f t="shared" si="28"/>
        <v>0</v>
      </c>
      <c r="DO62" s="394"/>
      <c r="DP62" s="392">
        <v>325000000</v>
      </c>
      <c r="DQ62" s="392">
        <f>'[1]COE DISB 2019'!AG70</f>
        <v>325000000</v>
      </c>
      <c r="DR62" s="392">
        <f t="shared" si="29"/>
        <v>0</v>
      </c>
      <c r="DS62" s="394"/>
      <c r="DT62" s="397">
        <v>10000000</v>
      </c>
      <c r="DU62" s="392">
        <f>'[1]COE DISB 2019'!AH70</f>
        <v>8372927.75</v>
      </c>
      <c r="DV62" s="392">
        <f t="shared" si="30"/>
        <v>1627072.25</v>
      </c>
      <c r="DW62" s="394"/>
      <c r="DX62" s="392">
        <f>'[1]COE commited funds to date'!AI65</f>
        <v>41600000</v>
      </c>
      <c r="DY62" s="392">
        <f>'[1]COE DISB 2019'!AI70</f>
        <v>41600000</v>
      </c>
      <c r="DZ62" s="392">
        <f t="shared" si="31"/>
        <v>0</v>
      </c>
      <c r="EA62" s="394"/>
      <c r="EB62" s="392">
        <f>'[1]COE commited funds to date'!AJ65</f>
        <v>72000000</v>
      </c>
      <c r="EC62" s="392">
        <f>'[1]COE DISB 2019'!AJ70</f>
        <v>61200000</v>
      </c>
      <c r="ED62" s="392">
        <f t="shared" si="32"/>
        <v>10800000</v>
      </c>
      <c r="EE62" s="394"/>
      <c r="EF62" s="392">
        <f>'[1]COE commited funds to date'!AK65</f>
        <v>8000000</v>
      </c>
      <c r="EG62" s="392">
        <f>'[1]COE DISB 2019'!AK70</f>
        <v>0</v>
      </c>
      <c r="EH62" s="392">
        <f t="shared" si="33"/>
        <v>8000000</v>
      </c>
      <c r="EI62" s="394"/>
      <c r="EJ62" s="392">
        <f>'[1]COE commited funds to date'!AL65</f>
        <v>2000000</v>
      </c>
      <c r="EK62" s="392">
        <f>'[1]COE DISB 2019'!AL70</f>
        <v>0</v>
      </c>
      <c r="EL62" s="392">
        <f t="shared" si="34"/>
        <v>2000000</v>
      </c>
      <c r="EM62" s="394"/>
      <c r="EN62" s="392">
        <f>'[1]COE commited funds to date'!AM65</f>
        <v>7000000</v>
      </c>
      <c r="EO62" s="392">
        <f>'[1]COE DISB 2019'!AM70</f>
        <v>7000000</v>
      </c>
      <c r="EP62" s="392">
        <f t="shared" si="35"/>
        <v>0</v>
      </c>
      <c r="EQ62" s="394"/>
      <c r="ER62" s="392">
        <f>'[1]COE commited funds to date'!AN65</f>
        <v>200000000</v>
      </c>
      <c r="ES62" s="392">
        <f>'[1]COE DISB 2019'!AN70</f>
        <v>200000000</v>
      </c>
      <c r="ET62" s="392">
        <f t="shared" si="36"/>
        <v>0</v>
      </c>
      <c r="EV62" s="383">
        <f>'[1]COE commited funds to date'!AO65</f>
        <v>371067000</v>
      </c>
      <c r="EW62" s="383">
        <f>'[1]COE DISB 2019'!AO70</f>
        <v>315406950</v>
      </c>
      <c r="EX62" s="383">
        <f t="shared" si="38"/>
        <v>55660050</v>
      </c>
      <c r="EY62" s="380"/>
      <c r="EZ62" s="383">
        <f>'[1]COE commited funds to date'!AQ65</f>
        <v>12000000</v>
      </c>
      <c r="FA62" s="383">
        <f>'[1]COE DISB 2019'!AP70</f>
        <v>12000000</v>
      </c>
      <c r="FB62" s="383">
        <f t="shared" si="39"/>
        <v>0</v>
      </c>
      <c r="FC62" s="380"/>
      <c r="FD62" s="383">
        <f>'[1]COE commited funds to date'!AR65</f>
        <v>10000000</v>
      </c>
      <c r="FE62" s="383">
        <f>'[1]COE DISB 2019'!AQ70</f>
        <v>0</v>
      </c>
      <c r="FF62" s="383">
        <f t="shared" si="40"/>
        <v>10000000</v>
      </c>
      <c r="FG62" s="380"/>
      <c r="FH62" s="383">
        <f>'[1]COE commited funds to date'!AP65</f>
        <v>8000000</v>
      </c>
      <c r="FI62" s="383">
        <f>'[1]COE DISB 2019'!AR70</f>
        <v>0</v>
      </c>
      <c r="FJ62" s="383">
        <f t="shared" si="41"/>
        <v>8000000</v>
      </c>
      <c r="FK62" s="383">
        <f>'[1]COE commited funds to date'!AS65</f>
        <v>150000000</v>
      </c>
      <c r="FL62" s="383">
        <f>'[1]COE DISB 2019'!AS70</f>
        <v>0</v>
      </c>
      <c r="FM62" s="383">
        <f t="shared" si="42"/>
        <v>150000000</v>
      </c>
      <c r="FN62" s="380"/>
      <c r="FO62" s="383">
        <f>'[1]COE commited funds to date'!AT65</f>
        <v>200000000</v>
      </c>
      <c r="FP62" s="383">
        <f>'[1]COE DISB 2019'!AT70</f>
        <v>0</v>
      </c>
      <c r="FQ62" s="383">
        <f t="shared" si="43"/>
        <v>200000000</v>
      </c>
      <c r="FR62" s="380"/>
      <c r="FS62" s="383">
        <f>'[1]COE commited funds to date'!AU65</f>
        <v>75000000</v>
      </c>
      <c r="FT62" s="383">
        <f>'[1]COE DISB 2019'!AU70</f>
        <v>0</v>
      </c>
      <c r="FU62" s="383">
        <f t="shared" si="44"/>
        <v>75000000</v>
      </c>
      <c r="FV62" s="380"/>
      <c r="FW62" s="383">
        <f>'[1]COE commited funds to date'!AV65</f>
        <v>8700000</v>
      </c>
      <c r="FX62" s="383">
        <f>'[1]COE DISB 2019'!AV70</f>
        <v>0</v>
      </c>
      <c r="FY62" s="383">
        <f t="shared" si="45"/>
        <v>8700000</v>
      </c>
      <c r="FZ62" s="380"/>
      <c r="GA62" s="383">
        <f>'[1]COE commited funds to date'!AW65</f>
        <v>5000000</v>
      </c>
      <c r="GB62" s="383">
        <f>'[1]COE DISB 2019'!AW70</f>
        <v>0</v>
      </c>
      <c r="GC62" s="383">
        <f t="shared" si="46"/>
        <v>5000000</v>
      </c>
      <c r="GD62" s="380"/>
      <c r="GE62" s="383">
        <f>'[1]COE commited funds to date'!AX65</f>
        <v>20000000</v>
      </c>
      <c r="GF62" s="383">
        <f>'[1]COE DISB 2019'!AX70</f>
        <v>2001675</v>
      </c>
      <c r="GG62" s="383">
        <f t="shared" si="47"/>
        <v>17998325</v>
      </c>
      <c r="GH62" s="380"/>
      <c r="GI62" s="383">
        <f>'[1]COE commited funds to date'!AY65</f>
        <v>230000000</v>
      </c>
      <c r="GJ62" s="383">
        <f>'[1]COE DISB 2019'!AY70</f>
        <v>0</v>
      </c>
      <c r="GK62" s="383">
        <f t="shared" si="48"/>
        <v>230000000</v>
      </c>
      <c r="GL62" s="380"/>
      <c r="GM62" s="383">
        <f>'[1]COE commited funds to date'!AZ65</f>
        <v>116776600</v>
      </c>
      <c r="GN62" s="383">
        <f>'[1]COE DISB 2019'!AZ70</f>
        <v>0</v>
      </c>
      <c r="GO62" s="383">
        <f t="shared" si="49"/>
        <v>116776600</v>
      </c>
      <c r="GP62" s="380"/>
      <c r="GQ62" s="383">
        <f>'[1]COE commited funds to date'!BA65</f>
        <v>12000000</v>
      </c>
      <c r="GR62" s="383">
        <f>'[1]COE DISB 2019'!BA70</f>
        <v>0</v>
      </c>
      <c r="GS62" s="383">
        <f t="shared" si="50"/>
        <v>12000000</v>
      </c>
      <c r="GT62" s="380"/>
      <c r="GU62" s="383">
        <f>'[1]COE commited funds to date'!BB65</f>
        <v>5000000</v>
      </c>
      <c r="GV62" s="383">
        <f>'[1]COE DISB 2019'!BB70</f>
        <v>0</v>
      </c>
      <c r="GW62" s="383">
        <f t="shared" si="51"/>
        <v>5000000</v>
      </c>
      <c r="GX62" s="380"/>
      <c r="GY62" s="383">
        <f>'[1]COE commited funds to date'!BC65</f>
        <v>10308300</v>
      </c>
      <c r="GZ62" s="383">
        <f>'[1]COE DISB 2019'!BC70</f>
        <v>0</v>
      </c>
      <c r="HA62" s="383">
        <f t="shared" si="52"/>
        <v>10308300</v>
      </c>
      <c r="HB62" s="380"/>
      <c r="HC62" s="383">
        <f t="shared" si="53"/>
        <v>2995681900</v>
      </c>
      <c r="HD62" s="383">
        <f t="shared" si="53"/>
        <v>2068435735.25</v>
      </c>
      <c r="HE62" s="392">
        <f t="shared" si="54"/>
        <v>927246164.75</v>
      </c>
      <c r="HG62" s="383">
        <f t="shared" si="55"/>
        <v>1997297000</v>
      </c>
      <c r="HH62" s="383">
        <f t="shared" si="55"/>
        <v>1500836950</v>
      </c>
      <c r="HI62" s="383">
        <f t="shared" si="56"/>
        <v>496460050</v>
      </c>
      <c r="HK62" s="383">
        <f t="shared" si="57"/>
        <v>508600000</v>
      </c>
      <c r="HL62" s="383">
        <f t="shared" si="57"/>
        <v>508600000</v>
      </c>
      <c r="HM62" s="383">
        <f t="shared" si="58"/>
        <v>0</v>
      </c>
      <c r="HO62" s="383">
        <f t="shared" si="71"/>
        <v>0</v>
      </c>
      <c r="HP62" s="383">
        <f t="shared" si="71"/>
        <v>0</v>
      </c>
      <c r="HQ62" s="383">
        <f t="shared" si="59"/>
        <v>0</v>
      </c>
      <c r="HS62" s="383">
        <f t="shared" si="60"/>
        <v>89308300</v>
      </c>
      <c r="HT62" s="383">
        <f t="shared" si="60"/>
        <v>58998785.25</v>
      </c>
      <c r="HU62" s="383">
        <f t="shared" si="61"/>
        <v>30309514.75</v>
      </c>
      <c r="HW62" s="383">
        <f t="shared" si="62"/>
        <v>36700000</v>
      </c>
      <c r="HX62" s="383">
        <f t="shared" si="62"/>
        <v>0</v>
      </c>
      <c r="HY62" s="383">
        <f t="shared" si="63"/>
        <v>36700000</v>
      </c>
      <c r="IA62" s="387">
        <f t="shared" si="64"/>
        <v>20000000</v>
      </c>
      <c r="IB62" s="387">
        <f t="shared" si="64"/>
        <v>0</v>
      </c>
      <c r="IC62" s="387">
        <f t="shared" si="65"/>
        <v>20000000</v>
      </c>
      <c r="IE62" s="383">
        <f t="shared" si="66"/>
        <v>341776600</v>
      </c>
      <c r="IF62" s="383">
        <f t="shared" si="66"/>
        <v>0</v>
      </c>
      <c r="IG62" s="383">
        <f t="shared" si="67"/>
        <v>341776600</v>
      </c>
      <c r="II62" s="383">
        <f t="shared" si="68"/>
        <v>2000000</v>
      </c>
      <c r="IJ62" s="383">
        <f t="shared" si="68"/>
        <v>0</v>
      </c>
      <c r="IK62" s="383">
        <f t="shared" si="69"/>
        <v>2000000</v>
      </c>
    </row>
    <row r="63" spans="1:245" x14ac:dyDescent="0.25">
      <c r="A63" s="380">
        <v>59</v>
      </c>
      <c r="B63" s="380" t="s">
        <v>380</v>
      </c>
      <c r="C63" s="433"/>
      <c r="D63" s="392">
        <v>0</v>
      </c>
      <c r="E63" s="392">
        <f>'[1]COE DISB 2019'!D71</f>
        <v>0</v>
      </c>
      <c r="F63" s="383">
        <f t="shared" si="0"/>
        <v>0</v>
      </c>
      <c r="H63" s="392">
        <v>0</v>
      </c>
      <c r="I63" s="392">
        <f>'[1]COE DISB 2019'!E71</f>
        <v>0</v>
      </c>
      <c r="J63" s="383">
        <f t="shared" si="1"/>
        <v>0</v>
      </c>
      <c r="L63" s="392">
        <v>0</v>
      </c>
      <c r="M63" s="392">
        <f>'[1]COE DISB 2019'!F71</f>
        <v>0</v>
      </c>
      <c r="N63" s="383">
        <f t="shared" si="2"/>
        <v>0</v>
      </c>
      <c r="P63" s="353">
        <v>0</v>
      </c>
      <c r="Q63" s="392">
        <f>'[1]COE DISB 2019'!G71</f>
        <v>0</v>
      </c>
      <c r="R63" s="383">
        <f t="shared" si="3"/>
        <v>0</v>
      </c>
      <c r="T63" s="353">
        <v>0</v>
      </c>
      <c r="U63" s="392">
        <f>'[1]COE DISB 2019'!H71</f>
        <v>0</v>
      </c>
      <c r="V63" s="383">
        <f t="shared" si="4"/>
        <v>0</v>
      </c>
      <c r="X63" s="353">
        <v>0</v>
      </c>
      <c r="Y63" s="392">
        <f>'[1]COE DISB 2019'!I71</f>
        <v>0</v>
      </c>
      <c r="Z63" s="383">
        <f t="shared" si="5"/>
        <v>0</v>
      </c>
      <c r="AB63" s="353">
        <v>0</v>
      </c>
      <c r="AC63" s="392">
        <f>'[1]COE DISB 2019'!J71</f>
        <v>0</v>
      </c>
      <c r="AD63" s="383">
        <f t="shared" si="6"/>
        <v>0</v>
      </c>
      <c r="AF63" s="353">
        <v>0</v>
      </c>
      <c r="AG63" s="392">
        <f>'[1]COE DISB 2019'!K71</f>
        <v>0</v>
      </c>
      <c r="AH63" s="383">
        <f t="shared" si="7"/>
        <v>0</v>
      </c>
      <c r="AJ63" s="353">
        <v>0</v>
      </c>
      <c r="AK63" s="392">
        <f>'[1]COE DISB 2019'!L71</f>
        <v>0</v>
      </c>
      <c r="AL63" s="383">
        <f t="shared" si="8"/>
        <v>0</v>
      </c>
      <c r="AN63" s="392">
        <v>0</v>
      </c>
      <c r="AO63" s="392">
        <f>'[1]COE DISB 2019'!M71</f>
        <v>0</v>
      </c>
      <c r="AP63" s="383">
        <f t="shared" si="9"/>
        <v>0</v>
      </c>
      <c r="AR63" s="392">
        <v>0</v>
      </c>
      <c r="AS63" s="392">
        <f>'[1]COE DISB 2019'!N71</f>
        <v>0</v>
      </c>
      <c r="AT63" s="383">
        <f t="shared" si="10"/>
        <v>0</v>
      </c>
      <c r="AV63" s="392">
        <v>0</v>
      </c>
      <c r="AW63" s="432">
        <f>'[1]COE DISB 2019'!O71</f>
        <v>0</v>
      </c>
      <c r="AX63" s="392">
        <f t="shared" si="11"/>
        <v>0</v>
      </c>
      <c r="AZ63" s="392">
        <v>18000000</v>
      </c>
      <c r="BA63" s="392">
        <f>'[1]COE DISB 2019'!P71</f>
        <v>18000000</v>
      </c>
      <c r="BB63" s="392">
        <f t="shared" si="12"/>
        <v>0</v>
      </c>
      <c r="BD63" s="392">
        <v>23400000</v>
      </c>
      <c r="BE63" s="392">
        <f>'[1]COE DISB 2019'!Q71</f>
        <v>23400000</v>
      </c>
      <c r="BF63" s="392">
        <f t="shared" si="13"/>
        <v>0</v>
      </c>
      <c r="BH63" s="392">
        <v>0</v>
      </c>
      <c r="BI63" s="392">
        <f>'[1]COE DISB 2019'!R71</f>
        <v>0</v>
      </c>
      <c r="BJ63" s="392">
        <f t="shared" si="14"/>
        <v>0</v>
      </c>
      <c r="BL63" s="392">
        <v>43000000</v>
      </c>
      <c r="BM63" s="392">
        <f>'[1]COE DISB 2019'!S71</f>
        <v>43000000</v>
      </c>
      <c r="BN63" s="392">
        <f t="shared" si="15"/>
        <v>0</v>
      </c>
      <c r="BP63" s="392">
        <v>37160000</v>
      </c>
      <c r="BQ63" s="392">
        <f>'[1]COE DISB 2019'!T71</f>
        <v>37160000</v>
      </c>
      <c r="BR63" s="392">
        <f t="shared" si="16"/>
        <v>0</v>
      </c>
      <c r="BT63" s="392">
        <v>0</v>
      </c>
      <c r="BU63" s="392">
        <f>'[1]COE DISB 2019'!U71</f>
        <v>0</v>
      </c>
      <c r="BV63" s="392">
        <f t="shared" si="17"/>
        <v>0</v>
      </c>
      <c r="BX63" s="392">
        <v>0</v>
      </c>
      <c r="BY63" s="392">
        <f>'[1]COE DISB 2019'!V71</f>
        <v>0</v>
      </c>
      <c r="BZ63" s="392">
        <f t="shared" si="18"/>
        <v>0</v>
      </c>
      <c r="CB63" s="392">
        <f>'[1]COE commited funds to date'!W66</f>
        <v>0</v>
      </c>
      <c r="CC63" s="392">
        <f>'[1]COE DISB 2019'!W71</f>
        <v>0</v>
      </c>
      <c r="CD63" s="392">
        <f t="shared" si="19"/>
        <v>0</v>
      </c>
      <c r="CF63" s="392">
        <f>'[1]COE commited funds to date'!X66</f>
        <v>0</v>
      </c>
      <c r="CG63" s="392">
        <f>'[1]COE DISB 2019'!X71</f>
        <v>0</v>
      </c>
      <c r="CH63" s="392">
        <f t="shared" si="20"/>
        <v>0</v>
      </c>
      <c r="CJ63" s="392">
        <v>0</v>
      </c>
      <c r="CK63" s="392">
        <f>'[1]COE DISB 2019'!Y71</f>
        <v>0</v>
      </c>
      <c r="CL63" s="392">
        <f t="shared" si="21"/>
        <v>0</v>
      </c>
      <c r="CN63" s="392">
        <v>0</v>
      </c>
      <c r="CO63" s="392">
        <f>'[1]COE DISB 2019'!Z71</f>
        <v>0</v>
      </c>
      <c r="CP63" s="392">
        <f t="shared" si="22"/>
        <v>0</v>
      </c>
      <c r="CR63" s="392">
        <v>210000000</v>
      </c>
      <c r="CS63" s="392">
        <f>'[1]COE DISB 2019'!AA71</f>
        <v>210000000</v>
      </c>
      <c r="CT63" s="392">
        <f t="shared" si="23"/>
        <v>0</v>
      </c>
      <c r="CV63" s="392">
        <v>10000000</v>
      </c>
      <c r="CW63" s="392">
        <f>'[1]COE DISB 2019'!AB71</f>
        <v>10000000</v>
      </c>
      <c r="CX63" s="392">
        <f t="shared" si="24"/>
        <v>0</v>
      </c>
      <c r="CZ63" s="392">
        <f>'[1]COE commited funds to date'!AC66</f>
        <v>0</v>
      </c>
      <c r="DA63" s="392">
        <f>'[1]COE DISB 2019'!AC71</f>
        <v>0</v>
      </c>
      <c r="DB63" s="392">
        <f t="shared" si="25"/>
        <v>0</v>
      </c>
      <c r="DC63" s="394"/>
      <c r="DD63" s="397">
        <v>0</v>
      </c>
      <c r="DE63" s="397">
        <f>'[1]COE DISB 2019'!AD71</f>
        <v>0</v>
      </c>
      <c r="DF63" s="397">
        <v>0</v>
      </c>
      <c r="DG63" s="394"/>
      <c r="DH63" s="397">
        <v>0</v>
      </c>
      <c r="DI63" s="397">
        <f>'[1]COE DISB 2019'!AE71</f>
        <v>0</v>
      </c>
      <c r="DJ63" s="397">
        <v>0</v>
      </c>
      <c r="DK63" s="394"/>
      <c r="DL63" s="392">
        <f>'[1]COE commited funds to date'!AD66</f>
        <v>0</v>
      </c>
      <c r="DM63" s="392">
        <f>'[1]COE DISB 2019'!AF71</f>
        <v>0</v>
      </c>
      <c r="DN63" s="392">
        <f t="shared" si="28"/>
        <v>0</v>
      </c>
      <c r="DO63" s="394"/>
      <c r="DP63" s="392">
        <v>0</v>
      </c>
      <c r="DQ63" s="392">
        <f>'[1]COE DISB 2019'!AG71</f>
        <v>0</v>
      </c>
      <c r="DR63" s="392">
        <f t="shared" si="29"/>
        <v>0</v>
      </c>
      <c r="DS63" s="394"/>
      <c r="DT63" s="397">
        <v>0</v>
      </c>
      <c r="DU63" s="392">
        <f>'[1]COE DISB 2019'!AH71</f>
        <v>0</v>
      </c>
      <c r="DV63" s="392">
        <f t="shared" si="30"/>
        <v>0</v>
      </c>
      <c r="DW63" s="394"/>
      <c r="DX63" s="392">
        <f>'[1]COE commited funds to date'!AI66</f>
        <v>50000000</v>
      </c>
      <c r="DY63" s="392">
        <f>'[1]COE DISB 2019'!AI71</f>
        <v>50000000</v>
      </c>
      <c r="DZ63" s="392">
        <f t="shared" si="31"/>
        <v>0</v>
      </c>
      <c r="EA63" s="394"/>
      <c r="EB63" s="392">
        <f>'[1]COE commited funds to date'!AJ66</f>
        <v>72000000</v>
      </c>
      <c r="EC63" s="392">
        <f>'[1]COE DISB 2019'!AJ71</f>
        <v>72000000</v>
      </c>
      <c r="ED63" s="392">
        <f t="shared" si="32"/>
        <v>0</v>
      </c>
      <c r="EE63" s="394"/>
      <c r="EF63" s="392">
        <f>'[1]COE commited funds to date'!AK66</f>
        <v>8000000</v>
      </c>
      <c r="EG63" s="392">
        <f>'[1]COE DISB 2019'!AK71</f>
        <v>8000000</v>
      </c>
      <c r="EH63" s="392">
        <f t="shared" si="33"/>
        <v>0</v>
      </c>
      <c r="EI63" s="394"/>
      <c r="EJ63" s="392">
        <f>'[1]COE commited funds to date'!AL66</f>
        <v>2000000</v>
      </c>
      <c r="EK63" s="392">
        <f>'[1]COE DISB 2019'!AL71</f>
        <v>0</v>
      </c>
      <c r="EL63" s="392">
        <f t="shared" si="34"/>
        <v>2000000</v>
      </c>
      <c r="EM63" s="394"/>
      <c r="EN63" s="392">
        <f>'[1]COE commited funds to date'!AM66</f>
        <v>7000000</v>
      </c>
      <c r="EO63" s="392">
        <f>'[1]COE DISB 2019'!AM71</f>
        <v>6962800</v>
      </c>
      <c r="EP63" s="392">
        <f t="shared" si="35"/>
        <v>37200</v>
      </c>
      <c r="EQ63" s="394"/>
      <c r="ER63" s="392">
        <f>'[1]COE commited funds to date'!AN66</f>
        <v>100000000</v>
      </c>
      <c r="ES63" s="392">
        <f>'[1]COE DISB 2019'!AN71</f>
        <v>100000000</v>
      </c>
      <c r="ET63" s="392">
        <f t="shared" si="36"/>
        <v>0</v>
      </c>
      <c r="EV63" s="383">
        <f>'[1]COE commited funds to date'!AO66</f>
        <v>0</v>
      </c>
      <c r="EW63" s="383">
        <f>'[1]COE DISB 2019'!AO71</f>
        <v>0</v>
      </c>
      <c r="EX63" s="383">
        <f t="shared" si="38"/>
        <v>0</v>
      </c>
      <c r="EY63" s="380"/>
      <c r="EZ63" s="383">
        <f>'[1]COE commited funds to date'!AQ66</f>
        <v>0</v>
      </c>
      <c r="FA63" s="383">
        <f>'[1]COE DISB 2019'!AP71</f>
        <v>0</v>
      </c>
      <c r="FB63" s="383">
        <f t="shared" si="39"/>
        <v>0</v>
      </c>
      <c r="FC63" s="380"/>
      <c r="FD63" s="383">
        <f>'[1]COE commited funds to date'!AR66</f>
        <v>0</v>
      </c>
      <c r="FE63" s="383">
        <f>'[1]COE DISB 2019'!AQ71</f>
        <v>0</v>
      </c>
      <c r="FF63" s="383">
        <f t="shared" si="40"/>
        <v>0</v>
      </c>
      <c r="FG63" s="380"/>
      <c r="FH63" s="383">
        <f>'[1]COE commited funds to date'!AP66</f>
        <v>0</v>
      </c>
      <c r="FI63" s="383">
        <f>'[1]COE DISB 2019'!AR71</f>
        <v>0</v>
      </c>
      <c r="FJ63" s="383">
        <f t="shared" si="41"/>
        <v>0</v>
      </c>
      <c r="FK63" s="383">
        <f>'[1]COE commited funds to date'!AS66</f>
        <v>0</v>
      </c>
      <c r="FL63" s="383">
        <f>'[1]COE DISB 2019'!AS71</f>
        <v>0</v>
      </c>
      <c r="FM63" s="383">
        <f t="shared" si="42"/>
        <v>0</v>
      </c>
      <c r="FN63" s="380"/>
      <c r="FO63" s="383">
        <f>'[1]COE commited funds to date'!AT66</f>
        <v>0</v>
      </c>
      <c r="FP63" s="383">
        <f>'[1]COE DISB 2019'!AT71</f>
        <v>0</v>
      </c>
      <c r="FQ63" s="383">
        <f t="shared" si="43"/>
        <v>0</v>
      </c>
      <c r="FR63" s="380"/>
      <c r="FS63" s="383">
        <f>'[1]COE commited funds to date'!AU66</f>
        <v>75000000</v>
      </c>
      <c r="FT63" s="383">
        <f>'[1]COE DISB 2019'!AU71</f>
        <v>50250000</v>
      </c>
      <c r="FU63" s="383">
        <f t="shared" si="44"/>
        <v>24750000</v>
      </c>
      <c r="FV63" s="380"/>
      <c r="FW63" s="383">
        <f>'[1]COE commited funds to date'!AV66</f>
        <v>0</v>
      </c>
      <c r="FX63" s="383">
        <f>'[1]COE DISB 2019'!AV71</f>
        <v>0</v>
      </c>
      <c r="FY63" s="383">
        <f t="shared" si="45"/>
        <v>0</v>
      </c>
      <c r="FZ63" s="380"/>
      <c r="GA63" s="383">
        <f>'[1]COE commited funds to date'!AW66</f>
        <v>0</v>
      </c>
      <c r="GB63" s="383">
        <f>'[1]COE DISB 2019'!AW71</f>
        <v>0</v>
      </c>
      <c r="GC63" s="383">
        <f t="shared" si="46"/>
        <v>0</v>
      </c>
      <c r="GD63" s="380"/>
      <c r="GE63" s="383">
        <f>'[1]COE commited funds to date'!AX66</f>
        <v>0</v>
      </c>
      <c r="GF63" s="383">
        <f>'[1]COE DISB 2019'!AX71</f>
        <v>0</v>
      </c>
      <c r="GG63" s="383">
        <f t="shared" si="47"/>
        <v>0</v>
      </c>
      <c r="GH63" s="380"/>
      <c r="GI63" s="383">
        <f>'[1]COE commited funds to date'!AY66</f>
        <v>230000000</v>
      </c>
      <c r="GJ63" s="383">
        <f>'[1]COE DISB 2019'!AY71</f>
        <v>0</v>
      </c>
      <c r="GK63" s="383">
        <f t="shared" si="48"/>
        <v>230000000</v>
      </c>
      <c r="GL63" s="380"/>
      <c r="GM63" s="383">
        <f>'[1]COE commited funds to date'!AZ66</f>
        <v>116776600</v>
      </c>
      <c r="GN63" s="383">
        <f>'[1]COE DISB 2019'!AZ71</f>
        <v>0</v>
      </c>
      <c r="GO63" s="383">
        <f t="shared" si="49"/>
        <v>116776600</v>
      </c>
      <c r="GP63" s="380"/>
      <c r="GQ63" s="383">
        <f>'[1]COE commited funds to date'!BA66</f>
        <v>12000000</v>
      </c>
      <c r="GR63" s="383">
        <f>'[1]COE DISB 2019'!BA71</f>
        <v>0</v>
      </c>
      <c r="GS63" s="383">
        <f t="shared" si="50"/>
        <v>12000000</v>
      </c>
      <c r="GT63" s="380"/>
      <c r="GU63" s="383">
        <f>'[1]COE commited funds to date'!BB66</f>
        <v>5000000</v>
      </c>
      <c r="GV63" s="383">
        <f>'[1]COE DISB 2019'!BB71</f>
        <v>0</v>
      </c>
      <c r="GW63" s="383">
        <f t="shared" si="51"/>
        <v>5000000</v>
      </c>
      <c r="GX63" s="380"/>
      <c r="GY63" s="383">
        <f>'[1]COE commited funds to date'!BC66</f>
        <v>10308300</v>
      </c>
      <c r="GZ63" s="383">
        <f>'[1]COE DISB 2019'!BC71</f>
        <v>0</v>
      </c>
      <c r="HA63" s="383">
        <f t="shared" si="52"/>
        <v>10308300</v>
      </c>
      <c r="HB63" s="380"/>
      <c r="HC63" s="383">
        <f t="shared" si="53"/>
        <v>1029644900</v>
      </c>
      <c r="HD63" s="383">
        <f t="shared" si="53"/>
        <v>628772800</v>
      </c>
      <c r="HE63" s="392">
        <f t="shared" si="54"/>
        <v>400872100</v>
      </c>
      <c r="HG63" s="383">
        <f t="shared" si="55"/>
        <v>633560000</v>
      </c>
      <c r="HH63" s="383">
        <f t="shared" si="55"/>
        <v>403560000</v>
      </c>
      <c r="HI63" s="383">
        <f t="shared" si="56"/>
        <v>230000000</v>
      </c>
      <c r="HK63" s="383">
        <f t="shared" si="57"/>
        <v>150000000</v>
      </c>
      <c r="HL63" s="383">
        <f t="shared" si="57"/>
        <v>150000000</v>
      </c>
      <c r="HM63" s="383">
        <f t="shared" si="58"/>
        <v>0</v>
      </c>
      <c r="HO63" s="383">
        <f t="shared" si="71"/>
        <v>0</v>
      </c>
      <c r="HP63" s="383">
        <f t="shared" si="71"/>
        <v>0</v>
      </c>
      <c r="HQ63" s="383">
        <f t="shared" si="59"/>
        <v>0</v>
      </c>
      <c r="HS63" s="383">
        <f t="shared" si="60"/>
        <v>27308300</v>
      </c>
      <c r="HT63" s="383">
        <f t="shared" si="60"/>
        <v>16962800</v>
      </c>
      <c r="HU63" s="383">
        <f t="shared" si="61"/>
        <v>10345500</v>
      </c>
      <c r="HW63" s="383">
        <f t="shared" si="62"/>
        <v>20000000</v>
      </c>
      <c r="HX63" s="383">
        <f t="shared" si="62"/>
        <v>8000000</v>
      </c>
      <c r="HY63" s="383">
        <f t="shared" si="63"/>
        <v>12000000</v>
      </c>
      <c r="IA63" s="387">
        <f t="shared" si="64"/>
        <v>5000000</v>
      </c>
      <c r="IB63" s="387">
        <f t="shared" si="64"/>
        <v>0</v>
      </c>
      <c r="IC63" s="387">
        <f t="shared" si="65"/>
        <v>5000000</v>
      </c>
      <c r="IE63" s="383">
        <f t="shared" si="66"/>
        <v>191776600</v>
      </c>
      <c r="IF63" s="383">
        <f t="shared" si="66"/>
        <v>50250000</v>
      </c>
      <c r="IG63" s="383">
        <f t="shared" si="67"/>
        <v>141526600</v>
      </c>
      <c r="II63" s="383">
        <f t="shared" si="68"/>
        <v>2000000</v>
      </c>
      <c r="IJ63" s="383">
        <f t="shared" si="68"/>
        <v>0</v>
      </c>
      <c r="IK63" s="383">
        <f t="shared" si="69"/>
        <v>2000000</v>
      </c>
    </row>
    <row r="64" spans="1:245" x14ac:dyDescent="0.25">
      <c r="A64" s="380">
        <v>60</v>
      </c>
      <c r="B64" s="380" t="s">
        <v>381</v>
      </c>
      <c r="C64" s="433" t="s">
        <v>61</v>
      </c>
      <c r="D64" s="392">
        <v>18318965.5</v>
      </c>
      <c r="E64" s="392">
        <f>'[1]COE DISB 2019'!D72</f>
        <v>18318964.640000001</v>
      </c>
      <c r="F64" s="383">
        <f t="shared" si="0"/>
        <v>0.85999999940395355</v>
      </c>
      <c r="H64" s="392">
        <v>8000000</v>
      </c>
      <c r="I64" s="392">
        <f>'[1]COE DISB 2019'!E72</f>
        <v>8000000</v>
      </c>
      <c r="J64" s="383">
        <f t="shared" si="1"/>
        <v>0</v>
      </c>
      <c r="L64" s="392">
        <v>500000</v>
      </c>
      <c r="M64" s="392">
        <f>'[1]COE DISB 2019'!F72</f>
        <v>500000</v>
      </c>
      <c r="N64" s="383">
        <f t="shared" si="2"/>
        <v>0</v>
      </c>
      <c r="P64" s="353">
        <v>16000000</v>
      </c>
      <c r="Q64" s="392">
        <f>'[1]COE DISB 2019'!G72</f>
        <v>16000000</v>
      </c>
      <c r="R64" s="383">
        <f t="shared" si="3"/>
        <v>0</v>
      </c>
      <c r="T64" s="385">
        <v>99000</v>
      </c>
      <c r="U64" s="392">
        <f>'[1]COE DISB 2019'!H72</f>
        <v>99000</v>
      </c>
      <c r="V64" s="383">
        <f t="shared" si="4"/>
        <v>0</v>
      </c>
      <c r="X64" s="353">
        <v>0</v>
      </c>
      <c r="Y64" s="392">
        <f>'[1]COE DISB 2019'!I72</f>
        <v>0</v>
      </c>
      <c r="Z64" s="383">
        <f t="shared" si="5"/>
        <v>0</v>
      </c>
      <c r="AB64" s="385">
        <v>20000000</v>
      </c>
      <c r="AC64" s="392">
        <f>'[1]COE DISB 2019'!J72</f>
        <v>20000000</v>
      </c>
      <c r="AD64" s="383">
        <f t="shared" si="6"/>
        <v>0</v>
      </c>
      <c r="AF64" s="353">
        <v>0</v>
      </c>
      <c r="AG64" s="392">
        <f>'[1]COE DISB 2019'!K72</f>
        <v>0</v>
      </c>
      <c r="AH64" s="383">
        <f t="shared" si="7"/>
        <v>0</v>
      </c>
      <c r="AJ64" s="385">
        <v>10000000</v>
      </c>
      <c r="AK64" s="392">
        <f>'[1]COE DISB 2019'!L72</f>
        <v>10000000</v>
      </c>
      <c r="AL64" s="383">
        <f t="shared" si="8"/>
        <v>0</v>
      </c>
      <c r="AN64" s="392">
        <v>10000000</v>
      </c>
      <c r="AO64" s="392">
        <f>'[1]COE DISB 2019'!M72</f>
        <v>10000000</v>
      </c>
      <c r="AP64" s="383">
        <f t="shared" si="9"/>
        <v>0</v>
      </c>
      <c r="AR64" s="392">
        <v>15000000</v>
      </c>
      <c r="AS64" s="392">
        <f>'[1]COE DISB 2019'!N72</f>
        <v>15000000</v>
      </c>
      <c r="AT64" s="383">
        <f t="shared" si="10"/>
        <v>0</v>
      </c>
      <c r="AV64" s="392">
        <v>0</v>
      </c>
      <c r="AW64" s="432">
        <f>'[1]COE DISB 2019'!O72</f>
        <v>0</v>
      </c>
      <c r="AX64" s="392">
        <f t="shared" si="11"/>
        <v>0</v>
      </c>
      <c r="AZ64" s="392">
        <v>18000000</v>
      </c>
      <c r="BA64" s="392">
        <f>'[1]COE DISB 2019'!P72</f>
        <v>18000000</v>
      </c>
      <c r="BB64" s="392">
        <f t="shared" si="12"/>
        <v>0</v>
      </c>
      <c r="BD64" s="392">
        <v>23400000</v>
      </c>
      <c r="BE64" s="392">
        <f>'[1]COE DISB 2019'!Q72</f>
        <v>23400000</v>
      </c>
      <c r="BF64" s="392">
        <f t="shared" si="13"/>
        <v>0</v>
      </c>
      <c r="BH64" s="392">
        <v>0</v>
      </c>
      <c r="BI64" s="392">
        <f>'[1]COE DISB 2019'!R72</f>
        <v>0</v>
      </c>
      <c r="BJ64" s="392">
        <f t="shared" si="14"/>
        <v>0</v>
      </c>
      <c r="BL64" s="392">
        <v>43000000</v>
      </c>
      <c r="BM64" s="392">
        <f>'[1]COE DISB 2019'!S72</f>
        <v>43000000</v>
      </c>
      <c r="BN64" s="392">
        <f t="shared" si="15"/>
        <v>0</v>
      </c>
      <c r="BP64" s="392">
        <v>37160000</v>
      </c>
      <c r="BQ64" s="392">
        <f>'[1]COE DISB 2019'!T72</f>
        <v>37160000</v>
      </c>
      <c r="BR64" s="392">
        <f t="shared" si="16"/>
        <v>0</v>
      </c>
      <c r="BT64" s="392">
        <v>0</v>
      </c>
      <c r="BU64" s="392">
        <f>'[1]COE DISB 2019'!U72</f>
        <v>0</v>
      </c>
      <c r="BV64" s="392">
        <f t="shared" si="17"/>
        <v>0</v>
      </c>
      <c r="BX64" s="392">
        <v>112670000</v>
      </c>
      <c r="BY64" s="392">
        <f>'[1]COE DISB 2019'!V72</f>
        <v>112670000</v>
      </c>
      <c r="BZ64" s="392">
        <f t="shared" si="18"/>
        <v>0</v>
      </c>
      <c r="CB64" s="392">
        <f>'[1]COE commited funds to date'!W67</f>
        <v>0</v>
      </c>
      <c r="CC64" s="392">
        <f>'[1]COE DISB 2019'!W72</f>
        <v>0</v>
      </c>
      <c r="CD64" s="392">
        <f t="shared" si="19"/>
        <v>0</v>
      </c>
      <c r="CF64" s="392">
        <f>'[1]COE commited funds to date'!X67</f>
        <v>125000000</v>
      </c>
      <c r="CG64" s="392">
        <f>'[1]COE DISB 2019'!X72</f>
        <v>125000000</v>
      </c>
      <c r="CH64" s="392">
        <f t="shared" si="20"/>
        <v>0</v>
      </c>
      <c r="CJ64" s="392">
        <v>10000000</v>
      </c>
      <c r="CK64" s="392">
        <f>'[1]COE DISB 2019'!Y72</f>
        <v>10000000</v>
      </c>
      <c r="CL64" s="392">
        <f t="shared" si="21"/>
        <v>0</v>
      </c>
      <c r="CN64" s="392">
        <v>0</v>
      </c>
      <c r="CO64" s="392">
        <f>'[1]COE DISB 2019'!Z72</f>
        <v>0</v>
      </c>
      <c r="CP64" s="392">
        <f t="shared" si="22"/>
        <v>0</v>
      </c>
      <c r="CR64" s="392">
        <v>210000000</v>
      </c>
      <c r="CS64" s="392">
        <f>'[1]COE DISB 2019'!AA72</f>
        <v>210000000</v>
      </c>
      <c r="CT64" s="392">
        <f t="shared" si="23"/>
        <v>0</v>
      </c>
      <c r="CV64" s="392">
        <v>10000000</v>
      </c>
      <c r="CW64" s="392">
        <f>'[1]COE DISB 2019'!AB72</f>
        <v>10000000</v>
      </c>
      <c r="CX64" s="392">
        <f t="shared" si="24"/>
        <v>0</v>
      </c>
      <c r="CZ64" s="392">
        <f>'[1]COE commited funds to date'!AC67</f>
        <v>0</v>
      </c>
      <c r="DA64" s="392">
        <f>'[1]COE DISB 2019'!AC72</f>
        <v>0</v>
      </c>
      <c r="DB64" s="392">
        <f t="shared" si="25"/>
        <v>0</v>
      </c>
      <c r="DC64" s="394"/>
      <c r="DD64" s="392">
        <v>215000000</v>
      </c>
      <c r="DE64" s="392">
        <f>'[1]COE DISB 2019'!AD72</f>
        <v>215000000</v>
      </c>
      <c r="DF64" s="392">
        <f>DD64-DE64</f>
        <v>0</v>
      </c>
      <c r="DG64" s="394"/>
      <c r="DH64" s="392">
        <v>10000000</v>
      </c>
      <c r="DI64" s="392">
        <f>'[1]COE DISB 2019'!AE72</f>
        <v>10000000</v>
      </c>
      <c r="DJ64" s="392">
        <f>DH64-DI64</f>
        <v>0</v>
      </c>
      <c r="DK64" s="394"/>
      <c r="DL64" s="392">
        <f>'[1]COE commited funds to date'!AD67</f>
        <v>0</v>
      </c>
      <c r="DM64" s="392">
        <f>'[1]COE DISB 2019'!AF72</f>
        <v>0</v>
      </c>
      <c r="DN64" s="392">
        <f t="shared" si="28"/>
        <v>0</v>
      </c>
      <c r="DO64" s="394"/>
      <c r="DP64" s="392">
        <v>325000000</v>
      </c>
      <c r="DQ64" s="392">
        <f>'[1]COE DISB 2019'!AG72</f>
        <v>325000000</v>
      </c>
      <c r="DR64" s="392">
        <f t="shared" si="29"/>
        <v>0</v>
      </c>
      <c r="DS64" s="394"/>
      <c r="DT64" s="397">
        <v>10000000</v>
      </c>
      <c r="DU64" s="392">
        <f>'[1]COE DISB 2019'!AH72</f>
        <v>628700</v>
      </c>
      <c r="DV64" s="392">
        <f t="shared" si="30"/>
        <v>9371300</v>
      </c>
      <c r="DW64" s="394"/>
      <c r="DX64" s="392">
        <f>'[1]COE commited funds to date'!AI67</f>
        <v>50000000</v>
      </c>
      <c r="DY64" s="392">
        <f>'[1]COE DISB 2019'!AI72</f>
        <v>50000000</v>
      </c>
      <c r="DZ64" s="392">
        <f t="shared" si="31"/>
        <v>0</v>
      </c>
      <c r="EA64" s="394"/>
      <c r="EB64" s="392">
        <f>'[1]COE commited funds to date'!AJ67</f>
        <v>72000000</v>
      </c>
      <c r="EC64" s="392">
        <f>'[1]COE DISB 2019'!AJ72</f>
        <v>72000000</v>
      </c>
      <c r="ED64" s="392">
        <f t="shared" si="32"/>
        <v>0</v>
      </c>
      <c r="EE64" s="394"/>
      <c r="EF64" s="392">
        <f>'[1]COE commited funds to date'!AK67</f>
        <v>8000000</v>
      </c>
      <c r="EG64" s="392">
        <f>'[1]COE DISB 2019'!AK72</f>
        <v>8000000</v>
      </c>
      <c r="EH64" s="392">
        <f t="shared" si="33"/>
        <v>0</v>
      </c>
      <c r="EI64" s="394"/>
      <c r="EJ64" s="392">
        <f>'[1]COE commited funds to date'!AL67</f>
        <v>2000000</v>
      </c>
      <c r="EK64" s="392">
        <f>'[1]COE DISB 2019'!AL72</f>
        <v>0</v>
      </c>
      <c r="EL64" s="392">
        <f t="shared" si="34"/>
        <v>2000000</v>
      </c>
      <c r="EM64" s="394"/>
      <c r="EN64" s="392">
        <f>'[1]COE commited funds to date'!AM67</f>
        <v>7000000</v>
      </c>
      <c r="EO64" s="392">
        <f>'[1]COE DISB 2019'!AM72</f>
        <v>5529400</v>
      </c>
      <c r="EP64" s="392">
        <f t="shared" si="35"/>
        <v>1470600</v>
      </c>
      <c r="EQ64" s="394"/>
      <c r="ER64" s="392">
        <f>'[1]COE commited funds to date'!AN67</f>
        <v>50000000</v>
      </c>
      <c r="ES64" s="392">
        <f>'[1]COE DISB 2019'!AN72</f>
        <v>50000000</v>
      </c>
      <c r="ET64" s="392">
        <f t="shared" si="36"/>
        <v>0</v>
      </c>
      <c r="EV64" s="383">
        <f>'[1]COE commited funds to date'!AO67</f>
        <v>371067000</v>
      </c>
      <c r="EW64" s="383">
        <f>'[1]COE DISB 2019'!AO72</f>
        <v>315406950</v>
      </c>
      <c r="EX64" s="383">
        <f t="shared" si="38"/>
        <v>55660050</v>
      </c>
      <c r="EY64" s="380"/>
      <c r="EZ64" s="383">
        <f>'[1]COE commited funds to date'!AQ67</f>
        <v>12000000</v>
      </c>
      <c r="FA64" s="383">
        <f>'[1]COE DISB 2019'!AP72</f>
        <v>6634600</v>
      </c>
      <c r="FB64" s="383">
        <f t="shared" si="39"/>
        <v>5365400</v>
      </c>
      <c r="FC64" s="380"/>
      <c r="FD64" s="383">
        <f>'[1]COE commited funds to date'!AR67</f>
        <v>10000000</v>
      </c>
      <c r="FE64" s="383">
        <f>'[1]COE DISB 2019'!AQ72</f>
        <v>0</v>
      </c>
      <c r="FF64" s="383">
        <f t="shared" si="40"/>
        <v>10000000</v>
      </c>
      <c r="FG64" s="380"/>
      <c r="FH64" s="383">
        <f>'[1]COE commited funds to date'!AP67</f>
        <v>8000000</v>
      </c>
      <c r="FI64" s="383">
        <f>'[1]COE DISB 2019'!AR72</f>
        <v>6800000</v>
      </c>
      <c r="FJ64" s="383">
        <f t="shared" si="41"/>
        <v>1200000</v>
      </c>
      <c r="FK64" s="383">
        <f>'[1]COE commited funds to date'!AS67</f>
        <v>0</v>
      </c>
      <c r="FL64" s="383">
        <f>'[1]COE DISB 2019'!AS72</f>
        <v>0</v>
      </c>
      <c r="FM64" s="383">
        <f t="shared" si="42"/>
        <v>0</v>
      </c>
      <c r="FN64" s="380"/>
      <c r="FO64" s="383">
        <f>'[1]COE commited funds to date'!AT67</f>
        <v>200000000</v>
      </c>
      <c r="FP64" s="383">
        <f>'[1]COE DISB 2019'!AT72</f>
        <v>0</v>
      </c>
      <c r="FQ64" s="383">
        <f t="shared" si="43"/>
        <v>200000000</v>
      </c>
      <c r="FR64" s="380"/>
      <c r="FS64" s="383">
        <f>'[1]COE commited funds to date'!AU67</f>
        <v>75000000</v>
      </c>
      <c r="FT64" s="383">
        <f>'[1]COE DISB 2019'!AU72</f>
        <v>0</v>
      </c>
      <c r="FU64" s="383">
        <f t="shared" si="44"/>
        <v>75000000</v>
      </c>
      <c r="FV64" s="380"/>
      <c r="FW64" s="383">
        <f>'[1]COE commited funds to date'!AV67</f>
        <v>8700000</v>
      </c>
      <c r="FX64" s="383">
        <f>'[1]COE DISB 2019'!AV72</f>
        <v>0</v>
      </c>
      <c r="FY64" s="383">
        <f t="shared" si="45"/>
        <v>8700000</v>
      </c>
      <c r="FZ64" s="380"/>
      <c r="GA64" s="383">
        <f>'[1]COE commited funds to date'!AW67</f>
        <v>5000000</v>
      </c>
      <c r="GB64" s="383">
        <f>'[1]COE DISB 2019'!AW72</f>
        <v>0</v>
      </c>
      <c r="GC64" s="383">
        <f t="shared" si="46"/>
        <v>5000000</v>
      </c>
      <c r="GD64" s="380"/>
      <c r="GE64" s="383">
        <f>'[1]COE commited funds to date'!AX67</f>
        <v>20000000</v>
      </c>
      <c r="GF64" s="383">
        <f>'[1]COE DISB 2019'!AX72</f>
        <v>0</v>
      </c>
      <c r="GG64" s="383">
        <f t="shared" si="47"/>
        <v>20000000</v>
      </c>
      <c r="GH64" s="380"/>
      <c r="GI64" s="383">
        <f>'[1]COE commited funds to date'!AY67</f>
        <v>230000000</v>
      </c>
      <c r="GJ64" s="383">
        <f>'[1]COE DISB 2019'!AY72</f>
        <v>0</v>
      </c>
      <c r="GK64" s="383">
        <f t="shared" si="48"/>
        <v>230000000</v>
      </c>
      <c r="GL64" s="380"/>
      <c r="GM64" s="383">
        <f>'[1]COE commited funds to date'!AZ67</f>
        <v>116776600</v>
      </c>
      <c r="GN64" s="383">
        <f>'[1]COE DISB 2019'!AZ72</f>
        <v>0</v>
      </c>
      <c r="GO64" s="383">
        <f t="shared" si="49"/>
        <v>116776600</v>
      </c>
      <c r="GP64" s="380"/>
      <c r="GQ64" s="383">
        <f>'[1]COE commited funds to date'!BA67</f>
        <v>12000000</v>
      </c>
      <c r="GR64" s="383">
        <f>'[1]COE DISB 2019'!BA72</f>
        <v>0</v>
      </c>
      <c r="GS64" s="383">
        <f t="shared" si="50"/>
        <v>12000000</v>
      </c>
      <c r="GT64" s="380"/>
      <c r="GU64" s="383">
        <f>'[1]COE commited funds to date'!BB67</f>
        <v>5000000</v>
      </c>
      <c r="GV64" s="383">
        <f>'[1]COE DISB 2019'!BB72</f>
        <v>0</v>
      </c>
      <c r="GW64" s="383">
        <f t="shared" si="51"/>
        <v>5000000</v>
      </c>
      <c r="GX64" s="380"/>
      <c r="GY64" s="383">
        <f>'[1]COE commited funds to date'!BC67</f>
        <v>10308300</v>
      </c>
      <c r="GZ64" s="383">
        <f>'[1]COE DISB 2019'!BC72</f>
        <v>0</v>
      </c>
      <c r="HA64" s="383">
        <f t="shared" si="52"/>
        <v>10308300</v>
      </c>
      <c r="HB64" s="380"/>
      <c r="HC64" s="383">
        <f t="shared" si="53"/>
        <v>2519999865.5</v>
      </c>
      <c r="HD64" s="383">
        <f t="shared" si="53"/>
        <v>1752147614.6399999</v>
      </c>
      <c r="HE64" s="392">
        <f t="shared" si="54"/>
        <v>767852250.86000013</v>
      </c>
      <c r="HG64" s="383">
        <f t="shared" si="55"/>
        <v>2079615965.5</v>
      </c>
      <c r="HH64" s="383">
        <f t="shared" si="55"/>
        <v>1593955914.6399999</v>
      </c>
      <c r="HI64" s="383">
        <f t="shared" si="56"/>
        <v>485660050.86000013</v>
      </c>
      <c r="HK64" s="383">
        <f t="shared" si="57"/>
        <v>100000000</v>
      </c>
      <c r="HL64" s="383">
        <f t="shared" si="57"/>
        <v>100000000</v>
      </c>
      <c r="HM64" s="383">
        <f t="shared" si="58"/>
        <v>0</v>
      </c>
      <c r="HO64" s="383">
        <f t="shared" si="71"/>
        <v>599000</v>
      </c>
      <c r="HP64" s="383">
        <f t="shared" si="71"/>
        <v>599000</v>
      </c>
      <c r="HQ64" s="383">
        <f t="shared" si="59"/>
        <v>0</v>
      </c>
      <c r="HS64" s="383">
        <f t="shared" si="60"/>
        <v>89308300</v>
      </c>
      <c r="HT64" s="383">
        <f t="shared" si="60"/>
        <v>42792700</v>
      </c>
      <c r="HU64" s="383">
        <f t="shared" si="61"/>
        <v>46515600</v>
      </c>
      <c r="HW64" s="383">
        <f t="shared" si="62"/>
        <v>36700000</v>
      </c>
      <c r="HX64" s="383">
        <f t="shared" si="62"/>
        <v>14800000</v>
      </c>
      <c r="HY64" s="383">
        <f t="shared" si="63"/>
        <v>21900000</v>
      </c>
      <c r="IA64" s="387">
        <f t="shared" si="64"/>
        <v>20000000</v>
      </c>
      <c r="IB64" s="387">
        <f t="shared" si="64"/>
        <v>0</v>
      </c>
      <c r="IC64" s="387">
        <f t="shared" si="65"/>
        <v>20000000</v>
      </c>
      <c r="IE64" s="383">
        <f t="shared" si="66"/>
        <v>191776600</v>
      </c>
      <c r="IF64" s="383">
        <f t="shared" si="66"/>
        <v>0</v>
      </c>
      <c r="IG64" s="383">
        <f t="shared" si="67"/>
        <v>191776600</v>
      </c>
      <c r="II64" s="383">
        <f t="shared" si="68"/>
        <v>2000000</v>
      </c>
      <c r="IJ64" s="383">
        <f t="shared" si="68"/>
        <v>0</v>
      </c>
      <c r="IK64" s="383">
        <f t="shared" si="69"/>
        <v>2000000</v>
      </c>
    </row>
    <row r="65" spans="1:245" x14ac:dyDescent="0.25">
      <c r="A65" s="380">
        <v>61</v>
      </c>
      <c r="B65" s="380" t="s">
        <v>382</v>
      </c>
      <c r="C65" s="440" t="s">
        <v>76</v>
      </c>
      <c r="D65" s="392">
        <v>0</v>
      </c>
      <c r="E65" s="392">
        <f>'[1]COE DISB 2019'!D73</f>
        <v>0</v>
      </c>
      <c r="F65" s="383">
        <f t="shared" si="0"/>
        <v>0</v>
      </c>
      <c r="H65" s="392">
        <v>0</v>
      </c>
      <c r="I65" s="392">
        <f>'[1]COE DISB 2019'!E73</f>
        <v>0</v>
      </c>
      <c r="J65" s="383">
        <f t="shared" si="1"/>
        <v>0</v>
      </c>
      <c r="L65" s="392">
        <v>0</v>
      </c>
      <c r="M65" s="392">
        <f>'[1]COE DISB 2019'!F73</f>
        <v>0</v>
      </c>
      <c r="N65" s="383">
        <f t="shared" si="2"/>
        <v>0</v>
      </c>
      <c r="P65" s="385">
        <v>0</v>
      </c>
      <c r="Q65" s="392">
        <f>'[1]COE DISB 2019'!G73</f>
        <v>0</v>
      </c>
      <c r="R65" s="383">
        <f t="shared" si="3"/>
        <v>0</v>
      </c>
      <c r="T65" s="385">
        <v>0</v>
      </c>
      <c r="U65" s="392">
        <f>'[1]COE DISB 2019'!H73</f>
        <v>0</v>
      </c>
      <c r="V65" s="383">
        <f t="shared" si="4"/>
        <v>0</v>
      </c>
      <c r="X65" s="385">
        <v>0</v>
      </c>
      <c r="Y65" s="392">
        <f>'[1]COE DISB 2019'!I73</f>
        <v>0</v>
      </c>
      <c r="Z65" s="383">
        <f t="shared" si="5"/>
        <v>0</v>
      </c>
      <c r="AB65" s="385">
        <v>0</v>
      </c>
      <c r="AC65" s="392">
        <f>'[1]COE DISB 2019'!J73</f>
        <v>0</v>
      </c>
      <c r="AD65" s="383">
        <f t="shared" si="6"/>
        <v>0</v>
      </c>
      <c r="AF65" s="385">
        <v>0</v>
      </c>
      <c r="AG65" s="392">
        <f>'[1]COE DISB 2019'!K73</f>
        <v>0</v>
      </c>
      <c r="AH65" s="383">
        <f t="shared" si="7"/>
        <v>0</v>
      </c>
      <c r="AJ65" s="385">
        <v>0</v>
      </c>
      <c r="AK65" s="392">
        <f>'[1]COE DISB 2019'!L73</f>
        <v>0</v>
      </c>
      <c r="AL65" s="383">
        <f t="shared" si="8"/>
        <v>0</v>
      </c>
      <c r="AN65" s="392">
        <v>0</v>
      </c>
      <c r="AO65" s="392">
        <f>'[1]COE DISB 2019'!M73</f>
        <v>0</v>
      </c>
      <c r="AP65" s="383">
        <f t="shared" si="9"/>
        <v>0</v>
      </c>
      <c r="AR65" s="392">
        <v>0</v>
      </c>
      <c r="AS65" s="392">
        <f>'[1]COE DISB 2019'!N73</f>
        <v>0</v>
      </c>
      <c r="AT65" s="383">
        <f t="shared" si="10"/>
        <v>0</v>
      </c>
      <c r="AV65" s="392">
        <v>0</v>
      </c>
      <c r="AW65" s="393">
        <f>'[1]COE DISB 2019'!O73</f>
        <v>0</v>
      </c>
      <c r="AX65" s="392">
        <f t="shared" si="11"/>
        <v>0</v>
      </c>
      <c r="AZ65" s="392">
        <v>0</v>
      </c>
      <c r="BA65" s="392">
        <f>'[1]COE DISB 2019'!P73</f>
        <v>0</v>
      </c>
      <c r="BB65" s="392">
        <f t="shared" si="12"/>
        <v>0</v>
      </c>
      <c r="BD65" s="392">
        <v>0</v>
      </c>
      <c r="BE65" s="392">
        <f>'[1]COE DISB 2019'!Q73</f>
        <v>0</v>
      </c>
      <c r="BF65" s="392">
        <f t="shared" si="13"/>
        <v>0</v>
      </c>
      <c r="BH65" s="392">
        <v>0</v>
      </c>
      <c r="BI65" s="392">
        <f>'[1]COE DISB 2019'!R73</f>
        <v>0</v>
      </c>
      <c r="BJ65" s="392">
        <f t="shared" si="14"/>
        <v>0</v>
      </c>
      <c r="BL65" s="392">
        <v>43000000</v>
      </c>
      <c r="BM65" s="392">
        <f>'[1]COE DISB 2019'!S73</f>
        <v>43000000</v>
      </c>
      <c r="BN65" s="392">
        <f t="shared" si="15"/>
        <v>0</v>
      </c>
      <c r="BP65" s="392">
        <v>37160000</v>
      </c>
      <c r="BQ65" s="392">
        <f>'[1]COE DISB 2019'!T73</f>
        <v>37160000</v>
      </c>
      <c r="BR65" s="392">
        <f t="shared" si="16"/>
        <v>0</v>
      </c>
      <c r="BT65" s="392">
        <v>0</v>
      </c>
      <c r="BU65" s="392">
        <f>'[1]COE DISB 2019'!U73</f>
        <v>0</v>
      </c>
      <c r="BV65" s="392">
        <f t="shared" si="17"/>
        <v>0</v>
      </c>
      <c r="BX65" s="392">
        <v>112670000</v>
      </c>
      <c r="BY65" s="392">
        <f>'[1]COE DISB 2019'!V73</f>
        <v>112670000</v>
      </c>
      <c r="BZ65" s="392">
        <f t="shared" si="18"/>
        <v>0</v>
      </c>
      <c r="CB65" s="392">
        <f>'[1]COE commited funds to date'!W68</f>
        <v>85000000</v>
      </c>
      <c r="CC65" s="392">
        <f>'[1]COE DISB 2019'!W73</f>
        <v>85000000</v>
      </c>
      <c r="CD65" s="392">
        <f t="shared" si="19"/>
        <v>0</v>
      </c>
      <c r="CF65" s="392">
        <f>'[1]COE commited funds to date'!X68</f>
        <v>125000000</v>
      </c>
      <c r="CG65" s="392">
        <f>'[1]COE DISB 2019'!X73</f>
        <v>106250000</v>
      </c>
      <c r="CH65" s="392">
        <f t="shared" si="20"/>
        <v>18750000</v>
      </c>
      <c r="CJ65" s="392">
        <v>10000000</v>
      </c>
      <c r="CK65" s="392">
        <f>'[1]COE DISB 2019'!Y73</f>
        <v>0</v>
      </c>
      <c r="CL65" s="392">
        <f t="shared" si="21"/>
        <v>10000000</v>
      </c>
      <c r="CN65" s="392">
        <v>0</v>
      </c>
      <c r="CO65" s="392">
        <f>'[1]COE DISB 2019'!Z73</f>
        <v>0</v>
      </c>
      <c r="CP65" s="392">
        <f t="shared" si="22"/>
        <v>0</v>
      </c>
      <c r="CR65" s="392">
        <v>210000000</v>
      </c>
      <c r="CS65" s="392">
        <f>'[1]COE DISB 2019'!AA73</f>
        <v>178500000</v>
      </c>
      <c r="CT65" s="392">
        <f t="shared" si="23"/>
        <v>31500000</v>
      </c>
      <c r="CV65" s="392">
        <v>10000000</v>
      </c>
      <c r="CW65" s="392">
        <f>'[1]COE DISB 2019'!AB73</f>
        <v>10000000</v>
      </c>
      <c r="CX65" s="392">
        <f t="shared" si="24"/>
        <v>0</v>
      </c>
      <c r="CZ65" s="392">
        <f>'[1]COE commited funds to date'!AC68</f>
        <v>0</v>
      </c>
      <c r="DA65" s="392">
        <f>'[1]COE DISB 2019'!AC73</f>
        <v>0</v>
      </c>
      <c r="DB65" s="392">
        <f t="shared" si="25"/>
        <v>0</v>
      </c>
      <c r="DC65" s="394"/>
      <c r="DD65" s="392">
        <v>215000000</v>
      </c>
      <c r="DE65" s="392">
        <f>'[1]COE DISB 2019'!AD73</f>
        <v>182750000</v>
      </c>
      <c r="DF65" s="392">
        <f>DD65-DE65</f>
        <v>32250000</v>
      </c>
      <c r="DG65" s="394"/>
      <c r="DH65" s="392">
        <v>10000000</v>
      </c>
      <c r="DI65" s="392">
        <f>'[1]COE DISB 2019'!AE73</f>
        <v>10000000</v>
      </c>
      <c r="DJ65" s="392">
        <f>DH65-DI65</f>
        <v>0</v>
      </c>
      <c r="DK65" s="394"/>
      <c r="DL65" s="392">
        <f>'[1]COE commited funds to date'!AD68</f>
        <v>0</v>
      </c>
      <c r="DM65" s="392">
        <f>'[1]COE DISB 2019'!AF73</f>
        <v>0</v>
      </c>
      <c r="DN65" s="392">
        <f t="shared" si="28"/>
        <v>0</v>
      </c>
      <c r="DO65" s="394"/>
      <c r="DP65" s="392">
        <v>325000000</v>
      </c>
      <c r="DQ65" s="392">
        <f>'[1]COE DISB 2019'!AG73</f>
        <v>242250000</v>
      </c>
      <c r="DR65" s="392">
        <f t="shared" si="29"/>
        <v>82750000</v>
      </c>
      <c r="DS65" s="394"/>
      <c r="DT65" s="397">
        <v>10000000</v>
      </c>
      <c r="DU65" s="392">
        <f>'[1]COE DISB 2019'!AH73</f>
        <v>10000000</v>
      </c>
      <c r="DV65" s="392">
        <f t="shared" si="30"/>
        <v>0</v>
      </c>
      <c r="DW65" s="394"/>
      <c r="DX65" s="392">
        <f>'[1]COE commited funds to date'!AI68</f>
        <v>0</v>
      </c>
      <c r="DY65" s="392">
        <f>'[1]COE DISB 2019'!AI73</f>
        <v>0</v>
      </c>
      <c r="DZ65" s="392">
        <f t="shared" si="31"/>
        <v>0</v>
      </c>
      <c r="EA65" s="394"/>
      <c r="EB65" s="392">
        <f>'[1]COE commited funds to date'!AJ68</f>
        <v>72000000</v>
      </c>
      <c r="EC65" s="392">
        <f>'[1]COE DISB 2019'!AJ73</f>
        <v>0</v>
      </c>
      <c r="ED65" s="392">
        <f t="shared" si="32"/>
        <v>72000000</v>
      </c>
      <c r="EE65" s="394"/>
      <c r="EF65" s="392">
        <f>'[1]COE commited funds to date'!AK68</f>
        <v>8000000</v>
      </c>
      <c r="EG65" s="392">
        <f>'[1]COE DISB 2019'!AK73</f>
        <v>0</v>
      </c>
      <c r="EH65" s="392">
        <f t="shared" si="33"/>
        <v>8000000</v>
      </c>
      <c r="EI65" s="394"/>
      <c r="EJ65" s="392">
        <f>'[1]COE commited funds to date'!AL68</f>
        <v>2000000</v>
      </c>
      <c r="EK65" s="392">
        <f>'[1]COE DISB 2019'!AL73</f>
        <v>0</v>
      </c>
      <c r="EL65" s="392">
        <f t="shared" si="34"/>
        <v>2000000</v>
      </c>
      <c r="EM65" s="394"/>
      <c r="EN65" s="392">
        <f>'[1]COE commited funds to date'!AM68</f>
        <v>7000000</v>
      </c>
      <c r="EO65" s="392">
        <f>'[1]COE DISB 2019'!AM73</f>
        <v>5619540</v>
      </c>
      <c r="EP65" s="392">
        <f t="shared" si="35"/>
        <v>1380460</v>
      </c>
      <c r="EQ65" s="394"/>
      <c r="ER65" s="392">
        <f>'[1]COE commited funds to date'!AN68</f>
        <v>0</v>
      </c>
      <c r="ES65" s="392">
        <f>'[1]COE DISB 2019'!AN73</f>
        <v>0</v>
      </c>
      <c r="ET65" s="392">
        <f t="shared" si="36"/>
        <v>0</v>
      </c>
      <c r="EV65" s="383">
        <f>'[1]COE commited funds to date'!AO68</f>
        <v>371067000</v>
      </c>
      <c r="EW65" s="383">
        <f>'[1]COE DISB 2019'!AO73</f>
        <v>0</v>
      </c>
      <c r="EX65" s="383">
        <f t="shared" si="38"/>
        <v>371067000</v>
      </c>
      <c r="EY65" s="380"/>
      <c r="EZ65" s="383">
        <f>'[1]COE commited funds to date'!AQ68</f>
        <v>12000000</v>
      </c>
      <c r="FA65" s="383">
        <f>'[1]COE DISB 2019'!AP73</f>
        <v>0</v>
      </c>
      <c r="FB65" s="383">
        <f t="shared" si="39"/>
        <v>12000000</v>
      </c>
      <c r="FC65" s="380"/>
      <c r="FD65" s="383">
        <f>'[1]COE commited funds to date'!AR68</f>
        <v>10000000</v>
      </c>
      <c r="FE65" s="383">
        <f>'[1]COE DISB 2019'!AQ73</f>
        <v>0</v>
      </c>
      <c r="FF65" s="383">
        <f t="shared" si="40"/>
        <v>10000000</v>
      </c>
      <c r="FG65" s="380"/>
      <c r="FH65" s="383">
        <f>'[1]COE commited funds to date'!AP68</f>
        <v>8000000</v>
      </c>
      <c r="FI65" s="383">
        <f>'[1]COE DISB 2019'!AR73</f>
        <v>0</v>
      </c>
      <c r="FJ65" s="383">
        <f t="shared" si="41"/>
        <v>8000000</v>
      </c>
      <c r="FK65" s="383">
        <f>'[1]COE commited funds to date'!AS68</f>
        <v>150000000</v>
      </c>
      <c r="FL65" s="383">
        <f>'[1]COE DISB 2019'!AS73</f>
        <v>127500000</v>
      </c>
      <c r="FM65" s="383">
        <f t="shared" si="42"/>
        <v>22500000</v>
      </c>
      <c r="FN65" s="380"/>
      <c r="FO65" s="383">
        <f>'[1]COE commited funds to date'!AT68</f>
        <v>200000000</v>
      </c>
      <c r="FP65" s="383">
        <f>'[1]COE DISB 2019'!AT73</f>
        <v>0</v>
      </c>
      <c r="FQ65" s="383">
        <f t="shared" si="43"/>
        <v>200000000</v>
      </c>
      <c r="FR65" s="380"/>
      <c r="FS65" s="383">
        <f>'[1]COE commited funds to date'!AU68</f>
        <v>75000000</v>
      </c>
      <c r="FT65" s="383">
        <f>'[1]COE DISB 2019'!AU73</f>
        <v>49500000</v>
      </c>
      <c r="FU65" s="383">
        <f t="shared" si="44"/>
        <v>25500000</v>
      </c>
      <c r="FV65" s="380"/>
      <c r="FW65" s="383">
        <f>'[1]COE commited funds to date'!AV68</f>
        <v>8700000</v>
      </c>
      <c r="FX65" s="383">
        <f>'[1]COE DISB 2019'!AV73</f>
        <v>0</v>
      </c>
      <c r="FY65" s="383">
        <f t="shared" si="45"/>
        <v>8700000</v>
      </c>
      <c r="FZ65" s="380"/>
      <c r="GA65" s="383">
        <f>'[1]COE commited funds to date'!AW68</f>
        <v>5000000</v>
      </c>
      <c r="GB65" s="383">
        <f>'[1]COE DISB 2019'!AW73</f>
        <v>0</v>
      </c>
      <c r="GC65" s="383">
        <f t="shared" si="46"/>
        <v>5000000</v>
      </c>
      <c r="GD65" s="380"/>
      <c r="GE65" s="383">
        <f>'[1]COE commited funds to date'!AX68</f>
        <v>20000000</v>
      </c>
      <c r="GF65" s="383">
        <f>'[1]COE DISB 2019'!AX73</f>
        <v>0</v>
      </c>
      <c r="GG65" s="383">
        <f t="shared" si="47"/>
        <v>20000000</v>
      </c>
      <c r="GH65" s="380"/>
      <c r="GI65" s="383">
        <f>'[1]COE commited funds to date'!AY68</f>
        <v>230000000</v>
      </c>
      <c r="GJ65" s="383">
        <f>'[1]COE DISB 2019'!AY73</f>
        <v>0</v>
      </c>
      <c r="GK65" s="383">
        <f t="shared" si="48"/>
        <v>230000000</v>
      </c>
      <c r="GL65" s="380"/>
      <c r="GM65" s="383">
        <f>'[1]COE commited funds to date'!AZ68</f>
        <v>116776600</v>
      </c>
      <c r="GN65" s="383">
        <f>'[1]COE DISB 2019'!AZ73</f>
        <v>0</v>
      </c>
      <c r="GO65" s="383">
        <f t="shared" si="49"/>
        <v>116776600</v>
      </c>
      <c r="GP65" s="380"/>
      <c r="GQ65" s="383">
        <f>'[1]COE commited funds to date'!BA68</f>
        <v>12000000</v>
      </c>
      <c r="GR65" s="383">
        <f>'[1]COE DISB 2019'!BA73</f>
        <v>0</v>
      </c>
      <c r="GS65" s="383">
        <f t="shared" si="50"/>
        <v>12000000</v>
      </c>
      <c r="GT65" s="380"/>
      <c r="GU65" s="383">
        <f>'[1]COE commited funds to date'!BB68</f>
        <v>5000000</v>
      </c>
      <c r="GV65" s="383">
        <f>'[1]COE DISB 2019'!BB73</f>
        <v>0</v>
      </c>
      <c r="GW65" s="383">
        <f t="shared" si="51"/>
        <v>5000000</v>
      </c>
      <c r="GX65" s="380"/>
      <c r="GY65" s="383">
        <f>'[1]COE commited funds to date'!BC68</f>
        <v>10308300</v>
      </c>
      <c r="GZ65" s="383">
        <f>'[1]COE DISB 2019'!BC73</f>
        <v>0</v>
      </c>
      <c r="HA65" s="383">
        <f t="shared" si="52"/>
        <v>10308300</v>
      </c>
      <c r="HB65" s="380"/>
      <c r="HC65" s="383">
        <f t="shared" si="53"/>
        <v>2515681900</v>
      </c>
      <c r="HD65" s="383">
        <f t="shared" si="53"/>
        <v>1200199540</v>
      </c>
      <c r="HE65" s="392">
        <f t="shared" si="54"/>
        <v>1315482360</v>
      </c>
      <c r="HG65" s="383">
        <f t="shared" si="55"/>
        <v>1940897000</v>
      </c>
      <c r="HH65" s="383">
        <f t="shared" si="55"/>
        <v>902580000</v>
      </c>
      <c r="HI65" s="383">
        <f t="shared" si="56"/>
        <v>1038317000</v>
      </c>
      <c r="HK65" s="383">
        <f t="shared" si="57"/>
        <v>85000000</v>
      </c>
      <c r="HL65" s="383">
        <f t="shared" si="57"/>
        <v>85000000</v>
      </c>
      <c r="HM65" s="383">
        <f t="shared" si="58"/>
        <v>0</v>
      </c>
      <c r="HO65" s="383">
        <f t="shared" si="71"/>
        <v>0</v>
      </c>
      <c r="HP65" s="383">
        <f t="shared" si="71"/>
        <v>0</v>
      </c>
      <c r="HQ65" s="383">
        <f t="shared" si="59"/>
        <v>0</v>
      </c>
      <c r="HS65" s="383">
        <f t="shared" si="60"/>
        <v>89308300</v>
      </c>
      <c r="HT65" s="383">
        <f t="shared" si="60"/>
        <v>35619540</v>
      </c>
      <c r="HU65" s="383">
        <f t="shared" si="61"/>
        <v>53688760</v>
      </c>
      <c r="HW65" s="383">
        <f t="shared" si="62"/>
        <v>36700000</v>
      </c>
      <c r="HX65" s="383">
        <f t="shared" si="62"/>
        <v>0</v>
      </c>
      <c r="HY65" s="383">
        <f t="shared" si="63"/>
        <v>36700000</v>
      </c>
      <c r="IA65" s="387">
        <f t="shared" si="64"/>
        <v>20000000</v>
      </c>
      <c r="IB65" s="387">
        <f t="shared" si="64"/>
        <v>0</v>
      </c>
      <c r="IC65" s="387">
        <f t="shared" si="65"/>
        <v>20000000</v>
      </c>
      <c r="IE65" s="383">
        <f t="shared" si="66"/>
        <v>341776600</v>
      </c>
      <c r="IF65" s="383">
        <f t="shared" si="66"/>
        <v>177000000</v>
      </c>
      <c r="IG65" s="383">
        <f t="shared" si="67"/>
        <v>164776600</v>
      </c>
      <c r="II65" s="383">
        <f t="shared" si="68"/>
        <v>2000000</v>
      </c>
      <c r="IJ65" s="383">
        <f t="shared" si="68"/>
        <v>0</v>
      </c>
      <c r="IK65" s="383">
        <f t="shared" si="69"/>
        <v>2000000</v>
      </c>
    </row>
    <row r="66" spans="1:245" x14ac:dyDescent="0.25">
      <c r="A66" s="380">
        <v>62</v>
      </c>
      <c r="B66" s="380" t="s">
        <v>383</v>
      </c>
      <c r="C66" s="433" t="s">
        <v>65</v>
      </c>
      <c r="D66" s="392">
        <v>18318965.5</v>
      </c>
      <c r="E66" s="392">
        <f>'[1]COE DISB 2019'!D74</f>
        <v>18318965.5</v>
      </c>
      <c r="F66" s="383">
        <f t="shared" si="0"/>
        <v>0</v>
      </c>
      <c r="H66" s="392">
        <v>8000000</v>
      </c>
      <c r="I66" s="392">
        <f>'[1]COE DISB 2019'!E74</f>
        <v>8000000</v>
      </c>
      <c r="J66" s="383">
        <f t="shared" si="1"/>
        <v>0</v>
      </c>
      <c r="L66" s="392">
        <v>500000</v>
      </c>
      <c r="M66" s="392">
        <f>'[1]COE DISB 2019'!F74</f>
        <v>500000</v>
      </c>
      <c r="N66" s="383">
        <f t="shared" si="2"/>
        <v>0</v>
      </c>
      <c r="P66" s="353">
        <v>16000000</v>
      </c>
      <c r="Q66" s="392">
        <f>'[1]COE DISB 2019'!G74</f>
        <v>16000000</v>
      </c>
      <c r="R66" s="383">
        <f t="shared" si="3"/>
        <v>0</v>
      </c>
      <c r="T66" s="385">
        <v>1213000</v>
      </c>
      <c r="U66" s="392">
        <f>'[1]COE DISB 2019'!H74</f>
        <v>1213000</v>
      </c>
      <c r="V66" s="383">
        <f t="shared" si="4"/>
        <v>0</v>
      </c>
      <c r="X66" s="353">
        <v>0</v>
      </c>
      <c r="Y66" s="392">
        <f>'[1]COE DISB 2019'!I74</f>
        <v>0</v>
      </c>
      <c r="Z66" s="383">
        <f t="shared" si="5"/>
        <v>0</v>
      </c>
      <c r="AB66" s="385">
        <v>20000000</v>
      </c>
      <c r="AC66" s="392">
        <f>'[1]COE DISB 2019'!J74</f>
        <v>20000000</v>
      </c>
      <c r="AD66" s="383">
        <f t="shared" si="6"/>
        <v>0</v>
      </c>
      <c r="AF66" s="353">
        <v>0</v>
      </c>
      <c r="AG66" s="392">
        <f>'[1]COE DISB 2019'!K74</f>
        <v>0</v>
      </c>
      <c r="AH66" s="383">
        <f t="shared" si="7"/>
        <v>0</v>
      </c>
      <c r="AJ66" s="385">
        <v>10000000</v>
      </c>
      <c r="AK66" s="392">
        <f>'[1]COE DISB 2019'!L74</f>
        <v>10000000</v>
      </c>
      <c r="AL66" s="383">
        <f t="shared" si="8"/>
        <v>0</v>
      </c>
      <c r="AN66" s="392">
        <v>10000000</v>
      </c>
      <c r="AO66" s="392">
        <f>'[1]COE DISB 2019'!M74</f>
        <v>10000000</v>
      </c>
      <c r="AP66" s="383">
        <f t="shared" si="9"/>
        <v>0</v>
      </c>
      <c r="AR66" s="392">
        <f>15000000-15000000</f>
        <v>0</v>
      </c>
      <c r="AS66" s="392">
        <f>'[1]COE DISB 2019'!N74</f>
        <v>0</v>
      </c>
      <c r="AT66" s="383">
        <f t="shared" si="10"/>
        <v>0</v>
      </c>
      <c r="AV66" s="392">
        <v>0</v>
      </c>
      <c r="AW66" s="432">
        <f>'[1]COE DISB 2019'!O74</f>
        <v>0</v>
      </c>
      <c r="AX66" s="392">
        <f t="shared" si="11"/>
        <v>0</v>
      </c>
      <c r="AZ66" s="392">
        <v>0</v>
      </c>
      <c r="BA66" s="392">
        <f>'[1]COE DISB 2019'!P74</f>
        <v>0</v>
      </c>
      <c r="BB66" s="392">
        <f t="shared" si="12"/>
        <v>0</v>
      </c>
      <c r="BD66" s="392">
        <v>0</v>
      </c>
      <c r="BE66" s="392">
        <f>'[1]COE DISB 2019'!Q74</f>
        <v>0</v>
      </c>
      <c r="BF66" s="392">
        <f t="shared" si="13"/>
        <v>0</v>
      </c>
      <c r="BH66" s="392">
        <v>0</v>
      </c>
      <c r="BI66" s="392">
        <f>'[1]COE DISB 2019'!R74</f>
        <v>0</v>
      </c>
      <c r="BJ66" s="392">
        <f t="shared" si="14"/>
        <v>0</v>
      </c>
      <c r="BL66" s="392">
        <v>0</v>
      </c>
      <c r="BM66" s="392">
        <f>'[1]COE DISB 2019'!S74</f>
        <v>0</v>
      </c>
      <c r="BN66" s="392">
        <f t="shared" si="15"/>
        <v>0</v>
      </c>
      <c r="BP66" s="392">
        <v>0</v>
      </c>
      <c r="BQ66" s="392">
        <f>'[1]COE DISB 2019'!T74</f>
        <v>0</v>
      </c>
      <c r="BR66" s="392">
        <f t="shared" si="16"/>
        <v>0</v>
      </c>
      <c r="BT66" s="392">
        <v>0</v>
      </c>
      <c r="BU66" s="392">
        <f>'[1]COE DISB 2019'!U74</f>
        <v>0</v>
      </c>
      <c r="BV66" s="392">
        <f t="shared" si="17"/>
        <v>0</v>
      </c>
      <c r="BX66" s="392">
        <v>112670000</v>
      </c>
      <c r="BY66" s="392">
        <f>'[1]COE DISB 2019'!V74</f>
        <v>112670000</v>
      </c>
      <c r="BZ66" s="392">
        <f t="shared" si="18"/>
        <v>0</v>
      </c>
      <c r="CB66" s="392">
        <f>'[1]COE commited funds to date'!W69</f>
        <v>100000000</v>
      </c>
      <c r="CC66" s="392">
        <f>'[1]COE DISB 2019'!W74</f>
        <v>100000000</v>
      </c>
      <c r="CD66" s="392">
        <f t="shared" si="19"/>
        <v>0</v>
      </c>
      <c r="CF66" s="392">
        <f>'[1]COE commited funds to date'!X69</f>
        <v>125000000</v>
      </c>
      <c r="CG66" s="392">
        <f>'[1]COE DISB 2019'!X74</f>
        <v>125000000</v>
      </c>
      <c r="CH66" s="392">
        <f t="shared" si="20"/>
        <v>0</v>
      </c>
      <c r="CJ66" s="392">
        <v>10000000</v>
      </c>
      <c r="CK66" s="392">
        <f>'[1]COE DISB 2019'!Y74</f>
        <v>10000000</v>
      </c>
      <c r="CL66" s="392">
        <f t="shared" si="21"/>
        <v>0</v>
      </c>
      <c r="CN66" s="392">
        <v>0</v>
      </c>
      <c r="CO66" s="392">
        <f>'[1]COE DISB 2019'!Z74</f>
        <v>0</v>
      </c>
      <c r="CP66" s="392">
        <f t="shared" si="22"/>
        <v>0</v>
      </c>
      <c r="CR66" s="392">
        <v>210000000</v>
      </c>
      <c r="CS66" s="392">
        <f>'[1]COE DISB 2019'!AA74</f>
        <v>210000000</v>
      </c>
      <c r="CT66" s="392">
        <f t="shared" si="23"/>
        <v>0</v>
      </c>
      <c r="CV66" s="392">
        <v>10000000</v>
      </c>
      <c r="CW66" s="392">
        <f>'[1]COE DISB 2019'!AB74</f>
        <v>10000000</v>
      </c>
      <c r="CX66" s="392">
        <f t="shared" si="24"/>
        <v>0</v>
      </c>
      <c r="CZ66" s="392">
        <f>'[1]COE commited funds to date'!AC69</f>
        <v>0</v>
      </c>
      <c r="DA66" s="392">
        <f>'[1]COE DISB 2019'!AC74</f>
        <v>0</v>
      </c>
      <c r="DB66" s="392">
        <f t="shared" si="25"/>
        <v>0</v>
      </c>
      <c r="DC66" s="394"/>
      <c r="DD66" s="392">
        <v>215000000</v>
      </c>
      <c r="DE66" s="392">
        <f>'[1]COE DISB 2019'!AD74</f>
        <v>215000000</v>
      </c>
      <c r="DF66" s="392">
        <f>DD66-DE66</f>
        <v>0</v>
      </c>
      <c r="DG66" s="394"/>
      <c r="DH66" s="392">
        <v>10000000</v>
      </c>
      <c r="DI66" s="392">
        <f>'[1]COE DISB 2019'!AE74</f>
        <v>10000000</v>
      </c>
      <c r="DJ66" s="392">
        <f>DH66-DI66</f>
        <v>0</v>
      </c>
      <c r="DK66" s="394"/>
      <c r="DL66" s="392">
        <f>'[1]COE commited funds to date'!AD69</f>
        <v>141600000</v>
      </c>
      <c r="DM66" s="392">
        <f>'[1]COE DISB 2019'!AF74</f>
        <v>141600000</v>
      </c>
      <c r="DN66" s="392">
        <f t="shared" si="28"/>
        <v>0</v>
      </c>
      <c r="DO66" s="394"/>
      <c r="DP66" s="392">
        <v>325000000</v>
      </c>
      <c r="DQ66" s="392">
        <f>'[1]COE DISB 2019'!AG74</f>
        <v>325000000</v>
      </c>
      <c r="DR66" s="392">
        <f t="shared" si="29"/>
        <v>0</v>
      </c>
      <c r="DS66" s="394"/>
      <c r="DT66" s="397">
        <v>10000000</v>
      </c>
      <c r="DU66" s="392">
        <f>'[1]COE DISB 2019'!AH74</f>
        <v>1903360</v>
      </c>
      <c r="DV66" s="392">
        <f t="shared" si="30"/>
        <v>8096640</v>
      </c>
      <c r="DW66" s="394"/>
      <c r="DX66" s="392">
        <f>'[1]COE commited funds to date'!AI69</f>
        <v>50000000</v>
      </c>
      <c r="DY66" s="392">
        <f>'[1]COE DISB 2019'!AI74</f>
        <v>50000000</v>
      </c>
      <c r="DZ66" s="392">
        <f t="shared" si="31"/>
        <v>0</v>
      </c>
      <c r="EA66" s="394"/>
      <c r="EB66" s="392">
        <f>'[1]COE commited funds to date'!AJ69</f>
        <v>72000000</v>
      </c>
      <c r="EC66" s="392">
        <f>'[1]COE DISB 2019'!AJ74</f>
        <v>46080000</v>
      </c>
      <c r="ED66" s="392">
        <f t="shared" si="32"/>
        <v>25920000</v>
      </c>
      <c r="EE66" s="394"/>
      <c r="EF66" s="392">
        <f>'[1]COE commited funds to date'!AK69</f>
        <v>8000000</v>
      </c>
      <c r="EG66" s="392">
        <f>'[1]COE DISB 2019'!AK74</f>
        <v>0</v>
      </c>
      <c r="EH66" s="392">
        <f t="shared" si="33"/>
        <v>8000000</v>
      </c>
      <c r="EI66" s="394"/>
      <c r="EJ66" s="392">
        <f>'[1]COE commited funds to date'!AL69</f>
        <v>2000000</v>
      </c>
      <c r="EK66" s="392">
        <f>'[1]COE DISB 2019'!AL74</f>
        <v>0</v>
      </c>
      <c r="EL66" s="392">
        <f t="shared" si="34"/>
        <v>2000000</v>
      </c>
      <c r="EM66" s="394"/>
      <c r="EN66" s="392">
        <f>'[1]COE commited funds to date'!AM69</f>
        <v>7000000</v>
      </c>
      <c r="EO66" s="392">
        <f>'[1]COE DISB 2019'!AM74</f>
        <v>7000000</v>
      </c>
      <c r="EP66" s="392">
        <f t="shared" si="35"/>
        <v>0</v>
      </c>
      <c r="EQ66" s="394"/>
      <c r="ER66" s="392">
        <f>'[1]COE commited funds to date'!AN69</f>
        <v>0</v>
      </c>
      <c r="ES66" s="392">
        <f>'[1]COE DISB 2019'!AN74</f>
        <v>0</v>
      </c>
      <c r="ET66" s="392">
        <f t="shared" si="36"/>
        <v>0</v>
      </c>
      <c r="EV66" s="383">
        <f>'[1]COE commited funds to date'!AO69</f>
        <v>371067000</v>
      </c>
      <c r="EW66" s="383">
        <f>'[1]COE DISB 2019'!AO74</f>
        <v>237482880</v>
      </c>
      <c r="EX66" s="383">
        <f t="shared" si="38"/>
        <v>133584120</v>
      </c>
      <c r="EY66" s="380"/>
      <c r="EZ66" s="383">
        <f>'[1]COE commited funds to date'!AQ69</f>
        <v>12000000</v>
      </c>
      <c r="FA66" s="383">
        <f>'[1]COE DISB 2019'!AP74</f>
        <v>9019000</v>
      </c>
      <c r="FB66" s="383">
        <f t="shared" si="39"/>
        <v>2981000</v>
      </c>
      <c r="FC66" s="380"/>
      <c r="FD66" s="383">
        <f>'[1]COE commited funds to date'!AR69</f>
        <v>10000000</v>
      </c>
      <c r="FE66" s="383">
        <f>'[1]COE DISB 2019'!AQ74</f>
        <v>0</v>
      </c>
      <c r="FF66" s="383">
        <f t="shared" si="40"/>
        <v>10000000</v>
      </c>
      <c r="FG66" s="380"/>
      <c r="FH66" s="383">
        <f>'[1]COE commited funds to date'!AP69</f>
        <v>8000000</v>
      </c>
      <c r="FI66" s="383">
        <f>'[1]COE DISB 2019'!AR74</f>
        <v>0</v>
      </c>
      <c r="FJ66" s="383">
        <f t="shared" si="41"/>
        <v>8000000</v>
      </c>
      <c r="FK66" s="383">
        <f>'[1]COE commited funds to date'!AS69</f>
        <v>0</v>
      </c>
      <c r="FL66" s="383">
        <f>'[1]COE DISB 2019'!AS74</f>
        <v>0</v>
      </c>
      <c r="FM66" s="383">
        <f t="shared" si="42"/>
        <v>0</v>
      </c>
      <c r="FN66" s="380"/>
      <c r="FO66" s="383">
        <f>'[1]COE commited funds to date'!AT69</f>
        <v>200000000</v>
      </c>
      <c r="FP66" s="383">
        <f>'[1]COE DISB 2019'!AT74</f>
        <v>0</v>
      </c>
      <c r="FQ66" s="383">
        <f t="shared" si="43"/>
        <v>200000000</v>
      </c>
      <c r="FR66" s="380"/>
      <c r="FS66" s="383">
        <f>'[1]COE commited funds to date'!AU69</f>
        <v>75000000</v>
      </c>
      <c r="FT66" s="383">
        <f>'[1]COE DISB 2019'!AU74</f>
        <v>0</v>
      </c>
      <c r="FU66" s="383">
        <f t="shared" si="44"/>
        <v>75000000</v>
      </c>
      <c r="FV66" s="380"/>
      <c r="FW66" s="383">
        <f>'[1]COE commited funds to date'!AV69</f>
        <v>8700000</v>
      </c>
      <c r="FX66" s="383">
        <f>'[1]COE DISB 2019'!AV74</f>
        <v>0</v>
      </c>
      <c r="FY66" s="383">
        <f t="shared" si="45"/>
        <v>8700000</v>
      </c>
      <c r="FZ66" s="380"/>
      <c r="GA66" s="383">
        <f>'[1]COE commited funds to date'!AW69</f>
        <v>5000000</v>
      </c>
      <c r="GB66" s="383">
        <f>'[1]COE DISB 2019'!AW74</f>
        <v>0</v>
      </c>
      <c r="GC66" s="383">
        <f t="shared" si="46"/>
        <v>5000000</v>
      </c>
      <c r="GD66" s="380"/>
      <c r="GE66" s="383">
        <f>'[1]COE commited funds to date'!AX69</f>
        <v>20000000</v>
      </c>
      <c r="GF66" s="383">
        <f>'[1]COE DISB 2019'!AX74</f>
        <v>0</v>
      </c>
      <c r="GG66" s="383">
        <f t="shared" si="47"/>
        <v>20000000</v>
      </c>
      <c r="GH66" s="380"/>
      <c r="GI66" s="383">
        <f>'[1]COE commited funds to date'!AY69</f>
        <v>230000000</v>
      </c>
      <c r="GJ66" s="383">
        <f>'[1]COE DISB 2019'!AY74</f>
        <v>0</v>
      </c>
      <c r="GK66" s="383">
        <f t="shared" si="48"/>
        <v>230000000</v>
      </c>
      <c r="GL66" s="380"/>
      <c r="GM66" s="383">
        <f>'[1]COE commited funds to date'!AZ69</f>
        <v>116776600</v>
      </c>
      <c r="GN66" s="383">
        <f>'[1]COE DISB 2019'!AZ74</f>
        <v>0</v>
      </c>
      <c r="GO66" s="383">
        <f t="shared" si="49"/>
        <v>116776600</v>
      </c>
      <c r="GP66" s="380"/>
      <c r="GQ66" s="383">
        <f>'[1]COE commited funds to date'!BA69</f>
        <v>12000000</v>
      </c>
      <c r="GR66" s="383">
        <f>'[1]COE DISB 2019'!BA74</f>
        <v>0</v>
      </c>
      <c r="GS66" s="383">
        <f t="shared" si="50"/>
        <v>12000000</v>
      </c>
      <c r="GT66" s="380"/>
      <c r="GU66" s="383">
        <f>'[1]COE commited funds to date'!BB69</f>
        <v>5000000</v>
      </c>
      <c r="GV66" s="383">
        <f>'[1]COE DISB 2019'!BB74</f>
        <v>0</v>
      </c>
      <c r="GW66" s="383">
        <f t="shared" si="51"/>
        <v>5000000</v>
      </c>
      <c r="GX66" s="380"/>
      <c r="GY66" s="383">
        <f>'[1]COE commited funds to date'!BC69</f>
        <v>10308300</v>
      </c>
      <c r="GZ66" s="383">
        <f>'[1]COE DISB 2019'!BC74</f>
        <v>0</v>
      </c>
      <c r="HA66" s="383">
        <f t="shared" si="52"/>
        <v>10308300</v>
      </c>
      <c r="HB66" s="380"/>
      <c r="HC66" s="383">
        <f t="shared" si="53"/>
        <v>2576153865.5</v>
      </c>
      <c r="HD66" s="383">
        <f t="shared" si="53"/>
        <v>1694787205.5</v>
      </c>
      <c r="HE66" s="392">
        <f t="shared" si="54"/>
        <v>881366660</v>
      </c>
      <c r="HG66" s="383">
        <f t="shared" si="55"/>
        <v>1943055965.5</v>
      </c>
      <c r="HH66" s="383">
        <f t="shared" si="55"/>
        <v>1353551845.5</v>
      </c>
      <c r="HI66" s="383">
        <f t="shared" si="56"/>
        <v>589504120</v>
      </c>
      <c r="HK66" s="383">
        <f t="shared" si="57"/>
        <v>291600000</v>
      </c>
      <c r="HL66" s="383">
        <f t="shared" si="57"/>
        <v>291600000</v>
      </c>
      <c r="HM66" s="383">
        <f t="shared" si="58"/>
        <v>0</v>
      </c>
      <c r="HO66" s="383">
        <f t="shared" si="71"/>
        <v>1713000</v>
      </c>
      <c r="HP66" s="383">
        <f t="shared" si="71"/>
        <v>1713000</v>
      </c>
      <c r="HQ66" s="383">
        <f t="shared" si="59"/>
        <v>0</v>
      </c>
      <c r="HS66" s="383">
        <f t="shared" si="60"/>
        <v>89308300</v>
      </c>
      <c r="HT66" s="383">
        <f t="shared" si="60"/>
        <v>47922360</v>
      </c>
      <c r="HU66" s="383">
        <f t="shared" si="61"/>
        <v>41385940</v>
      </c>
      <c r="HW66" s="383">
        <f t="shared" si="62"/>
        <v>36700000</v>
      </c>
      <c r="HX66" s="383">
        <f t="shared" si="62"/>
        <v>0</v>
      </c>
      <c r="HY66" s="383">
        <f t="shared" si="63"/>
        <v>36700000</v>
      </c>
      <c r="IA66" s="387">
        <f t="shared" si="64"/>
        <v>20000000</v>
      </c>
      <c r="IB66" s="387">
        <f t="shared" si="64"/>
        <v>0</v>
      </c>
      <c r="IC66" s="387">
        <f t="shared" si="65"/>
        <v>20000000</v>
      </c>
      <c r="IE66" s="383">
        <f t="shared" si="66"/>
        <v>191776600</v>
      </c>
      <c r="IF66" s="383">
        <f t="shared" si="66"/>
        <v>0</v>
      </c>
      <c r="IG66" s="383">
        <f t="shared" si="67"/>
        <v>191776600</v>
      </c>
      <c r="II66" s="383">
        <f t="shared" si="68"/>
        <v>2000000</v>
      </c>
      <c r="IJ66" s="383">
        <f t="shared" si="68"/>
        <v>0</v>
      </c>
      <c r="IK66" s="383">
        <f t="shared" si="69"/>
        <v>2000000</v>
      </c>
    </row>
    <row r="67" spans="1:245" x14ac:dyDescent="0.25">
      <c r="A67" s="380">
        <v>63</v>
      </c>
      <c r="B67" s="380" t="s">
        <v>384</v>
      </c>
      <c r="C67" s="431" t="s">
        <v>69</v>
      </c>
      <c r="D67" s="392">
        <v>18318965.5</v>
      </c>
      <c r="E67" s="392">
        <f>'[1]COE DISB 2019'!D75</f>
        <v>18318965.5</v>
      </c>
      <c r="F67" s="383">
        <f t="shared" si="0"/>
        <v>0</v>
      </c>
      <c r="H67" s="392">
        <v>8000000</v>
      </c>
      <c r="I67" s="392">
        <f>'[1]COE DISB 2019'!E75</f>
        <v>8000000</v>
      </c>
      <c r="J67" s="383">
        <f t="shared" si="1"/>
        <v>0</v>
      </c>
      <c r="L67" s="392">
        <v>500000</v>
      </c>
      <c r="M67" s="392">
        <f>'[1]COE DISB 2019'!F75</f>
        <v>500000</v>
      </c>
      <c r="N67" s="383">
        <f t="shared" si="2"/>
        <v>0</v>
      </c>
      <c r="P67" s="353">
        <v>16000000</v>
      </c>
      <c r="Q67" s="392">
        <f>'[1]COE DISB 2019'!G75</f>
        <v>16000000</v>
      </c>
      <c r="R67" s="383">
        <f t="shared" si="3"/>
        <v>0</v>
      </c>
      <c r="T67" s="385">
        <v>1426000</v>
      </c>
      <c r="U67" s="392">
        <f>'[1]COE DISB 2019'!H75</f>
        <v>1426000</v>
      </c>
      <c r="V67" s="383">
        <f t="shared" si="4"/>
        <v>0</v>
      </c>
      <c r="X67" s="353">
        <v>0</v>
      </c>
      <c r="Y67" s="392">
        <f>'[1]COE DISB 2019'!I75</f>
        <v>0</v>
      </c>
      <c r="Z67" s="383">
        <f t="shared" si="5"/>
        <v>0</v>
      </c>
      <c r="AB67" s="385">
        <v>20000000</v>
      </c>
      <c r="AC67" s="392">
        <f>'[1]COE DISB 2019'!J75</f>
        <v>20000000</v>
      </c>
      <c r="AD67" s="383">
        <f t="shared" si="6"/>
        <v>0</v>
      </c>
      <c r="AF67" s="353">
        <v>0</v>
      </c>
      <c r="AG67" s="392">
        <f>'[1]COE DISB 2019'!K75</f>
        <v>0</v>
      </c>
      <c r="AH67" s="383">
        <f t="shared" si="7"/>
        <v>0</v>
      </c>
      <c r="AJ67" s="385">
        <v>10000000</v>
      </c>
      <c r="AK67" s="392">
        <f>'[1]COE DISB 2019'!L75</f>
        <v>10000000</v>
      </c>
      <c r="AL67" s="383">
        <f t="shared" si="8"/>
        <v>0</v>
      </c>
      <c r="AN67" s="392">
        <v>10000000</v>
      </c>
      <c r="AO67" s="392">
        <f>'[1]COE DISB 2019'!M75</f>
        <v>10000000</v>
      </c>
      <c r="AP67" s="383">
        <f t="shared" si="9"/>
        <v>0</v>
      </c>
      <c r="AR67" s="392">
        <v>15000000</v>
      </c>
      <c r="AS67" s="392">
        <f>'[1]COE DISB 2019'!N75</f>
        <v>15000000</v>
      </c>
      <c r="AT67" s="383">
        <f t="shared" si="10"/>
        <v>0</v>
      </c>
      <c r="AV67" s="392">
        <v>4250000</v>
      </c>
      <c r="AW67" s="393">
        <f>'[1]COE DISB 2019'!O75</f>
        <v>4250000</v>
      </c>
      <c r="AX67" s="392">
        <f t="shared" si="11"/>
        <v>0</v>
      </c>
      <c r="AZ67" s="392">
        <v>0</v>
      </c>
      <c r="BA67" s="392">
        <f>'[1]COE DISB 2019'!P75</f>
        <v>0</v>
      </c>
      <c r="BB67" s="392">
        <f t="shared" si="12"/>
        <v>0</v>
      </c>
      <c r="BD67" s="392">
        <v>0</v>
      </c>
      <c r="BE67" s="392">
        <f>'[1]COE DISB 2019'!Q75</f>
        <v>0</v>
      </c>
      <c r="BF67" s="392">
        <f t="shared" si="13"/>
        <v>0</v>
      </c>
      <c r="BH67" s="392">
        <v>0</v>
      </c>
      <c r="BI67" s="392">
        <f>'[1]COE DISB 2019'!R75</f>
        <v>0</v>
      </c>
      <c r="BJ67" s="392">
        <f t="shared" si="14"/>
        <v>0</v>
      </c>
      <c r="BL67" s="392">
        <v>0</v>
      </c>
      <c r="BM67" s="392">
        <f>'[1]COE DISB 2019'!S75</f>
        <v>0</v>
      </c>
      <c r="BN67" s="392">
        <f t="shared" si="15"/>
        <v>0</v>
      </c>
      <c r="BP67" s="392">
        <v>0</v>
      </c>
      <c r="BQ67" s="392">
        <f>'[1]COE DISB 2019'!T75</f>
        <v>0</v>
      </c>
      <c r="BR67" s="392">
        <f t="shared" si="16"/>
        <v>0</v>
      </c>
      <c r="BT67" s="392">
        <v>0</v>
      </c>
      <c r="BU67" s="392">
        <f>'[1]COE DISB 2019'!U75</f>
        <v>0</v>
      </c>
      <c r="BV67" s="392">
        <f t="shared" si="17"/>
        <v>0</v>
      </c>
      <c r="BX67" s="392">
        <v>112670000</v>
      </c>
      <c r="BY67" s="392">
        <f>'[1]COE DISB 2019'!V75</f>
        <v>112670000</v>
      </c>
      <c r="BZ67" s="392">
        <f t="shared" si="18"/>
        <v>0</v>
      </c>
      <c r="CB67" s="392">
        <f>'[1]COE commited funds to date'!W70</f>
        <v>0</v>
      </c>
      <c r="CC67" s="392">
        <f>'[1]COE DISB 2019'!W75</f>
        <v>0</v>
      </c>
      <c r="CD67" s="392">
        <f t="shared" si="19"/>
        <v>0</v>
      </c>
      <c r="CF67" s="392">
        <v>125000000</v>
      </c>
      <c r="CG67" s="392">
        <f>'[1]COE DISB 2019'!X75</f>
        <v>125000000</v>
      </c>
      <c r="CH67" s="392">
        <f t="shared" si="20"/>
        <v>0</v>
      </c>
      <c r="CJ67" s="392">
        <v>10000000</v>
      </c>
      <c r="CK67" s="392">
        <f>'[1]COE DISB 2019'!Y75</f>
        <v>10000000</v>
      </c>
      <c r="CL67" s="392">
        <f t="shared" si="21"/>
        <v>0</v>
      </c>
      <c r="CN67" s="392">
        <v>0</v>
      </c>
      <c r="CO67" s="392">
        <f>'[1]COE DISB 2019'!Z75</f>
        <v>0</v>
      </c>
      <c r="CP67" s="392">
        <f t="shared" si="22"/>
        <v>0</v>
      </c>
      <c r="CR67" s="392">
        <v>210000000</v>
      </c>
      <c r="CS67" s="392">
        <f>'[1]COE DISB 2019'!AA75</f>
        <v>210000000</v>
      </c>
      <c r="CT67" s="392">
        <f t="shared" si="23"/>
        <v>0</v>
      </c>
      <c r="CV67" s="392">
        <v>10000000</v>
      </c>
      <c r="CW67" s="392">
        <f>'[1]COE DISB 2019'!AB75</f>
        <v>10000000</v>
      </c>
      <c r="CX67" s="392">
        <f t="shared" si="24"/>
        <v>0</v>
      </c>
      <c r="CZ67" s="392">
        <f>'[1]COE commited funds to date'!AC70</f>
        <v>0</v>
      </c>
      <c r="DA67" s="392">
        <f>'[1]COE DISB 2019'!AC75</f>
        <v>0</v>
      </c>
      <c r="DB67" s="392">
        <f t="shared" si="25"/>
        <v>0</v>
      </c>
      <c r="DC67" s="394"/>
      <c r="DD67" s="392">
        <v>215000000</v>
      </c>
      <c r="DE67" s="392">
        <f>'[1]COE DISB 2019'!AD75</f>
        <v>215000000</v>
      </c>
      <c r="DF67" s="392">
        <f>DD67-DE67</f>
        <v>0</v>
      </c>
      <c r="DG67" s="394"/>
      <c r="DH67" s="392">
        <v>10000000</v>
      </c>
      <c r="DI67" s="392">
        <f>'[1]COE DISB 2019'!AE75</f>
        <v>10000000</v>
      </c>
      <c r="DJ67" s="392">
        <f>DH67-DI67</f>
        <v>0</v>
      </c>
      <c r="DK67" s="394"/>
      <c r="DL67" s="392">
        <f>'[1]COE commited funds to date'!AD70</f>
        <v>0</v>
      </c>
      <c r="DM67" s="392">
        <f>'[1]COE DISB 2019'!AF75</f>
        <v>0</v>
      </c>
      <c r="DN67" s="392">
        <f t="shared" si="28"/>
        <v>0</v>
      </c>
      <c r="DO67" s="394"/>
      <c r="DP67" s="392">
        <v>325000000</v>
      </c>
      <c r="DQ67" s="392">
        <f>'[1]COE DISB 2019'!AG75</f>
        <v>276250000</v>
      </c>
      <c r="DR67" s="392">
        <f t="shared" si="29"/>
        <v>48750000</v>
      </c>
      <c r="DS67" s="394"/>
      <c r="DT67" s="397">
        <v>10000000</v>
      </c>
      <c r="DU67" s="392">
        <f>'[1]COE DISB 2019'!AH75</f>
        <v>10000000</v>
      </c>
      <c r="DV67" s="392">
        <f t="shared" si="30"/>
        <v>0</v>
      </c>
      <c r="DW67" s="394"/>
      <c r="DX67" s="392">
        <f>'[1]COE commited funds to date'!AI70</f>
        <v>50000000</v>
      </c>
      <c r="DY67" s="392">
        <f>'[1]COE DISB 2019'!AI75</f>
        <v>50000000</v>
      </c>
      <c r="DZ67" s="392">
        <f t="shared" si="31"/>
        <v>0</v>
      </c>
      <c r="EA67" s="394"/>
      <c r="EB67" s="392">
        <f>'[1]COE commited funds to date'!AJ70</f>
        <v>72000000</v>
      </c>
      <c r="EC67" s="392">
        <f>'[1]COE DISB 2019'!AJ75</f>
        <v>61200000</v>
      </c>
      <c r="ED67" s="392">
        <f t="shared" si="32"/>
        <v>10800000</v>
      </c>
      <c r="EE67" s="394"/>
      <c r="EF67" s="392">
        <f>'[1]COE commited funds to date'!AK70</f>
        <v>8000000</v>
      </c>
      <c r="EG67" s="392">
        <f>'[1]COE DISB 2019'!AK75</f>
        <v>8000000</v>
      </c>
      <c r="EH67" s="392">
        <f t="shared" si="33"/>
        <v>0</v>
      </c>
      <c r="EI67" s="394"/>
      <c r="EJ67" s="392">
        <f>'[1]COE commited funds to date'!AL70</f>
        <v>2000000</v>
      </c>
      <c r="EK67" s="392">
        <f>'[1]COE DISB 2019'!AL75</f>
        <v>0</v>
      </c>
      <c r="EL67" s="392">
        <f t="shared" si="34"/>
        <v>2000000</v>
      </c>
      <c r="EM67" s="394"/>
      <c r="EN67" s="392">
        <f>'[1]COE commited funds to date'!AM70</f>
        <v>7000000</v>
      </c>
      <c r="EO67" s="392">
        <f>'[1]COE DISB 2019'!AM75</f>
        <v>7000000</v>
      </c>
      <c r="EP67" s="392">
        <f t="shared" si="35"/>
        <v>0</v>
      </c>
      <c r="EQ67" s="394"/>
      <c r="ER67" s="392">
        <f>'[1]COE commited funds to date'!AN70</f>
        <v>50000000</v>
      </c>
      <c r="ES67" s="392">
        <f>'[1]COE DISB 2019'!AN75</f>
        <v>50000000</v>
      </c>
      <c r="ET67" s="392">
        <f t="shared" si="36"/>
        <v>0</v>
      </c>
      <c r="EV67" s="383">
        <f>'[1]COE commited funds to date'!AO70</f>
        <v>371067000</v>
      </c>
      <c r="EW67" s="383">
        <f>'[1]COE DISB 2019'!AO75</f>
        <v>315406950</v>
      </c>
      <c r="EX67" s="383">
        <f t="shared" si="38"/>
        <v>55660050</v>
      </c>
      <c r="EY67" s="380"/>
      <c r="EZ67" s="383">
        <f>'[1]COE commited funds to date'!AQ70</f>
        <v>12000000</v>
      </c>
      <c r="FA67" s="383">
        <f>'[1]COE DISB 2019'!AP75</f>
        <v>12000000</v>
      </c>
      <c r="FB67" s="383">
        <f t="shared" si="39"/>
        <v>0</v>
      </c>
      <c r="FC67" s="380"/>
      <c r="FD67" s="383">
        <f>'[1]COE commited funds to date'!AR70</f>
        <v>10000000</v>
      </c>
      <c r="FE67" s="383">
        <f>'[1]COE DISB 2019'!AQ75</f>
        <v>0</v>
      </c>
      <c r="FF67" s="383">
        <f t="shared" si="40"/>
        <v>10000000</v>
      </c>
      <c r="FG67" s="380"/>
      <c r="FH67" s="383">
        <f>'[1]COE commited funds to date'!AP70</f>
        <v>8000000</v>
      </c>
      <c r="FI67" s="383">
        <f>'[1]COE DISB 2019'!AR75</f>
        <v>8000000</v>
      </c>
      <c r="FJ67" s="383">
        <f t="shared" si="41"/>
        <v>0</v>
      </c>
      <c r="FK67" s="383">
        <f>'[1]COE commited funds to date'!AS70</f>
        <v>0</v>
      </c>
      <c r="FL67" s="383">
        <f>'[1]COE DISB 2019'!AS75</f>
        <v>0</v>
      </c>
      <c r="FM67" s="383">
        <f t="shared" si="42"/>
        <v>0</v>
      </c>
      <c r="FN67" s="380"/>
      <c r="FO67" s="383">
        <f>'[1]COE commited funds to date'!AT70</f>
        <v>200000000</v>
      </c>
      <c r="FP67" s="383">
        <f>'[1]COE DISB 2019'!AT75</f>
        <v>0</v>
      </c>
      <c r="FQ67" s="383">
        <f t="shared" si="43"/>
        <v>200000000</v>
      </c>
      <c r="FR67" s="380"/>
      <c r="FS67" s="383">
        <f>'[1]COE commited funds to date'!AU70</f>
        <v>75000000</v>
      </c>
      <c r="FT67" s="383">
        <f>'[1]COE DISB 2019'!AU75</f>
        <v>51750000</v>
      </c>
      <c r="FU67" s="383">
        <f t="shared" si="44"/>
        <v>23250000</v>
      </c>
      <c r="FV67" s="380"/>
      <c r="FW67" s="383">
        <f>'[1]COE commited funds to date'!AV70</f>
        <v>8700000</v>
      </c>
      <c r="FX67" s="383">
        <f>'[1]COE DISB 2019'!AV75</f>
        <v>0</v>
      </c>
      <c r="FY67" s="383">
        <f t="shared" si="45"/>
        <v>8700000</v>
      </c>
      <c r="FZ67" s="380"/>
      <c r="GA67" s="383">
        <f>'[1]COE commited funds to date'!AW70</f>
        <v>5000000</v>
      </c>
      <c r="GB67" s="383">
        <f>'[1]COE DISB 2019'!AW75</f>
        <v>0</v>
      </c>
      <c r="GC67" s="383">
        <f t="shared" si="46"/>
        <v>5000000</v>
      </c>
      <c r="GD67" s="380"/>
      <c r="GE67" s="383">
        <f>'[1]COE commited funds to date'!AX70</f>
        <v>20000000</v>
      </c>
      <c r="GF67" s="383">
        <f>'[1]COE DISB 2019'!AX75</f>
        <v>13525000</v>
      </c>
      <c r="GG67" s="383">
        <f t="shared" si="47"/>
        <v>6475000</v>
      </c>
      <c r="GH67" s="380"/>
      <c r="GI67" s="383">
        <f>'[1]COE commited funds to date'!AY70</f>
        <v>230000000</v>
      </c>
      <c r="GJ67" s="383">
        <f>'[1]COE DISB 2019'!AY75</f>
        <v>0</v>
      </c>
      <c r="GK67" s="383">
        <f t="shared" si="48"/>
        <v>230000000</v>
      </c>
      <c r="GL67" s="380"/>
      <c r="GM67" s="383">
        <f>'[1]COE commited funds to date'!AZ70</f>
        <v>116776600</v>
      </c>
      <c r="GN67" s="383">
        <f>'[1]COE DISB 2019'!AZ75</f>
        <v>0</v>
      </c>
      <c r="GO67" s="383">
        <f t="shared" si="49"/>
        <v>116776600</v>
      </c>
      <c r="GP67" s="380"/>
      <c r="GQ67" s="383">
        <f>'[1]COE commited funds to date'!BA70</f>
        <v>12000000</v>
      </c>
      <c r="GR67" s="383">
        <f>'[1]COE DISB 2019'!BA75</f>
        <v>0</v>
      </c>
      <c r="GS67" s="383">
        <f t="shared" si="50"/>
        <v>12000000</v>
      </c>
      <c r="GT67" s="380"/>
      <c r="GU67" s="383">
        <f>'[1]COE commited funds to date'!BB70</f>
        <v>5000000</v>
      </c>
      <c r="GV67" s="383">
        <f>'[1]COE DISB 2019'!BB75</f>
        <v>0</v>
      </c>
      <c r="GW67" s="383">
        <f t="shared" si="51"/>
        <v>5000000</v>
      </c>
      <c r="GX67" s="380"/>
      <c r="GY67" s="383">
        <f>'[1]COE commited funds to date'!BC70</f>
        <v>10308300</v>
      </c>
      <c r="GZ67" s="383">
        <f>'[1]COE DISB 2019'!BC75</f>
        <v>0</v>
      </c>
      <c r="HA67" s="383">
        <f t="shared" si="52"/>
        <v>10308300</v>
      </c>
      <c r="HB67" s="380"/>
      <c r="HC67" s="383">
        <f t="shared" si="53"/>
        <v>2404016865.5</v>
      </c>
      <c r="HD67" s="383">
        <f t="shared" si="53"/>
        <v>1659296915.5</v>
      </c>
      <c r="HE67" s="392">
        <f t="shared" si="54"/>
        <v>744719950</v>
      </c>
      <c r="HG67" s="383">
        <f t="shared" si="55"/>
        <v>1958055965.5</v>
      </c>
      <c r="HH67" s="383">
        <f t="shared" si="55"/>
        <v>1412845915.5</v>
      </c>
      <c r="HI67" s="383">
        <f t="shared" si="56"/>
        <v>545210050</v>
      </c>
      <c r="HK67" s="383">
        <f t="shared" si="57"/>
        <v>100000000</v>
      </c>
      <c r="HL67" s="383">
        <f t="shared" si="57"/>
        <v>100000000</v>
      </c>
      <c r="HM67" s="383">
        <f t="shared" si="58"/>
        <v>0</v>
      </c>
      <c r="HO67" s="383">
        <f t="shared" si="71"/>
        <v>1926000</v>
      </c>
      <c r="HP67" s="383">
        <f t="shared" si="71"/>
        <v>1926000</v>
      </c>
      <c r="HQ67" s="383">
        <f t="shared" si="59"/>
        <v>0</v>
      </c>
      <c r="HS67" s="383">
        <f t="shared" si="60"/>
        <v>89308300</v>
      </c>
      <c r="HT67" s="383">
        <f t="shared" si="60"/>
        <v>72525000</v>
      </c>
      <c r="HU67" s="383">
        <f t="shared" si="61"/>
        <v>16783300</v>
      </c>
      <c r="HW67" s="383">
        <f t="shared" si="62"/>
        <v>36700000</v>
      </c>
      <c r="HX67" s="383">
        <f t="shared" si="62"/>
        <v>16000000</v>
      </c>
      <c r="HY67" s="383">
        <f t="shared" si="63"/>
        <v>20700000</v>
      </c>
      <c r="IA67" s="387">
        <f t="shared" si="64"/>
        <v>20000000</v>
      </c>
      <c r="IB67" s="387">
        <f t="shared" si="64"/>
        <v>0</v>
      </c>
      <c r="IC67" s="387">
        <f t="shared" si="65"/>
        <v>20000000</v>
      </c>
      <c r="IE67" s="383">
        <f t="shared" si="66"/>
        <v>191776600</v>
      </c>
      <c r="IF67" s="383">
        <f t="shared" si="66"/>
        <v>51750000</v>
      </c>
      <c r="IG67" s="383">
        <f t="shared" si="67"/>
        <v>140026600</v>
      </c>
      <c r="II67" s="383">
        <f t="shared" si="68"/>
        <v>2000000</v>
      </c>
      <c r="IJ67" s="383">
        <f t="shared" si="68"/>
        <v>0</v>
      </c>
      <c r="IK67" s="383">
        <f t="shared" si="69"/>
        <v>2000000</v>
      </c>
    </row>
    <row r="68" spans="1:245" x14ac:dyDescent="0.25">
      <c r="A68" s="380">
        <v>64</v>
      </c>
      <c r="B68" s="380" t="s">
        <v>385</v>
      </c>
      <c r="C68" s="433" t="s">
        <v>65</v>
      </c>
      <c r="D68" s="392">
        <v>0</v>
      </c>
      <c r="E68" s="392">
        <f>'[1]COE DISB 2019'!D76</f>
        <v>0</v>
      </c>
      <c r="F68" s="383">
        <f>D68-E68</f>
        <v>0</v>
      </c>
      <c r="H68" s="392">
        <v>0</v>
      </c>
      <c r="I68" s="392">
        <f>'[1]COE DISB 2019'!E76</f>
        <v>0</v>
      </c>
      <c r="J68" s="383">
        <f>H68-I68</f>
        <v>0</v>
      </c>
      <c r="L68" s="392">
        <v>0</v>
      </c>
      <c r="M68" s="392">
        <f>'[1]COE DISB 2019'!F76</f>
        <v>0</v>
      </c>
      <c r="N68" s="383">
        <f>L68-M68</f>
        <v>0</v>
      </c>
      <c r="P68" s="403">
        <v>0</v>
      </c>
      <c r="Q68" s="392">
        <f>'[1]COE DISB 2019'!G76</f>
        <v>0</v>
      </c>
      <c r="R68" s="383">
        <f>P68-Q68</f>
        <v>0</v>
      </c>
      <c r="T68" s="403">
        <v>0</v>
      </c>
      <c r="U68" s="392">
        <f>'[1]COE DISB 2019'!H76</f>
        <v>0</v>
      </c>
      <c r="V68" s="383">
        <f>T68-U68</f>
        <v>0</v>
      </c>
      <c r="X68" s="403">
        <v>0</v>
      </c>
      <c r="Y68" s="392">
        <f>'[1]COE DISB 2019'!I76</f>
        <v>0</v>
      </c>
      <c r="Z68" s="383">
        <f>X68-Y68</f>
        <v>0</v>
      </c>
      <c r="AB68" s="403">
        <v>0</v>
      </c>
      <c r="AC68" s="392">
        <f>'[1]COE DISB 2019'!J76</f>
        <v>0</v>
      </c>
      <c r="AD68" s="383">
        <f>AB68-AC68</f>
        <v>0</v>
      </c>
      <c r="AF68" s="403">
        <v>0</v>
      </c>
      <c r="AG68" s="392">
        <f>'[1]COE DISB 2019'!K76</f>
        <v>0</v>
      </c>
      <c r="AH68" s="383">
        <f>AF68-AG68</f>
        <v>0</v>
      </c>
      <c r="AJ68" s="403">
        <v>0</v>
      </c>
      <c r="AK68" s="392">
        <f>'[1]COE DISB 2019'!L76</f>
        <v>0</v>
      </c>
      <c r="AL68" s="383">
        <f>AJ68-AK68</f>
        <v>0</v>
      </c>
      <c r="AN68" s="392">
        <v>0</v>
      </c>
      <c r="AO68" s="392">
        <f>'[1]COE DISB 2019'!M76</f>
        <v>0</v>
      </c>
      <c r="AP68" s="383">
        <f>AN68-AO68</f>
        <v>0</v>
      </c>
      <c r="AR68" s="392">
        <v>0</v>
      </c>
      <c r="AS68" s="392">
        <f>'[1]COE DISB 2019'!N76</f>
        <v>0</v>
      </c>
      <c r="AT68" s="383">
        <f>AR68-AS68</f>
        <v>0</v>
      </c>
      <c r="AV68" s="392">
        <v>0</v>
      </c>
      <c r="AW68" s="432">
        <f>'[1]COE DISB 2019'!O76</f>
        <v>0</v>
      </c>
      <c r="AX68" s="392">
        <f>AV68-AW68</f>
        <v>0</v>
      </c>
      <c r="AZ68" s="392">
        <v>0</v>
      </c>
      <c r="BA68" s="392">
        <f>'[1]COE DISB 2019'!P76</f>
        <v>0</v>
      </c>
      <c r="BB68" s="392">
        <f>AZ68-BA68</f>
        <v>0</v>
      </c>
      <c r="BD68" s="392">
        <v>0</v>
      </c>
      <c r="BE68" s="392">
        <f>'[1]COE DISB 2019'!Q76</f>
        <v>0</v>
      </c>
      <c r="BF68" s="392">
        <f>BD68-BE68</f>
        <v>0</v>
      </c>
      <c r="BH68" s="392">
        <v>0</v>
      </c>
      <c r="BI68" s="392">
        <f>'[1]COE DISB 2019'!R76</f>
        <v>0</v>
      </c>
      <c r="BJ68" s="392">
        <f>BH68-BI68</f>
        <v>0</v>
      </c>
      <c r="BL68" s="392">
        <v>0</v>
      </c>
      <c r="BM68" s="392">
        <f>'[1]COE DISB 2019'!S76</f>
        <v>0</v>
      </c>
      <c r="BN68" s="392">
        <f>BL68-BM68</f>
        <v>0</v>
      </c>
      <c r="BP68" s="392">
        <v>0</v>
      </c>
      <c r="BQ68" s="392">
        <f>'[1]COE DISB 2019'!T76</f>
        <v>0</v>
      </c>
      <c r="BR68" s="392">
        <f>BP68-BQ68</f>
        <v>0</v>
      </c>
      <c r="BT68" s="392">
        <v>0</v>
      </c>
      <c r="BU68" s="392">
        <f>'[1]COE DISB 2019'!U76</f>
        <v>0</v>
      </c>
      <c r="BV68" s="392">
        <f>BT68-BU68</f>
        <v>0</v>
      </c>
      <c r="BX68" s="392">
        <v>0</v>
      </c>
      <c r="BY68" s="392">
        <f>'[1]COE DISB 2019'!V76</f>
        <v>0</v>
      </c>
      <c r="BZ68" s="392">
        <f>BX68-BY68</f>
        <v>0</v>
      </c>
      <c r="CB68" s="392">
        <f>'[1]COE commited funds to date'!W71</f>
        <v>0</v>
      </c>
      <c r="CC68" s="392">
        <f>'[1]COE DISB 2019'!W76</f>
        <v>0</v>
      </c>
      <c r="CD68" s="392">
        <f>CB68-CC68</f>
        <v>0</v>
      </c>
      <c r="CF68" s="392">
        <f>'[1]COE commited funds to date'!X71</f>
        <v>125000000</v>
      </c>
      <c r="CG68" s="392">
        <f>'[1]COE DISB 2019'!X76</f>
        <v>125000000</v>
      </c>
      <c r="CH68" s="392">
        <f>CF68-CG68</f>
        <v>0</v>
      </c>
      <c r="CJ68" s="392">
        <v>10000000</v>
      </c>
      <c r="CK68" s="392">
        <f>'[1]COE DISB 2019'!Y76</f>
        <v>8922600</v>
      </c>
      <c r="CL68" s="392">
        <f>CJ68-CK68</f>
        <v>1077400</v>
      </c>
      <c r="CN68" s="392">
        <v>0</v>
      </c>
      <c r="CO68" s="392">
        <f>'[1]COE DISB 2019'!Z76</f>
        <v>0</v>
      </c>
      <c r="CP68" s="392">
        <f>CN68-CO68</f>
        <v>0</v>
      </c>
      <c r="CR68" s="392">
        <v>210000000</v>
      </c>
      <c r="CS68" s="392">
        <f>'[1]COE DISB 2019'!AA76</f>
        <v>210000000</v>
      </c>
      <c r="CT68" s="392">
        <f>CR68-CS68</f>
        <v>0</v>
      </c>
      <c r="CV68" s="392">
        <v>10000000</v>
      </c>
      <c r="CW68" s="392">
        <f>'[1]COE DISB 2019'!AB76</f>
        <v>0</v>
      </c>
      <c r="CX68" s="392">
        <f>CV68-CW68</f>
        <v>10000000</v>
      </c>
      <c r="CZ68" s="392">
        <v>0</v>
      </c>
      <c r="DA68" s="392">
        <f>'[1]COE DISB 2019'!AC76</f>
        <v>0</v>
      </c>
      <c r="DB68" s="392">
        <f>CZ68-DA68</f>
        <v>0</v>
      </c>
      <c r="DC68" s="394"/>
      <c r="DD68" s="397">
        <v>0</v>
      </c>
      <c r="DE68" s="397">
        <f>'[1]COE DISB 2019'!AD76</f>
        <v>0</v>
      </c>
      <c r="DF68" s="397">
        <v>0</v>
      </c>
      <c r="DG68" s="394"/>
      <c r="DH68" s="397">
        <v>0</v>
      </c>
      <c r="DI68" s="397">
        <f>'[1]COE DISB 2019'!AE76</f>
        <v>0</v>
      </c>
      <c r="DJ68" s="397">
        <v>0</v>
      </c>
      <c r="DK68" s="394"/>
      <c r="DL68" s="392">
        <f>'[1]COE commited funds to date'!AD71</f>
        <v>0</v>
      </c>
      <c r="DM68" s="392">
        <f>'[1]COE DISB 2019'!AF76</f>
        <v>0</v>
      </c>
      <c r="DN68" s="392">
        <f>DL68-DM68</f>
        <v>0</v>
      </c>
      <c r="DO68" s="394"/>
      <c r="DP68" s="392">
        <v>325000000</v>
      </c>
      <c r="DQ68" s="392">
        <f>'[1]COE DISB 2019'!AG76</f>
        <v>325000000</v>
      </c>
      <c r="DR68" s="392">
        <f>DP68-DQ68</f>
        <v>0</v>
      </c>
      <c r="DS68" s="394"/>
      <c r="DT68" s="397">
        <v>10000000</v>
      </c>
      <c r="DU68" s="392">
        <f>'[1]COE DISB 2019'!AH76</f>
        <v>0</v>
      </c>
      <c r="DV68" s="392">
        <f>DT68-DU68</f>
        <v>10000000</v>
      </c>
      <c r="DW68" s="394"/>
      <c r="DX68" s="392">
        <f>'[1]COE commited funds to date'!AI71</f>
        <v>100000000</v>
      </c>
      <c r="DY68" s="392">
        <f>'[1]COE DISB 2019'!AI76</f>
        <v>100000000</v>
      </c>
      <c r="DZ68" s="392">
        <f>DX68-DY68</f>
        <v>0</v>
      </c>
      <c r="EA68" s="394"/>
      <c r="EB68" s="392">
        <f>'[1]COE commited funds to date'!AJ71</f>
        <v>0</v>
      </c>
      <c r="EC68" s="392">
        <f>'[1]COE DISB 2019'!AJ76</f>
        <v>0</v>
      </c>
      <c r="ED68" s="392">
        <f>EB68-EC68</f>
        <v>0</v>
      </c>
      <c r="EE68" s="394"/>
      <c r="EF68" s="392">
        <f>'[1]COE commited funds to date'!AK71</f>
        <v>0</v>
      </c>
      <c r="EG68" s="392">
        <f>'[1]COE DISB 2019'!AK76</f>
        <v>0</v>
      </c>
      <c r="EH68" s="392">
        <f>EF68-EG68</f>
        <v>0</v>
      </c>
      <c r="EI68" s="394"/>
      <c r="EJ68" s="392">
        <f>'[1]COE commited funds to date'!AL71</f>
        <v>0</v>
      </c>
      <c r="EK68" s="392">
        <f>'[1]COE DISB 2019'!AL76</f>
        <v>0</v>
      </c>
      <c r="EL68" s="392">
        <f>EJ68-EK68</f>
        <v>0</v>
      </c>
      <c r="EM68" s="394"/>
      <c r="EN68" s="392">
        <f>'[1]COE commited funds to date'!AM71</f>
        <v>0</v>
      </c>
      <c r="EO68" s="392">
        <f>'[1]COE DISB 2019'!AM76</f>
        <v>0</v>
      </c>
      <c r="EP68" s="392">
        <f>EN68-EO68</f>
        <v>0</v>
      </c>
      <c r="EQ68" s="394"/>
      <c r="ER68" s="392">
        <f>'[1]COE commited funds to date'!AN71</f>
        <v>1200000000</v>
      </c>
      <c r="ES68" s="392">
        <f>'[1]COE DISB 2019'!AN76</f>
        <v>1200000000</v>
      </c>
      <c r="ET68" s="392">
        <f>ER68-ES68</f>
        <v>0</v>
      </c>
      <c r="EV68" s="383">
        <f>'[1]COE commited funds to date'!AO71</f>
        <v>371067000</v>
      </c>
      <c r="EW68" s="383">
        <f>'[1]COE DISB 2019'!AO76</f>
        <v>211508190</v>
      </c>
      <c r="EX68" s="383">
        <f t="shared" si="38"/>
        <v>159558810</v>
      </c>
      <c r="EY68" s="380"/>
      <c r="EZ68" s="383">
        <f>'[1]COE commited funds to date'!AQ71</f>
        <v>12000000</v>
      </c>
      <c r="FA68" s="383">
        <f>'[1]COE DISB 2019'!AP76</f>
        <v>0</v>
      </c>
      <c r="FB68" s="383">
        <f t="shared" si="39"/>
        <v>12000000</v>
      </c>
      <c r="FC68" s="380"/>
      <c r="FD68" s="383">
        <f>'[1]COE commited funds to date'!AR71</f>
        <v>10000000</v>
      </c>
      <c r="FE68" s="383">
        <f>'[1]COE DISB 2019'!AQ76</f>
        <v>0</v>
      </c>
      <c r="FF68" s="383">
        <f t="shared" si="40"/>
        <v>10000000</v>
      </c>
      <c r="FG68" s="380"/>
      <c r="FH68" s="383">
        <f>'[1]COE commited funds to date'!AP71</f>
        <v>8000000</v>
      </c>
      <c r="FI68" s="383">
        <f>'[1]COE DISB 2019'!AR76</f>
        <v>0</v>
      </c>
      <c r="FJ68" s="383">
        <f t="shared" si="41"/>
        <v>8000000</v>
      </c>
      <c r="FK68" s="383">
        <f>'[1]COE commited funds to date'!AS71</f>
        <v>0</v>
      </c>
      <c r="FL68" s="383">
        <f>'[1]COE DISB 2019'!AS76</f>
        <v>0</v>
      </c>
      <c r="FM68" s="383">
        <f t="shared" si="42"/>
        <v>0</v>
      </c>
      <c r="FN68" s="380"/>
      <c r="FO68" s="383">
        <f>'[1]COE commited funds to date'!AT71</f>
        <v>0</v>
      </c>
      <c r="FP68" s="383">
        <f>'[1]COE DISB 2019'!AT76</f>
        <v>0</v>
      </c>
      <c r="FQ68" s="383">
        <f t="shared" si="43"/>
        <v>0</v>
      </c>
      <c r="FR68" s="380"/>
      <c r="FS68" s="383">
        <f>'[1]COE commited funds to date'!AU71</f>
        <v>75000000</v>
      </c>
      <c r="FT68" s="383">
        <f>'[1]COE DISB 2019'!AU76</f>
        <v>75000000</v>
      </c>
      <c r="FU68" s="383">
        <f t="shared" si="44"/>
        <v>0</v>
      </c>
      <c r="FV68" s="380"/>
      <c r="FW68" s="383">
        <f>'[1]COE commited funds to date'!AV71</f>
        <v>0</v>
      </c>
      <c r="FX68" s="383">
        <f>'[1]COE DISB 2019'!AV76</f>
        <v>0</v>
      </c>
      <c r="FY68" s="383">
        <f t="shared" si="45"/>
        <v>0</v>
      </c>
      <c r="FZ68" s="380"/>
      <c r="GA68" s="383">
        <f>'[1]COE commited funds to date'!AW71</f>
        <v>0</v>
      </c>
      <c r="GB68" s="383">
        <f>'[1]COE DISB 2019'!AW76</f>
        <v>0</v>
      </c>
      <c r="GC68" s="383">
        <f t="shared" si="46"/>
        <v>0</v>
      </c>
      <c r="GD68" s="380"/>
      <c r="GE68" s="383">
        <f>'[1]COE commited funds to date'!AX71</f>
        <v>0</v>
      </c>
      <c r="GF68" s="383">
        <f>'[1]COE DISB 2019'!AX76</f>
        <v>0</v>
      </c>
      <c r="GG68" s="383">
        <f t="shared" si="47"/>
        <v>0</v>
      </c>
      <c r="GH68" s="380"/>
      <c r="GI68" s="383">
        <f>'[1]COE commited funds to date'!AY71</f>
        <v>230000000</v>
      </c>
      <c r="GJ68" s="383">
        <f>'[1]COE DISB 2019'!AY76</f>
        <v>0</v>
      </c>
      <c r="GK68" s="383">
        <f t="shared" si="48"/>
        <v>230000000</v>
      </c>
      <c r="GL68" s="380"/>
      <c r="GM68" s="383">
        <f>'[1]COE commited funds to date'!AZ71</f>
        <v>116776600</v>
      </c>
      <c r="GN68" s="383">
        <f>'[1]COE DISB 2019'!AZ76</f>
        <v>0</v>
      </c>
      <c r="GO68" s="383">
        <f t="shared" si="49"/>
        <v>116776600</v>
      </c>
      <c r="GP68" s="380"/>
      <c r="GQ68" s="383">
        <f>'[1]COE commited funds to date'!BA71</f>
        <v>12000000</v>
      </c>
      <c r="GR68" s="383">
        <f>'[1]COE DISB 2019'!BA76</f>
        <v>0</v>
      </c>
      <c r="GS68" s="383">
        <f t="shared" si="50"/>
        <v>12000000</v>
      </c>
      <c r="GT68" s="380"/>
      <c r="GU68" s="383">
        <f>'[1]COE commited funds to date'!BB71</f>
        <v>5000000</v>
      </c>
      <c r="GV68" s="383">
        <f>'[1]COE DISB 2019'!BB76</f>
        <v>0</v>
      </c>
      <c r="GW68" s="383">
        <f t="shared" si="51"/>
        <v>5000000</v>
      </c>
      <c r="GX68" s="380"/>
      <c r="GY68" s="383">
        <f>'[1]COE commited funds to date'!BC71</f>
        <v>10308300</v>
      </c>
      <c r="GZ68" s="383">
        <f>'[1]COE DISB 2019'!BC76</f>
        <v>0</v>
      </c>
      <c r="HA68" s="383">
        <f t="shared" si="52"/>
        <v>10308300</v>
      </c>
      <c r="HB68" s="380"/>
      <c r="HC68" s="383">
        <f t="shared" si="53"/>
        <v>2840151900</v>
      </c>
      <c r="HD68" s="383">
        <f t="shared" si="53"/>
        <v>2255430790</v>
      </c>
      <c r="HE68" s="392">
        <f t="shared" si="54"/>
        <v>584721110</v>
      </c>
      <c r="HG68" s="383">
        <f t="shared" si="55"/>
        <v>1261067000</v>
      </c>
      <c r="HH68" s="383">
        <f t="shared" si="55"/>
        <v>871508190</v>
      </c>
      <c r="HI68" s="383">
        <f t="shared" si="56"/>
        <v>389558810</v>
      </c>
      <c r="HK68" s="383">
        <f t="shared" si="57"/>
        <v>1300000000</v>
      </c>
      <c r="HL68" s="383">
        <f t="shared" si="57"/>
        <v>1300000000</v>
      </c>
      <c r="HM68" s="383">
        <f t="shared" si="58"/>
        <v>0</v>
      </c>
      <c r="HO68" s="383">
        <f t="shared" si="71"/>
        <v>0</v>
      </c>
      <c r="HP68" s="383">
        <f t="shared" si="71"/>
        <v>0</v>
      </c>
      <c r="HQ68" s="383">
        <f t="shared" si="59"/>
        <v>0</v>
      </c>
      <c r="HS68" s="383">
        <f t="shared" si="60"/>
        <v>52308300</v>
      </c>
      <c r="HT68" s="383">
        <f t="shared" si="60"/>
        <v>8922600</v>
      </c>
      <c r="HU68" s="383">
        <f t="shared" si="61"/>
        <v>43385700</v>
      </c>
      <c r="HW68" s="383">
        <f t="shared" si="62"/>
        <v>20000000</v>
      </c>
      <c r="HX68" s="383">
        <f t="shared" si="62"/>
        <v>0</v>
      </c>
      <c r="HY68" s="383">
        <f t="shared" si="63"/>
        <v>20000000</v>
      </c>
      <c r="IA68" s="387">
        <f t="shared" si="64"/>
        <v>15000000</v>
      </c>
      <c r="IB68" s="387">
        <f t="shared" si="64"/>
        <v>0</v>
      </c>
      <c r="IC68" s="387">
        <f t="shared" si="65"/>
        <v>15000000</v>
      </c>
      <c r="IE68" s="383">
        <f t="shared" si="66"/>
        <v>191776600</v>
      </c>
      <c r="IF68" s="383">
        <f t="shared" si="66"/>
        <v>75000000</v>
      </c>
      <c r="IG68" s="383">
        <f t="shared" si="67"/>
        <v>116776600</v>
      </c>
      <c r="II68" s="383">
        <f t="shared" si="68"/>
        <v>0</v>
      </c>
      <c r="IJ68" s="383">
        <f t="shared" si="68"/>
        <v>0</v>
      </c>
      <c r="IK68" s="383">
        <f t="shared" si="69"/>
        <v>0</v>
      </c>
    </row>
    <row r="69" spans="1:245" x14ac:dyDescent="0.25">
      <c r="A69" s="380">
        <v>65</v>
      </c>
      <c r="B69" s="380" t="s">
        <v>386</v>
      </c>
      <c r="C69" s="433" t="s">
        <v>65</v>
      </c>
      <c r="D69" s="392">
        <v>0</v>
      </c>
      <c r="E69" s="392">
        <f>'[1]COE DISB 2019'!D77</f>
        <v>0</v>
      </c>
      <c r="F69" s="383">
        <f>D69-E69</f>
        <v>0</v>
      </c>
      <c r="H69" s="392">
        <v>0</v>
      </c>
      <c r="I69" s="392">
        <f>'[1]COE DISB 2019'!E77</f>
        <v>0</v>
      </c>
      <c r="J69" s="383">
        <f>H69-I69</f>
        <v>0</v>
      </c>
      <c r="L69" s="392">
        <v>0</v>
      </c>
      <c r="M69" s="392">
        <f>'[1]COE DISB 2019'!F77</f>
        <v>0</v>
      </c>
      <c r="N69" s="383">
        <f>L69-M69</f>
        <v>0</v>
      </c>
      <c r="P69" s="403">
        <v>0</v>
      </c>
      <c r="Q69" s="392">
        <f>'[1]COE DISB 2019'!G77</f>
        <v>0</v>
      </c>
      <c r="R69" s="383">
        <f>P69-Q69</f>
        <v>0</v>
      </c>
      <c r="T69" s="403">
        <v>0</v>
      </c>
      <c r="U69" s="392">
        <f>'[1]COE DISB 2019'!H77</f>
        <v>0</v>
      </c>
      <c r="V69" s="383">
        <f>T69-U69</f>
        <v>0</v>
      </c>
      <c r="X69" s="403">
        <v>0</v>
      </c>
      <c r="Y69" s="392">
        <f>'[1]COE DISB 2019'!I77</f>
        <v>0</v>
      </c>
      <c r="Z69" s="383">
        <f>X69-Y69</f>
        <v>0</v>
      </c>
      <c r="AB69" s="403">
        <v>0</v>
      </c>
      <c r="AC69" s="392">
        <f>'[1]COE DISB 2019'!J77</f>
        <v>0</v>
      </c>
      <c r="AD69" s="383">
        <f>AB69-AC69</f>
        <v>0</v>
      </c>
      <c r="AF69" s="403">
        <v>0</v>
      </c>
      <c r="AG69" s="392">
        <f>'[1]COE DISB 2019'!K77</f>
        <v>0</v>
      </c>
      <c r="AH69" s="383">
        <f>AF69-AG69</f>
        <v>0</v>
      </c>
      <c r="AJ69" s="403">
        <v>0</v>
      </c>
      <c r="AK69" s="392">
        <f>'[1]COE DISB 2019'!L77</f>
        <v>0</v>
      </c>
      <c r="AL69" s="383">
        <f>AJ69-AK69</f>
        <v>0</v>
      </c>
      <c r="AN69" s="392">
        <v>0</v>
      </c>
      <c r="AO69" s="392">
        <f>'[1]COE DISB 2019'!M77</f>
        <v>0</v>
      </c>
      <c r="AP69" s="383">
        <f>AN69-AO69</f>
        <v>0</v>
      </c>
      <c r="AR69" s="392">
        <v>0</v>
      </c>
      <c r="AS69" s="392">
        <f>'[1]COE DISB 2019'!N77</f>
        <v>0</v>
      </c>
      <c r="AT69" s="383">
        <f>AR69-AS69</f>
        <v>0</v>
      </c>
      <c r="AV69" s="392">
        <v>0</v>
      </c>
      <c r="AW69" s="441">
        <f>'[1]COE DISB 2019'!O77</f>
        <v>0</v>
      </c>
      <c r="AX69" s="392">
        <f>AV69-AW69</f>
        <v>0</v>
      </c>
      <c r="AZ69" s="392">
        <v>0</v>
      </c>
      <c r="BA69" s="392">
        <f>'[1]COE DISB 2019'!P77</f>
        <v>0</v>
      </c>
      <c r="BB69" s="392">
        <f>AZ69-BA69</f>
        <v>0</v>
      </c>
      <c r="BD69" s="392">
        <v>0</v>
      </c>
      <c r="BE69" s="392">
        <f>'[1]COE DISB 2019'!Q77</f>
        <v>0</v>
      </c>
      <c r="BF69" s="392">
        <f>BD69-BE69</f>
        <v>0</v>
      </c>
      <c r="BH69" s="392">
        <v>0</v>
      </c>
      <c r="BI69" s="392">
        <f>'[1]COE DISB 2019'!R77</f>
        <v>0</v>
      </c>
      <c r="BJ69" s="392">
        <f>BH69-BI69</f>
        <v>0</v>
      </c>
      <c r="BL69" s="392">
        <v>0</v>
      </c>
      <c r="BM69" s="392">
        <f>'[1]COE DISB 2019'!S77</f>
        <v>0</v>
      </c>
      <c r="BN69" s="392">
        <f>BL69-BM69</f>
        <v>0</v>
      </c>
      <c r="BP69" s="392">
        <v>0</v>
      </c>
      <c r="BQ69" s="392">
        <f>'[1]COE DISB 2019'!T77</f>
        <v>0</v>
      </c>
      <c r="BR69" s="392">
        <f>BP69-BQ69</f>
        <v>0</v>
      </c>
      <c r="BT69" s="392">
        <v>0</v>
      </c>
      <c r="BU69" s="392">
        <f>'[1]COE DISB 2019'!U77</f>
        <v>0</v>
      </c>
      <c r="BV69" s="392">
        <f>BT69-BU69</f>
        <v>0</v>
      </c>
      <c r="BX69" s="392">
        <v>0</v>
      </c>
      <c r="BY69" s="392">
        <f>'[1]COE DISB 2019'!V77</f>
        <v>0</v>
      </c>
      <c r="BZ69" s="392">
        <f>BX69-BY69</f>
        <v>0</v>
      </c>
      <c r="CB69" s="392">
        <f>'[1]COE commited funds to date'!W72</f>
        <v>0</v>
      </c>
      <c r="CC69" s="392">
        <f>'[1]COE DISB 2019'!W77</f>
        <v>0</v>
      </c>
      <c r="CD69" s="392">
        <f>CB69-CC69</f>
        <v>0</v>
      </c>
      <c r="CF69" s="392">
        <f>'[1]COE commited funds to date'!X72</f>
        <v>0</v>
      </c>
      <c r="CG69" s="392">
        <f>'[1]COE DISB 2019'!X77</f>
        <v>0</v>
      </c>
      <c r="CH69" s="392">
        <f>CF69-CG69</f>
        <v>0</v>
      </c>
      <c r="CJ69" s="392">
        <v>0</v>
      </c>
      <c r="CK69" s="392">
        <f>'[1]COE DISB 2019'!Y77</f>
        <v>0</v>
      </c>
      <c r="CL69" s="392">
        <f>CJ69-CK69</f>
        <v>0</v>
      </c>
      <c r="CN69" s="392">
        <v>0</v>
      </c>
      <c r="CO69" s="392">
        <f>'[1]COE DISB 2019'!Z77</f>
        <v>0</v>
      </c>
      <c r="CP69" s="392">
        <f>CN69-CO69</f>
        <v>0</v>
      </c>
      <c r="CR69" s="392">
        <v>210000000</v>
      </c>
      <c r="CS69" s="392">
        <f>'[1]COE DISB 2019'!AA77</f>
        <v>178500000</v>
      </c>
      <c r="CT69" s="392">
        <f>CR69-CS69</f>
        <v>31500000</v>
      </c>
      <c r="CV69" s="392">
        <v>10000000</v>
      </c>
      <c r="CW69" s="392">
        <f>'[1]COE DISB 2019'!AB77</f>
        <v>5719080</v>
      </c>
      <c r="CX69" s="392">
        <f>CV69-CW69</f>
        <v>4280920</v>
      </c>
      <c r="CZ69" s="392">
        <v>500000000</v>
      </c>
      <c r="DA69" s="392">
        <f>'[1]COE DISB 2019'!AC77</f>
        <v>425000000</v>
      </c>
      <c r="DB69" s="392">
        <f>CZ69-DA69</f>
        <v>75000000</v>
      </c>
      <c r="DC69" s="394"/>
      <c r="DD69" s="392">
        <v>215000000</v>
      </c>
      <c r="DE69" s="392">
        <f>'[1]COE DISB 2019'!AD77</f>
        <v>182750000</v>
      </c>
      <c r="DF69" s="392">
        <f>DD69-DE69</f>
        <v>32250000</v>
      </c>
      <c r="DG69" s="394"/>
      <c r="DH69" s="392">
        <v>10000000</v>
      </c>
      <c r="DI69" s="392">
        <f>'[1]COE DISB 2019'!AE77</f>
        <v>5529400</v>
      </c>
      <c r="DJ69" s="392">
        <f>DH69-DI69</f>
        <v>4470600</v>
      </c>
      <c r="DK69" s="394"/>
      <c r="DL69" s="392">
        <f>'[1]COE commited funds to date'!AD72</f>
        <v>0</v>
      </c>
      <c r="DM69" s="392">
        <f>'[1]COE DISB 2019'!AF77</f>
        <v>0</v>
      </c>
      <c r="DN69" s="392">
        <f>DL69-DM69</f>
        <v>0</v>
      </c>
      <c r="DO69" s="394"/>
      <c r="DP69" s="392">
        <v>325000000</v>
      </c>
      <c r="DQ69" s="392">
        <f>'[1]COE DISB 2019'!AG77</f>
        <v>276250000</v>
      </c>
      <c r="DR69" s="392">
        <f>DP69-DQ69</f>
        <v>48750000</v>
      </c>
      <c r="DS69" s="394"/>
      <c r="DT69" s="397">
        <v>10000000</v>
      </c>
      <c r="DU69" s="392">
        <f>'[1]COE DISB 2019'!AH77</f>
        <v>10000000</v>
      </c>
      <c r="DV69" s="392">
        <f>DT69-DU69</f>
        <v>0</v>
      </c>
      <c r="DW69" s="394"/>
      <c r="DX69" s="392">
        <f>'[1]COE commited funds to date'!AI72</f>
        <v>50000000</v>
      </c>
      <c r="DY69" s="392">
        <f>'[1]COE DISB 2019'!AI77</f>
        <v>50000000</v>
      </c>
      <c r="DZ69" s="392">
        <f>DX69-DY69</f>
        <v>0</v>
      </c>
      <c r="EA69" s="394"/>
      <c r="EB69" s="392">
        <f>'[1]COE commited funds to date'!AJ72</f>
        <v>72000000</v>
      </c>
      <c r="EC69" s="392">
        <f>'[1]COE DISB 2019'!AJ77</f>
        <v>0</v>
      </c>
      <c r="ED69" s="392">
        <f>EB69-EC69</f>
        <v>72000000</v>
      </c>
      <c r="EE69" s="394"/>
      <c r="EF69" s="392">
        <f>'[1]COE commited funds to date'!AK72</f>
        <v>8000000</v>
      </c>
      <c r="EG69" s="392">
        <f>'[1]COE DISB 2019'!AK77</f>
        <v>0</v>
      </c>
      <c r="EH69" s="392">
        <f>EF69-EG69</f>
        <v>8000000</v>
      </c>
      <c r="EI69" s="394"/>
      <c r="EJ69" s="392">
        <f>'[1]COE commited funds to date'!AL72</f>
        <v>2000000</v>
      </c>
      <c r="EK69" s="392">
        <f>'[1]COE DISB 2019'!AL77</f>
        <v>0</v>
      </c>
      <c r="EL69" s="392">
        <f>EJ69-EK69</f>
        <v>2000000</v>
      </c>
      <c r="EM69" s="394"/>
      <c r="EN69" s="392">
        <f>'[1]COE commited funds to date'!AM72</f>
        <v>7000000</v>
      </c>
      <c r="EO69" s="392">
        <f>'[1]COE DISB 2019'!AM77</f>
        <v>7000000</v>
      </c>
      <c r="EP69" s="392">
        <f>EN69-EO69</f>
        <v>0</v>
      </c>
      <c r="EQ69" s="394"/>
      <c r="ER69" s="392">
        <f>'[1]COE commited funds to date'!AN72</f>
        <v>50000000</v>
      </c>
      <c r="ES69" s="392">
        <f>'[1]COE DISB 2019'!AN77</f>
        <v>50000000</v>
      </c>
      <c r="ET69" s="392">
        <f>ER69-ES69</f>
        <v>0</v>
      </c>
      <c r="EV69" s="383">
        <f>'[1]COE commited funds to date'!AO72</f>
        <v>371067000</v>
      </c>
      <c r="EW69" s="383">
        <f>'[1]COE DISB 2019'!AO77</f>
        <v>0</v>
      </c>
      <c r="EX69" s="383">
        <f>EV69-EW69</f>
        <v>371067000</v>
      </c>
      <c r="EY69" s="380"/>
      <c r="EZ69" s="383">
        <f>'[1]COE commited funds to date'!AQ72</f>
        <v>12000000</v>
      </c>
      <c r="FA69" s="383">
        <f>'[1]COE DISB 2019'!AP77</f>
        <v>9051200</v>
      </c>
      <c r="FB69" s="383">
        <f>EZ69-FA69</f>
        <v>2948800</v>
      </c>
      <c r="FC69" s="380"/>
      <c r="FD69" s="383">
        <f>'[1]COE commited funds to date'!AR72</f>
        <v>10000000</v>
      </c>
      <c r="FE69" s="383">
        <f>'[1]COE DISB 2019'!AQ77</f>
        <v>0</v>
      </c>
      <c r="FF69" s="383">
        <f>FD69-FE69</f>
        <v>10000000</v>
      </c>
      <c r="FG69" s="380"/>
      <c r="FH69" s="383">
        <f>'[1]COE commited funds to date'!AP72</f>
        <v>8000000</v>
      </c>
      <c r="FI69" s="383">
        <f>'[1]COE DISB 2019'!AR77</f>
        <v>0</v>
      </c>
      <c r="FJ69" s="383">
        <f>FH69-FI69</f>
        <v>8000000</v>
      </c>
      <c r="FK69" s="383">
        <f>'[1]COE commited funds to date'!AS72</f>
        <v>150000000</v>
      </c>
      <c r="FL69" s="383">
        <f>'[1]COE DISB 2019'!AS77</f>
        <v>150000000</v>
      </c>
      <c r="FM69" s="383">
        <f t="shared" ref="FM69:FM71" si="72">FK69-FL69</f>
        <v>0</v>
      </c>
      <c r="FN69" s="380"/>
      <c r="FO69" s="383">
        <f>'[1]COE commited funds to date'!AT72</f>
        <v>200000000</v>
      </c>
      <c r="FP69" s="383">
        <f>'[1]COE DISB 2019'!AT77</f>
        <v>0</v>
      </c>
      <c r="FQ69" s="383">
        <f t="shared" ref="FQ69:FQ72" si="73">FO69-FP69</f>
        <v>200000000</v>
      </c>
      <c r="FR69" s="380"/>
      <c r="FS69" s="383">
        <f>'[1]COE commited funds to date'!AU72</f>
        <v>75000000</v>
      </c>
      <c r="FT69" s="383">
        <f>'[1]COE DISB 2019'!AU77</f>
        <v>50250000</v>
      </c>
      <c r="FU69" s="383">
        <f t="shared" ref="FU69:FU72" si="74">FS69-FT69</f>
        <v>24750000</v>
      </c>
      <c r="FV69" s="380"/>
      <c r="FW69" s="383">
        <f>'[1]COE commited funds to date'!AV72</f>
        <v>8700000</v>
      </c>
      <c r="FX69" s="383">
        <f>'[1]COE DISB 2019'!AV77</f>
        <v>0</v>
      </c>
      <c r="FY69" s="383">
        <f t="shared" ref="FY69:FY72" si="75">FW69-FX69</f>
        <v>8700000</v>
      </c>
      <c r="FZ69" s="380"/>
      <c r="GA69" s="383">
        <f>'[1]COE commited funds to date'!AW72</f>
        <v>5000000</v>
      </c>
      <c r="GB69" s="383">
        <f>'[1]COE DISB 2019'!AW77</f>
        <v>0</v>
      </c>
      <c r="GC69" s="383">
        <f t="shared" ref="GC69:GC71" si="76">GA69-GB69</f>
        <v>5000000</v>
      </c>
      <c r="GD69" s="380"/>
      <c r="GE69" s="383">
        <f>'[1]COE commited funds to date'!AX72</f>
        <v>20000000</v>
      </c>
      <c r="GF69" s="383">
        <f>'[1]COE DISB 2019'!AX77</f>
        <v>0</v>
      </c>
      <c r="GG69" s="383">
        <f t="shared" ref="GG69:GG72" si="77">GE69-GF69</f>
        <v>20000000</v>
      </c>
      <c r="GH69" s="380"/>
      <c r="GI69" s="383">
        <f>'[1]COE commited funds to date'!AY72</f>
        <v>230000000</v>
      </c>
      <c r="GJ69" s="383">
        <f>'[1]COE DISB 2019'!AY77</f>
        <v>0</v>
      </c>
      <c r="GK69" s="383">
        <f t="shared" ref="GK69:GK71" si="78">GI69-GJ69</f>
        <v>230000000</v>
      </c>
      <c r="GL69" s="380"/>
      <c r="GM69" s="383">
        <f>'[1]COE commited funds to date'!AZ72</f>
        <v>116776600</v>
      </c>
      <c r="GN69" s="383">
        <f>'[1]COE DISB 2019'!AZ77</f>
        <v>0</v>
      </c>
      <c r="GO69" s="383">
        <f t="shared" ref="GO69:GO72" si="79">GM69-GN69</f>
        <v>116776600</v>
      </c>
      <c r="GP69" s="380"/>
      <c r="GQ69" s="383">
        <f>'[1]COE commited funds to date'!BA72</f>
        <v>12000000</v>
      </c>
      <c r="GR69" s="383">
        <f>'[1]COE DISB 2019'!BA77</f>
        <v>0</v>
      </c>
      <c r="GS69" s="383">
        <f t="shared" ref="GS69:GS72" si="80">GQ69-GR69</f>
        <v>12000000</v>
      </c>
      <c r="GT69" s="380"/>
      <c r="GU69" s="383">
        <f>'[1]COE commited funds to date'!BB72</f>
        <v>5000000</v>
      </c>
      <c r="GV69" s="383">
        <f>'[1]COE DISB 2019'!BB77</f>
        <v>0</v>
      </c>
      <c r="GW69" s="383">
        <f t="shared" ref="GW69:GW72" si="81">GU69-GV69</f>
        <v>5000000</v>
      </c>
      <c r="GX69" s="380"/>
      <c r="GY69" s="383">
        <f>'[1]COE commited funds to date'!BC72</f>
        <v>10308300</v>
      </c>
      <c r="GZ69" s="383">
        <f>'[1]COE DISB 2019'!BC77</f>
        <v>0</v>
      </c>
      <c r="HA69" s="383">
        <f t="shared" ref="HA69:HA72" si="82">GY69-GZ69</f>
        <v>10308300</v>
      </c>
      <c r="HB69" s="380"/>
      <c r="HC69" s="383">
        <f t="shared" ref="HC69:HD71" si="83">DH69+DD69+D69+H69+L69+P69+T69+X69+AB69+AF69+AJ69+AN69+AR69+AV69+AZ69+BD69+BH69+BL69+BP69+BT69+BX69+CB69+CF69+CJ69+CN69+CR69+CV69+CZ69+DL69+DP69+DT69+DX69+EB69+EF69+EJ69+EN69+ER69+EV69+EZ69+FD69+FH69+FK69+FO69+FS69+FW69+GA69+GE69+GI69+GM69+GQ69+GU69+GY69</f>
        <v>2702851900</v>
      </c>
      <c r="HD69" s="383">
        <f t="shared" si="83"/>
        <v>1400049680</v>
      </c>
      <c r="HE69" s="392">
        <f t="shared" ref="HE69:HE71" si="84">HC69-HD69</f>
        <v>1302802220</v>
      </c>
      <c r="HG69" s="383">
        <f t="shared" ref="HG69:HH71" si="85">D69+H69+P69+AB69+AJ69+AN69+AR69+AZ69+BD69+BL69+BP69+BX69+CF69+CR69+DD69+DP69+EB69+EV69+FO69+GI69</f>
        <v>1623067000</v>
      </c>
      <c r="HH69" s="383">
        <f t="shared" si="85"/>
        <v>637500000</v>
      </c>
      <c r="HI69" s="383">
        <f t="shared" ref="HI69:HI71" si="86">HG69-HH69</f>
        <v>985567000</v>
      </c>
      <c r="HK69" s="383">
        <f t="shared" ref="HK69:HL71" si="87">BH69+BT69+CB69+CN69+CZ69+DL69+DX69+ER69</f>
        <v>600000000</v>
      </c>
      <c r="HL69" s="383">
        <f t="shared" si="87"/>
        <v>525000000</v>
      </c>
      <c r="HM69" s="383">
        <f t="shared" ref="HM69:HM71" si="88">HK69-HL69</f>
        <v>75000000</v>
      </c>
      <c r="HO69" s="383">
        <f t="shared" ref="HO69:HP71" si="89">L69+T69+AF69</f>
        <v>0</v>
      </c>
      <c r="HP69" s="383">
        <f t="shared" si="89"/>
        <v>0</v>
      </c>
      <c r="HQ69" s="383">
        <f>HO69-HP69</f>
        <v>0</v>
      </c>
      <c r="HS69" s="383">
        <f t="shared" ref="HS69:HT71" si="90">CJ69+CV69+DH69+DT69+EN69+EZ69+GE69+GY69</f>
        <v>79308300</v>
      </c>
      <c r="HT69" s="383">
        <f t="shared" si="90"/>
        <v>37299680</v>
      </c>
      <c r="HU69" s="383">
        <f t="shared" ref="HU69:HU71" si="91">HS69-HT69</f>
        <v>42008620</v>
      </c>
      <c r="HW69" s="383">
        <f t="shared" ref="HW69:HX71" si="92">EF69+FH69+FW69+GQ69</f>
        <v>36700000</v>
      </c>
      <c r="HX69" s="383">
        <f t="shared" si="92"/>
        <v>0</v>
      </c>
      <c r="HY69" s="383">
        <f t="shared" ref="HY69:HY71" si="93">HW69-HX69</f>
        <v>36700000</v>
      </c>
      <c r="IA69" s="387">
        <f t="shared" ref="IA69:IB71" si="94">FD69+GA69+GU69</f>
        <v>20000000</v>
      </c>
      <c r="IB69" s="387">
        <f t="shared" si="94"/>
        <v>0</v>
      </c>
      <c r="IC69" s="387">
        <f t="shared" ref="IC69:IC71" si="95">IA69-IB69</f>
        <v>20000000</v>
      </c>
      <c r="IE69" s="383">
        <f t="shared" ref="IE69:IF71" si="96">FK69+FS69+GM69</f>
        <v>341776600</v>
      </c>
      <c r="IF69" s="383">
        <f t="shared" si="96"/>
        <v>200250000</v>
      </c>
      <c r="IG69" s="383">
        <f t="shared" ref="IG69:IG70" si="97">IE69-IF69</f>
        <v>141526600</v>
      </c>
      <c r="II69" s="383">
        <f t="shared" ref="II69:IJ71" si="98">EJ69</f>
        <v>2000000</v>
      </c>
      <c r="IJ69" s="383">
        <f t="shared" si="98"/>
        <v>0</v>
      </c>
      <c r="IK69" s="383">
        <f t="shared" ref="IK69:IK71" si="99">II69-IJ69</f>
        <v>2000000</v>
      </c>
    </row>
    <row r="70" spans="1:245" x14ac:dyDescent="0.25">
      <c r="A70" s="380">
        <v>66</v>
      </c>
      <c r="B70" s="380" t="s">
        <v>387</v>
      </c>
      <c r="C70" s="433"/>
      <c r="D70" s="392">
        <v>0</v>
      </c>
      <c r="E70" s="392">
        <f>'[1]COE DISB 2019'!D78</f>
        <v>0</v>
      </c>
      <c r="F70" s="392">
        <v>0</v>
      </c>
      <c r="H70" s="392">
        <v>0</v>
      </c>
      <c r="I70" s="392">
        <f>'[1]COE DISB 2019'!E78</f>
        <v>0</v>
      </c>
      <c r="J70" s="392">
        <v>0</v>
      </c>
      <c r="L70" s="392">
        <v>0</v>
      </c>
      <c r="M70" s="392">
        <f>'[1]COE DISB 2019'!F78</f>
        <v>0</v>
      </c>
      <c r="N70" s="392">
        <v>0</v>
      </c>
      <c r="P70" s="392">
        <v>0</v>
      </c>
      <c r="Q70" s="392">
        <f>'[1]COE DISB 2019'!G78</f>
        <v>0</v>
      </c>
      <c r="R70" s="392">
        <v>0</v>
      </c>
      <c r="T70" s="392">
        <v>0</v>
      </c>
      <c r="U70" s="392">
        <f>'[1]COE DISB 2019'!H78</f>
        <v>0</v>
      </c>
      <c r="V70" s="392">
        <v>0</v>
      </c>
      <c r="X70" s="392">
        <v>0</v>
      </c>
      <c r="Y70" s="392">
        <f>'[1]COE DISB 2019'!I78</f>
        <v>0</v>
      </c>
      <c r="Z70" s="392">
        <v>0</v>
      </c>
      <c r="AB70" s="392">
        <v>0</v>
      </c>
      <c r="AC70" s="392">
        <f>'[1]COE DISB 2019'!J78</f>
        <v>0</v>
      </c>
      <c r="AD70" s="392">
        <v>0</v>
      </c>
      <c r="AF70" s="392">
        <v>0</v>
      </c>
      <c r="AG70" s="392">
        <f>'[1]COE DISB 2019'!K78</f>
        <v>0</v>
      </c>
      <c r="AH70" s="392">
        <v>0</v>
      </c>
      <c r="AJ70" s="392">
        <v>0</v>
      </c>
      <c r="AK70" s="392">
        <f>'[1]COE DISB 2019'!L78</f>
        <v>0</v>
      </c>
      <c r="AL70" s="392">
        <v>0</v>
      </c>
      <c r="AN70" s="392">
        <v>0</v>
      </c>
      <c r="AO70" s="392">
        <f>'[1]COE DISB 2019'!M78</f>
        <v>0</v>
      </c>
      <c r="AP70" s="392">
        <v>0</v>
      </c>
      <c r="AR70" s="392">
        <v>0</v>
      </c>
      <c r="AS70" s="392">
        <f>'[1]COE DISB 2019'!N78</f>
        <v>0</v>
      </c>
      <c r="AT70" s="392">
        <v>0</v>
      </c>
      <c r="AV70" s="392">
        <v>0</v>
      </c>
      <c r="AW70" s="392">
        <f>'[1]COE DISB 2019'!O78</f>
        <v>0</v>
      </c>
      <c r="AX70" s="392">
        <v>0</v>
      </c>
      <c r="AZ70" s="392">
        <v>0</v>
      </c>
      <c r="BA70" s="392">
        <f>'[1]COE DISB 2019'!P78</f>
        <v>0</v>
      </c>
      <c r="BB70" s="392">
        <v>0</v>
      </c>
      <c r="BD70" s="392">
        <v>0</v>
      </c>
      <c r="BE70" s="392">
        <f>'[1]COE DISB 2019'!Q78</f>
        <v>0</v>
      </c>
      <c r="BF70" s="392">
        <v>0</v>
      </c>
      <c r="BH70" s="392">
        <v>0</v>
      </c>
      <c r="BI70" s="392">
        <f>'[1]COE DISB 2019'!R78</f>
        <v>0</v>
      </c>
      <c r="BJ70" s="392">
        <v>0</v>
      </c>
      <c r="BL70" s="392">
        <v>0</v>
      </c>
      <c r="BM70" s="392">
        <f>'[1]COE DISB 2019'!S78</f>
        <v>0</v>
      </c>
      <c r="BN70" s="392">
        <v>0</v>
      </c>
      <c r="BP70" s="392">
        <v>0</v>
      </c>
      <c r="BQ70" s="392">
        <f>'[1]COE DISB 2019'!T78</f>
        <v>0</v>
      </c>
      <c r="BR70" s="392">
        <v>0</v>
      </c>
      <c r="BT70" s="392">
        <v>0</v>
      </c>
      <c r="BU70" s="392">
        <f>'[1]COE DISB 2019'!U78</f>
        <v>0</v>
      </c>
      <c r="BV70" s="392">
        <v>0</v>
      </c>
      <c r="BX70" s="392">
        <v>0</v>
      </c>
      <c r="BY70" s="392">
        <f>'[1]COE DISB 2019'!V78</f>
        <v>0</v>
      </c>
      <c r="BZ70" s="392">
        <v>0</v>
      </c>
      <c r="CB70" s="392"/>
      <c r="CC70" s="392">
        <f>'[1]COE DISB 2019'!W78</f>
        <v>0</v>
      </c>
      <c r="CD70" s="392"/>
      <c r="CF70" s="392">
        <v>0</v>
      </c>
      <c r="CG70" s="392">
        <f>'[1]COE DISB 2019'!X78</f>
        <v>0</v>
      </c>
      <c r="CH70" s="392">
        <v>0</v>
      </c>
      <c r="CJ70" s="392">
        <v>0</v>
      </c>
      <c r="CK70" s="392">
        <f>'[1]COE DISB 2019'!Y78</f>
        <v>0</v>
      </c>
      <c r="CL70" s="392">
        <v>0</v>
      </c>
      <c r="CN70" s="392">
        <v>0</v>
      </c>
      <c r="CO70" s="392">
        <f>'[1]COE DISB 2019'!Z78</f>
        <v>0</v>
      </c>
      <c r="CP70" s="392">
        <v>0</v>
      </c>
      <c r="CR70" s="392">
        <v>0</v>
      </c>
      <c r="CS70" s="392">
        <f>'[1]COE DISB 2019'!AA78</f>
        <v>0</v>
      </c>
      <c r="CT70" s="392">
        <v>0</v>
      </c>
      <c r="CV70" s="392">
        <v>0</v>
      </c>
      <c r="CW70" s="392">
        <f>'[1]COE DISB 2019'!AB78</f>
        <v>0</v>
      </c>
      <c r="CX70" s="392">
        <v>0</v>
      </c>
      <c r="CZ70" s="392">
        <v>0</v>
      </c>
      <c r="DA70" s="392">
        <f>'[1]COE DISB 2019'!AC78</f>
        <v>0</v>
      </c>
      <c r="DB70" s="392">
        <v>0</v>
      </c>
      <c r="DC70" s="394"/>
      <c r="DD70" s="392">
        <v>0</v>
      </c>
      <c r="DE70" s="392">
        <f>'[1]COE DISB 2019'!AD78</f>
        <v>0</v>
      </c>
      <c r="DF70" s="392">
        <v>0</v>
      </c>
      <c r="DG70" s="394"/>
      <c r="DH70" s="392">
        <v>0</v>
      </c>
      <c r="DI70" s="392">
        <f>'[1]COE DISB 2019'!AE78</f>
        <v>0</v>
      </c>
      <c r="DJ70" s="392">
        <v>0</v>
      </c>
      <c r="DK70" s="394"/>
      <c r="DL70" s="392">
        <f>'[1]COE commited funds to date'!AD73</f>
        <v>0</v>
      </c>
      <c r="DM70" s="392">
        <f>'[1]COE DISB 2019'!AF78</f>
        <v>0</v>
      </c>
      <c r="DN70" s="392">
        <f>DL70-DM70</f>
        <v>0</v>
      </c>
      <c r="DO70" s="394"/>
      <c r="DP70" s="392">
        <v>0</v>
      </c>
      <c r="DQ70" s="392">
        <f>'[1]COE DISB 2019'!AG78</f>
        <v>0</v>
      </c>
      <c r="DR70" s="392">
        <v>0</v>
      </c>
      <c r="DS70" s="394"/>
      <c r="DT70" s="392">
        <v>0</v>
      </c>
      <c r="DU70" s="392">
        <f>'[1]COE DISB 2019'!AH78</f>
        <v>0</v>
      </c>
      <c r="DV70" s="392">
        <v>0</v>
      </c>
      <c r="DW70" s="394"/>
      <c r="DX70" s="392">
        <f>'[1]COE commited funds to date'!AI73</f>
        <v>100000000</v>
      </c>
      <c r="DY70" s="392">
        <f>'[1]COE DISB 2019'!AI78</f>
        <v>85000000</v>
      </c>
      <c r="DZ70" s="392">
        <f>DX70-DY70</f>
        <v>15000000</v>
      </c>
      <c r="EA70" s="394"/>
      <c r="EB70" s="392">
        <f>'[1]COE commited funds to date'!AJ73</f>
        <v>72000000</v>
      </c>
      <c r="EC70" s="392">
        <f>'[1]COE DISB 2019'!AJ78</f>
        <v>61200000</v>
      </c>
      <c r="ED70" s="392">
        <f>EB70-EC70</f>
        <v>10800000</v>
      </c>
      <c r="EE70" s="394"/>
      <c r="EF70" s="392">
        <f>'[1]COE commited funds to date'!AK73</f>
        <v>8000000</v>
      </c>
      <c r="EG70" s="392">
        <f>'[1]COE DISB 2019'!AK78</f>
        <v>6800000</v>
      </c>
      <c r="EH70" s="392">
        <f>EF70-EG70</f>
        <v>1200000</v>
      </c>
      <c r="EI70" s="394"/>
      <c r="EJ70" s="392">
        <f>'[1]COE commited funds to date'!AL73</f>
        <v>2000000</v>
      </c>
      <c r="EK70" s="392">
        <f>'[1]COE DISB 2019'!AL78</f>
        <v>0</v>
      </c>
      <c r="EL70" s="392">
        <f>EJ70-EK70</f>
        <v>2000000</v>
      </c>
      <c r="EM70" s="394"/>
      <c r="EN70" s="392">
        <f>'[1]COE commited funds to date'!AM73</f>
        <v>7000000</v>
      </c>
      <c r="EO70" s="392">
        <f>'[1]COE DISB 2019'!AM78</f>
        <v>7000000</v>
      </c>
      <c r="EP70" s="392">
        <f>EN70-EO70</f>
        <v>0</v>
      </c>
      <c r="EQ70" s="394"/>
      <c r="ER70" s="392">
        <f>'[1]COE commited funds to date'!AN73</f>
        <v>0</v>
      </c>
      <c r="ES70" s="392">
        <f>'[1]COE DISB 2019'!AN78</f>
        <v>15000000</v>
      </c>
      <c r="ET70" s="392">
        <f>ER70-ES70</f>
        <v>-15000000</v>
      </c>
      <c r="EV70" s="383">
        <f>'[1]COE commited funds to date'!AO73</f>
        <v>0</v>
      </c>
      <c r="EW70" s="383">
        <f>'[1]COE DISB 2019'!AO78</f>
        <v>0</v>
      </c>
      <c r="EX70" s="383">
        <f>EV70-EW70</f>
        <v>0</v>
      </c>
      <c r="EY70" s="380"/>
      <c r="EZ70" s="383">
        <f>'[1]COE commited funds to date'!AQ73</f>
        <v>0</v>
      </c>
      <c r="FA70" s="383">
        <f>'[1]COE DISB 2019'!AP78</f>
        <v>0</v>
      </c>
      <c r="FB70" s="383">
        <f>EZ70-FA70</f>
        <v>0</v>
      </c>
      <c r="FC70" s="380"/>
      <c r="FD70" s="383">
        <f>'[1]COE commited funds to date'!AR73</f>
        <v>0</v>
      </c>
      <c r="FE70" s="383">
        <f>'[1]COE DISB 2019'!AQ78</f>
        <v>0</v>
      </c>
      <c r="FF70" s="383">
        <f>FD70-FE70</f>
        <v>0</v>
      </c>
      <c r="FG70" s="380"/>
      <c r="FH70" s="383">
        <f>'[1]COE commited funds to date'!AP73</f>
        <v>0</v>
      </c>
      <c r="FI70" s="383">
        <f>'[1]COE DISB 2019'!AR78</f>
        <v>0</v>
      </c>
      <c r="FJ70" s="383">
        <f>FH70-FI70</f>
        <v>0</v>
      </c>
      <c r="FK70" s="383">
        <f>'[1]COE commited funds to date'!AS73</f>
        <v>0</v>
      </c>
      <c r="FL70" s="383">
        <f>'[1]COE DISB 2019'!AS78</f>
        <v>0</v>
      </c>
      <c r="FM70" s="383">
        <f t="shared" si="72"/>
        <v>0</v>
      </c>
      <c r="FN70" s="380"/>
      <c r="FO70" s="383">
        <f>'[1]COE commited funds to date'!AT73</f>
        <v>200000000</v>
      </c>
      <c r="FP70" s="383">
        <f>'[1]COE DISB 2019'!AT78</f>
        <v>0</v>
      </c>
      <c r="FQ70" s="383">
        <f t="shared" si="73"/>
        <v>200000000</v>
      </c>
      <c r="FR70" s="380"/>
      <c r="FS70" s="383">
        <f>'[1]COE commited funds to date'!AU73</f>
        <v>75000000</v>
      </c>
      <c r="FT70" s="383">
        <f>'[1]COE DISB 2019'!AU78</f>
        <v>56250000</v>
      </c>
      <c r="FU70" s="383">
        <f t="shared" si="74"/>
        <v>18750000</v>
      </c>
      <c r="FV70" s="380"/>
      <c r="FW70" s="383">
        <f>'[1]COE commited funds to date'!AV73</f>
        <v>8700000</v>
      </c>
      <c r="FX70" s="383">
        <f>'[1]COE DISB 2019'!AV78</f>
        <v>0</v>
      </c>
      <c r="FY70" s="383">
        <f t="shared" si="75"/>
        <v>8700000</v>
      </c>
      <c r="FZ70" s="380"/>
      <c r="GA70" s="383">
        <f>'[1]COE commited funds to date'!AW73</f>
        <v>5000000</v>
      </c>
      <c r="GB70" s="383">
        <f>'[1]COE DISB 2019'!AW78</f>
        <v>0</v>
      </c>
      <c r="GC70" s="383">
        <f t="shared" si="76"/>
        <v>5000000</v>
      </c>
      <c r="GD70" s="380"/>
      <c r="GE70" s="383">
        <f>'[1]COE commited funds to date'!AX73</f>
        <v>20000000</v>
      </c>
      <c r="GF70" s="383">
        <f>'[1]COE DISB 2019'!AX78</f>
        <v>4791600</v>
      </c>
      <c r="GG70" s="383">
        <f t="shared" si="77"/>
        <v>15208400</v>
      </c>
      <c r="GH70" s="380"/>
      <c r="GI70" s="383">
        <f>'[1]COE commited funds to date'!AY73</f>
        <v>0</v>
      </c>
      <c r="GJ70" s="383">
        <f>'[1]COE DISB 2019'!AY78</f>
        <v>0</v>
      </c>
      <c r="GK70" s="383">
        <f t="shared" si="78"/>
        <v>0</v>
      </c>
      <c r="GL70" s="380"/>
      <c r="GM70" s="383">
        <f>'[1]COE commited funds to date'!AZ73</f>
        <v>116776600</v>
      </c>
      <c r="GN70" s="383">
        <f>'[1]COE DISB 2019'!AZ78</f>
        <v>0</v>
      </c>
      <c r="GO70" s="383">
        <f t="shared" si="79"/>
        <v>116776600</v>
      </c>
      <c r="GP70" s="380"/>
      <c r="GQ70" s="383">
        <f>'[1]COE commited funds to date'!BA73</f>
        <v>0</v>
      </c>
      <c r="GR70" s="383">
        <f>'[1]COE DISB 2019'!BA78</f>
        <v>0</v>
      </c>
      <c r="GS70" s="383">
        <f t="shared" si="80"/>
        <v>0</v>
      </c>
      <c r="GT70" s="380"/>
      <c r="GU70" s="383">
        <f>'[1]COE commited funds to date'!BB73</f>
        <v>0</v>
      </c>
      <c r="GV70" s="383">
        <f>'[1]COE DISB 2019'!BB78</f>
        <v>0</v>
      </c>
      <c r="GW70" s="383">
        <f t="shared" si="81"/>
        <v>0</v>
      </c>
      <c r="GX70" s="380"/>
      <c r="GY70" s="383">
        <f>'[1]COE commited funds to date'!BC73</f>
        <v>0</v>
      </c>
      <c r="GZ70" s="383">
        <f>'[1]COE DISB 2019'!BC78</f>
        <v>0</v>
      </c>
      <c r="HA70" s="383">
        <f t="shared" si="82"/>
        <v>0</v>
      </c>
      <c r="HB70" s="380"/>
      <c r="HC70" s="383">
        <f t="shared" si="83"/>
        <v>614476600</v>
      </c>
      <c r="HD70" s="383">
        <f t="shared" si="83"/>
        <v>236041600</v>
      </c>
      <c r="HE70" s="392">
        <f t="shared" si="84"/>
        <v>378435000</v>
      </c>
      <c r="HG70" s="383">
        <f t="shared" si="85"/>
        <v>272000000</v>
      </c>
      <c r="HH70" s="383">
        <f t="shared" si="85"/>
        <v>61200000</v>
      </c>
      <c r="HI70" s="383">
        <f t="shared" si="86"/>
        <v>210800000</v>
      </c>
      <c r="HK70" s="383">
        <f t="shared" si="87"/>
        <v>100000000</v>
      </c>
      <c r="HL70" s="383">
        <f t="shared" si="87"/>
        <v>100000000</v>
      </c>
      <c r="HM70" s="383">
        <f t="shared" si="88"/>
        <v>0</v>
      </c>
      <c r="HO70" s="383">
        <f t="shared" si="89"/>
        <v>0</v>
      </c>
      <c r="HP70" s="383">
        <f t="shared" si="89"/>
        <v>0</v>
      </c>
      <c r="HQ70" s="383">
        <f>HO70-HP70</f>
        <v>0</v>
      </c>
      <c r="HS70" s="383">
        <f t="shared" si="90"/>
        <v>27000000</v>
      </c>
      <c r="HT70" s="383">
        <f t="shared" si="90"/>
        <v>11791600</v>
      </c>
      <c r="HU70" s="383">
        <f t="shared" si="91"/>
        <v>15208400</v>
      </c>
      <c r="HW70" s="383">
        <f t="shared" si="92"/>
        <v>16700000</v>
      </c>
      <c r="HX70" s="383">
        <f t="shared" si="92"/>
        <v>6800000</v>
      </c>
      <c r="HY70" s="383">
        <f t="shared" si="93"/>
        <v>9900000</v>
      </c>
      <c r="IA70" s="387">
        <f t="shared" si="94"/>
        <v>5000000</v>
      </c>
      <c r="IB70" s="387">
        <f t="shared" si="94"/>
        <v>0</v>
      </c>
      <c r="IC70" s="387">
        <f t="shared" si="95"/>
        <v>5000000</v>
      </c>
      <c r="IE70" s="383">
        <f t="shared" si="96"/>
        <v>191776600</v>
      </c>
      <c r="IF70" s="383">
        <f t="shared" si="96"/>
        <v>56250000</v>
      </c>
      <c r="IG70" s="383">
        <f t="shared" si="97"/>
        <v>135526600</v>
      </c>
      <c r="II70" s="383">
        <f t="shared" si="98"/>
        <v>2000000</v>
      </c>
      <c r="IJ70" s="383">
        <f t="shared" si="98"/>
        <v>0</v>
      </c>
      <c r="IK70" s="383">
        <f t="shared" si="99"/>
        <v>2000000</v>
      </c>
    </row>
    <row r="71" spans="1:245" x14ac:dyDescent="0.25">
      <c r="A71" s="380" t="s">
        <v>388</v>
      </c>
      <c r="B71" s="380" t="s">
        <v>389</v>
      </c>
      <c r="C71" s="433"/>
      <c r="D71" s="392">
        <v>0</v>
      </c>
      <c r="E71" s="392">
        <f>'[1]COE DISB 2019'!D79</f>
        <v>0</v>
      </c>
      <c r="F71" s="383">
        <f>D71-E71</f>
        <v>0</v>
      </c>
      <c r="H71" s="392">
        <v>0</v>
      </c>
      <c r="I71" s="392">
        <f>'[1]COE DISB 2019'!E79</f>
        <v>0</v>
      </c>
      <c r="J71" s="383">
        <f>H71-I71</f>
        <v>0</v>
      </c>
      <c r="L71" s="392">
        <v>0</v>
      </c>
      <c r="M71" s="392">
        <f>'[1]COE DISB 2019'!F79</f>
        <v>0</v>
      </c>
      <c r="N71" s="383">
        <f>L71-M71</f>
        <v>0</v>
      </c>
      <c r="P71" s="353">
        <v>0</v>
      </c>
      <c r="Q71" s="392">
        <f>'[1]COE DISB 2019'!G79</f>
        <v>0</v>
      </c>
      <c r="R71" s="383">
        <f>P71-Q71</f>
        <v>0</v>
      </c>
      <c r="T71" s="353">
        <v>0</v>
      </c>
      <c r="U71" s="392">
        <f>'[1]COE DISB 2019'!H79</f>
        <v>0</v>
      </c>
      <c r="V71" s="383">
        <f>T71-U71</f>
        <v>0</v>
      </c>
      <c r="X71" s="353">
        <v>0</v>
      </c>
      <c r="Y71" s="392">
        <f>'[1]COE DISB 2019'!I79</f>
        <v>0</v>
      </c>
      <c r="Z71" s="383">
        <f>X71-Y71</f>
        <v>0</v>
      </c>
      <c r="AB71" s="353">
        <v>0</v>
      </c>
      <c r="AC71" s="392">
        <f>'[1]COE DISB 2019'!J79</f>
        <v>0</v>
      </c>
      <c r="AD71" s="383">
        <f>AB71-AC71</f>
        <v>0</v>
      </c>
      <c r="AF71" s="353">
        <v>0</v>
      </c>
      <c r="AG71" s="392">
        <f>'[1]COE DISB 2019'!K79</f>
        <v>0</v>
      </c>
      <c r="AH71" s="383">
        <f>AF71-AG71</f>
        <v>0</v>
      </c>
      <c r="AJ71" s="385">
        <v>52500000</v>
      </c>
      <c r="AK71" s="392">
        <f>'[1]COE DISB 2019'!L79</f>
        <v>52500000</v>
      </c>
      <c r="AL71" s="383">
        <f>AJ71-AK71</f>
        <v>0</v>
      </c>
      <c r="AN71" s="392">
        <v>0</v>
      </c>
      <c r="AO71" s="392">
        <f>'[1]COE DISB 2019'!M79</f>
        <v>0</v>
      </c>
      <c r="AP71" s="383">
        <f>AN71-AO71</f>
        <v>0</v>
      </c>
      <c r="AR71" s="392">
        <v>90000000</v>
      </c>
      <c r="AS71" s="392">
        <f>'[1]COE DISB 2019'!N79</f>
        <v>90000000</v>
      </c>
      <c r="AT71" s="383">
        <f>AR71-AS71</f>
        <v>0</v>
      </c>
      <c r="AV71" s="392">
        <v>0</v>
      </c>
      <c r="AW71" s="432">
        <f>'[1]COE DISB 2019'!O79</f>
        <v>0</v>
      </c>
      <c r="AX71" s="392">
        <f>AV71-AW71</f>
        <v>0</v>
      </c>
      <c r="AZ71" s="392">
        <v>0</v>
      </c>
      <c r="BA71" s="392">
        <f>'[1]COE DISB 2019'!P79</f>
        <v>0</v>
      </c>
      <c r="BB71" s="392">
        <f>AZ71-BA71</f>
        <v>0</v>
      </c>
      <c r="BD71" s="392">
        <v>90000000</v>
      </c>
      <c r="BE71" s="392">
        <f>'[1]COE DISB 2019'!Q79</f>
        <v>90000000</v>
      </c>
      <c r="BF71" s="392">
        <f>BD71-BE71</f>
        <v>0</v>
      </c>
      <c r="BH71" s="392">
        <v>1487500</v>
      </c>
      <c r="BI71" s="392">
        <f>'[1]COE DISB 2019'!R79</f>
        <v>1487500</v>
      </c>
      <c r="BJ71" s="392">
        <f>BH71-BI71</f>
        <v>0</v>
      </c>
      <c r="BL71" s="392">
        <v>0</v>
      </c>
      <c r="BM71" s="392">
        <f>'[1]COE DISB 2019'!S79</f>
        <v>0</v>
      </c>
      <c r="BN71" s="392">
        <f>BL71-BM71</f>
        <v>0</v>
      </c>
      <c r="BP71" s="392">
        <v>0</v>
      </c>
      <c r="BQ71" s="392">
        <f>'[1]COE DISB 2019'!T79</f>
        <v>0</v>
      </c>
      <c r="BR71" s="392">
        <f>BP71-BQ71</f>
        <v>0</v>
      </c>
      <c r="BT71" s="392">
        <v>0</v>
      </c>
      <c r="BU71" s="392">
        <f>'[1]COE DISB 2019'!U79</f>
        <v>0</v>
      </c>
      <c r="BV71" s="392">
        <f>BT71-BU71</f>
        <v>0</v>
      </c>
      <c r="BX71" s="392">
        <v>0</v>
      </c>
      <c r="BY71" s="392">
        <f>'[1]COE DISB 2019'!V79</f>
        <v>0</v>
      </c>
      <c r="BZ71" s="392">
        <f>BX71-BY71</f>
        <v>0</v>
      </c>
      <c r="CB71" s="392">
        <f>'[1]COE commited funds to date'!W74</f>
        <v>0</v>
      </c>
      <c r="CC71" s="392">
        <f>'[1]COE DISB 2019'!W79</f>
        <v>0</v>
      </c>
      <c r="CD71" s="392">
        <f>CB71-CC71</f>
        <v>0</v>
      </c>
      <c r="CF71" s="392">
        <f>'[1]COE commited funds to date'!X74</f>
        <v>0</v>
      </c>
      <c r="CG71" s="392">
        <f>'[1]COE DISB 2019'!X79</f>
        <v>0</v>
      </c>
      <c r="CH71" s="392">
        <f>CF71-CG71</f>
        <v>0</v>
      </c>
      <c r="CJ71" s="392">
        <v>0</v>
      </c>
      <c r="CK71" s="392">
        <f>'[1]COE DISB 2019'!Y79</f>
        <v>0</v>
      </c>
      <c r="CL71" s="392">
        <f>CJ71-CK71</f>
        <v>0</v>
      </c>
      <c r="CN71" s="392">
        <v>0</v>
      </c>
      <c r="CO71" s="392">
        <f>'[1]COE DISB 2019'!Z79</f>
        <v>0</v>
      </c>
      <c r="CP71" s="392">
        <f>CN71-CO71</f>
        <v>0</v>
      </c>
      <c r="CR71" s="392">
        <v>0</v>
      </c>
      <c r="CS71" s="392">
        <f>'[1]COE DISB 2019'!AA79</f>
        <v>0</v>
      </c>
      <c r="CT71" s="392">
        <f>CR71-CS71</f>
        <v>0</v>
      </c>
      <c r="CV71" s="392">
        <v>0</v>
      </c>
      <c r="CW71" s="392">
        <f>'[1]COE DISB 2019'!AB79</f>
        <v>0</v>
      </c>
      <c r="CX71" s="392">
        <f>CV71-CW71</f>
        <v>0</v>
      </c>
      <c r="CZ71" s="392">
        <f>'[1]COE commited funds to date'!AC74</f>
        <v>0</v>
      </c>
      <c r="DA71" s="392">
        <f>'[1]COE DISB 2019'!AC79</f>
        <v>0</v>
      </c>
      <c r="DB71" s="392">
        <f>CZ71-DA71</f>
        <v>0</v>
      </c>
      <c r="DC71" s="394"/>
      <c r="DD71" s="397">
        <v>0</v>
      </c>
      <c r="DE71" s="397">
        <f>'[1]COE DISB 2019'!AD79</f>
        <v>0</v>
      </c>
      <c r="DF71" s="397">
        <v>0</v>
      </c>
      <c r="DG71" s="394"/>
      <c r="DH71" s="397">
        <v>0</v>
      </c>
      <c r="DI71" s="397">
        <f>'[1]COE DISB 2019'!AE79</f>
        <v>0</v>
      </c>
      <c r="DJ71" s="397">
        <v>0</v>
      </c>
      <c r="DK71" s="394"/>
      <c r="DL71" s="392">
        <f>'[1]COE commited funds to date'!AD74</f>
        <v>0</v>
      </c>
      <c r="DM71" s="392">
        <f>'[1]COE DISB 2019'!AF79</f>
        <v>0</v>
      </c>
      <c r="DN71" s="392">
        <f>DL71-DM71</f>
        <v>0</v>
      </c>
      <c r="DO71" s="394"/>
      <c r="DP71" s="392">
        <v>0</v>
      </c>
      <c r="DQ71" s="392">
        <f>'[1]COE DISB 2019'!AG79</f>
        <v>0</v>
      </c>
      <c r="DR71" s="392">
        <f>DP71-DQ71</f>
        <v>0</v>
      </c>
      <c r="DS71" s="394"/>
      <c r="DT71" s="397">
        <v>0</v>
      </c>
      <c r="DU71" s="392">
        <f>'[1]COE DISB 2019'!AH79</f>
        <v>0</v>
      </c>
      <c r="DV71" s="392">
        <f>DT71-DU71</f>
        <v>0</v>
      </c>
      <c r="DW71" s="394"/>
      <c r="DX71" s="392">
        <f>'[1]COE commited funds to date'!AI74</f>
        <v>0</v>
      </c>
      <c r="DY71" s="392">
        <f>'[1]COE DISB 2019'!AI79</f>
        <v>0</v>
      </c>
      <c r="DZ71" s="392">
        <f>DX71-DY71</f>
        <v>0</v>
      </c>
      <c r="EA71" s="394"/>
      <c r="EB71" s="392">
        <f>'[1]COE commited funds to date'!AJ74</f>
        <v>0</v>
      </c>
      <c r="EC71" s="392">
        <f>'[1]COE DISB 2019'!AJ79</f>
        <v>0</v>
      </c>
      <c r="ED71" s="392">
        <f>EB71-EC71</f>
        <v>0</v>
      </c>
      <c r="EE71" s="394"/>
      <c r="EF71" s="392">
        <f>'[1]COE commited funds to date'!AK74</f>
        <v>0</v>
      </c>
      <c r="EG71" s="392">
        <f>'[1]COE DISB 2019'!AK79</f>
        <v>0</v>
      </c>
      <c r="EH71" s="392">
        <f>EF71-EG71</f>
        <v>0</v>
      </c>
      <c r="EI71" s="394"/>
      <c r="EJ71" s="392">
        <f>'[1]COE commited funds to date'!AL74</f>
        <v>0</v>
      </c>
      <c r="EK71" s="392">
        <f>'[1]COE DISB 2019'!AL79</f>
        <v>0</v>
      </c>
      <c r="EL71" s="392">
        <f>EJ71-EK71</f>
        <v>0</v>
      </c>
      <c r="EM71" s="394"/>
      <c r="EN71" s="392">
        <f>'[1]COE commited funds to date'!AM74</f>
        <v>0</v>
      </c>
      <c r="EO71" s="392">
        <f>'[1]COE DISB 2019'!AM79</f>
        <v>0</v>
      </c>
      <c r="EP71" s="392">
        <f>EN71-EO71</f>
        <v>0</v>
      </c>
      <c r="EQ71" s="394"/>
      <c r="ER71" s="392">
        <f>'[1]COE commited funds to date'!AN74</f>
        <v>0</v>
      </c>
      <c r="ES71" s="392">
        <f>'[1]COE DISB 2019'!AN79</f>
        <v>0</v>
      </c>
      <c r="ET71" s="392">
        <f>ER71-ES71</f>
        <v>0</v>
      </c>
      <c r="EV71" s="383">
        <f>'[1]COE commited funds to date'!AO74</f>
        <v>0</v>
      </c>
      <c r="EW71" s="383">
        <f>'[1]COE DISB 2019'!AO79</f>
        <v>0</v>
      </c>
      <c r="EX71" s="383">
        <f>EV71-EW71</f>
        <v>0</v>
      </c>
      <c r="EY71" s="380"/>
      <c r="EZ71" s="383">
        <f>'[1]COE commited funds to date'!AQ74</f>
        <v>0</v>
      </c>
      <c r="FA71" s="383">
        <f>'[1]COE DISB 2019'!AP79</f>
        <v>0</v>
      </c>
      <c r="FB71" s="383">
        <f>EZ71-FA71</f>
        <v>0</v>
      </c>
      <c r="FC71" s="380"/>
      <c r="FD71" s="383">
        <f>'[1]COE commited funds to date'!AR74</f>
        <v>0</v>
      </c>
      <c r="FE71" s="383">
        <f>'[1]COE DISB 2019'!AQ79</f>
        <v>0</v>
      </c>
      <c r="FF71" s="383">
        <f>FD71-FE71</f>
        <v>0</v>
      </c>
      <c r="FG71" s="380"/>
      <c r="FH71" s="383">
        <f>'[1]COE commited funds to date'!AP74</f>
        <v>0</v>
      </c>
      <c r="FI71" s="383">
        <f>'[1]COE DISB 2019'!AR79</f>
        <v>0</v>
      </c>
      <c r="FJ71" s="383">
        <f>FH71-FI71</f>
        <v>0</v>
      </c>
      <c r="FK71" s="383">
        <f>'[1]COE commited funds to date'!AS74</f>
        <v>0</v>
      </c>
      <c r="FL71" s="383">
        <f>'[1]COE DISB 2019'!AS79</f>
        <v>0</v>
      </c>
      <c r="FM71" s="383">
        <f t="shared" si="72"/>
        <v>0</v>
      </c>
      <c r="FN71" s="380"/>
      <c r="FO71" s="383">
        <f>'[1]COE commited funds to date'!AT74</f>
        <v>0</v>
      </c>
      <c r="FP71" s="383">
        <f>'[1]COE DISB 2019'!AT79</f>
        <v>0</v>
      </c>
      <c r="FQ71" s="383">
        <f t="shared" si="73"/>
        <v>0</v>
      </c>
      <c r="FR71" s="380"/>
      <c r="FS71" s="383">
        <f>'[1]COE commited funds to date'!AU74</f>
        <v>0</v>
      </c>
      <c r="FT71" s="383">
        <f>'[1]COE DISB 2019'!AU79</f>
        <v>0</v>
      </c>
      <c r="FU71" s="383">
        <f t="shared" si="74"/>
        <v>0</v>
      </c>
      <c r="FV71" s="380"/>
      <c r="FW71" s="383">
        <f>'[1]COE commited funds to date'!AV74</f>
        <v>0</v>
      </c>
      <c r="FX71" s="383">
        <f>'[1]COE DISB 2019'!AV79</f>
        <v>0</v>
      </c>
      <c r="FY71" s="383">
        <f t="shared" si="75"/>
        <v>0</v>
      </c>
      <c r="FZ71" s="380"/>
      <c r="GA71" s="383">
        <f>'[1]COE commited funds to date'!AW74</f>
        <v>0</v>
      </c>
      <c r="GB71" s="383">
        <f>'[1]COE DISB 2019'!AW79</f>
        <v>0</v>
      </c>
      <c r="GC71" s="383">
        <f t="shared" si="76"/>
        <v>0</v>
      </c>
      <c r="GD71" s="380"/>
      <c r="GE71" s="383">
        <f>'[1]COE commited funds to date'!AX74</f>
        <v>0</v>
      </c>
      <c r="GF71" s="383">
        <f>'[1]COE DISB 2019'!AX79</f>
        <v>0</v>
      </c>
      <c r="GG71" s="383">
        <f t="shared" si="77"/>
        <v>0</v>
      </c>
      <c r="GH71" s="380"/>
      <c r="GI71" s="383">
        <f>'[1]COE commited funds to date'!AY74</f>
        <v>0</v>
      </c>
      <c r="GJ71" s="383">
        <f>'[1]COE DISB 2019'!AY79</f>
        <v>0</v>
      </c>
      <c r="GK71" s="383">
        <f t="shared" si="78"/>
        <v>0</v>
      </c>
      <c r="GL71" s="380"/>
      <c r="GM71" s="383">
        <f>'[1]COE commited funds to date'!AZ74</f>
        <v>0</v>
      </c>
      <c r="GN71" s="383">
        <f>'[1]COE DISB 2019'!AZ79</f>
        <v>0</v>
      </c>
      <c r="GO71" s="383">
        <f t="shared" si="79"/>
        <v>0</v>
      </c>
      <c r="GP71" s="380"/>
      <c r="GQ71" s="383">
        <f>'[1]COE commited funds to date'!BA74</f>
        <v>0</v>
      </c>
      <c r="GR71" s="383">
        <f>'[1]COE DISB 2019'!BA79</f>
        <v>0</v>
      </c>
      <c r="GS71" s="383">
        <f t="shared" si="80"/>
        <v>0</v>
      </c>
      <c r="GT71" s="380"/>
      <c r="GU71" s="383">
        <f>'[1]COE commited funds to date'!BB74</f>
        <v>0</v>
      </c>
      <c r="GV71" s="383">
        <f>'[1]COE DISB 2019'!BB79</f>
        <v>0</v>
      </c>
      <c r="GW71" s="383">
        <f t="shared" si="81"/>
        <v>0</v>
      </c>
      <c r="GX71" s="380"/>
      <c r="GY71" s="383">
        <f>'[1]COE commited funds to date'!BC74</f>
        <v>0</v>
      </c>
      <c r="GZ71" s="383">
        <f>'[1]COE DISB 2019'!BC79</f>
        <v>0</v>
      </c>
      <c r="HA71" s="383">
        <f t="shared" si="82"/>
        <v>0</v>
      </c>
      <c r="HB71" s="380"/>
      <c r="HC71" s="383">
        <f t="shared" si="83"/>
        <v>233987500</v>
      </c>
      <c r="HD71" s="383">
        <f t="shared" si="83"/>
        <v>233987500</v>
      </c>
      <c r="HE71" s="392">
        <f t="shared" si="84"/>
        <v>0</v>
      </c>
      <c r="HG71" s="383">
        <f t="shared" si="85"/>
        <v>232500000</v>
      </c>
      <c r="HH71" s="383">
        <f t="shared" si="85"/>
        <v>232500000</v>
      </c>
      <c r="HI71" s="383">
        <f t="shared" si="86"/>
        <v>0</v>
      </c>
      <c r="HK71" s="383">
        <f t="shared" si="87"/>
        <v>1487500</v>
      </c>
      <c r="HL71" s="383">
        <f t="shared" si="87"/>
        <v>1487500</v>
      </c>
      <c r="HM71" s="383">
        <f t="shared" si="88"/>
        <v>0</v>
      </c>
      <c r="HO71" s="383">
        <f t="shared" si="89"/>
        <v>0</v>
      </c>
      <c r="HP71" s="383">
        <f t="shared" si="89"/>
        <v>0</v>
      </c>
      <c r="HQ71" s="383">
        <f>HO71-HP71</f>
        <v>0</v>
      </c>
      <c r="HS71" s="383">
        <f t="shared" si="90"/>
        <v>0</v>
      </c>
      <c r="HT71" s="383">
        <f t="shared" si="90"/>
        <v>0</v>
      </c>
      <c r="HU71" s="383">
        <f t="shared" si="91"/>
        <v>0</v>
      </c>
      <c r="HW71" s="383">
        <f t="shared" si="92"/>
        <v>0</v>
      </c>
      <c r="HX71" s="383">
        <f t="shared" si="92"/>
        <v>0</v>
      </c>
      <c r="HY71" s="383">
        <f t="shared" si="93"/>
        <v>0</v>
      </c>
      <c r="IA71" s="387">
        <f t="shared" si="94"/>
        <v>0</v>
      </c>
      <c r="IB71" s="387">
        <f t="shared" si="94"/>
        <v>0</v>
      </c>
      <c r="IC71" s="387">
        <f t="shared" si="95"/>
        <v>0</v>
      </c>
      <c r="IE71" s="383">
        <f t="shared" si="96"/>
        <v>0</v>
      </c>
      <c r="IF71" s="383">
        <f t="shared" si="96"/>
        <v>0</v>
      </c>
      <c r="IG71" s="383">
        <f>IE71-IF71</f>
        <v>0</v>
      </c>
      <c r="II71" s="383">
        <f t="shared" si="98"/>
        <v>0</v>
      </c>
      <c r="IJ71" s="383">
        <f t="shared" si="98"/>
        <v>0</v>
      </c>
      <c r="IK71" s="383">
        <f t="shared" si="99"/>
        <v>0</v>
      </c>
    </row>
    <row r="72" spans="1:245" x14ac:dyDescent="0.25">
      <c r="A72" s="380"/>
      <c r="B72" s="380"/>
      <c r="C72" s="404"/>
      <c r="D72" s="392">
        <f t="shared" ref="D72:BO72" si="100">SUM(D4:D71)</f>
        <v>1099137512.3</v>
      </c>
      <c r="E72" s="392">
        <f t="shared" si="100"/>
        <v>1100973389.6799998</v>
      </c>
      <c r="F72" s="392">
        <f t="shared" si="100"/>
        <v>-1835877.379999999</v>
      </c>
      <c r="G72" s="392">
        <f t="shared" si="100"/>
        <v>0</v>
      </c>
      <c r="H72" s="392">
        <f t="shared" si="100"/>
        <v>490000000</v>
      </c>
      <c r="I72" s="392">
        <f t="shared" si="100"/>
        <v>490000000</v>
      </c>
      <c r="J72" s="392">
        <f t="shared" si="100"/>
        <v>0</v>
      </c>
      <c r="K72" s="392">
        <f t="shared" si="100"/>
        <v>0</v>
      </c>
      <c r="L72" s="392">
        <f t="shared" si="100"/>
        <v>30000000</v>
      </c>
      <c r="M72" s="392">
        <f t="shared" si="100"/>
        <v>30000000</v>
      </c>
      <c r="N72" s="392">
        <f t="shared" si="100"/>
        <v>0</v>
      </c>
      <c r="O72" s="392">
        <f t="shared" si="100"/>
        <v>0</v>
      </c>
      <c r="P72" s="392">
        <f t="shared" si="100"/>
        <v>958322000</v>
      </c>
      <c r="Q72" s="392">
        <f t="shared" si="100"/>
        <v>958322000</v>
      </c>
      <c r="R72" s="392">
        <f t="shared" si="100"/>
        <v>0</v>
      </c>
      <c r="S72" s="392">
        <f t="shared" si="100"/>
        <v>0</v>
      </c>
      <c r="T72" s="392">
        <f t="shared" si="100"/>
        <v>46449633.120000005</v>
      </c>
      <c r="U72" s="392">
        <f t="shared" si="100"/>
        <v>46449633.120000005</v>
      </c>
      <c r="V72" s="392">
        <f t="shared" si="100"/>
        <v>0</v>
      </c>
      <c r="W72" s="392">
        <f t="shared" si="100"/>
        <v>0</v>
      </c>
      <c r="X72" s="392">
        <f t="shared" si="100"/>
        <v>40000000</v>
      </c>
      <c r="Y72" s="392">
        <f t="shared" si="100"/>
        <v>40000000</v>
      </c>
      <c r="Z72" s="392">
        <f t="shared" si="100"/>
        <v>0</v>
      </c>
      <c r="AA72" s="392">
        <f t="shared" si="100"/>
        <v>0</v>
      </c>
      <c r="AB72" s="392">
        <f t="shared" si="100"/>
        <v>1220000000</v>
      </c>
      <c r="AC72" s="392">
        <f t="shared" si="100"/>
        <v>1220000000</v>
      </c>
      <c r="AD72" s="392">
        <f t="shared" si="100"/>
        <v>0</v>
      </c>
      <c r="AE72" s="392">
        <f t="shared" si="100"/>
        <v>0</v>
      </c>
      <c r="AF72" s="392">
        <f t="shared" si="100"/>
        <v>4000000</v>
      </c>
      <c r="AG72" s="392">
        <f t="shared" si="100"/>
        <v>4000000</v>
      </c>
      <c r="AH72" s="392">
        <f t="shared" si="100"/>
        <v>0</v>
      </c>
      <c r="AI72" s="392">
        <f t="shared" si="100"/>
        <v>0</v>
      </c>
      <c r="AJ72" s="392">
        <f t="shared" si="100"/>
        <v>661000000</v>
      </c>
      <c r="AK72" s="392">
        <f t="shared" si="100"/>
        <v>661000000</v>
      </c>
      <c r="AL72" s="392">
        <f t="shared" si="100"/>
        <v>0</v>
      </c>
      <c r="AM72" s="392">
        <f t="shared" si="100"/>
        <v>0</v>
      </c>
      <c r="AN72" s="392">
        <f t="shared" si="100"/>
        <v>610000000</v>
      </c>
      <c r="AO72" s="392">
        <f t="shared" si="100"/>
        <v>610000000</v>
      </c>
      <c r="AP72" s="392">
        <f t="shared" si="100"/>
        <v>0</v>
      </c>
      <c r="AQ72" s="392">
        <f t="shared" si="100"/>
        <v>0</v>
      </c>
      <c r="AR72" s="392">
        <f t="shared" si="100"/>
        <v>1000738610</v>
      </c>
      <c r="AS72" s="392">
        <f t="shared" si="100"/>
        <v>1000738610</v>
      </c>
      <c r="AT72" s="392">
        <f t="shared" si="100"/>
        <v>0</v>
      </c>
      <c r="AU72" s="392">
        <f t="shared" si="100"/>
        <v>0</v>
      </c>
      <c r="AV72" s="392">
        <f t="shared" si="100"/>
        <v>204750000</v>
      </c>
      <c r="AW72" s="392">
        <f t="shared" si="100"/>
        <v>204750000</v>
      </c>
      <c r="AX72" s="392">
        <f t="shared" si="100"/>
        <v>0</v>
      </c>
      <c r="AY72" s="392">
        <f t="shared" si="100"/>
        <v>0</v>
      </c>
      <c r="AZ72" s="392">
        <f t="shared" si="100"/>
        <v>1098000000</v>
      </c>
      <c r="BA72" s="392">
        <f t="shared" si="100"/>
        <v>1098000000</v>
      </c>
      <c r="BB72" s="392">
        <f t="shared" si="100"/>
        <v>0</v>
      </c>
      <c r="BC72" s="392">
        <f t="shared" si="100"/>
        <v>0</v>
      </c>
      <c r="BD72" s="392">
        <f t="shared" si="100"/>
        <v>1510290000</v>
      </c>
      <c r="BE72" s="392">
        <f t="shared" si="100"/>
        <v>1510290000</v>
      </c>
      <c r="BF72" s="392">
        <f t="shared" si="100"/>
        <v>0</v>
      </c>
      <c r="BG72" s="392">
        <f t="shared" si="100"/>
        <v>0</v>
      </c>
      <c r="BH72" s="392">
        <f t="shared" si="100"/>
        <v>11487500</v>
      </c>
      <c r="BI72" s="392">
        <f t="shared" si="100"/>
        <v>11487500</v>
      </c>
      <c r="BJ72" s="392">
        <f t="shared" si="100"/>
        <v>0</v>
      </c>
      <c r="BK72" s="392">
        <f t="shared" si="100"/>
        <v>0</v>
      </c>
      <c r="BL72" s="392">
        <f t="shared" si="100"/>
        <v>2642780000</v>
      </c>
      <c r="BM72" s="392">
        <f t="shared" si="100"/>
        <v>2642780400</v>
      </c>
      <c r="BN72" s="392">
        <f t="shared" si="100"/>
        <v>-400</v>
      </c>
      <c r="BO72" s="392">
        <f t="shared" si="100"/>
        <v>0</v>
      </c>
      <c r="BP72" s="392">
        <f t="shared" ref="BP72:DB72" si="101">SUM(BP4:BP71)</f>
        <v>2276616985.5799999</v>
      </c>
      <c r="BQ72" s="392">
        <f t="shared" si="101"/>
        <v>2276616985.5799999</v>
      </c>
      <c r="BR72" s="392">
        <f t="shared" si="101"/>
        <v>0</v>
      </c>
      <c r="BS72" s="392">
        <f t="shared" si="101"/>
        <v>0</v>
      </c>
      <c r="BT72" s="392">
        <f t="shared" si="101"/>
        <v>403867770.73000002</v>
      </c>
      <c r="BU72" s="392">
        <f t="shared" si="101"/>
        <v>403867770.73000002</v>
      </c>
      <c r="BV72" s="392">
        <f t="shared" si="101"/>
        <v>0</v>
      </c>
      <c r="BW72" s="392">
        <f t="shared" si="101"/>
        <v>0</v>
      </c>
      <c r="BX72" s="392">
        <f t="shared" si="101"/>
        <v>6101419014.4200001</v>
      </c>
      <c r="BY72" s="392">
        <f t="shared" si="101"/>
        <v>6101419014.4200001</v>
      </c>
      <c r="BZ72" s="392">
        <f t="shared" si="101"/>
        <v>0</v>
      </c>
      <c r="CA72" s="392">
        <f t="shared" si="101"/>
        <v>0</v>
      </c>
      <c r="CB72" s="392">
        <f t="shared" si="101"/>
        <v>5391342000</v>
      </c>
      <c r="CC72" s="392">
        <f t="shared" si="101"/>
        <v>5391342000</v>
      </c>
      <c r="CD72" s="392">
        <f t="shared" si="101"/>
        <v>0</v>
      </c>
      <c r="CE72" s="392">
        <f t="shared" si="101"/>
        <v>0</v>
      </c>
      <c r="CF72" s="392">
        <f t="shared" si="101"/>
        <v>6750000000</v>
      </c>
      <c r="CG72" s="392">
        <f t="shared" si="101"/>
        <v>6675002549.9899998</v>
      </c>
      <c r="CH72" s="392">
        <f t="shared" si="101"/>
        <v>74997450.010000005</v>
      </c>
      <c r="CI72" s="392">
        <f t="shared" si="101"/>
        <v>0</v>
      </c>
      <c r="CJ72" s="392">
        <f t="shared" si="101"/>
        <v>540000000</v>
      </c>
      <c r="CK72" s="392">
        <f t="shared" si="101"/>
        <v>514797132.5</v>
      </c>
      <c r="CL72" s="392">
        <f t="shared" si="101"/>
        <v>25202867.5</v>
      </c>
      <c r="CM72" s="392">
        <f t="shared" si="101"/>
        <v>0</v>
      </c>
      <c r="CN72" s="392">
        <f t="shared" si="101"/>
        <v>8845000000</v>
      </c>
      <c r="CO72" s="392">
        <f t="shared" si="101"/>
        <v>8845000000</v>
      </c>
      <c r="CP72" s="392">
        <f t="shared" si="101"/>
        <v>0</v>
      </c>
      <c r="CQ72" s="392">
        <f t="shared" si="101"/>
        <v>0</v>
      </c>
      <c r="CR72" s="392">
        <f t="shared" si="101"/>
        <v>11550000000</v>
      </c>
      <c r="CS72" s="392">
        <f t="shared" si="101"/>
        <v>11272800000</v>
      </c>
      <c r="CT72" s="392">
        <f t="shared" si="101"/>
        <v>277200000</v>
      </c>
      <c r="CU72" s="392">
        <f t="shared" si="101"/>
        <v>0</v>
      </c>
      <c r="CV72" s="392">
        <f t="shared" si="101"/>
        <v>550000000</v>
      </c>
      <c r="CW72" s="392">
        <f t="shared" si="101"/>
        <v>532126286.10000002</v>
      </c>
      <c r="CX72" s="392">
        <f t="shared" si="101"/>
        <v>17873713.899999999</v>
      </c>
      <c r="CY72" s="392">
        <f t="shared" si="101"/>
        <v>0</v>
      </c>
      <c r="CZ72" s="392">
        <f t="shared" si="101"/>
        <v>9314000000</v>
      </c>
      <c r="DA72" s="392">
        <f t="shared" si="101"/>
        <v>8912200000</v>
      </c>
      <c r="DB72" s="392">
        <f t="shared" si="101"/>
        <v>401800000</v>
      </c>
      <c r="DC72" s="394"/>
      <c r="DD72" s="392">
        <f>SUM(DD4:DD71)</f>
        <v>11825000000</v>
      </c>
      <c r="DE72" s="392">
        <f>SUM(DE4:DE71)</f>
        <v>11065050000</v>
      </c>
      <c r="DF72" s="392">
        <f>SUM(DF4:DF71)</f>
        <v>759950000</v>
      </c>
      <c r="DG72" s="394"/>
      <c r="DH72" s="392">
        <f>SUM(DH4:DH71)</f>
        <v>550000000</v>
      </c>
      <c r="DI72" s="392">
        <f>SUM(DI4:DI71)</f>
        <v>538290320</v>
      </c>
      <c r="DJ72" s="392">
        <f>SUM(DJ4:DJ71)</f>
        <v>11709680</v>
      </c>
      <c r="DK72" s="394"/>
      <c r="DL72" s="392">
        <f>SUM(DL4:DL71)</f>
        <v>4603800000</v>
      </c>
      <c r="DM72" s="392">
        <f>SUM(DM4:DM71)</f>
        <v>4446600000</v>
      </c>
      <c r="DN72" s="392">
        <f>SUM(DN4:DN71)</f>
        <v>157200000</v>
      </c>
      <c r="DO72" s="394"/>
      <c r="DP72" s="392">
        <f>SUM(DP4:DP71)</f>
        <v>17875000000</v>
      </c>
      <c r="DQ72" s="392">
        <f>SUM(DQ4:DQ71)</f>
        <v>15549250000</v>
      </c>
      <c r="DR72" s="392">
        <f>SUM(DR4:DR71)</f>
        <v>2325750000</v>
      </c>
      <c r="DS72" s="394"/>
      <c r="DT72" s="392">
        <f>SUM(DT4:DT71)</f>
        <v>550000000</v>
      </c>
      <c r="DU72" s="392">
        <f>SUM(DU4:DU71)</f>
        <v>507997387.75</v>
      </c>
      <c r="DV72" s="392">
        <f>SUM(DV4:DV71)</f>
        <v>42002612.25</v>
      </c>
      <c r="DW72" s="394"/>
      <c r="DX72" s="392">
        <f>SUM(DX4:DX71)</f>
        <v>10185600000</v>
      </c>
      <c r="DY72" s="392">
        <f>SUM(DY4:DY71)</f>
        <v>9963210000</v>
      </c>
      <c r="DZ72" s="392">
        <f>SUM(DZ4:DZ71)</f>
        <v>222390000</v>
      </c>
      <c r="EA72" s="442"/>
      <c r="EB72" s="392">
        <v>3960000000</v>
      </c>
      <c r="EC72" s="392">
        <v>0</v>
      </c>
      <c r="ED72" s="392">
        <f>EB72-EC72</f>
        <v>3960000000</v>
      </c>
      <c r="EE72" s="443"/>
      <c r="EF72" s="392">
        <f>SUM(EF4:EF71)</f>
        <v>440000000</v>
      </c>
      <c r="EG72" s="392">
        <f>SUM(EG4:EG71)</f>
        <v>231520000</v>
      </c>
      <c r="EH72" s="392">
        <f>SUM(EH4:EH71)</f>
        <v>208480000</v>
      </c>
      <c r="EI72" s="392"/>
      <c r="EJ72" s="392">
        <f>SUM(EJ4:EJ71)</f>
        <v>110000000</v>
      </c>
      <c r="EK72" s="392">
        <f>SUM(EK4:EK71)</f>
        <v>21600000</v>
      </c>
      <c r="EL72" s="392">
        <f>SUM(EL4:EL71)</f>
        <v>88400000</v>
      </c>
      <c r="EM72" s="392"/>
      <c r="EN72" s="392">
        <f>SUM(EN4:EN71)</f>
        <v>385000000</v>
      </c>
      <c r="EO72" s="392">
        <f>SUM(EO4:EO71)</f>
        <v>369377940</v>
      </c>
      <c r="EP72" s="392">
        <f>SUM(EP4:EP71)</f>
        <v>15622060</v>
      </c>
      <c r="EQ72" s="392"/>
      <c r="ER72" s="392">
        <f t="shared" ref="ER72:EW72" si="102">SUM(ER4:ER71)</f>
        <v>66379200000</v>
      </c>
      <c r="ES72" s="392">
        <f t="shared" si="102"/>
        <v>62959600000</v>
      </c>
      <c r="ET72" s="392">
        <f t="shared" si="102"/>
        <v>3419600000</v>
      </c>
      <c r="EU72" s="392">
        <f t="shared" si="102"/>
        <v>0</v>
      </c>
      <c r="EV72" s="392">
        <f t="shared" si="102"/>
        <v>20408685000</v>
      </c>
      <c r="EW72" s="392">
        <f t="shared" si="102"/>
        <v>11773955915</v>
      </c>
      <c r="EX72" s="383">
        <f>EV72-EW72</f>
        <v>8634729085</v>
      </c>
      <c r="EY72" s="392"/>
      <c r="EZ72" s="392">
        <f>SUM(EZ4:EZ71)</f>
        <v>660000000</v>
      </c>
      <c r="FA72" s="392">
        <f>SUM(FA4:FA71)</f>
        <v>578932274.68000007</v>
      </c>
      <c r="FB72" s="392">
        <f>SUM(FB4:FB71)</f>
        <v>81067725.319999993</v>
      </c>
      <c r="FC72" s="392"/>
      <c r="FD72" s="392">
        <f>SUM(FD4:FD71)</f>
        <v>550000000</v>
      </c>
      <c r="FE72" s="392">
        <f>SUM(FE4:FE71)</f>
        <v>0</v>
      </c>
      <c r="FF72" s="392">
        <f>SUM(FF4:FF71)</f>
        <v>550000000</v>
      </c>
      <c r="FG72" s="392"/>
      <c r="FH72" s="392">
        <f t="shared" ref="FH72:FM72" si="103">SUM(FH4:FH71)</f>
        <v>440000000</v>
      </c>
      <c r="FI72" s="392">
        <f t="shared" si="103"/>
        <v>199120000</v>
      </c>
      <c r="FJ72" s="392">
        <f t="shared" si="103"/>
        <v>240880000</v>
      </c>
      <c r="FK72" s="392">
        <f t="shared" si="103"/>
        <v>2850000000</v>
      </c>
      <c r="FL72" s="392">
        <f t="shared" si="103"/>
        <v>2364000000</v>
      </c>
      <c r="FM72" s="392">
        <f t="shared" si="103"/>
        <v>486000000</v>
      </c>
      <c r="FN72" s="392"/>
      <c r="FO72" s="392">
        <f>SUM(FO4:FO71)</f>
        <v>11000000000</v>
      </c>
      <c r="FP72" s="392">
        <f>SUM(FP4:FP71)</f>
        <v>116000000</v>
      </c>
      <c r="FQ72" s="383">
        <f t="shared" si="73"/>
        <v>10884000000</v>
      </c>
      <c r="FR72" s="392"/>
      <c r="FS72" s="392">
        <f>SUM(FS4:FS71)</f>
        <v>5100000000</v>
      </c>
      <c r="FT72" s="392">
        <f>SUM(FT4:FT71)</f>
        <v>3204750000</v>
      </c>
      <c r="FU72" s="383">
        <f t="shared" si="74"/>
        <v>1895250000</v>
      </c>
      <c r="FV72" s="392"/>
      <c r="FW72" s="392">
        <f>SUM(FW4:FW71)</f>
        <v>478500000</v>
      </c>
      <c r="FX72" s="392">
        <f>SUM(FX4:FX71)</f>
        <v>0</v>
      </c>
      <c r="FY72" s="383">
        <f t="shared" si="75"/>
        <v>478500000</v>
      </c>
      <c r="FZ72" s="392"/>
      <c r="GA72" s="392">
        <f>SUM(GA4:GA71)</f>
        <v>275000000</v>
      </c>
      <c r="GB72" s="392">
        <f>SUM(GB4:GB71)</f>
        <v>0</v>
      </c>
      <c r="GC72" s="383">
        <f>GA72-GB72</f>
        <v>275000000</v>
      </c>
      <c r="GD72" s="392"/>
      <c r="GE72" s="392">
        <f>SUM(GE4:GE71)</f>
        <v>1100000000</v>
      </c>
      <c r="GF72" s="392">
        <f>SUM(GF4:GF71)</f>
        <v>569660478</v>
      </c>
      <c r="GG72" s="383">
        <f t="shared" si="77"/>
        <v>530339522</v>
      </c>
      <c r="GH72" s="392"/>
      <c r="GI72" s="392">
        <f>SUM(GI4:GI71)</f>
        <v>12650000000</v>
      </c>
      <c r="GJ72" s="392">
        <f>SUM(GJ4:GJ71)</f>
        <v>133400000</v>
      </c>
      <c r="GK72" s="383">
        <f>GI72-GJ72</f>
        <v>12516600000</v>
      </c>
      <c r="GL72" s="392"/>
      <c r="GM72" s="392">
        <f>SUM(GM4:GM71)</f>
        <v>7707255600</v>
      </c>
      <c r="GN72" s="392">
        <f>SUM(GN4:GN71)</f>
        <v>0</v>
      </c>
      <c r="GO72" s="383">
        <f t="shared" si="79"/>
        <v>7707255600</v>
      </c>
      <c r="GP72" s="392"/>
      <c r="GQ72" s="392">
        <f>SUM(GQ4:GQ71)</f>
        <v>660000000</v>
      </c>
      <c r="GR72" s="392">
        <f>SUM(GR4:GR71)</f>
        <v>0</v>
      </c>
      <c r="GS72" s="383">
        <f t="shared" si="80"/>
        <v>660000000</v>
      </c>
      <c r="GT72" s="392"/>
      <c r="GU72" s="392">
        <f>SUM(GU4:GU71)</f>
        <v>275000000</v>
      </c>
      <c r="GV72" s="392">
        <f>SUM(GV4:GV71)</f>
        <v>0</v>
      </c>
      <c r="GW72" s="383">
        <f t="shared" si="81"/>
        <v>275000000</v>
      </c>
      <c r="GX72" s="392"/>
      <c r="GY72" s="392">
        <f>SUM(GY4:GY71)</f>
        <v>566956500</v>
      </c>
      <c r="GZ72" s="392">
        <f>SUM(GZ4:GZ71)</f>
        <v>28589955.920000002</v>
      </c>
      <c r="HA72" s="383">
        <f t="shared" si="82"/>
        <v>538366544.08000004</v>
      </c>
      <c r="HB72" s="392"/>
      <c r="HC72" s="383">
        <f>SUM(HC4:HC71)</f>
        <v>244934198126.14996</v>
      </c>
      <c r="HD72" s="383">
        <f>SUM(HD4:HD71)</f>
        <v>189965427543.47</v>
      </c>
      <c r="HE72" s="392">
        <f>HC72-HD72</f>
        <v>54968770582.679962</v>
      </c>
      <c r="HG72" s="383">
        <f>SUM(HG4:HG71)</f>
        <v>115686989122.3</v>
      </c>
      <c r="HH72" s="383">
        <f>SUM(HH4:HH71)</f>
        <v>79046158864.669998</v>
      </c>
      <c r="HI72" s="383">
        <f>HG72-HH72</f>
        <v>36640830257.630005</v>
      </c>
      <c r="HK72" s="383">
        <f>SUM(HK4:HK71)</f>
        <v>105134297270.73001</v>
      </c>
      <c r="HL72" s="383">
        <f>SUM(HL4:HL71)</f>
        <v>100933307270.73001</v>
      </c>
      <c r="HM72" s="383">
        <f>HK72-HL72</f>
        <v>4200990000</v>
      </c>
      <c r="HO72" s="383">
        <f>SUM(HO4:HO71)</f>
        <v>80449633.120000005</v>
      </c>
      <c r="HP72" s="383">
        <f>SUM(HP4:HP71)</f>
        <v>80449633.120000005</v>
      </c>
      <c r="HQ72" s="383">
        <f>HO72-HP72</f>
        <v>0</v>
      </c>
      <c r="HS72" s="383">
        <f>SUM(HS4:HS71)</f>
        <v>4901956500</v>
      </c>
      <c r="HT72" s="383">
        <f>SUM(HT4:HT71)</f>
        <v>3639771774.9499998</v>
      </c>
      <c r="HU72" s="383">
        <f>HS72-HT72</f>
        <v>1262184725.0500002</v>
      </c>
      <c r="HW72" s="383">
        <f>SUM(HW4:HW71)</f>
        <v>2018500000</v>
      </c>
      <c r="HX72" s="383">
        <f>SUM(HX4:HX71)</f>
        <v>430640000</v>
      </c>
      <c r="HY72" s="383">
        <f>HW72-HX72</f>
        <v>1587860000</v>
      </c>
      <c r="IA72" s="387">
        <f>SUM(IA4:IA71)</f>
        <v>1100000000</v>
      </c>
      <c r="IB72" s="387">
        <f>SUM(IB4:IB71)</f>
        <v>0</v>
      </c>
      <c r="IC72" s="387">
        <f>IA72-IB72</f>
        <v>1100000000</v>
      </c>
      <c r="IE72" s="383">
        <f>SUM(IE4:IE71)</f>
        <v>15657255600</v>
      </c>
      <c r="IF72" s="383">
        <f>SUM(IF4:IF71)</f>
        <v>5568750000</v>
      </c>
      <c r="IG72" s="383">
        <f>IE72-IF72</f>
        <v>10088505600</v>
      </c>
      <c r="II72" s="383">
        <f>SUM(II4:II71)</f>
        <v>110000000</v>
      </c>
      <c r="IJ72" s="383">
        <f>SUM(IJ4:IJ71)</f>
        <v>21600000</v>
      </c>
      <c r="IK72" s="383">
        <f>II72-IJ72</f>
        <v>88400000</v>
      </c>
    </row>
    <row r="73" spans="1:245" x14ac:dyDescent="0.25">
      <c r="DD73" s="394"/>
      <c r="DE73" s="394"/>
      <c r="DS73" s="394"/>
      <c r="EU73" s="408"/>
      <c r="EV73" s="394"/>
    </row>
    <row r="74" spans="1:245" x14ac:dyDescent="0.25">
      <c r="DD74" s="394"/>
      <c r="DE74" s="394"/>
      <c r="DS74" s="394"/>
      <c r="ER74" s="408"/>
      <c r="EU74" s="408"/>
      <c r="EV74" s="394"/>
    </row>
    <row r="75" spans="1:245" x14ac:dyDescent="0.25">
      <c r="DD75" s="394"/>
      <c r="DE75" s="394"/>
      <c r="DS75" s="394"/>
      <c r="ER75" s="408"/>
      <c r="EU75" s="408"/>
      <c r="EV75" s="394"/>
    </row>
    <row r="76" spans="1:245" x14ac:dyDescent="0.25">
      <c r="A76" s="380"/>
      <c r="B76" s="380"/>
      <c r="C76" s="404"/>
      <c r="D76" s="380"/>
      <c r="E76" s="380"/>
      <c r="F76" s="380"/>
      <c r="G76" s="380"/>
      <c r="H76" s="380"/>
      <c r="I76" s="380"/>
      <c r="J76" s="380"/>
      <c r="K76" s="380"/>
      <c r="L76" s="380"/>
      <c r="M76" s="380"/>
      <c r="N76" s="380"/>
      <c r="O76" s="380"/>
      <c r="P76" s="380"/>
      <c r="Q76" s="380"/>
      <c r="R76" s="380"/>
      <c r="S76" s="380"/>
      <c r="T76" s="383"/>
      <c r="U76" s="380"/>
      <c r="V76" s="380"/>
      <c r="W76" s="380"/>
      <c r="X76" s="380"/>
      <c r="Y76" s="380"/>
      <c r="Z76" s="380"/>
      <c r="AA76" s="380"/>
      <c r="AB76" s="380"/>
      <c r="AC76" s="380"/>
      <c r="AD76" s="380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0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0"/>
      <c r="BK76" s="380"/>
      <c r="BL76" s="380"/>
      <c r="BM76" s="380"/>
      <c r="BN76" s="380"/>
      <c r="BO76" s="380"/>
      <c r="BP76" s="380"/>
      <c r="BQ76" s="380"/>
      <c r="BR76" s="380"/>
      <c r="BS76" s="380"/>
      <c r="BT76" s="380"/>
      <c r="BU76" s="380"/>
      <c r="BV76" s="380"/>
      <c r="BW76" s="380"/>
      <c r="BX76" s="380"/>
      <c r="BY76" s="380"/>
      <c r="DK76" s="408"/>
      <c r="EY76" s="394">
        <f>1335000000-150000000</f>
        <v>1185000000</v>
      </c>
      <c r="EZ76" s="394">
        <v>1100000000</v>
      </c>
      <c r="FA76" s="408">
        <f>EY76-EZ76</f>
        <v>85000000</v>
      </c>
      <c r="FC76" s="394"/>
    </row>
    <row r="77" spans="1:245" x14ac:dyDescent="0.25">
      <c r="A77" s="380"/>
      <c r="B77" s="380"/>
      <c r="C77" s="404"/>
      <c r="D77" s="409">
        <v>2001</v>
      </c>
      <c r="E77" s="409"/>
      <c r="F77" s="409"/>
      <c r="G77" s="380"/>
      <c r="H77" s="409">
        <v>2002</v>
      </c>
      <c r="I77" s="409"/>
      <c r="J77" s="409"/>
      <c r="K77" s="380"/>
      <c r="L77" s="409">
        <v>2003</v>
      </c>
      <c r="M77" s="409"/>
      <c r="N77" s="409"/>
      <c r="O77" s="380"/>
      <c r="P77" s="409">
        <v>2004</v>
      </c>
      <c r="Q77" s="409"/>
      <c r="R77" s="409"/>
      <c r="S77" s="380"/>
      <c r="T77" s="409">
        <v>2005</v>
      </c>
      <c r="U77" s="409"/>
      <c r="V77" s="409"/>
      <c r="W77" s="380"/>
      <c r="X77" s="409">
        <v>2006</v>
      </c>
      <c r="Y77" s="409"/>
      <c r="Z77" s="409"/>
      <c r="AA77" s="380"/>
      <c r="AB77" s="409">
        <v>2007</v>
      </c>
      <c r="AC77" s="409"/>
      <c r="AD77" s="409"/>
      <c r="AE77" s="380"/>
      <c r="AF77" s="409">
        <v>2008</v>
      </c>
      <c r="AG77" s="409"/>
      <c r="AH77" s="409"/>
      <c r="AI77" s="380"/>
      <c r="AJ77" s="409">
        <v>2009</v>
      </c>
      <c r="AK77" s="409"/>
      <c r="AL77" s="409"/>
      <c r="AM77" s="380"/>
      <c r="AN77" s="409">
        <v>2010</v>
      </c>
      <c r="AO77" s="409"/>
      <c r="AP77" s="409"/>
      <c r="AQ77" s="380"/>
      <c r="AR77" s="409">
        <v>2011</v>
      </c>
      <c r="AS77" s="409"/>
      <c r="AT77" s="409"/>
      <c r="AU77" s="380"/>
      <c r="AV77" s="409">
        <v>2012</v>
      </c>
      <c r="AW77" s="409"/>
      <c r="AX77" s="409"/>
      <c r="AY77" s="380"/>
      <c r="AZ77" s="380"/>
      <c r="BA77" s="410">
        <v>2013</v>
      </c>
      <c r="BB77" s="380"/>
      <c r="BC77" s="380"/>
      <c r="BD77" s="411">
        <v>2014</v>
      </c>
      <c r="BE77" s="411"/>
      <c r="BF77" s="411"/>
      <c r="BG77" s="380"/>
      <c r="BH77" s="411">
        <v>2015</v>
      </c>
      <c r="BI77" s="411"/>
      <c r="BJ77" s="411"/>
      <c r="BK77" s="380"/>
      <c r="BL77" s="411">
        <v>2016</v>
      </c>
      <c r="BM77" s="411"/>
      <c r="BN77" s="411"/>
      <c r="BO77" s="380"/>
      <c r="BP77" s="412">
        <v>2017</v>
      </c>
      <c r="BQ77" s="413"/>
      <c r="BR77" s="414"/>
      <c r="BT77" s="415">
        <v>2018</v>
      </c>
      <c r="BU77" s="415"/>
      <c r="BV77" s="415"/>
      <c r="BX77" s="412" t="s">
        <v>390</v>
      </c>
      <c r="BY77" s="413"/>
      <c r="BZ77" s="414"/>
      <c r="CR77" s="408"/>
      <c r="FC77" s="394"/>
    </row>
    <row r="78" spans="1:245" x14ac:dyDescent="0.25">
      <c r="D78" s="376" t="s">
        <v>54</v>
      </c>
      <c r="E78" s="376" t="s">
        <v>55</v>
      </c>
      <c r="F78" s="376" t="s">
        <v>56</v>
      </c>
      <c r="H78" s="376" t="s">
        <v>54</v>
      </c>
      <c r="I78" s="376" t="s">
        <v>55</v>
      </c>
      <c r="J78" s="376" t="s">
        <v>56</v>
      </c>
      <c r="L78" s="376" t="s">
        <v>54</v>
      </c>
      <c r="M78" s="376" t="s">
        <v>55</v>
      </c>
      <c r="N78" s="376" t="s">
        <v>56</v>
      </c>
      <c r="P78" s="376" t="s">
        <v>54</v>
      </c>
      <c r="Q78" s="376" t="s">
        <v>55</v>
      </c>
      <c r="R78" s="376" t="s">
        <v>56</v>
      </c>
      <c r="T78" s="376" t="s">
        <v>54</v>
      </c>
      <c r="U78" s="376" t="s">
        <v>55</v>
      </c>
      <c r="V78" s="376" t="s">
        <v>56</v>
      </c>
      <c r="X78" s="376" t="s">
        <v>54</v>
      </c>
      <c r="Y78" s="376" t="s">
        <v>55</v>
      </c>
      <c r="Z78" s="376" t="s">
        <v>56</v>
      </c>
      <c r="AB78" s="376" t="s">
        <v>54</v>
      </c>
      <c r="AC78" s="376" t="s">
        <v>55</v>
      </c>
      <c r="AD78" s="376" t="s">
        <v>56</v>
      </c>
      <c r="AF78" s="376" t="s">
        <v>54</v>
      </c>
      <c r="AG78" s="376" t="s">
        <v>55</v>
      </c>
      <c r="AH78" s="376" t="s">
        <v>56</v>
      </c>
      <c r="AJ78" s="376" t="s">
        <v>54</v>
      </c>
      <c r="AK78" s="376" t="s">
        <v>55</v>
      </c>
      <c r="AL78" s="376" t="s">
        <v>56</v>
      </c>
      <c r="AN78" s="376" t="s">
        <v>54</v>
      </c>
      <c r="AO78" s="376" t="s">
        <v>55</v>
      </c>
      <c r="AP78" s="376" t="s">
        <v>56</v>
      </c>
      <c r="AR78" s="376" t="s">
        <v>54</v>
      </c>
      <c r="AS78" s="376" t="s">
        <v>55</v>
      </c>
      <c r="AT78" s="376" t="s">
        <v>56</v>
      </c>
      <c r="AV78" s="376" t="s">
        <v>54</v>
      </c>
      <c r="AW78" s="376" t="s">
        <v>55</v>
      </c>
      <c r="AX78" s="376" t="s">
        <v>56</v>
      </c>
      <c r="AZ78" s="376" t="s">
        <v>54</v>
      </c>
      <c r="BA78" s="376" t="s">
        <v>55</v>
      </c>
      <c r="BB78" s="376" t="s">
        <v>56</v>
      </c>
      <c r="BC78" s="376"/>
      <c r="BD78" s="376" t="s">
        <v>54</v>
      </c>
      <c r="BE78" s="376" t="s">
        <v>55</v>
      </c>
      <c r="BF78" s="376" t="s">
        <v>56</v>
      </c>
      <c r="BH78" s="376" t="s">
        <v>54</v>
      </c>
      <c r="BI78" s="376" t="s">
        <v>55</v>
      </c>
      <c r="BJ78" s="376" t="s">
        <v>56</v>
      </c>
      <c r="BL78" s="376" t="s">
        <v>54</v>
      </c>
      <c r="BM78" s="376" t="s">
        <v>55</v>
      </c>
      <c r="BN78" s="376" t="s">
        <v>56</v>
      </c>
      <c r="BP78" s="376" t="s">
        <v>54</v>
      </c>
      <c r="BQ78" s="376" t="s">
        <v>55</v>
      </c>
      <c r="BR78" s="376" t="s">
        <v>56</v>
      </c>
      <c r="BS78" s="380"/>
      <c r="BT78" s="376" t="s">
        <v>54</v>
      </c>
      <c r="BU78" s="376" t="s">
        <v>55</v>
      </c>
      <c r="BV78" s="376" t="s">
        <v>56</v>
      </c>
      <c r="BW78" s="416"/>
      <c r="BX78" s="417" t="s">
        <v>54</v>
      </c>
      <c r="BY78" s="417" t="s">
        <v>55</v>
      </c>
      <c r="BZ78" s="417" t="s">
        <v>56</v>
      </c>
      <c r="DD78" s="408"/>
      <c r="EF78" s="394"/>
    </row>
    <row r="79" spans="1:245" x14ac:dyDescent="0.25">
      <c r="A79" s="380">
        <v>1</v>
      </c>
      <c r="B79" s="418" t="s">
        <v>320</v>
      </c>
      <c r="C79" s="431" t="s">
        <v>74</v>
      </c>
      <c r="D79" s="385">
        <v>1125000</v>
      </c>
      <c r="E79" s="392">
        <f>'[1]COE  LIB. 2019'!D13</f>
        <v>1125000</v>
      </c>
      <c r="F79" s="383">
        <f>D79-E79</f>
        <v>0</v>
      </c>
      <c r="H79" s="392">
        <v>1125000</v>
      </c>
      <c r="I79" s="392">
        <f>'[1]COE  LIB. 2019'!E13</f>
        <v>1125000</v>
      </c>
      <c r="J79" s="383">
        <f>H79-I79</f>
        <v>0</v>
      </c>
      <c r="L79" s="392">
        <v>956250</v>
      </c>
      <c r="M79" s="392">
        <f>'[1]COE  LIB. 2019'!F13</f>
        <v>956250</v>
      </c>
      <c r="N79" s="383">
        <f>L79-M79</f>
        <v>0</v>
      </c>
      <c r="P79" s="392">
        <v>956250</v>
      </c>
      <c r="Q79" s="392">
        <f>'[1]COE  LIB. 2019'!G13</f>
        <v>956250</v>
      </c>
      <c r="R79" s="383">
        <f>P79-Q79</f>
        <v>0</v>
      </c>
      <c r="T79" s="392">
        <v>1700000</v>
      </c>
      <c r="U79" s="392">
        <f>'[1]COE  LIB. 2019'!H13</f>
        <v>1700000</v>
      </c>
      <c r="V79" s="383">
        <f>T79-U79</f>
        <v>0</v>
      </c>
      <c r="X79" s="392">
        <v>1700000</v>
      </c>
      <c r="Y79" s="392">
        <f>'[1]COE  LIB. 2019'!I13</f>
        <v>1700000</v>
      </c>
      <c r="Z79" s="383">
        <f>X79-Y79</f>
        <v>0</v>
      </c>
      <c r="AB79" s="392">
        <v>2500000</v>
      </c>
      <c r="AC79" s="392">
        <f>'[1]COE  LIB. 2019'!J13</f>
        <v>2500000</v>
      </c>
      <c r="AD79" s="383">
        <f>AB79-AC79</f>
        <v>0</v>
      </c>
      <c r="AF79" s="392">
        <v>3680000</v>
      </c>
      <c r="AG79" s="392">
        <f>'[1]COE  LIB. 2019'!K13</f>
        <v>3680000</v>
      </c>
      <c r="AH79" s="383">
        <f>AF79-AG79</f>
        <v>0</v>
      </c>
      <c r="AJ79" s="392">
        <v>5000000</v>
      </c>
      <c r="AK79" s="392">
        <f>'[1]COE  LIB. 2019'!L13</f>
        <v>5000000</v>
      </c>
      <c r="AL79" s="383">
        <f>AJ79-AK79</f>
        <v>0</v>
      </c>
      <c r="AN79" s="392">
        <f>'[1]COE commited funds to date'!M92</f>
        <v>10000000</v>
      </c>
      <c r="AO79" s="392">
        <f>'[1]COE  LIB. 2019'!M13</f>
        <v>10000000</v>
      </c>
      <c r="AP79" s="383">
        <f>AN79-AO79</f>
        <v>0</v>
      </c>
      <c r="AR79" s="392">
        <f>'[1]COE commited funds to date'!N92</f>
        <v>10000000</v>
      </c>
      <c r="AS79" s="392">
        <f>'[1]COE  LIB. 2019'!N13</f>
        <v>10000000</v>
      </c>
      <c r="AT79" s="383">
        <f>AR79-AS79</f>
        <v>0</v>
      </c>
      <c r="AV79" s="392">
        <v>20000000</v>
      </c>
      <c r="AW79" s="392">
        <f>'[1]COE  LIB. 2019'!O13</f>
        <v>20000000</v>
      </c>
      <c r="AX79" s="383">
        <f>AV79-AW79</f>
        <v>0</v>
      </c>
      <c r="AZ79" s="392">
        <f>'[1]COE commited funds to date'!P92</f>
        <v>30000000</v>
      </c>
      <c r="BA79" s="392">
        <f>'[1]COE  LIB. 2019'!P13</f>
        <v>30000000</v>
      </c>
      <c r="BB79" s="383">
        <f>AZ79-BA79</f>
        <v>0</v>
      </c>
      <c r="BC79" s="408"/>
      <c r="BD79" s="392">
        <f>'[1]COE commited funds to date'!Q92</f>
        <v>70000000</v>
      </c>
      <c r="BE79" s="392">
        <f>'[1]COE  LIB. 2019'!Q13</f>
        <v>59500000</v>
      </c>
      <c r="BF79" s="383">
        <f>BD79-BE79</f>
        <v>10500000</v>
      </c>
      <c r="BH79" s="392">
        <v>35000000</v>
      </c>
      <c r="BI79" s="383">
        <f>'[1]COE  LIB. 2019'!R13</f>
        <v>29750000</v>
      </c>
      <c r="BJ79" s="383">
        <f>BH79-BI79</f>
        <v>5250000</v>
      </c>
      <c r="BL79" s="383">
        <f>'[1]COE commited funds to date'!S92</f>
        <v>30000000</v>
      </c>
      <c r="BM79" s="383">
        <f>'[1]COE  LIB. 2019'!S13</f>
        <v>25500000</v>
      </c>
      <c r="BN79" s="383">
        <f>BL79-BM79</f>
        <v>4500000</v>
      </c>
      <c r="BP79" s="383">
        <f>'[1]COE commited funds to date'!T92</f>
        <v>24000000</v>
      </c>
      <c r="BQ79" s="383">
        <f>'[1]COE  LIB. 2019'!T12</f>
        <v>0</v>
      </c>
      <c r="BR79" s="383">
        <f>BP79-BQ79</f>
        <v>24000000</v>
      </c>
      <c r="BS79" s="380"/>
      <c r="BT79" s="383">
        <f>'[1]COE commited funds to date'!U92</f>
        <v>16000000</v>
      </c>
      <c r="BU79" s="383">
        <f>'[1]COE  LIB. 2019'!U13</f>
        <v>0</v>
      </c>
      <c r="BV79" s="383">
        <f>BT79-BU79</f>
        <v>16000000</v>
      </c>
      <c r="BW79" s="380"/>
      <c r="BX79" s="383">
        <f>D79+H79+L79+P79+T79+X79+AB79+AF79+AJ79+AN79+AR79+AV79+AZ79+BD79+BH79+BL79+BP79+BT79</f>
        <v>263742500</v>
      </c>
      <c r="BY79" s="383">
        <f>E79+I79+M79+Q79+U79+Y79+AC79+AG79+AK79+AO79+AS79+AW79+BA79+BE79+BI79+BM79+BQ79+BU79</f>
        <v>203492500</v>
      </c>
      <c r="BZ79" s="383">
        <f>BX79-BY79</f>
        <v>60250000</v>
      </c>
      <c r="FJ79" s="394"/>
    </row>
    <row r="80" spans="1:245" x14ac:dyDescent="0.25">
      <c r="A80" s="380">
        <v>2</v>
      </c>
      <c r="B80" s="418" t="s">
        <v>321</v>
      </c>
      <c r="C80" s="431" t="s">
        <v>76</v>
      </c>
      <c r="D80" s="385">
        <v>1125000</v>
      </c>
      <c r="E80" s="392">
        <f>'[1]COE  LIB. 2019'!D14</f>
        <v>1125000</v>
      </c>
      <c r="F80" s="383">
        <f t="shared" ref="F80:F143" si="104">D80-E80</f>
        <v>0</v>
      </c>
      <c r="H80" s="392">
        <v>1125000</v>
      </c>
      <c r="I80" s="392">
        <f>'[1]COE  LIB. 2019'!E14</f>
        <v>1125000</v>
      </c>
      <c r="J80" s="383">
        <f t="shared" ref="J80:J143" si="105">H80-I80</f>
        <v>0</v>
      </c>
      <c r="L80" s="392">
        <v>1125000</v>
      </c>
      <c r="M80" s="392">
        <f>'[1]COE  LIB. 2019'!F14</f>
        <v>1125000</v>
      </c>
      <c r="N80" s="383">
        <f t="shared" ref="N80:N143" si="106">L80-M80</f>
        <v>0</v>
      </c>
      <c r="P80" s="392">
        <v>1125000</v>
      </c>
      <c r="Q80" s="392">
        <f>'[1]COE  LIB. 2019'!G14</f>
        <v>1125000</v>
      </c>
      <c r="R80" s="383">
        <f t="shared" ref="R80:R143" si="107">P80-Q80</f>
        <v>0</v>
      </c>
      <c r="T80" s="392">
        <v>2000000</v>
      </c>
      <c r="U80" s="392">
        <f>'[1]COE  LIB. 2019'!H14</f>
        <v>2000000</v>
      </c>
      <c r="V80" s="383">
        <f t="shared" ref="V80:V143" si="108">T80-U80</f>
        <v>0</v>
      </c>
      <c r="X80" s="392">
        <v>2000000</v>
      </c>
      <c r="Y80" s="392">
        <f>'[1]COE  LIB. 2019'!I14</f>
        <v>2000000</v>
      </c>
      <c r="Z80" s="383">
        <f t="shared" ref="Z80:Z143" si="109">X80-Y80</f>
        <v>0</v>
      </c>
      <c r="AB80" s="392">
        <v>2125000</v>
      </c>
      <c r="AC80" s="392">
        <f>'[1]COE  LIB. 2019'!J14</f>
        <v>2125000</v>
      </c>
      <c r="AD80" s="383">
        <f t="shared" ref="AD80:AD143" si="110">AB80-AC80</f>
        <v>0</v>
      </c>
      <c r="AF80" s="392">
        <v>3680000</v>
      </c>
      <c r="AG80" s="392">
        <f>'[1]COE  LIB. 2019'!K14</f>
        <v>3680000</v>
      </c>
      <c r="AH80" s="383">
        <f t="shared" ref="AH80:AH143" si="111">AF80-AG80</f>
        <v>0</v>
      </c>
      <c r="AJ80" s="392">
        <v>5000000</v>
      </c>
      <c r="AK80" s="392">
        <f>'[1]COE  LIB. 2019'!L14</f>
        <v>5000000</v>
      </c>
      <c r="AL80" s="383">
        <f t="shared" ref="AL80:AL143" si="112">AJ80-AK80</f>
        <v>0</v>
      </c>
      <c r="AN80" s="392">
        <f>'[1]COE commited funds to date'!M93</f>
        <v>10000000</v>
      </c>
      <c r="AO80" s="392">
        <f>'[1]COE  LIB. 2019'!M14</f>
        <v>10000000</v>
      </c>
      <c r="AP80" s="383">
        <f t="shared" ref="AP80:AP143" si="113">AN80-AO80</f>
        <v>0</v>
      </c>
      <c r="AR80" s="392">
        <f>'[1]COE commited funds to date'!N93</f>
        <v>10000000</v>
      </c>
      <c r="AS80" s="392">
        <f>'[1]COE  LIB. 2019'!N14</f>
        <v>10000000</v>
      </c>
      <c r="AT80" s="383">
        <f t="shared" ref="AT80:AT143" si="114">AR80-AS80</f>
        <v>0</v>
      </c>
      <c r="AV80" s="392">
        <v>20000000</v>
      </c>
      <c r="AW80" s="392">
        <f>'[1]COE  LIB. 2019'!O14</f>
        <v>20000000</v>
      </c>
      <c r="AX80" s="383">
        <f t="shared" ref="AX80:AX143" si="115">AV80-AW80</f>
        <v>0</v>
      </c>
      <c r="AZ80" s="392">
        <f>'[1]COE commited funds to date'!P93</f>
        <v>30000000</v>
      </c>
      <c r="BA80" s="392">
        <f>'[1]COE  LIB. 2019'!P14</f>
        <v>30000000</v>
      </c>
      <c r="BB80" s="383">
        <f t="shared" ref="BB80:BB143" si="116">AZ80-BA80</f>
        <v>0</v>
      </c>
      <c r="BC80" s="408"/>
      <c r="BD80" s="392">
        <f>'[1]COE commited funds to date'!Q93</f>
        <v>70000000</v>
      </c>
      <c r="BE80" s="392">
        <f>'[1]COE  LIB. 2019'!Q14</f>
        <v>70000000</v>
      </c>
      <c r="BF80" s="383">
        <f t="shared" ref="BF80:BF143" si="117">BD80-BE80</f>
        <v>0</v>
      </c>
      <c r="BH80" s="392">
        <v>35000000</v>
      </c>
      <c r="BI80" s="383">
        <f>'[1]COE  LIB. 2019'!R14</f>
        <v>35000000</v>
      </c>
      <c r="BJ80" s="383">
        <f t="shared" ref="BJ80:BJ143" si="118">BH80-BI80</f>
        <v>0</v>
      </c>
      <c r="BL80" s="383">
        <f>'[1]COE commited funds to date'!S93</f>
        <v>30000000</v>
      </c>
      <c r="BM80" s="383">
        <f>'[1]COE  LIB. 2019'!S14</f>
        <v>0</v>
      </c>
      <c r="BN80" s="383">
        <f t="shared" ref="BN80:BN143" si="119">BL80-BM80</f>
        <v>30000000</v>
      </c>
      <c r="BP80" s="383">
        <f>'[1]COE commited funds to date'!T93</f>
        <v>24000000</v>
      </c>
      <c r="BQ80" s="383">
        <f>'[1]COE  LIB. 2019'!T13</f>
        <v>0</v>
      </c>
      <c r="BR80" s="383">
        <f t="shared" ref="BR80:BR143" si="120">BP80-BQ80</f>
        <v>24000000</v>
      </c>
      <c r="BS80" s="380"/>
      <c r="BT80" s="383">
        <f>'[1]COE commited funds to date'!U93</f>
        <v>16000000</v>
      </c>
      <c r="BU80" s="383">
        <f>'[1]COE  LIB. 2019'!U14</f>
        <v>0</v>
      </c>
      <c r="BV80" s="383">
        <f t="shared" ref="BV80:BV143" si="121">BT80-BU80</f>
        <v>16000000</v>
      </c>
      <c r="BW80" s="380"/>
      <c r="BX80" s="383">
        <f t="shared" ref="BX80:BY143" si="122">D80+H80+L80+P80+T80+X80+AB80+AF80+AJ80+AN80+AR80+AV80+AZ80+BD80+BH80+BL80+BP80+BT80</f>
        <v>264305000</v>
      </c>
      <c r="BY80" s="383">
        <f t="shared" si="122"/>
        <v>194305000</v>
      </c>
      <c r="BZ80" s="383">
        <f t="shared" ref="BZ80:BZ143" si="123">BX80-BY80</f>
        <v>70000000</v>
      </c>
    </row>
    <row r="81" spans="1:78" x14ac:dyDescent="0.25">
      <c r="A81" s="380">
        <v>3</v>
      </c>
      <c r="B81" s="418" t="s">
        <v>322</v>
      </c>
      <c r="C81" s="431" t="s">
        <v>65</v>
      </c>
      <c r="D81" s="385">
        <v>1125000</v>
      </c>
      <c r="E81" s="392">
        <f>'[1]COE  LIB. 2019'!D15</f>
        <v>1125000</v>
      </c>
      <c r="F81" s="383">
        <f t="shared" si="104"/>
        <v>0</v>
      </c>
      <c r="H81" s="392">
        <v>1125000</v>
      </c>
      <c r="I81" s="392">
        <f>'[1]COE  LIB. 2019'!E15</f>
        <v>1125000</v>
      </c>
      <c r="J81" s="383">
        <f t="shared" si="105"/>
        <v>0</v>
      </c>
      <c r="L81" s="392">
        <v>1125000</v>
      </c>
      <c r="M81" s="392">
        <f>'[1]COE  LIB. 2019'!F15</f>
        <v>1125000</v>
      </c>
      <c r="N81" s="383">
        <f t="shared" si="106"/>
        <v>0</v>
      </c>
      <c r="P81" s="392">
        <v>1125000</v>
      </c>
      <c r="Q81" s="392">
        <f>'[1]COE  LIB. 2019'!G15</f>
        <v>1125000</v>
      </c>
      <c r="R81" s="383">
        <f t="shared" si="107"/>
        <v>0</v>
      </c>
      <c r="T81" s="392">
        <v>2000000</v>
      </c>
      <c r="U81" s="392">
        <f>'[1]COE  LIB. 2019'!H15</f>
        <v>2000000</v>
      </c>
      <c r="V81" s="383">
        <f t="shared" si="108"/>
        <v>0</v>
      </c>
      <c r="X81" s="392">
        <v>2000000</v>
      </c>
      <c r="Y81" s="392">
        <f>'[1]COE  LIB. 2019'!I15</f>
        <v>2000000</v>
      </c>
      <c r="Z81" s="383">
        <f t="shared" si="109"/>
        <v>0</v>
      </c>
      <c r="AB81" s="392">
        <v>2500000</v>
      </c>
      <c r="AC81" s="392">
        <f>'[1]COE  LIB. 2019'!J15</f>
        <v>2500000</v>
      </c>
      <c r="AD81" s="383">
        <f t="shared" si="110"/>
        <v>0</v>
      </c>
      <c r="AF81" s="392">
        <v>3680000</v>
      </c>
      <c r="AG81" s="392">
        <f>'[1]COE  LIB. 2019'!K15</f>
        <v>3680000</v>
      </c>
      <c r="AH81" s="383">
        <f t="shared" si="111"/>
        <v>0</v>
      </c>
      <c r="AJ81" s="392">
        <v>5000000</v>
      </c>
      <c r="AK81" s="392">
        <f>'[1]COE  LIB. 2019'!L15</f>
        <v>5000000</v>
      </c>
      <c r="AL81" s="383">
        <f t="shared" si="112"/>
        <v>0</v>
      </c>
      <c r="AN81" s="392">
        <f>'[1]COE commited funds to date'!M94</f>
        <v>10000000</v>
      </c>
      <c r="AO81" s="392">
        <f>'[1]COE  LIB. 2019'!M15</f>
        <v>10000000</v>
      </c>
      <c r="AP81" s="383">
        <f t="shared" si="113"/>
        <v>0</v>
      </c>
      <c r="AR81" s="392">
        <f>'[1]COE commited funds to date'!N94</f>
        <v>10000000</v>
      </c>
      <c r="AS81" s="392">
        <f>'[1]COE  LIB. 2019'!N15</f>
        <v>10000000</v>
      </c>
      <c r="AT81" s="383">
        <f t="shared" si="114"/>
        <v>0</v>
      </c>
      <c r="AV81" s="392">
        <v>20000000</v>
      </c>
      <c r="AW81" s="392">
        <f>'[1]COE  LIB. 2019'!O15</f>
        <v>20000000</v>
      </c>
      <c r="AX81" s="383">
        <f t="shared" si="115"/>
        <v>0</v>
      </c>
      <c r="AZ81" s="392">
        <f>'[1]COE commited funds to date'!P94</f>
        <v>30000000</v>
      </c>
      <c r="BA81" s="392">
        <f>'[1]COE  LIB. 2019'!P15</f>
        <v>30000000</v>
      </c>
      <c r="BB81" s="383">
        <f t="shared" si="116"/>
        <v>0</v>
      </c>
      <c r="BC81" s="408"/>
      <c r="BD81" s="392">
        <f>'[1]COE commited funds to date'!Q94</f>
        <v>70000000</v>
      </c>
      <c r="BE81" s="392">
        <f>'[1]COE  LIB. 2019'!Q15</f>
        <v>70000000</v>
      </c>
      <c r="BF81" s="383">
        <f t="shared" si="117"/>
        <v>0</v>
      </c>
      <c r="BH81" s="392">
        <v>35000000</v>
      </c>
      <c r="BI81" s="383">
        <f>'[1]COE  LIB. 2019'!R15</f>
        <v>35000000</v>
      </c>
      <c r="BJ81" s="383">
        <f t="shared" si="118"/>
        <v>0</v>
      </c>
      <c r="BL81" s="383">
        <f>'[1]COE commited funds to date'!S94</f>
        <v>30000000</v>
      </c>
      <c r="BM81" s="383">
        <f>'[1]COE  LIB. 2019'!S15</f>
        <v>30000000</v>
      </c>
      <c r="BN81" s="383">
        <f t="shared" si="119"/>
        <v>0</v>
      </c>
      <c r="BP81" s="383">
        <f>'[1]COE commited funds to date'!T94</f>
        <v>24000000</v>
      </c>
      <c r="BQ81" s="383">
        <f>'[1]COE  LIB. 2019'!T14</f>
        <v>0</v>
      </c>
      <c r="BR81" s="383">
        <f t="shared" si="120"/>
        <v>24000000</v>
      </c>
      <c r="BS81" s="380"/>
      <c r="BT81" s="383">
        <f>'[1]COE commited funds to date'!U94</f>
        <v>16000000</v>
      </c>
      <c r="BU81" s="383">
        <f>'[1]COE  LIB. 2019'!U15</f>
        <v>0</v>
      </c>
      <c r="BV81" s="383">
        <f t="shared" si="121"/>
        <v>16000000</v>
      </c>
      <c r="BW81" s="380"/>
      <c r="BX81" s="383">
        <f t="shared" si="122"/>
        <v>264680000</v>
      </c>
      <c r="BY81" s="383">
        <f t="shared" si="122"/>
        <v>224680000</v>
      </c>
      <c r="BZ81" s="383">
        <f t="shared" si="123"/>
        <v>40000000</v>
      </c>
    </row>
    <row r="82" spans="1:78" x14ac:dyDescent="0.25">
      <c r="A82" s="380">
        <v>4</v>
      </c>
      <c r="B82" s="418" t="s">
        <v>323</v>
      </c>
      <c r="C82" s="433" t="s">
        <v>65</v>
      </c>
      <c r="D82" s="385">
        <v>1125000</v>
      </c>
      <c r="E82" s="392">
        <f>'[1]COE  LIB. 2019'!D16</f>
        <v>1125000</v>
      </c>
      <c r="F82" s="383">
        <f t="shared" si="104"/>
        <v>0</v>
      </c>
      <c r="H82" s="392">
        <v>1125000</v>
      </c>
      <c r="I82" s="392">
        <f>'[1]COE  LIB. 2019'!E16</f>
        <v>1125000</v>
      </c>
      <c r="J82" s="383">
        <f t="shared" si="105"/>
        <v>0</v>
      </c>
      <c r="L82" s="392">
        <v>1125000</v>
      </c>
      <c r="M82" s="392">
        <f>'[1]COE  LIB. 2019'!F16</f>
        <v>1125000</v>
      </c>
      <c r="N82" s="383">
        <f t="shared" si="106"/>
        <v>0</v>
      </c>
      <c r="P82" s="392">
        <v>1125000</v>
      </c>
      <c r="Q82" s="392">
        <f>'[1]COE  LIB. 2019'!G16</f>
        <v>1125000</v>
      </c>
      <c r="R82" s="383">
        <f t="shared" si="107"/>
        <v>0</v>
      </c>
      <c r="T82" s="392">
        <v>2000000</v>
      </c>
      <c r="U82" s="392">
        <f>'[1]COE  LIB. 2019'!H16</f>
        <v>2000000</v>
      </c>
      <c r="V82" s="383">
        <f t="shared" si="108"/>
        <v>0</v>
      </c>
      <c r="X82" s="392">
        <v>2000000</v>
      </c>
      <c r="Y82" s="392">
        <f>'[1]COE  LIB. 2019'!I16</f>
        <v>2000000</v>
      </c>
      <c r="Z82" s="383">
        <f t="shared" si="109"/>
        <v>0</v>
      </c>
      <c r="AB82" s="392">
        <v>2125000</v>
      </c>
      <c r="AC82" s="392">
        <f>'[1]COE  LIB. 2019'!J16</f>
        <v>2125000</v>
      </c>
      <c r="AD82" s="383">
        <f t="shared" si="110"/>
        <v>0</v>
      </c>
      <c r="AF82" s="392">
        <v>3680000</v>
      </c>
      <c r="AG82" s="392">
        <f>'[1]COE  LIB. 2019'!K16</f>
        <v>3680000</v>
      </c>
      <c r="AH82" s="383">
        <f t="shared" si="111"/>
        <v>0</v>
      </c>
      <c r="AJ82" s="392">
        <v>5000000</v>
      </c>
      <c r="AK82" s="392">
        <f>'[1]COE  LIB. 2019'!L16</f>
        <v>5000000</v>
      </c>
      <c r="AL82" s="383">
        <f t="shared" si="112"/>
        <v>0</v>
      </c>
      <c r="AN82" s="392">
        <f>'[1]COE commited funds to date'!M95</f>
        <v>10000000</v>
      </c>
      <c r="AO82" s="392">
        <f>'[1]COE  LIB. 2019'!M16</f>
        <v>10000000</v>
      </c>
      <c r="AP82" s="383">
        <f t="shared" si="113"/>
        <v>0</v>
      </c>
      <c r="AR82" s="392">
        <f>'[1]COE commited funds to date'!N95</f>
        <v>10000000</v>
      </c>
      <c r="AS82" s="392">
        <f>'[1]COE  LIB. 2019'!N16</f>
        <v>10000000</v>
      </c>
      <c r="AT82" s="383">
        <f t="shared" si="114"/>
        <v>0</v>
      </c>
      <c r="AV82" s="392">
        <v>20000000</v>
      </c>
      <c r="AW82" s="392">
        <f>'[1]COE  LIB. 2019'!O16</f>
        <v>20000000</v>
      </c>
      <c r="AX82" s="383">
        <f t="shared" si="115"/>
        <v>0</v>
      </c>
      <c r="AZ82" s="392">
        <f>'[1]COE commited funds to date'!P95</f>
        <v>30000000</v>
      </c>
      <c r="BA82" s="392">
        <f>'[1]COE  LIB. 2019'!P16</f>
        <v>30000000</v>
      </c>
      <c r="BB82" s="383">
        <f t="shared" si="116"/>
        <v>0</v>
      </c>
      <c r="BC82" s="408"/>
      <c r="BD82" s="392">
        <f>'[1]COE commited funds to date'!Q95</f>
        <v>70000000</v>
      </c>
      <c r="BE82" s="392">
        <f>'[1]COE  LIB. 2019'!Q16</f>
        <v>70000000</v>
      </c>
      <c r="BF82" s="383">
        <f t="shared" si="117"/>
        <v>0</v>
      </c>
      <c r="BH82" s="392">
        <v>35000000</v>
      </c>
      <c r="BI82" s="383">
        <f>'[1]COE  LIB. 2019'!R16</f>
        <v>0</v>
      </c>
      <c r="BJ82" s="383">
        <f t="shared" si="118"/>
        <v>35000000</v>
      </c>
      <c r="BL82" s="383">
        <f>'[1]COE commited funds to date'!S95</f>
        <v>30000000</v>
      </c>
      <c r="BM82" s="383">
        <f>'[1]COE  LIB. 2019'!S16</f>
        <v>0</v>
      </c>
      <c r="BN82" s="383">
        <f t="shared" si="119"/>
        <v>30000000</v>
      </c>
      <c r="BP82" s="383">
        <f>'[1]COE commited funds to date'!T95</f>
        <v>24000000</v>
      </c>
      <c r="BQ82" s="383">
        <f>'[1]COE  LIB. 2019'!T15</f>
        <v>0</v>
      </c>
      <c r="BR82" s="383">
        <f t="shared" si="120"/>
        <v>24000000</v>
      </c>
      <c r="BS82" s="380"/>
      <c r="BT82" s="383">
        <f>'[1]COE commited funds to date'!U95</f>
        <v>16000000</v>
      </c>
      <c r="BU82" s="383">
        <f>'[1]COE  LIB. 2019'!U16</f>
        <v>0</v>
      </c>
      <c r="BV82" s="383">
        <f t="shared" si="121"/>
        <v>16000000</v>
      </c>
      <c r="BW82" s="380"/>
      <c r="BX82" s="383">
        <f t="shared" si="122"/>
        <v>264305000</v>
      </c>
      <c r="BY82" s="383">
        <f t="shared" si="122"/>
        <v>159305000</v>
      </c>
      <c r="BZ82" s="383">
        <f t="shared" si="123"/>
        <v>105000000</v>
      </c>
    </row>
    <row r="83" spans="1:78" x14ac:dyDescent="0.25">
      <c r="A83" s="380">
        <v>5</v>
      </c>
      <c r="B83" s="418" t="s">
        <v>324</v>
      </c>
      <c r="C83" s="431" t="s">
        <v>76</v>
      </c>
      <c r="D83" s="385">
        <v>1125000</v>
      </c>
      <c r="E83" s="392">
        <f>'[1]COE  LIB. 2019'!D17</f>
        <v>1125000</v>
      </c>
      <c r="F83" s="383">
        <f t="shared" si="104"/>
        <v>0</v>
      </c>
      <c r="H83" s="392">
        <v>1125000</v>
      </c>
      <c r="I83" s="392">
        <f>'[1]COE  LIB. 2019'!E17</f>
        <v>1125000</v>
      </c>
      <c r="J83" s="383">
        <f t="shared" si="105"/>
        <v>0</v>
      </c>
      <c r="L83" s="392">
        <v>1125000</v>
      </c>
      <c r="M83" s="392">
        <f>'[1]COE  LIB. 2019'!F17</f>
        <v>1125000</v>
      </c>
      <c r="N83" s="383">
        <f t="shared" si="106"/>
        <v>0</v>
      </c>
      <c r="P83" s="392">
        <v>1125000</v>
      </c>
      <c r="Q83" s="392">
        <f>'[1]COE  LIB. 2019'!G17</f>
        <v>1125000</v>
      </c>
      <c r="R83" s="383">
        <f t="shared" si="107"/>
        <v>0</v>
      </c>
      <c r="T83" s="392">
        <v>2000000</v>
      </c>
      <c r="U83" s="392">
        <f>'[1]COE  LIB. 2019'!H17</f>
        <v>2000000</v>
      </c>
      <c r="V83" s="383">
        <f t="shared" si="108"/>
        <v>0</v>
      </c>
      <c r="X83" s="392">
        <v>2000000</v>
      </c>
      <c r="Y83" s="392">
        <f>'[1]COE  LIB. 2019'!I17</f>
        <v>2000000</v>
      </c>
      <c r="Z83" s="383">
        <f t="shared" si="109"/>
        <v>0</v>
      </c>
      <c r="AB83" s="392">
        <v>2500000</v>
      </c>
      <c r="AC83" s="392">
        <f>'[1]COE  LIB. 2019'!J17</f>
        <v>2500000</v>
      </c>
      <c r="AD83" s="383">
        <f t="shared" si="110"/>
        <v>0</v>
      </c>
      <c r="AF83" s="392">
        <v>3128000</v>
      </c>
      <c r="AG83" s="392">
        <f>'[1]COE  LIB. 2019'!K17</f>
        <v>3128000</v>
      </c>
      <c r="AH83" s="383">
        <f t="shared" si="111"/>
        <v>0</v>
      </c>
      <c r="AJ83" s="392">
        <v>4250000</v>
      </c>
      <c r="AK83" s="392">
        <f>'[1]COE  LIB. 2019'!L17</f>
        <v>4250000</v>
      </c>
      <c r="AL83" s="383">
        <f t="shared" si="112"/>
        <v>0</v>
      </c>
      <c r="AN83" s="392">
        <v>8500000</v>
      </c>
      <c r="AO83" s="392">
        <f>'[1]COE  LIB. 2019'!M17</f>
        <v>8500000</v>
      </c>
      <c r="AP83" s="383">
        <f t="shared" si="113"/>
        <v>0</v>
      </c>
      <c r="AR83" s="392">
        <f>'[1]COE commited funds to date'!N96</f>
        <v>10000000</v>
      </c>
      <c r="AS83" s="392">
        <f>'[1]COE  LIB. 2019'!N17</f>
        <v>10000000</v>
      </c>
      <c r="AT83" s="383">
        <f t="shared" si="114"/>
        <v>0</v>
      </c>
      <c r="AV83" s="392">
        <v>20000000</v>
      </c>
      <c r="AW83" s="392">
        <f>'[1]COE  LIB. 2019'!O17</f>
        <v>20000000</v>
      </c>
      <c r="AX83" s="383">
        <f t="shared" si="115"/>
        <v>0</v>
      </c>
      <c r="AZ83" s="392">
        <f>'[1]COE commited funds to date'!P96</f>
        <v>30000000</v>
      </c>
      <c r="BA83" s="392">
        <f>'[1]COE  LIB. 2019'!P17</f>
        <v>30000000</v>
      </c>
      <c r="BB83" s="383">
        <f t="shared" si="116"/>
        <v>0</v>
      </c>
      <c r="BC83" s="408"/>
      <c r="BD83" s="392">
        <f>'[1]COE commited funds to date'!Q96</f>
        <v>70000000</v>
      </c>
      <c r="BE83" s="392">
        <f>'[1]COE  LIB. 2019'!Q17</f>
        <v>70000000</v>
      </c>
      <c r="BF83" s="383">
        <f t="shared" si="117"/>
        <v>0</v>
      </c>
      <c r="BH83" s="392">
        <v>35000000</v>
      </c>
      <c r="BI83" s="383">
        <f>'[1]COE  LIB. 2019'!R17</f>
        <v>35000000</v>
      </c>
      <c r="BJ83" s="383">
        <f t="shared" si="118"/>
        <v>0</v>
      </c>
      <c r="BL83" s="383">
        <f>'[1]COE commited funds to date'!S96</f>
        <v>30000000</v>
      </c>
      <c r="BM83" s="383">
        <f>'[1]COE  LIB. 2019'!S17</f>
        <v>0</v>
      </c>
      <c r="BN83" s="383">
        <f t="shared" si="119"/>
        <v>30000000</v>
      </c>
      <c r="BP83" s="383">
        <f>'[1]COE commited funds to date'!T96</f>
        <v>24000000</v>
      </c>
      <c r="BQ83" s="383">
        <f>'[1]COE  LIB. 2019'!T16</f>
        <v>0</v>
      </c>
      <c r="BR83" s="383">
        <f t="shared" si="120"/>
        <v>24000000</v>
      </c>
      <c r="BS83" s="380"/>
      <c r="BT83" s="383">
        <f>'[1]COE commited funds to date'!U96</f>
        <v>16000000</v>
      </c>
      <c r="BU83" s="383">
        <f>'[1]COE  LIB. 2019'!U17</f>
        <v>0</v>
      </c>
      <c r="BV83" s="383">
        <f t="shared" si="121"/>
        <v>16000000</v>
      </c>
      <c r="BW83" s="380"/>
      <c r="BX83" s="383">
        <f t="shared" si="122"/>
        <v>261878000</v>
      </c>
      <c r="BY83" s="383">
        <f t="shared" si="122"/>
        <v>191878000</v>
      </c>
      <c r="BZ83" s="383">
        <f t="shared" si="123"/>
        <v>70000000</v>
      </c>
    </row>
    <row r="84" spans="1:78" x14ac:dyDescent="0.25">
      <c r="A84" s="380">
        <v>6</v>
      </c>
      <c r="B84" s="418" t="s">
        <v>325</v>
      </c>
      <c r="C84" s="431" t="s">
        <v>74</v>
      </c>
      <c r="D84" s="385">
        <v>1125000</v>
      </c>
      <c r="E84" s="392">
        <f>'[1]COE  LIB. 2019'!D18</f>
        <v>1125000</v>
      </c>
      <c r="F84" s="383">
        <f t="shared" si="104"/>
        <v>0</v>
      </c>
      <c r="H84" s="392">
        <v>1125000</v>
      </c>
      <c r="I84" s="392">
        <f>'[1]COE  LIB. 2019'!E18</f>
        <v>1125000</v>
      </c>
      <c r="J84" s="383">
        <f t="shared" si="105"/>
        <v>0</v>
      </c>
      <c r="L84" s="392">
        <v>1125000</v>
      </c>
      <c r="M84" s="392">
        <f>'[1]COE  LIB. 2019'!F18</f>
        <v>1125000</v>
      </c>
      <c r="N84" s="383">
        <f t="shared" si="106"/>
        <v>0</v>
      </c>
      <c r="P84" s="392">
        <v>1125000</v>
      </c>
      <c r="Q84" s="392">
        <f>'[1]COE  LIB. 2019'!G18</f>
        <v>1125000</v>
      </c>
      <c r="R84" s="383">
        <f t="shared" si="107"/>
        <v>0</v>
      </c>
      <c r="T84" s="392">
        <v>2000000</v>
      </c>
      <c r="U84" s="392">
        <f>'[1]COE  LIB. 2019'!H18</f>
        <v>2000000</v>
      </c>
      <c r="V84" s="383">
        <f t="shared" si="108"/>
        <v>0</v>
      </c>
      <c r="X84" s="392">
        <v>2000000</v>
      </c>
      <c r="Y84" s="392">
        <f>'[1]COE  LIB. 2019'!I18</f>
        <v>2000000</v>
      </c>
      <c r="Z84" s="383">
        <f t="shared" si="109"/>
        <v>0</v>
      </c>
      <c r="AB84" s="392">
        <v>2500000</v>
      </c>
      <c r="AC84" s="392">
        <f>'[1]COE  LIB. 2019'!J18</f>
        <v>2500000</v>
      </c>
      <c r="AD84" s="383">
        <f t="shared" si="110"/>
        <v>0</v>
      </c>
      <c r="AF84" s="392">
        <v>3680000</v>
      </c>
      <c r="AG84" s="392">
        <f>'[1]COE  LIB. 2019'!K18</f>
        <v>3680000</v>
      </c>
      <c r="AH84" s="383">
        <f t="shared" si="111"/>
        <v>0</v>
      </c>
      <c r="AJ84" s="392">
        <v>5000000</v>
      </c>
      <c r="AK84" s="392">
        <f>'[1]COE  LIB. 2019'!L18</f>
        <v>5000000</v>
      </c>
      <c r="AL84" s="383">
        <f t="shared" si="112"/>
        <v>0</v>
      </c>
      <c r="AN84" s="392">
        <f>'[1]COE commited funds to date'!M97</f>
        <v>10000000</v>
      </c>
      <c r="AO84" s="392">
        <f>'[1]COE  LIB. 2019'!M18</f>
        <v>10000000</v>
      </c>
      <c r="AP84" s="383">
        <f t="shared" si="113"/>
        <v>0</v>
      </c>
      <c r="AR84" s="392">
        <f>'[1]COE commited funds to date'!N97</f>
        <v>10000000</v>
      </c>
      <c r="AS84" s="392">
        <f>'[1]COE  LIB. 2019'!N18</f>
        <v>10000000</v>
      </c>
      <c r="AT84" s="383">
        <f t="shared" si="114"/>
        <v>0</v>
      </c>
      <c r="AV84" s="392">
        <v>20000000</v>
      </c>
      <c r="AW84" s="392">
        <f>'[1]COE  LIB. 2019'!O18</f>
        <v>20000000</v>
      </c>
      <c r="AX84" s="383">
        <f t="shared" si="115"/>
        <v>0</v>
      </c>
      <c r="AZ84" s="392">
        <f>'[1]COE commited funds to date'!P97</f>
        <v>30000000</v>
      </c>
      <c r="BA84" s="392">
        <f>'[1]COE  LIB. 2019'!P18</f>
        <v>25500000</v>
      </c>
      <c r="BB84" s="383">
        <f t="shared" si="116"/>
        <v>4500000</v>
      </c>
      <c r="BC84" s="408"/>
      <c r="BD84" s="392">
        <f>'[1]COE commited funds to date'!Q97</f>
        <v>70000000</v>
      </c>
      <c r="BE84" s="392">
        <f>'[1]COE  LIB. 2019'!Q18</f>
        <v>59500000</v>
      </c>
      <c r="BF84" s="383">
        <f t="shared" si="117"/>
        <v>10500000</v>
      </c>
      <c r="BH84" s="392">
        <v>35000000</v>
      </c>
      <c r="BI84" s="383">
        <f>'[1]COE  LIB. 2019'!R18</f>
        <v>29750000</v>
      </c>
      <c r="BJ84" s="383">
        <f t="shared" si="118"/>
        <v>5250000</v>
      </c>
      <c r="BL84" s="383">
        <f>'[1]COE commited funds to date'!S97</f>
        <v>30000000</v>
      </c>
      <c r="BM84" s="383">
        <f>'[1]COE  LIB. 2019'!S18</f>
        <v>25500000</v>
      </c>
      <c r="BN84" s="383">
        <f t="shared" si="119"/>
        <v>4500000</v>
      </c>
      <c r="BP84" s="383">
        <f>'[1]COE commited funds to date'!T97</f>
        <v>24000000</v>
      </c>
      <c r="BQ84" s="383">
        <f>'[1]COE  LIB. 2019'!T17</f>
        <v>0</v>
      </c>
      <c r="BR84" s="383">
        <f t="shared" si="120"/>
        <v>24000000</v>
      </c>
      <c r="BS84" s="380"/>
      <c r="BT84" s="383">
        <f>'[1]COE commited funds to date'!U97</f>
        <v>16000000</v>
      </c>
      <c r="BU84" s="383">
        <f>'[1]COE  LIB. 2019'!U18</f>
        <v>0</v>
      </c>
      <c r="BV84" s="383">
        <f t="shared" si="121"/>
        <v>16000000</v>
      </c>
      <c r="BW84" s="380"/>
      <c r="BX84" s="383">
        <f t="shared" si="122"/>
        <v>264680000</v>
      </c>
      <c r="BY84" s="383">
        <f t="shared" si="122"/>
        <v>199930000</v>
      </c>
      <c r="BZ84" s="383">
        <f t="shared" si="123"/>
        <v>64750000</v>
      </c>
    </row>
    <row r="85" spans="1:78" x14ac:dyDescent="0.25">
      <c r="A85" s="380">
        <v>7</v>
      </c>
      <c r="B85" s="418" t="s">
        <v>326</v>
      </c>
      <c r="C85" s="433" t="s">
        <v>63</v>
      </c>
      <c r="D85" s="385">
        <v>1125000</v>
      </c>
      <c r="E85" s="392">
        <f>'[1]COE  LIB. 2019'!D19</f>
        <v>1125000</v>
      </c>
      <c r="F85" s="383">
        <f t="shared" si="104"/>
        <v>0</v>
      </c>
      <c r="H85" s="392">
        <v>1125000</v>
      </c>
      <c r="I85" s="392">
        <f>'[1]COE  LIB. 2019'!E19</f>
        <v>1125000</v>
      </c>
      <c r="J85" s="383">
        <f t="shared" si="105"/>
        <v>0</v>
      </c>
      <c r="L85" s="392">
        <v>1125000</v>
      </c>
      <c r="M85" s="392">
        <f>'[1]COE  LIB. 2019'!F19</f>
        <v>1125000</v>
      </c>
      <c r="N85" s="383">
        <f t="shared" si="106"/>
        <v>0</v>
      </c>
      <c r="P85" s="392">
        <v>1125000</v>
      </c>
      <c r="Q85" s="392">
        <f>'[1]COE  LIB. 2019'!G19</f>
        <v>1125000</v>
      </c>
      <c r="R85" s="383">
        <f t="shared" si="107"/>
        <v>0</v>
      </c>
      <c r="T85" s="392">
        <v>2000000</v>
      </c>
      <c r="U85" s="392">
        <f>'[1]COE  LIB. 2019'!H19</f>
        <v>2000000</v>
      </c>
      <c r="V85" s="383">
        <f t="shared" si="108"/>
        <v>0</v>
      </c>
      <c r="X85" s="392">
        <v>2000000</v>
      </c>
      <c r="Y85" s="392">
        <f>'[1]COE  LIB. 2019'!I19</f>
        <v>2000000</v>
      </c>
      <c r="Z85" s="383">
        <f t="shared" si="109"/>
        <v>0</v>
      </c>
      <c r="AB85" s="392">
        <v>2500000</v>
      </c>
      <c r="AC85" s="392">
        <f>'[1]COE  LIB. 2019'!J19</f>
        <v>2500000</v>
      </c>
      <c r="AD85" s="383">
        <f t="shared" si="110"/>
        <v>0</v>
      </c>
      <c r="AF85" s="392">
        <v>3680000</v>
      </c>
      <c r="AG85" s="392">
        <f>'[1]COE  LIB. 2019'!K19</f>
        <v>3680000</v>
      </c>
      <c r="AH85" s="383">
        <f t="shared" si="111"/>
        <v>0</v>
      </c>
      <c r="AJ85" s="392">
        <v>5000000</v>
      </c>
      <c r="AK85" s="392">
        <f>'[1]COE  LIB. 2019'!L19</f>
        <v>5000000</v>
      </c>
      <c r="AL85" s="383">
        <f t="shared" si="112"/>
        <v>0</v>
      </c>
      <c r="AN85" s="392">
        <f>'[1]COE commited funds to date'!M98</f>
        <v>10000000</v>
      </c>
      <c r="AO85" s="392">
        <f>'[1]COE  LIB. 2019'!M19</f>
        <v>10000000</v>
      </c>
      <c r="AP85" s="383">
        <f t="shared" si="113"/>
        <v>0</v>
      </c>
      <c r="AR85" s="392">
        <f>'[1]COE commited funds to date'!N98</f>
        <v>10000000</v>
      </c>
      <c r="AS85" s="392">
        <f>'[1]COE  LIB. 2019'!N19</f>
        <v>10000000</v>
      </c>
      <c r="AT85" s="383">
        <f t="shared" si="114"/>
        <v>0</v>
      </c>
      <c r="AV85" s="392">
        <v>20000000</v>
      </c>
      <c r="AW85" s="392">
        <f>'[1]COE  LIB. 2019'!O19</f>
        <v>20000000</v>
      </c>
      <c r="AX85" s="383">
        <f t="shared" si="115"/>
        <v>0</v>
      </c>
      <c r="AZ85" s="392">
        <f>'[1]COE commited funds to date'!P98</f>
        <v>30000000</v>
      </c>
      <c r="BA85" s="392">
        <f>'[1]COE  LIB. 2019'!P19</f>
        <v>30000000</v>
      </c>
      <c r="BB85" s="383">
        <f t="shared" si="116"/>
        <v>0</v>
      </c>
      <c r="BC85" s="408"/>
      <c r="BD85" s="392">
        <f>'[1]COE commited funds to date'!Q98</f>
        <v>70000000</v>
      </c>
      <c r="BE85" s="392">
        <f>'[1]COE  LIB. 2019'!Q19</f>
        <v>70000000</v>
      </c>
      <c r="BF85" s="383">
        <f t="shared" si="117"/>
        <v>0</v>
      </c>
      <c r="BH85" s="392">
        <v>35000000</v>
      </c>
      <c r="BI85" s="383">
        <f>'[1]COE  LIB. 2019'!R19</f>
        <v>0</v>
      </c>
      <c r="BJ85" s="383">
        <f t="shared" si="118"/>
        <v>35000000</v>
      </c>
      <c r="BL85" s="383">
        <f>'[1]COE commited funds to date'!S98</f>
        <v>30000000</v>
      </c>
      <c r="BM85" s="383">
        <f>'[1]COE  LIB. 2019'!S19</f>
        <v>0</v>
      </c>
      <c r="BN85" s="383">
        <f t="shared" si="119"/>
        <v>30000000</v>
      </c>
      <c r="BP85" s="383">
        <f>'[1]COE commited funds to date'!T98</f>
        <v>24000000</v>
      </c>
      <c r="BQ85" s="383">
        <f>'[1]COE  LIB. 2019'!T18</f>
        <v>0</v>
      </c>
      <c r="BR85" s="383">
        <f t="shared" si="120"/>
        <v>24000000</v>
      </c>
      <c r="BS85" s="380"/>
      <c r="BT85" s="383">
        <f>'[1]COE commited funds to date'!U98</f>
        <v>16000000</v>
      </c>
      <c r="BU85" s="383">
        <f>'[1]COE  LIB. 2019'!U19</f>
        <v>0</v>
      </c>
      <c r="BV85" s="383">
        <f t="shared" si="121"/>
        <v>16000000</v>
      </c>
      <c r="BW85" s="380"/>
      <c r="BX85" s="383">
        <f t="shared" si="122"/>
        <v>264680000</v>
      </c>
      <c r="BY85" s="383">
        <f t="shared" si="122"/>
        <v>159680000</v>
      </c>
      <c r="BZ85" s="383">
        <f t="shared" si="123"/>
        <v>105000000</v>
      </c>
    </row>
    <row r="86" spans="1:78" x14ac:dyDescent="0.25">
      <c r="A86" s="380">
        <v>8</v>
      </c>
      <c r="B86" s="418" t="s">
        <v>327</v>
      </c>
      <c r="C86" s="433" t="s">
        <v>63</v>
      </c>
      <c r="D86" s="385">
        <v>1125000</v>
      </c>
      <c r="E86" s="392">
        <f>'[1]COE  LIB. 2019'!D20</f>
        <v>1125000</v>
      </c>
      <c r="F86" s="383">
        <f t="shared" si="104"/>
        <v>0</v>
      </c>
      <c r="H86" s="392">
        <v>1125000</v>
      </c>
      <c r="I86" s="392">
        <f>'[1]COE  LIB. 2019'!E20</f>
        <v>1125000</v>
      </c>
      <c r="J86" s="383">
        <f t="shared" si="105"/>
        <v>0</v>
      </c>
      <c r="L86" s="392">
        <v>1062500</v>
      </c>
      <c r="M86" s="392">
        <f>'[1]COE  LIB. 2019'!F20</f>
        <v>1062500</v>
      </c>
      <c r="N86" s="383">
        <f t="shared" si="106"/>
        <v>0</v>
      </c>
      <c r="P86" s="392">
        <v>1062500</v>
      </c>
      <c r="Q86" s="392">
        <f>'[1]COE  LIB. 2019'!G20</f>
        <v>1062500</v>
      </c>
      <c r="R86" s="383">
        <f t="shared" si="107"/>
        <v>0</v>
      </c>
      <c r="T86" s="392">
        <v>2000000</v>
      </c>
      <c r="U86" s="392">
        <f>'[1]COE  LIB. 2019'!H20</f>
        <v>2000000</v>
      </c>
      <c r="V86" s="383">
        <f t="shared" si="108"/>
        <v>0</v>
      </c>
      <c r="X86" s="392">
        <v>2000000</v>
      </c>
      <c r="Y86" s="392">
        <f>'[1]COE  LIB. 2019'!I20</f>
        <v>2000000</v>
      </c>
      <c r="Z86" s="383">
        <f t="shared" si="109"/>
        <v>0</v>
      </c>
      <c r="AB86" s="392">
        <v>2500000</v>
      </c>
      <c r="AC86" s="392">
        <f>'[1]COE  LIB. 2019'!J20</f>
        <v>2500000</v>
      </c>
      <c r="AD86" s="383">
        <f t="shared" si="110"/>
        <v>0</v>
      </c>
      <c r="AF86" s="392">
        <v>3680000</v>
      </c>
      <c r="AG86" s="392">
        <f>'[1]COE  LIB. 2019'!K20</f>
        <v>3680000</v>
      </c>
      <c r="AH86" s="383">
        <f t="shared" si="111"/>
        <v>0</v>
      </c>
      <c r="AJ86" s="392">
        <v>5000000</v>
      </c>
      <c r="AK86" s="392">
        <f>'[1]COE  LIB. 2019'!L20</f>
        <v>5000000</v>
      </c>
      <c r="AL86" s="383">
        <f t="shared" si="112"/>
        <v>0</v>
      </c>
      <c r="AN86" s="392">
        <f>'[1]COE commited funds to date'!M99</f>
        <v>10000000</v>
      </c>
      <c r="AO86" s="392">
        <f>'[1]COE  LIB. 2019'!M20</f>
        <v>10000000</v>
      </c>
      <c r="AP86" s="383">
        <f t="shared" si="113"/>
        <v>0</v>
      </c>
      <c r="AR86" s="392">
        <f>'[1]COE commited funds to date'!N99</f>
        <v>10000000</v>
      </c>
      <c r="AS86" s="392">
        <f>'[1]COE  LIB. 2019'!N20</f>
        <v>10000000</v>
      </c>
      <c r="AT86" s="383">
        <f t="shared" si="114"/>
        <v>0</v>
      </c>
      <c r="AV86" s="392">
        <v>20000000</v>
      </c>
      <c r="AW86" s="392">
        <f>'[1]COE  LIB. 2019'!O20</f>
        <v>20000000</v>
      </c>
      <c r="AX86" s="383">
        <f t="shared" si="115"/>
        <v>0</v>
      </c>
      <c r="AZ86" s="392">
        <f>'[1]COE commited funds to date'!P99</f>
        <v>30000000</v>
      </c>
      <c r="BA86" s="392">
        <f>'[1]COE  LIB. 2019'!P20</f>
        <v>30000000</v>
      </c>
      <c r="BB86" s="383">
        <f t="shared" si="116"/>
        <v>0</v>
      </c>
      <c r="BC86" s="408"/>
      <c r="BD86" s="392">
        <f>'[1]COE commited funds to date'!Q99</f>
        <v>70000000</v>
      </c>
      <c r="BE86" s="392">
        <f>'[1]COE  LIB. 2019'!Q20</f>
        <v>70000000</v>
      </c>
      <c r="BF86" s="383">
        <f t="shared" si="117"/>
        <v>0</v>
      </c>
      <c r="BH86" s="392">
        <v>35000000</v>
      </c>
      <c r="BI86" s="383">
        <f>'[1]COE  LIB. 2019'!R20</f>
        <v>29750000</v>
      </c>
      <c r="BJ86" s="383">
        <f t="shared" si="118"/>
        <v>5250000</v>
      </c>
      <c r="BL86" s="383">
        <f>'[1]COE commited funds to date'!S99</f>
        <v>30000000</v>
      </c>
      <c r="BM86" s="383">
        <f>'[1]COE  LIB. 2019'!S20</f>
        <v>25500000</v>
      </c>
      <c r="BN86" s="383">
        <f t="shared" si="119"/>
        <v>4500000</v>
      </c>
      <c r="BP86" s="383">
        <f>'[1]COE commited funds to date'!T99</f>
        <v>24000000</v>
      </c>
      <c r="BQ86" s="383">
        <f>'[1]COE  LIB. 2019'!T19</f>
        <v>0</v>
      </c>
      <c r="BR86" s="383">
        <f t="shared" si="120"/>
        <v>24000000</v>
      </c>
      <c r="BS86" s="380"/>
      <c r="BT86" s="383">
        <f>'[1]COE commited funds to date'!U99</f>
        <v>16000000</v>
      </c>
      <c r="BU86" s="383">
        <f>'[1]COE  LIB. 2019'!U20</f>
        <v>0</v>
      </c>
      <c r="BV86" s="383">
        <f t="shared" si="121"/>
        <v>16000000</v>
      </c>
      <c r="BW86" s="380"/>
      <c r="BX86" s="383">
        <f t="shared" si="122"/>
        <v>264555000</v>
      </c>
      <c r="BY86" s="383">
        <f t="shared" si="122"/>
        <v>214805000</v>
      </c>
      <c r="BZ86" s="383">
        <f t="shared" si="123"/>
        <v>49750000</v>
      </c>
    </row>
    <row r="87" spans="1:78" x14ac:dyDescent="0.25">
      <c r="A87" s="380">
        <v>9</v>
      </c>
      <c r="B87" s="418" t="s">
        <v>328</v>
      </c>
      <c r="C87" s="431" t="s">
        <v>63</v>
      </c>
      <c r="D87" s="385">
        <v>1125000</v>
      </c>
      <c r="E87" s="392">
        <f>'[1]COE  LIB. 2019'!D21</f>
        <v>1125000</v>
      </c>
      <c r="F87" s="383">
        <f t="shared" si="104"/>
        <v>0</v>
      </c>
      <c r="H87" s="392">
        <v>1125000</v>
      </c>
      <c r="I87" s="392">
        <f>'[1]COE  LIB. 2019'!E21</f>
        <v>1125000</v>
      </c>
      <c r="J87" s="383">
        <f t="shared" si="105"/>
        <v>0</v>
      </c>
      <c r="L87" s="392">
        <v>1125000</v>
      </c>
      <c r="M87" s="392">
        <f>'[1]COE  LIB. 2019'!F21</f>
        <v>1125000</v>
      </c>
      <c r="N87" s="383">
        <f t="shared" si="106"/>
        <v>0</v>
      </c>
      <c r="P87" s="392">
        <v>1125000</v>
      </c>
      <c r="Q87" s="392">
        <f>'[1]COE  LIB. 2019'!G21</f>
        <v>1125000</v>
      </c>
      <c r="R87" s="383">
        <f t="shared" si="107"/>
        <v>0</v>
      </c>
      <c r="T87" s="392">
        <v>2000000</v>
      </c>
      <c r="U87" s="392">
        <f>'[1]COE  LIB. 2019'!H21</f>
        <v>2000000</v>
      </c>
      <c r="V87" s="383">
        <f t="shared" si="108"/>
        <v>0</v>
      </c>
      <c r="X87" s="392">
        <v>2000000</v>
      </c>
      <c r="Y87" s="392">
        <f>'[1]COE  LIB. 2019'!I21</f>
        <v>2000000</v>
      </c>
      <c r="Z87" s="383">
        <f t="shared" si="109"/>
        <v>0</v>
      </c>
      <c r="AB87" s="392">
        <v>2125000</v>
      </c>
      <c r="AC87" s="392">
        <f>'[1]COE  LIB. 2019'!J21</f>
        <v>2125000</v>
      </c>
      <c r="AD87" s="383">
        <f t="shared" si="110"/>
        <v>0</v>
      </c>
      <c r="AF87" s="392">
        <v>3128000</v>
      </c>
      <c r="AG87" s="392">
        <f>'[1]COE  LIB. 2019'!K21</f>
        <v>3128000</v>
      </c>
      <c r="AH87" s="383">
        <f t="shared" si="111"/>
        <v>0</v>
      </c>
      <c r="AJ87" s="392">
        <v>4250000</v>
      </c>
      <c r="AK87" s="392">
        <f>'[1]COE  LIB. 2019'!L21</f>
        <v>4250000</v>
      </c>
      <c r="AL87" s="383">
        <f t="shared" si="112"/>
        <v>0</v>
      </c>
      <c r="AN87" s="392">
        <f>'[1]COE commited funds to date'!M100</f>
        <v>10000000</v>
      </c>
      <c r="AO87" s="392">
        <f>'[1]COE  LIB. 2019'!M21</f>
        <v>10000000</v>
      </c>
      <c r="AP87" s="383">
        <f t="shared" si="113"/>
        <v>0</v>
      </c>
      <c r="AR87" s="392">
        <f>'[1]COE commited funds to date'!N100</f>
        <v>10000000</v>
      </c>
      <c r="AS87" s="392">
        <f>'[1]COE  LIB. 2019'!N21</f>
        <v>10000000</v>
      </c>
      <c r="AT87" s="383">
        <f t="shared" si="114"/>
        <v>0</v>
      </c>
      <c r="AV87" s="392">
        <v>20000000</v>
      </c>
      <c r="AW87" s="392">
        <f>'[1]COE  LIB. 2019'!O21</f>
        <v>20000000</v>
      </c>
      <c r="AX87" s="383">
        <f t="shared" si="115"/>
        <v>0</v>
      </c>
      <c r="AZ87" s="392">
        <f>'[1]COE commited funds to date'!P100</f>
        <v>30000000</v>
      </c>
      <c r="BA87" s="392">
        <f>'[1]COE  LIB. 2019'!P21</f>
        <v>25500000</v>
      </c>
      <c r="BB87" s="383">
        <f t="shared" si="116"/>
        <v>4500000</v>
      </c>
      <c r="BC87" s="408"/>
      <c r="BD87" s="392">
        <f>'[1]COE commited funds to date'!Q100</f>
        <v>70000000</v>
      </c>
      <c r="BE87" s="392">
        <f>'[1]COE  LIB. 2019'!Q21</f>
        <v>59500000</v>
      </c>
      <c r="BF87" s="383">
        <f t="shared" si="117"/>
        <v>10500000</v>
      </c>
      <c r="BH87" s="392">
        <v>35000000</v>
      </c>
      <c r="BI87" s="383">
        <f>'[1]COE  LIB. 2019'!R21</f>
        <v>0</v>
      </c>
      <c r="BJ87" s="383">
        <f t="shared" si="118"/>
        <v>35000000</v>
      </c>
      <c r="BL87" s="383">
        <f>'[1]COE commited funds to date'!S100</f>
        <v>30000000</v>
      </c>
      <c r="BM87" s="383">
        <f>'[1]COE  LIB. 2019'!S21</f>
        <v>0</v>
      </c>
      <c r="BN87" s="383">
        <f t="shared" si="119"/>
        <v>30000000</v>
      </c>
      <c r="BP87" s="383">
        <f>'[1]COE commited funds to date'!T100</f>
        <v>24000000</v>
      </c>
      <c r="BQ87" s="383">
        <f>'[1]COE  LIB. 2019'!T20</f>
        <v>0</v>
      </c>
      <c r="BR87" s="383">
        <f t="shared" si="120"/>
        <v>24000000</v>
      </c>
      <c r="BS87" s="380"/>
      <c r="BT87" s="383">
        <f>'[1]COE commited funds to date'!U100</f>
        <v>16000000</v>
      </c>
      <c r="BU87" s="383">
        <f>'[1]COE  LIB. 2019'!U21</f>
        <v>0</v>
      </c>
      <c r="BV87" s="383">
        <f t="shared" si="121"/>
        <v>16000000</v>
      </c>
      <c r="BW87" s="380"/>
      <c r="BX87" s="383">
        <f t="shared" si="122"/>
        <v>263003000</v>
      </c>
      <c r="BY87" s="383">
        <f t="shared" si="122"/>
        <v>143003000</v>
      </c>
      <c r="BZ87" s="383">
        <f t="shared" si="123"/>
        <v>120000000</v>
      </c>
    </row>
    <row r="88" spans="1:78" x14ac:dyDescent="0.25">
      <c r="A88" s="380">
        <v>10</v>
      </c>
      <c r="B88" s="418" t="s">
        <v>329</v>
      </c>
      <c r="C88" s="431" t="s">
        <v>63</v>
      </c>
      <c r="D88" s="385">
        <v>1125000</v>
      </c>
      <c r="E88" s="392">
        <f>'[1]COE  LIB. 2019'!D22</f>
        <v>1125000</v>
      </c>
      <c r="F88" s="383">
        <f t="shared" si="104"/>
        <v>0</v>
      </c>
      <c r="H88" s="392">
        <v>1125000</v>
      </c>
      <c r="I88" s="392">
        <f>'[1]COE  LIB. 2019'!E22</f>
        <v>1125000</v>
      </c>
      <c r="J88" s="383">
        <f t="shared" si="105"/>
        <v>0</v>
      </c>
      <c r="L88" s="392">
        <v>1125000</v>
      </c>
      <c r="M88" s="392">
        <f>'[1]COE  LIB. 2019'!F22</f>
        <v>1125000</v>
      </c>
      <c r="N88" s="383">
        <f t="shared" si="106"/>
        <v>0</v>
      </c>
      <c r="P88" s="392">
        <v>1125000</v>
      </c>
      <c r="Q88" s="392">
        <f>'[1]COE  LIB. 2019'!G22</f>
        <v>1125000</v>
      </c>
      <c r="R88" s="383">
        <f t="shared" si="107"/>
        <v>0</v>
      </c>
      <c r="T88" s="392">
        <v>2000000</v>
      </c>
      <c r="U88" s="392">
        <f>'[1]COE  LIB. 2019'!H22</f>
        <v>2000000</v>
      </c>
      <c r="V88" s="383">
        <f t="shared" si="108"/>
        <v>0</v>
      </c>
      <c r="X88" s="392">
        <v>2000000</v>
      </c>
      <c r="Y88" s="392">
        <f>'[1]COE  LIB. 2019'!I22</f>
        <v>2000000</v>
      </c>
      <c r="Z88" s="383">
        <f t="shared" si="109"/>
        <v>0</v>
      </c>
      <c r="AB88" s="392">
        <v>2500000</v>
      </c>
      <c r="AC88" s="392">
        <f>'[1]COE  LIB. 2019'!J22</f>
        <v>2500000</v>
      </c>
      <c r="AD88" s="383">
        <f t="shared" si="110"/>
        <v>0</v>
      </c>
      <c r="AF88" s="392">
        <v>3680000</v>
      </c>
      <c r="AG88" s="392">
        <f>'[1]COE  LIB. 2019'!K22</f>
        <v>3680000</v>
      </c>
      <c r="AH88" s="383">
        <f t="shared" si="111"/>
        <v>0</v>
      </c>
      <c r="AJ88" s="392">
        <v>5000000</v>
      </c>
      <c r="AK88" s="392">
        <f>'[1]COE  LIB. 2019'!L22</f>
        <v>5000000</v>
      </c>
      <c r="AL88" s="383">
        <f t="shared" si="112"/>
        <v>0</v>
      </c>
      <c r="AN88" s="392">
        <f>'[1]COE commited funds to date'!M101</f>
        <v>10000000</v>
      </c>
      <c r="AO88" s="392">
        <f>'[1]COE  LIB. 2019'!M22</f>
        <v>10000000</v>
      </c>
      <c r="AP88" s="383">
        <f t="shared" si="113"/>
        <v>0</v>
      </c>
      <c r="AR88" s="392">
        <f>'[1]COE commited funds to date'!N101</f>
        <v>10000000</v>
      </c>
      <c r="AS88" s="392">
        <f>'[1]COE  LIB. 2019'!N22</f>
        <v>10000000</v>
      </c>
      <c r="AT88" s="383">
        <f t="shared" si="114"/>
        <v>0</v>
      </c>
      <c r="AV88" s="392">
        <v>20000000</v>
      </c>
      <c r="AW88" s="392">
        <f>'[1]COE  LIB. 2019'!O22</f>
        <v>20000000</v>
      </c>
      <c r="AX88" s="383">
        <f t="shared" si="115"/>
        <v>0</v>
      </c>
      <c r="AZ88" s="392">
        <f>'[1]COE commited funds to date'!P101</f>
        <v>30000000</v>
      </c>
      <c r="BA88" s="392">
        <f>'[1]COE  LIB. 2019'!P22</f>
        <v>30000000</v>
      </c>
      <c r="BB88" s="383">
        <f t="shared" si="116"/>
        <v>0</v>
      </c>
      <c r="BC88" s="408"/>
      <c r="BD88" s="392">
        <f>'[1]COE commited funds to date'!Q101</f>
        <v>70000000</v>
      </c>
      <c r="BE88" s="392">
        <f>'[1]COE  LIB. 2019'!Q22</f>
        <v>70000000</v>
      </c>
      <c r="BF88" s="383">
        <f t="shared" si="117"/>
        <v>0</v>
      </c>
      <c r="BH88" s="392">
        <v>35000000</v>
      </c>
      <c r="BI88" s="383">
        <f>'[1]COE  LIB. 2019'!R22</f>
        <v>35000000</v>
      </c>
      <c r="BJ88" s="383">
        <f t="shared" si="118"/>
        <v>0</v>
      </c>
      <c r="BL88" s="383">
        <f>'[1]COE commited funds to date'!S101</f>
        <v>30000000</v>
      </c>
      <c r="BM88" s="383">
        <f>'[1]COE  LIB. 2019'!S22</f>
        <v>25750000</v>
      </c>
      <c r="BN88" s="383">
        <f t="shared" si="119"/>
        <v>4250000</v>
      </c>
      <c r="BP88" s="383">
        <f>'[1]COE commited funds to date'!T101</f>
        <v>24000000</v>
      </c>
      <c r="BQ88" s="383">
        <f>'[1]COE  LIB. 2019'!T21</f>
        <v>0</v>
      </c>
      <c r="BR88" s="383">
        <f t="shared" si="120"/>
        <v>24000000</v>
      </c>
      <c r="BS88" s="380"/>
      <c r="BT88" s="383">
        <f>'[1]COE commited funds to date'!U101</f>
        <v>16000000</v>
      </c>
      <c r="BU88" s="383">
        <f>'[1]COE  LIB. 2019'!U22</f>
        <v>0</v>
      </c>
      <c r="BV88" s="383">
        <f t="shared" si="121"/>
        <v>16000000</v>
      </c>
      <c r="BW88" s="380"/>
      <c r="BX88" s="383">
        <f t="shared" si="122"/>
        <v>264680000</v>
      </c>
      <c r="BY88" s="383">
        <f t="shared" si="122"/>
        <v>220430000</v>
      </c>
      <c r="BZ88" s="383">
        <f t="shared" si="123"/>
        <v>44250000</v>
      </c>
    </row>
    <row r="89" spans="1:78" x14ac:dyDescent="0.25">
      <c r="A89" s="380">
        <v>11</v>
      </c>
      <c r="B89" s="418" t="s">
        <v>330</v>
      </c>
      <c r="C89" s="431" t="s">
        <v>61</v>
      </c>
      <c r="D89" s="385">
        <v>1125000</v>
      </c>
      <c r="E89" s="392">
        <f>'[1]COE  LIB. 2019'!D23</f>
        <v>1125000</v>
      </c>
      <c r="F89" s="383">
        <f t="shared" si="104"/>
        <v>0</v>
      </c>
      <c r="H89" s="392">
        <v>956250</v>
      </c>
      <c r="I89" s="392">
        <f>'[1]COE  LIB. 2019'!E23</f>
        <v>956250</v>
      </c>
      <c r="J89" s="383">
        <f t="shared" si="105"/>
        <v>0</v>
      </c>
      <c r="L89" s="392">
        <f>1125000-1125000</f>
        <v>0</v>
      </c>
      <c r="M89" s="392">
        <f>'[1]COE  LIB. 2019'!F23</f>
        <v>0</v>
      </c>
      <c r="N89" s="383">
        <f t="shared" si="106"/>
        <v>0</v>
      </c>
      <c r="P89" s="392">
        <f>1125000-1125000</f>
        <v>0</v>
      </c>
      <c r="Q89" s="392">
        <f>'[1]COE  LIB. 2019'!G23</f>
        <v>0</v>
      </c>
      <c r="R89" s="383">
        <f t="shared" si="107"/>
        <v>0</v>
      </c>
      <c r="T89" s="392">
        <v>2000000</v>
      </c>
      <c r="U89" s="392">
        <f>'[1]COE  LIB. 2019'!H23</f>
        <v>2000000</v>
      </c>
      <c r="V89" s="383">
        <f t="shared" si="108"/>
        <v>0</v>
      </c>
      <c r="X89" s="392">
        <v>2000000</v>
      </c>
      <c r="Y89" s="392">
        <f>'[1]COE  LIB. 2019'!I23</f>
        <v>2000000</v>
      </c>
      <c r="Z89" s="383">
        <f t="shared" si="109"/>
        <v>0</v>
      </c>
      <c r="AB89" s="392">
        <v>2500000</v>
      </c>
      <c r="AC89" s="392">
        <f>'[1]COE  LIB. 2019'!J23</f>
        <v>2500000</v>
      </c>
      <c r="AD89" s="383">
        <f t="shared" si="110"/>
        <v>0</v>
      </c>
      <c r="AF89" s="392">
        <v>3680000</v>
      </c>
      <c r="AG89" s="392">
        <f>'[1]COE  LIB. 2019'!K23</f>
        <v>3680000</v>
      </c>
      <c r="AH89" s="383">
        <f t="shared" si="111"/>
        <v>0</v>
      </c>
      <c r="AJ89" s="392">
        <v>5000000</v>
      </c>
      <c r="AK89" s="392">
        <f>'[1]COE  LIB. 2019'!L23</f>
        <v>5000000</v>
      </c>
      <c r="AL89" s="383">
        <f t="shared" si="112"/>
        <v>0</v>
      </c>
      <c r="AN89" s="392">
        <f>'[1]COE commited funds to date'!M102</f>
        <v>10000000</v>
      </c>
      <c r="AO89" s="392">
        <f>'[1]COE  LIB. 2019'!M23</f>
        <v>10000000</v>
      </c>
      <c r="AP89" s="383">
        <f t="shared" si="113"/>
        <v>0</v>
      </c>
      <c r="AR89" s="392">
        <f>'[1]COE commited funds to date'!N102</f>
        <v>10000000</v>
      </c>
      <c r="AS89" s="392">
        <f>'[1]COE  LIB. 2019'!N23</f>
        <v>10000000</v>
      </c>
      <c r="AT89" s="383">
        <f t="shared" si="114"/>
        <v>0</v>
      </c>
      <c r="AV89" s="392">
        <v>20000000</v>
      </c>
      <c r="AW89" s="392">
        <f>'[1]COE  LIB. 2019'!O23</f>
        <v>20000000</v>
      </c>
      <c r="AX89" s="383">
        <f t="shared" si="115"/>
        <v>0</v>
      </c>
      <c r="AZ89" s="392">
        <f>'[1]COE commited funds to date'!P102</f>
        <v>30000000</v>
      </c>
      <c r="BA89" s="392">
        <f>'[1]COE  LIB. 2019'!P23</f>
        <v>30000000</v>
      </c>
      <c r="BB89" s="383">
        <f t="shared" si="116"/>
        <v>0</v>
      </c>
      <c r="BC89" s="408"/>
      <c r="BD89" s="392">
        <f>'[1]COE commited funds to date'!Q102</f>
        <v>70000000</v>
      </c>
      <c r="BE89" s="392">
        <f>'[1]COE  LIB. 2019'!Q23</f>
        <v>70000000</v>
      </c>
      <c r="BF89" s="383">
        <f t="shared" si="117"/>
        <v>0</v>
      </c>
      <c r="BH89" s="392">
        <v>35000000</v>
      </c>
      <c r="BI89" s="383">
        <f>'[1]COE  LIB. 2019'!R23</f>
        <v>35000000</v>
      </c>
      <c r="BJ89" s="383">
        <f t="shared" si="118"/>
        <v>0</v>
      </c>
      <c r="BL89" s="383">
        <f>'[1]COE commited funds to date'!S102</f>
        <v>30000000</v>
      </c>
      <c r="BM89" s="383">
        <f>'[1]COE  LIB. 2019'!S23</f>
        <v>0</v>
      </c>
      <c r="BN89" s="383">
        <f t="shared" si="119"/>
        <v>30000000</v>
      </c>
      <c r="BP89" s="383">
        <f>'[1]COE commited funds to date'!T102</f>
        <v>24000000</v>
      </c>
      <c r="BQ89" s="383">
        <f>'[1]COE  LIB. 2019'!T22</f>
        <v>0</v>
      </c>
      <c r="BR89" s="383">
        <f t="shared" si="120"/>
        <v>24000000</v>
      </c>
      <c r="BS89" s="380"/>
      <c r="BT89" s="383">
        <f>'[1]COE commited funds to date'!U102</f>
        <v>16000000</v>
      </c>
      <c r="BU89" s="383">
        <f>'[1]COE  LIB. 2019'!U23</f>
        <v>0</v>
      </c>
      <c r="BV89" s="383">
        <f t="shared" si="121"/>
        <v>16000000</v>
      </c>
      <c r="BW89" s="380"/>
      <c r="BX89" s="383">
        <f t="shared" si="122"/>
        <v>262261250</v>
      </c>
      <c r="BY89" s="383">
        <f t="shared" si="122"/>
        <v>192261250</v>
      </c>
      <c r="BZ89" s="383">
        <f t="shared" si="123"/>
        <v>70000000</v>
      </c>
    </row>
    <row r="90" spans="1:78" x14ac:dyDescent="0.25">
      <c r="A90" s="380">
        <v>12</v>
      </c>
      <c r="B90" s="418" t="s">
        <v>331</v>
      </c>
      <c r="C90" s="431" t="s">
        <v>69</v>
      </c>
      <c r="D90" s="385">
        <v>1125000</v>
      </c>
      <c r="E90" s="392">
        <f>'[1]COE  LIB. 2019'!D24</f>
        <v>1125000</v>
      </c>
      <c r="F90" s="383">
        <f t="shared" si="104"/>
        <v>0</v>
      </c>
      <c r="H90" s="392">
        <v>1125000</v>
      </c>
      <c r="I90" s="392">
        <f>'[1]COE  LIB. 2019'!E24</f>
        <v>1125000</v>
      </c>
      <c r="J90" s="383">
        <f t="shared" si="105"/>
        <v>0</v>
      </c>
      <c r="L90" s="392">
        <v>1125000</v>
      </c>
      <c r="M90" s="392">
        <f>'[1]COE  LIB. 2019'!F24</f>
        <v>1125000</v>
      </c>
      <c r="N90" s="383">
        <f t="shared" si="106"/>
        <v>0</v>
      </c>
      <c r="P90" s="392">
        <v>1125000</v>
      </c>
      <c r="Q90" s="392">
        <f>'[1]COE  LIB. 2019'!G24</f>
        <v>1125000</v>
      </c>
      <c r="R90" s="383">
        <f t="shared" si="107"/>
        <v>0</v>
      </c>
      <c r="T90" s="392">
        <v>2000000</v>
      </c>
      <c r="U90" s="392">
        <f>'[1]COE  LIB. 2019'!H24</f>
        <v>2000000</v>
      </c>
      <c r="V90" s="383">
        <f t="shared" si="108"/>
        <v>0</v>
      </c>
      <c r="X90" s="392">
        <v>2000000</v>
      </c>
      <c r="Y90" s="392">
        <f>'[1]COE  LIB. 2019'!I24</f>
        <v>2000000</v>
      </c>
      <c r="Z90" s="383">
        <f t="shared" si="109"/>
        <v>0</v>
      </c>
      <c r="AB90" s="392">
        <v>2500000</v>
      </c>
      <c r="AC90" s="392">
        <f>'[1]COE  LIB. 2019'!J24</f>
        <v>2500000</v>
      </c>
      <c r="AD90" s="383">
        <f t="shared" si="110"/>
        <v>0</v>
      </c>
      <c r="AF90" s="392">
        <v>3680000</v>
      </c>
      <c r="AG90" s="392">
        <f>'[1]COE  LIB. 2019'!K24</f>
        <v>3680000</v>
      </c>
      <c r="AH90" s="383">
        <f t="shared" si="111"/>
        <v>0</v>
      </c>
      <c r="AJ90" s="392">
        <v>5000000</v>
      </c>
      <c r="AK90" s="392">
        <f>'[1]COE  LIB. 2019'!L24</f>
        <v>5000000</v>
      </c>
      <c r="AL90" s="383">
        <f t="shared" si="112"/>
        <v>0</v>
      </c>
      <c r="AN90" s="392">
        <f>'[1]COE commited funds to date'!M103</f>
        <v>10000000</v>
      </c>
      <c r="AO90" s="392">
        <f>'[1]COE  LIB. 2019'!M24</f>
        <v>10000000</v>
      </c>
      <c r="AP90" s="383">
        <f t="shared" si="113"/>
        <v>0</v>
      </c>
      <c r="AR90" s="392">
        <f>'[1]COE commited funds to date'!N103</f>
        <v>10000000</v>
      </c>
      <c r="AS90" s="392">
        <f>'[1]COE  LIB. 2019'!N24</f>
        <v>10000000</v>
      </c>
      <c r="AT90" s="383">
        <f t="shared" si="114"/>
        <v>0</v>
      </c>
      <c r="AV90" s="392">
        <v>20000000</v>
      </c>
      <c r="AW90" s="392">
        <f>'[1]COE  LIB. 2019'!O24</f>
        <v>20000000</v>
      </c>
      <c r="AX90" s="383">
        <f t="shared" si="115"/>
        <v>0</v>
      </c>
      <c r="AZ90" s="392">
        <f>'[1]COE commited funds to date'!P103</f>
        <v>30000000</v>
      </c>
      <c r="BA90" s="392">
        <f>'[1]COE  LIB. 2019'!P24</f>
        <v>30000000</v>
      </c>
      <c r="BB90" s="383">
        <f t="shared" si="116"/>
        <v>0</v>
      </c>
      <c r="BC90" s="408"/>
      <c r="BD90" s="392">
        <f>'[1]COE commited funds to date'!Q103</f>
        <v>70000000</v>
      </c>
      <c r="BE90" s="392">
        <f>'[1]COE  LIB. 2019'!Q24</f>
        <v>70000000</v>
      </c>
      <c r="BF90" s="383">
        <f t="shared" si="117"/>
        <v>0</v>
      </c>
      <c r="BH90" s="392">
        <v>35000000</v>
      </c>
      <c r="BI90" s="383">
        <f>'[1]COE  LIB. 2019'!R24</f>
        <v>35000000</v>
      </c>
      <c r="BJ90" s="383">
        <f t="shared" si="118"/>
        <v>0</v>
      </c>
      <c r="BL90" s="383">
        <f>'[1]COE commited funds to date'!S103</f>
        <v>30000000</v>
      </c>
      <c r="BM90" s="383">
        <f>'[1]COE  LIB. 2019'!S24</f>
        <v>30000000</v>
      </c>
      <c r="BN90" s="383">
        <f t="shared" si="119"/>
        <v>0</v>
      </c>
      <c r="BP90" s="383">
        <f>'[1]COE commited funds to date'!T103</f>
        <v>24000000</v>
      </c>
      <c r="BQ90" s="383">
        <f>'[1]COE  LIB. 2019'!T23</f>
        <v>0</v>
      </c>
      <c r="BR90" s="383">
        <f t="shared" si="120"/>
        <v>24000000</v>
      </c>
      <c r="BS90" s="380"/>
      <c r="BT90" s="383">
        <f>'[1]COE commited funds to date'!U103</f>
        <v>16000000</v>
      </c>
      <c r="BU90" s="383">
        <f>'[1]COE  LIB. 2019'!U24</f>
        <v>0</v>
      </c>
      <c r="BV90" s="383">
        <f t="shared" si="121"/>
        <v>16000000</v>
      </c>
      <c r="BW90" s="380"/>
      <c r="BX90" s="383">
        <f t="shared" si="122"/>
        <v>264680000</v>
      </c>
      <c r="BY90" s="383">
        <f t="shared" si="122"/>
        <v>224680000</v>
      </c>
      <c r="BZ90" s="383">
        <f t="shared" si="123"/>
        <v>40000000</v>
      </c>
    </row>
    <row r="91" spans="1:78" x14ac:dyDescent="0.25">
      <c r="A91" s="380">
        <v>13</v>
      </c>
      <c r="B91" s="418" t="s">
        <v>332</v>
      </c>
      <c r="C91" s="431" t="s">
        <v>61</v>
      </c>
      <c r="D91" s="385">
        <v>1125000</v>
      </c>
      <c r="E91" s="392">
        <f>'[1]COE  LIB. 2019'!D25</f>
        <v>1125000</v>
      </c>
      <c r="F91" s="383">
        <f t="shared" si="104"/>
        <v>0</v>
      </c>
      <c r="H91" s="392">
        <v>1125000</v>
      </c>
      <c r="I91" s="392">
        <f>'[1]COE  LIB. 2019'!E25</f>
        <v>1125000</v>
      </c>
      <c r="J91" s="383">
        <f t="shared" si="105"/>
        <v>0</v>
      </c>
      <c r="L91" s="392">
        <v>1125000</v>
      </c>
      <c r="M91" s="392">
        <f>'[1]COE  LIB. 2019'!F25</f>
        <v>1125000</v>
      </c>
      <c r="N91" s="383">
        <f t="shared" si="106"/>
        <v>0</v>
      </c>
      <c r="P91" s="392">
        <v>1125000</v>
      </c>
      <c r="Q91" s="392">
        <f>'[1]COE  LIB. 2019'!G25</f>
        <v>1125000</v>
      </c>
      <c r="R91" s="383">
        <f t="shared" si="107"/>
        <v>0</v>
      </c>
      <c r="T91" s="392">
        <v>2000000</v>
      </c>
      <c r="U91" s="392">
        <f>'[1]COE  LIB. 2019'!H25</f>
        <v>2000000</v>
      </c>
      <c r="V91" s="383">
        <f t="shared" si="108"/>
        <v>0</v>
      </c>
      <c r="X91" s="392">
        <v>2000000</v>
      </c>
      <c r="Y91" s="392">
        <f>'[1]COE  LIB. 2019'!I25</f>
        <v>2000000</v>
      </c>
      <c r="Z91" s="383">
        <f t="shared" si="109"/>
        <v>0</v>
      </c>
      <c r="AB91" s="392">
        <v>2500000</v>
      </c>
      <c r="AC91" s="392">
        <f>'[1]COE  LIB. 2019'!J25</f>
        <v>2500000</v>
      </c>
      <c r="AD91" s="383">
        <f t="shared" si="110"/>
        <v>0</v>
      </c>
      <c r="AF91" s="392">
        <v>3680000</v>
      </c>
      <c r="AG91" s="392">
        <f>'[1]COE  LIB. 2019'!K25</f>
        <v>3680000</v>
      </c>
      <c r="AH91" s="383">
        <f t="shared" si="111"/>
        <v>0</v>
      </c>
      <c r="AJ91" s="392">
        <v>5000000</v>
      </c>
      <c r="AK91" s="392">
        <f>'[1]COE  LIB. 2019'!L25</f>
        <v>5000000</v>
      </c>
      <c r="AL91" s="383">
        <f t="shared" si="112"/>
        <v>0</v>
      </c>
      <c r="AN91" s="392">
        <f>'[1]COE commited funds to date'!M104</f>
        <v>10000000</v>
      </c>
      <c r="AO91" s="392">
        <f>'[1]COE  LIB. 2019'!M25</f>
        <v>10000000</v>
      </c>
      <c r="AP91" s="383">
        <f t="shared" si="113"/>
        <v>0</v>
      </c>
      <c r="AR91" s="392">
        <f>'[1]COE commited funds to date'!N104</f>
        <v>10000000</v>
      </c>
      <c r="AS91" s="392">
        <f>'[1]COE  LIB. 2019'!N25</f>
        <v>10000000</v>
      </c>
      <c r="AT91" s="383">
        <f t="shared" si="114"/>
        <v>0</v>
      </c>
      <c r="AV91" s="392">
        <v>20000000</v>
      </c>
      <c r="AW91" s="392">
        <f>'[1]COE  LIB. 2019'!O25</f>
        <v>20000000</v>
      </c>
      <c r="AX91" s="383">
        <f t="shared" si="115"/>
        <v>0</v>
      </c>
      <c r="AZ91" s="392">
        <f>'[1]COE commited funds to date'!P104</f>
        <v>30000000</v>
      </c>
      <c r="BA91" s="392">
        <f>'[1]COE  LIB. 2019'!P25</f>
        <v>30000000</v>
      </c>
      <c r="BB91" s="383">
        <f t="shared" si="116"/>
        <v>0</v>
      </c>
      <c r="BC91" s="408"/>
      <c r="BD91" s="392">
        <f>'[1]COE commited funds to date'!Q104</f>
        <v>70000000</v>
      </c>
      <c r="BE91" s="392">
        <f>'[1]COE  LIB. 2019'!Q25</f>
        <v>70000000</v>
      </c>
      <c r="BF91" s="383">
        <f t="shared" si="117"/>
        <v>0</v>
      </c>
      <c r="BH91" s="392">
        <v>35000000</v>
      </c>
      <c r="BI91" s="383">
        <f>'[1]COE  LIB. 2019'!R25</f>
        <v>35000000</v>
      </c>
      <c r="BJ91" s="383">
        <f t="shared" si="118"/>
        <v>0</v>
      </c>
      <c r="BL91" s="383">
        <f>'[1]COE commited funds to date'!S104</f>
        <v>30000000</v>
      </c>
      <c r="BM91" s="383">
        <f>'[1]COE  LIB. 2019'!S25</f>
        <v>30000000</v>
      </c>
      <c r="BN91" s="383">
        <f t="shared" si="119"/>
        <v>0</v>
      </c>
      <c r="BP91" s="383">
        <f>'[1]COE commited funds to date'!T104</f>
        <v>24000000</v>
      </c>
      <c r="BQ91" s="383">
        <f>'[1]COE  LIB. 2019'!T24</f>
        <v>0</v>
      </c>
      <c r="BR91" s="383">
        <f t="shared" si="120"/>
        <v>24000000</v>
      </c>
      <c r="BS91" s="380"/>
      <c r="BT91" s="383">
        <f>'[1]COE commited funds to date'!U104</f>
        <v>16000000</v>
      </c>
      <c r="BU91" s="383">
        <f>'[1]COE  LIB. 2019'!U25</f>
        <v>0</v>
      </c>
      <c r="BV91" s="383">
        <f t="shared" si="121"/>
        <v>16000000</v>
      </c>
      <c r="BW91" s="380"/>
      <c r="BX91" s="383">
        <f t="shared" si="122"/>
        <v>264680000</v>
      </c>
      <c r="BY91" s="383">
        <f t="shared" si="122"/>
        <v>224680000</v>
      </c>
      <c r="BZ91" s="383">
        <f t="shared" si="123"/>
        <v>40000000</v>
      </c>
    </row>
    <row r="92" spans="1:78" x14ac:dyDescent="0.25">
      <c r="A92" s="380">
        <v>14</v>
      </c>
      <c r="B92" s="418" t="s">
        <v>333</v>
      </c>
      <c r="C92" s="431" t="s">
        <v>69</v>
      </c>
      <c r="D92" s="385">
        <v>843750</v>
      </c>
      <c r="E92" s="392">
        <f>'[1]COE  LIB. 2019'!D26</f>
        <v>843750</v>
      </c>
      <c r="F92" s="383">
        <f t="shared" si="104"/>
        <v>0</v>
      </c>
      <c r="H92" s="392">
        <v>1125000</v>
      </c>
      <c r="I92" s="392">
        <f>'[1]COE  LIB. 2019'!E26</f>
        <v>1125000</v>
      </c>
      <c r="J92" s="383">
        <f t="shared" si="105"/>
        <v>0</v>
      </c>
      <c r="L92" s="392">
        <v>1125000</v>
      </c>
      <c r="M92" s="392">
        <f>'[1]COE  LIB. 2019'!F26</f>
        <v>1125050</v>
      </c>
      <c r="N92" s="383">
        <f t="shared" si="106"/>
        <v>-50</v>
      </c>
      <c r="P92" s="392">
        <v>1125000</v>
      </c>
      <c r="Q92" s="392">
        <f>'[1]COE  LIB. 2019'!G26</f>
        <v>1125050</v>
      </c>
      <c r="R92" s="383">
        <f t="shared" si="107"/>
        <v>-50</v>
      </c>
      <c r="T92" s="392">
        <v>2000000</v>
      </c>
      <c r="U92" s="392">
        <f>'[1]COE  LIB. 2019'!H26</f>
        <v>2000000</v>
      </c>
      <c r="V92" s="383">
        <f t="shared" si="108"/>
        <v>0</v>
      </c>
      <c r="X92" s="392">
        <v>2000000</v>
      </c>
      <c r="Y92" s="392">
        <f>'[1]COE  LIB. 2019'!I26</f>
        <v>2000000</v>
      </c>
      <c r="Z92" s="383">
        <f t="shared" si="109"/>
        <v>0</v>
      </c>
      <c r="AB92" s="392">
        <v>2500000</v>
      </c>
      <c r="AC92" s="392">
        <f>'[1]COE  LIB. 2019'!J26</f>
        <v>2500000</v>
      </c>
      <c r="AD92" s="383">
        <f t="shared" si="110"/>
        <v>0</v>
      </c>
      <c r="AF92" s="392">
        <v>3680000</v>
      </c>
      <c r="AG92" s="392">
        <f>'[1]COE  LIB. 2019'!K26</f>
        <v>3680000</v>
      </c>
      <c r="AH92" s="383">
        <f t="shared" si="111"/>
        <v>0</v>
      </c>
      <c r="AJ92" s="392">
        <v>5000000</v>
      </c>
      <c r="AK92" s="392">
        <f>'[1]COE  LIB. 2019'!L26</f>
        <v>5000000</v>
      </c>
      <c r="AL92" s="383">
        <f t="shared" si="112"/>
        <v>0</v>
      </c>
      <c r="AN92" s="392">
        <f>'[1]COE commited funds to date'!M105</f>
        <v>10000000</v>
      </c>
      <c r="AO92" s="392">
        <f>'[1]COE  LIB. 2019'!M26</f>
        <v>10000000</v>
      </c>
      <c r="AP92" s="383">
        <f t="shared" si="113"/>
        <v>0</v>
      </c>
      <c r="AR92" s="392">
        <f>'[1]COE commited funds to date'!N105</f>
        <v>10000000</v>
      </c>
      <c r="AS92" s="392">
        <f>'[1]COE  LIB. 2019'!N26</f>
        <v>10000000</v>
      </c>
      <c r="AT92" s="383">
        <f t="shared" si="114"/>
        <v>0</v>
      </c>
      <c r="AV92" s="392">
        <v>20000000</v>
      </c>
      <c r="AW92" s="392">
        <f>'[1]COE  LIB. 2019'!O26</f>
        <v>20000000</v>
      </c>
      <c r="AX92" s="383">
        <f t="shared" si="115"/>
        <v>0</v>
      </c>
      <c r="AZ92" s="392">
        <f>'[1]COE commited funds to date'!P105</f>
        <v>30000000</v>
      </c>
      <c r="BA92" s="392">
        <f>'[1]COE  LIB. 2019'!P26</f>
        <v>25500000</v>
      </c>
      <c r="BB92" s="383">
        <f t="shared" si="116"/>
        <v>4500000</v>
      </c>
      <c r="BC92" s="408"/>
      <c r="BD92" s="392">
        <f>'[1]COE commited funds to date'!Q105</f>
        <v>70000000</v>
      </c>
      <c r="BE92" s="392">
        <f>'[1]COE  LIB. 2019'!Q26</f>
        <v>59500000</v>
      </c>
      <c r="BF92" s="383">
        <f t="shared" si="117"/>
        <v>10500000</v>
      </c>
      <c r="BH92" s="392">
        <v>35000000</v>
      </c>
      <c r="BI92" s="383">
        <f>'[1]COE  LIB. 2019'!R26</f>
        <v>0</v>
      </c>
      <c r="BJ92" s="383">
        <f t="shared" si="118"/>
        <v>35000000</v>
      </c>
      <c r="BL92" s="383">
        <f>'[1]COE commited funds to date'!S105</f>
        <v>30000000</v>
      </c>
      <c r="BM92" s="383">
        <f>'[1]COE  LIB. 2019'!S26</f>
        <v>0</v>
      </c>
      <c r="BN92" s="383">
        <f t="shared" si="119"/>
        <v>30000000</v>
      </c>
      <c r="BP92" s="383">
        <f>'[1]COE commited funds to date'!T105</f>
        <v>24000000</v>
      </c>
      <c r="BQ92" s="383">
        <f>'[1]COE  LIB. 2019'!T25</f>
        <v>0</v>
      </c>
      <c r="BR92" s="383">
        <f t="shared" si="120"/>
        <v>24000000</v>
      </c>
      <c r="BS92" s="380"/>
      <c r="BT92" s="383">
        <f>'[1]COE commited funds to date'!U105</f>
        <v>16000000</v>
      </c>
      <c r="BU92" s="383">
        <f>'[1]COE  LIB. 2019'!U26</f>
        <v>0</v>
      </c>
      <c r="BV92" s="383">
        <f t="shared" si="121"/>
        <v>16000000</v>
      </c>
      <c r="BW92" s="380"/>
      <c r="BX92" s="383">
        <f t="shared" si="122"/>
        <v>264398750</v>
      </c>
      <c r="BY92" s="383">
        <f t="shared" si="122"/>
        <v>144398850</v>
      </c>
      <c r="BZ92" s="383">
        <f t="shared" si="123"/>
        <v>119999900</v>
      </c>
    </row>
    <row r="93" spans="1:78" x14ac:dyDescent="0.25">
      <c r="A93" s="380">
        <v>15</v>
      </c>
      <c r="B93" s="418" t="s">
        <v>334</v>
      </c>
      <c r="C93" s="431" t="s">
        <v>69</v>
      </c>
      <c r="D93" s="385">
        <v>1125000</v>
      </c>
      <c r="E93" s="392">
        <f>'[1]COE  LIB. 2019'!D27</f>
        <v>1125000</v>
      </c>
      <c r="F93" s="383">
        <f t="shared" si="104"/>
        <v>0</v>
      </c>
      <c r="H93" s="392">
        <v>1125000</v>
      </c>
      <c r="I93" s="392">
        <f>'[1]COE  LIB. 2019'!E27</f>
        <v>1125000</v>
      </c>
      <c r="J93" s="383">
        <f t="shared" si="105"/>
        <v>0</v>
      </c>
      <c r="L93" s="392">
        <v>1125000</v>
      </c>
      <c r="M93" s="392">
        <f>'[1]COE  LIB. 2019'!F27</f>
        <v>1125000</v>
      </c>
      <c r="N93" s="383">
        <f t="shared" si="106"/>
        <v>0</v>
      </c>
      <c r="P93" s="392">
        <v>1125000</v>
      </c>
      <c r="Q93" s="392">
        <f>'[1]COE  LIB. 2019'!G27</f>
        <v>1125000</v>
      </c>
      <c r="R93" s="383">
        <f t="shared" si="107"/>
        <v>0</v>
      </c>
      <c r="T93" s="392">
        <v>2000000</v>
      </c>
      <c r="U93" s="392">
        <f>'[1]COE  LIB. 2019'!H27</f>
        <v>2000000</v>
      </c>
      <c r="V93" s="383">
        <f t="shared" si="108"/>
        <v>0</v>
      </c>
      <c r="X93" s="392">
        <v>2000000</v>
      </c>
      <c r="Y93" s="392">
        <f>'[1]COE  LIB. 2019'!I27</f>
        <v>2000000</v>
      </c>
      <c r="Z93" s="383">
        <f t="shared" si="109"/>
        <v>0</v>
      </c>
      <c r="AB93" s="392">
        <v>2500000</v>
      </c>
      <c r="AC93" s="392">
        <f>'[1]COE  LIB. 2019'!J27</f>
        <v>2500000</v>
      </c>
      <c r="AD93" s="383">
        <f t="shared" si="110"/>
        <v>0</v>
      </c>
      <c r="AF93" s="392">
        <v>3680000</v>
      </c>
      <c r="AG93" s="392">
        <f>'[1]COE  LIB. 2019'!K27</f>
        <v>3680000</v>
      </c>
      <c r="AH93" s="383">
        <f t="shared" si="111"/>
        <v>0</v>
      </c>
      <c r="AJ93" s="392">
        <v>5000000</v>
      </c>
      <c r="AK93" s="392">
        <f>'[1]COE  LIB. 2019'!L27</f>
        <v>5000000</v>
      </c>
      <c r="AL93" s="383">
        <f t="shared" si="112"/>
        <v>0</v>
      </c>
      <c r="AN93" s="392">
        <f>'[1]COE commited funds to date'!M106</f>
        <v>10000000</v>
      </c>
      <c r="AO93" s="392">
        <f>'[1]COE  LIB. 2019'!M27</f>
        <v>10000000</v>
      </c>
      <c r="AP93" s="383">
        <f t="shared" si="113"/>
        <v>0</v>
      </c>
      <c r="AR93" s="392">
        <f>'[1]COE commited funds to date'!N106</f>
        <v>10000000</v>
      </c>
      <c r="AS93" s="392">
        <f>'[1]COE  LIB. 2019'!N27</f>
        <v>10000000</v>
      </c>
      <c r="AT93" s="383">
        <f t="shared" si="114"/>
        <v>0</v>
      </c>
      <c r="AV93" s="392">
        <v>20000000</v>
      </c>
      <c r="AW93" s="392">
        <f>'[1]COE  LIB. 2019'!O27</f>
        <v>20000000</v>
      </c>
      <c r="AX93" s="383">
        <f t="shared" si="115"/>
        <v>0</v>
      </c>
      <c r="AZ93" s="392">
        <f>'[1]COE commited funds to date'!P106</f>
        <v>30000000</v>
      </c>
      <c r="BA93" s="392">
        <f>'[1]COE  LIB. 2019'!P27</f>
        <v>25500000</v>
      </c>
      <c r="BB93" s="383">
        <f t="shared" si="116"/>
        <v>4500000</v>
      </c>
      <c r="BC93" s="408"/>
      <c r="BD93" s="392">
        <f>'[1]COE commited funds to date'!Q106</f>
        <v>70000000</v>
      </c>
      <c r="BE93" s="392">
        <f>'[1]COE  LIB. 2019'!Q27</f>
        <v>59500000</v>
      </c>
      <c r="BF93" s="383">
        <f t="shared" si="117"/>
        <v>10500000</v>
      </c>
      <c r="BH93" s="392">
        <v>35000000</v>
      </c>
      <c r="BI93" s="383">
        <f>'[1]COE  LIB. 2019'!R27</f>
        <v>29750000</v>
      </c>
      <c r="BJ93" s="383">
        <f t="shared" si="118"/>
        <v>5250000</v>
      </c>
      <c r="BL93" s="383">
        <f>'[1]COE commited funds to date'!S106</f>
        <v>30000000</v>
      </c>
      <c r="BM93" s="383">
        <f>'[1]COE  LIB. 2019'!S27</f>
        <v>25500000</v>
      </c>
      <c r="BN93" s="383">
        <f t="shared" si="119"/>
        <v>4500000</v>
      </c>
      <c r="BP93" s="383">
        <f>'[1]COE commited funds to date'!T106</f>
        <v>24000000</v>
      </c>
      <c r="BQ93" s="383">
        <f>'[1]COE  LIB. 2019'!T26</f>
        <v>0</v>
      </c>
      <c r="BR93" s="383">
        <f t="shared" si="120"/>
        <v>24000000</v>
      </c>
      <c r="BS93" s="380"/>
      <c r="BT93" s="383">
        <f>'[1]COE commited funds to date'!U106</f>
        <v>16000000</v>
      </c>
      <c r="BU93" s="383">
        <f>'[1]COE  LIB. 2019'!U27</f>
        <v>0</v>
      </c>
      <c r="BV93" s="383">
        <f t="shared" si="121"/>
        <v>16000000</v>
      </c>
      <c r="BW93" s="380"/>
      <c r="BX93" s="383">
        <f t="shared" si="122"/>
        <v>264680000</v>
      </c>
      <c r="BY93" s="383">
        <f t="shared" si="122"/>
        <v>199930000</v>
      </c>
      <c r="BZ93" s="383">
        <f t="shared" si="123"/>
        <v>64750000</v>
      </c>
    </row>
    <row r="94" spans="1:78" x14ac:dyDescent="0.25">
      <c r="A94" s="380">
        <v>16</v>
      </c>
      <c r="B94" s="418" t="s">
        <v>335</v>
      </c>
      <c r="C94" s="431" t="s">
        <v>61</v>
      </c>
      <c r="D94" s="385">
        <v>1125000</v>
      </c>
      <c r="E94" s="392">
        <f>'[1]COE  LIB. 2019'!D28</f>
        <v>1125000</v>
      </c>
      <c r="F94" s="383">
        <f t="shared" si="104"/>
        <v>0</v>
      </c>
      <c r="H94" s="392">
        <v>1125000</v>
      </c>
      <c r="I94" s="392">
        <f>'[1]COE  LIB. 2019'!E28</f>
        <v>1125000</v>
      </c>
      <c r="J94" s="383">
        <f t="shared" si="105"/>
        <v>0</v>
      </c>
      <c r="L94" s="392">
        <v>1125000</v>
      </c>
      <c r="M94" s="392">
        <f>'[1]COE  LIB. 2019'!F28</f>
        <v>1125000</v>
      </c>
      <c r="N94" s="383">
        <f t="shared" si="106"/>
        <v>0</v>
      </c>
      <c r="P94" s="392">
        <v>1125000</v>
      </c>
      <c r="Q94" s="392">
        <f>'[1]COE  LIB. 2019'!G28</f>
        <v>1125000</v>
      </c>
      <c r="R94" s="383">
        <f t="shared" si="107"/>
        <v>0</v>
      </c>
      <c r="T94" s="392">
        <v>2000000</v>
      </c>
      <c r="U94" s="392">
        <f>'[1]COE  LIB. 2019'!H28</f>
        <v>2000000</v>
      </c>
      <c r="V94" s="383">
        <f t="shared" si="108"/>
        <v>0</v>
      </c>
      <c r="X94" s="392">
        <v>2000000</v>
      </c>
      <c r="Y94" s="392">
        <f>'[1]COE  LIB. 2019'!I28</f>
        <v>2000000</v>
      </c>
      <c r="Z94" s="383">
        <f t="shared" si="109"/>
        <v>0</v>
      </c>
      <c r="AB94" s="392">
        <v>2500000</v>
      </c>
      <c r="AC94" s="392">
        <f>'[1]COE  LIB. 2019'!J28</f>
        <v>2500000</v>
      </c>
      <c r="AD94" s="383">
        <f t="shared" si="110"/>
        <v>0</v>
      </c>
      <c r="AF94" s="392">
        <v>3680000</v>
      </c>
      <c r="AG94" s="392">
        <f>'[1]COE  LIB. 2019'!K28</f>
        <v>3680000</v>
      </c>
      <c r="AH94" s="383">
        <f t="shared" si="111"/>
        <v>0</v>
      </c>
      <c r="AJ94" s="392">
        <v>5000000</v>
      </c>
      <c r="AK94" s="392">
        <f>'[1]COE  LIB. 2019'!L28</f>
        <v>5000000</v>
      </c>
      <c r="AL94" s="383">
        <f t="shared" si="112"/>
        <v>0</v>
      </c>
      <c r="AN94" s="392">
        <f>'[1]COE commited funds to date'!M107</f>
        <v>10000000</v>
      </c>
      <c r="AO94" s="392">
        <f>'[1]COE  LIB. 2019'!M28</f>
        <v>10000000</v>
      </c>
      <c r="AP94" s="383">
        <f t="shared" si="113"/>
        <v>0</v>
      </c>
      <c r="AR94" s="392">
        <f>'[1]COE commited funds to date'!N107</f>
        <v>10000000</v>
      </c>
      <c r="AS94" s="392">
        <f>'[1]COE  LIB. 2019'!N28</f>
        <v>10000000</v>
      </c>
      <c r="AT94" s="383">
        <f t="shared" si="114"/>
        <v>0</v>
      </c>
      <c r="AV94" s="392">
        <v>20000000</v>
      </c>
      <c r="AW94" s="392">
        <f>'[1]COE  LIB. 2019'!O28</f>
        <v>20000000</v>
      </c>
      <c r="AX94" s="383">
        <f t="shared" si="115"/>
        <v>0</v>
      </c>
      <c r="AZ94" s="392">
        <f>'[1]COE commited funds to date'!P107</f>
        <v>30000000</v>
      </c>
      <c r="BA94" s="392">
        <f>'[1]COE  LIB. 2019'!P28</f>
        <v>30000000</v>
      </c>
      <c r="BB94" s="383">
        <f t="shared" si="116"/>
        <v>0</v>
      </c>
      <c r="BC94" s="408"/>
      <c r="BD94" s="392">
        <f>'[1]COE commited funds to date'!Q107</f>
        <v>70000000</v>
      </c>
      <c r="BE94" s="392">
        <f>'[1]COE  LIB. 2019'!Q28</f>
        <v>70000000</v>
      </c>
      <c r="BF94" s="383">
        <f t="shared" si="117"/>
        <v>0</v>
      </c>
      <c r="BH94" s="392">
        <v>35000000</v>
      </c>
      <c r="BI94" s="383">
        <f>'[1]COE  LIB. 2019'!R28</f>
        <v>0</v>
      </c>
      <c r="BJ94" s="383">
        <f t="shared" si="118"/>
        <v>35000000</v>
      </c>
      <c r="BL94" s="383">
        <f>'[1]COE commited funds to date'!S107</f>
        <v>30000000</v>
      </c>
      <c r="BM94" s="383">
        <f>'[1]COE  LIB. 2019'!S28</f>
        <v>0</v>
      </c>
      <c r="BN94" s="383">
        <f t="shared" si="119"/>
        <v>30000000</v>
      </c>
      <c r="BP94" s="383">
        <f>'[1]COE commited funds to date'!T107</f>
        <v>24000000</v>
      </c>
      <c r="BQ94" s="383">
        <f>'[1]COE  LIB. 2019'!T27</f>
        <v>0</v>
      </c>
      <c r="BR94" s="383">
        <f t="shared" si="120"/>
        <v>24000000</v>
      </c>
      <c r="BS94" s="380"/>
      <c r="BT94" s="383">
        <f>'[1]COE commited funds to date'!U107</f>
        <v>16000000</v>
      </c>
      <c r="BU94" s="383">
        <f>'[1]COE  LIB. 2019'!U28</f>
        <v>0</v>
      </c>
      <c r="BV94" s="383">
        <f t="shared" si="121"/>
        <v>16000000</v>
      </c>
      <c r="BW94" s="380"/>
      <c r="BX94" s="383">
        <f t="shared" si="122"/>
        <v>264680000</v>
      </c>
      <c r="BY94" s="383">
        <f t="shared" si="122"/>
        <v>159680000</v>
      </c>
      <c r="BZ94" s="383">
        <f t="shared" si="123"/>
        <v>105000000</v>
      </c>
    </row>
    <row r="95" spans="1:78" x14ac:dyDescent="0.25">
      <c r="A95" s="380">
        <v>17</v>
      </c>
      <c r="B95" s="418" t="s">
        <v>336</v>
      </c>
      <c r="C95" s="431" t="s">
        <v>65</v>
      </c>
      <c r="D95" s="385">
        <v>1125000</v>
      </c>
      <c r="E95" s="392">
        <f>'[1]COE  LIB. 2019'!D29</f>
        <v>1125000</v>
      </c>
      <c r="F95" s="383">
        <f t="shared" si="104"/>
        <v>0</v>
      </c>
      <c r="H95" s="392">
        <v>1125000</v>
      </c>
      <c r="I95" s="392">
        <f>'[1]COE  LIB. 2019'!E29</f>
        <v>1125000</v>
      </c>
      <c r="J95" s="383">
        <f t="shared" si="105"/>
        <v>0</v>
      </c>
      <c r="L95" s="392">
        <v>1116000</v>
      </c>
      <c r="M95" s="392">
        <f>'[1]COE  LIB. 2019'!F29</f>
        <v>1116000</v>
      </c>
      <c r="N95" s="383">
        <f t="shared" si="106"/>
        <v>0</v>
      </c>
      <c r="P95" s="392">
        <v>1125000</v>
      </c>
      <c r="Q95" s="392">
        <f>'[1]COE  LIB. 2019'!G29</f>
        <v>1125000</v>
      </c>
      <c r="R95" s="383">
        <f t="shared" si="107"/>
        <v>0</v>
      </c>
      <c r="T95" s="392">
        <v>2000000</v>
      </c>
      <c r="U95" s="392">
        <f>'[1]COE  LIB. 2019'!H29</f>
        <v>2000000</v>
      </c>
      <c r="V95" s="383">
        <f t="shared" si="108"/>
        <v>0</v>
      </c>
      <c r="X95" s="392">
        <v>2000000</v>
      </c>
      <c r="Y95" s="392">
        <f>'[1]COE  LIB. 2019'!I29</f>
        <v>2000000</v>
      </c>
      <c r="Z95" s="383">
        <f t="shared" si="109"/>
        <v>0</v>
      </c>
      <c r="AB95" s="392">
        <v>2500000</v>
      </c>
      <c r="AC95" s="392">
        <f>'[1]COE  LIB. 2019'!J29</f>
        <v>2500000</v>
      </c>
      <c r="AD95" s="383">
        <f t="shared" si="110"/>
        <v>0</v>
      </c>
      <c r="AF95" s="392">
        <v>3680000</v>
      </c>
      <c r="AG95" s="392">
        <f>'[1]COE  LIB. 2019'!K29</f>
        <v>3680000</v>
      </c>
      <c r="AH95" s="383">
        <f t="shared" si="111"/>
        <v>0</v>
      </c>
      <c r="AJ95" s="392">
        <v>5000000</v>
      </c>
      <c r="AK95" s="392">
        <f>'[1]COE  LIB. 2019'!L29</f>
        <v>5000000</v>
      </c>
      <c r="AL95" s="383">
        <f t="shared" si="112"/>
        <v>0</v>
      </c>
      <c r="AN95" s="392">
        <f>'[1]COE commited funds to date'!M108</f>
        <v>10000000</v>
      </c>
      <c r="AO95" s="392">
        <f>'[1]COE  LIB. 2019'!M29</f>
        <v>10000000</v>
      </c>
      <c r="AP95" s="383">
        <f t="shared" si="113"/>
        <v>0</v>
      </c>
      <c r="AR95" s="392">
        <f>'[1]COE commited funds to date'!N108</f>
        <v>10000000</v>
      </c>
      <c r="AS95" s="392">
        <f>'[1]COE  LIB. 2019'!N29</f>
        <v>10000000</v>
      </c>
      <c r="AT95" s="383">
        <f t="shared" si="114"/>
        <v>0</v>
      </c>
      <c r="AV95" s="392">
        <v>20000000</v>
      </c>
      <c r="AW95" s="392">
        <f>'[1]COE  LIB. 2019'!O29</f>
        <v>20000000</v>
      </c>
      <c r="AX95" s="383">
        <f t="shared" si="115"/>
        <v>0</v>
      </c>
      <c r="AZ95" s="392">
        <f>'[1]COE commited funds to date'!P108</f>
        <v>30000000</v>
      </c>
      <c r="BA95" s="392">
        <f>'[1]COE  LIB. 2019'!P29</f>
        <v>30000000</v>
      </c>
      <c r="BB95" s="383">
        <f t="shared" si="116"/>
        <v>0</v>
      </c>
      <c r="BC95" s="408"/>
      <c r="BD95" s="392">
        <f>'[1]COE commited funds to date'!Q108</f>
        <v>70000000</v>
      </c>
      <c r="BE95" s="392">
        <f>'[1]COE  LIB. 2019'!Q29</f>
        <v>70000000</v>
      </c>
      <c r="BF95" s="383">
        <f t="shared" si="117"/>
        <v>0</v>
      </c>
      <c r="BH95" s="392">
        <v>35000000</v>
      </c>
      <c r="BI95" s="383">
        <f>'[1]COE  LIB. 2019'!R29</f>
        <v>35000000</v>
      </c>
      <c r="BJ95" s="383">
        <f t="shared" si="118"/>
        <v>0</v>
      </c>
      <c r="BL95" s="383">
        <f>'[1]COE commited funds to date'!S108</f>
        <v>30000000</v>
      </c>
      <c r="BM95" s="383">
        <f>'[1]COE  LIB. 2019'!S29</f>
        <v>30000000</v>
      </c>
      <c r="BN95" s="383">
        <f t="shared" si="119"/>
        <v>0</v>
      </c>
      <c r="BP95" s="383">
        <f>'[1]COE commited funds to date'!T108</f>
        <v>24000000</v>
      </c>
      <c r="BQ95" s="383">
        <f>'[1]COE  LIB. 2019'!T28</f>
        <v>0</v>
      </c>
      <c r="BR95" s="383">
        <f t="shared" si="120"/>
        <v>24000000</v>
      </c>
      <c r="BS95" s="380"/>
      <c r="BT95" s="383">
        <f>'[1]COE commited funds to date'!U108</f>
        <v>16000000</v>
      </c>
      <c r="BU95" s="383">
        <f>'[1]COE  LIB. 2019'!U29</f>
        <v>0</v>
      </c>
      <c r="BV95" s="383">
        <f t="shared" si="121"/>
        <v>16000000</v>
      </c>
      <c r="BW95" s="380"/>
      <c r="BX95" s="383">
        <f t="shared" si="122"/>
        <v>264671000</v>
      </c>
      <c r="BY95" s="383">
        <f t="shared" si="122"/>
        <v>224671000</v>
      </c>
      <c r="BZ95" s="383">
        <f t="shared" si="123"/>
        <v>40000000</v>
      </c>
    </row>
    <row r="96" spans="1:78" x14ac:dyDescent="0.25">
      <c r="A96" s="380">
        <v>18</v>
      </c>
      <c r="B96" s="418" t="s">
        <v>337</v>
      </c>
      <c r="C96" s="431" t="s">
        <v>74</v>
      </c>
      <c r="D96" s="385">
        <v>1125000</v>
      </c>
      <c r="E96" s="392">
        <f>'[1]COE  LIB. 2019'!D30</f>
        <v>1125000</v>
      </c>
      <c r="F96" s="383">
        <f t="shared" si="104"/>
        <v>0</v>
      </c>
      <c r="H96" s="392">
        <v>1125000</v>
      </c>
      <c r="I96" s="392">
        <f>'[1]COE  LIB. 2019'!E30</f>
        <v>1125000</v>
      </c>
      <c r="J96" s="383">
        <f t="shared" si="105"/>
        <v>0</v>
      </c>
      <c r="L96" s="392">
        <v>1125000</v>
      </c>
      <c r="M96" s="392">
        <f>'[1]COE  LIB. 2019'!F30</f>
        <v>1125000</v>
      </c>
      <c r="N96" s="383">
        <f t="shared" si="106"/>
        <v>0</v>
      </c>
      <c r="P96" s="392">
        <v>1125000</v>
      </c>
      <c r="Q96" s="392">
        <f>'[1]COE  LIB. 2019'!G30</f>
        <v>1125000</v>
      </c>
      <c r="R96" s="383">
        <f t="shared" si="107"/>
        <v>0</v>
      </c>
      <c r="T96" s="392">
        <v>2000000</v>
      </c>
      <c r="U96" s="392">
        <f>'[1]COE  LIB. 2019'!H30</f>
        <v>2000000</v>
      </c>
      <c r="V96" s="383">
        <f t="shared" si="108"/>
        <v>0</v>
      </c>
      <c r="X96" s="392">
        <v>2000000</v>
      </c>
      <c r="Y96" s="392">
        <f>'[1]COE  LIB. 2019'!I30</f>
        <v>2000000</v>
      </c>
      <c r="Z96" s="383">
        <f t="shared" si="109"/>
        <v>0</v>
      </c>
      <c r="AB96" s="392">
        <v>2125000</v>
      </c>
      <c r="AC96" s="392">
        <f>'[1]COE  LIB. 2019'!J30</f>
        <v>2125000</v>
      </c>
      <c r="AD96" s="383">
        <f t="shared" si="110"/>
        <v>0</v>
      </c>
      <c r="AF96" s="392">
        <v>3680000</v>
      </c>
      <c r="AG96" s="392">
        <f>'[1]COE  LIB. 2019'!K30</f>
        <v>3680000</v>
      </c>
      <c r="AH96" s="383">
        <f t="shared" si="111"/>
        <v>0</v>
      </c>
      <c r="AJ96" s="392">
        <v>5000000</v>
      </c>
      <c r="AK96" s="392">
        <f>'[1]COE  LIB. 2019'!L30</f>
        <v>5000000</v>
      </c>
      <c r="AL96" s="383">
        <f t="shared" si="112"/>
        <v>0</v>
      </c>
      <c r="AN96" s="392">
        <f>'[1]COE commited funds to date'!M109</f>
        <v>10000000</v>
      </c>
      <c r="AO96" s="392">
        <f>'[1]COE  LIB. 2019'!M30</f>
        <v>10000000</v>
      </c>
      <c r="AP96" s="383">
        <f t="shared" si="113"/>
        <v>0</v>
      </c>
      <c r="AR96" s="392">
        <f>'[1]COE commited funds to date'!N109</f>
        <v>10000000</v>
      </c>
      <c r="AS96" s="392">
        <f>'[1]COE  LIB. 2019'!N30</f>
        <v>10000000</v>
      </c>
      <c r="AT96" s="383">
        <f t="shared" si="114"/>
        <v>0</v>
      </c>
      <c r="AV96" s="392">
        <v>20000000</v>
      </c>
      <c r="AW96" s="392">
        <f>'[1]COE  LIB. 2019'!O30</f>
        <v>20000000</v>
      </c>
      <c r="AX96" s="383">
        <f t="shared" si="115"/>
        <v>0</v>
      </c>
      <c r="AZ96" s="392">
        <f>'[1]COE commited funds to date'!P109</f>
        <v>30000000</v>
      </c>
      <c r="BA96" s="392">
        <f>'[1]COE  LIB. 2019'!P30</f>
        <v>25500000</v>
      </c>
      <c r="BB96" s="383">
        <f t="shared" si="116"/>
        <v>4500000</v>
      </c>
      <c r="BC96" s="408"/>
      <c r="BD96" s="392">
        <f>'[1]COE commited funds to date'!Q109</f>
        <v>70000000</v>
      </c>
      <c r="BE96" s="392">
        <f>'[1]COE  LIB. 2019'!Q30</f>
        <v>59500000</v>
      </c>
      <c r="BF96" s="383">
        <f t="shared" si="117"/>
        <v>10500000</v>
      </c>
      <c r="BH96" s="392">
        <v>35000000</v>
      </c>
      <c r="BI96" s="383">
        <f>'[1]COE  LIB. 2019'!R30</f>
        <v>29750000</v>
      </c>
      <c r="BJ96" s="383">
        <f t="shared" si="118"/>
        <v>5250000</v>
      </c>
      <c r="BL96" s="383">
        <f>'[1]COE commited funds to date'!S109</f>
        <v>30000000</v>
      </c>
      <c r="BM96" s="383">
        <f>'[1]COE  LIB. 2019'!S30</f>
        <v>25500000</v>
      </c>
      <c r="BN96" s="383">
        <f t="shared" si="119"/>
        <v>4500000</v>
      </c>
      <c r="BP96" s="383">
        <f>'[1]COE commited funds to date'!T109</f>
        <v>24000000</v>
      </c>
      <c r="BQ96" s="383">
        <f>'[1]COE  LIB. 2019'!T29</f>
        <v>0</v>
      </c>
      <c r="BR96" s="383">
        <f t="shared" si="120"/>
        <v>24000000</v>
      </c>
      <c r="BS96" s="380"/>
      <c r="BT96" s="383">
        <f>'[1]COE commited funds to date'!U109</f>
        <v>16000000</v>
      </c>
      <c r="BU96" s="383">
        <f>'[1]COE  LIB. 2019'!U30</f>
        <v>0</v>
      </c>
      <c r="BV96" s="383">
        <f t="shared" si="121"/>
        <v>16000000</v>
      </c>
      <c r="BW96" s="380"/>
      <c r="BX96" s="383">
        <f t="shared" si="122"/>
        <v>264305000</v>
      </c>
      <c r="BY96" s="383">
        <f t="shared" si="122"/>
        <v>199555000</v>
      </c>
      <c r="BZ96" s="383">
        <f t="shared" si="123"/>
        <v>64750000</v>
      </c>
    </row>
    <row r="97" spans="1:78" x14ac:dyDescent="0.25">
      <c r="A97" s="380">
        <v>19</v>
      </c>
      <c r="B97" s="418" t="s">
        <v>338</v>
      </c>
      <c r="C97" s="431" t="s">
        <v>63</v>
      </c>
      <c r="D97" s="385">
        <v>1125000</v>
      </c>
      <c r="E97" s="392">
        <f>'[1]COE  LIB. 2019'!D31</f>
        <v>1125000</v>
      </c>
      <c r="F97" s="383">
        <f t="shared" si="104"/>
        <v>0</v>
      </c>
      <c r="H97" s="392">
        <v>1125000</v>
      </c>
      <c r="I97" s="392">
        <f>'[1]COE  LIB. 2019'!E31</f>
        <v>1125000</v>
      </c>
      <c r="J97" s="383">
        <f t="shared" si="105"/>
        <v>0</v>
      </c>
      <c r="L97" s="392">
        <v>1125000</v>
      </c>
      <c r="M97" s="392">
        <f>'[1]COE  LIB. 2019'!F31</f>
        <v>1125000</v>
      </c>
      <c r="N97" s="383">
        <f t="shared" si="106"/>
        <v>0</v>
      </c>
      <c r="P97" s="392">
        <v>1125000</v>
      </c>
      <c r="Q97" s="392">
        <f>'[1]COE  LIB. 2019'!G31</f>
        <v>1125000</v>
      </c>
      <c r="R97" s="383">
        <f t="shared" si="107"/>
        <v>0</v>
      </c>
      <c r="T97" s="392">
        <v>2000000</v>
      </c>
      <c r="U97" s="392">
        <f>'[1]COE  LIB. 2019'!H31</f>
        <v>2000000</v>
      </c>
      <c r="V97" s="383">
        <f t="shared" si="108"/>
        <v>0</v>
      </c>
      <c r="X97" s="392">
        <v>2000000</v>
      </c>
      <c r="Y97" s="392">
        <f>'[1]COE  LIB. 2019'!I31</f>
        <v>2000000</v>
      </c>
      <c r="Z97" s="383">
        <f t="shared" si="109"/>
        <v>0</v>
      </c>
      <c r="AB97" s="392">
        <v>2500000</v>
      </c>
      <c r="AC97" s="392">
        <f>'[1]COE  LIB. 2019'!J31</f>
        <v>2500000</v>
      </c>
      <c r="AD97" s="383">
        <f t="shared" si="110"/>
        <v>0</v>
      </c>
      <c r="AF97" s="392">
        <v>3680000</v>
      </c>
      <c r="AG97" s="392">
        <f>'[1]COE  LIB. 2019'!K31</f>
        <v>3680000</v>
      </c>
      <c r="AH97" s="383">
        <f t="shared" si="111"/>
        <v>0</v>
      </c>
      <c r="AJ97" s="392">
        <v>5000000</v>
      </c>
      <c r="AK97" s="392">
        <f>'[1]COE  LIB. 2019'!L31</f>
        <v>5000000</v>
      </c>
      <c r="AL97" s="383">
        <f t="shared" si="112"/>
        <v>0</v>
      </c>
      <c r="AN97" s="392">
        <f>'[1]COE commited funds to date'!M110</f>
        <v>8500000</v>
      </c>
      <c r="AO97" s="392">
        <f>'[1]COE  LIB. 2019'!M31</f>
        <v>8500000</v>
      </c>
      <c r="AP97" s="383">
        <f t="shared" si="113"/>
        <v>0</v>
      </c>
      <c r="AR97" s="392">
        <f>'[1]COE commited funds to date'!N110</f>
        <v>10000000</v>
      </c>
      <c r="AS97" s="392">
        <f>'[1]COE  LIB. 2019'!N31</f>
        <v>8500000</v>
      </c>
      <c r="AT97" s="383">
        <f t="shared" si="114"/>
        <v>1500000</v>
      </c>
      <c r="AV97" s="392">
        <v>20000000</v>
      </c>
      <c r="AW97" s="392">
        <f>'[1]COE  LIB. 2019'!O31</f>
        <v>17000000</v>
      </c>
      <c r="AX97" s="383">
        <f t="shared" si="115"/>
        <v>3000000</v>
      </c>
      <c r="AZ97" s="392">
        <f>'[1]COE commited funds to date'!P110</f>
        <v>30000000</v>
      </c>
      <c r="BA97" s="392">
        <f>'[1]COE  LIB. 2019'!P31</f>
        <v>30000000</v>
      </c>
      <c r="BB97" s="383">
        <f t="shared" si="116"/>
        <v>0</v>
      </c>
      <c r="BC97" s="408"/>
      <c r="BD97" s="392">
        <f>'[1]COE commited funds to date'!Q110</f>
        <v>70000000</v>
      </c>
      <c r="BE97" s="392">
        <f>'[1]COE  LIB. 2019'!Q31</f>
        <v>70000000</v>
      </c>
      <c r="BF97" s="383">
        <f t="shared" si="117"/>
        <v>0</v>
      </c>
      <c r="BH97" s="392">
        <v>35000000</v>
      </c>
      <c r="BI97" s="383">
        <f>'[1]COE  LIB. 2019'!R31</f>
        <v>29750000</v>
      </c>
      <c r="BJ97" s="383">
        <f t="shared" si="118"/>
        <v>5250000</v>
      </c>
      <c r="BL97" s="383">
        <f>'[1]COE commited funds to date'!S110</f>
        <v>30000000</v>
      </c>
      <c r="BM97" s="383">
        <f>'[1]COE  LIB. 2019'!S31</f>
        <v>25500000</v>
      </c>
      <c r="BN97" s="383">
        <f t="shared" si="119"/>
        <v>4500000</v>
      </c>
      <c r="BP97" s="383">
        <f>'[1]COE commited funds to date'!T110</f>
        <v>24000000</v>
      </c>
      <c r="BQ97" s="383">
        <f>'[1]COE  LIB. 2019'!T30</f>
        <v>0</v>
      </c>
      <c r="BR97" s="383">
        <f t="shared" si="120"/>
        <v>24000000</v>
      </c>
      <c r="BS97" s="380"/>
      <c r="BT97" s="383">
        <f>'[1]COE commited funds to date'!U110</f>
        <v>16000000</v>
      </c>
      <c r="BU97" s="383">
        <f>'[1]COE  LIB. 2019'!U31</f>
        <v>0</v>
      </c>
      <c r="BV97" s="383">
        <f t="shared" si="121"/>
        <v>16000000</v>
      </c>
      <c r="BW97" s="380"/>
      <c r="BX97" s="383">
        <f t="shared" si="122"/>
        <v>263180000</v>
      </c>
      <c r="BY97" s="383">
        <f t="shared" si="122"/>
        <v>208930000</v>
      </c>
      <c r="BZ97" s="383">
        <f t="shared" si="123"/>
        <v>54250000</v>
      </c>
    </row>
    <row r="98" spans="1:78" x14ac:dyDescent="0.25">
      <c r="A98" s="380">
        <v>20</v>
      </c>
      <c r="B98" s="418" t="s">
        <v>339</v>
      </c>
      <c r="C98" s="431" t="s">
        <v>61</v>
      </c>
      <c r="D98" s="385">
        <v>1125000</v>
      </c>
      <c r="E98" s="392">
        <f>'[1]COE  LIB. 2019'!D32</f>
        <v>1125000</v>
      </c>
      <c r="F98" s="383">
        <f t="shared" si="104"/>
        <v>0</v>
      </c>
      <c r="H98" s="392">
        <v>1125000</v>
      </c>
      <c r="I98" s="392">
        <f>'[1]COE  LIB. 2019'!E32</f>
        <v>1125000</v>
      </c>
      <c r="J98" s="383">
        <f t="shared" si="105"/>
        <v>0</v>
      </c>
      <c r="L98" s="392">
        <v>956250</v>
      </c>
      <c r="M98" s="392">
        <f>'[1]COE  LIB. 2019'!F32</f>
        <v>956250</v>
      </c>
      <c r="N98" s="383">
        <f t="shared" si="106"/>
        <v>0</v>
      </c>
      <c r="P98" s="392">
        <v>1125000</v>
      </c>
      <c r="Q98" s="392">
        <f>'[1]COE  LIB. 2019'!G32</f>
        <v>1125000</v>
      </c>
      <c r="R98" s="383">
        <f t="shared" si="107"/>
        <v>0</v>
      </c>
      <c r="T98" s="392">
        <v>2000000</v>
      </c>
      <c r="U98" s="392">
        <f>'[1]COE  LIB. 2019'!H32</f>
        <v>2000000</v>
      </c>
      <c r="V98" s="383">
        <f t="shared" si="108"/>
        <v>0</v>
      </c>
      <c r="X98" s="392">
        <v>2000000</v>
      </c>
      <c r="Y98" s="392">
        <f>'[1]COE  LIB. 2019'!I32</f>
        <v>2000000</v>
      </c>
      <c r="Z98" s="383">
        <f t="shared" si="109"/>
        <v>0</v>
      </c>
      <c r="AB98" s="392">
        <v>2125000</v>
      </c>
      <c r="AC98" s="392">
        <f>'[1]COE  LIB. 2019'!J32</f>
        <v>2125000</v>
      </c>
      <c r="AD98" s="383">
        <f t="shared" si="110"/>
        <v>0</v>
      </c>
      <c r="AF98" s="392">
        <v>3128000</v>
      </c>
      <c r="AG98" s="392">
        <f>'[1]COE  LIB. 2019'!K32</f>
        <v>3128000</v>
      </c>
      <c r="AH98" s="383">
        <f t="shared" si="111"/>
        <v>0</v>
      </c>
      <c r="AJ98" s="392">
        <v>5000000</v>
      </c>
      <c r="AK98" s="392">
        <f>'[1]COE  LIB. 2019'!L32</f>
        <v>5000000</v>
      </c>
      <c r="AL98" s="383">
        <f t="shared" si="112"/>
        <v>0</v>
      </c>
      <c r="AN98" s="392">
        <f>'[1]COE commited funds to date'!M111</f>
        <v>10000000</v>
      </c>
      <c r="AO98" s="392">
        <f>'[1]COE  LIB. 2019'!M32</f>
        <v>10000000</v>
      </c>
      <c r="AP98" s="383">
        <f t="shared" si="113"/>
        <v>0</v>
      </c>
      <c r="AR98" s="392">
        <f>'[1]COE commited funds to date'!N111</f>
        <v>10000000</v>
      </c>
      <c r="AS98" s="392">
        <f>'[1]COE  LIB. 2019'!N32</f>
        <v>10000000</v>
      </c>
      <c r="AT98" s="383">
        <f t="shared" si="114"/>
        <v>0</v>
      </c>
      <c r="AV98" s="392">
        <v>20000000</v>
      </c>
      <c r="AW98" s="392">
        <f>'[1]COE  LIB. 2019'!O32</f>
        <v>20000000</v>
      </c>
      <c r="AX98" s="383">
        <f t="shared" si="115"/>
        <v>0</v>
      </c>
      <c r="AZ98" s="392">
        <f>'[1]COE commited funds to date'!P111</f>
        <v>30000000</v>
      </c>
      <c r="BA98" s="392">
        <f>'[1]COE  LIB. 2019'!P32</f>
        <v>30000000</v>
      </c>
      <c r="BB98" s="383">
        <f t="shared" si="116"/>
        <v>0</v>
      </c>
      <c r="BC98" s="408"/>
      <c r="BD98" s="392">
        <f>'[1]COE commited funds to date'!Q111</f>
        <v>70000000</v>
      </c>
      <c r="BE98" s="392">
        <f>'[1]COE  LIB. 2019'!Q32</f>
        <v>0</v>
      </c>
      <c r="BF98" s="383">
        <f t="shared" si="117"/>
        <v>70000000</v>
      </c>
      <c r="BH98" s="392">
        <v>35000000</v>
      </c>
      <c r="BI98" s="383">
        <f>'[1]COE  LIB. 2019'!R32</f>
        <v>0</v>
      </c>
      <c r="BJ98" s="383">
        <f t="shared" si="118"/>
        <v>35000000</v>
      </c>
      <c r="BL98" s="383">
        <f>'[1]COE commited funds to date'!S111</f>
        <v>30000000</v>
      </c>
      <c r="BM98" s="383">
        <f>'[1]COE  LIB. 2019'!S32</f>
        <v>0</v>
      </c>
      <c r="BN98" s="383">
        <f t="shared" si="119"/>
        <v>30000000</v>
      </c>
      <c r="BP98" s="383">
        <f>'[1]COE commited funds to date'!T111</f>
        <v>24000000</v>
      </c>
      <c r="BQ98" s="383">
        <f>'[1]COE  LIB. 2019'!T31</f>
        <v>0</v>
      </c>
      <c r="BR98" s="383">
        <f t="shared" si="120"/>
        <v>24000000</v>
      </c>
      <c r="BS98" s="380"/>
      <c r="BT98" s="383">
        <f>'[1]COE commited funds to date'!U111</f>
        <v>16000000</v>
      </c>
      <c r="BU98" s="383">
        <f>'[1]COE  LIB. 2019'!U32</f>
        <v>0</v>
      </c>
      <c r="BV98" s="383">
        <f t="shared" si="121"/>
        <v>16000000</v>
      </c>
      <c r="BW98" s="380"/>
      <c r="BX98" s="383">
        <f t="shared" si="122"/>
        <v>263584250</v>
      </c>
      <c r="BY98" s="383">
        <f t="shared" si="122"/>
        <v>88584250</v>
      </c>
      <c r="BZ98" s="383">
        <f t="shared" si="123"/>
        <v>175000000</v>
      </c>
    </row>
    <row r="99" spans="1:78" x14ac:dyDescent="0.25">
      <c r="A99" s="380">
        <v>21</v>
      </c>
      <c r="B99" s="418" t="s">
        <v>340</v>
      </c>
      <c r="C99" s="431" t="s">
        <v>76</v>
      </c>
      <c r="D99" s="385">
        <v>1125000</v>
      </c>
      <c r="E99" s="392">
        <f>'[1]COE  LIB. 2019'!D33</f>
        <v>1125000</v>
      </c>
      <c r="F99" s="383">
        <f t="shared" si="104"/>
        <v>0</v>
      </c>
      <c r="H99" s="392">
        <v>1125000</v>
      </c>
      <c r="I99" s="392">
        <f>'[1]COE  LIB. 2019'!E33</f>
        <v>1125000</v>
      </c>
      <c r="J99" s="383">
        <f t="shared" si="105"/>
        <v>0</v>
      </c>
      <c r="L99" s="392">
        <v>1125000</v>
      </c>
      <c r="M99" s="392">
        <f>'[1]COE  LIB. 2019'!F33</f>
        <v>1125000</v>
      </c>
      <c r="N99" s="383">
        <f t="shared" si="106"/>
        <v>0</v>
      </c>
      <c r="P99" s="392">
        <v>1125000</v>
      </c>
      <c r="Q99" s="392">
        <f>'[1]COE  LIB. 2019'!G33</f>
        <v>1125000</v>
      </c>
      <c r="R99" s="383">
        <f t="shared" si="107"/>
        <v>0</v>
      </c>
      <c r="T99" s="392">
        <v>1562500</v>
      </c>
      <c r="U99" s="392">
        <f>'[1]COE  LIB. 2019'!H33</f>
        <v>1562500</v>
      </c>
      <c r="V99" s="383">
        <f t="shared" si="108"/>
        <v>0</v>
      </c>
      <c r="X99" s="392">
        <v>1562500</v>
      </c>
      <c r="Y99" s="392">
        <f>'[1]COE  LIB. 2019'!I33</f>
        <v>1562500</v>
      </c>
      <c r="Z99" s="383">
        <f t="shared" si="109"/>
        <v>0</v>
      </c>
      <c r="AB99" s="392">
        <v>2500000</v>
      </c>
      <c r="AC99" s="392">
        <f>'[1]COE  LIB. 2019'!J33</f>
        <v>2500000</v>
      </c>
      <c r="AD99" s="383">
        <f t="shared" si="110"/>
        <v>0</v>
      </c>
      <c r="AF99" s="392">
        <v>3680000</v>
      </c>
      <c r="AG99" s="392">
        <f>'[1]COE  LIB. 2019'!K33</f>
        <v>3680000</v>
      </c>
      <c r="AH99" s="383">
        <f t="shared" si="111"/>
        <v>0</v>
      </c>
      <c r="AJ99" s="392">
        <v>5000000</v>
      </c>
      <c r="AK99" s="392">
        <f>'[1]COE  LIB. 2019'!L33</f>
        <v>5000000</v>
      </c>
      <c r="AL99" s="383">
        <f t="shared" si="112"/>
        <v>0</v>
      </c>
      <c r="AN99" s="392">
        <f>'[1]COE commited funds to date'!M112</f>
        <v>10000000</v>
      </c>
      <c r="AO99" s="392">
        <f>'[1]COE  LIB. 2019'!M33</f>
        <v>10000000</v>
      </c>
      <c r="AP99" s="383">
        <f t="shared" si="113"/>
        <v>0</v>
      </c>
      <c r="AR99" s="392">
        <f>'[1]COE commited funds to date'!N112</f>
        <v>10000000</v>
      </c>
      <c r="AS99" s="392">
        <f>'[1]COE  LIB. 2019'!N33</f>
        <v>10000000</v>
      </c>
      <c r="AT99" s="383">
        <f t="shared" si="114"/>
        <v>0</v>
      </c>
      <c r="AV99" s="392">
        <v>20000000</v>
      </c>
      <c r="AW99" s="392">
        <f>'[1]COE  LIB. 2019'!O33</f>
        <v>20000000</v>
      </c>
      <c r="AX99" s="383">
        <f t="shared" si="115"/>
        <v>0</v>
      </c>
      <c r="AZ99" s="392">
        <f>'[1]COE commited funds to date'!P112</f>
        <v>30000000</v>
      </c>
      <c r="BA99" s="392">
        <f>'[1]COE  LIB. 2019'!P33</f>
        <v>30000000</v>
      </c>
      <c r="BB99" s="383">
        <f t="shared" si="116"/>
        <v>0</v>
      </c>
      <c r="BC99" s="408"/>
      <c r="BD99" s="392">
        <f>'[1]COE commited funds to date'!Q112</f>
        <v>70000000</v>
      </c>
      <c r="BE99" s="392">
        <f>'[1]COE  LIB. 2019'!Q33</f>
        <v>70000000</v>
      </c>
      <c r="BF99" s="383">
        <f t="shared" si="117"/>
        <v>0</v>
      </c>
      <c r="BH99" s="392">
        <v>35000000</v>
      </c>
      <c r="BI99" s="383">
        <f>'[1]COE  LIB. 2019'!R33</f>
        <v>35000000</v>
      </c>
      <c r="BJ99" s="383">
        <f t="shared" si="118"/>
        <v>0</v>
      </c>
      <c r="BL99" s="383">
        <f>'[1]COE commited funds to date'!S112</f>
        <v>30000000</v>
      </c>
      <c r="BM99" s="383">
        <f>'[1]COE  LIB. 2019'!S33</f>
        <v>30000000</v>
      </c>
      <c r="BN99" s="383">
        <f t="shared" si="119"/>
        <v>0</v>
      </c>
      <c r="BP99" s="383">
        <f>'[1]COE commited funds to date'!T112</f>
        <v>24000000</v>
      </c>
      <c r="BQ99" s="383">
        <f>'[1]COE  LIB. 2019'!T32</f>
        <v>0</v>
      </c>
      <c r="BR99" s="383">
        <f t="shared" si="120"/>
        <v>24000000</v>
      </c>
      <c r="BS99" s="380"/>
      <c r="BT99" s="383">
        <f>'[1]COE commited funds to date'!U112</f>
        <v>16000000</v>
      </c>
      <c r="BU99" s="383">
        <f>'[1]COE  LIB. 2019'!U33</f>
        <v>0</v>
      </c>
      <c r="BV99" s="383">
        <f t="shared" si="121"/>
        <v>16000000</v>
      </c>
      <c r="BW99" s="380"/>
      <c r="BX99" s="383">
        <f t="shared" si="122"/>
        <v>263805000</v>
      </c>
      <c r="BY99" s="383">
        <f t="shared" si="122"/>
        <v>223805000</v>
      </c>
      <c r="BZ99" s="383">
        <f t="shared" si="123"/>
        <v>40000000</v>
      </c>
    </row>
    <row r="100" spans="1:78" x14ac:dyDescent="0.25">
      <c r="A100" s="380">
        <v>22</v>
      </c>
      <c r="B100" s="418" t="s">
        <v>341</v>
      </c>
      <c r="C100" s="433" t="s">
        <v>74</v>
      </c>
      <c r="D100" s="385">
        <v>1125000</v>
      </c>
      <c r="E100" s="392">
        <f>'[1]COE  LIB. 2019'!D34</f>
        <v>1125000</v>
      </c>
      <c r="F100" s="383">
        <f t="shared" si="104"/>
        <v>0</v>
      </c>
      <c r="H100" s="392">
        <v>1125000</v>
      </c>
      <c r="I100" s="392">
        <f>'[1]COE  LIB. 2019'!E34</f>
        <v>1125000</v>
      </c>
      <c r="J100" s="383">
        <f t="shared" si="105"/>
        <v>0</v>
      </c>
      <c r="L100" s="392">
        <v>1125000</v>
      </c>
      <c r="M100" s="392">
        <f>'[1]COE  LIB. 2019'!F34</f>
        <v>1125000</v>
      </c>
      <c r="N100" s="383">
        <f t="shared" si="106"/>
        <v>0</v>
      </c>
      <c r="P100" s="392">
        <v>1125000</v>
      </c>
      <c r="Q100" s="392">
        <f>'[1]COE  LIB. 2019'!G34</f>
        <v>1125000</v>
      </c>
      <c r="R100" s="383">
        <f t="shared" si="107"/>
        <v>0</v>
      </c>
      <c r="T100" s="392">
        <v>2000000</v>
      </c>
      <c r="U100" s="392">
        <f>'[1]COE  LIB. 2019'!H34</f>
        <v>2000000</v>
      </c>
      <c r="V100" s="383">
        <f t="shared" si="108"/>
        <v>0</v>
      </c>
      <c r="X100" s="392">
        <v>2000000</v>
      </c>
      <c r="Y100" s="392">
        <f>'[1]COE  LIB. 2019'!I34</f>
        <v>2000000</v>
      </c>
      <c r="Z100" s="383">
        <f t="shared" si="109"/>
        <v>0</v>
      </c>
      <c r="AB100" s="392">
        <v>2500000</v>
      </c>
      <c r="AC100" s="392">
        <f>'[1]COE  LIB. 2019'!J34</f>
        <v>2500000</v>
      </c>
      <c r="AD100" s="383">
        <f t="shared" si="110"/>
        <v>0</v>
      </c>
      <c r="AF100" s="392">
        <v>3680000</v>
      </c>
      <c r="AG100" s="392">
        <f>'[1]COE  LIB. 2019'!K34</f>
        <v>3680000</v>
      </c>
      <c r="AH100" s="383">
        <f t="shared" si="111"/>
        <v>0</v>
      </c>
      <c r="AJ100" s="392">
        <v>5000000</v>
      </c>
      <c r="AK100" s="392">
        <f>'[1]COE  LIB. 2019'!L34</f>
        <v>5000000</v>
      </c>
      <c r="AL100" s="383">
        <f t="shared" si="112"/>
        <v>0</v>
      </c>
      <c r="AN100" s="392">
        <f>'[1]COE commited funds to date'!M113</f>
        <v>10000000</v>
      </c>
      <c r="AO100" s="392">
        <f>'[1]COE  LIB. 2019'!M34</f>
        <v>10000000</v>
      </c>
      <c r="AP100" s="383">
        <f t="shared" si="113"/>
        <v>0</v>
      </c>
      <c r="AR100" s="392">
        <f>'[1]COE commited funds to date'!N113</f>
        <v>10000000</v>
      </c>
      <c r="AS100" s="392">
        <f>'[1]COE  LIB. 2019'!N34</f>
        <v>10000000</v>
      </c>
      <c r="AT100" s="383">
        <f t="shared" si="114"/>
        <v>0</v>
      </c>
      <c r="AV100" s="392">
        <v>20000000</v>
      </c>
      <c r="AW100" s="392">
        <f>'[1]COE  LIB. 2019'!O34</f>
        <v>20000000</v>
      </c>
      <c r="AX100" s="383">
        <f t="shared" si="115"/>
        <v>0</v>
      </c>
      <c r="AZ100" s="392">
        <f>'[1]COE commited funds to date'!P113</f>
        <v>30000000</v>
      </c>
      <c r="BA100" s="392">
        <f>'[1]COE  LIB. 2019'!P34</f>
        <v>25500000</v>
      </c>
      <c r="BB100" s="383">
        <f t="shared" si="116"/>
        <v>4500000</v>
      </c>
      <c r="BC100" s="408"/>
      <c r="BD100" s="392">
        <f>'[1]COE commited funds to date'!Q113</f>
        <v>70000000</v>
      </c>
      <c r="BE100" s="392">
        <f>'[1]COE  LIB. 2019'!Q34</f>
        <v>70000000</v>
      </c>
      <c r="BF100" s="383">
        <f t="shared" si="117"/>
        <v>0</v>
      </c>
      <c r="BH100" s="392">
        <v>35000000</v>
      </c>
      <c r="BI100" s="383">
        <f>'[1]COE  LIB. 2019'!R34</f>
        <v>35000000</v>
      </c>
      <c r="BJ100" s="383">
        <f t="shared" si="118"/>
        <v>0</v>
      </c>
      <c r="BL100" s="383">
        <f>'[1]COE commited funds to date'!S113</f>
        <v>30000000</v>
      </c>
      <c r="BM100" s="383">
        <f>'[1]COE  LIB. 2019'!S34</f>
        <v>0</v>
      </c>
      <c r="BN100" s="383">
        <f t="shared" si="119"/>
        <v>30000000</v>
      </c>
      <c r="BP100" s="383">
        <f>'[1]COE commited funds to date'!T113</f>
        <v>24000000</v>
      </c>
      <c r="BQ100" s="383">
        <f>'[1]COE  LIB. 2019'!T33</f>
        <v>0</v>
      </c>
      <c r="BR100" s="383">
        <f t="shared" si="120"/>
        <v>24000000</v>
      </c>
      <c r="BS100" s="380"/>
      <c r="BT100" s="383">
        <f>'[1]COE commited funds to date'!U113</f>
        <v>16000000</v>
      </c>
      <c r="BU100" s="383">
        <f>'[1]COE  LIB. 2019'!U34</f>
        <v>0</v>
      </c>
      <c r="BV100" s="383">
        <f t="shared" si="121"/>
        <v>16000000</v>
      </c>
      <c r="BW100" s="380"/>
      <c r="BX100" s="383">
        <f t="shared" si="122"/>
        <v>264680000</v>
      </c>
      <c r="BY100" s="383">
        <f t="shared" si="122"/>
        <v>190180000</v>
      </c>
      <c r="BZ100" s="383">
        <f t="shared" si="123"/>
        <v>74500000</v>
      </c>
    </row>
    <row r="101" spans="1:78" x14ac:dyDescent="0.25">
      <c r="A101" s="380">
        <v>23</v>
      </c>
      <c r="B101" s="418" t="s">
        <v>391</v>
      </c>
      <c r="C101" s="431" t="s">
        <v>65</v>
      </c>
      <c r="D101" s="385">
        <v>1125000</v>
      </c>
      <c r="E101" s="392">
        <f>'[1]COE  LIB. 2019'!D35</f>
        <v>1125000</v>
      </c>
      <c r="F101" s="383">
        <f t="shared" si="104"/>
        <v>0</v>
      </c>
      <c r="H101" s="392">
        <v>1125000</v>
      </c>
      <c r="I101" s="392">
        <f>'[1]COE  LIB. 2019'!E35</f>
        <v>1125000</v>
      </c>
      <c r="J101" s="383">
        <f t="shared" si="105"/>
        <v>0</v>
      </c>
      <c r="L101" s="392">
        <v>1125000</v>
      </c>
      <c r="M101" s="392">
        <f>'[1]COE  LIB. 2019'!F35</f>
        <v>1125000</v>
      </c>
      <c r="N101" s="383">
        <f t="shared" si="106"/>
        <v>0</v>
      </c>
      <c r="P101" s="392">
        <v>1125000</v>
      </c>
      <c r="Q101" s="392">
        <f>'[1]COE  LIB. 2019'!G35</f>
        <v>1125000</v>
      </c>
      <c r="R101" s="383">
        <f t="shared" si="107"/>
        <v>0</v>
      </c>
      <c r="T101" s="392">
        <v>2000000</v>
      </c>
      <c r="U101" s="392">
        <f>'[1]COE  LIB. 2019'!H35</f>
        <v>2000000</v>
      </c>
      <c r="V101" s="383">
        <f t="shared" si="108"/>
        <v>0</v>
      </c>
      <c r="X101" s="392">
        <v>2000000</v>
      </c>
      <c r="Y101" s="392">
        <f>'[1]COE  LIB. 2019'!I35</f>
        <v>2000000</v>
      </c>
      <c r="Z101" s="383">
        <f t="shared" si="109"/>
        <v>0</v>
      </c>
      <c r="AB101" s="392">
        <v>2500000</v>
      </c>
      <c r="AC101" s="392">
        <f>'[1]COE  LIB. 2019'!J35</f>
        <v>2500000</v>
      </c>
      <c r="AD101" s="383">
        <f t="shared" si="110"/>
        <v>0</v>
      </c>
      <c r="AF101" s="392">
        <v>552000</v>
      </c>
      <c r="AG101" s="392">
        <f>'[1]COE  LIB. 2019'!K35</f>
        <v>552000</v>
      </c>
      <c r="AH101" s="383">
        <f t="shared" si="111"/>
        <v>0</v>
      </c>
      <c r="AJ101" s="392">
        <v>750000</v>
      </c>
      <c r="AK101" s="392">
        <f>'[1]COE  LIB. 2019'!L35</f>
        <v>750000</v>
      </c>
      <c r="AL101" s="383">
        <f t="shared" si="112"/>
        <v>0</v>
      </c>
      <c r="AN101" s="392">
        <f>'[1]COE commited funds to date'!M114</f>
        <v>10000000</v>
      </c>
      <c r="AO101" s="392">
        <f>'[1]COE  LIB. 2019'!M35</f>
        <v>10000000</v>
      </c>
      <c r="AP101" s="383">
        <f t="shared" si="113"/>
        <v>0</v>
      </c>
      <c r="AR101" s="392">
        <f>'[1]COE commited funds to date'!N114</f>
        <v>10000000</v>
      </c>
      <c r="AS101" s="392">
        <f>'[1]COE  LIB. 2019'!N35</f>
        <v>10000000</v>
      </c>
      <c r="AT101" s="383">
        <f t="shared" si="114"/>
        <v>0</v>
      </c>
      <c r="AV101" s="392">
        <v>20000000</v>
      </c>
      <c r="AW101" s="392">
        <f>'[1]COE  LIB. 2019'!O35</f>
        <v>20000000</v>
      </c>
      <c r="AX101" s="383">
        <f t="shared" si="115"/>
        <v>0</v>
      </c>
      <c r="AZ101" s="392">
        <f>'[1]COE commited funds to date'!P114</f>
        <v>30000000</v>
      </c>
      <c r="BA101" s="392">
        <f>'[1]COE  LIB. 2019'!P35</f>
        <v>30000000</v>
      </c>
      <c r="BB101" s="383">
        <f t="shared" si="116"/>
        <v>0</v>
      </c>
      <c r="BC101" s="408"/>
      <c r="BD101" s="392">
        <f>'[1]COE commited funds to date'!Q114</f>
        <v>70000000</v>
      </c>
      <c r="BE101" s="392">
        <f>'[1]COE  LIB. 2019'!Q35</f>
        <v>0</v>
      </c>
      <c r="BF101" s="383">
        <f t="shared" si="117"/>
        <v>70000000</v>
      </c>
      <c r="BH101" s="392">
        <v>35000000</v>
      </c>
      <c r="BI101" s="383">
        <f>'[1]COE  LIB. 2019'!R35</f>
        <v>0</v>
      </c>
      <c r="BJ101" s="383">
        <f t="shared" si="118"/>
        <v>35000000</v>
      </c>
      <c r="BL101" s="383">
        <f>'[1]COE commited funds to date'!S114</f>
        <v>30000000</v>
      </c>
      <c r="BM101" s="383">
        <f>'[1]COE  LIB. 2019'!S35</f>
        <v>0</v>
      </c>
      <c r="BN101" s="383">
        <f t="shared" si="119"/>
        <v>30000000</v>
      </c>
      <c r="BP101" s="383">
        <f>'[1]COE commited funds to date'!T114</f>
        <v>24000000</v>
      </c>
      <c r="BQ101" s="383">
        <f>'[1]COE  LIB. 2019'!T34</f>
        <v>0</v>
      </c>
      <c r="BR101" s="383">
        <f t="shared" si="120"/>
        <v>24000000</v>
      </c>
      <c r="BS101" s="380"/>
      <c r="BT101" s="383">
        <f>'[1]COE commited funds to date'!U114</f>
        <v>16000000</v>
      </c>
      <c r="BU101" s="383">
        <f>'[1]COE  LIB. 2019'!U35</f>
        <v>0</v>
      </c>
      <c r="BV101" s="383">
        <f t="shared" si="121"/>
        <v>16000000</v>
      </c>
      <c r="BW101" s="380"/>
      <c r="BX101" s="383">
        <f t="shared" si="122"/>
        <v>257302000</v>
      </c>
      <c r="BY101" s="383">
        <f t="shared" si="122"/>
        <v>82302000</v>
      </c>
      <c r="BZ101" s="383">
        <f t="shared" si="123"/>
        <v>175000000</v>
      </c>
    </row>
    <row r="102" spans="1:78" x14ac:dyDescent="0.25">
      <c r="A102" s="380">
        <v>24</v>
      </c>
      <c r="B102" s="418" t="s">
        <v>343</v>
      </c>
      <c r="C102" s="431" t="s">
        <v>76</v>
      </c>
      <c r="D102" s="385">
        <v>1125000</v>
      </c>
      <c r="E102" s="392">
        <f>'[1]COE  LIB. 2019'!D36</f>
        <v>1125000</v>
      </c>
      <c r="F102" s="383">
        <f t="shared" si="104"/>
        <v>0</v>
      </c>
      <c r="H102" s="392">
        <v>1125000</v>
      </c>
      <c r="I102" s="392">
        <f>'[1]COE  LIB. 2019'!E36</f>
        <v>1125000</v>
      </c>
      <c r="J102" s="383">
        <f t="shared" si="105"/>
        <v>0</v>
      </c>
      <c r="L102" s="392">
        <v>1125000</v>
      </c>
      <c r="M102" s="392">
        <f>'[1]COE  LIB. 2019'!F36</f>
        <v>1125000</v>
      </c>
      <c r="N102" s="383">
        <f t="shared" si="106"/>
        <v>0</v>
      </c>
      <c r="P102" s="392">
        <v>1125000</v>
      </c>
      <c r="Q102" s="392">
        <f>'[1]COE  LIB. 2019'!G36</f>
        <v>1125000</v>
      </c>
      <c r="R102" s="383">
        <f t="shared" si="107"/>
        <v>0</v>
      </c>
      <c r="T102" s="392">
        <v>2000000</v>
      </c>
      <c r="U102" s="392">
        <f>'[1]COE  LIB. 2019'!H36</f>
        <v>2000000</v>
      </c>
      <c r="V102" s="383">
        <f t="shared" si="108"/>
        <v>0</v>
      </c>
      <c r="X102" s="392">
        <v>2000000</v>
      </c>
      <c r="Y102" s="392">
        <f>'[1]COE  LIB. 2019'!I36</f>
        <v>2000000</v>
      </c>
      <c r="Z102" s="383">
        <f t="shared" si="109"/>
        <v>0</v>
      </c>
      <c r="AB102" s="392">
        <v>2500000</v>
      </c>
      <c r="AC102" s="392">
        <f>'[1]COE  LIB. 2019'!J36</f>
        <v>2500000</v>
      </c>
      <c r="AD102" s="383">
        <f t="shared" si="110"/>
        <v>0</v>
      </c>
      <c r="AF102" s="392">
        <v>3680000</v>
      </c>
      <c r="AG102" s="392">
        <f>'[1]COE  LIB. 2019'!K36</f>
        <v>3680000</v>
      </c>
      <c r="AH102" s="383">
        <f t="shared" si="111"/>
        <v>0</v>
      </c>
      <c r="AJ102" s="392">
        <f>5000000-5000000</f>
        <v>0</v>
      </c>
      <c r="AK102" s="392">
        <f>'[1]COE  LIB. 2019'!L36</f>
        <v>0</v>
      </c>
      <c r="AL102" s="383">
        <f t="shared" si="112"/>
        <v>0</v>
      </c>
      <c r="AN102" s="392">
        <f>'[1]COE commited funds to date'!M115</f>
        <v>0</v>
      </c>
      <c r="AO102" s="392">
        <f>'[1]COE  LIB. 2019'!M36</f>
        <v>0</v>
      </c>
      <c r="AP102" s="383">
        <f t="shared" si="113"/>
        <v>0</v>
      </c>
      <c r="AR102" s="392">
        <f>'[1]COE commited funds to date'!N115</f>
        <v>10000000</v>
      </c>
      <c r="AS102" s="392">
        <f>'[1]COE  LIB. 2019'!N36</f>
        <v>10000000</v>
      </c>
      <c r="AT102" s="383">
        <f t="shared" si="114"/>
        <v>0</v>
      </c>
      <c r="AV102" s="392">
        <v>20000000</v>
      </c>
      <c r="AW102" s="392">
        <f>'[1]COE  LIB. 2019'!O36</f>
        <v>20000000</v>
      </c>
      <c r="AX102" s="383">
        <f t="shared" si="115"/>
        <v>0</v>
      </c>
      <c r="AZ102" s="392">
        <f>'[1]COE commited funds to date'!P115</f>
        <v>30000000</v>
      </c>
      <c r="BA102" s="392">
        <f>'[1]COE  LIB. 2019'!P36</f>
        <v>30000000</v>
      </c>
      <c r="BB102" s="383">
        <f t="shared" si="116"/>
        <v>0</v>
      </c>
      <c r="BC102" s="408"/>
      <c r="BD102" s="392">
        <f>'[1]COE commited funds to date'!Q115</f>
        <v>70000000</v>
      </c>
      <c r="BE102" s="392">
        <f>'[1]COE  LIB. 2019'!Q36</f>
        <v>70000000</v>
      </c>
      <c r="BF102" s="383">
        <f t="shared" si="117"/>
        <v>0</v>
      </c>
      <c r="BH102" s="392">
        <v>35000000</v>
      </c>
      <c r="BI102" s="383">
        <f>'[1]COE  LIB. 2019'!R36</f>
        <v>0</v>
      </c>
      <c r="BJ102" s="383">
        <f t="shared" si="118"/>
        <v>35000000</v>
      </c>
      <c r="BL102" s="383">
        <f>'[1]COE commited funds to date'!S115</f>
        <v>30000000</v>
      </c>
      <c r="BM102" s="383">
        <f>'[1]COE  LIB. 2019'!S36</f>
        <v>0</v>
      </c>
      <c r="BN102" s="383">
        <f t="shared" si="119"/>
        <v>30000000</v>
      </c>
      <c r="BP102" s="383">
        <f>'[1]COE commited funds to date'!T115</f>
        <v>24000000</v>
      </c>
      <c r="BQ102" s="383">
        <f>'[1]COE  LIB. 2019'!T35</f>
        <v>0</v>
      </c>
      <c r="BR102" s="383">
        <f t="shared" si="120"/>
        <v>24000000</v>
      </c>
      <c r="BS102" s="380"/>
      <c r="BT102" s="383">
        <f>'[1]COE commited funds to date'!U115</f>
        <v>16000000</v>
      </c>
      <c r="BU102" s="383">
        <f>'[1]COE  LIB. 2019'!U36</f>
        <v>0</v>
      </c>
      <c r="BV102" s="383">
        <f t="shared" si="121"/>
        <v>16000000</v>
      </c>
      <c r="BW102" s="380"/>
      <c r="BX102" s="383">
        <f t="shared" si="122"/>
        <v>249680000</v>
      </c>
      <c r="BY102" s="383">
        <f t="shared" si="122"/>
        <v>144680000</v>
      </c>
      <c r="BZ102" s="383">
        <f t="shared" si="123"/>
        <v>105000000</v>
      </c>
    </row>
    <row r="103" spans="1:78" x14ac:dyDescent="0.25">
      <c r="A103" s="380">
        <v>25</v>
      </c>
      <c r="B103" s="418" t="s">
        <v>344</v>
      </c>
      <c r="C103" s="435" t="s">
        <v>74</v>
      </c>
      <c r="D103" s="419">
        <v>1125000</v>
      </c>
      <c r="E103" s="392">
        <f>'[1]COE  LIB. 2019'!D37</f>
        <v>1125000</v>
      </c>
      <c r="F103" s="383">
        <f t="shared" si="104"/>
        <v>0</v>
      </c>
      <c r="H103" s="392">
        <v>1125000</v>
      </c>
      <c r="I103" s="392">
        <f>'[1]COE  LIB. 2019'!E37</f>
        <v>1125000</v>
      </c>
      <c r="J103" s="383">
        <f t="shared" si="105"/>
        <v>0</v>
      </c>
      <c r="L103" s="392">
        <v>1125000</v>
      </c>
      <c r="M103" s="392">
        <f>'[1]COE  LIB. 2019'!F37</f>
        <v>1125000</v>
      </c>
      <c r="N103" s="383">
        <f t="shared" si="106"/>
        <v>0</v>
      </c>
      <c r="P103" s="392">
        <v>1125000</v>
      </c>
      <c r="Q103" s="392">
        <f>'[1]COE  LIB. 2019'!G37</f>
        <v>1125000</v>
      </c>
      <c r="R103" s="383">
        <f t="shared" si="107"/>
        <v>0</v>
      </c>
      <c r="T103" s="392">
        <v>2000000</v>
      </c>
      <c r="U103" s="392">
        <f>'[1]COE  LIB. 2019'!H37</f>
        <v>2000000</v>
      </c>
      <c r="V103" s="383">
        <f t="shared" si="108"/>
        <v>0</v>
      </c>
      <c r="X103" s="392">
        <v>2000000</v>
      </c>
      <c r="Y103" s="392">
        <f>'[1]COE  LIB. 2019'!I37</f>
        <v>2000000</v>
      </c>
      <c r="Z103" s="383">
        <f t="shared" si="109"/>
        <v>0</v>
      </c>
      <c r="AB103" s="392">
        <v>2500000</v>
      </c>
      <c r="AC103" s="392">
        <f>'[1]COE  LIB. 2019'!J37</f>
        <v>2500000</v>
      </c>
      <c r="AD103" s="383">
        <f t="shared" si="110"/>
        <v>0</v>
      </c>
      <c r="AF103" s="392">
        <v>3680000</v>
      </c>
      <c r="AG103" s="392">
        <f>'[1]COE  LIB. 2019'!K37</f>
        <v>3680000</v>
      </c>
      <c r="AH103" s="383">
        <f t="shared" si="111"/>
        <v>0</v>
      </c>
      <c r="AJ103" s="392">
        <v>5000000</v>
      </c>
      <c r="AK103" s="392">
        <f>'[1]COE  LIB. 2019'!L37</f>
        <v>5000000</v>
      </c>
      <c r="AL103" s="383">
        <f t="shared" si="112"/>
        <v>0</v>
      </c>
      <c r="AN103" s="392">
        <f>'[1]COE commited funds to date'!M116</f>
        <v>10000000</v>
      </c>
      <c r="AO103" s="392">
        <f>'[1]COE  LIB. 2019'!M37</f>
        <v>10000000</v>
      </c>
      <c r="AP103" s="383">
        <f t="shared" si="113"/>
        <v>0</v>
      </c>
      <c r="AR103" s="392">
        <f>'[1]COE commited funds to date'!N116</f>
        <v>10000000</v>
      </c>
      <c r="AS103" s="392">
        <f>'[1]COE  LIB. 2019'!N37</f>
        <v>10000000</v>
      </c>
      <c r="AT103" s="383">
        <f t="shared" si="114"/>
        <v>0</v>
      </c>
      <c r="AV103" s="392">
        <v>20000000</v>
      </c>
      <c r="AW103" s="392">
        <f>'[1]COE  LIB. 2019'!O37</f>
        <v>20000000</v>
      </c>
      <c r="AX103" s="383">
        <f t="shared" si="115"/>
        <v>0</v>
      </c>
      <c r="AZ103" s="392">
        <f>'[1]COE commited funds to date'!P116</f>
        <v>30000000</v>
      </c>
      <c r="BA103" s="392">
        <f>'[1]COE  LIB. 2019'!P37</f>
        <v>30000000</v>
      </c>
      <c r="BB103" s="383">
        <f t="shared" si="116"/>
        <v>0</v>
      </c>
      <c r="BC103" s="408"/>
      <c r="BD103" s="392">
        <f>'[1]COE commited funds to date'!Q116</f>
        <v>70000000</v>
      </c>
      <c r="BE103" s="392">
        <f>'[1]COE  LIB. 2019'!Q37</f>
        <v>70000000</v>
      </c>
      <c r="BF103" s="383">
        <f t="shared" si="117"/>
        <v>0</v>
      </c>
      <c r="BH103" s="392">
        <v>35000000</v>
      </c>
      <c r="BI103" s="383">
        <f>'[1]COE  LIB. 2019'!R37</f>
        <v>35000000</v>
      </c>
      <c r="BJ103" s="383">
        <f t="shared" si="118"/>
        <v>0</v>
      </c>
      <c r="BL103" s="383">
        <f>'[1]COE commited funds to date'!S116</f>
        <v>30000000</v>
      </c>
      <c r="BM103" s="383">
        <f>'[1]COE  LIB. 2019'!S37</f>
        <v>30000000</v>
      </c>
      <c r="BN103" s="383">
        <f t="shared" si="119"/>
        <v>0</v>
      </c>
      <c r="BP103" s="383">
        <f>'[1]COE commited funds to date'!T116</f>
        <v>24000000</v>
      </c>
      <c r="BQ103" s="383">
        <f>'[1]COE  LIB. 2019'!T36</f>
        <v>0</v>
      </c>
      <c r="BR103" s="383">
        <f t="shared" si="120"/>
        <v>24000000</v>
      </c>
      <c r="BS103" s="380"/>
      <c r="BT103" s="383">
        <f>'[1]COE commited funds to date'!U116</f>
        <v>16000000</v>
      </c>
      <c r="BU103" s="383">
        <f>'[1]COE  LIB. 2019'!U37</f>
        <v>0</v>
      </c>
      <c r="BV103" s="383">
        <f t="shared" si="121"/>
        <v>16000000</v>
      </c>
      <c r="BW103" s="380"/>
      <c r="BX103" s="383">
        <f t="shared" si="122"/>
        <v>264680000</v>
      </c>
      <c r="BY103" s="383">
        <f t="shared" si="122"/>
        <v>224680000</v>
      </c>
      <c r="BZ103" s="383">
        <f t="shared" si="123"/>
        <v>40000000</v>
      </c>
    </row>
    <row r="104" spans="1:78" x14ac:dyDescent="0.25">
      <c r="A104" s="380">
        <v>26</v>
      </c>
      <c r="B104" s="418" t="s">
        <v>392</v>
      </c>
      <c r="C104" s="431" t="s">
        <v>61</v>
      </c>
      <c r="D104" s="419">
        <v>1125000</v>
      </c>
      <c r="E104" s="392">
        <f>'[1]COE  LIB. 2019'!D38</f>
        <v>1125000</v>
      </c>
      <c r="F104" s="383">
        <f t="shared" si="104"/>
        <v>0</v>
      </c>
      <c r="H104" s="392">
        <v>1125000</v>
      </c>
      <c r="I104" s="392">
        <f>'[1]COE  LIB. 2019'!E38</f>
        <v>1125000</v>
      </c>
      <c r="J104" s="383">
        <f t="shared" si="105"/>
        <v>0</v>
      </c>
      <c r="L104" s="392">
        <v>1125000</v>
      </c>
      <c r="M104" s="392">
        <f>'[1]COE  LIB. 2019'!F38</f>
        <v>1125000</v>
      </c>
      <c r="N104" s="383">
        <f t="shared" si="106"/>
        <v>0</v>
      </c>
      <c r="P104" s="392">
        <v>1125000</v>
      </c>
      <c r="Q104" s="392">
        <f>'[1]COE  LIB. 2019'!G38</f>
        <v>1125000</v>
      </c>
      <c r="R104" s="383">
        <f t="shared" si="107"/>
        <v>0</v>
      </c>
      <c r="T104" s="392">
        <v>2000000</v>
      </c>
      <c r="U104" s="392">
        <f>'[1]COE  LIB. 2019'!H38</f>
        <v>2000000</v>
      </c>
      <c r="V104" s="383">
        <f t="shared" si="108"/>
        <v>0</v>
      </c>
      <c r="X104" s="392">
        <v>2000000</v>
      </c>
      <c r="Y104" s="392">
        <f>'[1]COE  LIB. 2019'!I38</f>
        <v>2000000</v>
      </c>
      <c r="Z104" s="383">
        <f t="shared" si="109"/>
        <v>0</v>
      </c>
      <c r="AB104" s="392">
        <v>2500000</v>
      </c>
      <c r="AC104" s="392">
        <f>'[1]COE  LIB. 2019'!J38</f>
        <v>2500000</v>
      </c>
      <c r="AD104" s="383">
        <f t="shared" si="110"/>
        <v>0</v>
      </c>
      <c r="AF104" s="392">
        <v>3680000</v>
      </c>
      <c r="AG104" s="392">
        <f>'[1]COE  LIB. 2019'!K38</f>
        <v>3680000</v>
      </c>
      <c r="AH104" s="383">
        <f t="shared" si="111"/>
        <v>0</v>
      </c>
      <c r="AJ104" s="392">
        <v>5000000</v>
      </c>
      <c r="AK104" s="392">
        <f>'[1]COE  LIB. 2019'!L38</f>
        <v>5000000</v>
      </c>
      <c r="AL104" s="383">
        <f t="shared" si="112"/>
        <v>0</v>
      </c>
      <c r="AN104" s="392">
        <f>'[1]COE commited funds to date'!M117</f>
        <v>10000000</v>
      </c>
      <c r="AO104" s="392">
        <f>'[1]COE  LIB. 2019'!M38</f>
        <v>10000000</v>
      </c>
      <c r="AP104" s="383">
        <f t="shared" si="113"/>
        <v>0</v>
      </c>
      <c r="AR104" s="392">
        <f>'[1]COE commited funds to date'!N117</f>
        <v>0</v>
      </c>
      <c r="AS104" s="392">
        <f>'[1]COE  LIB. 2019'!N38</f>
        <v>0</v>
      </c>
      <c r="AT104" s="383">
        <f t="shared" si="114"/>
        <v>0</v>
      </c>
      <c r="AV104" s="392">
        <v>20000000</v>
      </c>
      <c r="AW104" s="392">
        <f>'[1]COE  LIB. 2019'!O38</f>
        <v>20000000</v>
      </c>
      <c r="AX104" s="383">
        <f t="shared" si="115"/>
        <v>0</v>
      </c>
      <c r="AZ104" s="392">
        <f>'[1]COE commited funds to date'!P117</f>
        <v>0</v>
      </c>
      <c r="BA104" s="392">
        <f>'[1]COE  LIB. 2019'!P38</f>
        <v>0</v>
      </c>
      <c r="BB104" s="383">
        <f t="shared" si="116"/>
        <v>0</v>
      </c>
      <c r="BC104" s="408"/>
      <c r="BD104" s="392">
        <f>'[1]COE commited funds to date'!Q117</f>
        <v>70000000</v>
      </c>
      <c r="BE104" s="392">
        <f>'[1]COE  LIB. 2019'!Q38</f>
        <v>70000000</v>
      </c>
      <c r="BF104" s="383">
        <f t="shared" si="117"/>
        <v>0</v>
      </c>
      <c r="BH104" s="392">
        <v>0</v>
      </c>
      <c r="BI104" s="383">
        <f>'[1]COE  LIB. 2019'!R38</f>
        <v>0</v>
      </c>
      <c r="BJ104" s="383">
        <f t="shared" si="118"/>
        <v>0</v>
      </c>
      <c r="BL104" s="383">
        <f>'[1]COE commited funds to date'!S117</f>
        <v>30000000</v>
      </c>
      <c r="BM104" s="383">
        <f>'[1]COE  LIB. 2019'!S38</f>
        <v>30000000</v>
      </c>
      <c r="BN104" s="383">
        <f t="shared" si="119"/>
        <v>0</v>
      </c>
      <c r="BP104" s="383">
        <f>'[1]COE commited funds to date'!T117</f>
        <v>0</v>
      </c>
      <c r="BQ104" s="383">
        <f>'[1]COE  LIB. 2019'!T37</f>
        <v>0</v>
      </c>
      <c r="BR104" s="383">
        <f t="shared" si="120"/>
        <v>0</v>
      </c>
      <c r="BS104" s="380"/>
      <c r="BT104" s="383">
        <f>'[1]COE commited funds to date'!U117</f>
        <v>16000000</v>
      </c>
      <c r="BU104" s="383">
        <f>'[1]COE  LIB. 2019'!U38</f>
        <v>0</v>
      </c>
      <c r="BV104" s="383">
        <f t="shared" si="121"/>
        <v>16000000</v>
      </c>
      <c r="BW104" s="380"/>
      <c r="BX104" s="383">
        <f t="shared" si="122"/>
        <v>165680000</v>
      </c>
      <c r="BY104" s="383">
        <f t="shared" si="122"/>
        <v>149680000</v>
      </c>
      <c r="BZ104" s="383">
        <f t="shared" si="123"/>
        <v>16000000</v>
      </c>
    </row>
    <row r="105" spans="1:78" x14ac:dyDescent="0.25">
      <c r="A105" s="380">
        <v>27</v>
      </c>
      <c r="B105" s="418" t="s">
        <v>393</v>
      </c>
      <c r="C105" s="433"/>
      <c r="D105" s="385">
        <v>843750</v>
      </c>
      <c r="E105" s="392">
        <f>'[1]COE  LIB. 2019'!D39</f>
        <v>843750</v>
      </c>
      <c r="F105" s="383">
        <f t="shared" si="104"/>
        <v>0</v>
      </c>
      <c r="H105" s="392">
        <v>956250</v>
      </c>
      <c r="I105" s="392">
        <f>'[1]COE  LIB. 2019'!E39</f>
        <v>956250</v>
      </c>
      <c r="J105" s="383">
        <f t="shared" si="105"/>
        <v>0</v>
      </c>
      <c r="L105" s="392">
        <f>1125000-1125000</f>
        <v>0</v>
      </c>
      <c r="M105" s="392">
        <f>'[1]COE  LIB. 2019'!F39</f>
        <v>0</v>
      </c>
      <c r="N105" s="383">
        <f t="shared" si="106"/>
        <v>0</v>
      </c>
      <c r="P105" s="392">
        <v>1125000</v>
      </c>
      <c r="Q105" s="392">
        <f>'[1]COE  LIB. 2019'!G39</f>
        <v>1125000</v>
      </c>
      <c r="R105" s="383">
        <f t="shared" si="107"/>
        <v>0</v>
      </c>
      <c r="T105" s="392">
        <v>2000000</v>
      </c>
      <c r="U105" s="392">
        <f>'[1]COE  LIB. 2019'!H39</f>
        <v>2000000</v>
      </c>
      <c r="V105" s="383">
        <f t="shared" si="108"/>
        <v>0</v>
      </c>
      <c r="X105" s="392">
        <v>2000000</v>
      </c>
      <c r="Y105" s="392">
        <f>'[1]COE  LIB. 2019'!I39</f>
        <v>2000000</v>
      </c>
      <c r="Z105" s="383">
        <f t="shared" si="109"/>
        <v>0</v>
      </c>
      <c r="AB105" s="392">
        <v>2500000</v>
      </c>
      <c r="AC105" s="392">
        <f>'[1]COE  LIB. 2019'!J39</f>
        <v>2500000</v>
      </c>
      <c r="AD105" s="383">
        <f t="shared" si="110"/>
        <v>0</v>
      </c>
      <c r="AF105" s="392">
        <v>3680000</v>
      </c>
      <c r="AG105" s="392">
        <f>'[1]COE  LIB. 2019'!K39</f>
        <v>3680000</v>
      </c>
      <c r="AH105" s="383">
        <f t="shared" si="111"/>
        <v>0</v>
      </c>
      <c r="AJ105" s="392">
        <v>5000000</v>
      </c>
      <c r="AK105" s="392">
        <f>'[1]COE  LIB. 2019'!L39</f>
        <v>5000000</v>
      </c>
      <c r="AL105" s="383">
        <f t="shared" si="112"/>
        <v>0</v>
      </c>
      <c r="AN105" s="392">
        <f>'[1]COE commited funds to date'!M118</f>
        <v>0</v>
      </c>
      <c r="AO105" s="392">
        <f>'[1]COE  LIB. 2019'!M39</f>
        <v>0</v>
      </c>
      <c r="AP105" s="383">
        <f t="shared" si="113"/>
        <v>0</v>
      </c>
      <c r="AR105" s="392">
        <f>'[1]COE commited funds to date'!N118</f>
        <v>10000000</v>
      </c>
      <c r="AS105" s="392">
        <f>'[1]COE  LIB. 2019'!N39</f>
        <v>10000000</v>
      </c>
      <c r="AT105" s="383">
        <f t="shared" si="114"/>
        <v>0</v>
      </c>
      <c r="AV105" s="392">
        <v>0</v>
      </c>
      <c r="AW105" s="392">
        <f>'[1]COE  LIB. 2019'!O39</f>
        <v>0</v>
      </c>
      <c r="AX105" s="383">
        <f t="shared" si="115"/>
        <v>0</v>
      </c>
      <c r="AZ105" s="392">
        <f>'[1]COE commited funds to date'!P118</f>
        <v>30000000</v>
      </c>
      <c r="BA105" s="392">
        <f>'[1]COE  LIB. 2019'!P39</f>
        <v>25500000</v>
      </c>
      <c r="BB105" s="383">
        <f t="shared" si="116"/>
        <v>4500000</v>
      </c>
      <c r="BC105" s="408"/>
      <c r="BD105" s="392">
        <f>'[1]COE commited funds to date'!Q118</f>
        <v>0</v>
      </c>
      <c r="BE105" s="392">
        <f>'[1]COE  LIB. 2019'!Q39</f>
        <v>0</v>
      </c>
      <c r="BF105" s="383">
        <f t="shared" si="117"/>
        <v>0</v>
      </c>
      <c r="BH105" s="392">
        <v>35000000</v>
      </c>
      <c r="BI105" s="383">
        <f>'[1]COE  LIB. 2019'!R39</f>
        <v>29750000</v>
      </c>
      <c r="BJ105" s="383">
        <f t="shared" si="118"/>
        <v>5250000</v>
      </c>
      <c r="BL105" s="383">
        <f>'[1]COE commited funds to date'!S118</f>
        <v>0</v>
      </c>
      <c r="BM105" s="383">
        <f>'[1]COE  LIB. 2019'!S39</f>
        <v>0</v>
      </c>
      <c r="BN105" s="383">
        <f t="shared" si="119"/>
        <v>0</v>
      </c>
      <c r="BP105" s="383">
        <f>'[1]COE commited funds to date'!T118</f>
        <v>24000000</v>
      </c>
      <c r="BQ105" s="383">
        <f>'[1]COE  LIB. 2019'!T38</f>
        <v>0</v>
      </c>
      <c r="BR105" s="383">
        <f t="shared" si="120"/>
        <v>24000000</v>
      </c>
      <c r="BS105" s="380"/>
      <c r="BT105" s="383">
        <f>'[1]COE commited funds to date'!U118</f>
        <v>0</v>
      </c>
      <c r="BU105" s="383">
        <f>'[1]COE  LIB. 2019'!U39</f>
        <v>0</v>
      </c>
      <c r="BV105" s="383">
        <f t="shared" si="121"/>
        <v>0</v>
      </c>
      <c r="BW105" s="380"/>
      <c r="BX105" s="383">
        <f t="shared" si="122"/>
        <v>117105000</v>
      </c>
      <c r="BY105" s="383">
        <f t="shared" si="122"/>
        <v>83355000</v>
      </c>
      <c r="BZ105" s="383">
        <f t="shared" si="123"/>
        <v>33750000</v>
      </c>
    </row>
    <row r="106" spans="1:78" x14ac:dyDescent="0.25">
      <c r="A106" s="380">
        <v>28</v>
      </c>
      <c r="B106" s="418" t="s">
        <v>394</v>
      </c>
      <c r="C106" s="436"/>
      <c r="D106" s="385">
        <v>1125000</v>
      </c>
      <c r="E106" s="392">
        <f>'[1]COE  LIB. 2019'!D40</f>
        <v>1125000</v>
      </c>
      <c r="F106" s="383">
        <f t="shared" si="104"/>
        <v>0</v>
      </c>
      <c r="H106" s="392">
        <v>1125000</v>
      </c>
      <c r="I106" s="392">
        <f>'[1]COE  LIB. 2019'!E40</f>
        <v>1125000</v>
      </c>
      <c r="J106" s="383">
        <f t="shared" si="105"/>
        <v>0</v>
      </c>
      <c r="L106" s="392">
        <v>1125000</v>
      </c>
      <c r="M106" s="392">
        <f>'[1]COE  LIB. 2019'!F40</f>
        <v>1125000</v>
      </c>
      <c r="N106" s="383">
        <f t="shared" si="106"/>
        <v>0</v>
      </c>
      <c r="P106" s="392">
        <v>1125000</v>
      </c>
      <c r="Q106" s="392">
        <f>'[1]COE  LIB. 2019'!G40</f>
        <v>1125000</v>
      </c>
      <c r="R106" s="383">
        <f t="shared" si="107"/>
        <v>0</v>
      </c>
      <c r="T106" s="392">
        <v>2000000</v>
      </c>
      <c r="U106" s="392">
        <f>'[1]COE  LIB. 2019'!H40</f>
        <v>2000000</v>
      </c>
      <c r="V106" s="383">
        <f t="shared" si="108"/>
        <v>0</v>
      </c>
      <c r="X106" s="392">
        <v>2000000</v>
      </c>
      <c r="Y106" s="392">
        <f>'[1]COE  LIB. 2019'!I40</f>
        <v>2000000</v>
      </c>
      <c r="Z106" s="383">
        <f t="shared" si="109"/>
        <v>0</v>
      </c>
      <c r="AB106" s="392">
        <v>2500000</v>
      </c>
      <c r="AC106" s="392">
        <f>'[1]COE  LIB. 2019'!J40</f>
        <v>2500000</v>
      </c>
      <c r="AD106" s="383">
        <f t="shared" si="110"/>
        <v>0</v>
      </c>
      <c r="AF106" s="392">
        <v>3680000</v>
      </c>
      <c r="AG106" s="392">
        <f>'[1]COE  LIB. 2019'!K40</f>
        <v>3680000</v>
      </c>
      <c r="AH106" s="383">
        <f t="shared" si="111"/>
        <v>0</v>
      </c>
      <c r="AJ106" s="392">
        <v>5000000</v>
      </c>
      <c r="AK106" s="392">
        <f>'[1]COE  LIB. 2019'!L40</f>
        <v>5000000</v>
      </c>
      <c r="AL106" s="383">
        <f t="shared" si="112"/>
        <v>0</v>
      </c>
      <c r="AN106" s="392">
        <f>'[1]COE commited funds to date'!M119</f>
        <v>10000000</v>
      </c>
      <c r="AO106" s="392">
        <f>'[1]COE  LIB. 2019'!M40</f>
        <v>10000000</v>
      </c>
      <c r="AP106" s="383">
        <f t="shared" si="113"/>
        <v>0</v>
      </c>
      <c r="AR106" s="392">
        <f>'[1]COE commited funds to date'!N119</f>
        <v>0</v>
      </c>
      <c r="AS106" s="392">
        <f>'[1]COE  LIB. 2019'!N40</f>
        <v>0</v>
      </c>
      <c r="AT106" s="383">
        <f t="shared" si="114"/>
        <v>0</v>
      </c>
      <c r="AV106" s="392">
        <v>0</v>
      </c>
      <c r="AW106" s="392">
        <f>'[1]COE  LIB. 2019'!O40</f>
        <v>0</v>
      </c>
      <c r="AX106" s="383">
        <f t="shared" si="115"/>
        <v>0</v>
      </c>
      <c r="AZ106" s="392">
        <f>'[1]COE commited funds to date'!P119</f>
        <v>0</v>
      </c>
      <c r="BA106" s="392">
        <f>'[1]COE  LIB. 2019'!P40</f>
        <v>0</v>
      </c>
      <c r="BB106" s="383">
        <f t="shared" si="116"/>
        <v>0</v>
      </c>
      <c r="BC106" s="408"/>
      <c r="BD106" s="392">
        <f>'[1]COE commited funds to date'!Q119</f>
        <v>0</v>
      </c>
      <c r="BE106" s="392">
        <f>'[1]COE  LIB. 2019'!Q40</f>
        <v>0</v>
      </c>
      <c r="BF106" s="383">
        <f t="shared" si="117"/>
        <v>0</v>
      </c>
      <c r="BH106" s="392">
        <v>35000000</v>
      </c>
      <c r="BI106" s="383">
        <f>'[1]COE  LIB. 2019'!R40</f>
        <v>35000000</v>
      </c>
      <c r="BJ106" s="383">
        <f t="shared" si="118"/>
        <v>0</v>
      </c>
      <c r="BL106" s="383">
        <f>'[1]COE commited funds to date'!S119</f>
        <v>0</v>
      </c>
      <c r="BM106" s="383">
        <f>'[1]COE  LIB. 2019'!S40</f>
        <v>0</v>
      </c>
      <c r="BN106" s="383">
        <f t="shared" si="119"/>
        <v>0</v>
      </c>
      <c r="BP106" s="383">
        <f>'[1]COE commited funds to date'!T119</f>
        <v>0</v>
      </c>
      <c r="BQ106" s="383">
        <f>'[1]COE  LIB. 2019'!T39</f>
        <v>0</v>
      </c>
      <c r="BR106" s="383">
        <f t="shared" si="120"/>
        <v>0</v>
      </c>
      <c r="BS106" s="380"/>
      <c r="BT106" s="383">
        <f>'[1]COE commited funds to date'!U119</f>
        <v>16000000</v>
      </c>
      <c r="BU106" s="383">
        <f>'[1]COE  LIB. 2019'!U40</f>
        <v>0</v>
      </c>
      <c r="BV106" s="383">
        <f t="shared" si="121"/>
        <v>16000000</v>
      </c>
      <c r="BW106" s="380"/>
      <c r="BX106" s="383">
        <f t="shared" si="122"/>
        <v>80680000</v>
      </c>
      <c r="BY106" s="383">
        <f t="shared" si="122"/>
        <v>64680000</v>
      </c>
      <c r="BZ106" s="383">
        <f t="shared" si="123"/>
        <v>16000000</v>
      </c>
    </row>
    <row r="107" spans="1:78" x14ac:dyDescent="0.25">
      <c r="A107" s="380">
        <v>29</v>
      </c>
      <c r="B107" s="418" t="s">
        <v>348</v>
      </c>
      <c r="C107" s="431" t="s">
        <v>74</v>
      </c>
      <c r="D107" s="385">
        <v>1125000</v>
      </c>
      <c r="E107" s="392">
        <f>'[1]COE  LIB. 2019'!D41</f>
        <v>1125000</v>
      </c>
      <c r="F107" s="383">
        <f t="shared" si="104"/>
        <v>0</v>
      </c>
      <c r="H107" s="392">
        <v>1125000</v>
      </c>
      <c r="I107" s="392">
        <f>'[1]COE  LIB. 2019'!E41</f>
        <v>1125000</v>
      </c>
      <c r="J107" s="383">
        <f t="shared" si="105"/>
        <v>0</v>
      </c>
      <c r="L107" s="392">
        <v>1125000</v>
      </c>
      <c r="M107" s="392">
        <f>'[1]COE  LIB. 2019'!F41</f>
        <v>1125000</v>
      </c>
      <c r="N107" s="383">
        <f t="shared" si="106"/>
        <v>0</v>
      </c>
      <c r="P107" s="392">
        <v>1125000</v>
      </c>
      <c r="Q107" s="392">
        <f>'[1]COE  LIB. 2019'!G41</f>
        <v>1125000</v>
      </c>
      <c r="R107" s="383">
        <f t="shared" si="107"/>
        <v>0</v>
      </c>
      <c r="T107" s="392">
        <v>2000000</v>
      </c>
      <c r="U107" s="392">
        <f>'[1]COE  LIB. 2019'!H41</f>
        <v>2000000</v>
      </c>
      <c r="V107" s="383">
        <f t="shared" si="108"/>
        <v>0</v>
      </c>
      <c r="X107" s="392">
        <v>2000000</v>
      </c>
      <c r="Y107" s="392">
        <f>'[1]COE  LIB. 2019'!I41</f>
        <v>2000000</v>
      </c>
      <c r="Z107" s="383">
        <f t="shared" si="109"/>
        <v>0</v>
      </c>
      <c r="AB107" s="392">
        <v>2500000</v>
      </c>
      <c r="AC107" s="392">
        <f>'[1]COE  LIB. 2019'!J41</f>
        <v>2500000</v>
      </c>
      <c r="AD107" s="383">
        <f t="shared" si="110"/>
        <v>0</v>
      </c>
      <c r="AF107" s="392">
        <v>3680000</v>
      </c>
      <c r="AG107" s="392">
        <f>'[1]COE  LIB. 2019'!K41</f>
        <v>3680000</v>
      </c>
      <c r="AH107" s="383">
        <f t="shared" si="111"/>
        <v>0</v>
      </c>
      <c r="AJ107" s="392">
        <v>5000000</v>
      </c>
      <c r="AK107" s="392">
        <f>'[1]COE  LIB. 2019'!L41</f>
        <v>5000000</v>
      </c>
      <c r="AL107" s="383">
        <f t="shared" si="112"/>
        <v>0</v>
      </c>
      <c r="AN107" s="392">
        <f>'[1]COE commited funds to date'!M120</f>
        <v>0</v>
      </c>
      <c r="AO107" s="392">
        <f>'[1]COE  LIB. 2019'!M41</f>
        <v>0</v>
      </c>
      <c r="AP107" s="383">
        <f t="shared" si="113"/>
        <v>0</v>
      </c>
      <c r="AR107" s="392">
        <f>'[1]COE commited funds to date'!N120</f>
        <v>10000000</v>
      </c>
      <c r="AS107" s="392">
        <f>'[1]COE  LIB. 2019'!N41</f>
        <v>10000000</v>
      </c>
      <c r="AT107" s="383">
        <f t="shared" si="114"/>
        <v>0</v>
      </c>
      <c r="AV107" s="392">
        <v>0</v>
      </c>
      <c r="AW107" s="392">
        <f>'[1]COE  LIB. 2019'!O41</f>
        <v>0</v>
      </c>
      <c r="AX107" s="383">
        <f t="shared" si="115"/>
        <v>0</v>
      </c>
      <c r="AZ107" s="392">
        <f>'[1]COE commited funds to date'!P120</f>
        <v>30000000</v>
      </c>
      <c r="BA107" s="392">
        <f>'[1]COE  LIB. 2019'!P41</f>
        <v>30000000</v>
      </c>
      <c r="BB107" s="383">
        <f t="shared" si="116"/>
        <v>0</v>
      </c>
      <c r="BC107" s="408"/>
      <c r="BD107" s="392">
        <f>'[1]COE commited funds to date'!Q120</f>
        <v>0</v>
      </c>
      <c r="BE107" s="392">
        <f>'[1]COE  LIB. 2019'!Q41</f>
        <v>0</v>
      </c>
      <c r="BF107" s="383">
        <f t="shared" si="117"/>
        <v>0</v>
      </c>
      <c r="BH107" s="392">
        <v>0</v>
      </c>
      <c r="BI107" s="383">
        <f>'[1]COE  LIB. 2019'!R41</f>
        <v>0</v>
      </c>
      <c r="BJ107" s="383">
        <f t="shared" si="118"/>
        <v>0</v>
      </c>
      <c r="BL107" s="383">
        <f>'[1]COE commited funds to date'!S120</f>
        <v>30000000</v>
      </c>
      <c r="BM107" s="383">
        <f>'[1]COE  LIB. 2019'!S41</f>
        <v>30000000</v>
      </c>
      <c r="BN107" s="383">
        <f t="shared" si="119"/>
        <v>0</v>
      </c>
      <c r="BP107" s="383">
        <f>'[1]COE commited funds to date'!T120</f>
        <v>0</v>
      </c>
      <c r="BQ107" s="383">
        <f>'[1]COE  LIB. 2019'!T40</f>
        <v>0</v>
      </c>
      <c r="BR107" s="383">
        <f t="shared" si="120"/>
        <v>0</v>
      </c>
      <c r="BS107" s="380"/>
      <c r="BT107" s="383">
        <f>'[1]COE commited funds to date'!U120</f>
        <v>0</v>
      </c>
      <c r="BU107" s="383">
        <f>'[1]COE  LIB. 2019'!U41</f>
        <v>0</v>
      </c>
      <c r="BV107" s="383">
        <f t="shared" si="121"/>
        <v>0</v>
      </c>
      <c r="BW107" s="380"/>
      <c r="BX107" s="383">
        <f t="shared" si="122"/>
        <v>89680000</v>
      </c>
      <c r="BY107" s="383">
        <f t="shared" si="122"/>
        <v>89680000</v>
      </c>
      <c r="BZ107" s="383">
        <f t="shared" si="123"/>
        <v>0</v>
      </c>
    </row>
    <row r="108" spans="1:78" x14ac:dyDescent="0.25">
      <c r="A108" s="380">
        <v>30</v>
      </c>
      <c r="B108" s="418" t="s">
        <v>395</v>
      </c>
      <c r="C108" s="431"/>
      <c r="D108" s="385">
        <v>1125000</v>
      </c>
      <c r="E108" s="392">
        <f>'[1]COE  LIB. 2019'!D42</f>
        <v>1125000</v>
      </c>
      <c r="F108" s="383">
        <f t="shared" si="104"/>
        <v>0</v>
      </c>
      <c r="H108" s="392">
        <v>1125000</v>
      </c>
      <c r="I108" s="392">
        <f>'[1]COE  LIB. 2019'!E42</f>
        <v>1125000</v>
      </c>
      <c r="J108" s="383">
        <f t="shared" si="105"/>
        <v>0</v>
      </c>
      <c r="L108" s="392">
        <v>1125000</v>
      </c>
      <c r="M108" s="392">
        <f>'[1]COE  LIB. 2019'!F42</f>
        <v>1125000</v>
      </c>
      <c r="N108" s="383">
        <f t="shared" si="106"/>
        <v>0</v>
      </c>
      <c r="P108" s="392">
        <v>1125000</v>
      </c>
      <c r="Q108" s="392">
        <f>'[1]COE  LIB. 2019'!G42</f>
        <v>1125000</v>
      </c>
      <c r="R108" s="383">
        <f t="shared" si="107"/>
        <v>0</v>
      </c>
      <c r="T108" s="392">
        <v>2000000</v>
      </c>
      <c r="U108" s="392">
        <f>'[1]COE  LIB. 2019'!H42</f>
        <v>2000000</v>
      </c>
      <c r="V108" s="383">
        <f t="shared" si="108"/>
        <v>0</v>
      </c>
      <c r="X108" s="392">
        <v>2000000</v>
      </c>
      <c r="Y108" s="392">
        <f>'[1]COE  LIB. 2019'!I42</f>
        <v>2000000</v>
      </c>
      <c r="Z108" s="383">
        <f t="shared" si="109"/>
        <v>0</v>
      </c>
      <c r="AB108" s="392">
        <v>2500000</v>
      </c>
      <c r="AC108" s="392">
        <f>'[1]COE  LIB. 2019'!J42</f>
        <v>2500000</v>
      </c>
      <c r="AD108" s="383">
        <f t="shared" si="110"/>
        <v>0</v>
      </c>
      <c r="AF108" s="392">
        <v>3680000</v>
      </c>
      <c r="AG108" s="392">
        <f>'[1]COE  LIB. 2019'!K42</f>
        <v>3680000</v>
      </c>
      <c r="AH108" s="383">
        <f t="shared" si="111"/>
        <v>0</v>
      </c>
      <c r="AJ108" s="392">
        <v>5000000</v>
      </c>
      <c r="AK108" s="392">
        <f>'[1]COE  LIB. 2019'!L42</f>
        <v>5000000</v>
      </c>
      <c r="AL108" s="383">
        <f t="shared" si="112"/>
        <v>0</v>
      </c>
      <c r="AN108" s="392">
        <f>'[1]COE commited funds to date'!M121</f>
        <v>0</v>
      </c>
      <c r="AO108" s="392">
        <f>'[1]COE  LIB. 2019'!M42</f>
        <v>0</v>
      </c>
      <c r="AP108" s="383">
        <f t="shared" si="113"/>
        <v>0</v>
      </c>
      <c r="AR108" s="392">
        <f>'[1]COE commited funds to date'!N121</f>
        <v>0</v>
      </c>
      <c r="AS108" s="392">
        <f>'[1]COE  LIB. 2019'!N42</f>
        <v>0</v>
      </c>
      <c r="AT108" s="383">
        <f t="shared" si="114"/>
        <v>0</v>
      </c>
      <c r="AV108" s="392">
        <v>20000000</v>
      </c>
      <c r="AW108" s="392">
        <f>'[1]COE  LIB. 2019'!O42</f>
        <v>20000000</v>
      </c>
      <c r="AX108" s="383">
        <f t="shared" si="115"/>
        <v>0</v>
      </c>
      <c r="AZ108" s="392">
        <f>'[1]COE commited funds to date'!P121</f>
        <v>0</v>
      </c>
      <c r="BA108" s="392">
        <f>'[1]COE  LIB. 2019'!P42</f>
        <v>0</v>
      </c>
      <c r="BB108" s="383">
        <f t="shared" si="116"/>
        <v>0</v>
      </c>
      <c r="BC108" s="408"/>
      <c r="BD108" s="392">
        <f>'[1]COE commited funds to date'!Q121</f>
        <v>70000000</v>
      </c>
      <c r="BE108" s="392">
        <f>'[1]COE  LIB. 2019'!Q42</f>
        <v>70000000</v>
      </c>
      <c r="BF108" s="383">
        <f t="shared" si="117"/>
        <v>0</v>
      </c>
      <c r="BH108" s="392">
        <v>0</v>
      </c>
      <c r="BI108" s="383">
        <f>'[1]COE  LIB. 2019'!R42</f>
        <v>0</v>
      </c>
      <c r="BJ108" s="383">
        <f t="shared" si="118"/>
        <v>0</v>
      </c>
      <c r="BL108" s="383">
        <f>'[1]COE commited funds to date'!S121</f>
        <v>0</v>
      </c>
      <c r="BM108" s="383">
        <f>'[1]COE  LIB. 2019'!S42</f>
        <v>0</v>
      </c>
      <c r="BN108" s="383">
        <f t="shared" si="119"/>
        <v>0</v>
      </c>
      <c r="BP108" s="383">
        <f>'[1]COE commited funds to date'!T121</f>
        <v>24000000</v>
      </c>
      <c r="BQ108" s="383">
        <f>'[1]COE  LIB. 2019'!T41</f>
        <v>0</v>
      </c>
      <c r="BR108" s="383">
        <f t="shared" si="120"/>
        <v>24000000</v>
      </c>
      <c r="BS108" s="380"/>
      <c r="BT108" s="383">
        <f>'[1]COE commited funds to date'!U121</f>
        <v>0</v>
      </c>
      <c r="BU108" s="383">
        <f>'[1]COE  LIB. 2019'!U42</f>
        <v>0</v>
      </c>
      <c r="BV108" s="383">
        <f t="shared" si="121"/>
        <v>0</v>
      </c>
      <c r="BW108" s="380"/>
      <c r="BX108" s="383">
        <f t="shared" si="122"/>
        <v>133680000</v>
      </c>
      <c r="BY108" s="383">
        <f t="shared" si="122"/>
        <v>109680000</v>
      </c>
      <c r="BZ108" s="383">
        <f t="shared" si="123"/>
        <v>24000000</v>
      </c>
    </row>
    <row r="109" spans="1:78" x14ac:dyDescent="0.25">
      <c r="A109" s="380">
        <v>31</v>
      </c>
      <c r="B109" s="418" t="s">
        <v>350</v>
      </c>
      <c r="C109" s="431" t="s">
        <v>65</v>
      </c>
      <c r="D109" s="385">
        <v>1125000</v>
      </c>
      <c r="E109" s="392">
        <f>'[1]COE  LIB. 2019'!D43</f>
        <v>1125000</v>
      </c>
      <c r="F109" s="383">
        <f t="shared" si="104"/>
        <v>0</v>
      </c>
      <c r="H109" s="392">
        <v>956250</v>
      </c>
      <c r="I109" s="392">
        <f>'[1]COE  LIB. 2019'!E43</f>
        <v>956250</v>
      </c>
      <c r="J109" s="383">
        <f t="shared" si="105"/>
        <v>0</v>
      </c>
      <c r="L109" s="392">
        <v>956250</v>
      </c>
      <c r="M109" s="392">
        <f>'[1]COE  LIB. 2019'!F43</f>
        <v>956250</v>
      </c>
      <c r="N109" s="383">
        <f t="shared" si="106"/>
        <v>0</v>
      </c>
      <c r="P109" s="392">
        <f>1125000-1125000</f>
        <v>0</v>
      </c>
      <c r="Q109" s="392">
        <f>'[1]COE  LIB. 2019'!G43</f>
        <v>0</v>
      </c>
      <c r="R109" s="383">
        <f t="shared" si="107"/>
        <v>0</v>
      </c>
      <c r="T109" s="392">
        <v>2000000</v>
      </c>
      <c r="U109" s="392">
        <f>'[1]COE  LIB. 2019'!H43</f>
        <v>2000000</v>
      </c>
      <c r="V109" s="383">
        <f t="shared" si="108"/>
        <v>0</v>
      </c>
      <c r="X109" s="392">
        <v>2000000</v>
      </c>
      <c r="Y109" s="392">
        <f>'[1]COE  LIB. 2019'!I43</f>
        <v>2000000</v>
      </c>
      <c r="Z109" s="383">
        <f t="shared" si="109"/>
        <v>0</v>
      </c>
      <c r="AB109" s="392">
        <v>2500000</v>
      </c>
      <c r="AC109" s="392">
        <f>'[1]COE  LIB. 2019'!J43</f>
        <v>2500000</v>
      </c>
      <c r="AD109" s="383">
        <f t="shared" si="110"/>
        <v>0</v>
      </c>
      <c r="AF109" s="392">
        <v>3680000</v>
      </c>
      <c r="AG109" s="392">
        <f>'[1]COE  LIB. 2019'!K43</f>
        <v>3680000</v>
      </c>
      <c r="AH109" s="383">
        <f t="shared" si="111"/>
        <v>0</v>
      </c>
      <c r="AJ109" s="392">
        <v>5000000</v>
      </c>
      <c r="AK109" s="392">
        <f>'[1]COE  LIB. 2019'!L43</f>
        <v>5000000</v>
      </c>
      <c r="AL109" s="383">
        <f t="shared" si="112"/>
        <v>0</v>
      </c>
      <c r="AN109" s="392">
        <f>'[1]COE commited funds to date'!M122</f>
        <v>10000000</v>
      </c>
      <c r="AO109" s="392">
        <f>'[1]COE  LIB. 2019'!M43</f>
        <v>10000000</v>
      </c>
      <c r="AP109" s="383">
        <f t="shared" si="113"/>
        <v>0</v>
      </c>
      <c r="AR109" s="392">
        <f>'[1]COE commited funds to date'!N122</f>
        <v>0</v>
      </c>
      <c r="AS109" s="392">
        <f>'[1]COE  LIB. 2019'!N43</f>
        <v>0</v>
      </c>
      <c r="AT109" s="383">
        <f t="shared" si="114"/>
        <v>0</v>
      </c>
      <c r="AV109" s="392">
        <v>0</v>
      </c>
      <c r="AW109" s="392">
        <f>'[1]COE  LIB. 2019'!O43</f>
        <v>0</v>
      </c>
      <c r="AX109" s="383">
        <f t="shared" si="115"/>
        <v>0</v>
      </c>
      <c r="AZ109" s="392">
        <f>'[1]COE commited funds to date'!P122</f>
        <v>30000000</v>
      </c>
      <c r="BA109" s="392">
        <f>'[1]COE  LIB. 2019'!P43</f>
        <v>30000000</v>
      </c>
      <c r="BB109" s="383">
        <f t="shared" si="116"/>
        <v>0</v>
      </c>
      <c r="BC109" s="408"/>
      <c r="BD109" s="392">
        <f>'[1]COE commited funds to date'!Q122</f>
        <v>0</v>
      </c>
      <c r="BE109" s="392">
        <f>'[1]COE  LIB. 2019'!Q43</f>
        <v>0</v>
      </c>
      <c r="BF109" s="383">
        <f t="shared" si="117"/>
        <v>0</v>
      </c>
      <c r="BH109" s="392">
        <v>0</v>
      </c>
      <c r="BI109" s="383">
        <f>'[1]COE  LIB. 2019'!R43</f>
        <v>0</v>
      </c>
      <c r="BJ109" s="383">
        <f t="shared" si="118"/>
        <v>0</v>
      </c>
      <c r="BL109" s="383">
        <f>'[1]COE commited funds to date'!S122</f>
        <v>30000000</v>
      </c>
      <c r="BM109" s="383">
        <f>'[1]COE  LIB. 2019'!S43</f>
        <v>25500000</v>
      </c>
      <c r="BN109" s="383">
        <f t="shared" si="119"/>
        <v>4500000</v>
      </c>
      <c r="BP109" s="383">
        <f>'[1]COE commited funds to date'!T122</f>
        <v>0</v>
      </c>
      <c r="BQ109" s="383">
        <f>'[1]COE  LIB. 2019'!T42</f>
        <v>0</v>
      </c>
      <c r="BR109" s="383">
        <f t="shared" si="120"/>
        <v>0</v>
      </c>
      <c r="BS109" s="380"/>
      <c r="BT109" s="383">
        <f>'[1]COE commited funds to date'!U122</f>
        <v>0</v>
      </c>
      <c r="BU109" s="383">
        <f>'[1]COE  LIB. 2019'!U43</f>
        <v>0</v>
      </c>
      <c r="BV109" s="383">
        <f t="shared" si="121"/>
        <v>0</v>
      </c>
      <c r="BW109" s="380"/>
      <c r="BX109" s="383">
        <f t="shared" si="122"/>
        <v>88217500</v>
      </c>
      <c r="BY109" s="383">
        <f t="shared" si="122"/>
        <v>83717500</v>
      </c>
      <c r="BZ109" s="383">
        <f t="shared" si="123"/>
        <v>4500000</v>
      </c>
    </row>
    <row r="110" spans="1:78" x14ac:dyDescent="0.25">
      <c r="A110" s="380">
        <v>32</v>
      </c>
      <c r="B110" s="418" t="s">
        <v>351</v>
      </c>
      <c r="C110" s="431"/>
      <c r="D110" s="385">
        <v>1125000</v>
      </c>
      <c r="E110" s="392">
        <f>'[1]COE  LIB. 2019'!D44</f>
        <v>1125000</v>
      </c>
      <c r="F110" s="383">
        <f t="shared" si="104"/>
        <v>0</v>
      </c>
      <c r="H110" s="392">
        <v>1125000</v>
      </c>
      <c r="I110" s="392">
        <f>'[1]COE  LIB. 2019'!E44</f>
        <v>1125000</v>
      </c>
      <c r="J110" s="383">
        <f t="shared" si="105"/>
        <v>0</v>
      </c>
      <c r="L110" s="392">
        <v>1125000</v>
      </c>
      <c r="M110" s="392">
        <f>'[1]COE  LIB. 2019'!F44</f>
        <v>1125000</v>
      </c>
      <c r="N110" s="383">
        <f t="shared" si="106"/>
        <v>0</v>
      </c>
      <c r="P110" s="392">
        <v>1125000</v>
      </c>
      <c r="Q110" s="392">
        <f>'[1]COE  LIB. 2019'!G44</f>
        <v>1125000</v>
      </c>
      <c r="R110" s="383">
        <f t="shared" si="107"/>
        <v>0</v>
      </c>
      <c r="T110" s="392">
        <v>2000000</v>
      </c>
      <c r="U110" s="392">
        <f>'[1]COE  LIB. 2019'!H44</f>
        <v>2000000</v>
      </c>
      <c r="V110" s="383">
        <f t="shared" si="108"/>
        <v>0</v>
      </c>
      <c r="X110" s="392">
        <v>2000000</v>
      </c>
      <c r="Y110" s="392">
        <f>'[1]COE  LIB. 2019'!I44</f>
        <v>2000000</v>
      </c>
      <c r="Z110" s="383">
        <f t="shared" si="109"/>
        <v>0</v>
      </c>
      <c r="AB110" s="392">
        <v>2500000</v>
      </c>
      <c r="AC110" s="392">
        <f>'[1]COE  LIB. 2019'!J44</f>
        <v>2500000</v>
      </c>
      <c r="AD110" s="383">
        <f t="shared" si="110"/>
        <v>0</v>
      </c>
      <c r="AF110" s="392">
        <v>3680000</v>
      </c>
      <c r="AG110" s="392">
        <f>'[1]COE  LIB. 2019'!K44</f>
        <v>3680000</v>
      </c>
      <c r="AH110" s="383">
        <f t="shared" si="111"/>
        <v>0</v>
      </c>
      <c r="AJ110" s="392">
        <v>5000000</v>
      </c>
      <c r="AK110" s="392">
        <f>'[1]COE  LIB. 2019'!L44</f>
        <v>5000000</v>
      </c>
      <c r="AL110" s="383">
        <f t="shared" si="112"/>
        <v>0</v>
      </c>
      <c r="AN110" s="392">
        <f>'[1]COE commited funds to date'!M123</f>
        <v>0</v>
      </c>
      <c r="AO110" s="392">
        <f>'[1]COE  LIB. 2019'!M44</f>
        <v>0</v>
      </c>
      <c r="AP110" s="383">
        <f t="shared" si="113"/>
        <v>0</v>
      </c>
      <c r="AR110" s="392">
        <f>'[1]COE commited funds to date'!N123</f>
        <v>10000000</v>
      </c>
      <c r="AS110" s="392">
        <f>'[1]COE  LIB. 2019'!N44</f>
        <v>10000000</v>
      </c>
      <c r="AT110" s="383">
        <f t="shared" si="114"/>
        <v>0</v>
      </c>
      <c r="AV110" s="392">
        <v>0</v>
      </c>
      <c r="AW110" s="392">
        <f>'[1]COE  LIB. 2019'!O44</f>
        <v>0</v>
      </c>
      <c r="AX110" s="383">
        <f t="shared" si="115"/>
        <v>0</v>
      </c>
      <c r="AZ110" s="392">
        <f>'[1]COE commited funds to date'!P123</f>
        <v>0</v>
      </c>
      <c r="BA110" s="392">
        <f>'[1]COE  LIB. 2019'!P44</f>
        <v>0</v>
      </c>
      <c r="BB110" s="383">
        <f t="shared" si="116"/>
        <v>0</v>
      </c>
      <c r="BC110" s="408"/>
      <c r="BD110" s="392">
        <f>'[1]COE commited funds to date'!Q123</f>
        <v>70000000</v>
      </c>
      <c r="BE110" s="392">
        <f>'[1]COE  LIB. 2019'!Q44</f>
        <v>70000000</v>
      </c>
      <c r="BF110" s="383">
        <f t="shared" si="117"/>
        <v>0</v>
      </c>
      <c r="BH110" s="392">
        <v>0</v>
      </c>
      <c r="BI110" s="383">
        <f>'[1]COE  LIB. 2019'!R44</f>
        <v>0</v>
      </c>
      <c r="BJ110" s="383">
        <f t="shared" si="118"/>
        <v>0</v>
      </c>
      <c r="BL110" s="383">
        <f>'[1]COE commited funds to date'!S123</f>
        <v>0</v>
      </c>
      <c r="BM110" s="383">
        <f>'[1]COE  LIB. 2019'!S44</f>
        <v>0</v>
      </c>
      <c r="BN110" s="383">
        <f t="shared" si="119"/>
        <v>0</v>
      </c>
      <c r="BP110" s="383">
        <f>'[1]COE commited funds to date'!T123</f>
        <v>24000000</v>
      </c>
      <c r="BQ110" s="383">
        <f>'[1]COE  LIB. 2019'!T43</f>
        <v>0</v>
      </c>
      <c r="BR110" s="383">
        <f t="shared" si="120"/>
        <v>24000000</v>
      </c>
      <c r="BS110" s="380"/>
      <c r="BT110" s="383">
        <f>'[1]COE commited funds to date'!U123</f>
        <v>0</v>
      </c>
      <c r="BU110" s="383">
        <f>'[1]COE  LIB. 2019'!U44</f>
        <v>0</v>
      </c>
      <c r="BV110" s="383">
        <f t="shared" si="121"/>
        <v>0</v>
      </c>
      <c r="BW110" s="380"/>
      <c r="BX110" s="383">
        <f t="shared" si="122"/>
        <v>123680000</v>
      </c>
      <c r="BY110" s="383">
        <f t="shared" si="122"/>
        <v>99680000</v>
      </c>
      <c r="BZ110" s="383">
        <f t="shared" si="123"/>
        <v>24000000</v>
      </c>
    </row>
    <row r="111" spans="1:78" x14ac:dyDescent="0.25">
      <c r="A111" s="380">
        <v>33</v>
      </c>
      <c r="B111" s="418" t="s">
        <v>352</v>
      </c>
      <c r="C111" s="433"/>
      <c r="D111" s="385">
        <v>1125000</v>
      </c>
      <c r="E111" s="392">
        <f>'[1]COE  LIB. 2019'!D45</f>
        <v>1125000</v>
      </c>
      <c r="F111" s="383">
        <f t="shared" si="104"/>
        <v>0</v>
      </c>
      <c r="H111" s="392">
        <v>1125000</v>
      </c>
      <c r="I111" s="392">
        <f>'[1]COE  LIB. 2019'!E45</f>
        <v>1125000</v>
      </c>
      <c r="J111" s="383">
        <f t="shared" si="105"/>
        <v>0</v>
      </c>
      <c r="L111" s="392">
        <v>1125000</v>
      </c>
      <c r="M111" s="392">
        <f>'[1]COE  LIB. 2019'!F45</f>
        <v>1125000</v>
      </c>
      <c r="N111" s="383">
        <f t="shared" si="106"/>
        <v>0</v>
      </c>
      <c r="P111" s="392">
        <v>956250</v>
      </c>
      <c r="Q111" s="392">
        <f>'[1]COE  LIB. 2019'!G45</f>
        <v>956250</v>
      </c>
      <c r="R111" s="383">
        <f t="shared" si="107"/>
        <v>0</v>
      </c>
      <c r="T111" s="392">
        <v>2000000</v>
      </c>
      <c r="U111" s="392">
        <f>'[1]COE  LIB. 2019'!H45</f>
        <v>2000000</v>
      </c>
      <c r="V111" s="383">
        <f t="shared" si="108"/>
        <v>0</v>
      </c>
      <c r="X111" s="392">
        <v>2000000</v>
      </c>
      <c r="Y111" s="392">
        <f>'[1]COE  LIB. 2019'!I45</f>
        <v>2000000</v>
      </c>
      <c r="Z111" s="383">
        <f t="shared" si="109"/>
        <v>0</v>
      </c>
      <c r="AB111" s="392">
        <v>2500000</v>
      </c>
      <c r="AC111" s="392">
        <f>'[1]COE  LIB. 2019'!J45</f>
        <v>2500000</v>
      </c>
      <c r="AD111" s="383">
        <f t="shared" si="110"/>
        <v>0</v>
      </c>
      <c r="AF111" s="392">
        <v>3680000</v>
      </c>
      <c r="AG111" s="392">
        <f>'[1]COE  LIB. 2019'!K45</f>
        <v>3680000</v>
      </c>
      <c r="AH111" s="383">
        <f t="shared" si="111"/>
        <v>0</v>
      </c>
      <c r="AJ111" s="392">
        <v>5000000</v>
      </c>
      <c r="AK111" s="392">
        <f>'[1]COE  LIB. 2019'!L45</f>
        <v>5000000</v>
      </c>
      <c r="AL111" s="383">
        <f t="shared" si="112"/>
        <v>0</v>
      </c>
      <c r="AN111" s="392">
        <f>'[1]COE commited funds to date'!M124</f>
        <v>10000000</v>
      </c>
      <c r="AO111" s="392">
        <f>'[1]COE  LIB. 2019'!M45</f>
        <v>10000000</v>
      </c>
      <c r="AP111" s="383">
        <f t="shared" si="113"/>
        <v>0</v>
      </c>
      <c r="AR111" s="392">
        <f>'[1]COE commited funds to date'!N124</f>
        <v>0</v>
      </c>
      <c r="AS111" s="392">
        <f>'[1]COE  LIB. 2019'!N45</f>
        <v>0</v>
      </c>
      <c r="AT111" s="383">
        <f t="shared" si="114"/>
        <v>0</v>
      </c>
      <c r="AV111" s="392">
        <v>0</v>
      </c>
      <c r="AW111" s="392">
        <f>'[1]COE  LIB. 2019'!O45</f>
        <v>0</v>
      </c>
      <c r="AX111" s="383">
        <f t="shared" si="115"/>
        <v>0</v>
      </c>
      <c r="AZ111" s="392">
        <f>'[1]COE commited funds to date'!P124</f>
        <v>30000000</v>
      </c>
      <c r="BA111" s="392">
        <f>'[1]COE  LIB. 2019'!P45</f>
        <v>30000000</v>
      </c>
      <c r="BB111" s="383">
        <f t="shared" si="116"/>
        <v>0</v>
      </c>
      <c r="BC111" s="408"/>
      <c r="BD111" s="392">
        <f>'[1]COE commited funds to date'!Q124</f>
        <v>0</v>
      </c>
      <c r="BE111" s="392">
        <f>'[1]COE  LIB. 2019'!Q45</f>
        <v>0</v>
      </c>
      <c r="BF111" s="383">
        <f t="shared" si="117"/>
        <v>0</v>
      </c>
      <c r="BH111" s="392">
        <v>35000000</v>
      </c>
      <c r="BI111" s="383">
        <f>'[1]COE  LIB. 2019'!R45</f>
        <v>35000000</v>
      </c>
      <c r="BJ111" s="383">
        <f t="shared" si="118"/>
        <v>0</v>
      </c>
      <c r="BL111" s="383">
        <f>'[1]COE commited funds to date'!S124</f>
        <v>0</v>
      </c>
      <c r="BM111" s="383">
        <f>'[1]COE  LIB. 2019'!S45</f>
        <v>0</v>
      </c>
      <c r="BN111" s="383">
        <f t="shared" si="119"/>
        <v>0</v>
      </c>
      <c r="BP111" s="383">
        <f>'[1]COE commited funds to date'!T124</f>
        <v>24000000</v>
      </c>
      <c r="BQ111" s="383">
        <f>'[1]COE  LIB. 2019'!T44</f>
        <v>0</v>
      </c>
      <c r="BR111" s="383">
        <f t="shared" si="120"/>
        <v>24000000</v>
      </c>
      <c r="BS111" s="380"/>
      <c r="BT111" s="383">
        <f>'[1]COE commited funds to date'!U124</f>
        <v>0</v>
      </c>
      <c r="BU111" s="383">
        <f>'[1]COE  LIB. 2019'!U45</f>
        <v>0</v>
      </c>
      <c r="BV111" s="383">
        <f t="shared" si="121"/>
        <v>0</v>
      </c>
      <c r="BW111" s="380"/>
      <c r="BX111" s="383">
        <f t="shared" si="122"/>
        <v>118511250</v>
      </c>
      <c r="BY111" s="383">
        <f t="shared" si="122"/>
        <v>94511250</v>
      </c>
      <c r="BZ111" s="383">
        <f t="shared" si="123"/>
        <v>24000000</v>
      </c>
    </row>
    <row r="112" spans="1:78" x14ac:dyDescent="0.25">
      <c r="A112" s="380">
        <v>34</v>
      </c>
      <c r="B112" s="418" t="s">
        <v>353</v>
      </c>
      <c r="C112" s="431" t="s">
        <v>76</v>
      </c>
      <c r="D112" s="385">
        <v>1125000</v>
      </c>
      <c r="E112" s="392">
        <f>'[1]COE  LIB. 2019'!D46</f>
        <v>1125000</v>
      </c>
      <c r="F112" s="383">
        <f t="shared" si="104"/>
        <v>0</v>
      </c>
      <c r="H112" s="392">
        <v>1125000</v>
      </c>
      <c r="I112" s="392">
        <f>'[1]COE  LIB. 2019'!E46</f>
        <v>1125000</v>
      </c>
      <c r="J112" s="383">
        <f t="shared" si="105"/>
        <v>0</v>
      </c>
      <c r="L112" s="392">
        <v>956250</v>
      </c>
      <c r="M112" s="392">
        <f>'[1]COE  LIB. 2019'!F46</f>
        <v>956250</v>
      </c>
      <c r="N112" s="383">
        <f t="shared" si="106"/>
        <v>0</v>
      </c>
      <c r="P112" s="392">
        <v>1125000</v>
      </c>
      <c r="Q112" s="392">
        <f>'[1]COE  LIB. 2019'!G46</f>
        <v>1125000</v>
      </c>
      <c r="R112" s="383">
        <f t="shared" si="107"/>
        <v>0</v>
      </c>
      <c r="T112" s="392">
        <v>2000000</v>
      </c>
      <c r="U112" s="392">
        <f>'[1]COE  LIB. 2019'!H46</f>
        <v>2000000</v>
      </c>
      <c r="V112" s="383">
        <f t="shared" si="108"/>
        <v>0</v>
      </c>
      <c r="X112" s="392">
        <v>2000000</v>
      </c>
      <c r="Y112" s="392">
        <f>'[1]COE  LIB. 2019'!I46</f>
        <v>2000000</v>
      </c>
      <c r="Z112" s="383">
        <f t="shared" si="109"/>
        <v>0</v>
      </c>
      <c r="AB112" s="392">
        <v>2500000</v>
      </c>
      <c r="AC112" s="392">
        <f>'[1]COE  LIB. 2019'!J46</f>
        <v>2500000</v>
      </c>
      <c r="AD112" s="383">
        <f t="shared" si="110"/>
        <v>0</v>
      </c>
      <c r="AF112" s="392">
        <v>3680000</v>
      </c>
      <c r="AG112" s="392">
        <f>'[1]COE  LIB. 2019'!K46</f>
        <v>3680000</v>
      </c>
      <c r="AH112" s="383">
        <f t="shared" si="111"/>
        <v>0</v>
      </c>
      <c r="AJ112" s="392">
        <v>5000000</v>
      </c>
      <c r="AK112" s="392">
        <f>'[1]COE  LIB. 2019'!L46</f>
        <v>5000000</v>
      </c>
      <c r="AL112" s="383">
        <f t="shared" si="112"/>
        <v>0</v>
      </c>
      <c r="AN112" s="392">
        <f>'[1]COE commited funds to date'!M125</f>
        <v>10000000</v>
      </c>
      <c r="AO112" s="392">
        <f>'[1]COE  LIB. 2019'!M46</f>
        <v>10000000</v>
      </c>
      <c r="AP112" s="383">
        <f t="shared" si="113"/>
        <v>0</v>
      </c>
      <c r="AR112" s="392">
        <f>'[1]COE commited funds to date'!N125</f>
        <v>10000000</v>
      </c>
      <c r="AS112" s="392">
        <f>'[1]COE  LIB. 2019'!N46</f>
        <v>10000000</v>
      </c>
      <c r="AT112" s="383">
        <f t="shared" si="114"/>
        <v>0</v>
      </c>
      <c r="AV112" s="392">
        <v>20000000</v>
      </c>
      <c r="AW112" s="392">
        <f>'[1]COE  LIB. 2019'!O46</f>
        <v>20000000</v>
      </c>
      <c r="AX112" s="383">
        <f t="shared" si="115"/>
        <v>0</v>
      </c>
      <c r="AZ112" s="392">
        <f>'[1]COE commited funds to date'!P125</f>
        <v>30000000</v>
      </c>
      <c r="BA112" s="392">
        <f>'[1]COE  LIB. 2019'!P46</f>
        <v>30000000</v>
      </c>
      <c r="BB112" s="383">
        <f t="shared" si="116"/>
        <v>0</v>
      </c>
      <c r="BC112" s="408"/>
      <c r="BD112" s="392">
        <f>'[1]COE commited funds to date'!Q125</f>
        <v>70000000</v>
      </c>
      <c r="BE112" s="392">
        <f>'[1]COE  LIB. 2019'!Q46</f>
        <v>59500000</v>
      </c>
      <c r="BF112" s="383">
        <f t="shared" si="117"/>
        <v>10500000</v>
      </c>
      <c r="BH112" s="392">
        <v>35000000</v>
      </c>
      <c r="BI112" s="383">
        <f>'[1]COE  LIB. 2019'!R46</f>
        <v>29750000</v>
      </c>
      <c r="BJ112" s="383">
        <f t="shared" si="118"/>
        <v>5250000</v>
      </c>
      <c r="BL112" s="383">
        <f>'[1]COE commited funds to date'!S125</f>
        <v>30000000</v>
      </c>
      <c r="BM112" s="383">
        <f>'[1]COE  LIB. 2019'!S46</f>
        <v>25500000</v>
      </c>
      <c r="BN112" s="383">
        <f t="shared" si="119"/>
        <v>4500000</v>
      </c>
      <c r="BP112" s="383">
        <f>'[1]COE commited funds to date'!T125</f>
        <v>24000000</v>
      </c>
      <c r="BQ112" s="383">
        <f>'[1]COE  LIB. 2019'!T45</f>
        <v>0</v>
      </c>
      <c r="BR112" s="383">
        <f t="shared" si="120"/>
        <v>24000000</v>
      </c>
      <c r="BS112" s="380"/>
      <c r="BT112" s="383">
        <f>'[1]COE commited funds to date'!U125</f>
        <v>16000000</v>
      </c>
      <c r="BU112" s="383">
        <f>'[1]COE  LIB. 2019'!U46</f>
        <v>0</v>
      </c>
      <c r="BV112" s="383">
        <f t="shared" si="121"/>
        <v>16000000</v>
      </c>
      <c r="BW112" s="380"/>
      <c r="BX112" s="383">
        <f t="shared" si="122"/>
        <v>264511250</v>
      </c>
      <c r="BY112" s="383">
        <f t="shared" si="122"/>
        <v>204261250</v>
      </c>
      <c r="BZ112" s="383">
        <f t="shared" si="123"/>
        <v>60250000</v>
      </c>
    </row>
    <row r="113" spans="1:78" x14ac:dyDescent="0.25">
      <c r="A113" s="380">
        <v>35</v>
      </c>
      <c r="B113" s="418" t="s">
        <v>396</v>
      </c>
      <c r="C113" s="431" t="s">
        <v>63</v>
      </c>
      <c r="D113" s="385">
        <v>1125000</v>
      </c>
      <c r="E113" s="392">
        <f>'[1]COE  LIB. 2019'!D47</f>
        <v>1125000</v>
      </c>
      <c r="F113" s="383">
        <f t="shared" si="104"/>
        <v>0</v>
      </c>
      <c r="H113" s="392">
        <v>1125000</v>
      </c>
      <c r="I113" s="392">
        <f>'[1]COE  LIB. 2019'!E47</f>
        <v>1125000</v>
      </c>
      <c r="J113" s="383">
        <f t="shared" si="105"/>
        <v>0</v>
      </c>
      <c r="L113" s="392">
        <v>1125000</v>
      </c>
      <c r="M113" s="392">
        <f>'[1]COE  LIB. 2019'!F47</f>
        <v>1125000</v>
      </c>
      <c r="N113" s="383">
        <f t="shared" si="106"/>
        <v>0</v>
      </c>
      <c r="P113" s="392">
        <v>1125000</v>
      </c>
      <c r="Q113" s="392">
        <f>'[1]COE  LIB. 2019'!G47</f>
        <v>1125000</v>
      </c>
      <c r="R113" s="383">
        <f t="shared" si="107"/>
        <v>0</v>
      </c>
      <c r="T113" s="392">
        <v>2000000</v>
      </c>
      <c r="U113" s="392">
        <f>'[1]COE  LIB. 2019'!H47</f>
        <v>2000000</v>
      </c>
      <c r="V113" s="383">
        <f t="shared" si="108"/>
        <v>0</v>
      </c>
      <c r="X113" s="392">
        <v>2000000</v>
      </c>
      <c r="Y113" s="392">
        <f>'[1]COE  LIB. 2019'!I47</f>
        <v>2000000</v>
      </c>
      <c r="Z113" s="383">
        <f t="shared" si="109"/>
        <v>0</v>
      </c>
      <c r="AB113" s="392">
        <v>2500000</v>
      </c>
      <c r="AC113" s="392">
        <f>'[1]COE  LIB. 2019'!J47</f>
        <v>2500000</v>
      </c>
      <c r="AD113" s="383">
        <f t="shared" si="110"/>
        <v>0</v>
      </c>
      <c r="AF113" s="392">
        <v>3680000</v>
      </c>
      <c r="AG113" s="392">
        <f>'[1]COE  LIB. 2019'!K47</f>
        <v>3680000</v>
      </c>
      <c r="AH113" s="383">
        <f t="shared" si="111"/>
        <v>0</v>
      </c>
      <c r="AJ113" s="392">
        <v>5000000</v>
      </c>
      <c r="AK113" s="392">
        <f>'[1]COE  LIB. 2019'!L47</f>
        <v>5000000</v>
      </c>
      <c r="AL113" s="383">
        <f t="shared" si="112"/>
        <v>0</v>
      </c>
      <c r="AN113" s="392">
        <f>'[1]COE commited funds to date'!M126</f>
        <v>10000000</v>
      </c>
      <c r="AO113" s="392">
        <f>'[1]COE  LIB. 2019'!M47</f>
        <v>10000000</v>
      </c>
      <c r="AP113" s="383">
        <f t="shared" si="113"/>
        <v>0</v>
      </c>
      <c r="AR113" s="392">
        <f>'[1]COE commited funds to date'!N126</f>
        <v>10000000</v>
      </c>
      <c r="AS113" s="392">
        <f>'[1]COE  LIB. 2019'!N47</f>
        <v>10000000</v>
      </c>
      <c r="AT113" s="383">
        <f t="shared" si="114"/>
        <v>0</v>
      </c>
      <c r="AV113" s="392">
        <v>20000000</v>
      </c>
      <c r="AW113" s="392">
        <f>'[1]COE  LIB. 2019'!O47</f>
        <v>20000000</v>
      </c>
      <c r="AX113" s="383">
        <f t="shared" si="115"/>
        <v>0</v>
      </c>
      <c r="AZ113" s="392">
        <f>'[1]COE commited funds to date'!P126</f>
        <v>30000000</v>
      </c>
      <c r="BA113" s="392">
        <f>'[1]COE  LIB. 2019'!P47</f>
        <v>30000000</v>
      </c>
      <c r="BB113" s="383">
        <f t="shared" si="116"/>
        <v>0</v>
      </c>
      <c r="BC113" s="408"/>
      <c r="BD113" s="392">
        <f>'[1]COE commited funds to date'!Q126</f>
        <v>70000000</v>
      </c>
      <c r="BE113" s="392">
        <f>'[1]COE  LIB. 2019'!Q47</f>
        <v>70000000</v>
      </c>
      <c r="BF113" s="383">
        <f t="shared" si="117"/>
        <v>0</v>
      </c>
      <c r="BH113" s="392">
        <v>35000000</v>
      </c>
      <c r="BI113" s="383">
        <f>'[1]COE  LIB. 2019'!R47</f>
        <v>35000000</v>
      </c>
      <c r="BJ113" s="383">
        <f t="shared" si="118"/>
        <v>0</v>
      </c>
      <c r="BL113" s="383">
        <f>'[1]COE commited funds to date'!S126</f>
        <v>30000000</v>
      </c>
      <c r="BM113" s="383">
        <f>'[1]COE  LIB. 2019'!S47</f>
        <v>30000000</v>
      </c>
      <c r="BN113" s="383">
        <f t="shared" si="119"/>
        <v>0</v>
      </c>
      <c r="BP113" s="383">
        <f>'[1]COE commited funds to date'!T126</f>
        <v>24000000</v>
      </c>
      <c r="BQ113" s="383">
        <f>'[1]COE  LIB. 2019'!T46</f>
        <v>0</v>
      </c>
      <c r="BR113" s="383">
        <f t="shared" si="120"/>
        <v>24000000</v>
      </c>
      <c r="BS113" s="380"/>
      <c r="BT113" s="383">
        <f>'[1]COE commited funds to date'!U126</f>
        <v>16000000</v>
      </c>
      <c r="BU113" s="383">
        <f>'[1]COE  LIB. 2019'!U47</f>
        <v>0</v>
      </c>
      <c r="BV113" s="383">
        <f t="shared" si="121"/>
        <v>16000000</v>
      </c>
      <c r="BW113" s="380"/>
      <c r="BX113" s="383">
        <f t="shared" si="122"/>
        <v>264680000</v>
      </c>
      <c r="BY113" s="383">
        <f t="shared" si="122"/>
        <v>224680000</v>
      </c>
      <c r="BZ113" s="383">
        <f t="shared" si="123"/>
        <v>40000000</v>
      </c>
    </row>
    <row r="114" spans="1:78" x14ac:dyDescent="0.25">
      <c r="A114" s="380">
        <v>36</v>
      </c>
      <c r="B114" s="418" t="s">
        <v>355</v>
      </c>
      <c r="C114" s="431" t="s">
        <v>63</v>
      </c>
      <c r="D114" s="385">
        <v>1125000</v>
      </c>
      <c r="E114" s="392">
        <f>'[1]COE  LIB. 2019'!D48</f>
        <v>1125000</v>
      </c>
      <c r="F114" s="383">
        <f t="shared" si="104"/>
        <v>0</v>
      </c>
      <c r="H114" s="392">
        <v>1125000</v>
      </c>
      <c r="I114" s="392">
        <f>'[1]COE  LIB. 2019'!E48</f>
        <v>1125000</v>
      </c>
      <c r="J114" s="383">
        <f t="shared" si="105"/>
        <v>0</v>
      </c>
      <c r="L114" s="392">
        <v>1125000</v>
      </c>
      <c r="M114" s="392">
        <f>'[1]COE  LIB. 2019'!F48</f>
        <v>1125000</v>
      </c>
      <c r="N114" s="383">
        <f t="shared" si="106"/>
        <v>0</v>
      </c>
      <c r="P114" s="392">
        <v>1125000</v>
      </c>
      <c r="Q114" s="392">
        <f>'[1]COE  LIB. 2019'!G48</f>
        <v>1125000</v>
      </c>
      <c r="R114" s="383">
        <f t="shared" si="107"/>
        <v>0</v>
      </c>
      <c r="T114" s="392">
        <v>2000000</v>
      </c>
      <c r="U114" s="392">
        <f>'[1]COE  LIB. 2019'!H48</f>
        <v>2000000</v>
      </c>
      <c r="V114" s="383">
        <f t="shared" si="108"/>
        <v>0</v>
      </c>
      <c r="X114" s="392">
        <v>2000000</v>
      </c>
      <c r="Y114" s="392">
        <f>'[1]COE  LIB. 2019'!I48</f>
        <v>2000000</v>
      </c>
      <c r="Z114" s="383">
        <f t="shared" si="109"/>
        <v>0</v>
      </c>
      <c r="AB114" s="392">
        <v>2500000</v>
      </c>
      <c r="AC114" s="392">
        <f>'[1]COE  LIB. 2019'!J48</f>
        <v>2500000</v>
      </c>
      <c r="AD114" s="383">
        <f t="shared" si="110"/>
        <v>0</v>
      </c>
      <c r="AF114" s="392">
        <v>3680000</v>
      </c>
      <c r="AG114" s="392">
        <f>'[1]COE  LIB. 2019'!K48</f>
        <v>3680000</v>
      </c>
      <c r="AH114" s="383">
        <f t="shared" si="111"/>
        <v>0</v>
      </c>
      <c r="AJ114" s="392">
        <v>5000000</v>
      </c>
      <c r="AK114" s="392">
        <f>'[1]COE  LIB. 2019'!L48</f>
        <v>5000000</v>
      </c>
      <c r="AL114" s="383">
        <f t="shared" si="112"/>
        <v>0</v>
      </c>
      <c r="AN114" s="392">
        <f>'[1]COE commited funds to date'!M127</f>
        <v>10000000</v>
      </c>
      <c r="AO114" s="392">
        <f>'[1]COE  LIB. 2019'!M48</f>
        <v>10000000</v>
      </c>
      <c r="AP114" s="383">
        <f t="shared" si="113"/>
        <v>0</v>
      </c>
      <c r="AR114" s="392">
        <f>'[1]COE commited funds to date'!N127</f>
        <v>10000000</v>
      </c>
      <c r="AS114" s="392">
        <f>'[1]COE  LIB. 2019'!N48</f>
        <v>10000000</v>
      </c>
      <c r="AT114" s="383">
        <f t="shared" si="114"/>
        <v>0</v>
      </c>
      <c r="AV114" s="392">
        <v>20000000</v>
      </c>
      <c r="AW114" s="392">
        <f>'[1]COE  LIB. 2019'!O48</f>
        <v>20000000</v>
      </c>
      <c r="AX114" s="383">
        <f t="shared" si="115"/>
        <v>0</v>
      </c>
      <c r="AZ114" s="392">
        <f>'[1]COE commited funds to date'!P127</f>
        <v>30000000</v>
      </c>
      <c r="BA114" s="392">
        <f>'[1]COE  LIB. 2019'!P48</f>
        <v>30000000</v>
      </c>
      <c r="BB114" s="383">
        <f t="shared" si="116"/>
        <v>0</v>
      </c>
      <c r="BC114" s="408"/>
      <c r="BD114" s="392">
        <f>'[1]COE commited funds to date'!Q127</f>
        <v>70000000</v>
      </c>
      <c r="BE114" s="392">
        <f>'[1]COE  LIB. 2019'!Q48</f>
        <v>70000000</v>
      </c>
      <c r="BF114" s="383">
        <f t="shared" si="117"/>
        <v>0</v>
      </c>
      <c r="BH114" s="392">
        <v>35000000</v>
      </c>
      <c r="BI114" s="383">
        <f>'[1]COE  LIB. 2019'!R48</f>
        <v>35000000</v>
      </c>
      <c r="BJ114" s="383">
        <f t="shared" si="118"/>
        <v>0</v>
      </c>
      <c r="BL114" s="383">
        <f>'[1]COE commited funds to date'!S127</f>
        <v>30000000</v>
      </c>
      <c r="BM114" s="383">
        <f>'[1]COE  LIB. 2019'!S48</f>
        <v>30000000</v>
      </c>
      <c r="BN114" s="383">
        <f t="shared" si="119"/>
        <v>0</v>
      </c>
      <c r="BP114" s="383">
        <f>'[1]COE commited funds to date'!T127</f>
        <v>24000000</v>
      </c>
      <c r="BQ114" s="383">
        <f>'[1]COE  LIB. 2019'!T47</f>
        <v>0</v>
      </c>
      <c r="BR114" s="383">
        <f t="shared" si="120"/>
        <v>24000000</v>
      </c>
      <c r="BS114" s="380"/>
      <c r="BT114" s="383">
        <f>'[1]COE commited funds to date'!U127</f>
        <v>16000000</v>
      </c>
      <c r="BU114" s="383">
        <f>'[1]COE  LIB. 2019'!U48</f>
        <v>0</v>
      </c>
      <c r="BV114" s="383">
        <f t="shared" si="121"/>
        <v>16000000</v>
      </c>
      <c r="BW114" s="380"/>
      <c r="BX114" s="383">
        <f t="shared" si="122"/>
        <v>264680000</v>
      </c>
      <c r="BY114" s="383">
        <f t="shared" si="122"/>
        <v>224680000</v>
      </c>
      <c r="BZ114" s="383">
        <f t="shared" si="123"/>
        <v>40000000</v>
      </c>
    </row>
    <row r="115" spans="1:78" x14ac:dyDescent="0.25">
      <c r="A115" s="380">
        <v>37</v>
      </c>
      <c r="B115" s="418" t="s">
        <v>356</v>
      </c>
      <c r="C115" s="438" t="s">
        <v>63</v>
      </c>
      <c r="D115" s="385">
        <v>1125000</v>
      </c>
      <c r="E115" s="392">
        <f>'[1]COE  LIB. 2019'!D49</f>
        <v>1125000</v>
      </c>
      <c r="F115" s="383">
        <f t="shared" si="104"/>
        <v>0</v>
      </c>
      <c r="H115" s="392">
        <v>956250</v>
      </c>
      <c r="I115" s="392">
        <f>'[1]COE  LIB. 2019'!E49</f>
        <v>956250</v>
      </c>
      <c r="J115" s="383">
        <f t="shared" si="105"/>
        <v>0</v>
      </c>
      <c r="L115" s="392">
        <v>1125000</v>
      </c>
      <c r="M115" s="392">
        <f>'[1]COE  LIB. 2019'!F49</f>
        <v>1125000</v>
      </c>
      <c r="N115" s="383">
        <f t="shared" si="106"/>
        <v>0</v>
      </c>
      <c r="P115" s="392">
        <v>1125000</v>
      </c>
      <c r="Q115" s="392">
        <f>'[1]COE  LIB. 2019'!G49</f>
        <v>1125000</v>
      </c>
      <c r="R115" s="383">
        <f t="shared" si="107"/>
        <v>0</v>
      </c>
      <c r="T115" s="392">
        <v>2000000</v>
      </c>
      <c r="U115" s="392">
        <f>'[1]COE  LIB. 2019'!H49</f>
        <v>2000000</v>
      </c>
      <c r="V115" s="383">
        <f t="shared" si="108"/>
        <v>0</v>
      </c>
      <c r="X115" s="392">
        <v>2000000</v>
      </c>
      <c r="Y115" s="392">
        <f>'[1]COE  LIB. 2019'!I49</f>
        <v>2000000</v>
      </c>
      <c r="Z115" s="383">
        <f t="shared" si="109"/>
        <v>0</v>
      </c>
      <c r="AB115" s="392">
        <v>2500000</v>
      </c>
      <c r="AC115" s="392">
        <f>'[1]COE  LIB. 2019'!J49</f>
        <v>2500000</v>
      </c>
      <c r="AD115" s="383">
        <f t="shared" si="110"/>
        <v>0</v>
      </c>
      <c r="AF115" s="392">
        <v>3680000</v>
      </c>
      <c r="AG115" s="392">
        <f>'[1]COE  LIB. 2019'!K49</f>
        <v>3680000</v>
      </c>
      <c r="AH115" s="383">
        <f t="shared" si="111"/>
        <v>0</v>
      </c>
      <c r="AJ115" s="392">
        <v>4975000</v>
      </c>
      <c r="AK115" s="392">
        <f>'[1]COE  LIB. 2019'!L49</f>
        <v>4975000</v>
      </c>
      <c r="AL115" s="383">
        <f t="shared" si="112"/>
        <v>0</v>
      </c>
      <c r="AN115" s="392">
        <f>'[1]COE commited funds to date'!M128</f>
        <v>10000000</v>
      </c>
      <c r="AO115" s="392">
        <f>'[1]COE  LIB. 2019'!M49</f>
        <v>10000000</v>
      </c>
      <c r="AP115" s="383">
        <f t="shared" si="113"/>
        <v>0</v>
      </c>
      <c r="AR115" s="392">
        <f>'[1]COE commited funds to date'!N128</f>
        <v>10000000</v>
      </c>
      <c r="AS115" s="392">
        <f>'[1]COE  LIB. 2019'!N49</f>
        <v>10000000</v>
      </c>
      <c r="AT115" s="383">
        <f t="shared" si="114"/>
        <v>0</v>
      </c>
      <c r="AV115" s="392">
        <v>20000000</v>
      </c>
      <c r="AW115" s="392">
        <f>'[1]COE  LIB. 2019'!O49</f>
        <v>20000000</v>
      </c>
      <c r="AX115" s="383">
        <f t="shared" si="115"/>
        <v>0</v>
      </c>
      <c r="AZ115" s="392">
        <f>'[1]COE commited funds to date'!P128</f>
        <v>30000000</v>
      </c>
      <c r="BA115" s="392">
        <f>'[1]COE  LIB. 2019'!P49</f>
        <v>30000000</v>
      </c>
      <c r="BB115" s="383">
        <f t="shared" si="116"/>
        <v>0</v>
      </c>
      <c r="BC115" s="408"/>
      <c r="BD115" s="392">
        <f>'[1]COE commited funds to date'!Q128</f>
        <v>70000000</v>
      </c>
      <c r="BE115" s="392">
        <f>'[1]COE  LIB. 2019'!Q49</f>
        <v>70000000</v>
      </c>
      <c r="BF115" s="383">
        <f t="shared" si="117"/>
        <v>0</v>
      </c>
      <c r="BH115" s="392">
        <v>35000000</v>
      </c>
      <c r="BI115" s="383">
        <f>'[1]COE  LIB. 2019'!R49</f>
        <v>29750000</v>
      </c>
      <c r="BJ115" s="383">
        <f t="shared" si="118"/>
        <v>5250000</v>
      </c>
      <c r="BL115" s="383">
        <f>'[1]COE commited funds to date'!S128</f>
        <v>30000000</v>
      </c>
      <c r="BM115" s="383">
        <f>'[1]COE  LIB. 2019'!S49</f>
        <v>25500000</v>
      </c>
      <c r="BN115" s="383">
        <f t="shared" si="119"/>
        <v>4500000</v>
      </c>
      <c r="BP115" s="383">
        <f>'[1]COE commited funds to date'!T128</f>
        <v>24000000</v>
      </c>
      <c r="BQ115" s="383">
        <f>'[1]COE  LIB. 2019'!T48</f>
        <v>0</v>
      </c>
      <c r="BR115" s="383">
        <f t="shared" si="120"/>
        <v>24000000</v>
      </c>
      <c r="BS115" s="380"/>
      <c r="BT115" s="383">
        <f>'[1]COE commited funds to date'!U128</f>
        <v>16000000</v>
      </c>
      <c r="BU115" s="383">
        <f>'[1]COE  LIB. 2019'!U49</f>
        <v>0</v>
      </c>
      <c r="BV115" s="383">
        <f t="shared" si="121"/>
        <v>16000000</v>
      </c>
      <c r="BW115" s="380"/>
      <c r="BX115" s="383">
        <f t="shared" si="122"/>
        <v>264486250</v>
      </c>
      <c r="BY115" s="383">
        <f t="shared" si="122"/>
        <v>214736250</v>
      </c>
      <c r="BZ115" s="383">
        <f t="shared" si="123"/>
        <v>49750000</v>
      </c>
    </row>
    <row r="116" spans="1:78" x14ac:dyDescent="0.25">
      <c r="A116" s="380">
        <v>38</v>
      </c>
      <c r="B116" s="418" t="s">
        <v>397</v>
      </c>
      <c r="C116" s="431" t="s">
        <v>63</v>
      </c>
      <c r="D116" s="385">
        <v>1125000</v>
      </c>
      <c r="E116" s="392">
        <f>'[1]COE  LIB. 2019'!D50</f>
        <v>1125000</v>
      </c>
      <c r="F116" s="383">
        <f t="shared" si="104"/>
        <v>0</v>
      </c>
      <c r="H116" s="392">
        <v>1125000</v>
      </c>
      <c r="I116" s="392">
        <f>'[1]COE  LIB. 2019'!E50</f>
        <v>1125000</v>
      </c>
      <c r="J116" s="383">
        <f t="shared" si="105"/>
        <v>0</v>
      </c>
      <c r="L116" s="392">
        <v>1125000</v>
      </c>
      <c r="M116" s="392">
        <f>'[1]COE  LIB. 2019'!F50</f>
        <v>1125000</v>
      </c>
      <c r="N116" s="383">
        <f t="shared" si="106"/>
        <v>0</v>
      </c>
      <c r="P116" s="392">
        <v>1125000</v>
      </c>
      <c r="Q116" s="392">
        <f>'[1]COE  LIB. 2019'!G50</f>
        <v>1125000</v>
      </c>
      <c r="R116" s="383">
        <f t="shared" si="107"/>
        <v>0</v>
      </c>
      <c r="T116" s="392">
        <v>2000000</v>
      </c>
      <c r="U116" s="392">
        <f>'[1]COE  LIB. 2019'!H50</f>
        <v>2000000</v>
      </c>
      <c r="V116" s="383">
        <f t="shared" si="108"/>
        <v>0</v>
      </c>
      <c r="X116" s="392">
        <v>2000000</v>
      </c>
      <c r="Y116" s="392">
        <f>'[1]COE  LIB. 2019'!I50</f>
        <v>2000000</v>
      </c>
      <c r="Z116" s="383">
        <f t="shared" si="109"/>
        <v>0</v>
      </c>
      <c r="AB116" s="392">
        <v>2500000</v>
      </c>
      <c r="AC116" s="392">
        <f>'[1]COE  LIB. 2019'!J50</f>
        <v>2500000</v>
      </c>
      <c r="AD116" s="383">
        <f t="shared" si="110"/>
        <v>0</v>
      </c>
      <c r="AF116" s="392">
        <v>3680000</v>
      </c>
      <c r="AG116" s="392">
        <f>'[1]COE  LIB. 2019'!K50</f>
        <v>3680000</v>
      </c>
      <c r="AH116" s="383">
        <f t="shared" si="111"/>
        <v>0</v>
      </c>
      <c r="AJ116" s="392">
        <v>5000000</v>
      </c>
      <c r="AK116" s="392">
        <f>'[1]COE  LIB. 2019'!L50</f>
        <v>5000000</v>
      </c>
      <c r="AL116" s="383">
        <f t="shared" si="112"/>
        <v>0</v>
      </c>
      <c r="AN116" s="392">
        <f>'[1]COE commited funds to date'!M129</f>
        <v>9920000</v>
      </c>
      <c r="AO116" s="392">
        <f>'[1]COE  LIB. 2019'!M50</f>
        <v>9920000</v>
      </c>
      <c r="AP116" s="383">
        <f t="shared" si="113"/>
        <v>0</v>
      </c>
      <c r="AR116" s="392">
        <f>'[1]COE commited funds to date'!N129</f>
        <v>10000000</v>
      </c>
      <c r="AS116" s="392">
        <f>'[1]COE  LIB. 2019'!N50</f>
        <v>10000000</v>
      </c>
      <c r="AT116" s="383">
        <f t="shared" si="114"/>
        <v>0</v>
      </c>
      <c r="AV116" s="392">
        <v>20000000</v>
      </c>
      <c r="AW116" s="392">
        <f>'[1]COE  LIB. 2019'!O50</f>
        <v>20000000</v>
      </c>
      <c r="AX116" s="383">
        <f t="shared" si="115"/>
        <v>0</v>
      </c>
      <c r="AZ116" s="392">
        <f>'[1]COE commited funds to date'!P129</f>
        <v>30000000</v>
      </c>
      <c r="BA116" s="392">
        <f>'[1]COE  LIB. 2019'!P50</f>
        <v>30000000</v>
      </c>
      <c r="BB116" s="383">
        <f t="shared" si="116"/>
        <v>0</v>
      </c>
      <c r="BC116" s="408"/>
      <c r="BD116" s="392">
        <f>'[1]COE commited funds to date'!Q129</f>
        <v>70000000</v>
      </c>
      <c r="BE116" s="392">
        <f>'[1]COE  LIB. 2019'!Q50</f>
        <v>70000000</v>
      </c>
      <c r="BF116" s="383">
        <f t="shared" si="117"/>
        <v>0</v>
      </c>
      <c r="BH116" s="392">
        <v>35000000</v>
      </c>
      <c r="BI116" s="383">
        <f>'[1]COE  LIB. 2019'!R50</f>
        <v>35000000</v>
      </c>
      <c r="BJ116" s="383">
        <f t="shared" si="118"/>
        <v>0</v>
      </c>
      <c r="BL116" s="383">
        <f>'[1]COE commited funds to date'!S129</f>
        <v>30000000</v>
      </c>
      <c r="BM116" s="383">
        <f>'[1]COE  LIB. 2019'!S50</f>
        <v>0</v>
      </c>
      <c r="BN116" s="383">
        <f t="shared" si="119"/>
        <v>30000000</v>
      </c>
      <c r="BP116" s="383">
        <f>'[1]COE commited funds to date'!T129</f>
        <v>24000000</v>
      </c>
      <c r="BQ116" s="383">
        <f>'[1]COE  LIB. 2019'!T49</f>
        <v>0</v>
      </c>
      <c r="BR116" s="383">
        <f t="shared" si="120"/>
        <v>24000000</v>
      </c>
      <c r="BS116" s="380"/>
      <c r="BT116" s="383">
        <f>'[1]COE commited funds to date'!U129</f>
        <v>16000000</v>
      </c>
      <c r="BU116" s="383">
        <f>'[1]COE  LIB. 2019'!U50</f>
        <v>0</v>
      </c>
      <c r="BV116" s="383">
        <f t="shared" si="121"/>
        <v>16000000</v>
      </c>
      <c r="BW116" s="380"/>
      <c r="BX116" s="383">
        <f t="shared" si="122"/>
        <v>264600000</v>
      </c>
      <c r="BY116" s="383">
        <f t="shared" si="122"/>
        <v>194600000</v>
      </c>
      <c r="BZ116" s="383">
        <f t="shared" si="123"/>
        <v>70000000</v>
      </c>
    </row>
    <row r="117" spans="1:78" x14ac:dyDescent="0.25">
      <c r="A117" s="380">
        <v>39</v>
      </c>
      <c r="B117" s="418" t="s">
        <v>398</v>
      </c>
      <c r="C117" s="433" t="s">
        <v>63</v>
      </c>
      <c r="D117" s="385">
        <v>1125000</v>
      </c>
      <c r="E117" s="392">
        <f>'[1]COE  LIB. 2019'!D51</f>
        <v>1125000</v>
      </c>
      <c r="F117" s="383">
        <f t="shared" si="104"/>
        <v>0</v>
      </c>
      <c r="H117" s="392">
        <v>1125000</v>
      </c>
      <c r="I117" s="392">
        <f>'[1]COE  LIB. 2019'!E51</f>
        <v>1125000</v>
      </c>
      <c r="J117" s="383">
        <f t="shared" si="105"/>
        <v>0</v>
      </c>
      <c r="L117" s="392">
        <v>1125000</v>
      </c>
      <c r="M117" s="392">
        <f>'[1]COE  LIB. 2019'!F51</f>
        <v>1125000</v>
      </c>
      <c r="N117" s="383">
        <f t="shared" si="106"/>
        <v>0</v>
      </c>
      <c r="P117" s="392">
        <v>1125000</v>
      </c>
      <c r="Q117" s="392">
        <f>'[1]COE  LIB. 2019'!G51</f>
        <v>1125000</v>
      </c>
      <c r="R117" s="383">
        <f t="shared" si="107"/>
        <v>0</v>
      </c>
      <c r="T117" s="392">
        <v>2000000</v>
      </c>
      <c r="U117" s="392">
        <f>'[1]COE  LIB. 2019'!H51</f>
        <v>2000000</v>
      </c>
      <c r="V117" s="383">
        <f t="shared" si="108"/>
        <v>0</v>
      </c>
      <c r="X117" s="392">
        <v>1700000</v>
      </c>
      <c r="Y117" s="392">
        <f>'[1]COE  LIB. 2019'!I51</f>
        <v>1700000</v>
      </c>
      <c r="Z117" s="383">
        <f t="shared" si="109"/>
        <v>0</v>
      </c>
      <c r="AB117" s="392">
        <v>2500000</v>
      </c>
      <c r="AC117" s="392">
        <f>'[1]COE  LIB. 2019'!J51</f>
        <v>2500000</v>
      </c>
      <c r="AD117" s="383">
        <f t="shared" si="110"/>
        <v>0</v>
      </c>
      <c r="AF117" s="392">
        <v>3680000</v>
      </c>
      <c r="AG117" s="392">
        <f>'[1]COE  LIB. 2019'!K51</f>
        <v>3680000</v>
      </c>
      <c r="AH117" s="383">
        <f t="shared" si="111"/>
        <v>0</v>
      </c>
      <c r="AJ117" s="392">
        <v>5000000</v>
      </c>
      <c r="AK117" s="392">
        <f>'[1]COE  LIB. 2019'!L51</f>
        <v>5000000</v>
      </c>
      <c r="AL117" s="383">
        <f t="shared" si="112"/>
        <v>0</v>
      </c>
      <c r="AN117" s="392">
        <f>'[1]COE commited funds to date'!M130</f>
        <v>10000000</v>
      </c>
      <c r="AO117" s="392">
        <f>'[1]COE  LIB. 2019'!M51</f>
        <v>10000000</v>
      </c>
      <c r="AP117" s="383">
        <f t="shared" si="113"/>
        <v>0</v>
      </c>
      <c r="AR117" s="392">
        <f>'[1]COE commited funds to date'!N130</f>
        <v>10000000</v>
      </c>
      <c r="AS117" s="392">
        <f>'[1]COE  LIB. 2019'!N51</f>
        <v>10000000</v>
      </c>
      <c r="AT117" s="383">
        <f t="shared" si="114"/>
        <v>0</v>
      </c>
      <c r="AV117" s="392">
        <v>20000000</v>
      </c>
      <c r="AW117" s="392">
        <f>'[1]COE  LIB. 2019'!O51</f>
        <v>20000000</v>
      </c>
      <c r="AX117" s="383">
        <f t="shared" si="115"/>
        <v>0</v>
      </c>
      <c r="AZ117" s="392">
        <f>'[1]COE commited funds to date'!P130</f>
        <v>30000000</v>
      </c>
      <c r="BA117" s="392">
        <f>'[1]COE  LIB. 2019'!P51</f>
        <v>30000000</v>
      </c>
      <c r="BB117" s="383">
        <f t="shared" si="116"/>
        <v>0</v>
      </c>
      <c r="BC117" s="408"/>
      <c r="BD117" s="392">
        <f>'[1]COE commited funds to date'!Q130</f>
        <v>70000000</v>
      </c>
      <c r="BE117" s="392">
        <f>'[1]COE  LIB. 2019'!Q51</f>
        <v>70000000</v>
      </c>
      <c r="BF117" s="383">
        <f t="shared" si="117"/>
        <v>0</v>
      </c>
      <c r="BH117" s="392">
        <v>35000000</v>
      </c>
      <c r="BI117" s="383">
        <f>'[1]COE  LIB. 2019'!R51</f>
        <v>35000000</v>
      </c>
      <c r="BJ117" s="383">
        <f t="shared" si="118"/>
        <v>0</v>
      </c>
      <c r="BL117" s="383">
        <f>'[1]COE commited funds to date'!S130</f>
        <v>30000000</v>
      </c>
      <c r="BM117" s="383">
        <f>'[1]COE  LIB. 2019'!S51</f>
        <v>30000000</v>
      </c>
      <c r="BN117" s="383">
        <f t="shared" si="119"/>
        <v>0</v>
      </c>
      <c r="BP117" s="383">
        <f>'[1]COE commited funds to date'!T130</f>
        <v>24000000</v>
      </c>
      <c r="BQ117" s="383">
        <f>'[1]COE  LIB. 2019'!T50</f>
        <v>0</v>
      </c>
      <c r="BR117" s="383">
        <f t="shared" si="120"/>
        <v>24000000</v>
      </c>
      <c r="BS117" s="380"/>
      <c r="BT117" s="383">
        <f>'[1]COE commited funds to date'!U130</f>
        <v>16000000</v>
      </c>
      <c r="BU117" s="383">
        <f>'[1]COE  LIB. 2019'!U51</f>
        <v>0</v>
      </c>
      <c r="BV117" s="383">
        <f t="shared" si="121"/>
        <v>16000000</v>
      </c>
      <c r="BW117" s="380"/>
      <c r="BX117" s="383">
        <f t="shared" si="122"/>
        <v>264380000</v>
      </c>
      <c r="BY117" s="383">
        <f t="shared" si="122"/>
        <v>224380000</v>
      </c>
      <c r="BZ117" s="383">
        <f t="shared" si="123"/>
        <v>40000000</v>
      </c>
    </row>
    <row r="118" spans="1:78" x14ac:dyDescent="0.25">
      <c r="A118" s="380">
        <v>40</v>
      </c>
      <c r="B118" s="418" t="s">
        <v>359</v>
      </c>
      <c r="C118" s="431" t="s">
        <v>61</v>
      </c>
      <c r="D118" s="385">
        <v>1125000</v>
      </c>
      <c r="E118" s="392">
        <f>'[1]COE  LIB. 2019'!D52</f>
        <v>1125000</v>
      </c>
      <c r="F118" s="383">
        <f t="shared" si="104"/>
        <v>0</v>
      </c>
      <c r="H118" s="392">
        <v>1125000</v>
      </c>
      <c r="I118" s="392">
        <f>'[1]COE  LIB. 2019'!E52</f>
        <v>1125000</v>
      </c>
      <c r="J118" s="383">
        <f t="shared" si="105"/>
        <v>0</v>
      </c>
      <c r="L118" s="392">
        <v>1125000</v>
      </c>
      <c r="M118" s="392">
        <f>'[1]COE  LIB. 2019'!F52</f>
        <v>1125000</v>
      </c>
      <c r="N118" s="383">
        <f t="shared" si="106"/>
        <v>0</v>
      </c>
      <c r="P118" s="392">
        <v>956250</v>
      </c>
      <c r="Q118" s="392">
        <f>'[1]COE  LIB. 2019'!G52</f>
        <v>956250</v>
      </c>
      <c r="R118" s="383">
        <f t="shared" si="107"/>
        <v>0</v>
      </c>
      <c r="T118" s="392">
        <v>2000000</v>
      </c>
      <c r="U118" s="392">
        <f>'[1]COE  LIB. 2019'!H52</f>
        <v>2000000</v>
      </c>
      <c r="V118" s="383">
        <f t="shared" si="108"/>
        <v>0</v>
      </c>
      <c r="X118" s="392">
        <v>1700000</v>
      </c>
      <c r="Y118" s="392">
        <f>'[1]COE  LIB. 2019'!I52</f>
        <v>1700000</v>
      </c>
      <c r="Z118" s="383">
        <f t="shared" si="109"/>
        <v>0</v>
      </c>
      <c r="AB118" s="392">
        <v>2500000</v>
      </c>
      <c r="AC118" s="392">
        <f>'[1]COE  LIB. 2019'!J52</f>
        <v>2500000</v>
      </c>
      <c r="AD118" s="383">
        <f t="shared" si="110"/>
        <v>0</v>
      </c>
      <c r="AF118" s="392">
        <v>3680000</v>
      </c>
      <c r="AG118" s="392">
        <f>'[1]COE  LIB. 2019'!K52</f>
        <v>3680000</v>
      </c>
      <c r="AH118" s="383">
        <f t="shared" si="111"/>
        <v>0</v>
      </c>
      <c r="AJ118" s="392">
        <v>5000000</v>
      </c>
      <c r="AK118" s="392">
        <f>'[1]COE  LIB. 2019'!L52</f>
        <v>5000000</v>
      </c>
      <c r="AL118" s="383">
        <f t="shared" si="112"/>
        <v>0</v>
      </c>
      <c r="AN118" s="392">
        <f>'[1]COE commited funds to date'!M131</f>
        <v>10000000</v>
      </c>
      <c r="AO118" s="392">
        <f>'[1]COE  LIB. 2019'!M52</f>
        <v>10000000</v>
      </c>
      <c r="AP118" s="383">
        <f t="shared" si="113"/>
        <v>0</v>
      </c>
      <c r="AR118" s="392">
        <f>'[1]COE commited funds to date'!N131</f>
        <v>10000000</v>
      </c>
      <c r="AS118" s="392">
        <f>'[1]COE  LIB. 2019'!N52</f>
        <v>10000000</v>
      </c>
      <c r="AT118" s="383">
        <f t="shared" si="114"/>
        <v>0</v>
      </c>
      <c r="AV118" s="392">
        <v>20000000</v>
      </c>
      <c r="AW118" s="392">
        <f>'[1]COE  LIB. 2019'!O52</f>
        <v>20000000</v>
      </c>
      <c r="AX118" s="383">
        <f t="shared" si="115"/>
        <v>0</v>
      </c>
      <c r="AZ118" s="392">
        <f>'[1]COE commited funds to date'!P131</f>
        <v>30000000</v>
      </c>
      <c r="BA118" s="392">
        <f>'[1]COE  LIB. 2019'!P52</f>
        <v>0</v>
      </c>
      <c r="BB118" s="383">
        <f t="shared" si="116"/>
        <v>30000000</v>
      </c>
      <c r="BC118" s="408"/>
      <c r="BD118" s="392">
        <f>'[1]COE commited funds to date'!Q131</f>
        <v>70000000</v>
      </c>
      <c r="BE118" s="392">
        <f>'[1]COE  LIB. 2019'!Q52</f>
        <v>0</v>
      </c>
      <c r="BF118" s="383">
        <f t="shared" si="117"/>
        <v>70000000</v>
      </c>
      <c r="BH118" s="392">
        <v>35000000</v>
      </c>
      <c r="BI118" s="383">
        <f>'[1]COE  LIB. 2019'!R52</f>
        <v>0</v>
      </c>
      <c r="BJ118" s="383">
        <f t="shared" si="118"/>
        <v>35000000</v>
      </c>
      <c r="BL118" s="383">
        <f>'[1]COE commited funds to date'!S131</f>
        <v>30000000</v>
      </c>
      <c r="BM118" s="383">
        <f>'[1]COE  LIB. 2019'!S52</f>
        <v>0</v>
      </c>
      <c r="BN118" s="383">
        <f t="shared" si="119"/>
        <v>30000000</v>
      </c>
      <c r="BP118" s="383">
        <f>'[1]COE commited funds to date'!T131</f>
        <v>0</v>
      </c>
      <c r="BQ118" s="383">
        <f>'[1]COE  LIB. 2019'!T51</f>
        <v>0</v>
      </c>
      <c r="BR118" s="383">
        <f t="shared" si="120"/>
        <v>0</v>
      </c>
      <c r="BS118" s="380"/>
      <c r="BT118" s="383">
        <f>'[1]COE commited funds to date'!U131</f>
        <v>16000000</v>
      </c>
      <c r="BU118" s="383">
        <f>'[1]COE  LIB. 2019'!U52</f>
        <v>0</v>
      </c>
      <c r="BV118" s="383">
        <f t="shared" si="121"/>
        <v>16000000</v>
      </c>
      <c r="BW118" s="380"/>
      <c r="BX118" s="383">
        <f t="shared" si="122"/>
        <v>240211250</v>
      </c>
      <c r="BY118" s="383">
        <f t="shared" si="122"/>
        <v>59211250</v>
      </c>
      <c r="BZ118" s="383">
        <f t="shared" si="123"/>
        <v>181000000</v>
      </c>
    </row>
    <row r="119" spans="1:78" x14ac:dyDescent="0.25">
      <c r="A119" s="380">
        <v>41</v>
      </c>
      <c r="B119" s="418" t="s">
        <v>360</v>
      </c>
      <c r="C119" s="431"/>
      <c r="D119" s="385">
        <v>1125000</v>
      </c>
      <c r="E119" s="392">
        <f>'[1]COE  LIB. 2019'!D53</f>
        <v>1125000</v>
      </c>
      <c r="F119" s="383">
        <f t="shared" si="104"/>
        <v>0</v>
      </c>
      <c r="H119" s="392">
        <v>1125000</v>
      </c>
      <c r="I119" s="392">
        <f>'[1]COE  LIB. 2019'!E53</f>
        <v>1125000</v>
      </c>
      <c r="J119" s="383">
        <f t="shared" si="105"/>
        <v>0</v>
      </c>
      <c r="L119" s="392">
        <v>1125000</v>
      </c>
      <c r="M119" s="392">
        <f>'[1]COE  LIB. 2019'!F53</f>
        <v>1125000</v>
      </c>
      <c r="N119" s="383">
        <f t="shared" si="106"/>
        <v>0</v>
      </c>
      <c r="P119" s="392">
        <v>1125000</v>
      </c>
      <c r="Q119" s="392">
        <f>'[1]COE  LIB. 2019'!G53</f>
        <v>1125000</v>
      </c>
      <c r="R119" s="383">
        <f t="shared" si="107"/>
        <v>0</v>
      </c>
      <c r="T119" s="392">
        <v>2000000</v>
      </c>
      <c r="U119" s="392">
        <f>'[1]COE  LIB. 2019'!H53</f>
        <v>2000000</v>
      </c>
      <c r="V119" s="383">
        <f t="shared" si="108"/>
        <v>0</v>
      </c>
      <c r="X119" s="392">
        <v>2000000</v>
      </c>
      <c r="Y119" s="392">
        <f>'[1]COE  LIB. 2019'!I53</f>
        <v>2000000</v>
      </c>
      <c r="Z119" s="383">
        <f t="shared" si="109"/>
        <v>0</v>
      </c>
      <c r="AB119" s="392">
        <v>2500000</v>
      </c>
      <c r="AC119" s="392">
        <f>'[1]COE  LIB. 2019'!J53</f>
        <v>2500000</v>
      </c>
      <c r="AD119" s="383">
        <f t="shared" si="110"/>
        <v>0</v>
      </c>
      <c r="AF119" s="392">
        <v>3680000</v>
      </c>
      <c r="AG119" s="392">
        <f>'[1]COE  LIB. 2019'!K53</f>
        <v>3680000</v>
      </c>
      <c r="AH119" s="383">
        <f t="shared" si="111"/>
        <v>0</v>
      </c>
      <c r="AJ119" s="392">
        <v>5000000</v>
      </c>
      <c r="AK119" s="392">
        <f>'[1]COE  LIB. 2019'!L53</f>
        <v>5000000</v>
      </c>
      <c r="AL119" s="383">
        <f t="shared" si="112"/>
        <v>0</v>
      </c>
      <c r="AN119" s="392">
        <f>'[1]COE commited funds to date'!M132</f>
        <v>0</v>
      </c>
      <c r="AO119" s="392">
        <f>'[1]COE  LIB. 2019'!M53</f>
        <v>0</v>
      </c>
      <c r="AP119" s="383">
        <f t="shared" si="113"/>
        <v>0</v>
      </c>
      <c r="AR119" s="392">
        <f>'[1]COE commited funds to date'!N132</f>
        <v>10000000</v>
      </c>
      <c r="AS119" s="392">
        <f>'[1]COE  LIB. 2019'!N53</f>
        <v>10000000</v>
      </c>
      <c r="AT119" s="383">
        <f t="shared" si="114"/>
        <v>0</v>
      </c>
      <c r="AV119" s="392">
        <v>0</v>
      </c>
      <c r="AW119" s="392">
        <f>'[1]COE  LIB. 2019'!O53</f>
        <v>0</v>
      </c>
      <c r="AX119" s="383">
        <f t="shared" si="115"/>
        <v>0</v>
      </c>
      <c r="AZ119" s="392">
        <f>'[1]COE commited funds to date'!P132</f>
        <v>0</v>
      </c>
      <c r="BA119" s="392">
        <f>'[1]COE  LIB. 2019'!P53</f>
        <v>0</v>
      </c>
      <c r="BB119" s="383">
        <f t="shared" si="116"/>
        <v>0</v>
      </c>
      <c r="BC119" s="408"/>
      <c r="BD119" s="392">
        <f>'[1]COE commited funds to date'!Q132</f>
        <v>70000000</v>
      </c>
      <c r="BE119" s="392">
        <f>'[1]COE  LIB. 2019'!Q53</f>
        <v>70000000</v>
      </c>
      <c r="BF119" s="383">
        <f t="shared" si="117"/>
        <v>0</v>
      </c>
      <c r="BH119" s="392">
        <v>0</v>
      </c>
      <c r="BI119" s="383">
        <f>'[1]COE  LIB. 2019'!R53</f>
        <v>0</v>
      </c>
      <c r="BJ119" s="383">
        <f t="shared" si="118"/>
        <v>0</v>
      </c>
      <c r="BL119" s="383">
        <f>'[1]COE commited funds to date'!S132</f>
        <v>0</v>
      </c>
      <c r="BM119" s="383">
        <f>'[1]COE  LIB. 2019'!S53</f>
        <v>0</v>
      </c>
      <c r="BN119" s="383">
        <f t="shared" si="119"/>
        <v>0</v>
      </c>
      <c r="BP119" s="383">
        <f>'[1]COE commited funds to date'!T132</f>
        <v>24000000</v>
      </c>
      <c r="BQ119" s="383">
        <f>'[1]COE  LIB. 2019'!T52</f>
        <v>0</v>
      </c>
      <c r="BR119" s="383">
        <f t="shared" si="120"/>
        <v>24000000</v>
      </c>
      <c r="BS119" s="380"/>
      <c r="BT119" s="383">
        <f>'[1]COE commited funds to date'!U132</f>
        <v>0</v>
      </c>
      <c r="BU119" s="383">
        <f>'[1]COE  LIB. 2019'!U53</f>
        <v>0</v>
      </c>
      <c r="BV119" s="383">
        <f t="shared" si="121"/>
        <v>0</v>
      </c>
      <c r="BW119" s="380"/>
      <c r="BX119" s="383">
        <f t="shared" si="122"/>
        <v>123680000</v>
      </c>
      <c r="BY119" s="383">
        <f t="shared" si="122"/>
        <v>99680000</v>
      </c>
      <c r="BZ119" s="383">
        <f t="shared" si="123"/>
        <v>24000000</v>
      </c>
    </row>
    <row r="120" spans="1:78" x14ac:dyDescent="0.25">
      <c r="A120" s="380">
        <v>42</v>
      </c>
      <c r="B120" s="418" t="s">
        <v>361</v>
      </c>
      <c r="C120" s="431" t="s">
        <v>61</v>
      </c>
      <c r="D120" s="385">
        <v>1125000</v>
      </c>
      <c r="E120" s="392">
        <f>'[1]COE  LIB. 2019'!D54</f>
        <v>1125000</v>
      </c>
      <c r="F120" s="383">
        <f t="shared" si="104"/>
        <v>0</v>
      </c>
      <c r="H120" s="392">
        <v>1125000</v>
      </c>
      <c r="I120" s="392">
        <f>'[1]COE  LIB. 2019'!E54</f>
        <v>1125000</v>
      </c>
      <c r="J120" s="383">
        <f t="shared" si="105"/>
        <v>0</v>
      </c>
      <c r="L120" s="392">
        <v>1125000</v>
      </c>
      <c r="M120" s="392">
        <f>'[1]COE  LIB. 2019'!F54</f>
        <v>1125000</v>
      </c>
      <c r="N120" s="383">
        <f t="shared" si="106"/>
        <v>0</v>
      </c>
      <c r="P120" s="392">
        <v>1125000</v>
      </c>
      <c r="Q120" s="392">
        <f>'[1]COE  LIB. 2019'!G54</f>
        <v>1125000</v>
      </c>
      <c r="R120" s="383">
        <f t="shared" si="107"/>
        <v>0</v>
      </c>
      <c r="T120" s="392">
        <v>2000000</v>
      </c>
      <c r="U120" s="392">
        <f>'[1]COE  LIB. 2019'!H54</f>
        <v>2000000</v>
      </c>
      <c r="V120" s="383">
        <f t="shared" si="108"/>
        <v>0</v>
      </c>
      <c r="X120" s="392">
        <v>2000000</v>
      </c>
      <c r="Y120" s="392">
        <f>'[1]COE  LIB. 2019'!I54</f>
        <v>2000000</v>
      </c>
      <c r="Z120" s="383">
        <f t="shared" si="109"/>
        <v>0</v>
      </c>
      <c r="AB120" s="392">
        <v>2500000</v>
      </c>
      <c r="AC120" s="392">
        <f>'[1]COE  LIB. 2019'!J54</f>
        <v>2500000</v>
      </c>
      <c r="AD120" s="383">
        <f t="shared" si="110"/>
        <v>0</v>
      </c>
      <c r="AF120" s="392">
        <v>3680000</v>
      </c>
      <c r="AG120" s="392">
        <f>'[1]COE  LIB. 2019'!K54</f>
        <v>3680000</v>
      </c>
      <c r="AH120" s="383">
        <f t="shared" si="111"/>
        <v>0</v>
      </c>
      <c r="AJ120" s="392">
        <v>5000000</v>
      </c>
      <c r="AK120" s="392">
        <f>'[1]COE  LIB. 2019'!L54</f>
        <v>5000000</v>
      </c>
      <c r="AL120" s="383">
        <f t="shared" si="112"/>
        <v>0</v>
      </c>
      <c r="AN120" s="392">
        <f>'[1]COE commited funds to date'!M133</f>
        <v>10000000</v>
      </c>
      <c r="AO120" s="392">
        <f>'[1]COE  LIB. 2019'!M54</f>
        <v>10000000</v>
      </c>
      <c r="AP120" s="383">
        <f t="shared" si="113"/>
        <v>0</v>
      </c>
      <c r="AR120" s="392">
        <f>'[1]COE commited funds to date'!N133</f>
        <v>0</v>
      </c>
      <c r="AS120" s="392">
        <f>'[1]COE  LIB. 2019'!N54</f>
        <v>0</v>
      </c>
      <c r="AT120" s="383">
        <f t="shared" si="114"/>
        <v>0</v>
      </c>
      <c r="AV120" s="392">
        <v>0</v>
      </c>
      <c r="AW120" s="392">
        <f>'[1]COE  LIB. 2019'!O54</f>
        <v>0</v>
      </c>
      <c r="AX120" s="383">
        <f t="shared" si="115"/>
        <v>0</v>
      </c>
      <c r="AY120" s="408">
        <f>AS120+AW120</f>
        <v>0</v>
      </c>
      <c r="AZ120" s="392">
        <f>'[1]COE commited funds to date'!P133</f>
        <v>30000000</v>
      </c>
      <c r="BA120" s="392">
        <f>'[1]COE  LIB. 2019'!P54</f>
        <v>30000000</v>
      </c>
      <c r="BB120" s="383">
        <f t="shared" si="116"/>
        <v>0</v>
      </c>
      <c r="BC120" s="408"/>
      <c r="BD120" s="392">
        <f>'[1]COE commited funds to date'!Q133</f>
        <v>0</v>
      </c>
      <c r="BE120" s="392">
        <f>'[1]COE  LIB. 2019'!Q54</f>
        <v>0</v>
      </c>
      <c r="BF120" s="383">
        <f t="shared" si="117"/>
        <v>0</v>
      </c>
      <c r="BH120" s="392">
        <v>0</v>
      </c>
      <c r="BI120" s="383">
        <f>'[1]COE  LIB. 2019'!R54</f>
        <v>0</v>
      </c>
      <c r="BJ120" s="383">
        <f t="shared" si="118"/>
        <v>0</v>
      </c>
      <c r="BL120" s="383">
        <f>'[1]COE commited funds to date'!S133</f>
        <v>30000000</v>
      </c>
      <c r="BM120" s="383">
        <f>'[1]COE  LIB. 2019'!S54</f>
        <v>30000000</v>
      </c>
      <c r="BN120" s="383">
        <f t="shared" si="119"/>
        <v>0</v>
      </c>
      <c r="BP120" s="383">
        <f>'[1]COE commited funds to date'!T133</f>
        <v>0</v>
      </c>
      <c r="BQ120" s="383">
        <f>'[1]COE  LIB. 2019'!T53</f>
        <v>0</v>
      </c>
      <c r="BR120" s="383">
        <f t="shared" si="120"/>
        <v>0</v>
      </c>
      <c r="BS120" s="380"/>
      <c r="BT120" s="383">
        <f>'[1]COE commited funds to date'!U133</f>
        <v>0</v>
      </c>
      <c r="BU120" s="383">
        <f>'[1]COE  LIB. 2019'!U54</f>
        <v>0</v>
      </c>
      <c r="BV120" s="383">
        <f t="shared" si="121"/>
        <v>0</v>
      </c>
      <c r="BW120" s="380"/>
      <c r="BX120" s="383">
        <f t="shared" si="122"/>
        <v>89680000</v>
      </c>
      <c r="BY120" s="383">
        <f t="shared" si="122"/>
        <v>89680000</v>
      </c>
      <c r="BZ120" s="383">
        <f t="shared" si="123"/>
        <v>0</v>
      </c>
    </row>
    <row r="121" spans="1:78" x14ac:dyDescent="0.25">
      <c r="A121" s="380">
        <v>43</v>
      </c>
      <c r="B121" s="418" t="s">
        <v>399</v>
      </c>
      <c r="C121" s="431"/>
      <c r="D121" s="385">
        <v>1125000</v>
      </c>
      <c r="E121" s="392">
        <f>'[1]COE  LIB. 2019'!D55</f>
        <v>1125000</v>
      </c>
      <c r="F121" s="383">
        <f t="shared" si="104"/>
        <v>0</v>
      </c>
      <c r="H121" s="392">
        <v>1125000</v>
      </c>
      <c r="I121" s="392">
        <f>'[1]COE  LIB. 2019'!E55</f>
        <v>1125000</v>
      </c>
      <c r="J121" s="383">
        <f t="shared" si="105"/>
        <v>0</v>
      </c>
      <c r="L121" s="392">
        <v>1125000</v>
      </c>
      <c r="M121" s="392">
        <f>'[1]COE  LIB. 2019'!F55</f>
        <v>1125000</v>
      </c>
      <c r="N121" s="383">
        <f t="shared" si="106"/>
        <v>0</v>
      </c>
      <c r="P121" s="392">
        <v>1125000</v>
      </c>
      <c r="Q121" s="392">
        <f>'[1]COE  LIB. 2019'!G55</f>
        <v>1125000</v>
      </c>
      <c r="R121" s="383">
        <f t="shared" si="107"/>
        <v>0</v>
      </c>
      <c r="T121" s="392">
        <v>2000000</v>
      </c>
      <c r="U121" s="392">
        <f>'[1]COE  LIB. 2019'!H55</f>
        <v>2000000</v>
      </c>
      <c r="V121" s="383">
        <f t="shared" si="108"/>
        <v>0</v>
      </c>
      <c r="X121" s="392">
        <v>2000000</v>
      </c>
      <c r="Y121" s="392">
        <f>'[1]COE  LIB. 2019'!I55</f>
        <v>2000000</v>
      </c>
      <c r="Z121" s="383">
        <f t="shared" si="109"/>
        <v>0</v>
      </c>
      <c r="AB121" s="392">
        <v>2500000</v>
      </c>
      <c r="AC121" s="392">
        <f>'[1]COE  LIB. 2019'!J55</f>
        <v>2500000</v>
      </c>
      <c r="AD121" s="383">
        <f t="shared" si="110"/>
        <v>0</v>
      </c>
      <c r="AF121" s="392">
        <v>3680000</v>
      </c>
      <c r="AG121" s="392">
        <f>'[1]COE  LIB. 2019'!K55</f>
        <v>3680000</v>
      </c>
      <c r="AH121" s="383">
        <f t="shared" si="111"/>
        <v>0</v>
      </c>
      <c r="AJ121" s="392">
        <v>5000000</v>
      </c>
      <c r="AK121" s="392">
        <f>'[1]COE  LIB. 2019'!L55</f>
        <v>5000000</v>
      </c>
      <c r="AL121" s="383">
        <f t="shared" si="112"/>
        <v>0</v>
      </c>
      <c r="AN121" s="392">
        <f>'[1]COE commited funds to date'!M134</f>
        <v>0</v>
      </c>
      <c r="AO121" s="392">
        <f>'[1]COE  LIB. 2019'!M55</f>
        <v>0</v>
      </c>
      <c r="AP121" s="383">
        <f t="shared" si="113"/>
        <v>0</v>
      </c>
      <c r="AR121" s="392">
        <f>'[1]COE commited funds to date'!N134</f>
        <v>10000000</v>
      </c>
      <c r="AS121" s="392">
        <f>'[1]COE  LIB. 2019'!N55</f>
        <v>0</v>
      </c>
      <c r="AT121" s="383">
        <f t="shared" si="114"/>
        <v>10000000</v>
      </c>
      <c r="AV121" s="392">
        <v>20000000</v>
      </c>
      <c r="AW121" s="392">
        <f>'[1]COE  LIB. 2019'!O55</f>
        <v>20000000</v>
      </c>
      <c r="AX121" s="383">
        <f t="shared" si="115"/>
        <v>0</v>
      </c>
      <c r="AZ121" s="392">
        <f>'[1]COE commited funds to date'!P134</f>
        <v>0</v>
      </c>
      <c r="BA121" s="392">
        <f>'[1]COE  LIB. 2019'!P55</f>
        <v>0</v>
      </c>
      <c r="BB121" s="383">
        <f t="shared" si="116"/>
        <v>0</v>
      </c>
      <c r="BC121" s="408"/>
      <c r="BD121" s="392">
        <f>'[1]COE commited funds to date'!Q134</f>
        <v>0</v>
      </c>
      <c r="BE121" s="392">
        <f>'[1]COE  LIB. 2019'!Q55</f>
        <v>0</v>
      </c>
      <c r="BF121" s="383">
        <f t="shared" si="117"/>
        <v>0</v>
      </c>
      <c r="BH121" s="392">
        <v>35000000</v>
      </c>
      <c r="BI121" s="383">
        <f>'[1]COE  LIB. 2019'!R55</f>
        <v>29750000</v>
      </c>
      <c r="BJ121" s="383">
        <f t="shared" si="118"/>
        <v>5250000</v>
      </c>
      <c r="BL121" s="383">
        <f>'[1]COE commited funds to date'!S134</f>
        <v>0</v>
      </c>
      <c r="BM121" s="383">
        <f>'[1]COE  LIB. 2019'!S55</f>
        <v>0</v>
      </c>
      <c r="BN121" s="383">
        <f t="shared" si="119"/>
        <v>0</v>
      </c>
      <c r="BP121" s="383">
        <f>'[1]COE commited funds to date'!T134</f>
        <v>0</v>
      </c>
      <c r="BQ121" s="383">
        <f>'[1]COE  LIB. 2019'!T54</f>
        <v>0</v>
      </c>
      <c r="BR121" s="383">
        <f t="shared" si="120"/>
        <v>0</v>
      </c>
      <c r="BS121" s="380"/>
      <c r="BT121" s="383">
        <f>'[1]COE commited funds to date'!U134</f>
        <v>16000000</v>
      </c>
      <c r="BU121" s="383">
        <f>'[1]COE  LIB. 2019'!U55</f>
        <v>0</v>
      </c>
      <c r="BV121" s="383">
        <f t="shared" si="121"/>
        <v>16000000</v>
      </c>
      <c r="BW121" s="380"/>
      <c r="BX121" s="383">
        <f t="shared" si="122"/>
        <v>100680000</v>
      </c>
      <c r="BY121" s="383">
        <f t="shared" si="122"/>
        <v>69430000</v>
      </c>
      <c r="BZ121" s="383">
        <f t="shared" si="123"/>
        <v>31250000</v>
      </c>
    </row>
    <row r="122" spans="1:78" x14ac:dyDescent="0.25">
      <c r="A122" s="380">
        <v>44</v>
      </c>
      <c r="B122" s="418" t="s">
        <v>363</v>
      </c>
      <c r="C122" s="431" t="s">
        <v>61</v>
      </c>
      <c r="D122" s="385">
        <v>1125000</v>
      </c>
      <c r="E122" s="392">
        <f>'[1]COE  LIB. 2019'!D56</f>
        <v>1125000</v>
      </c>
      <c r="F122" s="383">
        <f t="shared" si="104"/>
        <v>0</v>
      </c>
      <c r="H122" s="392">
        <v>1125000</v>
      </c>
      <c r="I122" s="392">
        <f>'[1]COE  LIB. 2019'!E56</f>
        <v>1125000</v>
      </c>
      <c r="J122" s="383">
        <f t="shared" si="105"/>
        <v>0</v>
      </c>
      <c r="L122" s="392">
        <v>1125000</v>
      </c>
      <c r="M122" s="392">
        <f>'[1]COE  LIB. 2019'!F56</f>
        <v>1125000</v>
      </c>
      <c r="N122" s="383">
        <f t="shared" si="106"/>
        <v>0</v>
      </c>
      <c r="P122" s="392">
        <v>1125000</v>
      </c>
      <c r="Q122" s="392">
        <f>'[1]COE  LIB. 2019'!G56</f>
        <v>1125000</v>
      </c>
      <c r="R122" s="383">
        <f t="shared" si="107"/>
        <v>0</v>
      </c>
      <c r="T122" s="392">
        <v>2000000</v>
      </c>
      <c r="U122" s="392">
        <f>'[1]COE  LIB. 2019'!H56</f>
        <v>2000000</v>
      </c>
      <c r="V122" s="383">
        <f t="shared" si="108"/>
        <v>0</v>
      </c>
      <c r="X122" s="392">
        <v>2000000</v>
      </c>
      <c r="Y122" s="392">
        <f>'[1]COE  LIB. 2019'!I56</f>
        <v>2000000</v>
      </c>
      <c r="Z122" s="383">
        <f t="shared" si="109"/>
        <v>0</v>
      </c>
      <c r="AB122" s="392">
        <v>2500000</v>
      </c>
      <c r="AC122" s="392">
        <f>'[1]COE  LIB. 2019'!J56</f>
        <v>2500000</v>
      </c>
      <c r="AD122" s="383">
        <f t="shared" si="110"/>
        <v>0</v>
      </c>
      <c r="AF122" s="392">
        <v>3680000</v>
      </c>
      <c r="AG122" s="392">
        <f>'[1]COE  LIB. 2019'!K56</f>
        <v>3680000</v>
      </c>
      <c r="AH122" s="383">
        <f t="shared" si="111"/>
        <v>0</v>
      </c>
      <c r="AJ122" s="392">
        <v>5000000</v>
      </c>
      <c r="AK122" s="392">
        <f>'[1]COE  LIB. 2019'!L56</f>
        <v>5000000</v>
      </c>
      <c r="AL122" s="383">
        <f t="shared" si="112"/>
        <v>0</v>
      </c>
      <c r="AN122" s="392">
        <f>'[1]COE commited funds to date'!M135</f>
        <v>10000000</v>
      </c>
      <c r="AO122" s="392">
        <f>'[1]COE  LIB. 2019'!M56</f>
        <v>10000000</v>
      </c>
      <c r="AP122" s="383">
        <f t="shared" si="113"/>
        <v>0</v>
      </c>
      <c r="AR122" s="392">
        <f>'[1]COE commited funds to date'!N135</f>
        <v>10000000</v>
      </c>
      <c r="AS122" s="392">
        <f>'[1]COE  LIB. 2019'!N56</f>
        <v>10000000</v>
      </c>
      <c r="AT122" s="383">
        <f t="shared" si="114"/>
        <v>0</v>
      </c>
      <c r="AV122" s="392">
        <v>20000000</v>
      </c>
      <c r="AW122" s="392">
        <f>'[1]COE  LIB. 2019'!O56</f>
        <v>20000000</v>
      </c>
      <c r="AX122" s="383">
        <f t="shared" si="115"/>
        <v>0</v>
      </c>
      <c r="AZ122" s="392">
        <f>'[1]COE commited funds to date'!P135</f>
        <v>30000000</v>
      </c>
      <c r="BA122" s="392">
        <f>'[1]COE  LIB. 2019'!P56</f>
        <v>30000000</v>
      </c>
      <c r="BB122" s="383">
        <f t="shared" si="116"/>
        <v>0</v>
      </c>
      <c r="BC122" s="408"/>
      <c r="BD122" s="392">
        <f>'[1]COE commited funds to date'!Q135</f>
        <v>70000000</v>
      </c>
      <c r="BE122" s="392">
        <f>'[1]COE  LIB. 2019'!Q56</f>
        <v>70000000</v>
      </c>
      <c r="BF122" s="383">
        <f t="shared" si="117"/>
        <v>0</v>
      </c>
      <c r="BH122" s="392">
        <v>35000000</v>
      </c>
      <c r="BI122" s="383">
        <f>'[1]COE  LIB. 2019'!R56</f>
        <v>35000000</v>
      </c>
      <c r="BJ122" s="383">
        <f t="shared" si="118"/>
        <v>0</v>
      </c>
      <c r="BL122" s="383">
        <f>'[1]COE commited funds to date'!S135</f>
        <v>30000000</v>
      </c>
      <c r="BM122" s="383">
        <f>'[1]COE  LIB. 2019'!S56</f>
        <v>30000000</v>
      </c>
      <c r="BN122" s="383">
        <f t="shared" si="119"/>
        <v>0</v>
      </c>
      <c r="BP122" s="383">
        <f>'[1]COE commited funds to date'!T135</f>
        <v>24000000</v>
      </c>
      <c r="BQ122" s="383">
        <f>'[1]COE  LIB. 2019'!T55</f>
        <v>0</v>
      </c>
      <c r="BR122" s="383">
        <f t="shared" si="120"/>
        <v>24000000</v>
      </c>
      <c r="BS122" s="380"/>
      <c r="BT122" s="383">
        <f>'[1]COE commited funds to date'!U135</f>
        <v>16000000</v>
      </c>
      <c r="BU122" s="383">
        <f>'[1]COE  LIB. 2019'!U56</f>
        <v>0</v>
      </c>
      <c r="BV122" s="383">
        <f t="shared" si="121"/>
        <v>16000000</v>
      </c>
      <c r="BW122" s="380"/>
      <c r="BX122" s="383">
        <f t="shared" si="122"/>
        <v>264680000</v>
      </c>
      <c r="BY122" s="383">
        <f t="shared" si="122"/>
        <v>224680000</v>
      </c>
      <c r="BZ122" s="383">
        <f t="shared" si="123"/>
        <v>40000000</v>
      </c>
    </row>
    <row r="123" spans="1:78" x14ac:dyDescent="0.25">
      <c r="A123" s="380">
        <v>45</v>
      </c>
      <c r="B123" s="418" t="s">
        <v>364</v>
      </c>
      <c r="C123" s="431" t="s">
        <v>61</v>
      </c>
      <c r="D123" s="385">
        <v>1125000</v>
      </c>
      <c r="E123" s="392">
        <f>'[1]COE  LIB. 2019'!D57</f>
        <v>1125000</v>
      </c>
      <c r="F123" s="383">
        <f t="shared" si="104"/>
        <v>0</v>
      </c>
      <c r="H123" s="392">
        <v>1125000</v>
      </c>
      <c r="I123" s="392">
        <f>'[1]COE  LIB. 2019'!E57</f>
        <v>1125000</v>
      </c>
      <c r="J123" s="383">
        <f t="shared" si="105"/>
        <v>0</v>
      </c>
      <c r="L123" s="392">
        <v>1125000</v>
      </c>
      <c r="M123" s="392">
        <f>'[1]COE  LIB. 2019'!F57</f>
        <v>1125000</v>
      </c>
      <c r="N123" s="383">
        <f t="shared" si="106"/>
        <v>0</v>
      </c>
      <c r="P123" s="392">
        <v>1125000</v>
      </c>
      <c r="Q123" s="392">
        <f>'[1]COE  LIB. 2019'!G57</f>
        <v>1125000</v>
      </c>
      <c r="R123" s="383">
        <f t="shared" si="107"/>
        <v>0</v>
      </c>
      <c r="T123" s="392">
        <v>2000000</v>
      </c>
      <c r="U123" s="392">
        <f>'[1]COE  LIB. 2019'!H57</f>
        <v>2000000</v>
      </c>
      <c r="V123" s="383">
        <f t="shared" si="108"/>
        <v>0</v>
      </c>
      <c r="X123" s="392">
        <v>2000000</v>
      </c>
      <c r="Y123" s="392">
        <f>'[1]COE  LIB. 2019'!I57</f>
        <v>2000000</v>
      </c>
      <c r="Z123" s="383">
        <f t="shared" si="109"/>
        <v>0</v>
      </c>
      <c r="AB123" s="392">
        <v>2500000</v>
      </c>
      <c r="AC123" s="392">
        <f>'[1]COE  LIB. 2019'!J57</f>
        <v>2500000</v>
      </c>
      <c r="AD123" s="383">
        <f t="shared" si="110"/>
        <v>0</v>
      </c>
      <c r="AF123" s="392">
        <v>3680000</v>
      </c>
      <c r="AG123" s="392">
        <f>'[1]COE  LIB. 2019'!K57</f>
        <v>3680000</v>
      </c>
      <c r="AH123" s="383">
        <f t="shared" si="111"/>
        <v>0</v>
      </c>
      <c r="AJ123" s="392">
        <v>5000000</v>
      </c>
      <c r="AK123" s="392">
        <f>'[1]COE  LIB. 2019'!L57</f>
        <v>5000000</v>
      </c>
      <c r="AL123" s="383">
        <f t="shared" si="112"/>
        <v>0</v>
      </c>
      <c r="AN123" s="392">
        <f>'[1]COE commited funds to date'!M136</f>
        <v>10000000</v>
      </c>
      <c r="AO123" s="392">
        <f>'[1]COE  LIB. 2019'!M57</f>
        <v>10000000</v>
      </c>
      <c r="AP123" s="383">
        <f t="shared" si="113"/>
        <v>0</v>
      </c>
      <c r="AR123" s="392">
        <f>'[1]COE commited funds to date'!N136</f>
        <v>10000000</v>
      </c>
      <c r="AS123" s="392">
        <f>'[1]COE  LIB. 2019'!N57</f>
        <v>10000000</v>
      </c>
      <c r="AT123" s="383">
        <f t="shared" si="114"/>
        <v>0</v>
      </c>
      <c r="AV123" s="392">
        <v>20000000</v>
      </c>
      <c r="AW123" s="392">
        <f>'[1]COE  LIB. 2019'!O57</f>
        <v>20000000</v>
      </c>
      <c r="AX123" s="383">
        <f t="shared" si="115"/>
        <v>0</v>
      </c>
      <c r="AZ123" s="392">
        <f>'[1]COE commited funds to date'!P136</f>
        <v>30000000</v>
      </c>
      <c r="BA123" s="392">
        <f>'[1]COE  LIB. 2019'!P57</f>
        <v>30000000</v>
      </c>
      <c r="BB123" s="383">
        <f t="shared" si="116"/>
        <v>0</v>
      </c>
      <c r="BC123" s="408"/>
      <c r="BD123" s="392">
        <f>'[1]COE commited funds to date'!Q136</f>
        <v>70000000</v>
      </c>
      <c r="BE123" s="392">
        <f>'[1]COE  LIB. 2019'!Q57</f>
        <v>59500000</v>
      </c>
      <c r="BF123" s="383">
        <f t="shared" si="117"/>
        <v>10500000</v>
      </c>
      <c r="BH123" s="392">
        <v>35000000</v>
      </c>
      <c r="BI123" s="383">
        <f>'[1]COE  LIB. 2019'!R57</f>
        <v>29750000</v>
      </c>
      <c r="BJ123" s="383">
        <f t="shared" si="118"/>
        <v>5250000</v>
      </c>
      <c r="BL123" s="383">
        <f>'[1]COE commited funds to date'!S136</f>
        <v>30000000</v>
      </c>
      <c r="BM123" s="383">
        <f>'[1]COE  LIB. 2019'!S57</f>
        <v>25500000</v>
      </c>
      <c r="BN123" s="383">
        <f t="shared" si="119"/>
        <v>4500000</v>
      </c>
      <c r="BP123" s="383">
        <f>'[1]COE commited funds to date'!T136</f>
        <v>24000000</v>
      </c>
      <c r="BQ123" s="383">
        <f>'[1]COE  LIB. 2019'!T56</f>
        <v>0</v>
      </c>
      <c r="BR123" s="383">
        <f t="shared" si="120"/>
        <v>24000000</v>
      </c>
      <c r="BS123" s="380"/>
      <c r="BT123" s="383">
        <f>'[1]COE commited funds to date'!U136</f>
        <v>16000000</v>
      </c>
      <c r="BU123" s="383">
        <f>'[1]COE  LIB. 2019'!U57</f>
        <v>0</v>
      </c>
      <c r="BV123" s="383">
        <f t="shared" si="121"/>
        <v>16000000</v>
      </c>
      <c r="BW123" s="380"/>
      <c r="BX123" s="383">
        <f t="shared" si="122"/>
        <v>264680000</v>
      </c>
      <c r="BY123" s="383">
        <f t="shared" si="122"/>
        <v>204430000</v>
      </c>
      <c r="BZ123" s="383">
        <f t="shared" si="123"/>
        <v>60250000</v>
      </c>
    </row>
    <row r="124" spans="1:78" x14ac:dyDescent="0.25">
      <c r="A124" s="380">
        <v>46</v>
      </c>
      <c r="B124" s="418" t="s">
        <v>400</v>
      </c>
      <c r="C124" s="431" t="s">
        <v>69</v>
      </c>
      <c r="D124" s="385">
        <v>1125000</v>
      </c>
      <c r="E124" s="392">
        <f>'[1]COE  LIB. 2019'!D58</f>
        <v>1125000</v>
      </c>
      <c r="F124" s="383">
        <f t="shared" si="104"/>
        <v>0</v>
      </c>
      <c r="H124" s="392">
        <v>1125000</v>
      </c>
      <c r="I124" s="392">
        <f>'[1]COE  LIB. 2019'!E58</f>
        <v>1125000</v>
      </c>
      <c r="J124" s="383">
        <f t="shared" si="105"/>
        <v>0</v>
      </c>
      <c r="L124" s="392">
        <v>1125000</v>
      </c>
      <c r="M124" s="392">
        <f>'[1]COE  LIB. 2019'!F58</f>
        <v>1125000</v>
      </c>
      <c r="N124" s="383">
        <f t="shared" si="106"/>
        <v>0</v>
      </c>
      <c r="P124" s="392">
        <v>1125000</v>
      </c>
      <c r="Q124" s="392">
        <f>'[1]COE  LIB. 2019'!G58</f>
        <v>1125000</v>
      </c>
      <c r="R124" s="383">
        <f t="shared" si="107"/>
        <v>0</v>
      </c>
      <c r="T124" s="392">
        <v>2000000</v>
      </c>
      <c r="U124" s="392">
        <f>'[1]COE  LIB. 2019'!H58</f>
        <v>2000000</v>
      </c>
      <c r="V124" s="383">
        <f t="shared" si="108"/>
        <v>0</v>
      </c>
      <c r="X124" s="392">
        <v>2000000</v>
      </c>
      <c r="Y124" s="392">
        <f>'[1]COE  LIB. 2019'!I58</f>
        <v>2000000</v>
      </c>
      <c r="Z124" s="383">
        <f t="shared" si="109"/>
        <v>0</v>
      </c>
      <c r="AB124" s="392">
        <v>2500000</v>
      </c>
      <c r="AC124" s="392">
        <f>'[1]COE  LIB. 2019'!J58</f>
        <v>2500000</v>
      </c>
      <c r="AD124" s="383">
        <f t="shared" si="110"/>
        <v>0</v>
      </c>
      <c r="AF124" s="392">
        <v>3680000</v>
      </c>
      <c r="AG124" s="392">
        <f>'[1]COE  LIB. 2019'!K58</f>
        <v>3680000</v>
      </c>
      <c r="AH124" s="383">
        <f t="shared" si="111"/>
        <v>0</v>
      </c>
      <c r="AJ124" s="392">
        <v>5000000</v>
      </c>
      <c r="AK124" s="392">
        <f>'[1]COE  LIB. 2019'!L58</f>
        <v>5000000</v>
      </c>
      <c r="AL124" s="383">
        <f t="shared" si="112"/>
        <v>0</v>
      </c>
      <c r="AN124" s="392">
        <f>'[1]COE commited funds to date'!M137</f>
        <v>10000000</v>
      </c>
      <c r="AO124" s="392">
        <f>'[1]COE  LIB. 2019'!M58</f>
        <v>10000000</v>
      </c>
      <c r="AP124" s="383">
        <f t="shared" si="113"/>
        <v>0</v>
      </c>
      <c r="AR124" s="392">
        <f>'[1]COE commited funds to date'!N137</f>
        <v>0</v>
      </c>
      <c r="AS124" s="392">
        <f>'[1]COE  LIB. 2019'!N58</f>
        <v>0</v>
      </c>
      <c r="AT124" s="383">
        <f t="shared" si="114"/>
        <v>0</v>
      </c>
      <c r="AV124" s="392">
        <v>20000000</v>
      </c>
      <c r="AW124" s="392">
        <f>'[1]COE  LIB. 2019'!O58</f>
        <v>20000000</v>
      </c>
      <c r="AX124" s="383">
        <f t="shared" si="115"/>
        <v>0</v>
      </c>
      <c r="AZ124" s="392">
        <f>'[1]COE commited funds to date'!P137</f>
        <v>0</v>
      </c>
      <c r="BA124" s="392">
        <f>'[1]COE  LIB. 2019'!P58</f>
        <v>0</v>
      </c>
      <c r="BB124" s="383">
        <f t="shared" si="116"/>
        <v>0</v>
      </c>
      <c r="BC124" s="408"/>
      <c r="BD124" s="392">
        <f>'[1]COE commited funds to date'!Q137</f>
        <v>70000000</v>
      </c>
      <c r="BE124" s="392">
        <f>'[1]COE  LIB. 2019'!Q58</f>
        <v>70000000</v>
      </c>
      <c r="BF124" s="383">
        <f t="shared" si="117"/>
        <v>0</v>
      </c>
      <c r="BH124" s="392"/>
      <c r="BI124" s="383">
        <f>'[1]COE  LIB. 2019'!R58</f>
        <v>0</v>
      </c>
      <c r="BJ124" s="383">
        <f t="shared" si="118"/>
        <v>0</v>
      </c>
      <c r="BL124" s="383">
        <f>'[1]COE commited funds to date'!S137</f>
        <v>30000000</v>
      </c>
      <c r="BM124" s="383">
        <f>'[1]COE  LIB. 2019'!S58</f>
        <v>0</v>
      </c>
      <c r="BN124" s="383">
        <f t="shared" si="119"/>
        <v>30000000</v>
      </c>
      <c r="BP124" s="383">
        <f>'[1]COE commited funds to date'!T137</f>
        <v>0</v>
      </c>
      <c r="BQ124" s="383">
        <f>'[1]COE  LIB. 2019'!T57</f>
        <v>0</v>
      </c>
      <c r="BR124" s="383">
        <f t="shared" si="120"/>
        <v>0</v>
      </c>
      <c r="BS124" s="380"/>
      <c r="BT124" s="383">
        <f>'[1]COE commited funds to date'!U137</f>
        <v>16000000</v>
      </c>
      <c r="BU124" s="383">
        <f>'[1]COE  LIB. 2019'!U58</f>
        <v>0</v>
      </c>
      <c r="BV124" s="383">
        <f t="shared" si="121"/>
        <v>16000000</v>
      </c>
      <c r="BW124" s="380"/>
      <c r="BX124" s="383">
        <f t="shared" si="122"/>
        <v>165680000</v>
      </c>
      <c r="BY124" s="383">
        <f t="shared" si="122"/>
        <v>119680000</v>
      </c>
      <c r="BZ124" s="383">
        <f t="shared" si="123"/>
        <v>46000000</v>
      </c>
    </row>
    <row r="125" spans="1:78" x14ac:dyDescent="0.25">
      <c r="A125" s="380">
        <v>47</v>
      </c>
      <c r="B125" s="418" t="s">
        <v>401</v>
      </c>
      <c r="C125" s="433"/>
      <c r="D125" s="385">
        <v>1125000</v>
      </c>
      <c r="E125" s="392">
        <f>'[1]COE  LIB. 2019'!D59</f>
        <v>1125000</v>
      </c>
      <c r="F125" s="383">
        <f t="shared" si="104"/>
        <v>0</v>
      </c>
      <c r="H125" s="392">
        <v>1125000</v>
      </c>
      <c r="I125" s="392">
        <f>'[1]COE  LIB. 2019'!E59</f>
        <v>1125000</v>
      </c>
      <c r="J125" s="383">
        <f t="shared" si="105"/>
        <v>0</v>
      </c>
      <c r="L125" s="392">
        <v>1125000</v>
      </c>
      <c r="M125" s="392">
        <f>'[1]COE  LIB. 2019'!F59</f>
        <v>1125000</v>
      </c>
      <c r="N125" s="383">
        <f t="shared" si="106"/>
        <v>0</v>
      </c>
      <c r="P125" s="392">
        <v>1125000</v>
      </c>
      <c r="Q125" s="392">
        <f>'[1]COE  LIB. 2019'!G59</f>
        <v>1125000</v>
      </c>
      <c r="R125" s="383">
        <f t="shared" si="107"/>
        <v>0</v>
      </c>
      <c r="T125" s="392">
        <v>2000000</v>
      </c>
      <c r="U125" s="392">
        <f>'[1]COE  LIB. 2019'!H59</f>
        <v>2000000</v>
      </c>
      <c r="V125" s="383">
        <f t="shared" si="108"/>
        <v>0</v>
      </c>
      <c r="X125" s="392">
        <v>2000000</v>
      </c>
      <c r="Y125" s="392">
        <f>'[1]COE  LIB. 2019'!I59</f>
        <v>2000000</v>
      </c>
      <c r="Z125" s="383">
        <f t="shared" si="109"/>
        <v>0</v>
      </c>
      <c r="AB125" s="392">
        <v>2500000</v>
      </c>
      <c r="AC125" s="392">
        <f>'[1]COE  LIB. 2019'!J59</f>
        <v>2500000</v>
      </c>
      <c r="AD125" s="383">
        <f t="shared" si="110"/>
        <v>0</v>
      </c>
      <c r="AF125" s="392">
        <v>3680000</v>
      </c>
      <c r="AG125" s="392">
        <f>'[1]COE  LIB. 2019'!K59</f>
        <v>3680000</v>
      </c>
      <c r="AH125" s="383">
        <f t="shared" si="111"/>
        <v>0</v>
      </c>
      <c r="AJ125" s="392">
        <v>5000000</v>
      </c>
      <c r="AK125" s="392">
        <f>'[1]COE  LIB. 2019'!L59</f>
        <v>5000000</v>
      </c>
      <c r="AL125" s="383">
        <f t="shared" si="112"/>
        <v>0</v>
      </c>
      <c r="AN125" s="392">
        <f>'[1]COE commited funds to date'!M138</f>
        <v>0</v>
      </c>
      <c r="AO125" s="392">
        <f>'[1]COE  LIB. 2019'!M59</f>
        <v>0</v>
      </c>
      <c r="AP125" s="383">
        <f t="shared" si="113"/>
        <v>0</v>
      </c>
      <c r="AR125" s="392">
        <f>'[1]COE commited funds to date'!N138</f>
        <v>10000000</v>
      </c>
      <c r="AS125" s="392">
        <f>'[1]COE  LIB. 2019'!N59</f>
        <v>10000000</v>
      </c>
      <c r="AT125" s="383">
        <f t="shared" si="114"/>
        <v>0</v>
      </c>
      <c r="AV125" s="392">
        <v>0</v>
      </c>
      <c r="AW125" s="392">
        <f>'[1]COE  LIB. 2019'!O59</f>
        <v>0</v>
      </c>
      <c r="AX125" s="383">
        <f t="shared" si="115"/>
        <v>0</v>
      </c>
      <c r="AZ125" s="392">
        <f>'[1]COE commited funds to date'!P138</f>
        <v>30000000</v>
      </c>
      <c r="BA125" s="392">
        <f>'[1]COE  LIB. 2019'!P59</f>
        <v>30000000</v>
      </c>
      <c r="BB125" s="383">
        <f t="shared" si="116"/>
        <v>0</v>
      </c>
      <c r="BC125" s="408"/>
      <c r="BD125" s="392">
        <f>'[1]COE commited funds to date'!Q138</f>
        <v>0</v>
      </c>
      <c r="BE125" s="392">
        <f>'[1]COE  LIB. 2019'!Q59</f>
        <v>0</v>
      </c>
      <c r="BF125" s="383">
        <f t="shared" si="117"/>
        <v>0</v>
      </c>
      <c r="BH125" s="392">
        <v>35000000</v>
      </c>
      <c r="BI125" s="383">
        <f>'[1]COE  LIB. 2019'!R59</f>
        <v>29750000</v>
      </c>
      <c r="BJ125" s="383">
        <f t="shared" si="118"/>
        <v>5250000</v>
      </c>
      <c r="BL125" s="383">
        <f>'[1]COE commited funds to date'!S138</f>
        <v>0</v>
      </c>
      <c r="BM125" s="383">
        <f>'[1]COE  LIB. 2019'!S59</f>
        <v>0</v>
      </c>
      <c r="BN125" s="383">
        <f t="shared" si="119"/>
        <v>0</v>
      </c>
      <c r="BP125" s="383">
        <f>'[1]COE commited funds to date'!T138</f>
        <v>24000000</v>
      </c>
      <c r="BQ125" s="383">
        <f>'[1]COE  LIB. 2019'!T58</f>
        <v>0</v>
      </c>
      <c r="BR125" s="383">
        <f t="shared" si="120"/>
        <v>24000000</v>
      </c>
      <c r="BS125" s="380"/>
      <c r="BT125" s="383">
        <f>'[1]COE commited funds to date'!U138</f>
        <v>0</v>
      </c>
      <c r="BU125" s="383">
        <f>'[1]COE  LIB. 2019'!U59</f>
        <v>0</v>
      </c>
      <c r="BV125" s="383">
        <f t="shared" si="121"/>
        <v>0</v>
      </c>
      <c r="BW125" s="380"/>
      <c r="BX125" s="383">
        <f t="shared" si="122"/>
        <v>118680000</v>
      </c>
      <c r="BY125" s="383">
        <f t="shared" si="122"/>
        <v>89430000</v>
      </c>
      <c r="BZ125" s="383">
        <f t="shared" si="123"/>
        <v>29250000</v>
      </c>
    </row>
    <row r="126" spans="1:78" x14ac:dyDescent="0.25">
      <c r="A126" s="380">
        <v>48</v>
      </c>
      <c r="B126" s="418" t="s">
        <v>367</v>
      </c>
      <c r="C126" s="431" t="s">
        <v>69</v>
      </c>
      <c r="D126" s="385">
        <v>1125000</v>
      </c>
      <c r="E126" s="392">
        <f>'[1]COE  LIB. 2019'!D60</f>
        <v>1125000</v>
      </c>
      <c r="F126" s="383">
        <f t="shared" si="104"/>
        <v>0</v>
      </c>
      <c r="H126" s="392">
        <v>1125000</v>
      </c>
      <c r="I126" s="392">
        <f>'[1]COE  LIB. 2019'!E60</f>
        <v>1125000</v>
      </c>
      <c r="J126" s="383">
        <f t="shared" si="105"/>
        <v>0</v>
      </c>
      <c r="L126" s="392">
        <v>1125000</v>
      </c>
      <c r="M126" s="392">
        <f>'[1]COE  LIB. 2019'!F60</f>
        <v>1125000</v>
      </c>
      <c r="N126" s="383">
        <f t="shared" si="106"/>
        <v>0</v>
      </c>
      <c r="P126" s="392">
        <v>1125000</v>
      </c>
      <c r="Q126" s="392">
        <f>'[1]COE  LIB. 2019'!G60</f>
        <v>1125000</v>
      </c>
      <c r="R126" s="383">
        <f t="shared" si="107"/>
        <v>0</v>
      </c>
      <c r="T126" s="392">
        <v>2000000</v>
      </c>
      <c r="U126" s="392">
        <f>'[1]COE  LIB. 2019'!H60</f>
        <v>2000000</v>
      </c>
      <c r="V126" s="383">
        <f t="shared" si="108"/>
        <v>0</v>
      </c>
      <c r="X126" s="392">
        <v>2000000</v>
      </c>
      <c r="Y126" s="392">
        <f>'[1]COE  LIB. 2019'!I60</f>
        <v>2000000</v>
      </c>
      <c r="Z126" s="383">
        <f t="shared" si="109"/>
        <v>0</v>
      </c>
      <c r="AB126" s="392">
        <v>2500000</v>
      </c>
      <c r="AC126" s="392">
        <f>'[1]COE  LIB. 2019'!J60</f>
        <v>2500000</v>
      </c>
      <c r="AD126" s="383">
        <f t="shared" si="110"/>
        <v>0</v>
      </c>
      <c r="AF126" s="392">
        <v>3680000</v>
      </c>
      <c r="AG126" s="392">
        <f>'[1]COE  LIB. 2019'!K60</f>
        <v>3680000</v>
      </c>
      <c r="AH126" s="383">
        <f t="shared" si="111"/>
        <v>0</v>
      </c>
      <c r="AJ126" s="392">
        <v>5000000</v>
      </c>
      <c r="AK126" s="392">
        <f>'[1]COE  LIB. 2019'!L60</f>
        <v>5000000</v>
      </c>
      <c r="AL126" s="383">
        <f t="shared" si="112"/>
        <v>0</v>
      </c>
      <c r="AN126" s="392">
        <f>'[1]COE commited funds to date'!M139</f>
        <v>10000000</v>
      </c>
      <c r="AO126" s="392">
        <f>'[1]COE  LIB. 2019'!M60</f>
        <v>10000000</v>
      </c>
      <c r="AP126" s="383">
        <f t="shared" si="113"/>
        <v>0</v>
      </c>
      <c r="AR126" s="392">
        <f>'[1]COE commited funds to date'!N139</f>
        <v>10000000</v>
      </c>
      <c r="AS126" s="392">
        <f>'[1]COE  LIB. 2019'!N60</f>
        <v>10000000</v>
      </c>
      <c r="AT126" s="383">
        <f t="shared" si="114"/>
        <v>0</v>
      </c>
      <c r="AV126" s="392">
        <v>20000000</v>
      </c>
      <c r="AW126" s="392">
        <f>'[1]COE  LIB. 2019'!O60</f>
        <v>17000000</v>
      </c>
      <c r="AX126" s="383">
        <f t="shared" si="115"/>
        <v>3000000</v>
      </c>
      <c r="AZ126" s="392">
        <f>'[1]COE commited funds to date'!P139</f>
        <v>30000000</v>
      </c>
      <c r="BA126" s="392">
        <f>'[1]COE  LIB. 2019'!P60</f>
        <v>25500000</v>
      </c>
      <c r="BB126" s="383">
        <f t="shared" si="116"/>
        <v>4500000</v>
      </c>
      <c r="BC126" s="408"/>
      <c r="BD126" s="392">
        <f>'[1]COE commited funds to date'!Q139</f>
        <v>70000000</v>
      </c>
      <c r="BE126" s="392">
        <f>'[1]COE  LIB. 2019'!Q60</f>
        <v>59500000</v>
      </c>
      <c r="BF126" s="383">
        <f t="shared" si="117"/>
        <v>10500000</v>
      </c>
      <c r="BH126" s="392">
        <v>35000000</v>
      </c>
      <c r="BI126" s="383">
        <f>'[1]COE  LIB. 2019'!R60</f>
        <v>0</v>
      </c>
      <c r="BJ126" s="383">
        <f t="shared" si="118"/>
        <v>35000000</v>
      </c>
      <c r="BL126" s="383">
        <f>'[1]COE commited funds to date'!S139</f>
        <v>30000000</v>
      </c>
      <c r="BM126" s="383">
        <f>'[1]COE  LIB. 2019'!S60</f>
        <v>0</v>
      </c>
      <c r="BN126" s="383">
        <f t="shared" si="119"/>
        <v>30000000</v>
      </c>
      <c r="BP126" s="383">
        <f>'[1]COE commited funds to date'!T139</f>
        <v>24000000</v>
      </c>
      <c r="BQ126" s="383">
        <f>'[1]COE  LIB. 2019'!T59</f>
        <v>0</v>
      </c>
      <c r="BR126" s="383">
        <f t="shared" si="120"/>
        <v>24000000</v>
      </c>
      <c r="BS126" s="380"/>
      <c r="BT126" s="383">
        <f>'[1]COE commited funds to date'!U139</f>
        <v>16000000</v>
      </c>
      <c r="BU126" s="383">
        <f>'[1]COE  LIB. 2019'!U60</f>
        <v>0</v>
      </c>
      <c r="BV126" s="383">
        <f t="shared" si="121"/>
        <v>16000000</v>
      </c>
      <c r="BW126" s="380"/>
      <c r="BX126" s="383">
        <f t="shared" si="122"/>
        <v>264680000</v>
      </c>
      <c r="BY126" s="383">
        <f t="shared" si="122"/>
        <v>141680000</v>
      </c>
      <c r="BZ126" s="383">
        <f t="shared" si="123"/>
        <v>123000000</v>
      </c>
    </row>
    <row r="127" spans="1:78" x14ac:dyDescent="0.25">
      <c r="A127" s="380">
        <v>49</v>
      </c>
      <c r="B127" s="418" t="s">
        <v>368</v>
      </c>
      <c r="C127" s="431" t="s">
        <v>69</v>
      </c>
      <c r="D127" s="385">
        <v>1125000</v>
      </c>
      <c r="E127" s="392">
        <f>'[1]COE  LIB. 2019'!D61</f>
        <v>1125000</v>
      </c>
      <c r="F127" s="383">
        <f t="shared" si="104"/>
        <v>0</v>
      </c>
      <c r="H127" s="392">
        <v>1125000</v>
      </c>
      <c r="I127" s="392">
        <f>'[1]COE  LIB. 2019'!E61</f>
        <v>1125000</v>
      </c>
      <c r="J127" s="383">
        <f t="shared" si="105"/>
        <v>0</v>
      </c>
      <c r="L127" s="392">
        <v>956250</v>
      </c>
      <c r="M127" s="392">
        <f>'[1]COE  LIB. 2019'!F61</f>
        <v>956250</v>
      </c>
      <c r="N127" s="383">
        <f t="shared" si="106"/>
        <v>0</v>
      </c>
      <c r="P127" s="392">
        <v>956250</v>
      </c>
      <c r="Q127" s="392">
        <f>'[1]COE  LIB. 2019'!G61</f>
        <v>956250</v>
      </c>
      <c r="R127" s="383">
        <f t="shared" si="107"/>
        <v>0</v>
      </c>
      <c r="T127" s="392">
        <v>1700000</v>
      </c>
      <c r="U127" s="392">
        <f>'[1]COE  LIB. 2019'!H61</f>
        <v>1700000</v>
      </c>
      <c r="V127" s="383">
        <f t="shared" si="108"/>
        <v>0</v>
      </c>
      <c r="X127" s="392">
        <v>2000000</v>
      </c>
      <c r="Y127" s="392">
        <f>'[1]COE  LIB. 2019'!I61</f>
        <v>2000000</v>
      </c>
      <c r="Z127" s="383">
        <f t="shared" si="109"/>
        <v>0</v>
      </c>
      <c r="AB127" s="392">
        <v>2500000</v>
      </c>
      <c r="AC127" s="392">
        <f>'[1]COE  LIB. 2019'!J61</f>
        <v>2500000</v>
      </c>
      <c r="AD127" s="383">
        <f t="shared" si="110"/>
        <v>0</v>
      </c>
      <c r="AF127" s="392">
        <v>3680000</v>
      </c>
      <c r="AG127" s="392">
        <f>'[1]COE  LIB. 2019'!K61</f>
        <v>3680000</v>
      </c>
      <c r="AH127" s="383">
        <f t="shared" si="111"/>
        <v>0</v>
      </c>
      <c r="AJ127" s="392">
        <v>5000000</v>
      </c>
      <c r="AK127" s="392">
        <f>'[1]COE  LIB. 2019'!L61</f>
        <v>5000000</v>
      </c>
      <c r="AL127" s="383">
        <f t="shared" si="112"/>
        <v>0</v>
      </c>
      <c r="AN127" s="392">
        <f>'[1]COE commited funds to date'!M140</f>
        <v>10000000</v>
      </c>
      <c r="AO127" s="392">
        <f>'[1]COE  LIB. 2019'!M61</f>
        <v>10000000</v>
      </c>
      <c r="AP127" s="383">
        <f t="shared" si="113"/>
        <v>0</v>
      </c>
      <c r="AR127" s="392">
        <f>'[1]COE commited funds to date'!N140</f>
        <v>10000000</v>
      </c>
      <c r="AS127" s="392">
        <f>'[1]COE  LIB. 2019'!N61</f>
        <v>10000000</v>
      </c>
      <c r="AT127" s="383">
        <f t="shared" si="114"/>
        <v>0</v>
      </c>
      <c r="AV127" s="392">
        <v>20000000</v>
      </c>
      <c r="AW127" s="392">
        <f>'[1]COE  LIB. 2019'!O61</f>
        <v>20000000</v>
      </c>
      <c r="AX127" s="383">
        <f t="shared" si="115"/>
        <v>0</v>
      </c>
      <c r="AZ127" s="392">
        <f>'[1]COE commited funds to date'!P140</f>
        <v>30000000</v>
      </c>
      <c r="BA127" s="392">
        <f>'[1]COE  LIB. 2019'!P61</f>
        <v>30000000</v>
      </c>
      <c r="BB127" s="383">
        <f t="shared" si="116"/>
        <v>0</v>
      </c>
      <c r="BC127" s="408"/>
      <c r="BD127" s="392">
        <f>'[1]COE commited funds to date'!Q140</f>
        <v>70000000</v>
      </c>
      <c r="BE127" s="392">
        <f>'[1]COE  LIB. 2019'!Q61</f>
        <v>70000000</v>
      </c>
      <c r="BF127" s="383">
        <f t="shared" si="117"/>
        <v>0</v>
      </c>
      <c r="BH127" s="392">
        <v>35000000</v>
      </c>
      <c r="BI127" s="383">
        <f>'[1]COE  LIB. 2019'!R61</f>
        <v>35000000</v>
      </c>
      <c r="BJ127" s="383">
        <f t="shared" si="118"/>
        <v>0</v>
      </c>
      <c r="BL127" s="383">
        <f>'[1]COE commited funds to date'!S140</f>
        <v>30000000</v>
      </c>
      <c r="BM127" s="383">
        <f>'[1]COE  LIB. 2019'!S61</f>
        <v>0</v>
      </c>
      <c r="BN127" s="383">
        <f t="shared" si="119"/>
        <v>30000000</v>
      </c>
      <c r="BP127" s="383">
        <f>'[1]COE commited funds to date'!T140</f>
        <v>24000000</v>
      </c>
      <c r="BQ127" s="383">
        <f>'[1]COE  LIB. 2019'!T60</f>
        <v>0</v>
      </c>
      <c r="BR127" s="383">
        <f t="shared" si="120"/>
        <v>24000000</v>
      </c>
      <c r="BS127" s="380"/>
      <c r="BT127" s="383">
        <f>'[1]COE commited funds to date'!U140</f>
        <v>16000000</v>
      </c>
      <c r="BU127" s="383">
        <f>'[1]COE  LIB. 2019'!U61</f>
        <v>0</v>
      </c>
      <c r="BV127" s="383">
        <f t="shared" si="121"/>
        <v>16000000</v>
      </c>
      <c r="BW127" s="380"/>
      <c r="BX127" s="383">
        <f t="shared" si="122"/>
        <v>264042500</v>
      </c>
      <c r="BY127" s="383">
        <f t="shared" si="122"/>
        <v>194042500</v>
      </c>
      <c r="BZ127" s="383">
        <f t="shared" si="123"/>
        <v>70000000</v>
      </c>
    </row>
    <row r="128" spans="1:78" x14ac:dyDescent="0.25">
      <c r="A128" s="380">
        <v>50</v>
      </c>
      <c r="B128" s="418" t="s">
        <v>369</v>
      </c>
      <c r="C128" s="431" t="s">
        <v>69</v>
      </c>
      <c r="D128" s="385">
        <v>1125000</v>
      </c>
      <c r="E128" s="392">
        <f>'[1]COE  LIB. 2019'!D62</f>
        <v>1125000</v>
      </c>
      <c r="F128" s="383">
        <f t="shared" si="104"/>
        <v>0</v>
      </c>
      <c r="H128" s="392">
        <v>1125000</v>
      </c>
      <c r="I128" s="392">
        <f>'[1]COE  LIB. 2019'!E62</f>
        <v>1125000</v>
      </c>
      <c r="J128" s="383">
        <f t="shared" si="105"/>
        <v>0</v>
      </c>
      <c r="L128" s="392">
        <v>1125000</v>
      </c>
      <c r="M128" s="392">
        <f>'[1]COE  LIB. 2019'!F62</f>
        <v>1125000</v>
      </c>
      <c r="N128" s="383">
        <f t="shared" si="106"/>
        <v>0</v>
      </c>
      <c r="P128" s="392">
        <v>1125000</v>
      </c>
      <c r="Q128" s="392">
        <f>'[1]COE  LIB. 2019'!G62</f>
        <v>1250000</v>
      </c>
      <c r="R128" s="383">
        <f t="shared" si="107"/>
        <v>-125000</v>
      </c>
      <c r="T128" s="392">
        <v>2000000</v>
      </c>
      <c r="U128" s="392">
        <f>'[1]COE  LIB. 2019'!H62</f>
        <v>2000000</v>
      </c>
      <c r="V128" s="383">
        <f t="shared" si="108"/>
        <v>0</v>
      </c>
      <c r="X128" s="392">
        <v>2000000</v>
      </c>
      <c r="Y128" s="392">
        <f>'[1]COE  LIB. 2019'!I62</f>
        <v>2000000</v>
      </c>
      <c r="Z128" s="383">
        <f t="shared" si="109"/>
        <v>0</v>
      </c>
      <c r="AB128" s="392">
        <v>2500000</v>
      </c>
      <c r="AC128" s="392">
        <f>'[1]COE  LIB. 2019'!J62</f>
        <v>2500000</v>
      </c>
      <c r="AD128" s="383">
        <f t="shared" si="110"/>
        <v>0</v>
      </c>
      <c r="AF128" s="392">
        <v>3680000</v>
      </c>
      <c r="AG128" s="392">
        <f>'[1]COE  LIB. 2019'!K62</f>
        <v>3680000</v>
      </c>
      <c r="AH128" s="383">
        <f t="shared" si="111"/>
        <v>0</v>
      </c>
      <c r="AJ128" s="392">
        <v>5000000</v>
      </c>
      <c r="AK128" s="392">
        <f>'[1]COE  LIB. 2019'!L62</f>
        <v>5000000</v>
      </c>
      <c r="AL128" s="383">
        <f t="shared" si="112"/>
        <v>0</v>
      </c>
      <c r="AN128" s="392">
        <f>'[1]COE commited funds to date'!M141</f>
        <v>10000000</v>
      </c>
      <c r="AO128" s="392">
        <f>'[1]COE  LIB. 2019'!M62</f>
        <v>10000000</v>
      </c>
      <c r="AP128" s="383">
        <f t="shared" si="113"/>
        <v>0</v>
      </c>
      <c r="AR128" s="392">
        <f>'[1]COE commited funds to date'!N141</f>
        <v>0</v>
      </c>
      <c r="AS128" s="392">
        <f>'[1]COE  LIB. 2019'!N62</f>
        <v>0</v>
      </c>
      <c r="AT128" s="383">
        <f t="shared" si="114"/>
        <v>0</v>
      </c>
      <c r="AV128" s="392">
        <v>20000000</v>
      </c>
      <c r="AW128" s="392">
        <f>'[1]COE  LIB. 2019'!O62</f>
        <v>20000000</v>
      </c>
      <c r="AX128" s="383">
        <f t="shared" si="115"/>
        <v>0</v>
      </c>
      <c r="AZ128" s="392">
        <f>'[1]COE commited funds to date'!P141</f>
        <v>0</v>
      </c>
      <c r="BA128" s="392">
        <f>'[1]COE  LIB. 2019'!P62</f>
        <v>0</v>
      </c>
      <c r="BB128" s="383">
        <f t="shared" si="116"/>
        <v>0</v>
      </c>
      <c r="BC128" s="408"/>
      <c r="BD128" s="392">
        <f>'[1]COE commited funds to date'!Q141</f>
        <v>70000000</v>
      </c>
      <c r="BE128" s="392">
        <f>'[1]COE  LIB. 2019'!Q62</f>
        <v>59500000</v>
      </c>
      <c r="BF128" s="383">
        <f t="shared" si="117"/>
        <v>10500000</v>
      </c>
      <c r="BH128" s="392">
        <v>0</v>
      </c>
      <c r="BI128" s="383">
        <f>'[1]COE  LIB. 2019'!R62</f>
        <v>0</v>
      </c>
      <c r="BJ128" s="383">
        <f t="shared" si="118"/>
        <v>0</v>
      </c>
      <c r="BL128" s="383">
        <f>'[1]COE commited funds to date'!S141</f>
        <v>30000000</v>
      </c>
      <c r="BM128" s="383">
        <f>'[1]COE  LIB. 2019'!S62</f>
        <v>0</v>
      </c>
      <c r="BN128" s="383">
        <f t="shared" si="119"/>
        <v>30000000</v>
      </c>
      <c r="BP128" s="383">
        <f>'[1]COE commited funds to date'!T141</f>
        <v>0</v>
      </c>
      <c r="BQ128" s="383">
        <f>'[1]COE  LIB. 2019'!T61</f>
        <v>0</v>
      </c>
      <c r="BR128" s="383">
        <f t="shared" si="120"/>
        <v>0</v>
      </c>
      <c r="BS128" s="380"/>
      <c r="BT128" s="383">
        <f>'[1]COE commited funds to date'!U141</f>
        <v>16000000</v>
      </c>
      <c r="BU128" s="383">
        <f>'[1]COE  LIB. 2019'!U62</f>
        <v>0</v>
      </c>
      <c r="BV128" s="383">
        <f t="shared" si="121"/>
        <v>16000000</v>
      </c>
      <c r="BW128" s="380"/>
      <c r="BX128" s="383">
        <f t="shared" si="122"/>
        <v>165680000</v>
      </c>
      <c r="BY128" s="383">
        <f t="shared" si="122"/>
        <v>109305000</v>
      </c>
      <c r="BZ128" s="383">
        <f t="shared" si="123"/>
        <v>56375000</v>
      </c>
    </row>
    <row r="129" spans="1:78" x14ac:dyDescent="0.25">
      <c r="A129" s="380">
        <v>51</v>
      </c>
      <c r="B129" s="418" t="s">
        <v>370</v>
      </c>
      <c r="C129" s="431"/>
      <c r="D129" s="385">
        <v>1125000</v>
      </c>
      <c r="E129" s="392">
        <f>'[1]COE  LIB. 2019'!D63</f>
        <v>1125000</v>
      </c>
      <c r="F129" s="383">
        <f t="shared" si="104"/>
        <v>0</v>
      </c>
      <c r="H129" s="392">
        <v>1125000</v>
      </c>
      <c r="I129" s="392">
        <f>'[1]COE  LIB. 2019'!E63</f>
        <v>1125000</v>
      </c>
      <c r="J129" s="383">
        <f t="shared" si="105"/>
        <v>0</v>
      </c>
      <c r="L129" s="392">
        <v>1125000</v>
      </c>
      <c r="M129" s="392">
        <f>'[1]COE  LIB. 2019'!F63</f>
        <v>1125000</v>
      </c>
      <c r="N129" s="383">
        <f t="shared" si="106"/>
        <v>0</v>
      </c>
      <c r="P129" s="392">
        <v>1125000</v>
      </c>
      <c r="Q129" s="392">
        <f>'[1]COE  LIB. 2019'!G63</f>
        <v>1250000</v>
      </c>
      <c r="R129" s="383">
        <f t="shared" si="107"/>
        <v>-125000</v>
      </c>
      <c r="T129" s="392">
        <v>2000000</v>
      </c>
      <c r="U129" s="392">
        <f>'[1]COE  LIB. 2019'!H63</f>
        <v>2000000</v>
      </c>
      <c r="V129" s="383">
        <f t="shared" si="108"/>
        <v>0</v>
      </c>
      <c r="X129" s="392">
        <v>2000000</v>
      </c>
      <c r="Y129" s="392">
        <f>'[1]COE  LIB. 2019'!I63</f>
        <v>2000000</v>
      </c>
      <c r="Z129" s="383">
        <f t="shared" si="109"/>
        <v>0</v>
      </c>
      <c r="AB129" s="392">
        <v>2500000</v>
      </c>
      <c r="AC129" s="392">
        <f>'[1]COE  LIB. 2019'!J63</f>
        <v>4625000</v>
      </c>
      <c r="AD129" s="383">
        <f t="shared" si="110"/>
        <v>-2125000</v>
      </c>
      <c r="AF129" s="392">
        <v>3680000</v>
      </c>
      <c r="AG129" s="392">
        <f>'[1]COE  LIB. 2019'!K63</f>
        <v>3680000</v>
      </c>
      <c r="AH129" s="383">
        <f t="shared" si="111"/>
        <v>0</v>
      </c>
      <c r="AJ129" s="392">
        <v>5000000</v>
      </c>
      <c r="AK129" s="392">
        <f>'[1]COE  LIB. 2019'!L63</f>
        <v>5000000</v>
      </c>
      <c r="AL129" s="383">
        <f t="shared" si="112"/>
        <v>0</v>
      </c>
      <c r="AN129" s="392">
        <f>'[1]COE commited funds to date'!M142</f>
        <v>0</v>
      </c>
      <c r="AO129" s="392">
        <f>'[1]COE  LIB. 2019'!M63</f>
        <v>0</v>
      </c>
      <c r="AP129" s="383">
        <f t="shared" si="113"/>
        <v>0</v>
      </c>
      <c r="AR129" s="392">
        <f>'[1]COE commited funds to date'!N142</f>
        <v>10000000</v>
      </c>
      <c r="AS129" s="392">
        <f>'[1]COE  LIB. 2019'!N63</f>
        <v>10000000</v>
      </c>
      <c r="AT129" s="383">
        <f t="shared" si="114"/>
        <v>0</v>
      </c>
      <c r="AV129" s="392">
        <v>0</v>
      </c>
      <c r="AW129" s="392">
        <f>'[1]COE  LIB. 2019'!O63</f>
        <v>0</v>
      </c>
      <c r="AX129" s="383">
        <f t="shared" si="115"/>
        <v>0</v>
      </c>
      <c r="AZ129" s="392">
        <f>'[1]COE commited funds to date'!P142</f>
        <v>30000000</v>
      </c>
      <c r="BA129" s="392">
        <f>'[1]COE  LIB. 2019'!P63</f>
        <v>30000000</v>
      </c>
      <c r="BB129" s="383">
        <f t="shared" si="116"/>
        <v>0</v>
      </c>
      <c r="BC129" s="408"/>
      <c r="BD129" s="392">
        <f>'[1]COE commited funds to date'!Q142</f>
        <v>0</v>
      </c>
      <c r="BE129" s="392">
        <f>'[1]COE  LIB. 2019'!Q63</f>
        <v>0</v>
      </c>
      <c r="BF129" s="383">
        <f t="shared" si="117"/>
        <v>0</v>
      </c>
      <c r="BH129" s="392">
        <v>35000000</v>
      </c>
      <c r="BI129" s="383">
        <f>'[1]COE  LIB. 2019'!R63</f>
        <v>35000000</v>
      </c>
      <c r="BJ129" s="383">
        <f t="shared" si="118"/>
        <v>0</v>
      </c>
      <c r="BL129" s="383">
        <f>'[1]COE commited funds to date'!S142</f>
        <v>0</v>
      </c>
      <c r="BM129" s="383">
        <f>'[1]COE  LIB. 2019'!S63</f>
        <v>0</v>
      </c>
      <c r="BN129" s="383">
        <f t="shared" si="119"/>
        <v>0</v>
      </c>
      <c r="BP129" s="383">
        <f>'[1]COE commited funds to date'!T142</f>
        <v>24000000</v>
      </c>
      <c r="BQ129" s="383">
        <f>'[1]COE  LIB. 2019'!T62</f>
        <v>0</v>
      </c>
      <c r="BR129" s="383">
        <f t="shared" si="120"/>
        <v>24000000</v>
      </c>
      <c r="BS129" s="380"/>
      <c r="BT129" s="383">
        <f>'[1]COE commited funds to date'!U142</f>
        <v>0</v>
      </c>
      <c r="BU129" s="383">
        <f>'[1]COE  LIB. 2019'!U63</f>
        <v>0</v>
      </c>
      <c r="BV129" s="383">
        <f t="shared" si="121"/>
        <v>0</v>
      </c>
      <c r="BW129" s="380"/>
      <c r="BX129" s="383">
        <f t="shared" si="122"/>
        <v>118680000</v>
      </c>
      <c r="BY129" s="383">
        <f t="shared" si="122"/>
        <v>96930000</v>
      </c>
      <c r="BZ129" s="383">
        <f t="shared" si="123"/>
        <v>21750000</v>
      </c>
    </row>
    <row r="130" spans="1:78" x14ac:dyDescent="0.25">
      <c r="A130" s="380">
        <v>52</v>
      </c>
      <c r="B130" s="418" t="s">
        <v>371</v>
      </c>
      <c r="C130" s="436" t="s">
        <v>69</v>
      </c>
      <c r="D130" s="385">
        <v>1125000</v>
      </c>
      <c r="E130" s="392">
        <f>'[1]COE  LIB. 2019'!D64</f>
        <v>1125000</v>
      </c>
      <c r="F130" s="383">
        <f t="shared" si="104"/>
        <v>0</v>
      </c>
      <c r="H130" s="392">
        <v>1125000</v>
      </c>
      <c r="I130" s="392">
        <f>'[1]COE  LIB. 2019'!E64</f>
        <v>1125000</v>
      </c>
      <c r="J130" s="383">
        <f t="shared" si="105"/>
        <v>0</v>
      </c>
      <c r="L130" s="392">
        <v>1125000</v>
      </c>
      <c r="M130" s="392">
        <f>'[1]COE  LIB. 2019'!F64</f>
        <v>1125000</v>
      </c>
      <c r="N130" s="383">
        <f t="shared" si="106"/>
        <v>0</v>
      </c>
      <c r="P130" s="392">
        <v>956250</v>
      </c>
      <c r="Q130" s="392">
        <f>'[1]COE  LIB. 2019'!G64</f>
        <v>956250</v>
      </c>
      <c r="R130" s="383">
        <f t="shared" si="107"/>
        <v>0</v>
      </c>
      <c r="T130" s="392">
        <v>2000000</v>
      </c>
      <c r="U130" s="392">
        <f>'[1]COE  LIB. 2019'!H64</f>
        <v>2000000</v>
      </c>
      <c r="V130" s="383">
        <f t="shared" si="108"/>
        <v>0</v>
      </c>
      <c r="X130" s="392">
        <v>2000000</v>
      </c>
      <c r="Y130" s="392">
        <f>'[1]COE  LIB. 2019'!I64</f>
        <v>2000000</v>
      </c>
      <c r="Z130" s="383">
        <f t="shared" si="109"/>
        <v>0</v>
      </c>
      <c r="AB130" s="392">
        <v>2500000</v>
      </c>
      <c r="AC130" s="392">
        <f>'[1]COE  LIB. 2019'!J64</f>
        <v>2500000</v>
      </c>
      <c r="AD130" s="383">
        <f t="shared" si="110"/>
        <v>0</v>
      </c>
      <c r="AF130" s="392">
        <v>3680000</v>
      </c>
      <c r="AG130" s="392">
        <f>'[1]COE  LIB. 2019'!K64</f>
        <v>3680000</v>
      </c>
      <c r="AH130" s="383">
        <f t="shared" si="111"/>
        <v>0</v>
      </c>
      <c r="AJ130" s="392">
        <v>5000000</v>
      </c>
      <c r="AK130" s="392">
        <f>'[1]COE  LIB. 2019'!L64</f>
        <v>5000000</v>
      </c>
      <c r="AL130" s="383">
        <f t="shared" si="112"/>
        <v>0</v>
      </c>
      <c r="AN130" s="392">
        <f>'[1]COE commited funds to date'!M143</f>
        <v>10000000</v>
      </c>
      <c r="AO130" s="392">
        <f>'[1]COE  LIB. 2019'!M64</f>
        <v>10000000</v>
      </c>
      <c r="AP130" s="383">
        <f t="shared" si="113"/>
        <v>0</v>
      </c>
      <c r="AR130" s="392">
        <f>'[1]COE commited funds to date'!N143</f>
        <v>10000000</v>
      </c>
      <c r="AS130" s="392">
        <f>'[1]COE  LIB. 2019'!N64</f>
        <v>10000000</v>
      </c>
      <c r="AT130" s="383">
        <f t="shared" si="114"/>
        <v>0</v>
      </c>
      <c r="AV130" s="392">
        <v>20000000</v>
      </c>
      <c r="AW130" s="392">
        <f>'[1]COE  LIB. 2019'!O64</f>
        <v>20000000</v>
      </c>
      <c r="AX130" s="383">
        <f t="shared" si="115"/>
        <v>0</v>
      </c>
      <c r="AZ130" s="392">
        <f>'[1]COE commited funds to date'!P143</f>
        <v>30000000</v>
      </c>
      <c r="BA130" s="392">
        <f>'[1]COE  LIB. 2019'!P64</f>
        <v>30000000</v>
      </c>
      <c r="BB130" s="383">
        <f t="shared" si="116"/>
        <v>0</v>
      </c>
      <c r="BC130" s="408"/>
      <c r="BD130" s="392">
        <f>'[1]COE commited funds to date'!Q143</f>
        <v>70000000</v>
      </c>
      <c r="BE130" s="392">
        <f>'[1]COE  LIB. 2019'!Q64</f>
        <v>70000000</v>
      </c>
      <c r="BF130" s="383">
        <f t="shared" si="117"/>
        <v>0</v>
      </c>
      <c r="BH130" s="392">
        <v>35000000</v>
      </c>
      <c r="BI130" s="383">
        <f>'[1]COE  LIB. 2019'!R64</f>
        <v>29750000</v>
      </c>
      <c r="BJ130" s="383">
        <f t="shared" si="118"/>
        <v>5250000</v>
      </c>
      <c r="BL130" s="383">
        <f>'[1]COE commited funds to date'!S143</f>
        <v>30000000</v>
      </c>
      <c r="BM130" s="383">
        <f>'[1]COE  LIB. 2019'!S64</f>
        <v>25500000</v>
      </c>
      <c r="BN130" s="383">
        <f t="shared" si="119"/>
        <v>4500000</v>
      </c>
      <c r="BP130" s="383">
        <f>'[1]COE commited funds to date'!T143</f>
        <v>24000000</v>
      </c>
      <c r="BQ130" s="383">
        <f>'[1]COE  LIB. 2019'!T63</f>
        <v>0</v>
      </c>
      <c r="BR130" s="383">
        <f t="shared" si="120"/>
        <v>24000000</v>
      </c>
      <c r="BS130" s="380"/>
      <c r="BT130" s="383">
        <f>'[1]COE commited funds to date'!U143</f>
        <v>16000000</v>
      </c>
      <c r="BU130" s="383">
        <f>'[1]COE  LIB. 2019'!U64</f>
        <v>0</v>
      </c>
      <c r="BV130" s="383">
        <f t="shared" si="121"/>
        <v>16000000</v>
      </c>
      <c r="BW130" s="380"/>
      <c r="BX130" s="383">
        <f t="shared" si="122"/>
        <v>264511250</v>
      </c>
      <c r="BY130" s="383">
        <f t="shared" si="122"/>
        <v>214761250</v>
      </c>
      <c r="BZ130" s="383">
        <f t="shared" si="123"/>
        <v>49750000</v>
      </c>
    </row>
    <row r="131" spans="1:78" x14ac:dyDescent="0.25">
      <c r="A131" s="380">
        <v>53</v>
      </c>
      <c r="B131" s="418" t="s">
        <v>372</v>
      </c>
      <c r="C131" s="431" t="s">
        <v>61</v>
      </c>
      <c r="D131" s="385">
        <v>1125000</v>
      </c>
      <c r="E131" s="392">
        <f>'[1]COE  LIB. 2019'!D65</f>
        <v>1125000</v>
      </c>
      <c r="F131" s="383">
        <f t="shared" si="104"/>
        <v>0</v>
      </c>
      <c r="H131" s="392">
        <v>1125000</v>
      </c>
      <c r="I131" s="392">
        <f>'[1]COE  LIB. 2019'!E65</f>
        <v>1125000</v>
      </c>
      <c r="J131" s="383">
        <f t="shared" si="105"/>
        <v>0</v>
      </c>
      <c r="L131" s="392">
        <v>1125000</v>
      </c>
      <c r="M131" s="392">
        <f>'[1]COE  LIB. 2019'!F65</f>
        <v>1125000</v>
      </c>
      <c r="N131" s="383">
        <f t="shared" si="106"/>
        <v>0</v>
      </c>
      <c r="P131" s="392">
        <v>1125000</v>
      </c>
      <c r="Q131" s="392">
        <f>'[1]COE  LIB. 2019'!G65</f>
        <v>1125000</v>
      </c>
      <c r="R131" s="383">
        <f t="shared" si="107"/>
        <v>0</v>
      </c>
      <c r="T131" s="392">
        <v>2000000</v>
      </c>
      <c r="U131" s="392">
        <f>'[1]COE  LIB. 2019'!H65</f>
        <v>2000000</v>
      </c>
      <c r="V131" s="383">
        <f t="shared" si="108"/>
        <v>0</v>
      </c>
      <c r="X131" s="392">
        <v>2000000</v>
      </c>
      <c r="Y131" s="392">
        <f>'[1]COE  LIB. 2019'!I65</f>
        <v>2000000</v>
      </c>
      <c r="Z131" s="383">
        <f t="shared" si="109"/>
        <v>0</v>
      </c>
      <c r="AB131" s="392">
        <v>2500000</v>
      </c>
      <c r="AC131" s="392">
        <f>'[1]COE  LIB. 2019'!J65</f>
        <v>2500000</v>
      </c>
      <c r="AD131" s="383">
        <f t="shared" si="110"/>
        <v>0</v>
      </c>
      <c r="AF131" s="392">
        <v>3680000</v>
      </c>
      <c r="AG131" s="392">
        <f>'[1]COE  LIB. 2019'!K65</f>
        <v>3680000</v>
      </c>
      <c r="AH131" s="383">
        <f t="shared" si="111"/>
        <v>0</v>
      </c>
      <c r="AJ131" s="392">
        <v>5000000</v>
      </c>
      <c r="AK131" s="392">
        <f>'[1]COE  LIB. 2019'!L65</f>
        <v>5000000</v>
      </c>
      <c r="AL131" s="383">
        <f t="shared" si="112"/>
        <v>0</v>
      </c>
      <c r="AN131" s="392">
        <f>'[1]COE commited funds to date'!M144</f>
        <v>10000000</v>
      </c>
      <c r="AO131" s="392">
        <f>'[1]COE  LIB. 2019'!M65</f>
        <v>10000000</v>
      </c>
      <c r="AP131" s="383">
        <f t="shared" si="113"/>
        <v>0</v>
      </c>
      <c r="AR131" s="392">
        <f>'[1]COE commited funds to date'!N144</f>
        <v>10000000</v>
      </c>
      <c r="AS131" s="392">
        <f>'[1]COE  LIB. 2019'!N65</f>
        <v>10000000</v>
      </c>
      <c r="AT131" s="383">
        <f t="shared" si="114"/>
        <v>0</v>
      </c>
      <c r="AV131" s="392">
        <v>20000000</v>
      </c>
      <c r="AW131" s="392">
        <f>'[1]COE  LIB. 2019'!O65</f>
        <v>20000000</v>
      </c>
      <c r="AX131" s="383">
        <f t="shared" si="115"/>
        <v>0</v>
      </c>
      <c r="AZ131" s="392">
        <f>'[1]COE commited funds to date'!P144</f>
        <v>30000000</v>
      </c>
      <c r="BA131" s="392">
        <f>'[1]COE  LIB. 2019'!P65</f>
        <v>30000000</v>
      </c>
      <c r="BB131" s="383">
        <f t="shared" si="116"/>
        <v>0</v>
      </c>
      <c r="BC131" s="408"/>
      <c r="BD131" s="392">
        <f>'[1]COE commited funds to date'!Q144</f>
        <v>70000000</v>
      </c>
      <c r="BE131" s="392">
        <f>'[1]COE  LIB. 2019'!Q65</f>
        <v>70000000</v>
      </c>
      <c r="BF131" s="383">
        <f t="shared" si="117"/>
        <v>0</v>
      </c>
      <c r="BH131" s="392">
        <v>35000000</v>
      </c>
      <c r="BI131" s="383">
        <f>'[1]COE  LIB. 2019'!R65</f>
        <v>29750000</v>
      </c>
      <c r="BJ131" s="383">
        <f t="shared" si="118"/>
        <v>5250000</v>
      </c>
      <c r="BL131" s="383">
        <f>'[1]COE commited funds to date'!S144</f>
        <v>30000000</v>
      </c>
      <c r="BM131" s="383">
        <f>'[1]COE  LIB. 2019'!S65</f>
        <v>25500000</v>
      </c>
      <c r="BN131" s="383">
        <f t="shared" si="119"/>
        <v>4500000</v>
      </c>
      <c r="BP131" s="383">
        <f>'[1]COE commited funds to date'!T144</f>
        <v>24000000</v>
      </c>
      <c r="BQ131" s="383">
        <f>'[1]COE  LIB. 2019'!T64</f>
        <v>0</v>
      </c>
      <c r="BR131" s="383">
        <f t="shared" si="120"/>
        <v>24000000</v>
      </c>
      <c r="BS131" s="380"/>
      <c r="BT131" s="383">
        <f>'[1]COE commited funds to date'!U144</f>
        <v>16000000</v>
      </c>
      <c r="BU131" s="383">
        <f>'[1]COE  LIB. 2019'!U65</f>
        <v>0</v>
      </c>
      <c r="BV131" s="383">
        <f t="shared" si="121"/>
        <v>16000000</v>
      </c>
      <c r="BW131" s="380"/>
      <c r="BX131" s="383">
        <f t="shared" si="122"/>
        <v>264680000</v>
      </c>
      <c r="BY131" s="383">
        <f t="shared" si="122"/>
        <v>214930000</v>
      </c>
      <c r="BZ131" s="383">
        <f t="shared" si="123"/>
        <v>49750000</v>
      </c>
    </row>
    <row r="132" spans="1:78" x14ac:dyDescent="0.25">
      <c r="A132" s="380" t="s">
        <v>373</v>
      </c>
      <c r="B132" s="418" t="s">
        <v>402</v>
      </c>
      <c r="C132" s="431"/>
      <c r="D132" s="385">
        <v>1125000</v>
      </c>
      <c r="E132" s="392">
        <f>'[1]COE  LIB. 2019'!D66</f>
        <v>1125000</v>
      </c>
      <c r="F132" s="383">
        <f t="shared" si="104"/>
        <v>0</v>
      </c>
      <c r="H132" s="392">
        <v>1125000</v>
      </c>
      <c r="I132" s="392">
        <f>'[1]COE  LIB. 2019'!E66</f>
        <v>1125000</v>
      </c>
      <c r="J132" s="383">
        <f t="shared" si="105"/>
        <v>0</v>
      </c>
      <c r="L132" s="392">
        <v>1125000</v>
      </c>
      <c r="M132" s="392">
        <f>'[1]COE  LIB. 2019'!F66</f>
        <v>1125000</v>
      </c>
      <c r="N132" s="383">
        <f t="shared" si="106"/>
        <v>0</v>
      </c>
      <c r="P132" s="392">
        <v>1125000</v>
      </c>
      <c r="Q132" s="392">
        <f>'[1]COE  LIB. 2019'!G66</f>
        <v>1125000</v>
      </c>
      <c r="R132" s="383">
        <f t="shared" si="107"/>
        <v>0</v>
      </c>
      <c r="T132" s="392">
        <v>2000000</v>
      </c>
      <c r="U132" s="392">
        <f>'[1]COE  LIB. 2019'!H66</f>
        <v>2000000</v>
      </c>
      <c r="V132" s="383">
        <f t="shared" si="108"/>
        <v>0</v>
      </c>
      <c r="X132" s="392">
        <v>2000000</v>
      </c>
      <c r="Y132" s="392">
        <f>'[1]COE  LIB. 2019'!I66</f>
        <v>2000000</v>
      </c>
      <c r="Z132" s="383">
        <f t="shared" si="109"/>
        <v>0</v>
      </c>
      <c r="AB132" s="392">
        <v>2500000</v>
      </c>
      <c r="AC132" s="392">
        <f>'[1]COE  LIB. 2019'!J66</f>
        <v>2500000</v>
      </c>
      <c r="AD132" s="383">
        <f t="shared" si="110"/>
        <v>0</v>
      </c>
      <c r="AF132" s="392">
        <v>3128000</v>
      </c>
      <c r="AG132" s="392">
        <f>'[1]COE  LIB. 2019'!K66</f>
        <v>3128000</v>
      </c>
      <c r="AH132" s="383">
        <f t="shared" si="111"/>
        <v>0</v>
      </c>
      <c r="AJ132" s="392">
        <v>4250000</v>
      </c>
      <c r="AK132" s="392">
        <f>'[1]COE  LIB. 2019'!L66</f>
        <v>4250000</v>
      </c>
      <c r="AL132" s="383">
        <f t="shared" si="112"/>
        <v>0</v>
      </c>
      <c r="AN132" s="392">
        <f>'[1]COE commited funds to date'!M145</f>
        <v>8500000</v>
      </c>
      <c r="AO132" s="392">
        <f>'[1]COE  LIB. 2019'!M66</f>
        <v>8500000</v>
      </c>
      <c r="AP132" s="383">
        <f t="shared" si="113"/>
        <v>0</v>
      </c>
      <c r="AR132" s="392">
        <f>'[1]COE commited funds to date'!N145</f>
        <v>0</v>
      </c>
      <c r="AS132" s="392">
        <f>'[1]COE  LIB. 2019'!N66</f>
        <v>0</v>
      </c>
      <c r="AT132" s="383">
        <f t="shared" si="114"/>
        <v>0</v>
      </c>
      <c r="AV132" s="392">
        <v>0</v>
      </c>
      <c r="AW132" s="392">
        <f>'[1]COE  LIB. 2019'!O66</f>
        <v>0</v>
      </c>
      <c r="AX132" s="383">
        <f t="shared" si="115"/>
        <v>0</v>
      </c>
      <c r="AZ132" s="392">
        <f>'[1]COE commited funds to date'!P145</f>
        <v>0</v>
      </c>
      <c r="BA132" s="392">
        <f>'[1]COE  LIB. 2019'!P66</f>
        <v>0</v>
      </c>
      <c r="BB132" s="383">
        <f t="shared" si="116"/>
        <v>0</v>
      </c>
      <c r="BC132" s="408"/>
      <c r="BD132" s="392">
        <f>'[1]COE commited funds to date'!Q145</f>
        <v>0</v>
      </c>
      <c r="BE132" s="392">
        <f>'[1]COE  LIB. 2019'!Q66</f>
        <v>0</v>
      </c>
      <c r="BF132" s="383">
        <f t="shared" si="117"/>
        <v>0</v>
      </c>
      <c r="BH132" s="392">
        <v>0</v>
      </c>
      <c r="BI132" s="383">
        <f>'[1]COE  LIB. 2019'!R66</f>
        <v>0</v>
      </c>
      <c r="BJ132" s="383">
        <f t="shared" si="118"/>
        <v>0</v>
      </c>
      <c r="BL132" s="383">
        <f>'[1]COE commited funds to date'!S145</f>
        <v>0</v>
      </c>
      <c r="BM132" s="383">
        <f>'[1]COE  LIB. 2019'!S66</f>
        <v>0</v>
      </c>
      <c r="BN132" s="383">
        <f t="shared" si="119"/>
        <v>0</v>
      </c>
      <c r="BP132" s="383">
        <f>'[1]COE commited funds to date'!T145</f>
        <v>0</v>
      </c>
      <c r="BQ132" s="383">
        <f>'[1]COE  LIB. 2019'!T65</f>
        <v>0</v>
      </c>
      <c r="BR132" s="383">
        <f t="shared" si="120"/>
        <v>0</v>
      </c>
      <c r="BS132" s="380"/>
      <c r="BT132" s="383">
        <f>'[1]COE commited funds to date'!U145</f>
        <v>0</v>
      </c>
      <c r="BU132" s="383">
        <f>'[1]COE  LIB. 2019'!U66</f>
        <v>0</v>
      </c>
      <c r="BV132" s="383">
        <f t="shared" si="121"/>
        <v>0</v>
      </c>
      <c r="BW132" s="380"/>
      <c r="BX132" s="383">
        <f t="shared" si="122"/>
        <v>26878000</v>
      </c>
      <c r="BY132" s="383">
        <f t="shared" si="122"/>
        <v>26878000</v>
      </c>
      <c r="BZ132" s="383">
        <f t="shared" si="123"/>
        <v>0</v>
      </c>
    </row>
    <row r="133" spans="1:78" x14ac:dyDescent="0.25">
      <c r="A133" s="380">
        <v>54</v>
      </c>
      <c r="B133" s="418" t="s">
        <v>403</v>
      </c>
      <c r="C133" s="433" t="s">
        <v>63</v>
      </c>
      <c r="D133" s="385">
        <v>1125000</v>
      </c>
      <c r="E133" s="392">
        <f>'[1]COE  LIB. 2019'!D67</f>
        <v>1125000</v>
      </c>
      <c r="F133" s="383">
        <f t="shared" si="104"/>
        <v>0</v>
      </c>
      <c r="H133" s="392">
        <v>1125000</v>
      </c>
      <c r="I133" s="392">
        <f>'[1]COE  LIB. 2019'!E67</f>
        <v>1125000</v>
      </c>
      <c r="J133" s="383">
        <f t="shared" si="105"/>
        <v>0</v>
      </c>
      <c r="L133" s="392">
        <v>1125000</v>
      </c>
      <c r="M133" s="392">
        <f>'[1]COE  LIB. 2019'!F67</f>
        <v>1125000</v>
      </c>
      <c r="N133" s="383">
        <f t="shared" si="106"/>
        <v>0</v>
      </c>
      <c r="P133" s="392">
        <v>1125000</v>
      </c>
      <c r="Q133" s="392">
        <f>'[1]COE  LIB. 2019'!G67</f>
        <v>1125000</v>
      </c>
      <c r="R133" s="383">
        <f t="shared" si="107"/>
        <v>0</v>
      </c>
      <c r="T133" s="392">
        <v>2000000</v>
      </c>
      <c r="U133" s="392">
        <f>'[1]COE  LIB. 2019'!H67</f>
        <v>2000000</v>
      </c>
      <c r="V133" s="383">
        <f t="shared" si="108"/>
        <v>0</v>
      </c>
      <c r="X133" s="392">
        <v>2000000</v>
      </c>
      <c r="Y133" s="392">
        <f>'[1]COE  LIB. 2019'!I67</f>
        <v>2000000</v>
      </c>
      <c r="Z133" s="383">
        <f t="shared" si="109"/>
        <v>0</v>
      </c>
      <c r="AB133" s="392">
        <v>2500000</v>
      </c>
      <c r="AC133" s="392">
        <f>'[1]COE  LIB. 2019'!J67</f>
        <v>2500000</v>
      </c>
      <c r="AD133" s="383">
        <f t="shared" si="110"/>
        <v>0</v>
      </c>
      <c r="AF133" s="392">
        <v>3680000</v>
      </c>
      <c r="AG133" s="392">
        <f>'[1]COE  LIB. 2019'!K67</f>
        <v>3680000</v>
      </c>
      <c r="AH133" s="383">
        <f t="shared" si="111"/>
        <v>0</v>
      </c>
      <c r="AJ133" s="392">
        <v>5000000</v>
      </c>
      <c r="AK133" s="392">
        <f>'[1]COE  LIB. 2019'!L67</f>
        <v>5000000</v>
      </c>
      <c r="AL133" s="383">
        <f t="shared" si="112"/>
        <v>0</v>
      </c>
      <c r="AN133" s="392">
        <f>'[1]COE commited funds to date'!M146</f>
        <v>10000000</v>
      </c>
      <c r="AO133" s="392">
        <f>'[1]COE  LIB. 2019'!M67</f>
        <v>10000000</v>
      </c>
      <c r="AP133" s="383">
        <f t="shared" si="113"/>
        <v>0</v>
      </c>
      <c r="AR133" s="392">
        <f>'[1]COE commited funds to date'!N146</f>
        <v>10000000</v>
      </c>
      <c r="AS133" s="392">
        <f>'[1]COE  LIB. 2019'!N67</f>
        <v>10000000</v>
      </c>
      <c r="AT133" s="383">
        <f t="shared" si="114"/>
        <v>0</v>
      </c>
      <c r="AV133" s="392">
        <v>20000000</v>
      </c>
      <c r="AW133" s="392">
        <f>'[1]COE  LIB. 2019'!O67</f>
        <v>20000000</v>
      </c>
      <c r="AX133" s="383">
        <f t="shared" si="115"/>
        <v>0</v>
      </c>
      <c r="AZ133" s="392">
        <f>'[1]COE commited funds to date'!P146</f>
        <v>30000000</v>
      </c>
      <c r="BA133" s="392">
        <f>'[1]COE  LIB. 2019'!P67</f>
        <v>30000000</v>
      </c>
      <c r="BB133" s="383">
        <f t="shared" si="116"/>
        <v>0</v>
      </c>
      <c r="BC133" s="408"/>
      <c r="BD133" s="392">
        <f>'[1]COE commited funds to date'!Q146</f>
        <v>70000000</v>
      </c>
      <c r="BE133" s="392">
        <f>'[1]COE  LIB. 2019'!Q67</f>
        <v>70000000</v>
      </c>
      <c r="BF133" s="383">
        <f t="shared" si="117"/>
        <v>0</v>
      </c>
      <c r="BH133" s="392">
        <v>35000000</v>
      </c>
      <c r="BI133" s="383">
        <f>'[1]COE  LIB. 2019'!R67</f>
        <v>35000000</v>
      </c>
      <c r="BJ133" s="383">
        <f t="shared" si="118"/>
        <v>0</v>
      </c>
      <c r="BL133" s="383">
        <f>'[1]COE commited funds to date'!S146</f>
        <v>30000000</v>
      </c>
      <c r="BM133" s="383">
        <f>'[1]COE  LIB. 2019'!S67</f>
        <v>30000000</v>
      </c>
      <c r="BN133" s="383">
        <f t="shared" si="119"/>
        <v>0</v>
      </c>
      <c r="BP133" s="383">
        <f>'[1]COE commited funds to date'!T146</f>
        <v>24000000</v>
      </c>
      <c r="BQ133" s="383">
        <f>'[1]COE  LIB. 2019'!T66</f>
        <v>0</v>
      </c>
      <c r="BR133" s="383">
        <f t="shared" si="120"/>
        <v>24000000</v>
      </c>
      <c r="BS133" s="380"/>
      <c r="BT133" s="383">
        <f>'[1]COE commited funds to date'!U146</f>
        <v>16000000</v>
      </c>
      <c r="BU133" s="383">
        <f>'[1]COE  LIB. 2019'!U67</f>
        <v>0</v>
      </c>
      <c r="BV133" s="383">
        <f t="shared" si="121"/>
        <v>16000000</v>
      </c>
      <c r="BW133" s="380"/>
      <c r="BX133" s="383">
        <f t="shared" si="122"/>
        <v>264680000</v>
      </c>
      <c r="BY133" s="383">
        <f t="shared" si="122"/>
        <v>224680000</v>
      </c>
      <c r="BZ133" s="383">
        <f t="shared" si="123"/>
        <v>40000000</v>
      </c>
    </row>
    <row r="134" spans="1:78" x14ac:dyDescent="0.25">
      <c r="A134" s="380">
        <v>55</v>
      </c>
      <c r="B134" s="418" t="s">
        <v>404</v>
      </c>
      <c r="C134" s="433" t="s">
        <v>74</v>
      </c>
      <c r="D134" s="385">
        <v>1125000</v>
      </c>
      <c r="E134" s="392">
        <f>'[1]COE  LIB. 2019'!D68</f>
        <v>1125000</v>
      </c>
      <c r="F134" s="383">
        <f t="shared" si="104"/>
        <v>0</v>
      </c>
      <c r="H134" s="392">
        <v>1125000</v>
      </c>
      <c r="I134" s="392">
        <f>'[1]COE  LIB. 2019'!E68</f>
        <v>1125000</v>
      </c>
      <c r="J134" s="383">
        <f t="shared" si="105"/>
        <v>0</v>
      </c>
      <c r="L134" s="392">
        <v>1125000</v>
      </c>
      <c r="M134" s="392">
        <f>'[1]COE  LIB. 2019'!F68</f>
        <v>1125000</v>
      </c>
      <c r="N134" s="383">
        <f t="shared" si="106"/>
        <v>0</v>
      </c>
      <c r="P134" s="392">
        <v>1125000</v>
      </c>
      <c r="Q134" s="392">
        <f>'[1]COE  LIB. 2019'!G68</f>
        <v>1125000</v>
      </c>
      <c r="R134" s="383">
        <f t="shared" si="107"/>
        <v>0</v>
      </c>
      <c r="T134" s="392">
        <v>2000000</v>
      </c>
      <c r="U134" s="392">
        <f>'[1]COE  LIB. 2019'!H68</f>
        <v>2000000</v>
      </c>
      <c r="V134" s="383">
        <f t="shared" si="108"/>
        <v>0</v>
      </c>
      <c r="X134" s="392">
        <v>2000000</v>
      </c>
      <c r="Y134" s="392">
        <f>'[1]COE  LIB. 2019'!I68</f>
        <v>2000000</v>
      </c>
      <c r="Z134" s="383">
        <f t="shared" si="109"/>
        <v>0</v>
      </c>
      <c r="AB134" s="392">
        <v>2500000</v>
      </c>
      <c r="AC134" s="392">
        <f>'[1]COE  LIB. 2019'!J68</f>
        <v>2500000</v>
      </c>
      <c r="AD134" s="383">
        <f t="shared" si="110"/>
        <v>0</v>
      </c>
      <c r="AF134" s="392">
        <v>3680000</v>
      </c>
      <c r="AG134" s="392">
        <f>'[1]COE  LIB. 2019'!K68</f>
        <v>3680000</v>
      </c>
      <c r="AH134" s="383">
        <f t="shared" si="111"/>
        <v>0</v>
      </c>
      <c r="AJ134" s="392">
        <v>5000000</v>
      </c>
      <c r="AK134" s="392">
        <f>'[1]COE  LIB. 2019'!L68</f>
        <v>5000000</v>
      </c>
      <c r="AL134" s="383">
        <f t="shared" si="112"/>
        <v>0</v>
      </c>
      <c r="AN134" s="392">
        <f>'[1]COE commited funds to date'!M147</f>
        <v>10000000</v>
      </c>
      <c r="AO134" s="392">
        <f>'[1]COE  LIB. 2019'!M68</f>
        <v>10000000</v>
      </c>
      <c r="AP134" s="383">
        <f t="shared" si="113"/>
        <v>0</v>
      </c>
      <c r="AR134" s="392">
        <f>'[1]COE commited funds to date'!N147</f>
        <v>10000000</v>
      </c>
      <c r="AS134" s="392">
        <f>'[1]COE  LIB. 2019'!N68</f>
        <v>10000000</v>
      </c>
      <c r="AT134" s="383">
        <f t="shared" si="114"/>
        <v>0</v>
      </c>
      <c r="AV134" s="392">
        <v>20000000</v>
      </c>
      <c r="AW134" s="392">
        <f>'[1]COE  LIB. 2019'!O68</f>
        <v>20000000</v>
      </c>
      <c r="AX134" s="383">
        <f t="shared" si="115"/>
        <v>0</v>
      </c>
      <c r="AZ134" s="392">
        <f>'[1]COE commited funds to date'!P147</f>
        <v>30000000</v>
      </c>
      <c r="BA134" s="392">
        <f>'[1]COE  LIB. 2019'!P68</f>
        <v>30000000</v>
      </c>
      <c r="BB134" s="383">
        <f t="shared" si="116"/>
        <v>0</v>
      </c>
      <c r="BC134" s="408"/>
      <c r="BD134" s="392">
        <f>'[1]COE commited funds to date'!Q147</f>
        <v>70000000</v>
      </c>
      <c r="BE134" s="392">
        <f>'[1]COE  LIB. 2019'!Q68</f>
        <v>70000000</v>
      </c>
      <c r="BF134" s="383">
        <f t="shared" si="117"/>
        <v>0</v>
      </c>
      <c r="BH134" s="392">
        <v>35000000</v>
      </c>
      <c r="BI134" s="383">
        <f>'[1]COE  LIB. 2019'!R68</f>
        <v>35000000</v>
      </c>
      <c r="BJ134" s="383">
        <f t="shared" si="118"/>
        <v>0</v>
      </c>
      <c r="BL134" s="383">
        <f>'[1]COE commited funds to date'!S147</f>
        <v>30000000</v>
      </c>
      <c r="BM134" s="383">
        <f>'[1]COE  LIB. 2019'!S68</f>
        <v>30000000</v>
      </c>
      <c r="BN134" s="383">
        <f t="shared" si="119"/>
        <v>0</v>
      </c>
      <c r="BP134" s="383">
        <f>'[1]COE commited funds to date'!T147</f>
        <v>24000000</v>
      </c>
      <c r="BQ134" s="383">
        <f>'[1]COE  LIB. 2019'!T67</f>
        <v>0</v>
      </c>
      <c r="BR134" s="383">
        <f t="shared" si="120"/>
        <v>24000000</v>
      </c>
      <c r="BS134" s="380"/>
      <c r="BT134" s="383">
        <f>'[1]COE commited funds to date'!U147</f>
        <v>16000000</v>
      </c>
      <c r="BU134" s="383">
        <f>'[1]COE  LIB. 2019'!U68</f>
        <v>0</v>
      </c>
      <c r="BV134" s="383">
        <f t="shared" si="121"/>
        <v>16000000</v>
      </c>
      <c r="BW134" s="380"/>
      <c r="BX134" s="383">
        <f t="shared" si="122"/>
        <v>264680000</v>
      </c>
      <c r="BY134" s="383">
        <f t="shared" si="122"/>
        <v>224680000</v>
      </c>
      <c r="BZ134" s="383">
        <f t="shared" si="123"/>
        <v>40000000</v>
      </c>
    </row>
    <row r="135" spans="1:78" x14ac:dyDescent="0.25">
      <c r="A135" s="380">
        <v>56</v>
      </c>
      <c r="B135" s="418" t="s">
        <v>405</v>
      </c>
      <c r="C135" s="433" t="s">
        <v>74</v>
      </c>
      <c r="D135" s="385">
        <v>1125000</v>
      </c>
      <c r="E135" s="392">
        <f>'[1]COE  LIB. 2019'!D69</f>
        <v>1125000</v>
      </c>
      <c r="F135" s="383">
        <f t="shared" si="104"/>
        <v>0</v>
      </c>
      <c r="H135" s="392">
        <v>1125000</v>
      </c>
      <c r="I135" s="392">
        <f>'[1]COE  LIB. 2019'!E69</f>
        <v>1125000</v>
      </c>
      <c r="J135" s="383">
        <f t="shared" si="105"/>
        <v>0</v>
      </c>
      <c r="L135" s="392">
        <v>1125000</v>
      </c>
      <c r="M135" s="392">
        <f>'[1]COE  LIB. 2019'!F69</f>
        <v>1125000</v>
      </c>
      <c r="N135" s="383">
        <f t="shared" si="106"/>
        <v>0</v>
      </c>
      <c r="P135" s="392">
        <v>1125000</v>
      </c>
      <c r="Q135" s="392">
        <f>'[1]COE  LIB. 2019'!G69</f>
        <v>1125000</v>
      </c>
      <c r="R135" s="383">
        <f t="shared" si="107"/>
        <v>0</v>
      </c>
      <c r="T135" s="392">
        <v>2000000</v>
      </c>
      <c r="U135" s="392">
        <f>'[1]COE  LIB. 2019'!H69</f>
        <v>2000000</v>
      </c>
      <c r="V135" s="383">
        <f t="shared" si="108"/>
        <v>0</v>
      </c>
      <c r="X135" s="392">
        <v>2000000</v>
      </c>
      <c r="Y135" s="392">
        <f>'[1]COE  LIB. 2019'!I69</f>
        <v>2000000</v>
      </c>
      <c r="Z135" s="383">
        <f t="shared" si="109"/>
        <v>0</v>
      </c>
      <c r="AB135" s="392">
        <v>2500000</v>
      </c>
      <c r="AC135" s="392">
        <f>'[1]COE  LIB. 2019'!J69</f>
        <v>2500000</v>
      </c>
      <c r="AD135" s="383">
        <f t="shared" si="110"/>
        <v>0</v>
      </c>
      <c r="AF135" s="392">
        <v>3680000</v>
      </c>
      <c r="AG135" s="392">
        <f>'[1]COE  LIB. 2019'!K69</f>
        <v>3680000</v>
      </c>
      <c r="AH135" s="383">
        <f t="shared" si="111"/>
        <v>0</v>
      </c>
      <c r="AJ135" s="392">
        <v>5000000</v>
      </c>
      <c r="AK135" s="392">
        <f>'[1]COE  LIB. 2019'!L69</f>
        <v>5000000</v>
      </c>
      <c r="AL135" s="383">
        <f t="shared" si="112"/>
        <v>0</v>
      </c>
      <c r="AN135" s="392">
        <f>'[1]COE commited funds to date'!M148</f>
        <v>10000000</v>
      </c>
      <c r="AO135" s="392">
        <f>'[1]COE  LIB. 2019'!M69</f>
        <v>10000000</v>
      </c>
      <c r="AP135" s="383">
        <f t="shared" si="113"/>
        <v>0</v>
      </c>
      <c r="AR135" s="392">
        <f>'[1]COE commited funds to date'!N148</f>
        <v>10000000</v>
      </c>
      <c r="AS135" s="392">
        <f>'[1]COE  LIB. 2019'!N69</f>
        <v>10000000</v>
      </c>
      <c r="AT135" s="383">
        <f t="shared" si="114"/>
        <v>0</v>
      </c>
      <c r="AV135" s="392">
        <v>20000000</v>
      </c>
      <c r="AW135" s="392">
        <f>'[1]COE  LIB. 2019'!O69</f>
        <v>20000000</v>
      </c>
      <c r="AX135" s="383">
        <f t="shared" si="115"/>
        <v>0</v>
      </c>
      <c r="AZ135" s="392">
        <f>'[1]COE commited funds to date'!P148</f>
        <v>30000000</v>
      </c>
      <c r="BA135" s="392">
        <f>'[1]COE  LIB. 2019'!P69</f>
        <v>30000000</v>
      </c>
      <c r="BB135" s="383">
        <f t="shared" si="116"/>
        <v>0</v>
      </c>
      <c r="BC135" s="408"/>
      <c r="BD135" s="392">
        <f>'[1]COE commited funds to date'!Q148</f>
        <v>70000000</v>
      </c>
      <c r="BE135" s="392">
        <f>'[1]COE  LIB. 2019'!Q69</f>
        <v>70000000</v>
      </c>
      <c r="BF135" s="383">
        <f t="shared" si="117"/>
        <v>0</v>
      </c>
      <c r="BH135" s="392">
        <v>35000000</v>
      </c>
      <c r="BI135" s="383">
        <f>'[1]COE  LIB. 2019'!R69</f>
        <v>35000000</v>
      </c>
      <c r="BJ135" s="383">
        <f t="shared" si="118"/>
        <v>0</v>
      </c>
      <c r="BL135" s="383">
        <f>'[1]COE commited funds to date'!S148</f>
        <v>30000000</v>
      </c>
      <c r="BM135" s="383">
        <f>'[1]COE  LIB. 2019'!S69</f>
        <v>25500000</v>
      </c>
      <c r="BN135" s="383">
        <f t="shared" si="119"/>
        <v>4500000</v>
      </c>
      <c r="BP135" s="383">
        <f>'[1]COE commited funds to date'!T148</f>
        <v>24000000</v>
      </c>
      <c r="BQ135" s="383">
        <f>'[1]COE  LIB. 2019'!T68</f>
        <v>0</v>
      </c>
      <c r="BR135" s="383">
        <f t="shared" si="120"/>
        <v>24000000</v>
      </c>
      <c r="BS135" s="380"/>
      <c r="BT135" s="383">
        <f>'[1]COE commited funds to date'!U148</f>
        <v>16000000</v>
      </c>
      <c r="BU135" s="383">
        <f>'[1]COE  LIB. 2019'!U69</f>
        <v>0</v>
      </c>
      <c r="BV135" s="383">
        <f t="shared" si="121"/>
        <v>16000000</v>
      </c>
      <c r="BW135" s="380"/>
      <c r="BX135" s="383">
        <f t="shared" si="122"/>
        <v>264680000</v>
      </c>
      <c r="BY135" s="383">
        <f t="shared" si="122"/>
        <v>220180000</v>
      </c>
      <c r="BZ135" s="383">
        <f t="shared" si="123"/>
        <v>44500000</v>
      </c>
    </row>
    <row r="136" spans="1:78" x14ac:dyDescent="0.25">
      <c r="A136" s="380">
        <v>57</v>
      </c>
      <c r="B136" s="418" t="s">
        <v>378</v>
      </c>
      <c r="C136" s="439" t="s">
        <v>63</v>
      </c>
      <c r="D136" s="385">
        <v>0</v>
      </c>
      <c r="E136" s="392">
        <f>'[1]COE  LIB. 2019'!D70</f>
        <v>0</v>
      </c>
      <c r="F136" s="383">
        <f t="shared" si="104"/>
        <v>0</v>
      </c>
      <c r="H136" s="392">
        <v>1125000</v>
      </c>
      <c r="I136" s="392">
        <f>'[1]COE  LIB. 2019'!E70</f>
        <v>1125000</v>
      </c>
      <c r="J136" s="383">
        <f t="shared" si="105"/>
        <v>0</v>
      </c>
      <c r="L136" s="392">
        <v>1125000</v>
      </c>
      <c r="M136" s="392">
        <f>'[1]COE  LIB. 2019'!F70</f>
        <v>1125000</v>
      </c>
      <c r="N136" s="383">
        <f t="shared" si="106"/>
        <v>0</v>
      </c>
      <c r="P136" s="392">
        <v>1125000</v>
      </c>
      <c r="Q136" s="392">
        <f>'[1]COE  LIB. 2019'!G70</f>
        <v>1125000</v>
      </c>
      <c r="R136" s="383">
        <f t="shared" si="107"/>
        <v>0</v>
      </c>
      <c r="T136" s="392">
        <v>2000000</v>
      </c>
      <c r="U136" s="392">
        <f>'[1]COE  LIB. 2019'!H70</f>
        <v>2000000</v>
      </c>
      <c r="V136" s="383">
        <f t="shared" si="108"/>
        <v>0</v>
      </c>
      <c r="X136" s="392">
        <v>2000000</v>
      </c>
      <c r="Y136" s="392">
        <f>'[1]COE  LIB. 2019'!I70</f>
        <v>2000000</v>
      </c>
      <c r="Z136" s="383">
        <f t="shared" si="109"/>
        <v>0</v>
      </c>
      <c r="AB136" s="392">
        <v>2500000</v>
      </c>
      <c r="AC136" s="392">
        <f>'[1]COE  LIB. 2019'!J70</f>
        <v>2500000</v>
      </c>
      <c r="AD136" s="383">
        <f t="shared" si="110"/>
        <v>0</v>
      </c>
      <c r="AF136" s="392">
        <v>3680000</v>
      </c>
      <c r="AG136" s="392">
        <f>'[1]COE  LIB. 2019'!K70</f>
        <v>3680000</v>
      </c>
      <c r="AH136" s="383">
        <f t="shared" si="111"/>
        <v>0</v>
      </c>
      <c r="AJ136" s="392">
        <v>5000000</v>
      </c>
      <c r="AK136" s="392">
        <f>'[1]COE  LIB. 2019'!L70</f>
        <v>5000000</v>
      </c>
      <c r="AL136" s="383">
        <f t="shared" si="112"/>
        <v>0</v>
      </c>
      <c r="AN136" s="392">
        <f>'[1]COE commited funds to date'!M149</f>
        <v>10000000</v>
      </c>
      <c r="AO136" s="392">
        <f>'[1]COE  LIB. 2019'!M70</f>
        <v>10000000</v>
      </c>
      <c r="AP136" s="383">
        <f t="shared" si="113"/>
        <v>0</v>
      </c>
      <c r="AR136" s="392">
        <f>'[1]COE commited funds to date'!N149</f>
        <v>10000000</v>
      </c>
      <c r="AS136" s="392">
        <f>'[1]COE  LIB. 2019'!N70</f>
        <v>10000000</v>
      </c>
      <c r="AT136" s="383">
        <f t="shared" si="114"/>
        <v>0</v>
      </c>
      <c r="AV136" s="392">
        <v>20000000</v>
      </c>
      <c r="AW136" s="392">
        <f>'[1]COE  LIB. 2019'!O70</f>
        <v>20000000</v>
      </c>
      <c r="AX136" s="383">
        <f t="shared" si="115"/>
        <v>0</v>
      </c>
      <c r="AZ136" s="392">
        <f>'[1]COE commited funds to date'!P149</f>
        <v>30000000</v>
      </c>
      <c r="BA136" s="392">
        <f>'[1]COE  LIB. 2019'!P70</f>
        <v>30000000</v>
      </c>
      <c r="BB136" s="383">
        <f t="shared" si="116"/>
        <v>0</v>
      </c>
      <c r="BC136" s="408"/>
      <c r="BD136" s="392">
        <f>'[1]COE commited funds to date'!Q149</f>
        <v>70000000</v>
      </c>
      <c r="BE136" s="392">
        <f>'[1]COE  LIB. 2019'!Q70</f>
        <v>70000000</v>
      </c>
      <c r="BF136" s="383">
        <f t="shared" si="117"/>
        <v>0</v>
      </c>
      <c r="BH136" s="392">
        <v>35000000</v>
      </c>
      <c r="BI136" s="383">
        <f>'[1]COE  LIB. 2019'!R70</f>
        <v>35000000</v>
      </c>
      <c r="BJ136" s="383">
        <f t="shared" si="118"/>
        <v>0</v>
      </c>
      <c r="BL136" s="383">
        <f>'[1]COE commited funds to date'!S149</f>
        <v>30000000</v>
      </c>
      <c r="BM136" s="383">
        <f>'[1]COE  LIB. 2019'!S70</f>
        <v>30000000</v>
      </c>
      <c r="BN136" s="383">
        <f t="shared" si="119"/>
        <v>0</v>
      </c>
      <c r="BP136" s="383">
        <f>'[1]COE commited funds to date'!T149</f>
        <v>24000000</v>
      </c>
      <c r="BQ136" s="383">
        <f>'[1]COE  LIB. 2019'!T69</f>
        <v>0</v>
      </c>
      <c r="BR136" s="383">
        <f t="shared" si="120"/>
        <v>24000000</v>
      </c>
      <c r="BS136" s="380"/>
      <c r="BT136" s="383">
        <f>'[1]COE commited funds to date'!U149</f>
        <v>16000000</v>
      </c>
      <c r="BU136" s="383">
        <f>'[1]COE  LIB. 2019'!U70</f>
        <v>0</v>
      </c>
      <c r="BV136" s="383">
        <f t="shared" si="121"/>
        <v>16000000</v>
      </c>
      <c r="BW136" s="380"/>
      <c r="BX136" s="383">
        <f t="shared" si="122"/>
        <v>263555000</v>
      </c>
      <c r="BY136" s="383">
        <f t="shared" si="122"/>
        <v>223555000</v>
      </c>
      <c r="BZ136" s="383">
        <f t="shared" si="123"/>
        <v>40000000</v>
      </c>
    </row>
    <row r="137" spans="1:78" x14ac:dyDescent="0.25">
      <c r="A137" s="380">
        <v>58</v>
      </c>
      <c r="B137" s="418" t="s">
        <v>406</v>
      </c>
      <c r="C137" s="431" t="s">
        <v>76</v>
      </c>
      <c r="D137" s="385">
        <v>0</v>
      </c>
      <c r="E137" s="392">
        <f>'[1]COE  LIB. 2019'!D71</f>
        <v>0</v>
      </c>
      <c r="F137" s="383">
        <f t="shared" si="104"/>
        <v>0</v>
      </c>
      <c r="H137" s="392">
        <v>0</v>
      </c>
      <c r="I137" s="392">
        <f>'[1]COE  LIB. 2019'!E71</f>
        <v>0</v>
      </c>
      <c r="J137" s="383">
        <f t="shared" si="105"/>
        <v>0</v>
      </c>
      <c r="L137" s="392">
        <v>0</v>
      </c>
      <c r="M137" s="392">
        <f>'[1]COE  LIB. 2019'!F71</f>
        <v>0</v>
      </c>
      <c r="N137" s="383">
        <f t="shared" si="106"/>
        <v>0</v>
      </c>
      <c r="P137" s="392">
        <v>0</v>
      </c>
      <c r="Q137" s="392">
        <f>'[1]COE  LIB. 2019'!G71</f>
        <v>0</v>
      </c>
      <c r="R137" s="383">
        <f t="shared" si="107"/>
        <v>0</v>
      </c>
      <c r="T137" s="392">
        <v>2000000</v>
      </c>
      <c r="U137" s="392">
        <f>'[1]COE  LIB. 2019'!H71</f>
        <v>2000000</v>
      </c>
      <c r="V137" s="383">
        <f t="shared" si="108"/>
        <v>0</v>
      </c>
      <c r="X137" s="392">
        <v>2000000</v>
      </c>
      <c r="Y137" s="392">
        <f>'[1]COE  LIB. 2019'!I71</f>
        <v>2000000</v>
      </c>
      <c r="Z137" s="383">
        <f t="shared" si="109"/>
        <v>0</v>
      </c>
      <c r="AB137" s="392">
        <v>2500000</v>
      </c>
      <c r="AC137" s="392">
        <f>'[1]COE  LIB. 2019'!J71</f>
        <v>2500000</v>
      </c>
      <c r="AD137" s="383">
        <f t="shared" si="110"/>
        <v>0</v>
      </c>
      <c r="AF137" s="392">
        <v>3680000</v>
      </c>
      <c r="AG137" s="392">
        <f>'[1]COE  LIB. 2019'!K71</f>
        <v>3680000</v>
      </c>
      <c r="AH137" s="383">
        <f t="shared" si="111"/>
        <v>0</v>
      </c>
      <c r="AJ137" s="392">
        <v>5000000</v>
      </c>
      <c r="AK137" s="392">
        <f>'[1]COE  LIB. 2019'!L71</f>
        <v>5000000</v>
      </c>
      <c r="AL137" s="383">
        <f t="shared" si="112"/>
        <v>0</v>
      </c>
      <c r="AN137" s="392">
        <f>'[1]COE commited funds to date'!M150</f>
        <v>10000000</v>
      </c>
      <c r="AO137" s="392">
        <f>'[1]COE  LIB. 2019'!M71</f>
        <v>10000000</v>
      </c>
      <c r="AP137" s="383">
        <f t="shared" si="113"/>
        <v>0</v>
      </c>
      <c r="AR137" s="392">
        <f>'[1]COE commited funds to date'!N150</f>
        <v>10000000</v>
      </c>
      <c r="AS137" s="392">
        <f>'[1]COE  LIB. 2019'!N71</f>
        <v>10000000</v>
      </c>
      <c r="AT137" s="383">
        <f t="shared" si="114"/>
        <v>0</v>
      </c>
      <c r="AV137" s="392">
        <v>20000000</v>
      </c>
      <c r="AW137" s="392">
        <f>'[1]COE  LIB. 2019'!O71</f>
        <v>20000000</v>
      </c>
      <c r="AX137" s="383">
        <f t="shared" si="115"/>
        <v>0</v>
      </c>
      <c r="AZ137" s="392">
        <f>'[1]COE commited funds to date'!P150</f>
        <v>30000000</v>
      </c>
      <c r="BA137" s="392">
        <f>'[1]COE  LIB. 2019'!P71</f>
        <v>30000000</v>
      </c>
      <c r="BB137" s="383">
        <f t="shared" si="116"/>
        <v>0</v>
      </c>
      <c r="BC137" s="408"/>
      <c r="BD137" s="392">
        <f>'[1]COE commited funds to date'!Q150</f>
        <v>70000000</v>
      </c>
      <c r="BE137" s="392">
        <f>'[1]COE  LIB. 2019'!Q71</f>
        <v>70000000</v>
      </c>
      <c r="BF137" s="383">
        <f t="shared" si="117"/>
        <v>0</v>
      </c>
      <c r="BH137" s="392">
        <v>35000000</v>
      </c>
      <c r="BI137" s="383">
        <f>'[1]COE  LIB. 2019'!R71</f>
        <v>0</v>
      </c>
      <c r="BJ137" s="383">
        <f t="shared" si="118"/>
        <v>35000000</v>
      </c>
      <c r="BL137" s="383">
        <f>'[1]COE commited funds to date'!S150</f>
        <v>30000000</v>
      </c>
      <c r="BM137" s="383">
        <f>'[1]COE  LIB. 2019'!S71</f>
        <v>0</v>
      </c>
      <c r="BN137" s="383">
        <f t="shared" si="119"/>
        <v>30000000</v>
      </c>
      <c r="BP137" s="383">
        <f>'[1]COE commited funds to date'!T150</f>
        <v>24000000</v>
      </c>
      <c r="BQ137" s="383">
        <f>'[1]COE  LIB. 2019'!T70</f>
        <v>0</v>
      </c>
      <c r="BR137" s="383">
        <f t="shared" si="120"/>
        <v>24000000</v>
      </c>
      <c r="BS137" s="380"/>
      <c r="BT137" s="383">
        <f>'[1]COE commited funds to date'!U150</f>
        <v>16000000</v>
      </c>
      <c r="BU137" s="383">
        <f>'[1]COE  LIB. 2019'!U71</f>
        <v>0</v>
      </c>
      <c r="BV137" s="383">
        <f t="shared" si="121"/>
        <v>16000000</v>
      </c>
      <c r="BW137" s="380"/>
      <c r="BX137" s="383">
        <f t="shared" si="122"/>
        <v>260180000</v>
      </c>
      <c r="BY137" s="383">
        <f t="shared" si="122"/>
        <v>155180000</v>
      </c>
      <c r="BZ137" s="383">
        <f t="shared" si="123"/>
        <v>105000000</v>
      </c>
    </row>
    <row r="138" spans="1:78" x14ac:dyDescent="0.25">
      <c r="A138" s="380">
        <v>59</v>
      </c>
      <c r="B138" s="418" t="s">
        <v>380</v>
      </c>
      <c r="C138" s="433"/>
      <c r="D138" s="385">
        <v>0</v>
      </c>
      <c r="E138" s="392">
        <f>'[1]COE  LIB. 2019'!D72</f>
        <v>0</v>
      </c>
      <c r="F138" s="383">
        <f t="shared" si="104"/>
        <v>0</v>
      </c>
      <c r="H138" s="392">
        <v>0</v>
      </c>
      <c r="I138" s="392">
        <f>'[1]COE  LIB. 2019'!E72</f>
        <v>0</v>
      </c>
      <c r="J138" s="383">
        <f t="shared" si="105"/>
        <v>0</v>
      </c>
      <c r="L138" s="392">
        <v>0</v>
      </c>
      <c r="M138" s="392">
        <f>'[1]COE  LIB. 2019'!F72</f>
        <v>0</v>
      </c>
      <c r="N138" s="383">
        <f t="shared" si="106"/>
        <v>0</v>
      </c>
      <c r="P138" s="392">
        <v>0</v>
      </c>
      <c r="Q138" s="392">
        <f>'[1]COE  LIB. 2019'!G72</f>
        <v>0</v>
      </c>
      <c r="R138" s="383">
        <f t="shared" si="107"/>
        <v>0</v>
      </c>
      <c r="T138" s="392">
        <v>0</v>
      </c>
      <c r="U138" s="392">
        <f>'[1]COE  LIB. 2019'!H72</f>
        <v>0</v>
      </c>
      <c r="V138" s="383">
        <f t="shared" si="108"/>
        <v>0</v>
      </c>
      <c r="X138" s="392">
        <v>2000000</v>
      </c>
      <c r="Y138" s="392">
        <f>'[1]COE  LIB. 2019'!I72</f>
        <v>2000000</v>
      </c>
      <c r="Z138" s="383">
        <f t="shared" si="109"/>
        <v>0</v>
      </c>
      <c r="AB138" s="392">
        <v>2500000</v>
      </c>
      <c r="AC138" s="392">
        <f>'[1]COE  LIB. 2019'!J72</f>
        <v>2500000</v>
      </c>
      <c r="AD138" s="383">
        <f t="shared" si="110"/>
        <v>0</v>
      </c>
      <c r="AF138" s="392">
        <v>3680000</v>
      </c>
      <c r="AG138" s="392">
        <f>'[1]COE  LIB. 2019'!K72</f>
        <v>3680000</v>
      </c>
      <c r="AH138" s="383">
        <f t="shared" si="111"/>
        <v>0</v>
      </c>
      <c r="AJ138" s="392">
        <v>5000000</v>
      </c>
      <c r="AK138" s="392">
        <f>'[1]COE  LIB. 2019'!L72</f>
        <v>5000000</v>
      </c>
      <c r="AL138" s="383">
        <f t="shared" si="112"/>
        <v>0</v>
      </c>
      <c r="AN138" s="392">
        <f>'[1]COE commited funds to date'!M151</f>
        <v>0</v>
      </c>
      <c r="AO138" s="392">
        <f>'[1]COE  LIB. 2019'!M72</f>
        <v>0</v>
      </c>
      <c r="AP138" s="383">
        <f t="shared" si="113"/>
        <v>0</v>
      </c>
      <c r="AR138" s="392">
        <f>'[1]COE commited funds to date'!N151</f>
        <v>0</v>
      </c>
      <c r="AS138" s="392">
        <f>'[1]COE  LIB. 2019'!N72</f>
        <v>0</v>
      </c>
      <c r="AT138" s="383">
        <f t="shared" si="114"/>
        <v>0</v>
      </c>
      <c r="AV138" s="392">
        <v>20000000</v>
      </c>
      <c r="AW138" s="392">
        <f>'[1]COE  LIB. 2019'!O72</f>
        <v>20000000</v>
      </c>
      <c r="AX138" s="383">
        <f t="shared" si="115"/>
        <v>0</v>
      </c>
      <c r="AZ138" s="392">
        <f>'[1]COE commited funds to date'!P151</f>
        <v>0</v>
      </c>
      <c r="BA138" s="392">
        <f>'[1]COE  LIB. 2019'!P72</f>
        <v>0</v>
      </c>
      <c r="BB138" s="383">
        <f t="shared" si="116"/>
        <v>0</v>
      </c>
      <c r="BC138" s="408"/>
      <c r="BD138" s="392">
        <f>'[1]COE commited funds to date'!Q151</f>
        <v>0</v>
      </c>
      <c r="BE138" s="392">
        <f>'[1]COE  LIB. 2019'!Q72</f>
        <v>0</v>
      </c>
      <c r="BF138" s="383">
        <f t="shared" si="117"/>
        <v>0</v>
      </c>
      <c r="BH138" s="392">
        <v>35000000</v>
      </c>
      <c r="BI138" s="383">
        <f>'[1]COE  LIB. 2019'!R72</f>
        <v>35000000</v>
      </c>
      <c r="BJ138" s="383">
        <f t="shared" si="118"/>
        <v>0</v>
      </c>
      <c r="BL138" s="383">
        <f>'[1]COE commited funds to date'!S151</f>
        <v>0</v>
      </c>
      <c r="BM138" s="383">
        <f>'[1]COE  LIB. 2019'!S72</f>
        <v>0</v>
      </c>
      <c r="BN138" s="383">
        <f t="shared" si="119"/>
        <v>0</v>
      </c>
      <c r="BP138" s="383">
        <f>'[1]COE commited funds to date'!T151</f>
        <v>0</v>
      </c>
      <c r="BQ138" s="383">
        <f>'[1]COE  LIB. 2019'!T71</f>
        <v>0</v>
      </c>
      <c r="BR138" s="383">
        <f t="shared" si="120"/>
        <v>0</v>
      </c>
      <c r="BS138" s="380"/>
      <c r="BT138" s="383">
        <f>'[1]COE commited funds to date'!U151</f>
        <v>16000000</v>
      </c>
      <c r="BU138" s="383">
        <f>'[1]COE  LIB. 2019'!U72</f>
        <v>0</v>
      </c>
      <c r="BV138" s="383">
        <f t="shared" si="121"/>
        <v>16000000</v>
      </c>
      <c r="BW138" s="380"/>
      <c r="BX138" s="383">
        <f t="shared" si="122"/>
        <v>84180000</v>
      </c>
      <c r="BY138" s="383">
        <f t="shared" si="122"/>
        <v>68180000</v>
      </c>
      <c r="BZ138" s="383">
        <f t="shared" si="123"/>
        <v>16000000</v>
      </c>
    </row>
    <row r="139" spans="1:78" x14ac:dyDescent="0.25">
      <c r="A139" s="380">
        <v>60</v>
      </c>
      <c r="B139" s="418" t="s">
        <v>407</v>
      </c>
      <c r="C139" s="433" t="s">
        <v>61</v>
      </c>
      <c r="D139" s="385">
        <v>1125000</v>
      </c>
      <c r="E139" s="392">
        <f>'[1]COE  LIB. 2019'!D73</f>
        <v>1125000</v>
      </c>
      <c r="F139" s="383">
        <f t="shared" si="104"/>
        <v>0</v>
      </c>
      <c r="H139" s="392">
        <v>1125000</v>
      </c>
      <c r="I139" s="392">
        <f>'[1]COE  LIB. 2019'!E73</f>
        <v>1125000</v>
      </c>
      <c r="J139" s="383">
        <f t="shared" si="105"/>
        <v>0</v>
      </c>
      <c r="L139" s="392">
        <v>1125000</v>
      </c>
      <c r="M139" s="392">
        <f>'[1]COE  LIB. 2019'!F73</f>
        <v>1125000</v>
      </c>
      <c r="N139" s="383">
        <f t="shared" si="106"/>
        <v>0</v>
      </c>
      <c r="P139" s="392">
        <v>956250</v>
      </c>
      <c r="Q139" s="392">
        <f>'[1]COE  LIB. 2019'!G73</f>
        <v>956250</v>
      </c>
      <c r="R139" s="383">
        <f t="shared" si="107"/>
        <v>0</v>
      </c>
      <c r="T139" s="392">
        <v>2000000</v>
      </c>
      <c r="U139" s="392">
        <f>'[1]COE  LIB. 2019'!H73</f>
        <v>2000000</v>
      </c>
      <c r="V139" s="383">
        <f t="shared" si="108"/>
        <v>0</v>
      </c>
      <c r="X139" s="392">
        <v>2000000</v>
      </c>
      <c r="Y139" s="392">
        <f>'[1]COE  LIB. 2019'!I73</f>
        <v>2000000</v>
      </c>
      <c r="Z139" s="383">
        <f t="shared" si="109"/>
        <v>0</v>
      </c>
      <c r="AB139" s="392">
        <v>2500000</v>
      </c>
      <c r="AC139" s="392">
        <f>'[1]COE  LIB. 2019'!J73</f>
        <v>2500000</v>
      </c>
      <c r="AD139" s="383">
        <f t="shared" si="110"/>
        <v>0</v>
      </c>
      <c r="AF139" s="392">
        <v>3680000</v>
      </c>
      <c r="AG139" s="392">
        <f>'[1]COE  LIB. 2019'!K73</f>
        <v>3680000</v>
      </c>
      <c r="AH139" s="383">
        <f t="shared" si="111"/>
        <v>0</v>
      </c>
      <c r="AJ139" s="392">
        <v>5000000</v>
      </c>
      <c r="AK139" s="392">
        <f>'[1]COE  LIB. 2019'!L73</f>
        <v>5000000</v>
      </c>
      <c r="AL139" s="383">
        <f t="shared" si="112"/>
        <v>0</v>
      </c>
      <c r="AN139" s="392">
        <f>'[1]COE commited funds to date'!M152</f>
        <v>10000000</v>
      </c>
      <c r="AO139" s="392">
        <f>'[1]COE  LIB. 2019'!M73</f>
        <v>10000000</v>
      </c>
      <c r="AP139" s="383">
        <f t="shared" si="113"/>
        <v>0</v>
      </c>
      <c r="AR139" s="392">
        <f>'[1]COE commited funds to date'!N152</f>
        <v>10000000</v>
      </c>
      <c r="AS139" s="392">
        <f>'[1]COE  LIB. 2019'!N73</f>
        <v>10000000</v>
      </c>
      <c r="AT139" s="383">
        <f t="shared" si="114"/>
        <v>0</v>
      </c>
      <c r="AV139" s="392">
        <v>20000000</v>
      </c>
      <c r="AW139" s="392">
        <f>'[1]COE  LIB. 2019'!O73</f>
        <v>20000000</v>
      </c>
      <c r="AX139" s="383">
        <f t="shared" si="115"/>
        <v>0</v>
      </c>
      <c r="AZ139" s="392">
        <f>'[1]COE commited funds to date'!P152</f>
        <v>30000000</v>
      </c>
      <c r="BA139" s="392">
        <f>'[1]COE  LIB. 2019'!P73</f>
        <v>30000000</v>
      </c>
      <c r="BB139" s="383">
        <f t="shared" si="116"/>
        <v>0</v>
      </c>
      <c r="BC139" s="408"/>
      <c r="BD139" s="392">
        <f>'[1]COE commited funds to date'!Q152</f>
        <v>70000000</v>
      </c>
      <c r="BE139" s="392">
        <f>'[1]COE  LIB. 2019'!Q73</f>
        <v>70000000</v>
      </c>
      <c r="BF139" s="383">
        <f t="shared" si="117"/>
        <v>0</v>
      </c>
      <c r="BH139" s="392">
        <v>35000000</v>
      </c>
      <c r="BI139" s="383">
        <f>'[1]COE  LIB. 2019'!R73</f>
        <v>35000000</v>
      </c>
      <c r="BJ139" s="383">
        <f t="shared" si="118"/>
        <v>0</v>
      </c>
      <c r="BL139" s="383">
        <f>'[1]COE commited funds to date'!S152</f>
        <v>30000000</v>
      </c>
      <c r="BM139" s="383">
        <f>'[1]COE  LIB. 2019'!S73</f>
        <v>25500000</v>
      </c>
      <c r="BN139" s="383">
        <f t="shared" si="119"/>
        <v>4500000</v>
      </c>
      <c r="BP139" s="383">
        <f>'[1]COE commited funds to date'!T152</f>
        <v>24000000</v>
      </c>
      <c r="BQ139" s="383">
        <f>'[1]COE  LIB. 2019'!T72</f>
        <v>0</v>
      </c>
      <c r="BR139" s="383">
        <f t="shared" si="120"/>
        <v>24000000</v>
      </c>
      <c r="BS139" s="380"/>
      <c r="BT139" s="383">
        <f>'[1]COE commited funds to date'!U152</f>
        <v>16000000</v>
      </c>
      <c r="BU139" s="383">
        <f>'[1]COE  LIB. 2019'!U73</f>
        <v>0</v>
      </c>
      <c r="BV139" s="383">
        <f t="shared" si="121"/>
        <v>16000000</v>
      </c>
      <c r="BW139" s="380"/>
      <c r="BX139" s="383">
        <f t="shared" si="122"/>
        <v>264511250</v>
      </c>
      <c r="BY139" s="383">
        <f t="shared" si="122"/>
        <v>220011250</v>
      </c>
      <c r="BZ139" s="383">
        <f t="shared" si="123"/>
        <v>44500000</v>
      </c>
    </row>
    <row r="140" spans="1:78" x14ac:dyDescent="0.25">
      <c r="A140" s="380">
        <v>61</v>
      </c>
      <c r="B140" s="418" t="s">
        <v>408</v>
      </c>
      <c r="C140" s="440" t="s">
        <v>76</v>
      </c>
      <c r="D140" s="385">
        <v>0</v>
      </c>
      <c r="E140" s="392">
        <f>'[1]COE  LIB. 2019'!D74</f>
        <v>0</v>
      </c>
      <c r="F140" s="383">
        <f t="shared" si="104"/>
        <v>0</v>
      </c>
      <c r="H140" s="392">
        <v>0</v>
      </c>
      <c r="I140" s="392">
        <f>'[1]COE  LIB. 2019'!E74</f>
        <v>0</v>
      </c>
      <c r="J140" s="383">
        <f t="shared" si="105"/>
        <v>0</v>
      </c>
      <c r="L140" s="392">
        <v>0</v>
      </c>
      <c r="M140" s="392">
        <f>'[1]COE  LIB. 2019'!F74</f>
        <v>0</v>
      </c>
      <c r="N140" s="383">
        <f t="shared" si="106"/>
        <v>0</v>
      </c>
      <c r="P140" s="392">
        <v>0</v>
      </c>
      <c r="Q140" s="392">
        <f>'[1]COE  LIB. 2019'!G74</f>
        <v>0</v>
      </c>
      <c r="R140" s="383">
        <f t="shared" si="107"/>
        <v>0</v>
      </c>
      <c r="T140" s="392">
        <v>0</v>
      </c>
      <c r="U140" s="392">
        <f>'[1]COE  LIB. 2019'!H74</f>
        <v>0</v>
      </c>
      <c r="V140" s="383">
        <f t="shared" si="108"/>
        <v>0</v>
      </c>
      <c r="X140" s="392">
        <v>0</v>
      </c>
      <c r="Y140" s="392">
        <f>'[1]COE  LIB. 2019'!I74</f>
        <v>0</v>
      </c>
      <c r="Z140" s="383">
        <f t="shared" si="109"/>
        <v>0</v>
      </c>
      <c r="AB140" s="392">
        <v>0</v>
      </c>
      <c r="AC140" s="392">
        <f>'[1]COE  LIB. 2019'!J74</f>
        <v>0</v>
      </c>
      <c r="AD140" s="383">
        <f t="shared" si="110"/>
        <v>0</v>
      </c>
      <c r="AF140" s="392">
        <v>3680000</v>
      </c>
      <c r="AG140" s="392">
        <f>'[1]COE  LIB. 2019'!K74</f>
        <v>3680000</v>
      </c>
      <c r="AH140" s="383">
        <f t="shared" si="111"/>
        <v>0</v>
      </c>
      <c r="AJ140" s="392">
        <v>5000000</v>
      </c>
      <c r="AK140" s="392">
        <f>'[1]COE  LIB. 2019'!L74</f>
        <v>5000000</v>
      </c>
      <c r="AL140" s="383">
        <f t="shared" si="112"/>
        <v>0</v>
      </c>
      <c r="AN140" s="392">
        <f>'[1]COE commited funds to date'!M153</f>
        <v>10000000</v>
      </c>
      <c r="AO140" s="392">
        <f>'[1]COE  LIB. 2019'!M74</f>
        <v>10000000</v>
      </c>
      <c r="AP140" s="383">
        <f t="shared" si="113"/>
        <v>0</v>
      </c>
      <c r="AR140" s="392">
        <f>'[1]COE commited funds to date'!N153</f>
        <v>10000000</v>
      </c>
      <c r="AS140" s="392">
        <f>'[1]COE  LIB. 2019'!N74</f>
        <v>10000000</v>
      </c>
      <c r="AT140" s="383">
        <f t="shared" si="114"/>
        <v>0</v>
      </c>
      <c r="AV140" s="392">
        <v>20000000</v>
      </c>
      <c r="AW140" s="392">
        <f>'[1]COE  LIB. 2019'!O74</f>
        <v>20000000</v>
      </c>
      <c r="AX140" s="383">
        <f t="shared" si="115"/>
        <v>0</v>
      </c>
      <c r="AZ140" s="392">
        <f>'[1]COE commited funds to date'!P153</f>
        <v>30000000</v>
      </c>
      <c r="BA140" s="392">
        <f>'[1]COE  LIB. 2019'!P74</f>
        <v>30000000</v>
      </c>
      <c r="BB140" s="383">
        <f t="shared" si="116"/>
        <v>0</v>
      </c>
      <c r="BC140" s="408"/>
      <c r="BD140" s="392">
        <f>'[1]COE commited funds to date'!Q153</f>
        <v>70000000</v>
      </c>
      <c r="BE140" s="392">
        <f>'[1]COE  LIB. 2019'!Q74</f>
        <v>70000000</v>
      </c>
      <c r="BF140" s="383">
        <f t="shared" si="117"/>
        <v>0</v>
      </c>
      <c r="BH140" s="392">
        <v>35000000</v>
      </c>
      <c r="BI140" s="383">
        <f>'[1]COE  LIB. 2019'!R74</f>
        <v>0</v>
      </c>
      <c r="BJ140" s="383">
        <f t="shared" si="118"/>
        <v>35000000</v>
      </c>
      <c r="BL140" s="383">
        <f>'[1]COE commited funds to date'!S153</f>
        <v>30000000</v>
      </c>
      <c r="BM140" s="383">
        <f>'[1]COE  LIB. 2019'!S74</f>
        <v>0</v>
      </c>
      <c r="BN140" s="383">
        <f t="shared" si="119"/>
        <v>30000000</v>
      </c>
      <c r="BP140" s="383">
        <f>'[1]COE commited funds to date'!T153</f>
        <v>24000000</v>
      </c>
      <c r="BQ140" s="383">
        <f>'[1]COE  LIB. 2019'!T73</f>
        <v>0</v>
      </c>
      <c r="BR140" s="383">
        <f t="shared" si="120"/>
        <v>24000000</v>
      </c>
      <c r="BS140" s="380"/>
      <c r="BT140" s="383">
        <f>'[1]COE commited funds to date'!U153</f>
        <v>16000000</v>
      </c>
      <c r="BU140" s="383">
        <f>'[1]COE  LIB. 2019'!U74</f>
        <v>0</v>
      </c>
      <c r="BV140" s="383">
        <f t="shared" si="121"/>
        <v>16000000</v>
      </c>
      <c r="BW140" s="380"/>
      <c r="BX140" s="383">
        <f t="shared" si="122"/>
        <v>253680000</v>
      </c>
      <c r="BY140" s="383">
        <f t="shared" si="122"/>
        <v>148680000</v>
      </c>
      <c r="BZ140" s="383">
        <f t="shared" si="123"/>
        <v>105000000</v>
      </c>
    </row>
    <row r="141" spans="1:78" x14ac:dyDescent="0.25">
      <c r="A141" s="380">
        <v>62</v>
      </c>
      <c r="B141" s="418" t="s">
        <v>409</v>
      </c>
      <c r="C141" s="433" t="s">
        <v>65</v>
      </c>
      <c r="D141" s="385">
        <v>843750</v>
      </c>
      <c r="E141" s="392">
        <f>'[1]COE  LIB. 2019'!D75</f>
        <v>843750</v>
      </c>
      <c r="F141" s="383">
        <f t="shared" si="104"/>
        <v>0</v>
      </c>
      <c r="H141" s="392">
        <f>1125000-1125000</f>
        <v>0</v>
      </c>
      <c r="I141" s="392">
        <f>'[1]COE  LIB. 2019'!E75</f>
        <v>0</v>
      </c>
      <c r="J141" s="383">
        <f t="shared" si="105"/>
        <v>0</v>
      </c>
      <c r="L141" s="392">
        <f>1125000-1125000</f>
        <v>0</v>
      </c>
      <c r="M141" s="392">
        <f>'[1]COE  LIB. 2019'!F75</f>
        <v>0</v>
      </c>
      <c r="N141" s="383">
        <f t="shared" si="106"/>
        <v>0</v>
      </c>
      <c r="P141" s="392">
        <f>1125000-1125000</f>
        <v>0</v>
      </c>
      <c r="Q141" s="392">
        <f>'[1]COE  LIB. 2019'!G75</f>
        <v>0</v>
      </c>
      <c r="R141" s="383">
        <f t="shared" si="107"/>
        <v>0</v>
      </c>
      <c r="T141" s="392">
        <f>2000000-2000000</f>
        <v>0</v>
      </c>
      <c r="U141" s="392">
        <f>'[1]COE  LIB. 2019'!H75</f>
        <v>0</v>
      </c>
      <c r="V141" s="383">
        <f t="shared" si="108"/>
        <v>0</v>
      </c>
      <c r="X141" s="392">
        <f>2000000-2000000</f>
        <v>0</v>
      </c>
      <c r="Y141" s="392">
        <f>'[1]COE  LIB. 2019'!I75</f>
        <v>0</v>
      </c>
      <c r="Z141" s="383">
        <f t="shared" si="109"/>
        <v>0</v>
      </c>
      <c r="AB141" s="392">
        <v>0</v>
      </c>
      <c r="AC141" s="392">
        <f>'[1]COE  LIB. 2019'!J75</f>
        <v>0</v>
      </c>
      <c r="AD141" s="383">
        <f t="shared" si="110"/>
        <v>0</v>
      </c>
      <c r="AF141" s="392">
        <v>0</v>
      </c>
      <c r="AG141" s="392">
        <f>'[1]COE  LIB. 2019'!K75</f>
        <v>0</v>
      </c>
      <c r="AH141" s="383">
        <f t="shared" si="111"/>
        <v>0</v>
      </c>
      <c r="AJ141" s="392">
        <v>0</v>
      </c>
      <c r="AK141" s="392">
        <f>'[1]COE  LIB. 2019'!L75</f>
        <v>0</v>
      </c>
      <c r="AL141" s="383">
        <f t="shared" si="112"/>
        <v>0</v>
      </c>
      <c r="AN141" s="392">
        <f>'[1]COE commited funds to date'!M154</f>
        <v>10000000</v>
      </c>
      <c r="AO141" s="392">
        <f>'[1]COE  LIB. 2019'!M75</f>
        <v>10000000</v>
      </c>
      <c r="AP141" s="383">
        <f t="shared" si="113"/>
        <v>0</v>
      </c>
      <c r="AR141" s="392">
        <f>'[1]COE commited funds to date'!N154</f>
        <v>10000000</v>
      </c>
      <c r="AS141" s="392">
        <f>'[1]COE  LIB. 2019'!N75</f>
        <v>10000000</v>
      </c>
      <c r="AT141" s="383">
        <f t="shared" si="114"/>
        <v>0</v>
      </c>
      <c r="AV141" s="392">
        <v>20000000</v>
      </c>
      <c r="AW141" s="392">
        <f>'[1]COE  LIB. 2019'!O75</f>
        <v>20000000</v>
      </c>
      <c r="AX141" s="383">
        <f t="shared" si="115"/>
        <v>0</v>
      </c>
      <c r="AZ141" s="392">
        <f>'[1]COE commited funds to date'!P154</f>
        <v>30000000</v>
      </c>
      <c r="BA141" s="392">
        <f>'[1]COE  LIB. 2019'!P75</f>
        <v>25500000</v>
      </c>
      <c r="BB141" s="383">
        <f t="shared" si="116"/>
        <v>4500000</v>
      </c>
      <c r="BC141" s="408"/>
      <c r="BD141" s="392">
        <f>'[1]COE commited funds to date'!Q154</f>
        <v>70000000</v>
      </c>
      <c r="BE141" s="392">
        <f>'[1]COE  LIB. 2019'!Q75</f>
        <v>59500000</v>
      </c>
      <c r="BF141" s="383">
        <f t="shared" si="117"/>
        <v>10500000</v>
      </c>
      <c r="BH141" s="392">
        <v>35000000</v>
      </c>
      <c r="BI141" s="383">
        <f>'[1]COE  LIB. 2019'!R75</f>
        <v>0</v>
      </c>
      <c r="BJ141" s="383">
        <f t="shared" si="118"/>
        <v>35000000</v>
      </c>
      <c r="BL141" s="383">
        <f>'[1]COE commited funds to date'!S154</f>
        <v>30000000</v>
      </c>
      <c r="BM141" s="383">
        <f>'[1]COE  LIB. 2019'!S75</f>
        <v>0</v>
      </c>
      <c r="BN141" s="383">
        <f t="shared" si="119"/>
        <v>30000000</v>
      </c>
      <c r="BP141" s="383">
        <f>'[1]COE commited funds to date'!T154</f>
        <v>24000000</v>
      </c>
      <c r="BQ141" s="383">
        <f>'[1]COE  LIB. 2019'!T74</f>
        <v>0</v>
      </c>
      <c r="BR141" s="383">
        <f t="shared" si="120"/>
        <v>24000000</v>
      </c>
      <c r="BS141" s="380"/>
      <c r="BT141" s="383">
        <f>'[1]COE commited funds to date'!U154</f>
        <v>16000000</v>
      </c>
      <c r="BU141" s="383">
        <f>'[1]COE  LIB. 2019'!U75</f>
        <v>0</v>
      </c>
      <c r="BV141" s="383">
        <f t="shared" si="121"/>
        <v>16000000</v>
      </c>
      <c r="BW141" s="380"/>
      <c r="BX141" s="383">
        <f t="shared" si="122"/>
        <v>245843750</v>
      </c>
      <c r="BY141" s="383">
        <f t="shared" si="122"/>
        <v>125843750</v>
      </c>
      <c r="BZ141" s="383">
        <f t="shared" si="123"/>
        <v>120000000</v>
      </c>
    </row>
    <row r="142" spans="1:78" x14ac:dyDescent="0.25">
      <c r="A142" s="380">
        <v>63</v>
      </c>
      <c r="B142" s="418" t="s">
        <v>384</v>
      </c>
      <c r="C142" s="431" t="s">
        <v>69</v>
      </c>
      <c r="D142" s="385">
        <v>1125000</v>
      </c>
      <c r="E142" s="392">
        <f>'[1]COE  LIB. 2019'!D76</f>
        <v>1125000</v>
      </c>
      <c r="F142" s="383">
        <f t="shared" si="104"/>
        <v>0</v>
      </c>
      <c r="H142" s="392">
        <v>1125000</v>
      </c>
      <c r="I142" s="392">
        <f>'[1]COE  LIB. 2019'!E76</f>
        <v>1125000</v>
      </c>
      <c r="J142" s="383">
        <f t="shared" si="105"/>
        <v>0</v>
      </c>
      <c r="L142" s="392">
        <v>1125000</v>
      </c>
      <c r="M142" s="392">
        <f>'[1]COE  LIB. 2019'!F76</f>
        <v>1125000</v>
      </c>
      <c r="N142" s="383">
        <f t="shared" si="106"/>
        <v>0</v>
      </c>
      <c r="P142" s="392">
        <v>1125000</v>
      </c>
      <c r="Q142" s="392">
        <f>'[1]COE  LIB. 2019'!G76</f>
        <v>1125000</v>
      </c>
      <c r="R142" s="383">
        <f t="shared" si="107"/>
        <v>0</v>
      </c>
      <c r="T142" s="392">
        <v>2000000</v>
      </c>
      <c r="U142" s="392">
        <f>'[1]COE  LIB. 2019'!H76</f>
        <v>2000000</v>
      </c>
      <c r="V142" s="383">
        <f t="shared" si="108"/>
        <v>0</v>
      </c>
      <c r="X142" s="392">
        <v>0</v>
      </c>
      <c r="Y142" s="392">
        <f>'[1]COE  LIB. 2019'!I76</f>
        <v>0</v>
      </c>
      <c r="Z142" s="383">
        <f t="shared" si="109"/>
        <v>0</v>
      </c>
      <c r="AB142" s="392">
        <v>0</v>
      </c>
      <c r="AC142" s="392">
        <f>'[1]COE  LIB. 2019'!J76</f>
        <v>0</v>
      </c>
      <c r="AD142" s="383">
        <f t="shared" si="110"/>
        <v>0</v>
      </c>
      <c r="AF142" s="392">
        <v>0</v>
      </c>
      <c r="AG142" s="392">
        <f>'[1]COE  LIB. 2019'!K76</f>
        <v>0</v>
      </c>
      <c r="AH142" s="383">
        <f t="shared" si="111"/>
        <v>0</v>
      </c>
      <c r="AJ142" s="392">
        <v>0</v>
      </c>
      <c r="AK142" s="392">
        <f>'[1]COE  LIB. 2019'!L76</f>
        <v>0</v>
      </c>
      <c r="AL142" s="383">
        <f t="shared" si="112"/>
        <v>0</v>
      </c>
      <c r="AN142" s="392">
        <f>'[1]COE commited funds to date'!M155</f>
        <v>10000000</v>
      </c>
      <c r="AO142" s="392">
        <f>'[1]COE  LIB. 2019'!M76</f>
        <v>10000000</v>
      </c>
      <c r="AP142" s="383">
        <f t="shared" si="113"/>
        <v>0</v>
      </c>
      <c r="AR142" s="392">
        <f>'[1]COE commited funds to date'!N155</f>
        <v>10000000</v>
      </c>
      <c r="AS142" s="392">
        <f>'[1]COE  LIB. 2019'!N76</f>
        <v>10000000</v>
      </c>
      <c r="AT142" s="383">
        <f t="shared" si="114"/>
        <v>0</v>
      </c>
      <c r="AV142" s="392">
        <v>20000000</v>
      </c>
      <c r="AW142" s="392">
        <f>'[1]COE  LIB. 2019'!O76</f>
        <v>20000000</v>
      </c>
      <c r="AX142" s="383">
        <f t="shared" si="115"/>
        <v>0</v>
      </c>
      <c r="AZ142" s="392">
        <f>'[1]COE commited funds to date'!P155</f>
        <v>30000000</v>
      </c>
      <c r="BA142" s="392">
        <f>'[1]COE  LIB. 2019'!P76</f>
        <v>30000000</v>
      </c>
      <c r="BB142" s="383">
        <f t="shared" si="116"/>
        <v>0</v>
      </c>
      <c r="BC142" s="408"/>
      <c r="BD142" s="392">
        <f>'[1]COE commited funds to date'!Q155</f>
        <v>70000000</v>
      </c>
      <c r="BE142" s="392">
        <f>'[1]COE  LIB. 2019'!Q76</f>
        <v>70000000</v>
      </c>
      <c r="BF142" s="383">
        <f t="shared" si="117"/>
        <v>0</v>
      </c>
      <c r="BH142" s="392">
        <v>35000000</v>
      </c>
      <c r="BI142" s="383">
        <f>'[1]COE  LIB. 2019'!R76</f>
        <v>35000000</v>
      </c>
      <c r="BJ142" s="383">
        <f t="shared" si="118"/>
        <v>0</v>
      </c>
      <c r="BL142" s="383">
        <f>'[1]COE commited funds to date'!S155</f>
        <v>30000000</v>
      </c>
      <c r="BM142" s="383">
        <f>'[1]COE  LIB. 2019'!S76</f>
        <v>30000000</v>
      </c>
      <c r="BN142" s="383">
        <f t="shared" si="119"/>
        <v>0</v>
      </c>
      <c r="BP142" s="383">
        <f>'[1]COE commited funds to date'!T155</f>
        <v>24000000</v>
      </c>
      <c r="BQ142" s="383">
        <f>'[1]COE  LIB. 2019'!T75</f>
        <v>0</v>
      </c>
      <c r="BR142" s="383">
        <f t="shared" si="120"/>
        <v>24000000</v>
      </c>
      <c r="BS142" s="380"/>
      <c r="BT142" s="383">
        <f>'[1]COE commited funds to date'!U155</f>
        <v>16000000</v>
      </c>
      <c r="BU142" s="383">
        <f>'[1]COE  LIB. 2019'!U76</f>
        <v>0</v>
      </c>
      <c r="BV142" s="383">
        <f t="shared" si="121"/>
        <v>16000000</v>
      </c>
      <c r="BW142" s="380"/>
      <c r="BX142" s="383">
        <f t="shared" si="122"/>
        <v>251500000</v>
      </c>
      <c r="BY142" s="383">
        <f t="shared" si="122"/>
        <v>211500000</v>
      </c>
      <c r="BZ142" s="383">
        <f t="shared" si="123"/>
        <v>40000000</v>
      </c>
    </row>
    <row r="143" spans="1:78" x14ac:dyDescent="0.25">
      <c r="A143" s="380">
        <v>64</v>
      </c>
      <c r="B143" s="418" t="s">
        <v>385</v>
      </c>
      <c r="C143" s="433" t="s">
        <v>65</v>
      </c>
      <c r="D143" s="385">
        <v>0</v>
      </c>
      <c r="E143" s="392">
        <f>'[1]COE  LIB. 2019'!D77</f>
        <v>0</v>
      </c>
      <c r="F143" s="383">
        <f t="shared" si="104"/>
        <v>0</v>
      </c>
      <c r="H143" s="392">
        <v>0</v>
      </c>
      <c r="I143" s="392">
        <f>'[1]COE  LIB. 2019'!E77</f>
        <v>0</v>
      </c>
      <c r="J143" s="383">
        <f t="shared" si="105"/>
        <v>0</v>
      </c>
      <c r="L143" s="392">
        <v>0</v>
      </c>
      <c r="M143" s="392">
        <f>'[1]COE  LIB. 2019'!F77</f>
        <v>0</v>
      </c>
      <c r="N143" s="383">
        <f t="shared" si="106"/>
        <v>0</v>
      </c>
      <c r="P143" s="392">
        <v>0</v>
      </c>
      <c r="Q143" s="392">
        <f>'[1]COE  LIB. 2019'!G77</f>
        <v>0</v>
      </c>
      <c r="R143" s="383">
        <f t="shared" si="107"/>
        <v>0</v>
      </c>
      <c r="T143" s="392">
        <v>0</v>
      </c>
      <c r="U143" s="392">
        <f>'[1]COE  LIB. 2019'!H77</f>
        <v>0</v>
      </c>
      <c r="V143" s="383">
        <f t="shared" si="108"/>
        <v>0</v>
      </c>
      <c r="X143" s="392">
        <v>0</v>
      </c>
      <c r="Y143" s="392">
        <f>'[1]COE  LIB. 2019'!I77</f>
        <v>0</v>
      </c>
      <c r="Z143" s="383">
        <f t="shared" si="109"/>
        <v>0</v>
      </c>
      <c r="AB143" s="392">
        <v>0</v>
      </c>
      <c r="AC143" s="392">
        <f>'[1]COE  LIB. 2019'!J77</f>
        <v>0</v>
      </c>
      <c r="AD143" s="383">
        <f t="shared" si="110"/>
        <v>0</v>
      </c>
      <c r="AF143" s="392">
        <v>0</v>
      </c>
      <c r="AG143" s="392">
        <f>'[1]COE  LIB. 2019'!K77</f>
        <v>0</v>
      </c>
      <c r="AH143" s="383">
        <f t="shared" si="111"/>
        <v>0</v>
      </c>
      <c r="AJ143" s="392">
        <v>0</v>
      </c>
      <c r="AK143" s="392">
        <f>'[1]COE  LIB. 2019'!L77</f>
        <v>0</v>
      </c>
      <c r="AL143" s="383">
        <f t="shared" si="112"/>
        <v>0</v>
      </c>
      <c r="AN143" s="392">
        <f>'[1]COE commited funds to date'!M156</f>
        <v>0</v>
      </c>
      <c r="AO143" s="392">
        <f>'[1]COE  LIB. 2019'!M77</f>
        <v>0</v>
      </c>
      <c r="AP143" s="383">
        <f t="shared" si="113"/>
        <v>0</v>
      </c>
      <c r="AR143" s="392">
        <f>'[1]COE commited funds to date'!N156</f>
        <v>10000000</v>
      </c>
      <c r="AS143" s="392">
        <f>'[1]COE  LIB. 2019'!N77</f>
        <v>10000000</v>
      </c>
      <c r="AT143" s="383">
        <f t="shared" si="114"/>
        <v>0</v>
      </c>
      <c r="AV143" s="392">
        <v>20000000</v>
      </c>
      <c r="AW143" s="392">
        <f>'[1]COE  LIB. 2019'!O77</f>
        <v>20000000</v>
      </c>
      <c r="AX143" s="383">
        <f t="shared" si="115"/>
        <v>0</v>
      </c>
      <c r="AZ143" s="392">
        <f>'[1]COE commited funds to date'!P156</f>
        <v>0</v>
      </c>
      <c r="BA143" s="392">
        <f>'[1]COE  LIB. 2019'!P77</f>
        <v>0</v>
      </c>
      <c r="BB143" s="383">
        <f t="shared" si="116"/>
        <v>0</v>
      </c>
      <c r="BC143" s="408"/>
      <c r="BD143" s="392">
        <f>'[1]COE commited funds to date'!Q156</f>
        <v>70000000</v>
      </c>
      <c r="BE143" s="392">
        <f>'[1]COE  LIB. 2019'!Q77</f>
        <v>70000000</v>
      </c>
      <c r="BF143" s="383">
        <f t="shared" si="117"/>
        <v>0</v>
      </c>
      <c r="BH143" s="392">
        <v>0</v>
      </c>
      <c r="BI143" s="383">
        <f>'[1]COE  LIB. 2019'!R77</f>
        <v>0</v>
      </c>
      <c r="BJ143" s="383">
        <f t="shared" si="118"/>
        <v>0</v>
      </c>
      <c r="BL143" s="383">
        <f>'[1]COE commited funds to date'!S156</f>
        <v>30000000</v>
      </c>
      <c r="BM143" s="383">
        <f>'[1]COE  LIB. 2019'!S77</f>
        <v>30000000</v>
      </c>
      <c r="BN143" s="383">
        <f t="shared" si="119"/>
        <v>0</v>
      </c>
      <c r="BP143" s="383">
        <f>'[1]COE commited funds to date'!T156</f>
        <v>0</v>
      </c>
      <c r="BQ143" s="383">
        <f>'[1]COE  LIB. 2019'!T76</f>
        <v>0</v>
      </c>
      <c r="BR143" s="383">
        <f t="shared" si="120"/>
        <v>0</v>
      </c>
      <c r="BS143" s="380"/>
      <c r="BT143" s="383">
        <f>'[1]COE commited funds to date'!U156</f>
        <v>16000000</v>
      </c>
      <c r="BU143" s="383">
        <f>'[1]COE  LIB. 2019'!U77</f>
        <v>0</v>
      </c>
      <c r="BV143" s="383">
        <f t="shared" si="121"/>
        <v>16000000</v>
      </c>
      <c r="BW143" s="380"/>
      <c r="BX143" s="383">
        <f t="shared" si="122"/>
        <v>146000000</v>
      </c>
      <c r="BY143" s="383">
        <f t="shared" si="122"/>
        <v>130000000</v>
      </c>
      <c r="BZ143" s="383">
        <f t="shared" si="123"/>
        <v>16000000</v>
      </c>
    </row>
    <row r="144" spans="1:78" x14ac:dyDescent="0.25">
      <c r="A144" s="380">
        <v>65</v>
      </c>
      <c r="B144" s="418" t="s">
        <v>410</v>
      </c>
      <c r="C144" s="433" t="s">
        <v>65</v>
      </c>
      <c r="D144" s="385">
        <v>0</v>
      </c>
      <c r="E144" s="392">
        <f>'[1]COE  LIB. 2019'!D78</f>
        <v>0</v>
      </c>
      <c r="F144" s="383">
        <f>D144-E144</f>
        <v>0</v>
      </c>
      <c r="H144" s="392">
        <v>0</v>
      </c>
      <c r="I144" s="392">
        <f>'[1]COE  LIB. 2019'!E78</f>
        <v>0</v>
      </c>
      <c r="J144" s="383">
        <f>H144-I144</f>
        <v>0</v>
      </c>
      <c r="L144" s="392">
        <v>0</v>
      </c>
      <c r="M144" s="392">
        <f>'[1]COE  LIB. 2019'!F78</f>
        <v>0</v>
      </c>
      <c r="N144" s="383">
        <f>L144-M144</f>
        <v>0</v>
      </c>
      <c r="P144" s="392">
        <v>0</v>
      </c>
      <c r="Q144" s="392">
        <f>'[1]COE  LIB. 2019'!G78</f>
        <v>0</v>
      </c>
      <c r="R144" s="383">
        <f>P144-Q144</f>
        <v>0</v>
      </c>
      <c r="T144" s="392">
        <v>0</v>
      </c>
      <c r="U144" s="392">
        <f>'[1]COE  LIB. 2019'!H78</f>
        <v>0</v>
      </c>
      <c r="V144" s="383">
        <f>T144-U144</f>
        <v>0</v>
      </c>
      <c r="X144" s="392">
        <v>0</v>
      </c>
      <c r="Y144" s="392">
        <f>'[1]COE  LIB. 2019'!I78</f>
        <v>0</v>
      </c>
      <c r="Z144" s="383">
        <f>X144-Y144</f>
        <v>0</v>
      </c>
      <c r="AB144" s="392">
        <v>0</v>
      </c>
      <c r="AC144" s="392">
        <f>'[1]COE  LIB. 2019'!J78</f>
        <v>0</v>
      </c>
      <c r="AD144" s="383">
        <f>AB144-AC144</f>
        <v>0</v>
      </c>
      <c r="AF144" s="392">
        <v>0</v>
      </c>
      <c r="AG144" s="392">
        <f>'[1]COE  LIB. 2019'!K78</f>
        <v>0</v>
      </c>
      <c r="AH144" s="383">
        <f>AF144-AG144</f>
        <v>0</v>
      </c>
      <c r="AJ144" s="392">
        <v>0</v>
      </c>
      <c r="AK144" s="392">
        <f>'[1]COE  LIB. 2019'!L78</f>
        <v>0</v>
      </c>
      <c r="AL144" s="383">
        <f>AJ144-AK144</f>
        <v>0</v>
      </c>
      <c r="AN144" s="392">
        <f>'[1]COE commited funds to date'!M157</f>
        <v>0</v>
      </c>
      <c r="AO144" s="392">
        <f>'[1]COE  LIB. 2019'!M78</f>
        <v>0</v>
      </c>
      <c r="AP144" s="383">
        <f>AN144-AO144</f>
        <v>0</v>
      </c>
      <c r="AR144" s="392">
        <f>'[1]COE commited funds to date'!N157</f>
        <v>0</v>
      </c>
      <c r="AS144" s="392">
        <f>'[1]COE  LIB. 2019'!N78</f>
        <v>0</v>
      </c>
      <c r="AT144" s="383">
        <f>AR144-AS144</f>
        <v>0</v>
      </c>
      <c r="AV144" s="392">
        <v>20000000</v>
      </c>
      <c r="AW144" s="392">
        <f>'[1]COE  LIB. 2019'!O78</f>
        <v>17000000</v>
      </c>
      <c r="AX144" s="383">
        <f>AV144-AW144</f>
        <v>3000000</v>
      </c>
      <c r="AZ144" s="392">
        <f>'[1]COE commited funds to date'!P157</f>
        <v>30000000</v>
      </c>
      <c r="BA144" s="392">
        <f>'[1]COE  LIB. 2019'!P78</f>
        <v>25500000</v>
      </c>
      <c r="BB144" s="383">
        <f>AZ144-BA144</f>
        <v>4500000</v>
      </c>
      <c r="BC144" s="408"/>
      <c r="BD144" s="392">
        <f>'[1]COE commited funds to date'!Q157</f>
        <v>70000000</v>
      </c>
      <c r="BE144" s="392">
        <f>'[1]COE  LIB. 2019'!Q78</f>
        <v>59500000</v>
      </c>
      <c r="BF144" s="383">
        <f>BD144-BE144</f>
        <v>10500000</v>
      </c>
      <c r="BH144" s="392">
        <v>35000000</v>
      </c>
      <c r="BI144" s="383">
        <f>'[1]COE  LIB. 2019'!R78</f>
        <v>0</v>
      </c>
      <c r="BJ144" s="383">
        <f>BH144-BI144</f>
        <v>35000000</v>
      </c>
      <c r="BL144" s="383">
        <f>'[1]COE commited funds to date'!S157</f>
        <v>30000000</v>
      </c>
      <c r="BM144" s="383">
        <f>'[1]COE  LIB. 2019'!S78</f>
        <v>0</v>
      </c>
      <c r="BN144" s="383">
        <f>BL144-BM144</f>
        <v>30000000</v>
      </c>
      <c r="BP144" s="383">
        <f>'[1]COE commited funds to date'!T157</f>
        <v>24000000</v>
      </c>
      <c r="BQ144" s="383">
        <f>'[1]COE  LIB. 2019'!T77</f>
        <v>0</v>
      </c>
      <c r="BR144" s="383">
        <f t="shared" ref="BR144:BR147" si="124">BP144-BQ144</f>
        <v>24000000</v>
      </c>
      <c r="BS144" s="380"/>
      <c r="BT144" s="383">
        <f>'[1]COE commited funds to date'!U157</f>
        <v>16000000</v>
      </c>
      <c r="BU144" s="383">
        <f>'[1]COE  LIB. 2019'!U78</f>
        <v>0</v>
      </c>
      <c r="BV144" s="383">
        <f t="shared" ref="BV144:BV147" si="125">BT144-BU144</f>
        <v>16000000</v>
      </c>
      <c r="BW144" s="380"/>
      <c r="BX144" s="383">
        <f t="shared" ref="BX144:BY146" si="126">D144+H144+L144+P144+T144+X144+AB144+AF144+AJ144+AN144+AR144+AV144+AZ144+BD144+BH144+BL144+BP144+BT144</f>
        <v>225000000</v>
      </c>
      <c r="BY144" s="383">
        <f t="shared" si="126"/>
        <v>102000000</v>
      </c>
      <c r="BZ144" s="383">
        <f t="shared" ref="BZ144:BZ146" si="127">BX144-BY144</f>
        <v>123000000</v>
      </c>
    </row>
    <row r="145" spans="1:78" x14ac:dyDescent="0.25">
      <c r="A145" s="380">
        <v>66</v>
      </c>
      <c r="B145" s="380" t="s">
        <v>387</v>
      </c>
      <c r="C145" s="433"/>
      <c r="D145" s="385">
        <v>0</v>
      </c>
      <c r="E145" s="385">
        <v>0</v>
      </c>
      <c r="F145" s="385">
        <v>0</v>
      </c>
      <c r="H145" s="385">
        <v>0</v>
      </c>
      <c r="I145" s="385">
        <v>0</v>
      </c>
      <c r="J145" s="385">
        <v>0</v>
      </c>
      <c r="L145" s="385">
        <v>0</v>
      </c>
      <c r="M145" s="385">
        <v>0</v>
      </c>
      <c r="N145" s="385">
        <v>0</v>
      </c>
      <c r="P145" s="385">
        <v>0</v>
      </c>
      <c r="Q145" s="385">
        <v>0</v>
      </c>
      <c r="R145" s="385">
        <v>0</v>
      </c>
      <c r="T145" s="385">
        <v>0</v>
      </c>
      <c r="U145" s="385">
        <v>0</v>
      </c>
      <c r="V145" s="385">
        <v>0</v>
      </c>
      <c r="X145" s="385">
        <v>0</v>
      </c>
      <c r="Y145" s="385">
        <v>0</v>
      </c>
      <c r="Z145" s="385">
        <v>0</v>
      </c>
      <c r="AB145" s="385">
        <v>0</v>
      </c>
      <c r="AC145" s="385">
        <v>0</v>
      </c>
      <c r="AD145" s="385">
        <v>0</v>
      </c>
      <c r="AF145" s="385">
        <v>0</v>
      </c>
      <c r="AG145" s="385">
        <v>0</v>
      </c>
      <c r="AH145" s="385">
        <v>0</v>
      </c>
      <c r="AJ145" s="385">
        <v>0</v>
      </c>
      <c r="AK145" s="385">
        <v>0</v>
      </c>
      <c r="AL145" s="385">
        <v>0</v>
      </c>
      <c r="AN145" s="385">
        <f>'[1]COE commited funds to date'!M158</f>
        <v>0</v>
      </c>
      <c r="AO145" s="385">
        <f>'[1]COE  LIB. 2019'!M79</f>
        <v>0</v>
      </c>
      <c r="AP145" s="385">
        <v>0</v>
      </c>
      <c r="AR145" s="385">
        <f>'[1]COE commited funds to date'!N158</f>
        <v>0</v>
      </c>
      <c r="AS145" s="385">
        <f>'[1]COE  LIB. 2019'!N79</f>
        <v>0</v>
      </c>
      <c r="AT145" s="385">
        <v>0</v>
      </c>
      <c r="AV145" s="385">
        <v>0</v>
      </c>
      <c r="AW145" s="385">
        <v>0</v>
      </c>
      <c r="AX145" s="385">
        <v>0</v>
      </c>
      <c r="AZ145" s="385">
        <v>0</v>
      </c>
      <c r="BA145" s="385">
        <v>0</v>
      </c>
      <c r="BB145" s="385">
        <v>0</v>
      </c>
      <c r="BC145" s="408"/>
      <c r="BD145" s="385">
        <v>0</v>
      </c>
      <c r="BE145" s="385">
        <v>0</v>
      </c>
      <c r="BF145" s="385">
        <v>0</v>
      </c>
      <c r="BH145" s="444">
        <v>35000000</v>
      </c>
      <c r="BI145" s="420">
        <f>'[1]COE  LIB. 2019'!R79</f>
        <v>29750000</v>
      </c>
      <c r="BJ145" s="383">
        <f>BH145-BI145</f>
        <v>5250000</v>
      </c>
      <c r="BL145" s="383">
        <f>'[1]COE commited funds to date'!S158</f>
        <v>0</v>
      </c>
      <c r="BM145" s="383">
        <f>'[1]COE  LIB. 2019'!S79</f>
        <v>0</v>
      </c>
      <c r="BN145" s="383">
        <f>BL145-BM145</f>
        <v>0</v>
      </c>
      <c r="BP145" s="383">
        <f>'[1]COE commited funds to date'!T158</f>
        <v>24000000</v>
      </c>
      <c r="BQ145" s="383">
        <f>'[1]COE  LIB. 2019'!T78</f>
        <v>0</v>
      </c>
      <c r="BR145" s="383">
        <f t="shared" si="124"/>
        <v>24000000</v>
      </c>
      <c r="BS145" s="380"/>
      <c r="BT145" s="383">
        <f>'[1]COE commited funds to date'!U158</f>
        <v>0</v>
      </c>
      <c r="BU145" s="383">
        <f>'[1]COE  LIB. 2019'!U79</f>
        <v>0</v>
      </c>
      <c r="BV145" s="383">
        <f t="shared" si="125"/>
        <v>0</v>
      </c>
      <c r="BW145" s="380"/>
      <c r="BX145" s="383">
        <f t="shared" si="126"/>
        <v>59000000</v>
      </c>
      <c r="BY145" s="383">
        <f t="shared" si="126"/>
        <v>29750000</v>
      </c>
      <c r="BZ145" s="383">
        <f t="shared" si="127"/>
        <v>29250000</v>
      </c>
    </row>
    <row r="146" spans="1:78" x14ac:dyDescent="0.25">
      <c r="A146" s="380" t="s">
        <v>388</v>
      </c>
      <c r="B146" s="380" t="s">
        <v>389</v>
      </c>
      <c r="C146" s="433"/>
      <c r="D146" s="385">
        <v>0</v>
      </c>
      <c r="E146" s="385">
        <v>0</v>
      </c>
      <c r="F146" s="385">
        <v>0</v>
      </c>
      <c r="H146" s="385">
        <v>0</v>
      </c>
      <c r="I146" s="385">
        <v>0</v>
      </c>
      <c r="J146" s="385">
        <v>0</v>
      </c>
      <c r="L146" s="385">
        <v>0</v>
      </c>
      <c r="M146" s="385">
        <v>0</v>
      </c>
      <c r="N146" s="385">
        <v>0</v>
      </c>
      <c r="P146" s="385">
        <v>0</v>
      </c>
      <c r="Q146" s="385">
        <v>0</v>
      </c>
      <c r="R146" s="385">
        <v>0</v>
      </c>
      <c r="T146" s="385">
        <v>0</v>
      </c>
      <c r="U146" s="385">
        <v>0</v>
      </c>
      <c r="V146" s="385">
        <v>0</v>
      </c>
      <c r="X146" s="385">
        <v>0</v>
      </c>
      <c r="Y146" s="385">
        <v>0</v>
      </c>
      <c r="Z146" s="385">
        <v>0</v>
      </c>
      <c r="AB146" s="385">
        <v>0</v>
      </c>
      <c r="AC146" s="385">
        <v>0</v>
      </c>
      <c r="AD146" s="385">
        <v>0</v>
      </c>
      <c r="AF146" s="385">
        <v>0</v>
      </c>
      <c r="AG146" s="385">
        <v>0</v>
      </c>
      <c r="AH146" s="385">
        <v>0</v>
      </c>
      <c r="AJ146" s="385">
        <v>0</v>
      </c>
      <c r="AK146" s="385">
        <v>0</v>
      </c>
      <c r="AL146" s="385">
        <v>0</v>
      </c>
      <c r="AN146" s="385">
        <v>0</v>
      </c>
      <c r="AO146" s="385">
        <v>0</v>
      </c>
      <c r="AP146" s="385">
        <v>0</v>
      </c>
      <c r="AR146" s="385">
        <v>0</v>
      </c>
      <c r="AS146" s="385">
        <v>0</v>
      </c>
      <c r="AT146" s="385">
        <v>0</v>
      </c>
      <c r="AV146" s="385">
        <v>0</v>
      </c>
      <c r="AW146" s="385">
        <v>0</v>
      </c>
      <c r="AX146" s="385">
        <v>0</v>
      </c>
      <c r="AZ146" s="385">
        <v>0</v>
      </c>
      <c r="BA146" s="385">
        <v>0</v>
      </c>
      <c r="BB146" s="385">
        <v>0</v>
      </c>
      <c r="BC146" s="408"/>
      <c r="BD146" s="385">
        <v>0</v>
      </c>
      <c r="BE146" s="385">
        <v>0</v>
      </c>
      <c r="BF146" s="385">
        <v>0</v>
      </c>
      <c r="BH146" s="385">
        <v>0</v>
      </c>
      <c r="BI146" s="385">
        <v>0</v>
      </c>
      <c r="BJ146" s="385">
        <v>0</v>
      </c>
      <c r="BL146" s="392">
        <v>0</v>
      </c>
      <c r="BM146" s="392">
        <v>0</v>
      </c>
      <c r="BN146" s="383">
        <f>BL146-BM146</f>
        <v>0</v>
      </c>
      <c r="BP146" s="392">
        <v>0</v>
      </c>
      <c r="BQ146" s="383">
        <f>'[1]COE  LIB. 2019'!T79</f>
        <v>0</v>
      </c>
      <c r="BR146" s="383">
        <f t="shared" si="124"/>
        <v>0</v>
      </c>
      <c r="BS146" s="380"/>
      <c r="BT146" s="392">
        <v>0</v>
      </c>
      <c r="BU146" s="392">
        <v>0</v>
      </c>
      <c r="BV146" s="383">
        <f t="shared" si="125"/>
        <v>0</v>
      </c>
      <c r="BW146" s="380"/>
      <c r="BX146" s="383">
        <f t="shared" si="126"/>
        <v>0</v>
      </c>
      <c r="BY146" s="383">
        <f t="shared" si="126"/>
        <v>0</v>
      </c>
      <c r="BZ146" s="383">
        <f t="shared" si="127"/>
        <v>0</v>
      </c>
    </row>
    <row r="147" spans="1:78" x14ac:dyDescent="0.25">
      <c r="A147" s="380"/>
      <c r="B147" s="380"/>
      <c r="C147" s="404"/>
      <c r="D147" s="385">
        <f>SUM(D79:D146)</f>
        <v>66656250</v>
      </c>
      <c r="E147" s="385">
        <f>SUM(E79:E146)</f>
        <v>66656250</v>
      </c>
      <c r="F147" s="385">
        <f>SUM(F79:F146)</f>
        <v>0</v>
      </c>
      <c r="G147" s="385">
        <f t="shared" ref="G147:BK147" si="128">SUM(G79:G146)</f>
        <v>0</v>
      </c>
      <c r="H147" s="385">
        <f>SUM(H79:H146)</f>
        <v>66825000</v>
      </c>
      <c r="I147" s="385">
        <f>SUM(I79:I146)</f>
        <v>66825000</v>
      </c>
      <c r="J147" s="385">
        <f>SUM(J79:J146)</f>
        <v>0</v>
      </c>
      <c r="K147" s="385">
        <f t="shared" si="128"/>
        <v>0</v>
      </c>
      <c r="L147" s="385">
        <f>SUM(L79:L146)</f>
        <v>64334750</v>
      </c>
      <c r="M147" s="385">
        <f t="shared" si="128"/>
        <v>64334800</v>
      </c>
      <c r="N147" s="385">
        <f t="shared" si="128"/>
        <v>-50</v>
      </c>
      <c r="O147" s="385">
        <f t="shared" si="128"/>
        <v>0</v>
      </c>
      <c r="P147" s="385">
        <f t="shared" si="128"/>
        <v>64175000</v>
      </c>
      <c r="Q147" s="385">
        <f t="shared" si="128"/>
        <v>64425050</v>
      </c>
      <c r="R147" s="385">
        <f t="shared" si="128"/>
        <v>-250050</v>
      </c>
      <c r="S147" s="385">
        <f t="shared" si="128"/>
        <v>0</v>
      </c>
      <c r="T147" s="385">
        <f t="shared" si="128"/>
        <v>120962500</v>
      </c>
      <c r="U147" s="385">
        <f t="shared" si="128"/>
        <v>120962500</v>
      </c>
      <c r="V147" s="385">
        <f t="shared" si="128"/>
        <v>0</v>
      </c>
      <c r="W147" s="385">
        <f t="shared" si="128"/>
        <v>0</v>
      </c>
      <c r="X147" s="385">
        <f t="shared" si="128"/>
        <v>120662500</v>
      </c>
      <c r="Y147" s="385">
        <f t="shared" si="128"/>
        <v>120662500</v>
      </c>
      <c r="Z147" s="385">
        <f t="shared" si="128"/>
        <v>0</v>
      </c>
      <c r="AA147" s="385">
        <f t="shared" si="128"/>
        <v>0</v>
      </c>
      <c r="AB147" s="385">
        <f t="shared" si="128"/>
        <v>150625000</v>
      </c>
      <c r="AC147" s="385">
        <f t="shared" si="128"/>
        <v>152750000</v>
      </c>
      <c r="AD147" s="385">
        <f t="shared" si="128"/>
        <v>-2125000</v>
      </c>
      <c r="AE147" s="385">
        <f t="shared" si="128"/>
        <v>0</v>
      </c>
      <c r="AF147" s="385">
        <f t="shared" si="128"/>
        <v>222824000</v>
      </c>
      <c r="AG147" s="385">
        <f t="shared" si="128"/>
        <v>222824000</v>
      </c>
      <c r="AH147" s="385">
        <f t="shared" si="128"/>
        <v>0</v>
      </c>
      <c r="AI147" s="385">
        <f t="shared" si="128"/>
        <v>0</v>
      </c>
      <c r="AJ147" s="385">
        <f t="shared" si="128"/>
        <v>298475000</v>
      </c>
      <c r="AK147" s="385">
        <f t="shared" si="128"/>
        <v>298475000</v>
      </c>
      <c r="AL147" s="385">
        <f t="shared" si="128"/>
        <v>0</v>
      </c>
      <c r="AM147" s="385">
        <f t="shared" si="128"/>
        <v>0</v>
      </c>
      <c r="AN147" s="385">
        <f t="shared" si="128"/>
        <v>535420000</v>
      </c>
      <c r="AO147" s="385">
        <f t="shared" si="128"/>
        <v>535420000</v>
      </c>
      <c r="AP147" s="385">
        <f t="shared" si="128"/>
        <v>0</v>
      </c>
      <c r="AQ147" s="385">
        <f t="shared" si="128"/>
        <v>0</v>
      </c>
      <c r="AR147" s="385">
        <f t="shared" si="128"/>
        <v>550000000</v>
      </c>
      <c r="AS147" s="385">
        <f t="shared" si="128"/>
        <v>538500000</v>
      </c>
      <c r="AT147" s="385">
        <f t="shared" si="128"/>
        <v>11500000</v>
      </c>
      <c r="AU147" s="385">
        <f t="shared" si="128"/>
        <v>0</v>
      </c>
      <c r="AV147" s="385">
        <f t="shared" si="128"/>
        <v>1100000000</v>
      </c>
      <c r="AW147" s="385">
        <f t="shared" si="128"/>
        <v>1091000000</v>
      </c>
      <c r="AX147" s="385">
        <f t="shared" si="128"/>
        <v>9000000</v>
      </c>
      <c r="AY147" s="385">
        <f t="shared" si="128"/>
        <v>0</v>
      </c>
      <c r="AZ147" s="385">
        <f t="shared" si="128"/>
        <v>1650000000</v>
      </c>
      <c r="BA147" s="385">
        <f t="shared" si="128"/>
        <v>1575000000</v>
      </c>
      <c r="BB147" s="385">
        <f t="shared" si="128"/>
        <v>75000000</v>
      </c>
      <c r="BC147" s="385">
        <f t="shared" si="128"/>
        <v>0</v>
      </c>
      <c r="BD147" s="385">
        <f t="shared" si="128"/>
        <v>3850000000</v>
      </c>
      <c r="BE147" s="385">
        <f t="shared" si="128"/>
        <v>3514000000</v>
      </c>
      <c r="BF147" s="385">
        <f t="shared" si="128"/>
        <v>336000000</v>
      </c>
      <c r="BG147" s="385">
        <f t="shared" si="128"/>
        <v>0</v>
      </c>
      <c r="BH147" s="385">
        <f t="shared" si="128"/>
        <v>1960000000</v>
      </c>
      <c r="BI147" s="385">
        <f t="shared" si="128"/>
        <v>1391250000</v>
      </c>
      <c r="BJ147" s="385">
        <f t="shared" si="128"/>
        <v>568750000</v>
      </c>
      <c r="BK147" s="385">
        <f t="shared" si="128"/>
        <v>0</v>
      </c>
      <c r="BL147" s="385">
        <f>SUM(BL79:BL146)</f>
        <v>1650000000</v>
      </c>
      <c r="BM147" s="385">
        <f>SUM(BM79:BM146)</f>
        <v>922750000</v>
      </c>
      <c r="BN147" s="383">
        <f>BL147-BM147</f>
        <v>727250000</v>
      </c>
      <c r="BO147" s="419"/>
      <c r="BP147" s="385">
        <f>SUM(BP79:BP146)</f>
        <v>1320000000</v>
      </c>
      <c r="BQ147" s="385">
        <f>SUM(BQ79:BQ146)</f>
        <v>0</v>
      </c>
      <c r="BR147" s="383">
        <f t="shared" si="124"/>
        <v>1320000000</v>
      </c>
      <c r="BS147" s="380"/>
      <c r="BT147" s="383">
        <f>SUM(BT79:BT146)</f>
        <v>880000000</v>
      </c>
      <c r="BU147" s="383">
        <f>SUM(BU79:BU146)</f>
        <v>0</v>
      </c>
      <c r="BV147" s="383">
        <f t="shared" si="125"/>
        <v>880000000</v>
      </c>
      <c r="BW147" s="380"/>
      <c r="BX147" s="385">
        <f>SUM(BX79:BX146)</f>
        <v>14670960000</v>
      </c>
      <c r="BY147" s="385">
        <f>SUM(BY79:BY146)</f>
        <v>10745835100</v>
      </c>
      <c r="BZ147" s="383">
        <f>BX147-BY147</f>
        <v>3925124900</v>
      </c>
    </row>
  </sheetData>
  <mergeCells count="58">
    <mergeCell ref="BD77:BF77"/>
    <mergeCell ref="BH77:BJ77"/>
    <mergeCell ref="BL77:BN77"/>
    <mergeCell ref="BP77:BR77"/>
    <mergeCell ref="BT77:BV77"/>
    <mergeCell ref="BX77:BZ77"/>
    <mergeCell ref="AB77:AD77"/>
    <mergeCell ref="AF77:AH77"/>
    <mergeCell ref="AJ77:AL77"/>
    <mergeCell ref="AN77:AP77"/>
    <mergeCell ref="AR77:AT77"/>
    <mergeCell ref="AV77:AX77"/>
    <mergeCell ref="HW2:HY2"/>
    <mergeCell ref="IA2:IC2"/>
    <mergeCell ref="IE2:IG2"/>
    <mergeCell ref="II2:IK2"/>
    <mergeCell ref="D77:F77"/>
    <mergeCell ref="H77:J77"/>
    <mergeCell ref="L77:N77"/>
    <mergeCell ref="P77:R77"/>
    <mergeCell ref="T77:V77"/>
    <mergeCell ref="X77:Z77"/>
    <mergeCell ref="GU2:GW2"/>
    <mergeCell ref="GY2:HA2"/>
    <mergeCell ref="HG2:HI2"/>
    <mergeCell ref="HK2:HM2"/>
    <mergeCell ref="HO2:HQ2"/>
    <mergeCell ref="HS2:HU2"/>
    <mergeCell ref="FW2:FY2"/>
    <mergeCell ref="GA2:GC2"/>
    <mergeCell ref="GE2:GG2"/>
    <mergeCell ref="GI2:GK2"/>
    <mergeCell ref="GM2:GO2"/>
    <mergeCell ref="GQ2:GS2"/>
    <mergeCell ref="EZ2:FB2"/>
    <mergeCell ref="FD2:FF2"/>
    <mergeCell ref="FH2:FJ2"/>
    <mergeCell ref="FK2:FM2"/>
    <mergeCell ref="FO2:FQ2"/>
    <mergeCell ref="FS2:FU2"/>
    <mergeCell ref="EB2:ED2"/>
    <mergeCell ref="EF2:EH2"/>
    <mergeCell ref="EJ2:EL2"/>
    <mergeCell ref="EN2:EP2"/>
    <mergeCell ref="ER2:ET2"/>
    <mergeCell ref="EV2:EX2"/>
    <mergeCell ref="L2:N2"/>
    <mergeCell ref="T2:V2"/>
    <mergeCell ref="AF2:AH2"/>
    <mergeCell ref="AJ2:AL2"/>
    <mergeCell ref="CJ2:CL2"/>
    <mergeCell ref="DX2:DZ2"/>
    <mergeCell ref="L1:N1"/>
    <mergeCell ref="T1:V1"/>
    <mergeCell ref="AF1:AH1"/>
    <mergeCell ref="CJ1:CL1"/>
    <mergeCell ref="DD1:DF1"/>
    <mergeCell ref="DP1:DR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UNIV. PROJECT</vt:lpstr>
      <vt:lpstr>UNIV. LIBRARY</vt:lpstr>
      <vt:lpstr>UNIV. HIGH IMPACT</vt:lpstr>
      <vt:lpstr>POLY PROJECTS</vt:lpstr>
      <vt:lpstr>POLY LIBRARY</vt:lpstr>
      <vt:lpstr>POLY HIGH IMPACT</vt:lpstr>
      <vt:lpstr>COE PROJECTS</vt:lpstr>
      <vt:lpstr>COE SPEC. HIGH IMPACT PROJECT</vt:lpstr>
      <vt:lpstr>COE LIBRARY</vt:lpstr>
      <vt:lpstr>UNIV. CONTENT BASED INTERVENT.</vt:lpstr>
      <vt:lpstr>POLY CONTENT BASED INTERVENTION</vt:lpstr>
      <vt:lpstr>COE CONTENT BASED INTERVENTION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Gbenga V. Akinkuade</dc:creator>
  <cp:lastModifiedBy>Gbenga V. Akinkuade</cp:lastModifiedBy>
  <dcterms:created xsi:type="dcterms:W3CDTF">2019-07-11T14:55:35Z</dcterms:created>
  <dcterms:modified xsi:type="dcterms:W3CDTF">2019-07-11T15:37:03Z</dcterms:modified>
</cp:coreProperties>
</file>